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7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szterkatalinvladar/Cilialuvrs Dropbox/Eszter Vladar/publications/CFF TC paper, 2024/Tables/"/>
    </mc:Choice>
  </mc:AlternateContent>
  <xr:revisionPtr revIDLastSave="0" documentId="13_ncr:1_{017102CA-172C-964F-9461-6CAA411864C3}" xr6:coauthVersionLast="47" xr6:coauthVersionMax="47" xr10:uidLastSave="{00000000-0000-0000-0000-000000000000}"/>
  <bookViews>
    <workbookView xWindow="14320" yWindow="500" windowWidth="33960" windowHeight="26480" activeTab="1" xr2:uid="{430852F4-AC65-B646-AE5D-4D18A87CE3D8}"/>
  </bookViews>
  <sheets>
    <sheet name="timecourse DEGs - no outliers" sheetId="1" r:id="rId1"/>
    <sheet name="timecourse DEGs - with outliers" sheetId="2" r:id="rId2"/>
  </sheets>
  <definedNames>
    <definedName name="_xlnm._FilterDatabase" localSheetId="0" hidden="1">'timecourse DEGs - no outliers'!$A$1:$C$1</definedName>
    <definedName name="_xlnm._FilterDatabase" localSheetId="1" hidden="1">'timecourse DEGs - with outliers'!$A$1:$C$1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3378" i="1" l="1"/>
  <c r="A23377" i="1"/>
  <c r="A23376" i="1"/>
  <c r="A6663" i="1"/>
  <c r="A23375" i="1"/>
  <c r="A23374" i="1"/>
  <c r="A23373" i="1"/>
  <c r="A23372" i="1"/>
  <c r="A23371" i="1"/>
  <c r="A23370" i="1"/>
  <c r="A23369" i="1"/>
  <c r="A23368" i="1"/>
  <c r="A23367" i="1"/>
  <c r="A23366" i="1"/>
  <c r="A23365" i="1"/>
  <c r="A23364" i="1"/>
  <c r="A23363" i="1"/>
  <c r="A23362" i="1"/>
  <c r="A23361" i="1"/>
  <c r="A23360" i="1"/>
  <c r="A23359" i="1"/>
  <c r="A23358" i="1"/>
  <c r="A23357" i="1"/>
  <c r="A23356" i="1"/>
  <c r="A23355" i="1"/>
  <c r="A3844" i="1"/>
  <c r="A23354" i="1"/>
  <c r="A12841" i="1"/>
  <c r="A23353" i="1"/>
  <c r="A23352" i="1"/>
  <c r="A23351" i="1"/>
  <c r="A23350" i="1"/>
  <c r="A2082" i="1"/>
  <c r="A23349" i="1"/>
  <c r="A23348" i="1"/>
  <c r="A23347" i="1"/>
  <c r="A23346" i="1"/>
  <c r="A960" i="1"/>
  <c r="A23345" i="1"/>
  <c r="A23344" i="1"/>
  <c r="A23343" i="1"/>
  <c r="A23342" i="1"/>
  <c r="A23341" i="1"/>
  <c r="A23340" i="1"/>
  <c r="A23339" i="1"/>
  <c r="A23338" i="1"/>
  <c r="A6153" i="1"/>
  <c r="A23337" i="1"/>
  <c r="A5326" i="1"/>
  <c r="A8165" i="1"/>
  <c r="A23336" i="1"/>
  <c r="A23335" i="1"/>
  <c r="A23334" i="1"/>
  <c r="A23333" i="1"/>
  <c r="A23332" i="1"/>
  <c r="A23331" i="1"/>
  <c r="A2874" i="1"/>
  <c r="A23330" i="1"/>
  <c r="A23329" i="1"/>
  <c r="A23328" i="1"/>
  <c r="A23327" i="1"/>
  <c r="A23326" i="1"/>
  <c r="A23325" i="1"/>
  <c r="A23324" i="1"/>
  <c r="A23323" i="1"/>
  <c r="A23322" i="1"/>
  <c r="A23321" i="1"/>
  <c r="A23320" i="1"/>
  <c r="A23319" i="1"/>
  <c r="A23318" i="1"/>
  <c r="A23317" i="1"/>
  <c r="A23316" i="1"/>
  <c r="A23315" i="1"/>
  <c r="A11963" i="1"/>
  <c r="A12515" i="1"/>
  <c r="A23314" i="1"/>
  <c r="A5506" i="1"/>
  <c r="A6263" i="1"/>
  <c r="A23313" i="1"/>
  <c r="A2411" i="1"/>
  <c r="A23312" i="1"/>
  <c r="A23311" i="1"/>
  <c r="A23310" i="1"/>
  <c r="A23309" i="1"/>
  <c r="A23308" i="1"/>
  <c r="A23307" i="1"/>
  <c r="A6493" i="1"/>
  <c r="A23306" i="1"/>
  <c r="A23305" i="1"/>
  <c r="A23304" i="1"/>
  <c r="A23303" i="1"/>
  <c r="A23302" i="1"/>
  <c r="A23301" i="1"/>
  <c r="A23300" i="1"/>
  <c r="A23299" i="1"/>
  <c r="A23298" i="1"/>
  <c r="A23297" i="1"/>
  <c r="A23296" i="1"/>
  <c r="A23295" i="1"/>
  <c r="A23294" i="1"/>
  <c r="A23293" i="1"/>
  <c r="A23292" i="1"/>
  <c r="A23291" i="1"/>
  <c r="A23290" i="1"/>
  <c r="A23289" i="1"/>
  <c r="A4460" i="1"/>
  <c r="A23288" i="1"/>
  <c r="A23287" i="1"/>
  <c r="A23286" i="1"/>
  <c r="A23285" i="1"/>
  <c r="A23284" i="1"/>
  <c r="A23283" i="1"/>
  <c r="A23282" i="1"/>
  <c r="A23281" i="1"/>
  <c r="A23280" i="1"/>
  <c r="A1918" i="1"/>
  <c r="A23279" i="1"/>
  <c r="A23278" i="1"/>
  <c r="A23277" i="1"/>
  <c r="A4463" i="1"/>
  <c r="A23276" i="1"/>
  <c r="A23275" i="1"/>
  <c r="A23274" i="1"/>
  <c r="A23273" i="1"/>
  <c r="A23272" i="1"/>
  <c r="A23271" i="1"/>
  <c r="A23270" i="1"/>
  <c r="A23269" i="1"/>
  <c r="A1917" i="1"/>
  <c r="A23268" i="1"/>
  <c r="A23267" i="1"/>
  <c r="A23266" i="1"/>
  <c r="A23265" i="1"/>
  <c r="A23264" i="1"/>
  <c r="A23263" i="1"/>
  <c r="A23262" i="1"/>
  <c r="A11938" i="1"/>
  <c r="A23261" i="1"/>
  <c r="A23260" i="1"/>
  <c r="A23259" i="1"/>
  <c r="A23258" i="1"/>
  <c r="A23257" i="1"/>
  <c r="A23256" i="1"/>
  <c r="A23255" i="1"/>
  <c r="A23254" i="1"/>
  <c r="A23253" i="1"/>
  <c r="A23252" i="1"/>
  <c r="A23251" i="1"/>
  <c r="A23250" i="1"/>
  <c r="A23249" i="1"/>
  <c r="A23248" i="1"/>
  <c r="A23247" i="1"/>
  <c r="A23246" i="1"/>
  <c r="A3990" i="1"/>
  <c r="A23245" i="1"/>
  <c r="A23244" i="1"/>
  <c r="A23243" i="1"/>
  <c r="A23242" i="1"/>
  <c r="A23241" i="1"/>
  <c r="A23240" i="1"/>
  <c r="A23239" i="1"/>
  <c r="A23238" i="1"/>
  <c r="A23237" i="1"/>
  <c r="A23236" i="1"/>
  <c r="A16427" i="1"/>
  <c r="A23235" i="1"/>
  <c r="A23234" i="1"/>
  <c r="A23233" i="1"/>
  <c r="A23232" i="1"/>
  <c r="A23231" i="1"/>
  <c r="A23230" i="1"/>
  <c r="A23229" i="1"/>
  <c r="A23228" i="1"/>
  <c r="A23227" i="1"/>
  <c r="A23226" i="1"/>
  <c r="A6938" i="1"/>
  <c r="A23225" i="1"/>
  <c r="A23224" i="1"/>
  <c r="A23223" i="1"/>
  <c r="A4937" i="1"/>
  <c r="A23222" i="1"/>
  <c r="A23221" i="1"/>
  <c r="A5648" i="1"/>
  <c r="A23220" i="1"/>
  <c r="A23219" i="1"/>
  <c r="A5402" i="1"/>
  <c r="A23218" i="1"/>
  <c r="A23217" i="1"/>
  <c r="A6295" i="1"/>
  <c r="A23216" i="1"/>
  <c r="A23215" i="1"/>
  <c r="A23214" i="1"/>
  <c r="A23213" i="1"/>
  <c r="A23212" i="1"/>
  <c r="A1822" i="1"/>
  <c r="A23211" i="1"/>
  <c r="A23210" i="1"/>
  <c r="A23209" i="1"/>
  <c r="A23208" i="1"/>
  <c r="A23207" i="1"/>
  <c r="A23206" i="1"/>
  <c r="A23205" i="1"/>
  <c r="A23204" i="1"/>
  <c r="A23203" i="1"/>
  <c r="A23202" i="1"/>
  <c r="A23201" i="1"/>
  <c r="A23200" i="1"/>
  <c r="A23199" i="1"/>
  <c r="A23198" i="1"/>
  <c r="A23197" i="1"/>
  <c r="A3108" i="1"/>
  <c r="A23196" i="1"/>
  <c r="A23195" i="1"/>
  <c r="A23194" i="1"/>
  <c r="A23193" i="1"/>
  <c r="A23192" i="1"/>
  <c r="A16320" i="1"/>
  <c r="A23191" i="1"/>
  <c r="A23190" i="1"/>
  <c r="A23189" i="1"/>
  <c r="A23188" i="1"/>
  <c r="A23187" i="1"/>
  <c r="A23186" i="1"/>
  <c r="A23185" i="1"/>
  <c r="A23184" i="1"/>
  <c r="A16090" i="1"/>
  <c r="A23183" i="1"/>
  <c r="A23182" i="1"/>
  <c r="A23181" i="1"/>
  <c r="A23180" i="1"/>
  <c r="A23179" i="1"/>
  <c r="A23178" i="1"/>
  <c r="A23177" i="1"/>
  <c r="A23176" i="1"/>
  <c r="A23175" i="1"/>
  <c r="A23174" i="1"/>
  <c r="A11181" i="1"/>
  <c r="A23173" i="1"/>
  <c r="A23172" i="1"/>
  <c r="A16379" i="1"/>
  <c r="A23171" i="1"/>
  <c r="A23170" i="1"/>
  <c r="A23169" i="1"/>
  <c r="A23168" i="1"/>
  <c r="A23167" i="1"/>
  <c r="A23166" i="1"/>
  <c r="A23165" i="1"/>
  <c r="A23164" i="1"/>
  <c r="A23163" i="1"/>
  <c r="A7937" i="1"/>
  <c r="A23162" i="1"/>
  <c r="A4380" i="1"/>
  <c r="A23161" i="1"/>
  <c r="A23160" i="1"/>
  <c r="A23159" i="1"/>
  <c r="A23158" i="1"/>
  <c r="A23157" i="1"/>
  <c r="A23156" i="1"/>
  <c r="A23155" i="1"/>
  <c r="A23154" i="1"/>
  <c r="A23153" i="1"/>
  <c r="A23152" i="1"/>
  <c r="A23151" i="1"/>
  <c r="A23150" i="1"/>
  <c r="A7730" i="1"/>
  <c r="A23149" i="1"/>
  <c r="A9216" i="1"/>
  <c r="A16496" i="1"/>
  <c r="A23148" i="1"/>
  <c r="A23147" i="1"/>
  <c r="A23146" i="1"/>
  <c r="A23145" i="1"/>
  <c r="A23144" i="1"/>
  <c r="A23143" i="1"/>
  <c r="A23142" i="1"/>
  <c r="A23141" i="1"/>
  <c r="A23140" i="1"/>
  <c r="A23139" i="1"/>
  <c r="A23138" i="1"/>
  <c r="A23137" i="1"/>
  <c r="A23136" i="1"/>
  <c r="A23135" i="1"/>
  <c r="A23134" i="1"/>
  <c r="A23133" i="1"/>
  <c r="A23132" i="1"/>
  <c r="A23131" i="1"/>
  <c r="A23130" i="1"/>
  <c r="A23129" i="1"/>
  <c r="A23128" i="1"/>
  <c r="A23127" i="1"/>
  <c r="A583" i="1"/>
  <c r="A1467" i="1"/>
  <c r="A23126" i="1"/>
  <c r="A23125" i="1"/>
  <c r="A23124" i="1"/>
  <c r="A23123" i="1"/>
  <c r="A23122" i="1"/>
  <c r="A23121" i="1"/>
  <c r="A23120" i="1"/>
  <c r="A23119" i="1"/>
  <c r="A23118" i="1"/>
  <c r="A23117" i="1"/>
  <c r="A5890" i="1"/>
  <c r="A23116" i="1"/>
  <c r="A23115" i="1"/>
  <c r="A23114" i="1"/>
  <c r="A23113" i="1"/>
  <c r="A23112" i="1"/>
  <c r="A23111" i="1"/>
  <c r="A23110" i="1"/>
  <c r="A23109" i="1"/>
  <c r="A23108" i="1"/>
  <c r="A23107" i="1"/>
  <c r="A23106" i="1"/>
  <c r="A23105" i="1"/>
  <c r="A23104" i="1"/>
  <c r="A23103" i="1"/>
  <c r="A23102" i="1"/>
  <c r="A23101" i="1"/>
  <c r="A4787" i="1"/>
  <c r="A23100" i="1"/>
  <c r="A23099" i="1"/>
  <c r="A23098" i="1"/>
  <c r="A23097" i="1"/>
  <c r="A23096" i="1"/>
  <c r="A23095" i="1"/>
  <c r="A23094" i="1"/>
  <c r="A23093" i="1"/>
  <c r="A23092" i="1"/>
  <c r="A23091" i="1"/>
  <c r="A23090" i="1"/>
  <c r="A23089" i="1"/>
  <c r="A23088" i="1"/>
  <c r="A23087" i="1"/>
  <c r="A23086" i="1"/>
  <c r="A23085" i="1"/>
  <c r="A14795" i="1"/>
  <c r="A23084" i="1"/>
  <c r="A23083" i="1"/>
  <c r="A23082" i="1"/>
  <c r="A23081" i="1"/>
  <c r="A23080" i="1"/>
  <c r="A23079" i="1"/>
  <c r="A23078" i="1"/>
  <c r="A23077" i="1"/>
  <c r="A23076" i="1"/>
  <c r="A23075" i="1"/>
  <c r="A23074" i="1"/>
  <c r="A12542" i="1"/>
  <c r="A23073" i="1"/>
  <c r="A23072" i="1"/>
  <c r="A23071" i="1"/>
  <c r="A23070" i="1"/>
  <c r="A6198" i="1"/>
  <c r="A23069" i="1"/>
  <c r="A23068" i="1"/>
  <c r="A10391" i="1"/>
  <c r="A23067" i="1"/>
  <c r="A23066" i="1"/>
  <c r="A23065" i="1"/>
  <c r="A23064" i="1"/>
  <c r="A23063" i="1"/>
  <c r="A23062" i="1"/>
  <c r="A23061" i="1"/>
  <c r="A23060" i="1"/>
  <c r="A23059" i="1"/>
  <c r="A23058" i="1"/>
  <c r="A23057" i="1"/>
  <c r="A23056" i="1"/>
  <c r="A14576" i="1"/>
  <c r="A23055" i="1"/>
  <c r="A23054" i="1"/>
  <c r="A23053" i="1"/>
  <c r="A23052" i="1"/>
  <c r="A23051" i="1"/>
  <c r="A23050" i="1"/>
  <c r="A23049" i="1"/>
  <c r="A6520" i="1"/>
  <c r="A1218" i="1"/>
  <c r="A23048" i="1"/>
  <c r="A23047" i="1"/>
  <c r="A23046" i="1"/>
  <c r="A23045" i="1"/>
  <c r="A23044" i="1"/>
  <c r="A23043" i="1"/>
  <c r="A23042" i="1"/>
  <c r="A23041" i="1"/>
  <c r="A23040" i="1"/>
  <c r="A23039" i="1"/>
  <c r="A959" i="1"/>
  <c r="A23038" i="1"/>
  <c r="A23037" i="1"/>
  <c r="A23036" i="1"/>
  <c r="A23035" i="1"/>
  <c r="A3480" i="1"/>
  <c r="A23034" i="1"/>
  <c r="A23033" i="1"/>
  <c r="A23032" i="1"/>
  <c r="A15906" i="1"/>
  <c r="A23031" i="1"/>
  <c r="A23030" i="1"/>
  <c r="A23029" i="1"/>
  <c r="A10259" i="1"/>
  <c r="A23028" i="1"/>
  <c r="A23027" i="1"/>
  <c r="A8232" i="1"/>
  <c r="A23026" i="1"/>
  <c r="A23025" i="1"/>
  <c r="A23024" i="1"/>
  <c r="A23023" i="1"/>
  <c r="A23022" i="1"/>
  <c r="A23021" i="1"/>
  <c r="A23020" i="1"/>
  <c r="A23019" i="1"/>
  <c r="A1300" i="1"/>
  <c r="A23018" i="1"/>
  <c r="A15099" i="1"/>
  <c r="A23017" i="1"/>
  <c r="A23016" i="1"/>
  <c r="A23015" i="1"/>
  <c r="A23014" i="1"/>
  <c r="A23013" i="1"/>
  <c r="A23012" i="1"/>
  <c r="A23011" i="1"/>
  <c r="A23010" i="1"/>
  <c r="A23009" i="1"/>
  <c r="A23008" i="1"/>
  <c r="A23007" i="1"/>
  <c r="A23006" i="1"/>
  <c r="A23005" i="1"/>
  <c r="A23004" i="1"/>
  <c r="A23003" i="1"/>
  <c r="A23002" i="1"/>
  <c r="A582" i="1"/>
  <c r="A23001" i="1"/>
  <c r="A23000" i="1"/>
  <c r="A22999" i="1"/>
  <c r="A22998" i="1"/>
  <c r="A22997" i="1"/>
  <c r="A22996" i="1"/>
  <c r="A22995" i="1"/>
  <c r="A22994" i="1"/>
  <c r="A22993" i="1"/>
  <c r="A22992" i="1"/>
  <c r="A22991" i="1"/>
  <c r="A22990" i="1"/>
  <c r="A22989" i="1"/>
  <c r="A22988" i="1"/>
  <c r="A22987" i="1"/>
  <c r="A12442" i="1"/>
  <c r="A22986" i="1"/>
  <c r="A22985" i="1"/>
  <c r="A22984" i="1"/>
  <c r="A22983" i="1"/>
  <c r="A22982" i="1"/>
  <c r="A22981" i="1"/>
  <c r="A22980" i="1"/>
  <c r="A22979" i="1"/>
  <c r="A22978" i="1"/>
  <c r="A22977" i="1"/>
  <c r="A22976" i="1"/>
  <c r="A22975" i="1"/>
  <c r="A22974" i="1"/>
  <c r="A581" i="1"/>
  <c r="A22973" i="1"/>
  <c r="A22972" i="1"/>
  <c r="A22971" i="1"/>
  <c r="A22970" i="1"/>
  <c r="A22969" i="1"/>
  <c r="A22968" i="1"/>
  <c r="A4784" i="1"/>
  <c r="A22967" i="1"/>
  <c r="A22966" i="1"/>
  <c r="A22965" i="1"/>
  <c r="A22964" i="1"/>
  <c r="A22963" i="1"/>
  <c r="A22962" i="1"/>
  <c r="A22961" i="1"/>
  <c r="A22960" i="1"/>
  <c r="A22959" i="1"/>
  <c r="A22958" i="1"/>
  <c r="A22957" i="1"/>
  <c r="A9680" i="1"/>
  <c r="A22956" i="1"/>
  <c r="A22955" i="1"/>
  <c r="A22954" i="1"/>
  <c r="A22953" i="1"/>
  <c r="A22952" i="1"/>
  <c r="A9910" i="1"/>
  <c r="A22951" i="1"/>
  <c r="A22950" i="1"/>
  <c r="A11397" i="1"/>
  <c r="A12056" i="1"/>
  <c r="A22949" i="1"/>
  <c r="A22948" i="1"/>
  <c r="A22947" i="1"/>
  <c r="A22946" i="1"/>
  <c r="A22945" i="1"/>
  <c r="A22944" i="1"/>
  <c r="A22943" i="1"/>
  <c r="A22942" i="1"/>
  <c r="A22941" i="1"/>
  <c r="A22940" i="1"/>
  <c r="A22939" i="1"/>
  <c r="A22938" i="1"/>
  <c r="A22937" i="1"/>
  <c r="A22936" i="1"/>
  <c r="A22935" i="1"/>
  <c r="A22934" i="1"/>
  <c r="A11474" i="1"/>
  <c r="A22933" i="1"/>
  <c r="A22932" i="1"/>
  <c r="A22931" i="1"/>
  <c r="A22930" i="1"/>
  <c r="A4622" i="1"/>
  <c r="A22929" i="1"/>
  <c r="A22928" i="1"/>
  <c r="A22927" i="1"/>
  <c r="A22926" i="1"/>
  <c r="A22925" i="1"/>
  <c r="A22924" i="1"/>
  <c r="A22923" i="1"/>
  <c r="A22922" i="1"/>
  <c r="A22921" i="1"/>
  <c r="A22920" i="1"/>
  <c r="A22919" i="1"/>
  <c r="A22918" i="1"/>
  <c r="A22917" i="1"/>
  <c r="A22916" i="1"/>
  <c r="A22915" i="1"/>
  <c r="A22914" i="1"/>
  <c r="A22913" i="1"/>
  <c r="A22912" i="1"/>
  <c r="A22911" i="1"/>
  <c r="A22910" i="1"/>
  <c r="A22909" i="1"/>
  <c r="A22908" i="1"/>
  <c r="A22907" i="1"/>
  <c r="A22906" i="1"/>
  <c r="A22905" i="1"/>
  <c r="A22904" i="1"/>
  <c r="A22903" i="1"/>
  <c r="A11865" i="1"/>
  <c r="A22902" i="1"/>
  <c r="A22901" i="1"/>
  <c r="A22900" i="1"/>
  <c r="A22899" i="1"/>
  <c r="A22898" i="1"/>
  <c r="A2255" i="1"/>
  <c r="A22897" i="1"/>
  <c r="A4899" i="1"/>
  <c r="A22896" i="1"/>
  <c r="A22895" i="1"/>
  <c r="A22894" i="1"/>
  <c r="A22893" i="1"/>
  <c r="A22892" i="1"/>
  <c r="A22891" i="1"/>
  <c r="A22890" i="1"/>
  <c r="A22889" i="1"/>
  <c r="A22888" i="1"/>
  <c r="A22887" i="1"/>
  <c r="A22886" i="1"/>
  <c r="A22885" i="1"/>
  <c r="A22884" i="1"/>
  <c r="A22883" i="1"/>
  <c r="A22882" i="1"/>
  <c r="A22881" i="1"/>
  <c r="A9077" i="1"/>
  <c r="A22880" i="1"/>
  <c r="A22879" i="1"/>
  <c r="A4994" i="1"/>
  <c r="A22878" i="1"/>
  <c r="A22877" i="1"/>
  <c r="A22876" i="1"/>
  <c r="A22875" i="1"/>
  <c r="A22874" i="1"/>
  <c r="A22873" i="1"/>
  <c r="A22872" i="1"/>
  <c r="A22871" i="1"/>
  <c r="A3788" i="1"/>
  <c r="A22870" i="1"/>
  <c r="A22869" i="1"/>
  <c r="A22868" i="1"/>
  <c r="A13723" i="1"/>
  <c r="A22867" i="1"/>
  <c r="A22866" i="1"/>
  <c r="A22865" i="1"/>
  <c r="A22864" i="1"/>
  <c r="A22863" i="1"/>
  <c r="A22862" i="1"/>
  <c r="A22861" i="1"/>
  <c r="A9389" i="1"/>
  <c r="A22860" i="1"/>
  <c r="A4898" i="1"/>
  <c r="A22859" i="1"/>
  <c r="A22858" i="1"/>
  <c r="A22857" i="1"/>
  <c r="A22856" i="1"/>
  <c r="A22855" i="1"/>
  <c r="A22854" i="1"/>
  <c r="A22853" i="1"/>
  <c r="A22852" i="1"/>
  <c r="A22851" i="1"/>
  <c r="A22850" i="1"/>
  <c r="A22849" i="1"/>
  <c r="A22848" i="1"/>
  <c r="A22847" i="1"/>
  <c r="A22846" i="1"/>
  <c r="A22845" i="1"/>
  <c r="A22844" i="1"/>
  <c r="A22843" i="1"/>
  <c r="A22842" i="1"/>
  <c r="A22841" i="1"/>
  <c r="A22840" i="1"/>
  <c r="A22839" i="1"/>
  <c r="A22838" i="1"/>
  <c r="A22837" i="1"/>
  <c r="A22836" i="1"/>
  <c r="A22835" i="1"/>
  <c r="A10853" i="1"/>
  <c r="A22834" i="1"/>
  <c r="A22833" i="1"/>
  <c r="A1821" i="1"/>
  <c r="A8972" i="1"/>
  <c r="A22832" i="1"/>
  <c r="A22831" i="1"/>
  <c r="A22830" i="1"/>
  <c r="A22829" i="1"/>
  <c r="A22828" i="1"/>
  <c r="A22827" i="1"/>
  <c r="A22826" i="1"/>
  <c r="A22825" i="1"/>
  <c r="A22824" i="1"/>
  <c r="A22823" i="1"/>
  <c r="A22822" i="1"/>
  <c r="A22821" i="1"/>
  <c r="A9076" i="1"/>
  <c r="A10972" i="1"/>
  <c r="A22820" i="1"/>
  <c r="A12573" i="1"/>
  <c r="A22819" i="1"/>
  <c r="A22818" i="1"/>
  <c r="A22817" i="1"/>
  <c r="A22816" i="1"/>
  <c r="A22815" i="1"/>
  <c r="A22814" i="1"/>
  <c r="A22813" i="1"/>
  <c r="A22812" i="1"/>
  <c r="A22811" i="1"/>
  <c r="A22810" i="1"/>
  <c r="A22809" i="1"/>
  <c r="A22808" i="1"/>
  <c r="A22807" i="1"/>
  <c r="A22806" i="1"/>
  <c r="A22805" i="1"/>
  <c r="A22804" i="1"/>
  <c r="A22803" i="1"/>
  <c r="A22802" i="1"/>
  <c r="A22801" i="1"/>
  <c r="A22800" i="1"/>
  <c r="A22799" i="1"/>
  <c r="A22798" i="1"/>
  <c r="A22797" i="1"/>
  <c r="A9996" i="1"/>
  <c r="A22796" i="1"/>
  <c r="A22795" i="1"/>
  <c r="A22794" i="1"/>
  <c r="A22793" i="1"/>
  <c r="A22792" i="1"/>
  <c r="A22791" i="1"/>
  <c r="A22790" i="1"/>
  <c r="A22789" i="1"/>
  <c r="A22788" i="1"/>
  <c r="A22787" i="1"/>
  <c r="A22786" i="1"/>
  <c r="A22785" i="1"/>
  <c r="A22784" i="1"/>
  <c r="A3167" i="1"/>
  <c r="A22783" i="1"/>
  <c r="A22782" i="1"/>
  <c r="A22781" i="1"/>
  <c r="A22780" i="1"/>
  <c r="A22779" i="1"/>
  <c r="A15218" i="1"/>
  <c r="A22778" i="1"/>
  <c r="A14112" i="1"/>
  <c r="A22777" i="1"/>
  <c r="A8200" i="1"/>
  <c r="A22776" i="1"/>
  <c r="A22775" i="1"/>
  <c r="A22774" i="1"/>
  <c r="A22773" i="1"/>
  <c r="A22772" i="1"/>
  <c r="A22771" i="1"/>
  <c r="A22770" i="1"/>
  <c r="A22769" i="1"/>
  <c r="A22768" i="1"/>
  <c r="A13892" i="1"/>
  <c r="A22767" i="1"/>
  <c r="A22766" i="1"/>
  <c r="A22765" i="1"/>
  <c r="A22764" i="1"/>
  <c r="A22763" i="1"/>
  <c r="A22762" i="1"/>
  <c r="A22761" i="1"/>
  <c r="A22760" i="1"/>
  <c r="A22759" i="1"/>
  <c r="A22758" i="1"/>
  <c r="A22757" i="1"/>
  <c r="A22756" i="1"/>
  <c r="A22755" i="1"/>
  <c r="A22754" i="1"/>
  <c r="A12563" i="1"/>
  <c r="A22753" i="1"/>
  <c r="A22752" i="1"/>
  <c r="A12913" i="1"/>
  <c r="A22751" i="1"/>
  <c r="A22750" i="1"/>
  <c r="A22749" i="1"/>
  <c r="A7805" i="1"/>
  <c r="A22748" i="1"/>
  <c r="A22747" i="1"/>
  <c r="A22746" i="1"/>
  <c r="A22745" i="1"/>
  <c r="A22744" i="1"/>
  <c r="A22743" i="1"/>
  <c r="A22742" i="1"/>
  <c r="A22741" i="1"/>
  <c r="A22740" i="1"/>
  <c r="A12725" i="1"/>
  <c r="A22739" i="1"/>
  <c r="A22738" i="1"/>
  <c r="A22737" i="1"/>
  <c r="A22736" i="1"/>
  <c r="A2499" i="1"/>
  <c r="A22735" i="1"/>
  <c r="A22734" i="1"/>
  <c r="A22733" i="1"/>
  <c r="A22732" i="1"/>
  <c r="A22731" i="1"/>
  <c r="A22730" i="1"/>
  <c r="A22729" i="1"/>
  <c r="A22728" i="1"/>
  <c r="A22727" i="1"/>
  <c r="A22726" i="1"/>
  <c r="A22725" i="1"/>
  <c r="A22724" i="1"/>
  <c r="A22723" i="1"/>
  <c r="A22722" i="1"/>
  <c r="A22721" i="1"/>
  <c r="A22720" i="1"/>
  <c r="A22719" i="1"/>
  <c r="A22718" i="1"/>
  <c r="A22717" i="1"/>
  <c r="A22716" i="1"/>
  <c r="A22715" i="1"/>
  <c r="A22714" i="1"/>
  <c r="A22713" i="1"/>
  <c r="A22712" i="1"/>
  <c r="A22711" i="1"/>
  <c r="A1989" i="1"/>
  <c r="A22710" i="1"/>
  <c r="A22709" i="1"/>
  <c r="A22708" i="1"/>
  <c r="A22707" i="1"/>
  <c r="A22706" i="1"/>
  <c r="A11675" i="1"/>
  <c r="A22705" i="1"/>
  <c r="A22704" i="1"/>
  <c r="A22703" i="1"/>
  <c r="A22702" i="1"/>
  <c r="A22701" i="1"/>
  <c r="A22700" i="1"/>
  <c r="A22699" i="1"/>
  <c r="A22698" i="1"/>
  <c r="A12303" i="1"/>
  <c r="A22697" i="1"/>
  <c r="A22696" i="1"/>
  <c r="A22695" i="1"/>
  <c r="A22694" i="1"/>
  <c r="A22693" i="1"/>
  <c r="A22692" i="1"/>
  <c r="A22691" i="1"/>
  <c r="A22690" i="1"/>
  <c r="A22689" i="1"/>
  <c r="A22688" i="1"/>
  <c r="A22687" i="1"/>
  <c r="A22686" i="1"/>
  <c r="A22685" i="1"/>
  <c r="A22684" i="1"/>
  <c r="A11782" i="1"/>
  <c r="A22683" i="1"/>
  <c r="A22682" i="1"/>
  <c r="A22681" i="1"/>
  <c r="A9512" i="1"/>
  <c r="A22680" i="1"/>
  <c r="A22679" i="1"/>
  <c r="A22678" i="1"/>
  <c r="A22677" i="1"/>
  <c r="A22676" i="1"/>
  <c r="A12655" i="1"/>
  <c r="A10315" i="1"/>
  <c r="A22675" i="1"/>
  <c r="A9147" i="1"/>
  <c r="A22674" i="1"/>
  <c r="A22673" i="1"/>
  <c r="A22672" i="1"/>
  <c r="A22671" i="1"/>
  <c r="A22670" i="1"/>
  <c r="A22669" i="1"/>
  <c r="A22668" i="1"/>
  <c r="A22667" i="1"/>
  <c r="A22666" i="1"/>
  <c r="A22665" i="1"/>
  <c r="A22664" i="1"/>
  <c r="A22663" i="1"/>
  <c r="A22662" i="1"/>
  <c r="A22661" i="1"/>
  <c r="A22660" i="1"/>
  <c r="A22659" i="1"/>
  <c r="A4152" i="1"/>
  <c r="A10176" i="1"/>
  <c r="A22658" i="1"/>
  <c r="A22657" i="1"/>
  <c r="A22656" i="1"/>
  <c r="A22655" i="1"/>
  <c r="A22654" i="1"/>
  <c r="A9511" i="1"/>
  <c r="A22653" i="1"/>
  <c r="A22652" i="1"/>
  <c r="A22651" i="1"/>
  <c r="A22650" i="1"/>
  <c r="A22649" i="1"/>
  <c r="A2768" i="1"/>
  <c r="A22648" i="1"/>
  <c r="A22647" i="1"/>
  <c r="A22646" i="1"/>
  <c r="A22645" i="1"/>
  <c r="A5365" i="1"/>
  <c r="A22644" i="1"/>
  <c r="A22643" i="1"/>
  <c r="A22642" i="1"/>
  <c r="A22641" i="1"/>
  <c r="A22640" i="1"/>
  <c r="A22639" i="1"/>
  <c r="A22638" i="1"/>
  <c r="A22637" i="1"/>
  <c r="A22636" i="1"/>
  <c r="A22635" i="1"/>
  <c r="A13322" i="1"/>
  <c r="A22634" i="1"/>
  <c r="A22633" i="1"/>
  <c r="A22632" i="1"/>
  <c r="A22631" i="1"/>
  <c r="A22630" i="1"/>
  <c r="A22629" i="1"/>
  <c r="A13851" i="1"/>
  <c r="A22628" i="1"/>
  <c r="A22627" i="1"/>
  <c r="A22626" i="1"/>
  <c r="A22625" i="1"/>
  <c r="A22624" i="1"/>
  <c r="A6662" i="1"/>
  <c r="A22623" i="1"/>
  <c r="A22622" i="1"/>
  <c r="A22621" i="1"/>
  <c r="A22620" i="1"/>
  <c r="A22619" i="1"/>
  <c r="A22618" i="1"/>
  <c r="A22617" i="1"/>
  <c r="A22616" i="1"/>
  <c r="A22615" i="1"/>
  <c r="A22614" i="1"/>
  <c r="A22613" i="1"/>
  <c r="A22612" i="1"/>
  <c r="A12340" i="1"/>
  <c r="A22611" i="1"/>
  <c r="A22610" i="1"/>
  <c r="A22609" i="1"/>
  <c r="A22608" i="1"/>
  <c r="A2984" i="1"/>
  <c r="A22607" i="1"/>
  <c r="A5219" i="1"/>
  <c r="A22606" i="1"/>
  <c r="A12968" i="1"/>
  <c r="A5805" i="1"/>
  <c r="A22605" i="1"/>
  <c r="A22604" i="1"/>
  <c r="A22603" i="1"/>
  <c r="A22602" i="1"/>
  <c r="A22601" i="1"/>
  <c r="A22600" i="1"/>
  <c r="A22599" i="1"/>
  <c r="A11077" i="1"/>
  <c r="A22598" i="1"/>
  <c r="A22597" i="1"/>
  <c r="A22596" i="1"/>
  <c r="A580" i="1"/>
  <c r="A22595" i="1"/>
  <c r="A22594" i="1"/>
  <c r="A22593" i="1"/>
  <c r="A22592" i="1"/>
  <c r="A22591" i="1"/>
  <c r="A22590" i="1"/>
  <c r="A22589" i="1"/>
  <c r="A3043" i="1"/>
  <c r="A22588" i="1"/>
  <c r="A22587" i="1"/>
  <c r="A22586" i="1"/>
  <c r="A22585" i="1"/>
  <c r="A22584" i="1"/>
  <c r="A22583" i="1"/>
  <c r="A22582" i="1"/>
  <c r="A22581" i="1"/>
  <c r="A22580" i="1"/>
  <c r="A22579" i="1"/>
  <c r="A22578" i="1"/>
  <c r="A22577" i="1"/>
  <c r="A22576" i="1"/>
  <c r="A22575" i="1"/>
  <c r="A22574" i="1"/>
  <c r="A22573" i="1"/>
  <c r="A22572" i="1"/>
  <c r="A22571" i="1"/>
  <c r="A22570" i="1"/>
  <c r="A22569" i="1"/>
  <c r="A22568" i="1"/>
  <c r="A22567" i="1"/>
  <c r="A22566" i="1"/>
  <c r="A22565" i="1"/>
  <c r="A9603" i="1"/>
  <c r="A12794" i="1"/>
  <c r="A22564" i="1"/>
  <c r="A22563" i="1"/>
  <c r="A22562" i="1"/>
  <c r="A22561" i="1"/>
  <c r="A22560" i="1"/>
  <c r="A22559" i="1"/>
  <c r="A13734" i="1"/>
  <c r="A22558" i="1"/>
  <c r="A22557" i="1"/>
  <c r="A22556" i="1"/>
  <c r="A22555" i="1"/>
  <c r="A9834" i="1"/>
  <c r="A22554" i="1"/>
  <c r="A22553" i="1"/>
  <c r="A22552" i="1"/>
  <c r="A13942" i="1"/>
  <c r="A22551" i="1"/>
  <c r="A22550" i="1"/>
  <c r="A22549" i="1"/>
  <c r="A12086" i="1"/>
  <c r="A22548" i="1"/>
  <c r="A14176" i="1"/>
  <c r="A22547" i="1"/>
  <c r="A22546" i="1"/>
  <c r="A22545" i="1"/>
  <c r="A22544" i="1"/>
  <c r="A22543" i="1"/>
  <c r="A22542" i="1"/>
  <c r="A22541" i="1"/>
  <c r="A22540" i="1"/>
  <c r="A22539" i="1"/>
  <c r="A22538" i="1"/>
  <c r="A22537" i="1"/>
  <c r="A22536" i="1"/>
  <c r="A7398" i="1"/>
  <c r="A22535" i="1"/>
  <c r="A22534" i="1"/>
  <c r="A22533" i="1"/>
  <c r="A22532" i="1"/>
  <c r="A22531" i="1"/>
  <c r="A22530" i="1"/>
  <c r="A22529" i="1"/>
  <c r="A22528" i="1"/>
  <c r="A579" i="1"/>
  <c r="A22527" i="1"/>
  <c r="A22526" i="1"/>
  <c r="A22525" i="1"/>
  <c r="A22524" i="1"/>
  <c r="A22523" i="1"/>
  <c r="A22522" i="1"/>
  <c r="A22521" i="1"/>
  <c r="A22520" i="1"/>
  <c r="A22519" i="1"/>
  <c r="A22518" i="1"/>
  <c r="A22517" i="1"/>
  <c r="A578" i="1"/>
  <c r="A22516" i="1"/>
  <c r="A13128" i="1"/>
  <c r="A22515" i="1"/>
  <c r="A22514" i="1"/>
  <c r="A22513" i="1"/>
  <c r="A22512" i="1"/>
  <c r="A22511" i="1"/>
  <c r="A22510" i="1"/>
  <c r="A22509" i="1"/>
  <c r="A22508" i="1"/>
  <c r="A22507" i="1"/>
  <c r="A22506" i="1"/>
  <c r="A22505" i="1"/>
  <c r="A3042" i="1"/>
  <c r="A22504" i="1"/>
  <c r="A22503" i="1"/>
  <c r="A22502" i="1"/>
  <c r="A22501" i="1"/>
  <c r="A22500" i="1"/>
  <c r="A22499" i="1"/>
  <c r="A22498" i="1"/>
  <c r="A22497" i="1"/>
  <c r="A22496" i="1"/>
  <c r="A22495" i="1"/>
  <c r="A22494" i="1"/>
  <c r="A22493" i="1"/>
  <c r="A22492" i="1"/>
  <c r="A22491" i="1"/>
  <c r="A22490" i="1"/>
  <c r="A5546" i="1"/>
  <c r="A22489" i="1"/>
  <c r="A2572" i="1"/>
  <c r="A22488" i="1"/>
  <c r="A22487" i="1"/>
  <c r="A22486" i="1"/>
  <c r="A22485" i="1"/>
  <c r="A22484" i="1"/>
  <c r="A22483" i="1"/>
  <c r="A22482" i="1"/>
  <c r="A22481" i="1"/>
  <c r="A577" i="1"/>
  <c r="A22480" i="1"/>
  <c r="A22479" i="1"/>
  <c r="A22478" i="1"/>
  <c r="A22477" i="1"/>
  <c r="A22476" i="1"/>
  <c r="A22475" i="1"/>
  <c r="A22474" i="1"/>
  <c r="A22473" i="1"/>
  <c r="A3166" i="1"/>
  <c r="A22472" i="1"/>
  <c r="A11012" i="1"/>
  <c r="A22471" i="1"/>
  <c r="A22470" i="1"/>
  <c r="A22469" i="1"/>
  <c r="A22468" i="1"/>
  <c r="A22467" i="1"/>
  <c r="A22466" i="1"/>
  <c r="A22465" i="1"/>
  <c r="A22464" i="1"/>
  <c r="A22463" i="1"/>
  <c r="A22462" i="1"/>
  <c r="A22461" i="1"/>
  <c r="A22460" i="1"/>
  <c r="A22459" i="1"/>
  <c r="A22458" i="1"/>
  <c r="A22457" i="1"/>
  <c r="A22456" i="1"/>
  <c r="A22455" i="1"/>
  <c r="A8809" i="1"/>
  <c r="A22454" i="1"/>
  <c r="A22453" i="1"/>
  <c r="A791" i="1"/>
  <c r="A22452" i="1"/>
  <c r="A22451" i="1"/>
  <c r="A22450" i="1"/>
  <c r="A22449" i="1"/>
  <c r="A22448" i="1"/>
  <c r="A22447" i="1"/>
  <c r="A12912" i="1"/>
  <c r="A15379" i="1"/>
  <c r="A22446" i="1"/>
  <c r="A22445" i="1"/>
  <c r="A22444" i="1"/>
  <c r="A22443" i="1"/>
  <c r="A22442" i="1"/>
  <c r="A22441" i="1"/>
  <c r="A22440" i="1"/>
  <c r="A22439" i="1"/>
  <c r="A22438" i="1"/>
  <c r="A22437" i="1"/>
  <c r="A22436" i="1"/>
  <c r="A22435" i="1"/>
  <c r="A22434" i="1"/>
  <c r="A22433" i="1"/>
  <c r="A22432" i="1"/>
  <c r="A22431" i="1"/>
  <c r="A22430" i="1"/>
  <c r="A6016" i="1"/>
  <c r="A22429" i="1"/>
  <c r="A22428" i="1"/>
  <c r="A22427" i="1"/>
  <c r="A22426" i="1"/>
  <c r="A22425" i="1"/>
  <c r="A22424" i="1"/>
  <c r="A22423" i="1"/>
  <c r="A22422" i="1"/>
  <c r="A22421" i="1"/>
  <c r="A22420" i="1"/>
  <c r="A22419" i="1"/>
  <c r="A22418" i="1"/>
  <c r="A22417" i="1"/>
  <c r="A22416" i="1"/>
  <c r="A22415" i="1"/>
  <c r="A22414" i="1"/>
  <c r="A22413" i="1"/>
  <c r="A22412" i="1"/>
  <c r="A22411" i="1"/>
  <c r="A22410" i="1"/>
  <c r="A22409" i="1"/>
  <c r="A22408" i="1"/>
  <c r="A576" i="1"/>
  <c r="A22407" i="1"/>
  <c r="A22406" i="1"/>
  <c r="A22405" i="1"/>
  <c r="A6519" i="1"/>
  <c r="A22404" i="1"/>
  <c r="A22403" i="1"/>
  <c r="A22402" i="1"/>
  <c r="A22401" i="1"/>
  <c r="A2081" i="1"/>
  <c r="A22400" i="1"/>
  <c r="A22399" i="1"/>
  <c r="A22398" i="1"/>
  <c r="A14323" i="1"/>
  <c r="A22397" i="1"/>
  <c r="A22396" i="1"/>
  <c r="A22395" i="1"/>
  <c r="A4993" i="1"/>
  <c r="A22394" i="1"/>
  <c r="A22393" i="1"/>
  <c r="A22392" i="1"/>
  <c r="A22391" i="1"/>
  <c r="A22390" i="1"/>
  <c r="A22389" i="1"/>
  <c r="A22388" i="1"/>
  <c r="A22387" i="1"/>
  <c r="A22386" i="1"/>
  <c r="A22385" i="1"/>
  <c r="A22384" i="1"/>
  <c r="A22383" i="1"/>
  <c r="A22382" i="1"/>
  <c r="A22381" i="1"/>
  <c r="A22380" i="1"/>
  <c r="A22379" i="1"/>
  <c r="A22378" i="1"/>
  <c r="A22377" i="1"/>
  <c r="A22376" i="1"/>
  <c r="A22375" i="1"/>
  <c r="A22374" i="1"/>
  <c r="A15388" i="1"/>
  <c r="A22373" i="1"/>
  <c r="A11443" i="1"/>
  <c r="A22372" i="1"/>
  <c r="A8054" i="1"/>
  <c r="A7535" i="1"/>
  <c r="A22371" i="1"/>
  <c r="A2335" i="1"/>
  <c r="A22370" i="1"/>
  <c r="A13264" i="1"/>
  <c r="A22369" i="1"/>
  <c r="A3989" i="1"/>
  <c r="A22368" i="1"/>
  <c r="A22367" i="1"/>
  <c r="A22366" i="1"/>
  <c r="A22365" i="1"/>
  <c r="A22364" i="1"/>
  <c r="A22363" i="1"/>
  <c r="A22362" i="1"/>
  <c r="A22361" i="1"/>
  <c r="A22360" i="1"/>
  <c r="A22359" i="1"/>
  <c r="A22358" i="1"/>
  <c r="A22357" i="1"/>
  <c r="A22356" i="1"/>
  <c r="A22355" i="1"/>
  <c r="A22354" i="1"/>
  <c r="A22353" i="1"/>
  <c r="A22352" i="1"/>
  <c r="A22351" i="1"/>
  <c r="A22350" i="1"/>
  <c r="A22349" i="1"/>
  <c r="A22348" i="1"/>
  <c r="A22347" i="1"/>
  <c r="A22346" i="1"/>
  <c r="A22345" i="1"/>
  <c r="A22344" i="1"/>
  <c r="A575" i="1"/>
  <c r="A22343" i="1"/>
  <c r="A22342" i="1"/>
  <c r="A4327" i="1"/>
  <c r="A7268" i="1"/>
  <c r="A22341" i="1"/>
  <c r="A3843" i="1"/>
  <c r="A6730" i="1"/>
  <c r="A22340" i="1"/>
  <c r="A14398" i="1"/>
  <c r="A10313" i="1"/>
  <c r="A22339" i="1"/>
  <c r="A22338" i="1"/>
  <c r="A22337" i="1"/>
  <c r="A22336" i="1"/>
  <c r="A5186" i="1"/>
  <c r="A22335" i="1"/>
  <c r="A22334" i="1"/>
  <c r="A22333" i="1"/>
  <c r="A22332" i="1"/>
  <c r="A22331" i="1"/>
  <c r="A22330" i="1"/>
  <c r="A22329" i="1"/>
  <c r="A6873" i="1"/>
  <c r="A22328" i="1"/>
  <c r="A22327" i="1"/>
  <c r="A22326" i="1"/>
  <c r="A22325" i="1"/>
  <c r="A22324" i="1"/>
  <c r="A22323" i="1"/>
  <c r="A22322" i="1"/>
  <c r="A7267" i="1"/>
  <c r="A11429" i="1"/>
  <c r="A22321" i="1"/>
  <c r="A22320" i="1"/>
  <c r="A22319" i="1"/>
  <c r="A8850" i="1"/>
  <c r="A22318" i="1"/>
  <c r="A22317" i="1"/>
  <c r="A22316" i="1"/>
  <c r="A10258" i="1"/>
  <c r="A22315" i="1"/>
  <c r="A22314" i="1"/>
  <c r="A22313" i="1"/>
  <c r="A22312" i="1"/>
  <c r="A22311" i="1"/>
  <c r="A22310" i="1"/>
  <c r="A22309" i="1"/>
  <c r="A22308" i="1"/>
  <c r="A22307" i="1"/>
  <c r="A22306" i="1"/>
  <c r="A22305" i="1"/>
  <c r="A22304" i="1"/>
  <c r="A22303" i="1"/>
  <c r="A22302" i="1"/>
  <c r="A22301" i="1"/>
  <c r="A22300" i="1"/>
  <c r="A4992" i="1"/>
  <c r="A22299" i="1"/>
  <c r="A22298" i="1"/>
  <c r="A2410" i="1"/>
  <c r="A22297" i="1"/>
  <c r="A22296" i="1"/>
  <c r="A22295" i="1"/>
  <c r="A22294" i="1"/>
  <c r="A22293" i="1"/>
  <c r="A22292" i="1"/>
  <c r="A22291" i="1"/>
  <c r="A22290" i="1"/>
  <c r="A22289" i="1"/>
  <c r="A22288" i="1"/>
  <c r="A8616" i="1"/>
  <c r="A22287" i="1"/>
  <c r="A22286" i="1"/>
  <c r="A22285" i="1"/>
  <c r="A22284" i="1"/>
  <c r="A22283" i="1"/>
  <c r="A22282" i="1"/>
  <c r="A22281" i="1"/>
  <c r="A22280" i="1"/>
  <c r="A22279" i="1"/>
  <c r="A22278" i="1"/>
  <c r="A22277" i="1"/>
  <c r="A22276" i="1"/>
  <c r="A22275" i="1"/>
  <c r="A14985" i="1"/>
  <c r="A22274" i="1"/>
  <c r="A22273" i="1"/>
  <c r="A22272" i="1"/>
  <c r="A22271" i="1"/>
  <c r="A22270" i="1"/>
  <c r="A6359" i="1"/>
  <c r="A22269" i="1"/>
  <c r="A2922" i="1"/>
  <c r="A22268" i="1"/>
  <c r="A22267" i="1"/>
  <c r="A22266" i="1"/>
  <c r="A22265" i="1"/>
  <c r="A22264" i="1"/>
  <c r="A22263" i="1"/>
  <c r="A22262" i="1"/>
  <c r="A9238" i="1"/>
  <c r="A10257" i="1"/>
  <c r="A22261" i="1"/>
  <c r="A12800" i="1"/>
  <c r="A22260" i="1"/>
  <c r="A22259" i="1"/>
  <c r="A22258" i="1"/>
  <c r="A22257" i="1"/>
  <c r="A22256" i="1"/>
  <c r="A7085" i="1"/>
  <c r="A22255" i="1"/>
  <c r="A22254" i="1"/>
  <c r="A22253" i="1"/>
  <c r="A22252" i="1"/>
  <c r="A22251" i="1"/>
  <c r="A22250" i="1"/>
  <c r="A22249" i="1"/>
  <c r="A22248" i="1"/>
  <c r="A22247" i="1"/>
  <c r="A22246" i="1"/>
  <c r="A22245" i="1"/>
  <c r="A22244" i="1"/>
  <c r="A22243" i="1"/>
  <c r="A22242" i="1"/>
  <c r="A22241" i="1"/>
  <c r="A22240" i="1"/>
  <c r="A3842" i="1"/>
  <c r="A2254" i="1"/>
  <c r="A22239" i="1"/>
  <c r="A14089" i="1"/>
  <c r="A22238" i="1"/>
  <c r="A22237" i="1"/>
  <c r="A22236" i="1"/>
  <c r="A13338" i="1"/>
  <c r="A22235" i="1"/>
  <c r="A22234" i="1"/>
  <c r="A22233" i="1"/>
  <c r="A22232" i="1"/>
  <c r="A22231" i="1"/>
  <c r="A22230" i="1"/>
  <c r="A22229" i="1"/>
  <c r="A22228" i="1"/>
  <c r="A22227" i="1"/>
  <c r="A22226" i="1"/>
  <c r="A22225" i="1"/>
  <c r="A22224" i="1"/>
  <c r="A22223" i="1"/>
  <c r="A22222" i="1"/>
  <c r="A22221" i="1"/>
  <c r="A22220" i="1"/>
  <c r="A22219" i="1"/>
  <c r="A22218" i="1"/>
  <c r="A22217" i="1"/>
  <c r="A22216" i="1"/>
  <c r="A5149" i="1"/>
  <c r="A22215" i="1"/>
  <c r="A22214" i="1"/>
  <c r="A22213" i="1"/>
  <c r="A2498" i="1"/>
  <c r="A22212" i="1"/>
  <c r="A22211" i="1"/>
  <c r="A5923" i="1"/>
  <c r="A22210" i="1"/>
  <c r="A7375" i="1"/>
  <c r="A22209" i="1"/>
  <c r="A22208" i="1"/>
  <c r="A22207" i="1"/>
  <c r="A22206" i="1"/>
  <c r="A22205" i="1"/>
  <c r="A22204" i="1"/>
  <c r="A8747" i="1"/>
  <c r="A22203" i="1"/>
  <c r="A3212" i="1"/>
  <c r="A12152" i="1"/>
  <c r="A22202" i="1"/>
  <c r="A22201" i="1"/>
  <c r="A22200" i="1"/>
  <c r="A22199" i="1"/>
  <c r="A22198" i="1"/>
  <c r="A22197" i="1"/>
  <c r="A22196" i="1"/>
  <c r="A22195" i="1"/>
  <c r="A22194" i="1"/>
  <c r="A22193" i="1"/>
  <c r="A22192" i="1"/>
  <c r="A22191" i="1"/>
  <c r="A22190" i="1"/>
  <c r="A22189" i="1"/>
  <c r="A22188" i="1"/>
  <c r="A22187" i="1"/>
  <c r="A22186" i="1"/>
  <c r="A13562" i="1"/>
  <c r="A22185" i="1"/>
  <c r="A22184" i="1"/>
  <c r="A22183" i="1"/>
  <c r="A22182" i="1"/>
  <c r="A22181" i="1"/>
  <c r="A22180" i="1"/>
  <c r="A22179" i="1"/>
  <c r="A22178" i="1"/>
  <c r="A22177" i="1"/>
  <c r="A22176" i="1"/>
  <c r="A22175" i="1"/>
  <c r="A22174" i="1"/>
  <c r="A22173" i="1"/>
  <c r="A22172" i="1"/>
  <c r="A22171" i="1"/>
  <c r="A22170" i="1"/>
  <c r="A22169" i="1"/>
  <c r="A4621" i="1"/>
  <c r="A22168" i="1"/>
  <c r="A22167" i="1"/>
  <c r="A22166" i="1"/>
  <c r="A22165" i="1"/>
  <c r="A22164" i="1"/>
  <c r="A22163" i="1"/>
  <c r="A22162" i="1"/>
  <c r="A22161" i="1"/>
  <c r="A6294" i="1"/>
  <c r="A15416" i="1"/>
  <c r="A22160" i="1"/>
  <c r="A22159" i="1"/>
  <c r="A22158" i="1"/>
  <c r="A22157" i="1"/>
  <c r="A22156" i="1"/>
  <c r="A22155" i="1"/>
  <c r="A22154" i="1"/>
  <c r="A9257" i="1"/>
  <c r="A22153" i="1"/>
  <c r="A22152" i="1"/>
  <c r="A22151" i="1"/>
  <c r="A22150" i="1"/>
  <c r="A22149" i="1"/>
  <c r="A22148" i="1"/>
  <c r="A22147" i="1"/>
  <c r="A22146" i="1"/>
  <c r="A22145" i="1"/>
  <c r="A22144" i="1"/>
  <c r="A22143" i="1"/>
  <c r="A22142" i="1"/>
  <c r="A22141" i="1"/>
  <c r="A22140" i="1"/>
  <c r="A9237" i="1"/>
  <c r="A12181" i="1"/>
  <c r="A22139" i="1"/>
  <c r="A22138" i="1"/>
  <c r="A22137" i="1"/>
  <c r="A22136" i="1"/>
  <c r="A22135" i="1"/>
  <c r="A4936" i="1"/>
  <c r="A22134" i="1"/>
  <c r="A22133" i="1"/>
  <c r="A22132" i="1"/>
  <c r="A22131" i="1"/>
  <c r="A22130" i="1"/>
  <c r="A22129" i="1"/>
  <c r="A22128" i="1"/>
  <c r="A22127" i="1"/>
  <c r="A22126" i="1"/>
  <c r="A22125" i="1"/>
  <c r="A22124" i="1"/>
  <c r="A22123" i="1"/>
  <c r="A22122" i="1"/>
  <c r="A1726" i="1"/>
  <c r="A22121" i="1"/>
  <c r="A22120" i="1"/>
  <c r="A22119" i="1"/>
  <c r="A22118" i="1"/>
  <c r="A22117" i="1"/>
  <c r="A1088" i="1"/>
  <c r="A22116" i="1"/>
  <c r="A22115" i="1"/>
  <c r="A22114" i="1"/>
  <c r="A22113" i="1"/>
  <c r="A22112" i="1"/>
  <c r="A22111" i="1"/>
  <c r="A22110" i="1"/>
  <c r="A22109" i="1"/>
  <c r="A22108" i="1"/>
  <c r="A22107" i="1"/>
  <c r="A16126" i="1"/>
  <c r="A22106" i="1"/>
  <c r="A22105" i="1"/>
  <c r="A22104" i="1"/>
  <c r="A22103" i="1"/>
  <c r="A22102" i="1"/>
  <c r="A22101" i="1"/>
  <c r="A22100" i="1"/>
  <c r="A22099" i="1"/>
  <c r="A22098" i="1"/>
  <c r="A22097" i="1"/>
  <c r="A22096" i="1"/>
  <c r="A22095" i="1"/>
  <c r="A22094" i="1"/>
  <c r="A22093" i="1"/>
  <c r="A22092" i="1"/>
  <c r="A22091" i="1"/>
  <c r="A22090" i="1"/>
  <c r="A22089" i="1"/>
  <c r="A14355" i="1"/>
  <c r="A22088" i="1"/>
  <c r="A22087" i="1"/>
  <c r="A22086" i="1"/>
  <c r="A22085" i="1"/>
  <c r="A22084" i="1"/>
  <c r="A22083" i="1"/>
  <c r="A22082" i="1"/>
  <c r="A22081" i="1"/>
  <c r="A22080" i="1"/>
  <c r="A22079" i="1"/>
  <c r="A22078" i="1"/>
  <c r="A22077" i="1"/>
  <c r="A1217" i="1"/>
  <c r="A22076" i="1"/>
  <c r="A22075" i="1"/>
  <c r="A22074" i="1"/>
  <c r="A22073" i="1"/>
  <c r="A22072" i="1"/>
  <c r="A22071" i="1"/>
  <c r="A22070" i="1"/>
  <c r="A22069" i="1"/>
  <c r="A22068" i="1"/>
  <c r="A22067" i="1"/>
  <c r="A22066" i="1"/>
  <c r="A22065" i="1"/>
  <c r="A22064" i="1"/>
  <c r="A6902" i="1"/>
  <c r="A22063" i="1"/>
  <c r="A22062" i="1"/>
  <c r="A22061" i="1"/>
  <c r="A22060" i="1"/>
  <c r="A22059" i="1"/>
  <c r="A22058" i="1"/>
  <c r="A22057" i="1"/>
  <c r="A22056" i="1"/>
  <c r="A22055" i="1"/>
  <c r="A22054" i="1"/>
  <c r="A22053" i="1"/>
  <c r="A22052" i="1"/>
  <c r="A22051" i="1"/>
  <c r="A22050" i="1"/>
  <c r="A22049" i="1"/>
  <c r="A22048" i="1"/>
  <c r="A22047" i="1"/>
  <c r="A22046" i="1"/>
  <c r="A22045" i="1"/>
  <c r="A22044" i="1"/>
  <c r="A22043" i="1"/>
  <c r="A22042" i="1"/>
  <c r="A22041" i="1"/>
  <c r="A22040" i="1"/>
  <c r="A22039" i="1"/>
  <c r="A22038" i="1"/>
  <c r="A2983" i="1"/>
  <c r="A22037" i="1"/>
  <c r="A22036" i="1"/>
  <c r="A22035" i="1"/>
  <c r="A22034" i="1"/>
  <c r="A22033" i="1"/>
  <c r="A22032" i="1"/>
  <c r="A7729" i="1"/>
  <c r="A22031" i="1"/>
  <c r="A22030" i="1"/>
  <c r="A22029" i="1"/>
  <c r="A22028" i="1"/>
  <c r="A15073" i="1"/>
  <c r="A22027" i="1"/>
  <c r="A22026" i="1"/>
  <c r="A22025" i="1"/>
  <c r="A11287" i="1"/>
  <c r="A22024" i="1"/>
  <c r="A22023" i="1"/>
  <c r="A22022" i="1"/>
  <c r="A22021" i="1"/>
  <c r="A22020" i="1"/>
  <c r="A1916" i="1"/>
  <c r="A22019" i="1"/>
  <c r="A22018" i="1"/>
  <c r="A22017" i="1"/>
  <c r="A22016" i="1"/>
  <c r="A22015" i="1"/>
  <c r="A22014" i="1"/>
  <c r="A1820" i="1"/>
  <c r="A22013" i="1"/>
  <c r="A22012" i="1"/>
  <c r="A22011" i="1"/>
  <c r="A22010" i="1"/>
  <c r="A22009" i="1"/>
  <c r="A22008" i="1"/>
  <c r="A10067" i="1"/>
  <c r="A22007" i="1"/>
  <c r="A22006" i="1"/>
  <c r="A22005" i="1"/>
  <c r="A22004" i="1"/>
  <c r="A22003" i="1"/>
  <c r="A22002" i="1"/>
  <c r="A22001" i="1"/>
  <c r="A5505" i="1"/>
  <c r="A22000" i="1"/>
  <c r="A21999" i="1"/>
  <c r="A21998" i="1"/>
  <c r="A21997" i="1"/>
  <c r="A21996" i="1"/>
  <c r="A21995" i="1"/>
  <c r="A21994" i="1"/>
  <c r="A21993" i="1"/>
  <c r="A21992" i="1"/>
  <c r="A21991" i="1"/>
  <c r="A21990" i="1"/>
  <c r="A21989" i="1"/>
  <c r="A21988" i="1"/>
  <c r="A21987" i="1"/>
  <c r="A21986" i="1"/>
  <c r="A13304" i="1"/>
  <c r="A21985" i="1"/>
  <c r="A21984" i="1"/>
  <c r="A21983" i="1"/>
  <c r="A1819" i="1"/>
  <c r="A21982" i="1"/>
  <c r="A21981" i="1"/>
  <c r="A21980" i="1"/>
  <c r="A6604" i="1"/>
  <c r="A21979" i="1"/>
  <c r="A21978" i="1"/>
  <c r="A790" i="1"/>
  <c r="A21977" i="1"/>
  <c r="A21976" i="1"/>
  <c r="A13413" i="1"/>
  <c r="A21975" i="1"/>
  <c r="A21974" i="1"/>
  <c r="A21973" i="1"/>
  <c r="A21972" i="1"/>
  <c r="A6661" i="1"/>
  <c r="A21971" i="1"/>
  <c r="A21970" i="1"/>
  <c r="A21969" i="1"/>
  <c r="A21968" i="1"/>
  <c r="A21967" i="1"/>
  <c r="A21966" i="1"/>
  <c r="A21965" i="1"/>
  <c r="A21964" i="1"/>
  <c r="A21963" i="1"/>
  <c r="A21962" i="1"/>
  <c r="A21961" i="1"/>
  <c r="A21960" i="1"/>
  <c r="A21959" i="1"/>
  <c r="A21958" i="1"/>
  <c r="A21957" i="1"/>
  <c r="A21956" i="1"/>
  <c r="A1627" i="1"/>
  <c r="A3544" i="1"/>
  <c r="A21955" i="1"/>
  <c r="A21954" i="1"/>
  <c r="A7501" i="1"/>
  <c r="A13024" i="1"/>
  <c r="A21953" i="1"/>
  <c r="A21952" i="1"/>
  <c r="A8542" i="1"/>
  <c r="A21951" i="1"/>
  <c r="A21950" i="1"/>
  <c r="A21949" i="1"/>
  <c r="A16530" i="1"/>
  <c r="A21948" i="1"/>
  <c r="A21947" i="1"/>
  <c r="A21946" i="1"/>
  <c r="A21945" i="1"/>
  <c r="A9008" i="1"/>
  <c r="A21944" i="1"/>
  <c r="A21943" i="1"/>
  <c r="A21942" i="1"/>
  <c r="A21941" i="1"/>
  <c r="A21940" i="1"/>
  <c r="A21939" i="1"/>
  <c r="A21938" i="1"/>
  <c r="A21937" i="1"/>
  <c r="A21936" i="1"/>
  <c r="A21935" i="1"/>
  <c r="A21934" i="1"/>
  <c r="A21933" i="1"/>
  <c r="A21932" i="1"/>
  <c r="A21931" i="1"/>
  <c r="A21930" i="1"/>
  <c r="A21929" i="1"/>
  <c r="A21928" i="1"/>
  <c r="A21927" i="1"/>
  <c r="A21926" i="1"/>
  <c r="A21925" i="1"/>
  <c r="A12504" i="1"/>
  <c r="A21924" i="1"/>
  <c r="A21923" i="1"/>
  <c r="A21922" i="1"/>
  <c r="A13041" i="1"/>
  <c r="A9679" i="1"/>
  <c r="A21921" i="1"/>
  <c r="A21920" i="1"/>
  <c r="A21919" i="1"/>
  <c r="A21918" i="1"/>
  <c r="A21917" i="1"/>
  <c r="A9007" i="1"/>
  <c r="A21916" i="1"/>
  <c r="A21915" i="1"/>
  <c r="A21914" i="1"/>
  <c r="A1818" i="1"/>
  <c r="A21913" i="1"/>
  <c r="A21912" i="1"/>
  <c r="A21911" i="1"/>
  <c r="A21910" i="1"/>
  <c r="A21909" i="1"/>
  <c r="A21908" i="1"/>
  <c r="A21907" i="1"/>
  <c r="A21906" i="1"/>
  <c r="A21905" i="1"/>
  <c r="A21904" i="1"/>
  <c r="A21903" i="1"/>
  <c r="A21902" i="1"/>
  <c r="A21901" i="1"/>
  <c r="A21900" i="1"/>
  <c r="A21899" i="1"/>
  <c r="A21898" i="1"/>
  <c r="A21897" i="1"/>
  <c r="A3107" i="1"/>
  <c r="A21896" i="1"/>
  <c r="A21895" i="1"/>
  <c r="A21894" i="1"/>
  <c r="A21893" i="1"/>
  <c r="A21892" i="1"/>
  <c r="A21891" i="1"/>
  <c r="A21890" i="1"/>
  <c r="A21889" i="1"/>
  <c r="A21888" i="1"/>
  <c r="A21887" i="1"/>
  <c r="A21886" i="1"/>
  <c r="A21885" i="1"/>
  <c r="A21884" i="1"/>
  <c r="A21883" i="1"/>
  <c r="A21882" i="1"/>
  <c r="A21881" i="1"/>
  <c r="A21880" i="1"/>
  <c r="A21879" i="1"/>
  <c r="A14575" i="1"/>
  <c r="A11180" i="1"/>
  <c r="A9431" i="1"/>
  <c r="A21878" i="1"/>
  <c r="A11889" i="1"/>
  <c r="A21877" i="1"/>
  <c r="A21876" i="1"/>
  <c r="A21875" i="1"/>
  <c r="A21874" i="1"/>
  <c r="A21873" i="1"/>
  <c r="A21872" i="1"/>
  <c r="A21871" i="1"/>
  <c r="A21870" i="1"/>
  <c r="A21869" i="1"/>
  <c r="A21868" i="1"/>
  <c r="A21867" i="1"/>
  <c r="A6639" i="1"/>
  <c r="A21866" i="1"/>
  <c r="A21865" i="1"/>
  <c r="A21864" i="1"/>
  <c r="A21863" i="1"/>
  <c r="A21862" i="1"/>
  <c r="A21861" i="1"/>
  <c r="A21860" i="1"/>
  <c r="A21859" i="1"/>
  <c r="A21858" i="1"/>
  <c r="A21857" i="1"/>
  <c r="A4244" i="1"/>
  <c r="A21856" i="1"/>
  <c r="A21855" i="1"/>
  <c r="A21854" i="1"/>
  <c r="A21853" i="1"/>
  <c r="A21852" i="1"/>
  <c r="A11117" i="1"/>
  <c r="A21851" i="1"/>
  <c r="A21850" i="1"/>
  <c r="A21849" i="1"/>
  <c r="A21848" i="1"/>
  <c r="A21847" i="1"/>
  <c r="A21846" i="1"/>
  <c r="A10373" i="1"/>
  <c r="A3479" i="1"/>
  <c r="A21845" i="1"/>
  <c r="A21844" i="1"/>
  <c r="A21843" i="1"/>
  <c r="A21842" i="1"/>
  <c r="A21841" i="1"/>
  <c r="A574" i="1"/>
  <c r="A21840" i="1"/>
  <c r="A21839" i="1"/>
  <c r="A21838" i="1"/>
  <c r="A21837" i="1"/>
  <c r="A21836" i="1"/>
  <c r="A21835" i="1"/>
  <c r="A21834" i="1"/>
  <c r="A21833" i="1"/>
  <c r="A21832" i="1"/>
  <c r="A21831" i="1"/>
  <c r="A21830" i="1"/>
  <c r="A21829" i="1"/>
  <c r="A21828" i="1"/>
  <c r="A21827" i="1"/>
  <c r="A21826" i="1"/>
  <c r="A8730" i="1"/>
  <c r="A573" i="1"/>
  <c r="A21825" i="1"/>
  <c r="A21824" i="1"/>
  <c r="A4031" i="1"/>
  <c r="A21823" i="1"/>
  <c r="A21822" i="1"/>
  <c r="A21821" i="1"/>
  <c r="A21820" i="1"/>
  <c r="A21819" i="1"/>
  <c r="A21818" i="1"/>
  <c r="A21817" i="1"/>
  <c r="A21816" i="1"/>
  <c r="A9704" i="1"/>
  <c r="A4284" i="1"/>
  <c r="A21815" i="1"/>
  <c r="A21814" i="1"/>
  <c r="A21813" i="1"/>
  <c r="A21812" i="1"/>
  <c r="A21811" i="1"/>
  <c r="A8250" i="1"/>
  <c r="A21810" i="1"/>
  <c r="A21809" i="1"/>
  <c r="A21808" i="1"/>
  <c r="A21807" i="1"/>
  <c r="A21806" i="1"/>
  <c r="A21805" i="1"/>
  <c r="A21804" i="1"/>
  <c r="A21803" i="1"/>
  <c r="A21802" i="1"/>
  <c r="A21801" i="1"/>
  <c r="A21800" i="1"/>
  <c r="A21799" i="1"/>
  <c r="A21798" i="1"/>
  <c r="A21797" i="1"/>
  <c r="A21796" i="1"/>
  <c r="A21795" i="1"/>
  <c r="A21794" i="1"/>
  <c r="A5286" i="1"/>
  <c r="A21793" i="1"/>
  <c r="A21792" i="1"/>
  <c r="A2497" i="1"/>
  <c r="A21791" i="1"/>
  <c r="A21790" i="1"/>
  <c r="A21789" i="1"/>
  <c r="A21788" i="1"/>
  <c r="A10154" i="1"/>
  <c r="A21787" i="1"/>
  <c r="A21786" i="1"/>
  <c r="A21785" i="1"/>
  <c r="A21784" i="1"/>
  <c r="A21783" i="1"/>
  <c r="A21782" i="1"/>
  <c r="A21781" i="1"/>
  <c r="A5979" i="1"/>
  <c r="A572" i="1"/>
  <c r="A21780" i="1"/>
  <c r="A21779" i="1"/>
  <c r="A21778" i="1"/>
  <c r="A21777" i="1"/>
  <c r="A21776" i="1"/>
  <c r="A21775" i="1"/>
  <c r="A6262" i="1"/>
  <c r="A21774" i="1"/>
  <c r="A21773" i="1"/>
  <c r="A21772" i="1"/>
  <c r="A21771" i="1"/>
  <c r="A21770" i="1"/>
  <c r="A21769" i="1"/>
  <c r="A21768" i="1"/>
  <c r="A21767" i="1"/>
  <c r="A21766" i="1"/>
  <c r="A21765" i="1"/>
  <c r="A7561" i="1"/>
  <c r="A21764" i="1"/>
  <c r="A15815" i="1"/>
  <c r="A21763" i="1"/>
  <c r="A21762" i="1"/>
  <c r="A21761" i="1"/>
  <c r="A21760" i="1"/>
  <c r="A21759" i="1"/>
  <c r="A21758" i="1"/>
  <c r="A21757" i="1"/>
  <c r="A21756" i="1"/>
  <c r="A21755" i="1"/>
  <c r="A3432" i="1"/>
  <c r="A21754" i="1"/>
  <c r="A10333" i="1"/>
  <c r="A21753" i="1"/>
  <c r="A21752" i="1"/>
  <c r="A21751" i="1"/>
  <c r="A21750" i="1"/>
  <c r="A15072" i="1"/>
  <c r="A21749" i="1"/>
  <c r="A2642" i="1"/>
  <c r="A21748" i="1"/>
  <c r="A21747" i="1"/>
  <c r="A21746" i="1"/>
  <c r="A21745" i="1"/>
  <c r="A21744" i="1"/>
  <c r="A21743" i="1"/>
  <c r="A21742" i="1"/>
  <c r="A21741" i="1"/>
  <c r="A21740" i="1"/>
  <c r="A21739" i="1"/>
  <c r="A21738" i="1"/>
  <c r="A21737" i="1"/>
  <c r="A21736" i="1"/>
  <c r="A21735" i="1"/>
  <c r="A21734" i="1"/>
  <c r="A21733" i="1"/>
  <c r="A21732" i="1"/>
  <c r="A21731" i="1"/>
  <c r="A21730" i="1"/>
  <c r="A21729" i="1"/>
  <c r="A21728" i="1"/>
  <c r="A21727" i="1"/>
  <c r="A21726" i="1"/>
  <c r="A21725" i="1"/>
  <c r="A21724" i="1"/>
  <c r="A21723" i="1"/>
  <c r="A21722" i="1"/>
  <c r="A21721" i="1"/>
  <c r="A21720" i="1"/>
  <c r="A21719" i="1"/>
  <c r="A21718" i="1"/>
  <c r="A21717" i="1"/>
  <c r="A21716" i="1"/>
  <c r="A21715" i="1"/>
  <c r="A21714" i="1"/>
  <c r="A21713" i="1"/>
  <c r="A21712" i="1"/>
  <c r="A21711" i="1"/>
  <c r="A21710" i="1"/>
  <c r="A21709" i="1"/>
  <c r="A21708" i="1"/>
  <c r="A21707" i="1"/>
  <c r="A21706" i="1"/>
  <c r="A21705" i="1"/>
  <c r="A21704" i="1"/>
  <c r="A12068" i="1"/>
  <c r="A21703" i="1"/>
  <c r="A21702" i="1"/>
  <c r="A21701" i="1"/>
  <c r="A21700" i="1"/>
  <c r="A21699" i="1"/>
  <c r="A1725" i="1"/>
  <c r="A21698" i="1"/>
  <c r="A6969" i="1"/>
  <c r="A21697" i="1"/>
  <c r="A21696" i="1"/>
  <c r="A21695" i="1"/>
  <c r="A21694" i="1"/>
  <c r="A21693" i="1"/>
  <c r="A21692" i="1"/>
  <c r="A21691" i="1"/>
  <c r="A21690" i="1"/>
  <c r="A21689" i="1"/>
  <c r="A21688" i="1"/>
  <c r="A21687" i="1"/>
  <c r="A21686" i="1"/>
  <c r="A4620" i="1"/>
  <c r="A21685" i="1"/>
  <c r="A571" i="1"/>
  <c r="A21684" i="1"/>
  <c r="A21683" i="1"/>
  <c r="A12135" i="1"/>
  <c r="A21682" i="1"/>
  <c r="A21681" i="1"/>
  <c r="A21680" i="1"/>
  <c r="A21679" i="1"/>
  <c r="A21678" i="1"/>
  <c r="A21677" i="1"/>
  <c r="A21676" i="1"/>
  <c r="A21675" i="1"/>
  <c r="A21674" i="1"/>
  <c r="A21673" i="1"/>
  <c r="A21672" i="1"/>
  <c r="A21671" i="1"/>
  <c r="A21670" i="1"/>
  <c r="A21669" i="1"/>
  <c r="A21668" i="1"/>
  <c r="A21667" i="1"/>
  <c r="A21666" i="1"/>
  <c r="A21665" i="1"/>
  <c r="A789" i="1"/>
  <c r="A14867" i="1"/>
  <c r="A21664" i="1"/>
  <c r="A21663" i="1"/>
  <c r="A21662" i="1"/>
  <c r="A21661" i="1"/>
  <c r="A21660" i="1"/>
  <c r="A2334" i="1"/>
  <c r="A21659" i="1"/>
  <c r="A21658" i="1"/>
  <c r="A21657" i="1"/>
  <c r="A21656" i="1"/>
  <c r="A21655" i="1"/>
  <c r="A21654" i="1"/>
  <c r="A21653" i="1"/>
  <c r="A21652" i="1"/>
  <c r="A21651" i="1"/>
  <c r="A8930" i="1"/>
  <c r="A21650" i="1"/>
  <c r="A8032" i="1"/>
  <c r="A21649" i="1"/>
  <c r="A21648" i="1"/>
  <c r="A21647" i="1"/>
  <c r="A21646" i="1"/>
  <c r="A21645" i="1"/>
  <c r="A21644" i="1"/>
  <c r="A1626" i="1"/>
  <c r="A21643" i="1"/>
  <c r="A21642" i="1"/>
  <c r="A21641" i="1"/>
  <c r="A21640" i="1"/>
  <c r="A21639" i="1"/>
  <c r="A21638" i="1"/>
  <c r="A21637" i="1"/>
  <c r="A21636" i="1"/>
  <c r="A21635" i="1"/>
  <c r="A21634" i="1"/>
  <c r="A21633" i="1"/>
  <c r="A21632" i="1"/>
  <c r="A21631" i="1"/>
  <c r="A21630" i="1"/>
  <c r="A11011" i="1"/>
  <c r="A21629" i="1"/>
  <c r="A1724" i="1"/>
  <c r="A21628" i="1"/>
  <c r="A21627" i="1"/>
  <c r="A21626" i="1"/>
  <c r="A21625" i="1"/>
  <c r="A21624" i="1"/>
  <c r="A21623" i="1"/>
  <c r="A21622" i="1"/>
  <c r="A21621" i="1"/>
  <c r="A21620" i="1"/>
  <c r="A21619" i="1"/>
  <c r="A21618" i="1"/>
  <c r="A21617" i="1"/>
  <c r="A21616" i="1"/>
  <c r="A21615" i="1"/>
  <c r="A21614" i="1"/>
  <c r="A21613" i="1"/>
  <c r="A21612" i="1"/>
  <c r="A21611" i="1"/>
  <c r="A7913" i="1"/>
  <c r="A21610" i="1"/>
  <c r="A21609" i="1"/>
  <c r="A21608" i="1"/>
  <c r="A21607" i="1"/>
  <c r="A21606" i="1"/>
  <c r="A16426" i="1"/>
  <c r="A14688" i="1"/>
  <c r="A21605" i="1"/>
  <c r="A21604" i="1"/>
  <c r="A21603" i="1"/>
  <c r="A21602" i="1"/>
  <c r="A4684" i="1"/>
  <c r="A21601" i="1"/>
  <c r="A21600" i="1"/>
  <c r="A21599" i="1"/>
  <c r="A21598" i="1"/>
  <c r="A21597" i="1"/>
  <c r="A21596" i="1"/>
  <c r="A21595" i="1"/>
  <c r="A21594" i="1"/>
  <c r="A21593" i="1"/>
  <c r="A8711" i="1"/>
  <c r="A21592" i="1"/>
  <c r="A15452" i="1"/>
  <c r="A21591" i="1"/>
  <c r="A21590" i="1"/>
  <c r="A21589" i="1"/>
  <c r="A21588" i="1"/>
  <c r="A21587" i="1"/>
  <c r="A21586" i="1"/>
  <c r="A21585" i="1"/>
  <c r="A21584" i="1"/>
  <c r="A15983" i="1"/>
  <c r="A21583" i="1"/>
  <c r="A21582" i="1"/>
  <c r="A21581" i="1"/>
  <c r="A21580" i="1"/>
  <c r="A21579" i="1"/>
  <c r="A21578" i="1"/>
  <c r="A21577" i="1"/>
  <c r="A21576" i="1"/>
  <c r="A21575" i="1"/>
  <c r="A21574" i="1"/>
  <c r="A2333" i="1"/>
  <c r="A21573" i="1"/>
  <c r="A21572" i="1"/>
  <c r="A21571" i="1"/>
  <c r="A21570" i="1"/>
  <c r="A10403" i="1"/>
  <c r="A21569" i="1"/>
  <c r="A21568" i="1"/>
  <c r="A5580" i="1"/>
  <c r="A21567" i="1"/>
  <c r="A21566" i="1"/>
  <c r="A21565" i="1"/>
  <c r="A21564" i="1"/>
  <c r="A6293" i="1"/>
  <c r="A21563" i="1"/>
  <c r="A1299" i="1"/>
  <c r="A21562" i="1"/>
  <c r="A7217" i="1"/>
  <c r="A21561" i="1"/>
  <c r="A21560" i="1"/>
  <c r="A21559" i="1"/>
  <c r="A21558" i="1"/>
  <c r="A21557" i="1"/>
  <c r="A21556" i="1"/>
  <c r="A21555" i="1"/>
  <c r="A21554" i="1"/>
  <c r="A21553" i="1"/>
  <c r="A21552" i="1"/>
  <c r="A21551" i="1"/>
  <c r="A21550" i="1"/>
  <c r="A21549" i="1"/>
  <c r="A21548" i="1"/>
  <c r="A8349" i="1"/>
  <c r="A21547" i="1"/>
  <c r="A21546" i="1"/>
  <c r="A21545" i="1"/>
  <c r="A21544" i="1"/>
  <c r="A21543" i="1"/>
  <c r="A21542" i="1"/>
  <c r="A21541" i="1"/>
  <c r="A21540" i="1"/>
  <c r="A21539" i="1"/>
  <c r="A21538" i="1"/>
  <c r="A16507" i="1"/>
  <c r="A21537" i="1"/>
  <c r="A21536" i="1"/>
  <c r="A21535" i="1"/>
  <c r="A2409" i="1"/>
  <c r="A21534" i="1"/>
  <c r="A21533" i="1"/>
  <c r="A21532" i="1"/>
  <c r="A21531" i="1"/>
  <c r="A21530" i="1"/>
  <c r="A21529" i="1"/>
  <c r="A21528" i="1"/>
  <c r="A21527" i="1"/>
  <c r="A21526" i="1"/>
  <c r="A21525" i="1"/>
  <c r="A21524" i="1"/>
  <c r="A5364" i="1"/>
  <c r="A21523" i="1"/>
  <c r="A21522" i="1"/>
  <c r="A21521" i="1"/>
  <c r="A21520" i="1"/>
  <c r="A21519" i="1"/>
  <c r="A21518" i="1"/>
  <c r="A21517" i="1"/>
  <c r="A21516" i="1"/>
  <c r="A21515" i="1"/>
  <c r="A21514" i="1"/>
  <c r="A21513" i="1"/>
  <c r="A21512" i="1"/>
  <c r="A1625" i="1"/>
  <c r="A21511" i="1"/>
  <c r="A5325" i="1"/>
  <c r="A21510" i="1"/>
  <c r="A21509" i="1"/>
  <c r="A21508" i="1"/>
  <c r="A21507" i="1"/>
  <c r="A21506" i="1"/>
  <c r="A21505" i="1"/>
  <c r="A21504" i="1"/>
  <c r="A16404" i="1"/>
  <c r="A21503" i="1"/>
  <c r="A21502" i="1"/>
  <c r="A21501" i="1"/>
  <c r="A21500" i="1"/>
  <c r="A21499" i="1"/>
  <c r="A21498" i="1"/>
  <c r="A21497" i="1"/>
  <c r="A570" i="1"/>
  <c r="A21496" i="1"/>
  <c r="A21495" i="1"/>
  <c r="A21494" i="1"/>
  <c r="A21493" i="1"/>
  <c r="A11252" i="1"/>
  <c r="A21492" i="1"/>
  <c r="A21491" i="1"/>
  <c r="A21490" i="1"/>
  <c r="A21489" i="1"/>
  <c r="A21488" i="1"/>
  <c r="A21487" i="1"/>
  <c r="A21486" i="1"/>
  <c r="A21485" i="1"/>
  <c r="A21484" i="1"/>
  <c r="A21483" i="1"/>
  <c r="A21482" i="1"/>
  <c r="A9210" i="1"/>
  <c r="A21481" i="1"/>
  <c r="A21480" i="1"/>
  <c r="A21479" i="1"/>
  <c r="A21478" i="1"/>
  <c r="A21477" i="1"/>
  <c r="A21476" i="1"/>
  <c r="A21475" i="1"/>
  <c r="A21474" i="1"/>
  <c r="A21473" i="1"/>
  <c r="A21472" i="1"/>
  <c r="A21471" i="1"/>
  <c r="A21470" i="1"/>
  <c r="A21469" i="1"/>
  <c r="A21468" i="1"/>
  <c r="A21467" i="1"/>
  <c r="A21466" i="1"/>
  <c r="A21465" i="1"/>
  <c r="A3543" i="1"/>
  <c r="A21464" i="1"/>
  <c r="A21463" i="1"/>
  <c r="A21462" i="1"/>
  <c r="A21461" i="1"/>
  <c r="A21460" i="1"/>
  <c r="A12783" i="1"/>
  <c r="A21459" i="1"/>
  <c r="A21458" i="1"/>
  <c r="A21457" i="1"/>
  <c r="A21456" i="1"/>
  <c r="A21455" i="1"/>
  <c r="A21454" i="1"/>
  <c r="A21453" i="1"/>
  <c r="A21452" i="1"/>
  <c r="A21451" i="1"/>
  <c r="A21450" i="1"/>
  <c r="A21449" i="1"/>
  <c r="A21448" i="1"/>
  <c r="A21447" i="1"/>
  <c r="A21446" i="1"/>
  <c r="A21445" i="1"/>
  <c r="A21444" i="1"/>
  <c r="A21443" i="1"/>
  <c r="A3431" i="1"/>
  <c r="A1817" i="1"/>
  <c r="A21442" i="1"/>
  <c r="A21441" i="1"/>
  <c r="A21440" i="1"/>
  <c r="A21439" i="1"/>
  <c r="A21438" i="1"/>
  <c r="A21437" i="1"/>
  <c r="A21436" i="1"/>
  <c r="A21435" i="1"/>
  <c r="A7002" i="1"/>
  <c r="A21434" i="1"/>
  <c r="A6875" i="1"/>
  <c r="A21433" i="1"/>
  <c r="A21432" i="1"/>
  <c r="A15395" i="1"/>
  <c r="A21431" i="1"/>
  <c r="A21430" i="1"/>
  <c r="A21429" i="1"/>
  <c r="A21428" i="1"/>
  <c r="A21427" i="1"/>
  <c r="A21426" i="1"/>
  <c r="A21425" i="1"/>
  <c r="A21424" i="1"/>
  <c r="A21423" i="1"/>
  <c r="A21422" i="1"/>
  <c r="A21421" i="1"/>
  <c r="A21420" i="1"/>
  <c r="A21419" i="1"/>
  <c r="A21418" i="1"/>
  <c r="A21417" i="1"/>
  <c r="A21416" i="1"/>
  <c r="A21415" i="1"/>
  <c r="A21414" i="1"/>
  <c r="A21413" i="1"/>
  <c r="A21412" i="1"/>
  <c r="A21411" i="1"/>
  <c r="A21410" i="1"/>
  <c r="A21409" i="1"/>
  <c r="A21408" i="1"/>
  <c r="A21407" i="1"/>
  <c r="A15042" i="1"/>
  <c r="A21406" i="1"/>
  <c r="A21405" i="1"/>
  <c r="A21404" i="1"/>
  <c r="A21403" i="1"/>
  <c r="A21402" i="1"/>
  <c r="A7104" i="1"/>
  <c r="A21401" i="1"/>
  <c r="A4897" i="1"/>
  <c r="A21400" i="1"/>
  <c r="A21399" i="1"/>
  <c r="A21398" i="1"/>
  <c r="A21397" i="1"/>
  <c r="A21396" i="1"/>
  <c r="A21395" i="1"/>
  <c r="A9168" i="1"/>
  <c r="A21394" i="1"/>
  <c r="A21393" i="1"/>
  <c r="A21392" i="1"/>
  <c r="A21391" i="1"/>
  <c r="A21390" i="1"/>
  <c r="A21389" i="1"/>
  <c r="A21388" i="1"/>
  <c r="A21387" i="1"/>
  <c r="A21386" i="1"/>
  <c r="A21385" i="1"/>
  <c r="A21384" i="1"/>
  <c r="A21383" i="1"/>
  <c r="A21382" i="1"/>
  <c r="A5613" i="1"/>
  <c r="A9075" i="1"/>
  <c r="A21381" i="1"/>
  <c r="A21380" i="1"/>
  <c r="A21379" i="1"/>
  <c r="A21378" i="1"/>
  <c r="A21377" i="1"/>
  <c r="A21376" i="1"/>
  <c r="A8668" i="1"/>
  <c r="A14339" i="1"/>
  <c r="A13645" i="1"/>
  <c r="A21375" i="1"/>
  <c r="A21374" i="1"/>
  <c r="A21373" i="1"/>
  <c r="A21372" i="1"/>
  <c r="A21371" i="1"/>
  <c r="A21370" i="1"/>
  <c r="A21369" i="1"/>
  <c r="A21368" i="1"/>
  <c r="A21367" i="1"/>
  <c r="A15394" i="1"/>
  <c r="A7327" i="1"/>
  <c r="A21366" i="1"/>
  <c r="A21365" i="1"/>
  <c r="A21364" i="1"/>
  <c r="A21363" i="1"/>
  <c r="A21362" i="1"/>
  <c r="A21361" i="1"/>
  <c r="A21360" i="1"/>
  <c r="A4151" i="1"/>
  <c r="A21359" i="1"/>
  <c r="A21358" i="1"/>
  <c r="A21357" i="1"/>
  <c r="A21356" i="1"/>
  <c r="A21355" i="1"/>
  <c r="A21354" i="1"/>
  <c r="A21353" i="1"/>
  <c r="A21352" i="1"/>
  <c r="A21351" i="1"/>
  <c r="A21350" i="1"/>
  <c r="A21349" i="1"/>
  <c r="A21348" i="1"/>
  <c r="A21347" i="1"/>
  <c r="A3211" i="1"/>
  <c r="A21346" i="1"/>
  <c r="A21345" i="1"/>
  <c r="A21344" i="1"/>
  <c r="A21343" i="1"/>
  <c r="A21342" i="1"/>
  <c r="A21341" i="1"/>
  <c r="A21340" i="1"/>
  <c r="A21339" i="1"/>
  <c r="A21338" i="1"/>
  <c r="A21337" i="1"/>
  <c r="A21336" i="1"/>
  <c r="A21335" i="1"/>
  <c r="A21334" i="1"/>
  <c r="A21333" i="1"/>
  <c r="A21332" i="1"/>
  <c r="A21331" i="1"/>
  <c r="A21330" i="1"/>
  <c r="A21329" i="1"/>
  <c r="A21328" i="1"/>
  <c r="A21327" i="1"/>
  <c r="A2982" i="1"/>
  <c r="A21326" i="1"/>
  <c r="A21325" i="1"/>
  <c r="A21324" i="1"/>
  <c r="A21323" i="1"/>
  <c r="A21322" i="1"/>
  <c r="A21321" i="1"/>
  <c r="A21320" i="1"/>
  <c r="A21319" i="1"/>
  <c r="A21318" i="1"/>
  <c r="A21317" i="1"/>
  <c r="A21316" i="1"/>
  <c r="A21315" i="1"/>
  <c r="A21314" i="1"/>
  <c r="A21313" i="1"/>
  <c r="A21312" i="1"/>
  <c r="A21311" i="1"/>
  <c r="A21310" i="1"/>
  <c r="A21309" i="1"/>
  <c r="A21308" i="1"/>
  <c r="A21307" i="1"/>
  <c r="A3841" i="1"/>
  <c r="A21306" i="1"/>
  <c r="A21305" i="1"/>
  <c r="A21304" i="1"/>
  <c r="A21303" i="1"/>
  <c r="A21302" i="1"/>
  <c r="A21301" i="1"/>
  <c r="A21300" i="1"/>
  <c r="A21299" i="1"/>
  <c r="A21298" i="1"/>
  <c r="A21297" i="1"/>
  <c r="A21296" i="1"/>
  <c r="A21295" i="1"/>
  <c r="A21294" i="1"/>
  <c r="A21293" i="1"/>
  <c r="A21292" i="1"/>
  <c r="A21291" i="1"/>
  <c r="A21290" i="1"/>
  <c r="A2332" i="1"/>
  <c r="A21289" i="1"/>
  <c r="A21288" i="1"/>
  <c r="A21287" i="1"/>
  <c r="A21286" i="1"/>
  <c r="A21285" i="1"/>
  <c r="A21284" i="1"/>
  <c r="A788" i="1"/>
  <c r="A21283" i="1"/>
  <c r="A21282" i="1"/>
  <c r="A21281" i="1"/>
  <c r="A21280" i="1"/>
  <c r="A21279" i="1"/>
  <c r="A5685" i="1"/>
  <c r="A21278" i="1"/>
  <c r="A9411" i="1"/>
  <c r="A11575" i="1"/>
  <c r="A21277" i="1"/>
  <c r="A21276" i="1"/>
  <c r="A21275" i="1"/>
  <c r="A21274" i="1"/>
  <c r="A21273" i="1"/>
  <c r="A21272" i="1"/>
  <c r="A21271" i="1"/>
  <c r="A21270" i="1"/>
  <c r="A21269" i="1"/>
  <c r="A21268" i="1"/>
  <c r="A21267" i="1"/>
  <c r="A21266" i="1"/>
  <c r="A21265" i="1"/>
  <c r="A21264" i="1"/>
  <c r="A21263" i="1"/>
  <c r="A21262" i="1"/>
  <c r="A21261" i="1"/>
  <c r="A21260" i="1"/>
  <c r="A21259" i="1"/>
  <c r="A2331" i="1"/>
  <c r="A8348" i="1"/>
  <c r="A21258" i="1"/>
  <c r="A5066" i="1"/>
  <c r="A15529" i="1"/>
  <c r="A21257" i="1"/>
  <c r="A21256" i="1"/>
  <c r="A21255" i="1"/>
  <c r="A21254" i="1"/>
  <c r="A21253" i="1"/>
  <c r="A21252" i="1"/>
  <c r="A21251" i="1"/>
  <c r="A21250" i="1"/>
  <c r="A21249" i="1"/>
  <c r="A8867" i="1"/>
  <c r="A21248" i="1"/>
  <c r="A21247" i="1"/>
  <c r="A21246" i="1"/>
  <c r="A10033" i="1"/>
  <c r="A9983" i="1"/>
  <c r="A7034" i="1"/>
  <c r="A21245" i="1"/>
  <c r="A21244" i="1"/>
  <c r="A21243" i="1"/>
  <c r="A21242" i="1"/>
  <c r="A21241" i="1"/>
  <c r="A21240" i="1"/>
  <c r="A21239" i="1"/>
  <c r="A21238" i="1"/>
  <c r="A21237" i="1"/>
  <c r="A21236" i="1"/>
  <c r="A21235" i="1"/>
  <c r="A21234" i="1"/>
  <c r="A21233" i="1"/>
  <c r="A21232" i="1"/>
  <c r="A21231" i="1"/>
  <c r="A7374" i="1"/>
  <c r="A21230" i="1"/>
  <c r="A21229" i="1"/>
  <c r="A21228" i="1"/>
  <c r="A5579" i="1"/>
  <c r="A21227" i="1"/>
  <c r="A14617" i="1"/>
  <c r="A21226" i="1"/>
  <c r="A21225" i="1"/>
  <c r="A21224" i="1"/>
  <c r="A21223" i="1"/>
  <c r="A21222" i="1"/>
  <c r="A21221" i="1"/>
  <c r="A5363" i="1"/>
  <c r="A21220" i="1"/>
  <c r="A21219" i="1"/>
  <c r="A21218" i="1"/>
  <c r="A21217" i="1"/>
  <c r="A21216" i="1"/>
  <c r="A21215" i="1"/>
  <c r="A2829" i="1"/>
  <c r="A21214" i="1"/>
  <c r="A21213" i="1"/>
  <c r="A21212" i="1"/>
  <c r="A21211" i="1"/>
  <c r="A21210" i="1"/>
  <c r="A21209" i="1"/>
  <c r="A21208" i="1"/>
  <c r="A21207" i="1"/>
  <c r="A21206" i="1"/>
  <c r="A21205" i="1"/>
  <c r="A21204" i="1"/>
  <c r="A21203" i="1"/>
  <c r="A8789" i="1"/>
  <c r="A21202" i="1"/>
  <c r="A21201" i="1"/>
  <c r="A21200" i="1"/>
  <c r="A21199" i="1"/>
  <c r="A21198" i="1"/>
  <c r="A21197" i="1"/>
  <c r="A21196" i="1"/>
  <c r="A21195" i="1"/>
  <c r="A21194" i="1"/>
  <c r="A21193" i="1"/>
  <c r="A21192" i="1"/>
  <c r="A21191" i="1"/>
  <c r="A21190" i="1"/>
  <c r="A21189" i="1"/>
  <c r="A21188" i="1"/>
  <c r="A21187" i="1"/>
  <c r="A21186" i="1"/>
  <c r="A21185" i="1"/>
  <c r="A21184" i="1"/>
  <c r="A21183" i="1"/>
  <c r="A21182" i="1"/>
  <c r="A21181" i="1"/>
  <c r="A21180" i="1"/>
  <c r="A21179" i="1"/>
  <c r="A21178" i="1"/>
  <c r="A21177" i="1"/>
  <c r="A21176" i="1"/>
  <c r="A21175" i="1"/>
  <c r="A569" i="1"/>
  <c r="A3210" i="1"/>
  <c r="A21174" i="1"/>
  <c r="A21173" i="1"/>
  <c r="A21172" i="1"/>
  <c r="A21171" i="1"/>
  <c r="A21170" i="1"/>
  <c r="A1540" i="1"/>
  <c r="A21169" i="1"/>
  <c r="A21168" i="1"/>
  <c r="A3988" i="1"/>
  <c r="A21167" i="1"/>
  <c r="A10771" i="1"/>
  <c r="A3275" i="1"/>
  <c r="A21166" i="1"/>
  <c r="A21165" i="1"/>
  <c r="A6968" i="1"/>
  <c r="A21164" i="1"/>
  <c r="A21163" i="1"/>
  <c r="A21162" i="1"/>
  <c r="A21161" i="1"/>
  <c r="A21160" i="1"/>
  <c r="A9630" i="1"/>
  <c r="A11297" i="1"/>
  <c r="A21159" i="1"/>
  <c r="A21158" i="1"/>
  <c r="A21157" i="1"/>
  <c r="A21156" i="1"/>
  <c r="A21155" i="1"/>
  <c r="A21154" i="1"/>
  <c r="A21153" i="1"/>
  <c r="A21152" i="1"/>
  <c r="A9006" i="1"/>
  <c r="A21151" i="1"/>
  <c r="A21150" i="1"/>
  <c r="A2080" i="1"/>
  <c r="A21149" i="1"/>
  <c r="A2571" i="1"/>
  <c r="A21148" i="1"/>
  <c r="A4243" i="1"/>
  <c r="A21147" i="1"/>
  <c r="A21146" i="1"/>
  <c r="A21145" i="1"/>
  <c r="A21144" i="1"/>
  <c r="A9966" i="1"/>
  <c r="A21143" i="1"/>
  <c r="A21142" i="1"/>
  <c r="A21141" i="1"/>
  <c r="A21140" i="1"/>
  <c r="A21139" i="1"/>
  <c r="A21138" i="1"/>
  <c r="A21137" i="1"/>
  <c r="A21136" i="1"/>
  <c r="A21135" i="1"/>
  <c r="A21134" i="1"/>
  <c r="A21133" i="1"/>
  <c r="A21132" i="1"/>
  <c r="A21131" i="1"/>
  <c r="A21130" i="1"/>
  <c r="A21129" i="1"/>
  <c r="A2079" i="1"/>
  <c r="A21128" i="1"/>
  <c r="A21127" i="1"/>
  <c r="A21126" i="1"/>
  <c r="A21125" i="1"/>
  <c r="A21124" i="1"/>
  <c r="A21123" i="1"/>
  <c r="A3165" i="1"/>
  <c r="A21122" i="1"/>
  <c r="A21121" i="1"/>
  <c r="A21120" i="1"/>
  <c r="A21119" i="1"/>
  <c r="A21118" i="1"/>
  <c r="A21117" i="1"/>
  <c r="A21116" i="1"/>
  <c r="A21115" i="1"/>
  <c r="A21114" i="1"/>
  <c r="A21113" i="1"/>
  <c r="A21112" i="1"/>
  <c r="A21111" i="1"/>
  <c r="A21110" i="1"/>
  <c r="A21109" i="1"/>
  <c r="A21108" i="1"/>
  <c r="A21107" i="1"/>
  <c r="A21106" i="1"/>
  <c r="A21105" i="1"/>
  <c r="A21104" i="1"/>
  <c r="A21103" i="1"/>
  <c r="A21102" i="1"/>
  <c r="A21101" i="1"/>
  <c r="A21100" i="1"/>
  <c r="A21099" i="1"/>
  <c r="A21098" i="1"/>
  <c r="A21097" i="1"/>
  <c r="A21096" i="1"/>
  <c r="A21095" i="1"/>
  <c r="A15150" i="1"/>
  <c r="A5401" i="1"/>
  <c r="A21094" i="1"/>
  <c r="A21093" i="1"/>
  <c r="A21092" i="1"/>
  <c r="A21091" i="1"/>
  <c r="A21090" i="1"/>
  <c r="A21089" i="1"/>
  <c r="A21088" i="1"/>
  <c r="A1087" i="1"/>
  <c r="A21087" i="1"/>
  <c r="A21086" i="1"/>
  <c r="A21085" i="1"/>
  <c r="A13573" i="1"/>
  <c r="A21084" i="1"/>
  <c r="A21083" i="1"/>
  <c r="A21082" i="1"/>
  <c r="A21081" i="1"/>
  <c r="A21080" i="1"/>
  <c r="A21079" i="1"/>
  <c r="A21078" i="1"/>
  <c r="A7084" i="1"/>
  <c r="A21077" i="1"/>
  <c r="A21076" i="1"/>
  <c r="A21075" i="1"/>
  <c r="A21074" i="1"/>
  <c r="A21073" i="1"/>
  <c r="A21072" i="1"/>
  <c r="A21071" i="1"/>
  <c r="A21070" i="1"/>
  <c r="A21069" i="1"/>
  <c r="A21068" i="1"/>
  <c r="A21067" i="1"/>
  <c r="A21066" i="1"/>
  <c r="A21065" i="1"/>
  <c r="A21064" i="1"/>
  <c r="A21063" i="1"/>
  <c r="A21062" i="1"/>
  <c r="A2078" i="1"/>
  <c r="A21061" i="1"/>
  <c r="A21060" i="1"/>
  <c r="A21059" i="1"/>
  <c r="A21058" i="1"/>
  <c r="A21057" i="1"/>
  <c r="A21056" i="1"/>
  <c r="A21055" i="1"/>
  <c r="A21054" i="1"/>
  <c r="A21053" i="1"/>
  <c r="A8347" i="1"/>
  <c r="A21052" i="1"/>
  <c r="A21051" i="1"/>
  <c r="A21050" i="1"/>
  <c r="A21049" i="1"/>
  <c r="A21048" i="1"/>
  <c r="A21047" i="1"/>
  <c r="A21046" i="1"/>
  <c r="A21045" i="1"/>
  <c r="A21044" i="1"/>
  <c r="A21043" i="1"/>
  <c r="A787" i="1"/>
  <c r="A21042" i="1"/>
  <c r="A21041" i="1"/>
  <c r="A11030" i="1"/>
  <c r="A2408" i="1"/>
  <c r="A21040" i="1"/>
  <c r="A21039" i="1"/>
  <c r="A21038" i="1"/>
  <c r="A21037" i="1"/>
  <c r="A21036" i="1"/>
  <c r="A8892" i="1"/>
  <c r="A21035" i="1"/>
  <c r="A21034" i="1"/>
  <c r="A21033" i="1"/>
  <c r="A5324" i="1"/>
  <c r="A21032" i="1"/>
  <c r="A21031" i="1"/>
  <c r="A21030" i="1"/>
  <c r="A8915" i="1"/>
  <c r="A6492" i="1"/>
  <c r="A21029" i="1"/>
  <c r="A21028" i="1"/>
  <c r="A21027" i="1"/>
  <c r="A21026" i="1"/>
  <c r="A21025" i="1"/>
  <c r="A21024" i="1"/>
  <c r="A21023" i="1"/>
  <c r="A21022" i="1"/>
  <c r="A21021" i="1"/>
  <c r="A21020" i="1"/>
  <c r="A13472" i="1"/>
  <c r="A21019" i="1"/>
  <c r="A21018" i="1"/>
  <c r="A21017" i="1"/>
  <c r="A21016" i="1"/>
  <c r="A21015" i="1"/>
  <c r="A21014" i="1"/>
  <c r="A21013" i="1"/>
  <c r="A21012" i="1"/>
  <c r="A21011" i="1"/>
  <c r="A21010" i="1"/>
  <c r="A21009" i="1"/>
  <c r="A21008" i="1"/>
  <c r="A12372" i="1"/>
  <c r="A21007" i="1"/>
  <c r="A5065" i="1"/>
  <c r="A21006" i="1"/>
  <c r="A21005" i="1"/>
  <c r="A21004" i="1"/>
  <c r="A21003" i="1"/>
  <c r="A21002" i="1"/>
  <c r="A21001" i="1"/>
  <c r="A21000" i="1"/>
  <c r="A13572" i="1"/>
  <c r="A20999" i="1"/>
  <c r="A14295" i="1"/>
  <c r="A20998" i="1"/>
  <c r="A20997" i="1"/>
  <c r="A15730" i="1"/>
  <c r="A20996" i="1"/>
  <c r="A20995" i="1"/>
  <c r="A20994" i="1"/>
  <c r="A20993" i="1"/>
  <c r="A20992" i="1"/>
  <c r="A20991" i="1"/>
  <c r="A20990" i="1"/>
  <c r="A20989" i="1"/>
  <c r="A20988" i="1"/>
  <c r="A20987" i="1"/>
  <c r="A20986" i="1"/>
  <c r="A20985" i="1"/>
  <c r="A15268" i="1"/>
  <c r="A20984" i="1"/>
  <c r="A20983" i="1"/>
  <c r="A20982" i="1"/>
  <c r="A20981" i="1"/>
  <c r="A4459" i="1"/>
  <c r="A12339" i="1"/>
  <c r="A20980" i="1"/>
  <c r="A20979" i="1"/>
  <c r="A20978" i="1"/>
  <c r="A20977" i="1"/>
  <c r="A20976" i="1"/>
  <c r="A20975" i="1"/>
  <c r="A6363" i="1"/>
  <c r="A20974" i="1"/>
  <c r="A20973" i="1"/>
  <c r="A20972" i="1"/>
  <c r="A7153" i="1"/>
  <c r="A20971" i="1"/>
  <c r="A20970" i="1"/>
  <c r="A20969" i="1"/>
  <c r="A20968" i="1"/>
  <c r="A20967" i="1"/>
  <c r="A20966" i="1"/>
  <c r="A20965" i="1"/>
  <c r="A20964" i="1"/>
  <c r="A20963" i="1"/>
  <c r="A1086" i="1"/>
  <c r="A20962" i="1"/>
  <c r="A20961" i="1"/>
  <c r="A20960" i="1"/>
  <c r="A20959" i="1"/>
  <c r="A568" i="1"/>
  <c r="A20958" i="1"/>
  <c r="A20957" i="1"/>
  <c r="A20956" i="1"/>
  <c r="A20955" i="1"/>
  <c r="A3672" i="1"/>
  <c r="A20954" i="1"/>
  <c r="A20953" i="1"/>
  <c r="A20952" i="1"/>
  <c r="A20951" i="1"/>
  <c r="A20950" i="1"/>
  <c r="A20949" i="1"/>
  <c r="A20948" i="1"/>
  <c r="A3787" i="1"/>
  <c r="A20947" i="1"/>
  <c r="A20946" i="1"/>
  <c r="A20945" i="1"/>
  <c r="A20944" i="1"/>
  <c r="A20943" i="1"/>
  <c r="A20942" i="1"/>
  <c r="A20941" i="1"/>
  <c r="A20940" i="1"/>
  <c r="A20939" i="1"/>
  <c r="A20938" i="1"/>
  <c r="A20937" i="1"/>
  <c r="A20936" i="1"/>
  <c r="A20935" i="1"/>
  <c r="A20934" i="1"/>
  <c r="A20933" i="1"/>
  <c r="A20932" i="1"/>
  <c r="A20931" i="1"/>
  <c r="A20930" i="1"/>
  <c r="A20929" i="1"/>
  <c r="A20928" i="1"/>
  <c r="A20927" i="1"/>
  <c r="A20926" i="1"/>
  <c r="A20925" i="1"/>
  <c r="A20924" i="1"/>
  <c r="A20923" i="1"/>
  <c r="A20922" i="1"/>
  <c r="A20921" i="1"/>
  <c r="A20920" i="1"/>
  <c r="A20919" i="1"/>
  <c r="A20918" i="1"/>
  <c r="A20917" i="1"/>
  <c r="A20916" i="1"/>
  <c r="A20915" i="1"/>
  <c r="A20914" i="1"/>
  <c r="A20913" i="1"/>
  <c r="A20912" i="1"/>
  <c r="A3041" i="1"/>
  <c r="A11234" i="1"/>
  <c r="A20911" i="1"/>
  <c r="A20910" i="1"/>
  <c r="A20909" i="1"/>
  <c r="A20908" i="1"/>
  <c r="A20907" i="1"/>
  <c r="A20906" i="1"/>
  <c r="A20905" i="1"/>
  <c r="A20904" i="1"/>
  <c r="A20903" i="1"/>
  <c r="A20902" i="1"/>
  <c r="A20901" i="1"/>
  <c r="A20900" i="1"/>
  <c r="A20899" i="1"/>
  <c r="A20898" i="1"/>
  <c r="A20897" i="1"/>
  <c r="A20896" i="1"/>
  <c r="A20895" i="1"/>
  <c r="A6419" i="1"/>
  <c r="A20894" i="1"/>
  <c r="A20893" i="1"/>
  <c r="A20892" i="1"/>
  <c r="A20891" i="1"/>
  <c r="A20890" i="1"/>
  <c r="A14369" i="1"/>
  <c r="A20889" i="1"/>
  <c r="A5148" i="1"/>
  <c r="A20888" i="1"/>
  <c r="A20887" i="1"/>
  <c r="A20886" i="1"/>
  <c r="A20885" i="1"/>
  <c r="A567" i="1"/>
  <c r="A20884" i="1"/>
  <c r="A20883" i="1"/>
  <c r="A20882" i="1"/>
  <c r="A20881" i="1"/>
  <c r="A20880" i="1"/>
  <c r="A20879" i="1"/>
  <c r="A20878" i="1"/>
  <c r="A20877" i="1"/>
  <c r="A20876" i="1"/>
  <c r="A20875" i="1"/>
  <c r="A20874" i="1"/>
  <c r="A20873" i="1"/>
  <c r="A20872" i="1"/>
  <c r="A20871" i="1"/>
  <c r="A20870" i="1"/>
  <c r="A20869" i="1"/>
  <c r="A20868" i="1"/>
  <c r="A20867" i="1"/>
  <c r="A20866" i="1"/>
  <c r="A2706" i="1"/>
  <c r="A20865" i="1"/>
  <c r="A20864" i="1"/>
  <c r="A20863" i="1"/>
  <c r="A20862" i="1"/>
  <c r="A20861" i="1"/>
  <c r="A20860" i="1"/>
  <c r="A20859" i="1"/>
  <c r="A20858" i="1"/>
  <c r="A20857" i="1"/>
  <c r="A20856" i="1"/>
  <c r="A20855" i="1"/>
  <c r="A20854" i="1"/>
  <c r="A20853" i="1"/>
  <c r="A20852" i="1"/>
  <c r="A20851" i="1"/>
  <c r="A20850" i="1"/>
  <c r="A6077" i="1"/>
  <c r="A20849" i="1"/>
  <c r="A20848" i="1"/>
  <c r="A8125" i="1"/>
  <c r="A20847" i="1"/>
  <c r="A20846" i="1"/>
  <c r="A20845" i="1"/>
  <c r="A20844" i="1"/>
  <c r="A20843" i="1"/>
  <c r="A20842" i="1"/>
  <c r="A20841" i="1"/>
  <c r="A20840" i="1"/>
  <c r="A20839" i="1"/>
  <c r="A20838" i="1"/>
  <c r="A20837" i="1"/>
  <c r="A20836" i="1"/>
  <c r="A20835" i="1"/>
  <c r="A20834" i="1"/>
  <c r="A20833" i="1"/>
  <c r="A20832" i="1"/>
  <c r="A20831" i="1"/>
  <c r="A20830" i="1"/>
  <c r="A20829" i="1"/>
  <c r="A7673" i="1"/>
  <c r="A20828" i="1"/>
  <c r="A20827" i="1"/>
  <c r="A20826" i="1"/>
  <c r="A20825" i="1"/>
  <c r="A2828" i="1"/>
  <c r="A20824" i="1"/>
  <c r="A20823" i="1"/>
  <c r="A20822" i="1"/>
  <c r="A786" i="1"/>
  <c r="A20821" i="1"/>
  <c r="A20820" i="1"/>
  <c r="A20819" i="1"/>
  <c r="A20818" i="1"/>
  <c r="A20817" i="1"/>
  <c r="A20816" i="1"/>
  <c r="A20815" i="1"/>
  <c r="A20814" i="1"/>
  <c r="A20813" i="1"/>
  <c r="A20812" i="1"/>
  <c r="A20811" i="1"/>
  <c r="A20810" i="1"/>
  <c r="A4242" i="1"/>
  <c r="A20809" i="1"/>
  <c r="A20808" i="1"/>
  <c r="A20807" i="1"/>
  <c r="A20806" i="1"/>
  <c r="A20805" i="1"/>
  <c r="A20804" i="1"/>
  <c r="A20803" i="1"/>
  <c r="A5323" i="1"/>
  <c r="A20802" i="1"/>
  <c r="A20801" i="1"/>
  <c r="A20800" i="1"/>
  <c r="A20799" i="1"/>
  <c r="A20798" i="1"/>
  <c r="A20797" i="1"/>
  <c r="A20796" i="1"/>
  <c r="A20795" i="1"/>
  <c r="A9703" i="1"/>
  <c r="A20794" i="1"/>
  <c r="A20793" i="1"/>
  <c r="A20792" i="1"/>
  <c r="A20791" i="1"/>
  <c r="A20790" i="1"/>
  <c r="A3040" i="1"/>
  <c r="A20789" i="1"/>
  <c r="A20788" i="1"/>
  <c r="A20787" i="1"/>
  <c r="A20786" i="1"/>
  <c r="A20785" i="1"/>
  <c r="A20784" i="1"/>
  <c r="A20783" i="1"/>
  <c r="A20782" i="1"/>
  <c r="A20781" i="1"/>
  <c r="A20780" i="1"/>
  <c r="A20779" i="1"/>
  <c r="A20778" i="1"/>
  <c r="A20777" i="1"/>
  <c r="A20776" i="1"/>
  <c r="A20775" i="1"/>
  <c r="A20774" i="1"/>
  <c r="A20773" i="1"/>
  <c r="A8053" i="1"/>
  <c r="A20772" i="1"/>
  <c r="A6328" i="1"/>
  <c r="A20771" i="1"/>
  <c r="A5108" i="1"/>
  <c r="A20770" i="1"/>
  <c r="A20769" i="1"/>
  <c r="A1915" i="1"/>
  <c r="A20768" i="1"/>
  <c r="A20767" i="1"/>
  <c r="A20766" i="1"/>
  <c r="A20765" i="1"/>
  <c r="A20764" i="1"/>
  <c r="A20763" i="1"/>
  <c r="A20762" i="1"/>
  <c r="A20761" i="1"/>
  <c r="A20760" i="1"/>
  <c r="A20759" i="1"/>
  <c r="A20758" i="1"/>
  <c r="A20757" i="1"/>
  <c r="A20756" i="1"/>
  <c r="A566" i="1"/>
  <c r="A20755" i="1"/>
  <c r="A20754" i="1"/>
  <c r="A20753" i="1"/>
  <c r="A20752" i="1"/>
  <c r="A20751" i="1"/>
  <c r="A20750" i="1"/>
  <c r="A20749" i="1"/>
  <c r="A20748" i="1"/>
  <c r="A20747" i="1"/>
  <c r="A20746" i="1"/>
  <c r="A20745" i="1"/>
  <c r="A2253" i="1"/>
  <c r="A20744" i="1"/>
  <c r="A11396" i="1"/>
  <c r="A20743" i="1"/>
  <c r="A7758" i="1"/>
  <c r="A20742" i="1"/>
  <c r="A20741" i="1"/>
  <c r="A20740" i="1"/>
  <c r="A20739" i="1"/>
  <c r="A20738" i="1"/>
  <c r="A20737" i="1"/>
  <c r="A565" i="1"/>
  <c r="A20736" i="1"/>
  <c r="A20735" i="1"/>
  <c r="A20734" i="1"/>
  <c r="A20733" i="1"/>
  <c r="A20732" i="1"/>
  <c r="A20731" i="1"/>
  <c r="A20730" i="1"/>
  <c r="A20729" i="1"/>
  <c r="A20728" i="1"/>
  <c r="A20727" i="1"/>
  <c r="A20726" i="1"/>
  <c r="A20725" i="1"/>
  <c r="A20724" i="1"/>
  <c r="A12114" i="1"/>
  <c r="A20723" i="1"/>
  <c r="A20722" i="1"/>
  <c r="A20721" i="1"/>
  <c r="A20720" i="1"/>
  <c r="A20719" i="1"/>
  <c r="A20718" i="1"/>
  <c r="A20717" i="1"/>
  <c r="A20716" i="1"/>
  <c r="A20715" i="1"/>
  <c r="A20714" i="1"/>
  <c r="A20713" i="1"/>
  <c r="A20712" i="1"/>
  <c r="A20711" i="1"/>
  <c r="A20710" i="1"/>
  <c r="A20709" i="1"/>
  <c r="A20708" i="1"/>
  <c r="A20707" i="1"/>
  <c r="A8615" i="1"/>
  <c r="A20706" i="1"/>
  <c r="A20705" i="1"/>
  <c r="A6937" i="1"/>
  <c r="A20704" i="1"/>
  <c r="A20703" i="1"/>
  <c r="A20702" i="1"/>
  <c r="A20701" i="1"/>
  <c r="A20700" i="1"/>
  <c r="A5578" i="1"/>
  <c r="A20699" i="1"/>
  <c r="A8568" i="1"/>
  <c r="A20698" i="1"/>
  <c r="A20697" i="1"/>
  <c r="A2077" i="1"/>
  <c r="A20696" i="1"/>
  <c r="A20695" i="1"/>
  <c r="A20694" i="1"/>
  <c r="A20693" i="1"/>
  <c r="A20692" i="1"/>
  <c r="A2076" i="1"/>
  <c r="A20691" i="1"/>
  <c r="A20690" i="1"/>
  <c r="A9193" i="1"/>
  <c r="A20689" i="1"/>
  <c r="A20688" i="1"/>
  <c r="A20687" i="1"/>
  <c r="A20686" i="1"/>
  <c r="A20685" i="1"/>
  <c r="A20684" i="1"/>
  <c r="A8164" i="1"/>
  <c r="A5920" i="1"/>
  <c r="A20683" i="1"/>
  <c r="A20682" i="1"/>
  <c r="A20681" i="1"/>
  <c r="A20680" i="1"/>
  <c r="A20679" i="1"/>
  <c r="A20678" i="1"/>
  <c r="A20677" i="1"/>
  <c r="A20676" i="1"/>
  <c r="A20675" i="1"/>
  <c r="A20674" i="1"/>
  <c r="A20673" i="1"/>
  <c r="A20672" i="1"/>
  <c r="A5400" i="1"/>
  <c r="A20671" i="1"/>
  <c r="A20670" i="1"/>
  <c r="A20669" i="1"/>
  <c r="A20668" i="1"/>
  <c r="A20667" i="1"/>
  <c r="A20666" i="1"/>
  <c r="A20665" i="1"/>
  <c r="A20664" i="1"/>
  <c r="A20663" i="1"/>
  <c r="A20662" i="1"/>
  <c r="A20661" i="1"/>
  <c r="A20660" i="1"/>
  <c r="A20659" i="1"/>
  <c r="A20658" i="1"/>
  <c r="A20657" i="1"/>
  <c r="A20656" i="1"/>
  <c r="A20655" i="1"/>
  <c r="A20654" i="1"/>
  <c r="A20653" i="1"/>
  <c r="A20652" i="1"/>
  <c r="A20651" i="1"/>
  <c r="A4413" i="1"/>
  <c r="A20650" i="1"/>
  <c r="A20649" i="1"/>
  <c r="A20648" i="1"/>
  <c r="A20647" i="1"/>
  <c r="A20646" i="1"/>
  <c r="A20645" i="1"/>
  <c r="A20644" i="1"/>
  <c r="A20643" i="1"/>
  <c r="A20642" i="1"/>
  <c r="A20641" i="1"/>
  <c r="A20640" i="1"/>
  <c r="A20639" i="1"/>
  <c r="A20638" i="1"/>
  <c r="A20637" i="1"/>
  <c r="A20636" i="1"/>
  <c r="A20635" i="1"/>
  <c r="A20634" i="1"/>
  <c r="A20633" i="1"/>
  <c r="A20632" i="1"/>
  <c r="A20631" i="1"/>
  <c r="A20630" i="1"/>
  <c r="A20629" i="1"/>
  <c r="A20628" i="1"/>
  <c r="A20627" i="1"/>
  <c r="A20626" i="1"/>
  <c r="A20625" i="1"/>
  <c r="A20624" i="1"/>
  <c r="A20623" i="1"/>
  <c r="A20622" i="1"/>
  <c r="A20621" i="1"/>
  <c r="A20620" i="1"/>
  <c r="A20619" i="1"/>
  <c r="A20618" i="1"/>
  <c r="A20617" i="1"/>
  <c r="A20616" i="1"/>
  <c r="A1988" i="1"/>
  <c r="A1375" i="1"/>
  <c r="A20615" i="1"/>
  <c r="A20614" i="1"/>
  <c r="A20613" i="1"/>
  <c r="A20612" i="1"/>
  <c r="A20611" i="1"/>
  <c r="A20610" i="1"/>
  <c r="A8505" i="1"/>
  <c r="A20609" i="1"/>
  <c r="A20608" i="1"/>
  <c r="A20607" i="1"/>
  <c r="A20606" i="1"/>
  <c r="A20605" i="1"/>
  <c r="A20604" i="1"/>
  <c r="A20603" i="1"/>
  <c r="A9125" i="1"/>
  <c r="A7616" i="1"/>
  <c r="A20602" i="1"/>
  <c r="A20601" i="1"/>
  <c r="A20600" i="1"/>
  <c r="A20599" i="1"/>
  <c r="A20598" i="1"/>
  <c r="A20597" i="1"/>
  <c r="A20596" i="1"/>
  <c r="A20595" i="1"/>
  <c r="A20594" i="1"/>
  <c r="A20593" i="1"/>
  <c r="A20592" i="1"/>
  <c r="A20591" i="1"/>
  <c r="A20590" i="1"/>
  <c r="A20589" i="1"/>
  <c r="A20588" i="1"/>
  <c r="A20587" i="1"/>
  <c r="A20586" i="1"/>
  <c r="A20585" i="1"/>
  <c r="A20584" i="1"/>
  <c r="A20583" i="1"/>
  <c r="A20582" i="1"/>
  <c r="A8302" i="1"/>
  <c r="A20581" i="1"/>
  <c r="A20580" i="1"/>
  <c r="A20579" i="1"/>
  <c r="A20578" i="1"/>
  <c r="A20577" i="1"/>
  <c r="A20576" i="1"/>
  <c r="A20575" i="1"/>
  <c r="A20574" i="1"/>
  <c r="A20573" i="1"/>
  <c r="A6197" i="1"/>
  <c r="A20572" i="1"/>
  <c r="A20571" i="1"/>
  <c r="A20570" i="1"/>
  <c r="A20569" i="1"/>
  <c r="A20568" i="1"/>
  <c r="A20567" i="1"/>
  <c r="A20566" i="1"/>
  <c r="A20565" i="1"/>
  <c r="A20564" i="1"/>
  <c r="A20563" i="1"/>
  <c r="A20562" i="1"/>
  <c r="A20561" i="1"/>
  <c r="A20560" i="1"/>
  <c r="A13783" i="1"/>
  <c r="A20559" i="1"/>
  <c r="A20558" i="1"/>
  <c r="A4496" i="1"/>
  <c r="A5064" i="1"/>
  <c r="A20557" i="1"/>
  <c r="A20556" i="1"/>
  <c r="A20555" i="1"/>
  <c r="A20554" i="1"/>
  <c r="A20553" i="1"/>
  <c r="A20552" i="1"/>
  <c r="A20551" i="1"/>
  <c r="A20550" i="1"/>
  <c r="A20549" i="1"/>
  <c r="A20548" i="1"/>
  <c r="A20547" i="1"/>
  <c r="A20546" i="1"/>
  <c r="A11509" i="1"/>
  <c r="A20545" i="1"/>
  <c r="A20544" i="1"/>
  <c r="A20543" i="1"/>
  <c r="A20542" i="1"/>
  <c r="A20541" i="1"/>
  <c r="A14062" i="1"/>
  <c r="A20540" i="1"/>
  <c r="A20539" i="1"/>
  <c r="A20538" i="1"/>
  <c r="A20537" i="1"/>
  <c r="A20536" i="1"/>
  <c r="A15809" i="1"/>
  <c r="A20535" i="1"/>
  <c r="A20534" i="1"/>
  <c r="A20533" i="1"/>
  <c r="A20532" i="1"/>
  <c r="A20531" i="1"/>
  <c r="A20530" i="1"/>
  <c r="A20529" i="1"/>
  <c r="A20528" i="1"/>
  <c r="A20527" i="1"/>
  <c r="A20526" i="1"/>
  <c r="A20525" i="1"/>
  <c r="A20524" i="1"/>
  <c r="A20523" i="1"/>
  <c r="A11286" i="1"/>
  <c r="A20522" i="1"/>
  <c r="A20521" i="1"/>
  <c r="A20520" i="1"/>
  <c r="A20519" i="1"/>
  <c r="A20518" i="1"/>
  <c r="A20517" i="1"/>
  <c r="A20516" i="1"/>
  <c r="A20515" i="1"/>
  <c r="A11193" i="1"/>
  <c r="A564" i="1"/>
  <c r="A20514" i="1"/>
  <c r="A20513" i="1"/>
  <c r="A20512" i="1"/>
  <c r="A20511" i="1"/>
  <c r="A20510" i="1"/>
  <c r="A20509" i="1"/>
  <c r="A20508" i="1"/>
  <c r="A20507" i="1"/>
  <c r="A20506" i="1"/>
  <c r="A20505" i="1"/>
  <c r="A20504" i="1"/>
  <c r="A20503" i="1"/>
  <c r="A20502" i="1"/>
  <c r="A14111" i="1"/>
  <c r="A20501" i="1"/>
  <c r="A20500" i="1"/>
  <c r="A20499" i="1"/>
  <c r="A20498" i="1"/>
  <c r="A13376" i="1"/>
  <c r="A20497" i="1"/>
  <c r="A20496" i="1"/>
  <c r="A20495" i="1"/>
  <c r="A20494" i="1"/>
  <c r="A20493" i="1"/>
  <c r="A20492" i="1"/>
  <c r="A20491" i="1"/>
  <c r="A563" i="1"/>
  <c r="A20490" i="1"/>
  <c r="A20489" i="1"/>
  <c r="A20488" i="1"/>
  <c r="A20487" i="1"/>
  <c r="A20486" i="1"/>
  <c r="A20485" i="1"/>
  <c r="A20484" i="1"/>
  <c r="A12541" i="1"/>
  <c r="A10755" i="1"/>
  <c r="A20483" i="1"/>
  <c r="A20482" i="1"/>
  <c r="A11395" i="1"/>
  <c r="A20481" i="1"/>
  <c r="A20480" i="1"/>
  <c r="A20479" i="1"/>
  <c r="A20478" i="1"/>
  <c r="A20477" i="1"/>
  <c r="A20476" i="1"/>
  <c r="A20475" i="1"/>
  <c r="A20474" i="1"/>
  <c r="A20473" i="1"/>
  <c r="A20472" i="1"/>
  <c r="A20471" i="1"/>
  <c r="A20470" i="1"/>
  <c r="A20469" i="1"/>
  <c r="A20468" i="1"/>
  <c r="A20467" i="1"/>
  <c r="A20466" i="1"/>
  <c r="A20465" i="1"/>
  <c r="A20464" i="1"/>
  <c r="A20463" i="1"/>
  <c r="A20462" i="1"/>
  <c r="A2175" i="1"/>
  <c r="A20461" i="1"/>
  <c r="A20460" i="1"/>
  <c r="A20459" i="1"/>
  <c r="A20458" i="1"/>
  <c r="A20457" i="1"/>
  <c r="A20456" i="1"/>
  <c r="A20455" i="1"/>
  <c r="A20454" i="1"/>
  <c r="A20453" i="1"/>
  <c r="A20452" i="1"/>
  <c r="A1624" i="1"/>
  <c r="A20451" i="1"/>
  <c r="A20450" i="1"/>
  <c r="A20449" i="1"/>
  <c r="A20448" i="1"/>
  <c r="A20447" i="1"/>
  <c r="A20446" i="1"/>
  <c r="A20445" i="1"/>
  <c r="A20444" i="1"/>
  <c r="A10276" i="1"/>
  <c r="A20443" i="1"/>
  <c r="A20442" i="1"/>
  <c r="A20441" i="1"/>
  <c r="A20440" i="1"/>
  <c r="A20439" i="1"/>
  <c r="A20438" i="1"/>
  <c r="A20437" i="1"/>
  <c r="A20436" i="1"/>
  <c r="A20435" i="1"/>
  <c r="A20434" i="1"/>
  <c r="A20433" i="1"/>
  <c r="A20432" i="1"/>
  <c r="A20431" i="1"/>
  <c r="A20430" i="1"/>
  <c r="A20429" i="1"/>
  <c r="A20428" i="1"/>
  <c r="A20427" i="1"/>
  <c r="A20426" i="1"/>
  <c r="A11428" i="1"/>
  <c r="A5715" i="1"/>
  <c r="A20425" i="1"/>
  <c r="A20424" i="1"/>
  <c r="A20423" i="1"/>
  <c r="A20422" i="1"/>
  <c r="A20421" i="1"/>
  <c r="A20420" i="1"/>
  <c r="A20419" i="1"/>
  <c r="A20418" i="1"/>
  <c r="A20417" i="1"/>
  <c r="A20416" i="1"/>
  <c r="A20415" i="1"/>
  <c r="A20414" i="1"/>
  <c r="A20413" i="1"/>
  <c r="A20412" i="1"/>
  <c r="A20411" i="1"/>
  <c r="A20410" i="1"/>
  <c r="A20409" i="1"/>
  <c r="A20408" i="1"/>
  <c r="A20407" i="1"/>
  <c r="A20406" i="1"/>
  <c r="A20405" i="1"/>
  <c r="A20404" i="1"/>
  <c r="A20403" i="1"/>
  <c r="A20402" i="1"/>
  <c r="A1466" i="1"/>
  <c r="A20401" i="1"/>
  <c r="A7935" i="1"/>
  <c r="A10991" i="1"/>
  <c r="A20400" i="1"/>
  <c r="A20399" i="1"/>
  <c r="A20398" i="1"/>
  <c r="A20397" i="1"/>
  <c r="A20396" i="1"/>
  <c r="A20395" i="1"/>
  <c r="A20394" i="1"/>
  <c r="A20393" i="1"/>
  <c r="A20392" i="1"/>
  <c r="A20391" i="1"/>
  <c r="A20390" i="1"/>
  <c r="A4619" i="1"/>
  <c r="A20389" i="1"/>
  <c r="A20388" i="1"/>
  <c r="A20387" i="1"/>
  <c r="A20386" i="1"/>
  <c r="A20385" i="1"/>
  <c r="A20384" i="1"/>
  <c r="A20383" i="1"/>
  <c r="A958" i="1"/>
  <c r="A20382" i="1"/>
  <c r="A20381" i="1"/>
  <c r="A5889" i="1"/>
  <c r="A20380" i="1"/>
  <c r="A16455" i="1"/>
  <c r="A20379" i="1"/>
  <c r="A15967" i="1"/>
  <c r="A20378" i="1"/>
  <c r="A20377" i="1"/>
  <c r="A20376" i="1"/>
  <c r="A20375" i="1"/>
  <c r="A20374" i="1"/>
  <c r="A20373" i="1"/>
  <c r="A20372" i="1"/>
  <c r="A20371" i="1"/>
  <c r="A20370" i="1"/>
  <c r="A5773" i="1"/>
  <c r="A20369" i="1"/>
  <c r="A20368" i="1"/>
  <c r="A20367" i="1"/>
  <c r="A20366" i="1"/>
  <c r="A20365" i="1"/>
  <c r="A20364" i="1"/>
  <c r="A20363" i="1"/>
  <c r="A3886" i="1"/>
  <c r="A13811" i="1"/>
  <c r="A20362" i="1"/>
  <c r="A20361" i="1"/>
  <c r="A5107" i="1"/>
  <c r="A20360" i="1"/>
  <c r="A20359" i="1"/>
  <c r="A20358" i="1"/>
  <c r="A20357" i="1"/>
  <c r="A20356" i="1"/>
  <c r="A20355" i="1"/>
  <c r="A20354" i="1"/>
  <c r="A20353" i="1"/>
  <c r="A20352" i="1"/>
  <c r="A16678" i="1"/>
  <c r="A20351" i="1"/>
  <c r="A20350" i="1"/>
  <c r="A6292" i="1"/>
  <c r="A20349" i="1"/>
  <c r="A9492" i="1"/>
  <c r="A20348" i="1"/>
  <c r="A20347" i="1"/>
  <c r="A20346" i="1"/>
  <c r="A20345" i="1"/>
  <c r="A20344" i="1"/>
  <c r="A20343" i="1"/>
  <c r="A20342" i="1"/>
  <c r="A562" i="1"/>
  <c r="A20341" i="1"/>
  <c r="A20340" i="1"/>
  <c r="A20339" i="1"/>
  <c r="A2407" i="1"/>
  <c r="A20338" i="1"/>
  <c r="A561" i="1"/>
  <c r="A20337" i="1"/>
  <c r="A20336" i="1"/>
  <c r="A20335" i="1"/>
  <c r="A20334" i="1"/>
  <c r="A20333" i="1"/>
  <c r="A4783" i="1"/>
  <c r="A20332" i="1"/>
  <c r="A20331" i="1"/>
  <c r="A20330" i="1"/>
  <c r="A20329" i="1"/>
  <c r="A12848" i="1"/>
  <c r="A20328" i="1"/>
  <c r="A20327" i="1"/>
  <c r="A20326" i="1"/>
  <c r="A20325" i="1"/>
  <c r="A20324" i="1"/>
  <c r="A3632" i="1"/>
  <c r="A20323" i="1"/>
  <c r="A20322" i="1"/>
  <c r="A14534" i="1"/>
  <c r="A20321" i="1"/>
  <c r="A20320" i="1"/>
  <c r="A20319" i="1"/>
  <c r="A20318" i="1"/>
  <c r="A20317" i="1"/>
  <c r="A20316" i="1"/>
  <c r="A20315" i="1"/>
  <c r="A20314" i="1"/>
  <c r="A20313" i="1"/>
  <c r="A20312" i="1"/>
  <c r="A20311" i="1"/>
  <c r="A20310" i="1"/>
  <c r="A20309" i="1"/>
  <c r="A20308" i="1"/>
  <c r="A20307" i="1"/>
  <c r="A20306" i="1"/>
  <c r="A20305" i="1"/>
  <c r="A20304" i="1"/>
  <c r="A20303" i="1"/>
  <c r="A20302" i="1"/>
  <c r="A20301" i="1"/>
  <c r="A20300" i="1"/>
  <c r="A20299" i="1"/>
  <c r="A20298" i="1"/>
  <c r="A4656" i="1"/>
  <c r="A20297" i="1"/>
  <c r="A20296" i="1"/>
  <c r="A20295" i="1"/>
  <c r="A20294" i="1"/>
  <c r="A13303" i="1"/>
  <c r="A20293" i="1"/>
  <c r="A20292" i="1"/>
  <c r="A20291" i="1"/>
  <c r="A20290" i="1"/>
  <c r="A20289" i="1"/>
  <c r="A20288" i="1"/>
  <c r="A1085" i="1"/>
  <c r="A20287" i="1"/>
  <c r="A20286" i="1"/>
  <c r="A20285" i="1"/>
  <c r="A20284" i="1"/>
  <c r="A20283" i="1"/>
  <c r="A20282" i="1"/>
  <c r="A20281" i="1"/>
  <c r="A20280" i="1"/>
  <c r="A20279" i="1"/>
  <c r="A20278" i="1"/>
  <c r="A20277" i="1"/>
  <c r="A20276" i="1"/>
  <c r="A20275" i="1"/>
  <c r="A20274" i="1"/>
  <c r="A20273" i="1"/>
  <c r="A15961" i="1"/>
  <c r="A20272" i="1"/>
  <c r="A20271" i="1"/>
  <c r="A20270" i="1"/>
  <c r="A20269" i="1"/>
  <c r="A20268" i="1"/>
  <c r="A20267" i="1"/>
  <c r="A20266" i="1"/>
  <c r="A20265" i="1"/>
  <c r="A20264" i="1"/>
  <c r="A3786" i="1"/>
  <c r="A20263" i="1"/>
  <c r="A20262" i="1"/>
  <c r="A20261" i="1"/>
  <c r="A20260" i="1"/>
  <c r="A20259" i="1"/>
  <c r="A20258" i="1"/>
  <c r="A20257" i="1"/>
  <c r="A20256" i="1"/>
  <c r="A560" i="1"/>
  <c r="A20255" i="1"/>
  <c r="A20254" i="1"/>
  <c r="A20253" i="1"/>
  <c r="A20252" i="1"/>
  <c r="A20251" i="1"/>
  <c r="A20250" i="1"/>
  <c r="A20249" i="1"/>
  <c r="A20248" i="1"/>
  <c r="A20247" i="1"/>
  <c r="A4782" i="1"/>
  <c r="A20246" i="1"/>
  <c r="A20245" i="1"/>
  <c r="A20244" i="1"/>
  <c r="A2981" i="1"/>
  <c r="A20243" i="1"/>
  <c r="A20242" i="1"/>
  <c r="A20241" i="1"/>
  <c r="A20240" i="1"/>
  <c r="A20239" i="1"/>
  <c r="A20238" i="1"/>
  <c r="A20237" i="1"/>
  <c r="A7852" i="1"/>
  <c r="A20236" i="1"/>
  <c r="A3164" i="1"/>
  <c r="A20235" i="1"/>
  <c r="A20234" i="1"/>
  <c r="A20233" i="1"/>
  <c r="A20232" i="1"/>
  <c r="A20231" i="1"/>
  <c r="A20230" i="1"/>
  <c r="A20229" i="1"/>
  <c r="A20228" i="1"/>
  <c r="A20227" i="1"/>
  <c r="A20226" i="1"/>
  <c r="A20225" i="1"/>
  <c r="A2330" i="1"/>
  <c r="A20224" i="1"/>
  <c r="A20223" i="1"/>
  <c r="A20222" i="1"/>
  <c r="A20221" i="1"/>
  <c r="A20220" i="1"/>
  <c r="A20219" i="1"/>
  <c r="A20218" i="1"/>
  <c r="A20217" i="1"/>
  <c r="A20216" i="1"/>
  <c r="A20215" i="1"/>
  <c r="A20214" i="1"/>
  <c r="A20213" i="1"/>
  <c r="A14397" i="1"/>
  <c r="A20212" i="1"/>
  <c r="A3163" i="1"/>
  <c r="A20211" i="1"/>
  <c r="A20210" i="1"/>
  <c r="A20209" i="1"/>
  <c r="A20208" i="1"/>
  <c r="A20207" i="1"/>
  <c r="A20206" i="1"/>
  <c r="A20205" i="1"/>
  <c r="A20204" i="1"/>
  <c r="A20203" i="1"/>
  <c r="A20202" i="1"/>
  <c r="A1216" i="1"/>
  <c r="A20201" i="1"/>
  <c r="A20200" i="1"/>
  <c r="A20199" i="1"/>
  <c r="A20198" i="1"/>
  <c r="A10770" i="1"/>
  <c r="A20197" i="1"/>
  <c r="A20196" i="1"/>
  <c r="A20195" i="1"/>
  <c r="A20194" i="1"/>
  <c r="A20193" i="1"/>
  <c r="A20192" i="1"/>
  <c r="A20191" i="1"/>
  <c r="A20190" i="1"/>
  <c r="A20189" i="1"/>
  <c r="A4618" i="1"/>
  <c r="A20188" i="1"/>
  <c r="A20187" i="1"/>
  <c r="A20186" i="1"/>
  <c r="A20185" i="1"/>
  <c r="A20184" i="1"/>
  <c r="A20183" i="1"/>
  <c r="A20182" i="1"/>
  <c r="A20181" i="1"/>
  <c r="A20180" i="1"/>
  <c r="A20179" i="1"/>
  <c r="A20178" i="1"/>
  <c r="A20177" i="1"/>
  <c r="A20176" i="1"/>
  <c r="A20175" i="1"/>
  <c r="A4241" i="1"/>
  <c r="A20174" i="1"/>
  <c r="A20173" i="1"/>
  <c r="A20172" i="1"/>
  <c r="A20171" i="1"/>
  <c r="A20170" i="1"/>
  <c r="A20169" i="1"/>
  <c r="A20168" i="1"/>
  <c r="A20167" i="1"/>
  <c r="A20166" i="1"/>
  <c r="A20165" i="1"/>
  <c r="A20164" i="1"/>
  <c r="A20163" i="1"/>
  <c r="A20162" i="1"/>
  <c r="A20161" i="1"/>
  <c r="A20160" i="1"/>
  <c r="A20159" i="1"/>
  <c r="A20158" i="1"/>
  <c r="A6636" i="1"/>
  <c r="A20157" i="1"/>
  <c r="A20156" i="1"/>
  <c r="A20155" i="1"/>
  <c r="A3478" i="1"/>
  <c r="A20154" i="1"/>
  <c r="A20153" i="1"/>
  <c r="A20152" i="1"/>
  <c r="A20151" i="1"/>
  <c r="A20150" i="1"/>
  <c r="A20149" i="1"/>
  <c r="A20148" i="1"/>
  <c r="A20147" i="1"/>
  <c r="A20146" i="1"/>
  <c r="A20145" i="1"/>
  <c r="A20144" i="1"/>
  <c r="A13623" i="1"/>
  <c r="A20143" i="1"/>
  <c r="A20142" i="1"/>
  <c r="A20141" i="1"/>
  <c r="A12067" i="1"/>
  <c r="A20140" i="1"/>
  <c r="A20139" i="1"/>
  <c r="A16384" i="1"/>
  <c r="A20138" i="1"/>
  <c r="A20137" i="1"/>
  <c r="A20136" i="1"/>
  <c r="A20135" i="1"/>
  <c r="A20134" i="1"/>
  <c r="A20133" i="1"/>
  <c r="A20132" i="1"/>
  <c r="A20131" i="1"/>
  <c r="A14519" i="1"/>
  <c r="A20130" i="1"/>
  <c r="A20129" i="1"/>
  <c r="A20128" i="1"/>
  <c r="A20127" i="1"/>
  <c r="A20126" i="1"/>
  <c r="A20125" i="1"/>
  <c r="A20124" i="1"/>
  <c r="A5919" i="1"/>
  <c r="A20123" i="1"/>
  <c r="A20122" i="1"/>
  <c r="A20121" i="1"/>
  <c r="A20120" i="1"/>
  <c r="A20119" i="1"/>
  <c r="A20118" i="1"/>
  <c r="A20117" i="1"/>
  <c r="A20116" i="1"/>
  <c r="A20115" i="1"/>
  <c r="A20114" i="1"/>
  <c r="A20113" i="1"/>
  <c r="A20112" i="1"/>
  <c r="A20111" i="1"/>
  <c r="A20110" i="1"/>
  <c r="A6729" i="1"/>
  <c r="A559" i="1"/>
  <c r="A20109" i="1"/>
  <c r="A20108" i="1"/>
  <c r="A20107" i="1"/>
  <c r="A20106" i="1"/>
  <c r="A20105" i="1"/>
  <c r="A20104" i="1"/>
  <c r="A20103" i="1"/>
  <c r="A20102" i="1"/>
  <c r="A10655" i="1"/>
  <c r="A20101" i="1"/>
  <c r="A20100" i="1"/>
  <c r="A20099" i="1"/>
  <c r="A20098" i="1"/>
  <c r="A20097" i="1"/>
  <c r="A20096" i="1"/>
  <c r="A20095" i="1"/>
  <c r="A20094" i="1"/>
  <c r="A20093" i="1"/>
  <c r="A20092" i="1"/>
  <c r="A20091" i="1"/>
  <c r="A20090" i="1"/>
  <c r="A20089" i="1"/>
  <c r="A20088" i="1"/>
  <c r="A3941" i="1"/>
  <c r="A20087" i="1"/>
  <c r="A20086" i="1"/>
  <c r="A20085" i="1"/>
  <c r="A20084" i="1"/>
  <c r="A20083" i="1"/>
  <c r="A20082" i="1"/>
  <c r="A20081" i="1"/>
  <c r="A20080" i="1"/>
  <c r="A20079" i="1"/>
  <c r="A20078" i="1"/>
  <c r="A20077" i="1"/>
  <c r="A20076" i="1"/>
  <c r="A20075" i="1"/>
  <c r="A20074" i="1"/>
  <c r="A2767" i="1"/>
  <c r="A20073" i="1"/>
  <c r="A15799" i="1"/>
  <c r="A20072" i="1"/>
  <c r="A20071" i="1"/>
  <c r="A20070" i="1"/>
  <c r="A2570" i="1"/>
  <c r="A20069" i="1"/>
  <c r="A20068" i="1"/>
  <c r="A20067" i="1"/>
  <c r="A20066" i="1"/>
  <c r="A20065" i="1"/>
  <c r="A20064" i="1"/>
  <c r="A20063" i="1"/>
  <c r="A20062" i="1"/>
  <c r="A3987" i="1"/>
  <c r="A20061" i="1"/>
  <c r="A20060" i="1"/>
  <c r="A20059" i="1"/>
  <c r="A20058" i="1"/>
  <c r="A20057" i="1"/>
  <c r="A20056" i="1"/>
  <c r="A20055" i="1"/>
  <c r="A20054" i="1"/>
  <c r="A20053" i="1"/>
  <c r="A20052" i="1"/>
  <c r="A20051" i="1"/>
  <c r="A5684" i="1"/>
  <c r="A20050" i="1"/>
  <c r="A20049" i="1"/>
  <c r="A20048" i="1"/>
  <c r="A7589" i="1"/>
  <c r="A20047" i="1"/>
  <c r="A20046" i="1"/>
  <c r="A20045" i="1"/>
  <c r="A20044" i="1"/>
  <c r="A2980" i="1"/>
  <c r="A20043" i="1"/>
  <c r="A20042" i="1"/>
  <c r="A20041" i="1"/>
  <c r="A20040" i="1"/>
  <c r="A20039" i="1"/>
  <c r="A2766" i="1"/>
  <c r="A2873" i="1"/>
  <c r="A20038" i="1"/>
  <c r="A20037" i="1"/>
  <c r="A16044" i="1"/>
  <c r="A20036" i="1"/>
  <c r="A11989" i="1"/>
  <c r="A20035" i="1"/>
  <c r="A20034" i="1"/>
  <c r="A20033" i="1"/>
  <c r="A20032" i="1"/>
  <c r="A11410" i="1"/>
  <c r="A20031" i="1"/>
  <c r="A20030" i="1"/>
  <c r="A20029" i="1"/>
  <c r="A20028" i="1"/>
  <c r="A20027" i="1"/>
  <c r="A20026" i="1"/>
  <c r="A20025" i="1"/>
  <c r="A4825" i="1"/>
  <c r="A20024" i="1"/>
  <c r="A1298" i="1"/>
  <c r="A20023" i="1"/>
  <c r="A20022" i="1"/>
  <c r="A20021" i="1"/>
  <c r="A20020" i="1"/>
  <c r="A20019" i="1"/>
  <c r="A20018" i="1"/>
  <c r="A20017" i="1"/>
  <c r="A20016" i="1"/>
  <c r="A13168" i="1"/>
  <c r="A20015" i="1"/>
  <c r="A5504" i="1"/>
  <c r="A20014" i="1"/>
  <c r="A20013" i="1"/>
  <c r="A20012" i="1"/>
  <c r="A20011" i="1"/>
  <c r="A20010" i="1"/>
  <c r="A20009" i="1"/>
  <c r="A20008" i="1"/>
  <c r="A20007" i="1"/>
  <c r="A20006" i="1"/>
  <c r="A20005" i="1"/>
  <c r="A20004" i="1"/>
  <c r="A20003" i="1"/>
  <c r="A2406" i="1"/>
  <c r="A20002" i="1"/>
  <c r="A20001" i="1"/>
  <c r="A20000" i="1"/>
  <c r="A19999" i="1"/>
  <c r="A19998" i="1"/>
  <c r="A19997" i="1"/>
  <c r="A19996" i="1"/>
  <c r="A19995" i="1"/>
  <c r="A19994" i="1"/>
  <c r="A19993" i="1"/>
  <c r="A12022" i="1"/>
  <c r="A11527" i="1"/>
  <c r="A19992" i="1"/>
  <c r="A19991" i="1"/>
  <c r="A9266" i="1"/>
  <c r="A19990" i="1"/>
  <c r="A19989" i="1"/>
  <c r="A19988" i="1"/>
  <c r="A19987" i="1"/>
  <c r="A14218" i="1"/>
  <c r="A19986" i="1"/>
  <c r="A19985" i="1"/>
  <c r="A19984" i="1"/>
  <c r="A19983" i="1"/>
  <c r="A19982" i="1"/>
  <c r="A19981" i="1"/>
  <c r="A19980" i="1"/>
  <c r="A19979" i="1"/>
  <c r="A7332" i="1"/>
  <c r="A19978" i="1"/>
  <c r="A19977" i="1"/>
  <c r="A19976" i="1"/>
  <c r="A19975" i="1"/>
  <c r="A19974" i="1"/>
  <c r="A19973" i="1"/>
  <c r="A19972" i="1"/>
  <c r="A19971" i="1"/>
  <c r="A19970" i="1"/>
  <c r="A19969" i="1"/>
  <c r="A19968" i="1"/>
  <c r="A19967" i="1"/>
  <c r="A19966" i="1"/>
  <c r="A19965" i="1"/>
  <c r="A19964" i="1"/>
  <c r="A19963" i="1"/>
  <c r="A15098" i="1"/>
  <c r="A19962" i="1"/>
  <c r="A19961" i="1"/>
  <c r="A19960" i="1"/>
  <c r="A19959" i="1"/>
  <c r="A19958" i="1"/>
  <c r="A19957" i="1"/>
  <c r="A19956" i="1"/>
  <c r="A19955" i="1"/>
  <c r="A19954" i="1"/>
  <c r="A19953" i="1"/>
  <c r="A19952" i="1"/>
  <c r="A19951" i="1"/>
  <c r="A19950" i="1"/>
  <c r="A3373" i="1"/>
  <c r="A19949" i="1"/>
  <c r="A19948" i="1"/>
  <c r="A19947" i="1"/>
  <c r="A19946" i="1"/>
  <c r="A19945" i="1"/>
  <c r="A19944" i="1"/>
  <c r="A19943" i="1"/>
  <c r="A19942" i="1"/>
  <c r="A19941" i="1"/>
  <c r="A19940" i="1"/>
  <c r="A19939" i="1"/>
  <c r="A9678" i="1"/>
  <c r="A19938" i="1"/>
  <c r="A19937" i="1"/>
  <c r="A19936" i="1"/>
  <c r="A19935" i="1"/>
  <c r="A19934" i="1"/>
  <c r="A19933" i="1"/>
  <c r="A19932" i="1"/>
  <c r="A19931" i="1"/>
  <c r="A11251" i="1"/>
  <c r="A19930" i="1"/>
  <c r="A19929" i="1"/>
  <c r="A19928" i="1"/>
  <c r="A19927" i="1"/>
  <c r="A19926" i="1"/>
  <c r="A19925" i="1"/>
  <c r="A19924" i="1"/>
  <c r="A19923" i="1"/>
  <c r="A19922" i="1"/>
  <c r="A19921" i="1"/>
  <c r="A4240" i="1"/>
  <c r="A19920" i="1"/>
  <c r="A19919" i="1"/>
  <c r="A19918" i="1"/>
  <c r="A19917" i="1"/>
  <c r="A19916" i="1"/>
  <c r="A19915" i="1"/>
  <c r="A15022" i="1"/>
  <c r="A19914" i="1"/>
  <c r="A19913" i="1"/>
  <c r="A19912" i="1"/>
  <c r="A19911" i="1"/>
  <c r="A19910" i="1"/>
  <c r="A19909" i="1"/>
  <c r="A19908" i="1"/>
  <c r="A19907" i="1"/>
  <c r="A19906" i="1"/>
  <c r="A19905" i="1"/>
  <c r="A19904" i="1"/>
  <c r="A3430" i="1"/>
  <c r="A19903" i="1"/>
  <c r="A19902" i="1"/>
  <c r="A19901" i="1"/>
  <c r="A19900" i="1"/>
  <c r="A19899" i="1"/>
  <c r="A19898" i="1"/>
  <c r="A19897" i="1"/>
  <c r="A19896" i="1"/>
  <c r="A19895" i="1"/>
  <c r="A19894" i="1"/>
  <c r="A19893" i="1"/>
  <c r="A19892" i="1"/>
  <c r="A19891" i="1"/>
  <c r="A19890" i="1"/>
  <c r="A19889" i="1"/>
  <c r="A19888" i="1"/>
  <c r="A16330" i="1"/>
  <c r="A14427" i="1"/>
  <c r="A19887" i="1"/>
  <c r="A19886" i="1"/>
  <c r="A19885" i="1"/>
  <c r="A19884" i="1"/>
  <c r="A19883" i="1"/>
  <c r="A10706" i="1"/>
  <c r="A19882" i="1"/>
  <c r="A19881" i="1"/>
  <c r="A19880" i="1"/>
  <c r="A19879" i="1"/>
  <c r="A19878" i="1"/>
  <c r="A19877" i="1"/>
  <c r="A19876" i="1"/>
  <c r="A8971" i="1"/>
  <c r="A19875" i="1"/>
  <c r="A19874" i="1"/>
  <c r="A19873" i="1"/>
  <c r="A19872" i="1"/>
  <c r="A19871" i="1"/>
  <c r="A19870" i="1"/>
  <c r="A19869" i="1"/>
  <c r="A19868" i="1"/>
  <c r="A19867" i="1"/>
  <c r="A6635" i="1"/>
  <c r="A19866" i="1"/>
  <c r="A19865" i="1"/>
  <c r="A19864" i="1"/>
  <c r="A19863" i="1"/>
  <c r="A19862" i="1"/>
  <c r="A19861" i="1"/>
  <c r="A19860" i="1"/>
  <c r="A19859" i="1"/>
  <c r="A1374" i="1"/>
  <c r="A19858" i="1"/>
  <c r="A19857" i="1"/>
  <c r="A19856" i="1"/>
  <c r="A19855" i="1"/>
  <c r="A19854" i="1"/>
  <c r="A5978" i="1"/>
  <c r="A19853" i="1"/>
  <c r="A19852" i="1"/>
  <c r="A19851" i="1"/>
  <c r="A19850" i="1"/>
  <c r="A19849" i="1"/>
  <c r="A19848" i="1"/>
  <c r="A19847" i="1"/>
  <c r="A19846" i="1"/>
  <c r="A19845" i="1"/>
  <c r="A19844" i="1"/>
  <c r="A19843" i="1"/>
  <c r="A19842" i="1"/>
  <c r="A19841" i="1"/>
  <c r="A19840" i="1"/>
  <c r="A19839" i="1"/>
  <c r="A19838" i="1"/>
  <c r="A19837" i="1"/>
  <c r="A19836" i="1"/>
  <c r="A19835" i="1"/>
  <c r="A19834" i="1"/>
  <c r="A12355" i="1"/>
  <c r="A19833" i="1"/>
  <c r="A19832" i="1"/>
  <c r="A19831" i="1"/>
  <c r="A19830" i="1"/>
  <c r="A19829" i="1"/>
  <c r="A19828" i="1"/>
  <c r="A19827" i="1"/>
  <c r="A19826" i="1"/>
  <c r="A4288" i="1"/>
  <c r="A19825" i="1"/>
  <c r="A19824" i="1"/>
  <c r="A19823" i="1"/>
  <c r="A1816" i="1"/>
  <c r="A19822" i="1"/>
  <c r="A10722" i="1"/>
  <c r="A19821" i="1"/>
  <c r="A19820" i="1"/>
  <c r="A19819" i="1"/>
  <c r="A19818" i="1"/>
  <c r="A19817" i="1"/>
  <c r="A19816" i="1"/>
  <c r="A19815" i="1"/>
  <c r="A19814" i="1"/>
  <c r="A19813" i="1"/>
  <c r="A7199" i="1"/>
  <c r="A2641" i="1"/>
  <c r="A19812" i="1"/>
  <c r="A19811" i="1"/>
  <c r="A19810" i="1"/>
  <c r="A19809" i="1"/>
  <c r="A19808" i="1"/>
  <c r="A19807" i="1"/>
  <c r="A19806" i="1"/>
  <c r="A19805" i="1"/>
  <c r="A19804" i="1"/>
  <c r="A19803" i="1"/>
  <c r="A19802" i="1"/>
  <c r="A19801" i="1"/>
  <c r="A19800" i="1"/>
  <c r="A12722" i="1"/>
  <c r="A19799" i="1"/>
  <c r="A19798" i="1"/>
  <c r="A11444" i="1"/>
  <c r="A19797" i="1"/>
  <c r="A19796" i="1"/>
  <c r="A19795" i="1"/>
  <c r="A19794" i="1"/>
  <c r="A19793" i="1"/>
  <c r="A19792" i="1"/>
  <c r="A19791" i="1"/>
  <c r="A19790" i="1"/>
  <c r="A19789" i="1"/>
  <c r="A16715" i="1"/>
  <c r="A19788" i="1"/>
  <c r="A19787" i="1"/>
  <c r="A19786" i="1"/>
  <c r="A19785" i="1"/>
  <c r="A19784" i="1"/>
  <c r="A19783" i="1"/>
  <c r="A19782" i="1"/>
  <c r="A19781" i="1"/>
  <c r="A19780" i="1"/>
  <c r="A19779" i="1"/>
  <c r="A19778" i="1"/>
  <c r="A19777" i="1"/>
  <c r="A19776" i="1"/>
  <c r="A19775" i="1"/>
  <c r="A19774" i="1"/>
  <c r="A19773" i="1"/>
  <c r="A19772" i="1"/>
  <c r="A19771" i="1"/>
  <c r="A19770" i="1"/>
  <c r="A19769" i="1"/>
  <c r="A19768" i="1"/>
  <c r="A19767" i="1"/>
  <c r="A19766" i="1"/>
  <c r="A19765" i="1"/>
  <c r="A19764" i="1"/>
  <c r="A19763" i="1"/>
  <c r="A19762" i="1"/>
  <c r="A19761" i="1"/>
  <c r="A19760" i="1"/>
  <c r="A19759" i="1"/>
  <c r="A6603" i="1"/>
  <c r="A19758" i="1"/>
  <c r="A19757" i="1"/>
  <c r="A19756" i="1"/>
  <c r="A19755" i="1"/>
  <c r="A19754" i="1"/>
  <c r="A19753" i="1"/>
  <c r="A19752" i="1"/>
  <c r="A19751" i="1"/>
  <c r="A19750" i="1"/>
  <c r="A12487" i="1"/>
  <c r="A19749" i="1"/>
  <c r="A19748" i="1"/>
  <c r="A19747" i="1"/>
  <c r="A19746" i="1"/>
  <c r="A19745" i="1"/>
  <c r="A19744" i="1"/>
  <c r="A19743" i="1"/>
  <c r="A19742" i="1"/>
  <c r="A19741" i="1"/>
  <c r="A19740" i="1"/>
  <c r="A19739" i="1"/>
  <c r="A19738" i="1"/>
  <c r="A19737" i="1"/>
  <c r="A19736" i="1"/>
  <c r="A19735" i="1"/>
  <c r="A19734" i="1"/>
  <c r="A19733" i="1"/>
  <c r="A19732" i="1"/>
  <c r="A19731" i="1"/>
  <c r="A19730" i="1"/>
  <c r="A19729" i="1"/>
  <c r="A19728" i="1"/>
  <c r="A19727" i="1"/>
  <c r="A19726" i="1"/>
  <c r="A19725" i="1"/>
  <c r="A19724" i="1"/>
  <c r="A19723" i="1"/>
  <c r="A19722" i="1"/>
  <c r="A19721" i="1"/>
  <c r="A19720" i="1"/>
  <c r="A19719" i="1"/>
  <c r="A19718" i="1"/>
  <c r="A19717" i="1"/>
  <c r="A12232" i="1"/>
  <c r="A8541" i="1"/>
  <c r="A19716" i="1"/>
  <c r="A19715" i="1"/>
  <c r="A7874" i="1"/>
  <c r="A19714" i="1"/>
  <c r="A19713" i="1"/>
  <c r="A19712" i="1"/>
  <c r="A19711" i="1"/>
  <c r="A19710" i="1"/>
  <c r="A19709" i="1"/>
  <c r="A19708" i="1"/>
  <c r="A19707" i="1"/>
  <c r="A19706" i="1"/>
  <c r="A19705" i="1"/>
  <c r="A19704" i="1"/>
  <c r="A19703" i="1"/>
  <c r="A19702" i="1"/>
  <c r="A19701" i="1"/>
  <c r="A19700" i="1"/>
  <c r="A9388" i="1"/>
  <c r="A19699" i="1"/>
  <c r="A19698" i="1"/>
  <c r="A19697" i="1"/>
  <c r="A19696" i="1"/>
  <c r="A19695" i="1"/>
  <c r="A19694" i="1"/>
  <c r="A19693" i="1"/>
  <c r="A19692" i="1"/>
  <c r="A19691" i="1"/>
  <c r="A19690" i="1"/>
  <c r="A19689" i="1"/>
  <c r="A19688" i="1"/>
  <c r="A19687" i="1"/>
  <c r="A19686" i="1"/>
  <c r="A19685" i="1"/>
  <c r="A19684" i="1"/>
  <c r="A19683" i="1"/>
  <c r="A19682" i="1"/>
  <c r="A19681" i="1"/>
  <c r="A19680" i="1"/>
  <c r="A19679" i="1"/>
  <c r="A2329" i="1"/>
  <c r="A19678" i="1"/>
  <c r="A19677" i="1"/>
  <c r="A19676" i="1"/>
  <c r="A19675" i="1"/>
  <c r="A19674" i="1"/>
  <c r="A19673" i="1"/>
  <c r="A19672" i="1"/>
  <c r="A19671" i="1"/>
  <c r="A19670" i="1"/>
  <c r="A19669" i="1"/>
  <c r="A3162" i="1"/>
  <c r="A19668" i="1"/>
  <c r="A19667" i="1"/>
  <c r="A19666" i="1"/>
  <c r="A19665" i="1"/>
  <c r="A19664" i="1"/>
  <c r="A19663" i="1"/>
  <c r="A19662" i="1"/>
  <c r="A19661" i="1"/>
  <c r="A19660" i="1"/>
  <c r="A19659" i="1"/>
  <c r="A19658" i="1"/>
  <c r="A19657" i="1"/>
  <c r="A15704" i="1"/>
  <c r="A19656" i="1"/>
  <c r="A19655" i="1"/>
  <c r="A19654" i="1"/>
  <c r="A19653" i="1"/>
  <c r="A19652" i="1"/>
  <c r="A19651" i="1"/>
  <c r="A19650" i="1"/>
  <c r="A19649" i="1"/>
  <c r="A7851" i="1"/>
  <c r="A19648" i="1"/>
  <c r="A19647" i="1"/>
  <c r="A19646" i="1"/>
  <c r="A19645" i="1"/>
  <c r="A19644" i="1"/>
  <c r="A13475" i="1"/>
  <c r="A19643" i="1"/>
  <c r="A19642" i="1"/>
  <c r="A19641" i="1"/>
  <c r="A19640" i="1"/>
  <c r="A19639" i="1"/>
  <c r="A19638" i="1"/>
  <c r="A15588" i="1"/>
  <c r="A19637" i="1"/>
  <c r="A19636" i="1"/>
  <c r="A19635" i="1"/>
  <c r="A19634" i="1"/>
  <c r="A19633" i="1"/>
  <c r="A2569" i="1"/>
  <c r="A19632" i="1"/>
  <c r="A19631" i="1"/>
  <c r="A19630" i="1"/>
  <c r="A19629" i="1"/>
  <c r="A19628" i="1"/>
  <c r="A19627" i="1"/>
  <c r="A19626" i="1"/>
  <c r="A19625" i="1"/>
  <c r="A19624" i="1"/>
  <c r="A19623" i="1"/>
  <c r="A19622" i="1"/>
  <c r="A19621" i="1"/>
  <c r="A19620" i="1"/>
  <c r="A19619" i="1"/>
  <c r="A19618" i="1"/>
  <c r="A19617" i="1"/>
  <c r="A19616" i="1"/>
  <c r="A19615" i="1"/>
  <c r="A19614" i="1"/>
  <c r="A19613" i="1"/>
  <c r="A19612" i="1"/>
  <c r="A19611" i="1"/>
  <c r="A19610" i="1"/>
  <c r="A19609" i="1"/>
  <c r="A785" i="1"/>
  <c r="A19608" i="1"/>
  <c r="A19607" i="1"/>
  <c r="A13622" i="1"/>
  <c r="A19606" i="1"/>
  <c r="A19605" i="1"/>
  <c r="A19604" i="1"/>
  <c r="A19603" i="1"/>
  <c r="A19602" i="1"/>
  <c r="A19601" i="1"/>
  <c r="A19600" i="1"/>
  <c r="A19599" i="1"/>
  <c r="A19598" i="1"/>
  <c r="A19597" i="1"/>
  <c r="A19596" i="1"/>
  <c r="A19595" i="1"/>
  <c r="A19594" i="1"/>
  <c r="A19593" i="1"/>
  <c r="A19592" i="1"/>
  <c r="A19591" i="1"/>
  <c r="A19590" i="1"/>
  <c r="A19589" i="1"/>
  <c r="A19588" i="1"/>
  <c r="A19587" i="1"/>
  <c r="A19586" i="1"/>
  <c r="A19585" i="1"/>
  <c r="A19584" i="1"/>
  <c r="A15226" i="1"/>
  <c r="A5106" i="1"/>
  <c r="A19583" i="1"/>
  <c r="A19582" i="1"/>
  <c r="A19581" i="1"/>
  <c r="A19580" i="1"/>
  <c r="A19579" i="1"/>
  <c r="A19578" i="1"/>
  <c r="A13871" i="1"/>
  <c r="A19577" i="1"/>
  <c r="A19576" i="1"/>
  <c r="A19575" i="1"/>
  <c r="A19574" i="1"/>
  <c r="A19573" i="1"/>
  <c r="A19572" i="1"/>
  <c r="A19571" i="1"/>
  <c r="A19570" i="1"/>
  <c r="A19569" i="1"/>
  <c r="A19568" i="1"/>
  <c r="A19567" i="1"/>
  <c r="A13904" i="1"/>
  <c r="A11495" i="1"/>
  <c r="A19566" i="1"/>
  <c r="A8462" i="1"/>
  <c r="A19565" i="1"/>
  <c r="A19564" i="1"/>
  <c r="A19563" i="1"/>
  <c r="A19562" i="1"/>
  <c r="A19561" i="1"/>
  <c r="A19560" i="1"/>
  <c r="A19559" i="1"/>
  <c r="A19558" i="1"/>
  <c r="A19557" i="1"/>
  <c r="A19556" i="1"/>
  <c r="A19555" i="1"/>
  <c r="A10953" i="1"/>
  <c r="A19554" i="1"/>
  <c r="A19553" i="1"/>
  <c r="A19552" i="1"/>
  <c r="A19551" i="1"/>
  <c r="A19550" i="1"/>
  <c r="A10723" i="1"/>
  <c r="A19549" i="1"/>
  <c r="A19548" i="1"/>
  <c r="A558" i="1"/>
  <c r="A19547" i="1"/>
  <c r="A19546" i="1"/>
  <c r="A19545" i="1"/>
  <c r="A19544" i="1"/>
  <c r="A19543" i="1"/>
  <c r="A19542" i="1"/>
  <c r="A19541" i="1"/>
  <c r="A19540" i="1"/>
  <c r="A19539" i="1"/>
  <c r="A19538" i="1"/>
  <c r="A19537" i="1"/>
  <c r="A19536" i="1"/>
  <c r="A19535" i="1"/>
  <c r="A19534" i="1"/>
  <c r="A19533" i="1"/>
  <c r="A7958" i="1"/>
  <c r="A19532" i="1"/>
  <c r="A19531" i="1"/>
  <c r="A19530" i="1"/>
  <c r="A19529" i="1"/>
  <c r="A19528" i="1"/>
  <c r="A19527" i="1"/>
  <c r="A19526" i="1"/>
  <c r="A19525" i="1"/>
  <c r="A6117" i="1"/>
  <c r="A19524" i="1"/>
  <c r="A19523" i="1"/>
  <c r="A19522" i="1"/>
  <c r="A19521" i="1"/>
  <c r="A19520" i="1"/>
  <c r="A19519" i="1"/>
  <c r="A19518" i="1"/>
  <c r="A19517" i="1"/>
  <c r="A7977" i="1"/>
  <c r="A19516" i="1"/>
  <c r="A19515" i="1"/>
  <c r="A19514" i="1"/>
  <c r="A19513" i="1"/>
  <c r="A7354" i="1"/>
  <c r="A19512" i="1"/>
  <c r="A19511" i="1"/>
  <c r="A599" i="1"/>
  <c r="A6795" i="1"/>
  <c r="A19510" i="1"/>
  <c r="A14161" i="1"/>
  <c r="A19509" i="1"/>
  <c r="A19508" i="1"/>
  <c r="A19507" i="1"/>
  <c r="A19506" i="1"/>
  <c r="A19505" i="1"/>
  <c r="A19504" i="1"/>
  <c r="A19503" i="1"/>
  <c r="A19502" i="1"/>
  <c r="A19501" i="1"/>
  <c r="A19500" i="1"/>
  <c r="A19499" i="1"/>
  <c r="A19498" i="1"/>
  <c r="A19497" i="1"/>
  <c r="A19496" i="1"/>
  <c r="A19495" i="1"/>
  <c r="A19494" i="1"/>
  <c r="A19493" i="1"/>
  <c r="A19492" i="1"/>
  <c r="A19491" i="1"/>
  <c r="A19490" i="1"/>
  <c r="A19489" i="1"/>
  <c r="A19488" i="1"/>
  <c r="A8203" i="1"/>
  <c r="A19487" i="1"/>
  <c r="A19486" i="1"/>
  <c r="A3209" i="1"/>
  <c r="A19485" i="1"/>
  <c r="A19484" i="1"/>
  <c r="A19483" i="1"/>
  <c r="A19482" i="1"/>
  <c r="A19481" i="1"/>
  <c r="A19480" i="1"/>
  <c r="A19479" i="1"/>
  <c r="A19478" i="1"/>
  <c r="A19477" i="1"/>
  <c r="A9236" i="1"/>
  <c r="A19476" i="1"/>
  <c r="A19475" i="1"/>
  <c r="A19474" i="1"/>
  <c r="A19473" i="1"/>
  <c r="A19472" i="1"/>
  <c r="A19471" i="1"/>
  <c r="A19470" i="1"/>
  <c r="A19469" i="1"/>
  <c r="A19468" i="1"/>
  <c r="A19467" i="1"/>
  <c r="A19466" i="1"/>
  <c r="A19465" i="1"/>
  <c r="A19464" i="1"/>
  <c r="A19463" i="1"/>
  <c r="A19462" i="1"/>
  <c r="A19461" i="1"/>
  <c r="A19460" i="1"/>
  <c r="A19459" i="1"/>
  <c r="A19458" i="1"/>
  <c r="A19457" i="1"/>
  <c r="A19456" i="1"/>
  <c r="A19455" i="1"/>
  <c r="A19454" i="1"/>
  <c r="A19453" i="1"/>
  <c r="A19452" i="1"/>
  <c r="A19451" i="1"/>
  <c r="A19450" i="1"/>
  <c r="A19449" i="1"/>
  <c r="A19448" i="1"/>
  <c r="A19447" i="1"/>
  <c r="A13626" i="1"/>
  <c r="A19446" i="1"/>
  <c r="A19445" i="1"/>
  <c r="A19444" i="1"/>
  <c r="A19443" i="1"/>
  <c r="A19442" i="1"/>
  <c r="A19441" i="1"/>
  <c r="A19440" i="1"/>
  <c r="A19439" i="1"/>
  <c r="A19438" i="1"/>
  <c r="A19437" i="1"/>
  <c r="A19436" i="1"/>
  <c r="A19435" i="1"/>
  <c r="A15905" i="1"/>
  <c r="A19434" i="1"/>
  <c r="A19433" i="1"/>
  <c r="A19432" i="1"/>
  <c r="A19431" i="1"/>
  <c r="A19430" i="1"/>
  <c r="A19429" i="1"/>
  <c r="A19428" i="1"/>
  <c r="A11846" i="1"/>
  <c r="A15465" i="1"/>
  <c r="A19427" i="1"/>
  <c r="A19426" i="1"/>
  <c r="A19425" i="1"/>
  <c r="A19424" i="1"/>
  <c r="A1539" i="1"/>
  <c r="A19423" i="1"/>
  <c r="A19422" i="1"/>
  <c r="A19421" i="1"/>
  <c r="A19420" i="1"/>
  <c r="A19419" i="1"/>
  <c r="A19418" i="1"/>
  <c r="A19417" i="1"/>
  <c r="A19416" i="1"/>
  <c r="A19415" i="1"/>
  <c r="A19414" i="1"/>
  <c r="A19413" i="1"/>
  <c r="A19412" i="1"/>
  <c r="A19411" i="1"/>
  <c r="A19410" i="1"/>
  <c r="A19409" i="1"/>
  <c r="A19408" i="1"/>
  <c r="A19407" i="1"/>
  <c r="A19406" i="1"/>
  <c r="A19405" i="1"/>
  <c r="A10952" i="1"/>
  <c r="A12620" i="1"/>
  <c r="A19404" i="1"/>
  <c r="A19403" i="1"/>
  <c r="A19402" i="1"/>
  <c r="A19401" i="1"/>
  <c r="A19400" i="1"/>
  <c r="A19399" i="1"/>
  <c r="A19398" i="1"/>
  <c r="A8415" i="1"/>
  <c r="A19397" i="1"/>
  <c r="A19396" i="1"/>
  <c r="A2872" i="1"/>
  <c r="A19395" i="1"/>
  <c r="A19394" i="1"/>
  <c r="A19393" i="1"/>
  <c r="A19392" i="1"/>
  <c r="A19391" i="1"/>
  <c r="A19390" i="1"/>
  <c r="A19389" i="1"/>
  <c r="A19388" i="1"/>
  <c r="A19387" i="1"/>
  <c r="A19386" i="1"/>
  <c r="A19385" i="1"/>
  <c r="A19384" i="1"/>
  <c r="A19383" i="1"/>
  <c r="A19382" i="1"/>
  <c r="A19381" i="1"/>
  <c r="A4537" i="1"/>
  <c r="A19380" i="1"/>
  <c r="A19379" i="1"/>
  <c r="A19378" i="1"/>
  <c r="A19377" i="1"/>
  <c r="A19376" i="1"/>
  <c r="A15261" i="1"/>
  <c r="A19375" i="1"/>
  <c r="A19374" i="1"/>
  <c r="A19373" i="1"/>
  <c r="A19372" i="1"/>
  <c r="A13657" i="1"/>
  <c r="A19371" i="1"/>
  <c r="A19370" i="1"/>
  <c r="A19369" i="1"/>
  <c r="A19368" i="1"/>
  <c r="A19367" i="1"/>
  <c r="A19366" i="1"/>
  <c r="A19365" i="1"/>
  <c r="A15086" i="1"/>
  <c r="A19364" i="1"/>
  <c r="A19363" i="1"/>
  <c r="A19362" i="1"/>
  <c r="A19361" i="1"/>
  <c r="A19360" i="1"/>
  <c r="A19359" i="1"/>
  <c r="A19358" i="1"/>
  <c r="A19357" i="1"/>
  <c r="A19356" i="1"/>
  <c r="A19355" i="1"/>
  <c r="A12317" i="1"/>
  <c r="A19354" i="1"/>
  <c r="A19353" i="1"/>
  <c r="A19352" i="1"/>
  <c r="A19351" i="1"/>
  <c r="A19350" i="1"/>
  <c r="A19349" i="1"/>
  <c r="A19348" i="1"/>
  <c r="A19347" i="1"/>
  <c r="A19346" i="1"/>
  <c r="A19345" i="1"/>
  <c r="A19344" i="1"/>
  <c r="A19343" i="1"/>
  <c r="A19342" i="1"/>
  <c r="A19341" i="1"/>
  <c r="A19340" i="1"/>
  <c r="A19339" i="1"/>
  <c r="A19338" i="1"/>
  <c r="A13810" i="1"/>
  <c r="A19337" i="1"/>
  <c r="A19336" i="1"/>
  <c r="A19335" i="1"/>
  <c r="A19334" i="1"/>
  <c r="A19333" i="1"/>
  <c r="A19332" i="1"/>
  <c r="A19331" i="1"/>
  <c r="A19330" i="1"/>
  <c r="A19329" i="1"/>
  <c r="A19328" i="1"/>
  <c r="A19327" i="1"/>
  <c r="A19326" i="1"/>
  <c r="A19325" i="1"/>
  <c r="A19324" i="1"/>
  <c r="A19323" i="1"/>
  <c r="A19322" i="1"/>
  <c r="A1987" i="1"/>
  <c r="A19321" i="1"/>
  <c r="A19320" i="1"/>
  <c r="A19319" i="1"/>
  <c r="A11274" i="1"/>
  <c r="A19318" i="1"/>
  <c r="A19317" i="1"/>
  <c r="A19316" i="1"/>
  <c r="A19315" i="1"/>
  <c r="A19314" i="1"/>
  <c r="A19313" i="1"/>
  <c r="A13162" i="1"/>
  <c r="A19312" i="1"/>
  <c r="A19311" i="1"/>
  <c r="A19310" i="1"/>
  <c r="A19309" i="1"/>
  <c r="A19308" i="1"/>
  <c r="A19307" i="1"/>
  <c r="A8914" i="1"/>
  <c r="A19306" i="1"/>
  <c r="A19305" i="1"/>
  <c r="A19304" i="1"/>
  <c r="A7850" i="1"/>
  <c r="A19303" i="1"/>
  <c r="A19302" i="1"/>
  <c r="A19301" i="1"/>
  <c r="A19300" i="1"/>
  <c r="A19299" i="1"/>
  <c r="A19298" i="1"/>
  <c r="A19297" i="1"/>
  <c r="A19296" i="1"/>
  <c r="A19295" i="1"/>
  <c r="A19294" i="1"/>
  <c r="A19293" i="1"/>
  <c r="A19292" i="1"/>
  <c r="A6792" i="1"/>
  <c r="A19291" i="1"/>
  <c r="A19290" i="1"/>
  <c r="A5147" i="1"/>
  <c r="A19289" i="1"/>
  <c r="A19288" i="1"/>
  <c r="A19287" i="1"/>
  <c r="A19286" i="1"/>
  <c r="A19285" i="1"/>
  <c r="A19284" i="1"/>
  <c r="A19283" i="1"/>
  <c r="A19282" i="1"/>
  <c r="A19281" i="1"/>
  <c r="A19280" i="1"/>
  <c r="A19279" i="1"/>
  <c r="A19278" i="1"/>
  <c r="A19277" i="1"/>
  <c r="A8571" i="1"/>
  <c r="A19276" i="1"/>
  <c r="A19275" i="1"/>
  <c r="A19274" i="1"/>
  <c r="A19273" i="1"/>
  <c r="A19272" i="1"/>
  <c r="A19271" i="1"/>
  <c r="A19270" i="1"/>
  <c r="A19269" i="1"/>
  <c r="A19268" i="1"/>
  <c r="A19267" i="1"/>
  <c r="A19266" i="1"/>
  <c r="A19265" i="1"/>
  <c r="A19264" i="1"/>
  <c r="A11891" i="1"/>
  <c r="A19263" i="1"/>
  <c r="A19262" i="1"/>
  <c r="A19261" i="1"/>
  <c r="A19260" i="1"/>
  <c r="A19259" i="1"/>
  <c r="A19258" i="1"/>
  <c r="A19257" i="1"/>
  <c r="A19256" i="1"/>
  <c r="A19255" i="1"/>
  <c r="A19254" i="1"/>
  <c r="A19253" i="1"/>
  <c r="A19252" i="1"/>
  <c r="A19251" i="1"/>
  <c r="A19250" i="1"/>
  <c r="A19249" i="1"/>
  <c r="A19248" i="1"/>
  <c r="A19247" i="1"/>
  <c r="A19246" i="1"/>
  <c r="A2990" i="1"/>
  <c r="A19245" i="1"/>
  <c r="A19244" i="1"/>
  <c r="A19243" i="1"/>
  <c r="A19242" i="1"/>
  <c r="A19241" i="1"/>
  <c r="A19240" i="1"/>
  <c r="A19239" i="1"/>
  <c r="A19238" i="1"/>
  <c r="A19237" i="1"/>
  <c r="A15674" i="1"/>
  <c r="A19236" i="1"/>
  <c r="A19235" i="1"/>
  <c r="A19234" i="1"/>
  <c r="A19233" i="1"/>
  <c r="A19232" i="1"/>
  <c r="A19231" i="1"/>
  <c r="A19230" i="1"/>
  <c r="A19229" i="1"/>
  <c r="A19228" i="1"/>
  <c r="A19227" i="1"/>
  <c r="A19226" i="1"/>
  <c r="A10471" i="1"/>
  <c r="A4536" i="1"/>
  <c r="A19225" i="1"/>
  <c r="A19224" i="1"/>
  <c r="A19223" i="1"/>
  <c r="A19222" i="1"/>
  <c r="A19221" i="1"/>
  <c r="A19220" i="1"/>
  <c r="A19219" i="1"/>
  <c r="A19218" i="1"/>
  <c r="A19217" i="1"/>
  <c r="A19216" i="1"/>
  <c r="A19215" i="1"/>
  <c r="A19214" i="1"/>
  <c r="A19213" i="1"/>
  <c r="A19212" i="1"/>
  <c r="A19211" i="1"/>
  <c r="A19210" i="1"/>
  <c r="A19209" i="1"/>
  <c r="A19208" i="1"/>
  <c r="A19207" i="1"/>
  <c r="A12085" i="1"/>
  <c r="A19206" i="1"/>
  <c r="A19205" i="1"/>
  <c r="A19204" i="1"/>
  <c r="A19203" i="1"/>
  <c r="A19202" i="1"/>
  <c r="A19201" i="1"/>
  <c r="A19200" i="1"/>
  <c r="A19199" i="1"/>
  <c r="A19198" i="1"/>
  <c r="A19197" i="1"/>
  <c r="A19196" i="1"/>
  <c r="A19195" i="1"/>
  <c r="A19194" i="1"/>
  <c r="A19193" i="1"/>
  <c r="A15729" i="1"/>
  <c r="A19192" i="1"/>
  <c r="A19191" i="1"/>
  <c r="A15427" i="1"/>
  <c r="A19190" i="1"/>
  <c r="A19189" i="1"/>
  <c r="A19188" i="1"/>
  <c r="A19187" i="1"/>
  <c r="A19186" i="1"/>
  <c r="A19185" i="1"/>
  <c r="A19184" i="1"/>
  <c r="A19183" i="1"/>
  <c r="A14288" i="1"/>
  <c r="A19182" i="1"/>
  <c r="A19181" i="1"/>
  <c r="A19180" i="1"/>
  <c r="A16515" i="1"/>
  <c r="A9387" i="1"/>
  <c r="A19179" i="1"/>
  <c r="A19178" i="1"/>
  <c r="A13850" i="1"/>
  <c r="A19177" i="1"/>
  <c r="A19176" i="1"/>
  <c r="A19175" i="1"/>
  <c r="A19174" i="1"/>
  <c r="A19173" i="1"/>
  <c r="A19172" i="1"/>
  <c r="A19171" i="1"/>
  <c r="A19170" i="1"/>
  <c r="A19169" i="1"/>
  <c r="A15907" i="1"/>
  <c r="A19168" i="1"/>
  <c r="A19167" i="1"/>
  <c r="A19166" i="1"/>
  <c r="A19165" i="1"/>
  <c r="A19164" i="1"/>
  <c r="A19163" i="1"/>
  <c r="A19162" i="1"/>
  <c r="A19161" i="1"/>
  <c r="A19160" i="1"/>
  <c r="A19159" i="1"/>
  <c r="A19158" i="1"/>
  <c r="A19157" i="1"/>
  <c r="A19156" i="1"/>
  <c r="A19155" i="1"/>
  <c r="A19154" i="1"/>
  <c r="A3377" i="1"/>
  <c r="A19153" i="1"/>
  <c r="A19152" i="1"/>
  <c r="A19151" i="1"/>
  <c r="A19150" i="1"/>
  <c r="A19149" i="1"/>
  <c r="A19148" i="1"/>
  <c r="A19147" i="1"/>
  <c r="A19146" i="1"/>
  <c r="A19145" i="1"/>
  <c r="A19144" i="1"/>
  <c r="A19143" i="1"/>
  <c r="A19142" i="1"/>
  <c r="A19141" i="1"/>
  <c r="A19140" i="1"/>
  <c r="A19139" i="1"/>
  <c r="A19138" i="1"/>
  <c r="A19137" i="1"/>
  <c r="A19136" i="1"/>
  <c r="A19135" i="1"/>
  <c r="A19134" i="1"/>
  <c r="A19133" i="1"/>
  <c r="A19132" i="1"/>
  <c r="A19131" i="1"/>
  <c r="A19130" i="1"/>
  <c r="A19129" i="1"/>
  <c r="A19128" i="1"/>
  <c r="A19127" i="1"/>
  <c r="A19126" i="1"/>
  <c r="A19125" i="1"/>
  <c r="A19124" i="1"/>
  <c r="A19123" i="1"/>
  <c r="A19122" i="1"/>
  <c r="A19121" i="1"/>
  <c r="A9022" i="1"/>
  <c r="A19120" i="1"/>
  <c r="A19119" i="1"/>
  <c r="A19118" i="1"/>
  <c r="A4150" i="1"/>
  <c r="A19117" i="1"/>
  <c r="A19116" i="1"/>
  <c r="A19115" i="1"/>
  <c r="A19114" i="1"/>
  <c r="A19113" i="1"/>
  <c r="A19112" i="1"/>
  <c r="A8080" i="1"/>
  <c r="A19111" i="1"/>
  <c r="A19110" i="1"/>
  <c r="A19109" i="1"/>
  <c r="A19108" i="1"/>
  <c r="A19107" i="1"/>
  <c r="A19106" i="1"/>
  <c r="A19105" i="1"/>
  <c r="A19104" i="1"/>
  <c r="A1990" i="1"/>
  <c r="A19103" i="1"/>
  <c r="A19102" i="1"/>
  <c r="A19101" i="1"/>
  <c r="A19100" i="1"/>
  <c r="A19099" i="1"/>
  <c r="A19098" i="1"/>
  <c r="A19097" i="1"/>
  <c r="A19096" i="1"/>
  <c r="A19095" i="1"/>
  <c r="A19094" i="1"/>
  <c r="A19093" i="1"/>
  <c r="A19092" i="1"/>
  <c r="A19091" i="1"/>
  <c r="A19090" i="1"/>
  <c r="A19089" i="1"/>
  <c r="A19088" i="1"/>
  <c r="A19087" i="1"/>
  <c r="A19086" i="1"/>
  <c r="A19085" i="1"/>
  <c r="A19084" i="1"/>
  <c r="A19083" i="1"/>
  <c r="A19082" i="1"/>
  <c r="A19081" i="1"/>
  <c r="A19080" i="1"/>
  <c r="A19079" i="1"/>
  <c r="A19078" i="1"/>
  <c r="A19077" i="1"/>
  <c r="A19076" i="1"/>
  <c r="A19075" i="1"/>
  <c r="A19074" i="1"/>
  <c r="A19073" i="1"/>
  <c r="A19072" i="1"/>
  <c r="A19071" i="1"/>
  <c r="A19070" i="1"/>
  <c r="A19069" i="1"/>
  <c r="A19068" i="1"/>
  <c r="A19067" i="1"/>
  <c r="A19066" i="1"/>
  <c r="A19065" i="1"/>
  <c r="A4239" i="1"/>
  <c r="A19064" i="1"/>
  <c r="A19063" i="1"/>
  <c r="A19062" i="1"/>
  <c r="A19061" i="1"/>
  <c r="A19060" i="1"/>
  <c r="A10350" i="1"/>
  <c r="A2252" i="1"/>
  <c r="A19059" i="1"/>
  <c r="A19058" i="1"/>
  <c r="A19057" i="1"/>
  <c r="A19056" i="1"/>
  <c r="A19055" i="1"/>
  <c r="A19054" i="1"/>
  <c r="A19053" i="1"/>
  <c r="A11526" i="1"/>
  <c r="A19052" i="1"/>
  <c r="A19051" i="1"/>
  <c r="A19050" i="1"/>
  <c r="A19049" i="1"/>
  <c r="A19048" i="1"/>
  <c r="A19047" i="1"/>
  <c r="A19046" i="1"/>
  <c r="A19045" i="1"/>
  <c r="A19044" i="1"/>
  <c r="A19043" i="1"/>
  <c r="A19042" i="1"/>
  <c r="A19041" i="1"/>
  <c r="A15861" i="1"/>
  <c r="A19040" i="1"/>
  <c r="A19039" i="1"/>
  <c r="A19038" i="1"/>
  <c r="A19037" i="1"/>
  <c r="A19036" i="1"/>
  <c r="A19035" i="1"/>
  <c r="A19034" i="1"/>
  <c r="A19033" i="1"/>
  <c r="A19032" i="1"/>
  <c r="A19031" i="1"/>
  <c r="A19030" i="1"/>
  <c r="A19029" i="1"/>
  <c r="A19028" i="1"/>
  <c r="A19027" i="1"/>
  <c r="A19026" i="1"/>
  <c r="A19025" i="1"/>
  <c r="A19024" i="1"/>
  <c r="A2979" i="1"/>
  <c r="A19023" i="1"/>
  <c r="A19022" i="1"/>
  <c r="A19021" i="1"/>
  <c r="A19020" i="1"/>
  <c r="A19019" i="1"/>
  <c r="A19018" i="1"/>
  <c r="A19017" i="1"/>
  <c r="A19016" i="1"/>
  <c r="A19015" i="1"/>
  <c r="A19014" i="1"/>
  <c r="A19013" i="1"/>
  <c r="A19012" i="1"/>
  <c r="A19011" i="1"/>
  <c r="A14090" i="1"/>
  <c r="A19010" i="1"/>
  <c r="A19009" i="1"/>
  <c r="A19008" i="1"/>
  <c r="A19007" i="1"/>
  <c r="A19006" i="1"/>
  <c r="A19005" i="1"/>
  <c r="A19004" i="1"/>
  <c r="A19003" i="1"/>
  <c r="A13151" i="1"/>
  <c r="A5254" i="1"/>
  <c r="A19002" i="1"/>
  <c r="A19001" i="1"/>
  <c r="A19000" i="1"/>
  <c r="A18999" i="1"/>
  <c r="A18998" i="1"/>
  <c r="A18997" i="1"/>
  <c r="A18996" i="1"/>
  <c r="A18995" i="1"/>
  <c r="A18994" i="1"/>
  <c r="A18993" i="1"/>
  <c r="A18992" i="1"/>
  <c r="A18991" i="1"/>
  <c r="A18990" i="1"/>
  <c r="A18989" i="1"/>
  <c r="A18988" i="1"/>
  <c r="A18987" i="1"/>
  <c r="A18986" i="1"/>
  <c r="A18985" i="1"/>
  <c r="A18984" i="1"/>
  <c r="A18983" i="1"/>
  <c r="A18982" i="1"/>
  <c r="A18981" i="1"/>
  <c r="A18980" i="1"/>
  <c r="A18979" i="1"/>
  <c r="A18978" i="1"/>
  <c r="A18977" i="1"/>
  <c r="A15247" i="1"/>
  <c r="A18976" i="1"/>
  <c r="A18975" i="1"/>
  <c r="A18974" i="1"/>
  <c r="A18973" i="1"/>
  <c r="A18972" i="1"/>
  <c r="A18971" i="1"/>
  <c r="A18970" i="1"/>
  <c r="A18969" i="1"/>
  <c r="A18968" i="1"/>
  <c r="A10559" i="1"/>
  <c r="A18967" i="1"/>
  <c r="A18966" i="1"/>
  <c r="A18965" i="1"/>
  <c r="A18964" i="1"/>
  <c r="A18963" i="1"/>
  <c r="A18962" i="1"/>
  <c r="A18961" i="1"/>
  <c r="A18960" i="1"/>
  <c r="A18959" i="1"/>
  <c r="A18958" i="1"/>
  <c r="A18957" i="1"/>
  <c r="A18956" i="1"/>
  <c r="A18955" i="1"/>
  <c r="A18954" i="1"/>
  <c r="A18953" i="1"/>
  <c r="A18952" i="1"/>
  <c r="A18951" i="1"/>
  <c r="A18950" i="1"/>
  <c r="A18949" i="1"/>
  <c r="A18948" i="1"/>
  <c r="A18947" i="1"/>
  <c r="A18946" i="1"/>
  <c r="A18945" i="1"/>
  <c r="A18944" i="1"/>
  <c r="A18943" i="1"/>
  <c r="A18942" i="1"/>
  <c r="A3284" i="1"/>
  <c r="A18941" i="1"/>
  <c r="A18940" i="1"/>
  <c r="A18939" i="1"/>
  <c r="A18938" i="1"/>
  <c r="A18937" i="1"/>
  <c r="A18936" i="1"/>
  <c r="A18935" i="1"/>
  <c r="A18934" i="1"/>
  <c r="A18933" i="1"/>
  <c r="A18932" i="1"/>
  <c r="A18931" i="1"/>
  <c r="A18930" i="1"/>
  <c r="A18929" i="1"/>
  <c r="A1914" i="1"/>
  <c r="A18928" i="1"/>
  <c r="A18927" i="1"/>
  <c r="A18926" i="1"/>
  <c r="A18925" i="1"/>
  <c r="A18924" i="1"/>
  <c r="A18923" i="1"/>
  <c r="A18922" i="1"/>
  <c r="A18921" i="1"/>
  <c r="A18920" i="1"/>
  <c r="A18919" i="1"/>
  <c r="A18918" i="1"/>
  <c r="A18917" i="1"/>
  <c r="A18916" i="1"/>
  <c r="A18915" i="1"/>
  <c r="A18914" i="1"/>
  <c r="A18913" i="1"/>
  <c r="A18912" i="1"/>
  <c r="A18911" i="1"/>
  <c r="A18910" i="1"/>
  <c r="A18909" i="1"/>
  <c r="A18908" i="1"/>
  <c r="A18907" i="1"/>
  <c r="A18906" i="1"/>
  <c r="A18905" i="1"/>
  <c r="A18904" i="1"/>
  <c r="A18903" i="1"/>
  <c r="A18902" i="1"/>
  <c r="A18901" i="1"/>
  <c r="A3585" i="1"/>
  <c r="A18900" i="1"/>
  <c r="A18899" i="1"/>
  <c r="A18898" i="1"/>
  <c r="A18897" i="1"/>
  <c r="A18896" i="1"/>
  <c r="A18895" i="1"/>
  <c r="A18894" i="1"/>
  <c r="A18893" i="1"/>
  <c r="A18892" i="1"/>
  <c r="A18891" i="1"/>
  <c r="A15246" i="1"/>
  <c r="A18890" i="1"/>
  <c r="A18889" i="1"/>
  <c r="A16034" i="1"/>
  <c r="A18888" i="1"/>
  <c r="A18887" i="1"/>
  <c r="A18886" i="1"/>
  <c r="A9929" i="1"/>
  <c r="A18885" i="1"/>
  <c r="A18884" i="1"/>
  <c r="A18883" i="1"/>
  <c r="A18882" i="1"/>
  <c r="A18881" i="1"/>
  <c r="A18880" i="1"/>
  <c r="A18879" i="1"/>
  <c r="A18878" i="1"/>
  <c r="A18877" i="1"/>
  <c r="A18876" i="1"/>
  <c r="A18875" i="1"/>
  <c r="A18874" i="1"/>
  <c r="A18873" i="1"/>
  <c r="A18872" i="1"/>
  <c r="A18871" i="1"/>
  <c r="A18870" i="1"/>
  <c r="A18869" i="1"/>
  <c r="A784" i="1"/>
  <c r="A18868" i="1"/>
  <c r="A18867" i="1"/>
  <c r="A18866" i="1"/>
  <c r="A18865" i="1"/>
  <c r="A18864" i="1"/>
  <c r="A18863" i="1"/>
  <c r="A18862" i="1"/>
  <c r="A18861" i="1"/>
  <c r="A18860" i="1"/>
  <c r="A18859" i="1"/>
  <c r="A18858" i="1"/>
  <c r="A5716" i="1"/>
  <c r="A18857" i="1"/>
  <c r="A18856" i="1"/>
  <c r="A8414" i="1"/>
  <c r="A18855" i="1"/>
  <c r="A18854" i="1"/>
  <c r="A18853" i="1"/>
  <c r="A18852" i="1"/>
  <c r="A18851" i="1"/>
  <c r="A18850" i="1"/>
  <c r="A18849" i="1"/>
  <c r="A18848" i="1"/>
  <c r="A18847" i="1"/>
  <c r="A18846" i="1"/>
  <c r="A18845" i="1"/>
  <c r="A18844" i="1"/>
  <c r="A18843" i="1"/>
  <c r="A18842" i="1"/>
  <c r="A18841" i="1"/>
  <c r="A18840" i="1"/>
  <c r="A18839" i="1"/>
  <c r="A18838" i="1"/>
  <c r="A9074" i="1"/>
  <c r="A18837" i="1"/>
  <c r="A18836" i="1"/>
  <c r="A18835" i="1"/>
  <c r="A18834" i="1"/>
  <c r="A18833" i="1"/>
  <c r="A1543" i="1"/>
  <c r="A18832" i="1"/>
  <c r="A18831" i="1"/>
  <c r="A18830" i="1"/>
  <c r="A18829" i="1"/>
  <c r="A18828" i="1"/>
  <c r="A1373" i="1"/>
  <c r="A18827" i="1"/>
  <c r="A18826" i="1"/>
  <c r="A18825" i="1"/>
  <c r="A18824" i="1"/>
  <c r="A18823" i="1"/>
  <c r="A18822" i="1"/>
  <c r="A18821" i="1"/>
  <c r="A18820" i="1"/>
  <c r="A18819" i="1"/>
  <c r="A18818" i="1"/>
  <c r="A18817" i="1"/>
  <c r="A18816" i="1"/>
  <c r="A18815" i="1"/>
  <c r="A18814" i="1"/>
  <c r="A18813" i="1"/>
  <c r="A18812" i="1"/>
  <c r="A18811" i="1"/>
  <c r="A18810" i="1"/>
  <c r="A18809" i="1"/>
  <c r="A18808" i="1"/>
  <c r="A18807" i="1"/>
  <c r="A18806" i="1"/>
  <c r="A18805" i="1"/>
  <c r="A14289" i="1"/>
  <c r="A18804" i="1"/>
  <c r="A18803" i="1"/>
  <c r="A18802" i="1"/>
  <c r="A18801" i="1"/>
  <c r="A18800" i="1"/>
  <c r="A18799" i="1"/>
  <c r="A18798" i="1"/>
  <c r="A18797" i="1"/>
  <c r="A18796" i="1"/>
  <c r="A18795" i="1"/>
  <c r="A18794" i="1"/>
  <c r="A18793" i="1"/>
  <c r="A18792" i="1"/>
  <c r="A18791" i="1"/>
  <c r="A18790" i="1"/>
  <c r="A18789" i="1"/>
  <c r="A18788" i="1"/>
  <c r="A15792" i="1"/>
  <c r="A18787" i="1"/>
  <c r="A18786" i="1"/>
  <c r="A18785" i="1"/>
  <c r="A18784" i="1"/>
  <c r="A18783" i="1"/>
  <c r="A16575" i="1"/>
  <c r="A18782" i="1"/>
  <c r="A18781" i="1"/>
  <c r="A18780" i="1"/>
  <c r="A18779" i="1"/>
  <c r="A18778" i="1"/>
  <c r="A18777" i="1"/>
  <c r="A18776" i="1"/>
  <c r="A18775" i="1"/>
  <c r="A18774" i="1"/>
  <c r="A18773" i="1"/>
  <c r="A18772" i="1"/>
  <c r="A18771" i="1"/>
  <c r="A18770" i="1"/>
  <c r="A18769" i="1"/>
  <c r="A18768" i="1"/>
  <c r="A18767" i="1"/>
  <c r="A18766" i="1"/>
  <c r="A18765" i="1"/>
  <c r="A18764" i="1"/>
  <c r="A18763" i="1"/>
  <c r="A11116" i="1"/>
  <c r="A18762" i="1"/>
  <c r="A18761" i="1"/>
  <c r="A13295" i="1"/>
  <c r="A9410" i="1"/>
  <c r="A18760" i="1"/>
  <c r="A14368" i="1"/>
  <c r="A18759" i="1"/>
  <c r="A18758" i="1"/>
  <c r="A18757" i="1"/>
  <c r="A18756" i="1"/>
  <c r="A18755" i="1"/>
  <c r="A18754" i="1"/>
  <c r="A18753" i="1"/>
  <c r="A18752" i="1"/>
  <c r="A18751" i="1"/>
  <c r="A18750" i="1"/>
  <c r="A18749" i="1"/>
  <c r="A18748" i="1"/>
  <c r="A18747" i="1"/>
  <c r="A18746" i="1"/>
  <c r="A18745" i="1"/>
  <c r="A18744" i="1"/>
  <c r="A18743" i="1"/>
  <c r="A18742" i="1"/>
  <c r="A18741" i="1"/>
  <c r="A18740" i="1"/>
  <c r="A18739" i="1"/>
  <c r="A18738" i="1"/>
  <c r="A18737" i="1"/>
  <c r="A18736" i="1"/>
  <c r="A18735" i="1"/>
  <c r="A15781" i="1"/>
  <c r="A10741" i="1"/>
  <c r="A18734" i="1"/>
  <c r="A18733" i="1"/>
  <c r="A18732" i="1"/>
  <c r="A18731" i="1"/>
  <c r="A18730" i="1"/>
  <c r="A18729" i="1"/>
  <c r="A18728" i="1"/>
  <c r="A18727" i="1"/>
  <c r="A18726" i="1"/>
  <c r="A18725" i="1"/>
  <c r="A18724" i="1"/>
  <c r="A14465" i="1"/>
  <c r="A18723" i="1"/>
  <c r="A18722" i="1"/>
  <c r="A18721" i="1"/>
  <c r="A18720" i="1"/>
  <c r="A18719" i="1"/>
  <c r="A18718" i="1"/>
  <c r="A16199" i="1"/>
  <c r="A18717" i="1"/>
  <c r="A18716" i="1"/>
  <c r="A18715" i="1"/>
  <c r="A18714" i="1"/>
  <c r="A18713" i="1"/>
  <c r="A18712" i="1"/>
  <c r="A18711" i="1"/>
  <c r="A18710" i="1"/>
  <c r="A18709" i="1"/>
  <c r="A18708" i="1"/>
  <c r="A10570" i="1"/>
  <c r="A18707" i="1"/>
  <c r="A18706" i="1"/>
  <c r="A18705" i="1"/>
  <c r="A14026" i="1"/>
  <c r="A18704" i="1"/>
  <c r="A18703" i="1"/>
  <c r="A18702" i="1"/>
  <c r="A18701" i="1"/>
  <c r="A18700" i="1"/>
  <c r="A18699" i="1"/>
  <c r="A18698" i="1"/>
  <c r="A18697" i="1"/>
  <c r="A18696" i="1"/>
  <c r="A18695" i="1"/>
  <c r="A18694" i="1"/>
  <c r="A18693" i="1"/>
  <c r="A18692" i="1"/>
  <c r="A18691" i="1"/>
  <c r="A18690" i="1"/>
  <c r="A18689" i="1"/>
  <c r="A18688" i="1"/>
  <c r="A18687" i="1"/>
  <c r="A18686" i="1"/>
  <c r="A18685" i="1"/>
  <c r="A18684" i="1"/>
  <c r="A18683" i="1"/>
  <c r="A18682" i="1"/>
  <c r="A18681" i="1"/>
  <c r="A18680" i="1"/>
  <c r="A10923" i="1"/>
  <c r="A12711" i="1"/>
  <c r="A18679" i="1"/>
  <c r="A18678" i="1"/>
  <c r="A18677" i="1"/>
  <c r="A10873" i="1"/>
  <c r="A18676" i="1"/>
  <c r="A18675" i="1"/>
  <c r="A8205" i="1"/>
  <c r="A18674" i="1"/>
  <c r="A18673" i="1"/>
  <c r="A18672" i="1"/>
  <c r="A18671" i="1"/>
  <c r="A18670" i="1"/>
  <c r="A18669" i="1"/>
  <c r="A6389" i="1"/>
  <c r="A18668" i="1"/>
  <c r="A18667" i="1"/>
  <c r="A18666" i="1"/>
  <c r="A13832" i="1"/>
  <c r="A18665" i="1"/>
  <c r="A18664" i="1"/>
  <c r="A18663" i="1"/>
  <c r="A18662" i="1"/>
  <c r="A18661" i="1"/>
  <c r="A18660" i="1"/>
  <c r="A18659" i="1"/>
  <c r="A18658" i="1"/>
  <c r="A18657" i="1"/>
  <c r="A18656" i="1"/>
  <c r="A18655" i="1"/>
  <c r="A18654" i="1"/>
  <c r="A18653" i="1"/>
  <c r="A18652" i="1"/>
  <c r="A18651" i="1"/>
  <c r="A18650" i="1"/>
  <c r="A18649" i="1"/>
  <c r="A18648" i="1"/>
  <c r="A18647" i="1"/>
  <c r="A18646" i="1"/>
  <c r="A18645" i="1"/>
  <c r="A18644" i="1"/>
  <c r="A18643" i="1"/>
  <c r="A18642" i="1"/>
  <c r="A18641" i="1"/>
  <c r="A18640" i="1"/>
  <c r="A18639" i="1"/>
  <c r="A18638" i="1"/>
  <c r="A18637" i="1"/>
  <c r="A18636" i="1"/>
  <c r="A18635" i="1"/>
  <c r="A18634" i="1"/>
  <c r="A18633" i="1"/>
  <c r="A18632" i="1"/>
  <c r="A18631" i="1"/>
  <c r="A18630" i="1"/>
  <c r="A18629" i="1"/>
  <c r="A16590" i="1"/>
  <c r="A18628" i="1"/>
  <c r="A18627" i="1"/>
  <c r="A18626" i="1"/>
  <c r="A18625" i="1"/>
  <c r="A18624" i="1"/>
  <c r="A18623" i="1"/>
  <c r="A18622" i="1"/>
  <c r="A18621" i="1"/>
  <c r="A18620" i="1"/>
  <c r="A18619" i="1"/>
  <c r="A18618" i="1"/>
  <c r="A18617" i="1"/>
  <c r="A18616" i="1"/>
  <c r="A14191" i="1"/>
  <c r="A18615" i="1"/>
  <c r="A18614" i="1"/>
  <c r="A18613" i="1"/>
  <c r="A18612" i="1"/>
  <c r="A18611" i="1"/>
  <c r="A18610" i="1"/>
  <c r="A18609" i="1"/>
  <c r="A18608" i="1"/>
  <c r="A18607" i="1"/>
  <c r="A18606" i="1"/>
  <c r="A18605" i="1"/>
  <c r="A18604" i="1"/>
  <c r="A18603" i="1"/>
  <c r="A18602" i="1"/>
  <c r="A18601" i="1"/>
  <c r="A18600" i="1"/>
  <c r="A18599" i="1"/>
  <c r="A18598" i="1"/>
  <c r="A18597" i="1"/>
  <c r="A18596" i="1"/>
  <c r="A18595" i="1"/>
  <c r="A18594" i="1"/>
  <c r="A18593" i="1"/>
  <c r="A18592" i="1"/>
  <c r="A18591" i="1"/>
  <c r="A18590" i="1"/>
  <c r="A18589" i="1"/>
  <c r="A18588" i="1"/>
  <c r="A18587" i="1"/>
  <c r="A18586" i="1"/>
  <c r="A18585" i="1"/>
  <c r="A18584" i="1"/>
  <c r="A18583" i="1"/>
  <c r="A18582" i="1"/>
  <c r="A18581" i="1"/>
  <c r="A18580" i="1"/>
  <c r="A18579" i="1"/>
  <c r="A18578" i="1"/>
  <c r="A18577" i="1"/>
  <c r="A18576" i="1"/>
  <c r="A18575" i="1"/>
  <c r="A18574" i="1"/>
  <c r="A18573" i="1"/>
  <c r="A18572" i="1"/>
  <c r="A18571" i="1"/>
  <c r="A18570" i="1"/>
  <c r="A18569" i="1"/>
  <c r="A18568" i="1"/>
  <c r="A18567" i="1"/>
  <c r="A18566" i="1"/>
  <c r="A18565" i="1"/>
  <c r="A8522" i="1"/>
  <c r="A18564" i="1"/>
  <c r="A18563" i="1"/>
  <c r="A18562" i="1"/>
  <c r="A18561" i="1"/>
  <c r="A18560" i="1"/>
  <c r="A18559" i="1"/>
  <c r="A18558" i="1"/>
  <c r="A557" i="1"/>
  <c r="A18557" i="1"/>
  <c r="A18556" i="1"/>
  <c r="A18555" i="1"/>
  <c r="A18554" i="1"/>
  <c r="A18553" i="1"/>
  <c r="A18552" i="1"/>
  <c r="A18551" i="1"/>
  <c r="A18550" i="1"/>
  <c r="A18549" i="1"/>
  <c r="A18548" i="1"/>
  <c r="A18547" i="1"/>
  <c r="A18546" i="1"/>
  <c r="A18545" i="1"/>
  <c r="A18544" i="1"/>
  <c r="A18543" i="1"/>
  <c r="A18542" i="1"/>
  <c r="A18541" i="1"/>
  <c r="A18540" i="1"/>
  <c r="A18539" i="1"/>
  <c r="A18538" i="1"/>
  <c r="A16486" i="1"/>
  <c r="A18537" i="1"/>
  <c r="A16275" i="1"/>
  <c r="A18536" i="1"/>
  <c r="A18535" i="1"/>
  <c r="A18534" i="1"/>
  <c r="A18533" i="1"/>
  <c r="A18532" i="1"/>
  <c r="A18531" i="1"/>
  <c r="A18530" i="1"/>
  <c r="A18529" i="1"/>
  <c r="A18528" i="1"/>
  <c r="A18527" i="1"/>
  <c r="A7615" i="1"/>
  <c r="A18526" i="1"/>
  <c r="A4149" i="1"/>
  <c r="A18525" i="1"/>
  <c r="A18524" i="1"/>
  <c r="A18523" i="1"/>
  <c r="A18522" i="1"/>
  <c r="A18521" i="1"/>
  <c r="A18520" i="1"/>
  <c r="A18519" i="1"/>
  <c r="A18518" i="1"/>
  <c r="A18517" i="1"/>
  <c r="A18516" i="1"/>
  <c r="A18515" i="1"/>
  <c r="A18514" i="1"/>
  <c r="A18513" i="1"/>
  <c r="A18512" i="1"/>
  <c r="A18511" i="1"/>
  <c r="A18510" i="1"/>
  <c r="A18509" i="1"/>
  <c r="A18508" i="1"/>
  <c r="A13494" i="1"/>
  <c r="A18507" i="1"/>
  <c r="A18506" i="1"/>
  <c r="A18505" i="1"/>
  <c r="A18504" i="1"/>
  <c r="A18503" i="1"/>
  <c r="A18502" i="1"/>
  <c r="A18501" i="1"/>
  <c r="A18500" i="1"/>
  <c r="A18499" i="1"/>
  <c r="A18498" i="1"/>
  <c r="A18497" i="1"/>
  <c r="A18496" i="1"/>
  <c r="A18495" i="1"/>
  <c r="A18494" i="1"/>
  <c r="A18493" i="1"/>
  <c r="A18492" i="1"/>
  <c r="A18491" i="1"/>
  <c r="A18490" i="1"/>
  <c r="A18489" i="1"/>
  <c r="A18488" i="1"/>
  <c r="A18487" i="1"/>
  <c r="A18486" i="1"/>
  <c r="A18485" i="1"/>
  <c r="A18484" i="1"/>
  <c r="A18483" i="1"/>
  <c r="A18482" i="1"/>
  <c r="A18481" i="1"/>
  <c r="A18480" i="1"/>
  <c r="A18479" i="1"/>
  <c r="A18478" i="1"/>
  <c r="A18477" i="1"/>
  <c r="A18476" i="1"/>
  <c r="A6936" i="1"/>
  <c r="A18475" i="1"/>
  <c r="A18474" i="1"/>
  <c r="A18473" i="1"/>
  <c r="A18472" i="1"/>
  <c r="A18471" i="1"/>
  <c r="A18470" i="1"/>
  <c r="A18469" i="1"/>
  <c r="A18468" i="1"/>
  <c r="A18467" i="1"/>
  <c r="A18466" i="1"/>
  <c r="A18465" i="1"/>
  <c r="A18464" i="1"/>
  <c r="A18463" i="1"/>
  <c r="A18462" i="1"/>
  <c r="A18461" i="1"/>
  <c r="A18460" i="1"/>
  <c r="A18459" i="1"/>
  <c r="A18458" i="1"/>
  <c r="A18457" i="1"/>
  <c r="A18456" i="1"/>
  <c r="A18455" i="1"/>
  <c r="A18454" i="1"/>
  <c r="A18453" i="1"/>
  <c r="A18452" i="1"/>
  <c r="A18451" i="1"/>
  <c r="A7560" i="1"/>
  <c r="A18450" i="1"/>
  <c r="A15034" i="1"/>
  <c r="A18449" i="1"/>
  <c r="A18448" i="1"/>
  <c r="A18447" i="1"/>
  <c r="A18446" i="1"/>
  <c r="A18445" i="1"/>
  <c r="A18444" i="1"/>
  <c r="A18443" i="1"/>
  <c r="A18442" i="1"/>
  <c r="A18441" i="1"/>
  <c r="A18440" i="1"/>
  <c r="A18439" i="1"/>
  <c r="A18438" i="1"/>
  <c r="A18437" i="1"/>
  <c r="A18436" i="1"/>
  <c r="A11142" i="1"/>
  <c r="A18435" i="1"/>
  <c r="A18434" i="1"/>
  <c r="A18433" i="1"/>
  <c r="A18432" i="1"/>
  <c r="A18431" i="1"/>
  <c r="A18430" i="1"/>
  <c r="A18429" i="1"/>
  <c r="A18428" i="1"/>
  <c r="A18427" i="1"/>
  <c r="A18426" i="1"/>
  <c r="A18425" i="1"/>
  <c r="A18424" i="1"/>
  <c r="A18423" i="1"/>
  <c r="A18422" i="1"/>
  <c r="A18421" i="1"/>
  <c r="A18420" i="1"/>
  <c r="A18419" i="1"/>
  <c r="A18418" i="1"/>
  <c r="A18417" i="1"/>
  <c r="A18416" i="1"/>
  <c r="A18415" i="1"/>
  <c r="A18414" i="1"/>
  <c r="A18413" i="1"/>
  <c r="A18412" i="1"/>
  <c r="A18411" i="1"/>
  <c r="A12562" i="1"/>
  <c r="A18410" i="1"/>
  <c r="A18409" i="1"/>
  <c r="A18408" i="1"/>
  <c r="A18407" i="1"/>
  <c r="A11898" i="1"/>
  <c r="A18406" i="1"/>
  <c r="A18405" i="1"/>
  <c r="A18404" i="1"/>
  <c r="A18403" i="1"/>
  <c r="A18402" i="1"/>
  <c r="A11141" i="1"/>
  <c r="A18401" i="1"/>
  <c r="A18400" i="1"/>
  <c r="A18399" i="1"/>
  <c r="A8249" i="1"/>
  <c r="A3845" i="1"/>
  <c r="A18398" i="1"/>
  <c r="A18397" i="1"/>
  <c r="A18396" i="1"/>
  <c r="A18395" i="1"/>
  <c r="A18394" i="1"/>
  <c r="A18393" i="1"/>
  <c r="A18392" i="1"/>
  <c r="A18391" i="1"/>
  <c r="A18390" i="1"/>
  <c r="A18389" i="1"/>
  <c r="A18388" i="1"/>
  <c r="A18387" i="1"/>
  <c r="A18386" i="1"/>
  <c r="A18385" i="1"/>
  <c r="A18384" i="1"/>
  <c r="A18383" i="1"/>
  <c r="A18382" i="1"/>
  <c r="A18381" i="1"/>
  <c r="A18380" i="1"/>
  <c r="A18379" i="1"/>
  <c r="A18378" i="1"/>
  <c r="A18377" i="1"/>
  <c r="A9677" i="1"/>
  <c r="A18376" i="1"/>
  <c r="A18375" i="1"/>
  <c r="A9570" i="1"/>
  <c r="A18374" i="1"/>
  <c r="A18373" i="1"/>
  <c r="A18372" i="1"/>
  <c r="A18371" i="1"/>
  <c r="A18370" i="1"/>
  <c r="A18369" i="1"/>
  <c r="A18368" i="1"/>
  <c r="A18367" i="1"/>
  <c r="A18366" i="1"/>
  <c r="A18365" i="1"/>
  <c r="A18364" i="1"/>
  <c r="A18363" i="1"/>
  <c r="A18362" i="1"/>
  <c r="A18361" i="1"/>
  <c r="A18360" i="1"/>
  <c r="A18359" i="1"/>
  <c r="A18358" i="1"/>
  <c r="A18357" i="1"/>
  <c r="A15234" i="1"/>
  <c r="A18356" i="1"/>
  <c r="A18355" i="1"/>
  <c r="A18354" i="1"/>
  <c r="A18353" i="1"/>
  <c r="A18352" i="1"/>
  <c r="A18351" i="1"/>
  <c r="A18350" i="1"/>
  <c r="A18349" i="1"/>
  <c r="A8413" i="1"/>
  <c r="A18348" i="1"/>
  <c r="A18347" i="1"/>
  <c r="A18346" i="1"/>
  <c r="A18345" i="1"/>
  <c r="A6015" i="1"/>
  <c r="A18344" i="1"/>
  <c r="A18343" i="1"/>
  <c r="A18342" i="1"/>
  <c r="A18341" i="1"/>
  <c r="A18340" i="1"/>
  <c r="A18339" i="1"/>
  <c r="A18338" i="1"/>
  <c r="A18337" i="1"/>
  <c r="A18336" i="1"/>
  <c r="A18335" i="1"/>
  <c r="A4287" i="1"/>
  <c r="A18334" i="1"/>
  <c r="A18333" i="1"/>
  <c r="A18332" i="1"/>
  <c r="A18331" i="1"/>
  <c r="A9409" i="1"/>
  <c r="A18330" i="1"/>
  <c r="A18329" i="1"/>
  <c r="A18328" i="1"/>
  <c r="A18327" i="1"/>
  <c r="A18326" i="1"/>
  <c r="A18325" i="1"/>
  <c r="A18324" i="1"/>
  <c r="A18323" i="1"/>
  <c r="A18322" i="1"/>
  <c r="A18321" i="1"/>
  <c r="A12903" i="1"/>
  <c r="A18320" i="1"/>
  <c r="A18319" i="1"/>
  <c r="A18318" i="1"/>
  <c r="A18317" i="1"/>
  <c r="A18316" i="1"/>
  <c r="A18315" i="1"/>
  <c r="A18314" i="1"/>
  <c r="A18313" i="1"/>
  <c r="A18312" i="1"/>
  <c r="A18311" i="1"/>
  <c r="A18310" i="1"/>
  <c r="A18309" i="1"/>
  <c r="A18308" i="1"/>
  <c r="A18307" i="1"/>
  <c r="A18306" i="1"/>
  <c r="A18305" i="1"/>
  <c r="A18304" i="1"/>
  <c r="A18303" i="1"/>
  <c r="A18302" i="1"/>
  <c r="A18301" i="1"/>
  <c r="A18300" i="1"/>
  <c r="A18299" i="1"/>
  <c r="A18298" i="1"/>
  <c r="A18297" i="1"/>
  <c r="A18296" i="1"/>
  <c r="A18295" i="1"/>
  <c r="A18294" i="1"/>
  <c r="A18293" i="1"/>
  <c r="A18292" i="1"/>
  <c r="A18291" i="1"/>
  <c r="A8647" i="1"/>
  <c r="A18290" i="1"/>
  <c r="A18289" i="1"/>
  <c r="A18288" i="1"/>
  <c r="A18287" i="1"/>
  <c r="A18286" i="1"/>
  <c r="A18285" i="1"/>
  <c r="A18284" i="1"/>
  <c r="A18283" i="1"/>
  <c r="A18282" i="1"/>
  <c r="A7980" i="1"/>
  <c r="A18281" i="1"/>
  <c r="A18280" i="1"/>
  <c r="A18279" i="1"/>
  <c r="A18278" i="1"/>
  <c r="A18277" i="1"/>
  <c r="A18276" i="1"/>
  <c r="A18275" i="1"/>
  <c r="A18274" i="1"/>
  <c r="A18273" i="1"/>
  <c r="A18272" i="1"/>
  <c r="A18271" i="1"/>
  <c r="A18270" i="1"/>
  <c r="A18269" i="1"/>
  <c r="A18268" i="1"/>
  <c r="A18267" i="1"/>
  <c r="A18266" i="1"/>
  <c r="A16546" i="1"/>
  <c r="A18265" i="1"/>
  <c r="A16485" i="1"/>
  <c r="A16482" i="1"/>
  <c r="A16378" i="1"/>
  <c r="A16077" i="1"/>
  <c r="A16689" i="1"/>
  <c r="A16506" i="1"/>
  <c r="A16403" i="1"/>
  <c r="A16707" i="1"/>
  <c r="A16437" i="1"/>
  <c r="A16363" i="1"/>
  <c r="A16699" i="1"/>
  <c r="A16476" i="1"/>
  <c r="A16313" i="1"/>
  <c r="A18264" i="1"/>
  <c r="A12697" i="1"/>
  <c r="A16529" i="1"/>
  <c r="A18263" i="1"/>
  <c r="A18262" i="1"/>
  <c r="A16163" i="1"/>
  <c r="A15931" i="1"/>
  <c r="A16465" i="1"/>
  <c r="A16584" i="1"/>
  <c r="A18261" i="1"/>
  <c r="A16356" i="1"/>
  <c r="A16684" i="1"/>
  <c r="A16271" i="1"/>
  <c r="A15673" i="1"/>
  <c r="A16194" i="1"/>
  <c r="A16149" i="1"/>
  <c r="A16595" i="1"/>
  <c r="A16274" i="1"/>
  <c r="A16688" i="1"/>
  <c r="A16471" i="1"/>
  <c r="A15078" i="1"/>
  <c r="A15505" i="1"/>
  <c r="A16319" i="1"/>
  <c r="A16270" i="1"/>
  <c r="A15701" i="1"/>
  <c r="A18260" i="1"/>
  <c r="A16706" i="1"/>
  <c r="A16038" i="1"/>
  <c r="A16402" i="1"/>
  <c r="A16683" i="1"/>
  <c r="A16698" i="1"/>
  <c r="A16538" i="1"/>
  <c r="A16714" i="1"/>
  <c r="A16377" i="1"/>
  <c r="A14417" i="1"/>
  <c r="A15415" i="1"/>
  <c r="A16583" i="1"/>
  <c r="A16582" i="1"/>
  <c r="A16232" i="1"/>
  <c r="A15428" i="1"/>
  <c r="A16537" i="1"/>
  <c r="A18259" i="1"/>
  <c r="A16677" i="1"/>
  <c r="A556" i="1"/>
  <c r="A15512" i="1"/>
  <c r="A10275" i="1"/>
  <c r="A16682" i="1"/>
  <c r="A16621" i="1"/>
  <c r="A14644" i="1"/>
  <c r="A15765" i="1"/>
  <c r="A16574" i="1"/>
  <c r="A16076" i="1"/>
  <c r="A16436" i="1"/>
  <c r="A16547" i="1"/>
  <c r="A16681" i="1"/>
  <c r="A16111" i="1"/>
  <c r="A16089" i="1"/>
  <c r="A16505" i="1"/>
  <c r="A15464" i="1"/>
  <c r="A15199" i="1"/>
  <c r="A16061" i="1"/>
  <c r="A16376" i="1"/>
  <c r="A5322" i="1"/>
  <c r="A16475" i="1"/>
  <c r="A15668" i="1"/>
  <c r="A16613" i="1"/>
  <c r="A15041" i="1"/>
  <c r="A15764" i="1"/>
  <c r="A16211" i="1"/>
  <c r="A16435" i="1"/>
  <c r="A16335" i="1"/>
  <c r="A15257" i="1"/>
  <c r="A16347" i="1"/>
  <c r="A16581" i="1"/>
  <c r="A16474" i="1"/>
  <c r="A15860" i="1"/>
  <c r="A16454" i="1"/>
  <c r="A18258" i="1"/>
  <c r="A16705" i="1"/>
  <c r="A18257" i="1"/>
  <c r="A16638" i="1"/>
  <c r="A16620" i="1"/>
  <c r="A15953" i="1"/>
  <c r="A16637" i="1"/>
  <c r="A16120" i="1"/>
  <c r="A14729" i="1"/>
  <c r="A16136" i="1"/>
  <c r="A16626" i="1"/>
  <c r="A14794" i="1"/>
  <c r="A18256" i="1"/>
  <c r="A16260" i="1"/>
  <c r="A15716" i="1"/>
  <c r="A16520" i="1"/>
  <c r="A15511" i="1"/>
  <c r="A15682" i="1"/>
  <c r="A18255" i="1"/>
  <c r="A16448" i="1"/>
  <c r="A16130" i="1"/>
  <c r="A15188" i="1"/>
  <c r="A14893" i="1"/>
  <c r="A16573" i="1"/>
  <c r="A16254" i="1"/>
  <c r="A16713" i="1"/>
  <c r="A15672" i="1"/>
  <c r="A15333" i="1"/>
  <c r="A15245" i="1"/>
  <c r="A15504" i="1"/>
  <c r="A16182" i="1"/>
  <c r="A16060" i="1"/>
  <c r="A18254" i="1"/>
  <c r="A18253" i="1"/>
  <c r="A3671" i="1"/>
  <c r="A16453" i="1"/>
  <c r="A16434" i="1"/>
  <c r="A16536" i="1"/>
  <c r="A18252" i="1"/>
  <c r="A18251" i="1"/>
  <c r="A15630" i="1"/>
  <c r="A15995" i="1"/>
  <c r="A16218" i="1"/>
  <c r="A14580" i="1"/>
  <c r="A15569" i="1"/>
  <c r="A16495" i="1"/>
  <c r="A14603" i="1"/>
  <c r="A15985" i="1"/>
  <c r="A15728" i="1"/>
  <c r="A16563" i="1"/>
  <c r="A16312" i="1"/>
  <c r="A16589" i="1"/>
  <c r="A16658" i="1"/>
  <c r="A14745" i="1"/>
  <c r="A16243" i="1"/>
  <c r="A15692" i="1"/>
  <c r="A16125" i="1"/>
  <c r="A16528" i="1"/>
  <c r="A16362" i="1"/>
  <c r="A16329" i="1"/>
  <c r="A16311" i="1"/>
  <c r="A15715" i="1"/>
  <c r="A16657" i="1"/>
  <c r="A15629" i="1"/>
  <c r="A16273" i="1"/>
  <c r="A15917" i="1"/>
  <c r="A16519" i="1"/>
  <c r="A14228" i="1"/>
  <c r="A18250" i="1"/>
  <c r="A15134" i="1"/>
  <c r="A15133" i="1"/>
  <c r="A15974" i="1"/>
  <c r="A16026" i="1"/>
  <c r="A16636" i="1"/>
  <c r="A16566" i="1"/>
  <c r="A13525" i="1"/>
  <c r="A15312" i="1"/>
  <c r="A14169" i="1"/>
  <c r="A16580" i="1"/>
  <c r="A16464" i="1"/>
  <c r="A7728" i="1"/>
  <c r="A16635" i="1"/>
  <c r="A18249" i="1"/>
  <c r="A16625" i="1"/>
  <c r="A15975" i="1"/>
  <c r="A18248" i="1"/>
  <c r="A16458" i="1"/>
  <c r="A15510" i="1"/>
  <c r="A16447" i="1"/>
  <c r="A15750" i="1"/>
  <c r="A16647" i="1"/>
  <c r="A16588" i="1"/>
  <c r="A16619" i="1"/>
  <c r="A16059" i="1"/>
  <c r="A7849" i="1"/>
  <c r="A16425" i="1"/>
  <c r="A16535" i="1"/>
  <c r="A16676" i="1"/>
  <c r="A16110" i="1"/>
  <c r="A16278" i="1"/>
  <c r="A18247" i="1"/>
  <c r="A16188" i="1"/>
  <c r="A15952" i="1"/>
  <c r="A15981" i="1"/>
  <c r="A16634" i="1"/>
  <c r="A15808" i="1"/>
  <c r="A15370" i="1"/>
  <c r="A15960" i="1"/>
  <c r="A16579" i="1"/>
  <c r="A8808" i="1"/>
  <c r="A16296" i="1"/>
  <c r="A16204" i="1"/>
  <c r="A16295" i="1"/>
  <c r="A16551" i="1"/>
  <c r="A16424" i="1"/>
  <c r="A16470" i="1"/>
  <c r="A16018" i="1"/>
  <c r="A15962" i="1"/>
  <c r="A10769" i="1"/>
  <c r="A16499" i="1"/>
  <c r="A15823" i="1"/>
  <c r="A16109" i="1"/>
  <c r="A18246" i="1"/>
  <c r="A18245" i="1"/>
  <c r="A16075" i="1"/>
  <c r="A16157" i="1"/>
  <c r="A13302" i="1"/>
  <c r="A14574" i="1"/>
  <c r="A16568" i="1"/>
  <c r="A15838" i="1"/>
  <c r="A16409" i="1"/>
  <c r="A16203" i="1"/>
  <c r="A16269" i="1"/>
  <c r="A16697" i="1"/>
  <c r="A16339" i="1"/>
  <c r="A15540" i="1"/>
  <c r="A14866" i="1"/>
  <c r="A16552" i="1"/>
  <c r="A18244" i="1"/>
  <c r="A15759" i="1"/>
  <c r="A555" i="1"/>
  <c r="A5750" i="1"/>
  <c r="A15959" i="1"/>
  <c r="A15923" i="1"/>
  <c r="A15539" i="1"/>
  <c r="A16578" i="1"/>
  <c r="A16423" i="1"/>
  <c r="A16704" i="1"/>
  <c r="A16605" i="1"/>
  <c r="A16594" i="1"/>
  <c r="A16650" i="1"/>
  <c r="A16687" i="1"/>
  <c r="A16680" i="1"/>
  <c r="A16593" i="1"/>
  <c r="A16346" i="1"/>
  <c r="A13180" i="1"/>
  <c r="A16618" i="1"/>
  <c r="A15445" i="1"/>
  <c r="A16294" i="1"/>
  <c r="A16483" i="1"/>
  <c r="A18243" i="1"/>
  <c r="A16686" i="1"/>
  <c r="A554" i="1"/>
  <c r="A16198" i="1"/>
  <c r="A15587" i="1"/>
  <c r="A12364" i="1"/>
  <c r="A16646" i="1"/>
  <c r="A16494" i="1"/>
  <c r="A16067" i="1"/>
  <c r="A15432" i="1"/>
  <c r="A16242" i="1"/>
  <c r="A18242" i="1"/>
  <c r="A16591" i="1"/>
  <c r="A6362" i="1"/>
  <c r="A15700" i="1"/>
  <c r="A16617" i="1"/>
  <c r="A16223" i="1"/>
  <c r="A15714" i="1"/>
  <c r="A16181" i="1"/>
  <c r="A16685" i="1"/>
  <c r="A15400" i="1"/>
  <c r="A16011" i="1"/>
  <c r="A16010" i="1"/>
  <c r="A16668" i="1"/>
  <c r="A8031" i="1"/>
  <c r="A16672" i="1"/>
  <c r="A16463" i="1"/>
  <c r="A16241" i="1"/>
  <c r="A18241" i="1"/>
  <c r="A16446" i="1"/>
  <c r="A16561" i="1"/>
  <c r="A13968" i="1"/>
  <c r="A16217" i="1"/>
  <c r="A16452" i="1"/>
  <c r="A18240" i="1"/>
  <c r="A18239" i="1"/>
  <c r="A16283" i="1"/>
  <c r="A11379" i="1"/>
  <c r="A15807" i="1"/>
  <c r="A14754" i="1"/>
  <c r="A16301" i="1"/>
  <c r="A16656" i="1"/>
  <c r="A16135" i="1"/>
  <c r="A16433" i="1"/>
  <c r="A16310" i="1"/>
  <c r="A16050" i="1"/>
  <c r="A15327" i="1"/>
  <c r="A16432" i="1"/>
  <c r="A15187" i="1"/>
  <c r="A14984" i="1"/>
  <c r="A16210" i="1"/>
  <c r="A16355" i="1"/>
  <c r="A13123" i="1"/>
  <c r="A16469" i="1"/>
  <c r="A14498" i="1"/>
  <c r="A16600" i="1"/>
  <c r="A16451" i="1"/>
  <c r="A16058" i="1"/>
  <c r="A15407" i="1"/>
  <c r="A16514" i="1"/>
  <c r="A14590" i="1"/>
  <c r="A16624" i="1"/>
  <c r="A15904" i="1"/>
  <c r="A18238" i="1"/>
  <c r="A16398" i="1"/>
  <c r="A16504" i="1"/>
  <c r="A16587" i="1"/>
  <c r="A18237" i="1"/>
  <c r="A15605" i="1"/>
  <c r="A15798" i="1"/>
  <c r="A15951" i="1"/>
  <c r="A16422" i="1"/>
  <c r="A15112" i="1"/>
  <c r="A13058" i="1"/>
  <c r="A16408" i="1"/>
  <c r="A14426" i="1"/>
  <c r="A16102" i="1"/>
  <c r="A16338" i="1"/>
  <c r="A16175" i="1"/>
  <c r="A16481" i="1"/>
  <c r="A16334" i="1"/>
  <c r="A15822" i="1"/>
  <c r="A14966" i="1"/>
  <c r="A16572" i="1"/>
  <c r="A14051" i="1"/>
  <c r="A16462" i="1"/>
  <c r="A16560" i="1"/>
  <c r="A18236" i="1"/>
  <c r="A15217" i="1"/>
  <c r="A16633" i="1"/>
  <c r="A16383" i="1"/>
  <c r="A14975" i="1"/>
  <c r="A15362" i="1"/>
  <c r="A15842" i="1"/>
  <c r="A18235" i="1"/>
  <c r="A14687" i="1"/>
  <c r="A16253" i="1"/>
  <c r="A16108" i="1"/>
  <c r="A15708" i="1"/>
  <c r="A18234" i="1"/>
  <c r="A13087" i="1"/>
  <c r="A16081" i="1"/>
  <c r="A16127" i="1"/>
  <c r="A16389" i="1"/>
  <c r="A16222" i="1"/>
  <c r="A14865" i="1"/>
  <c r="A7198" i="1"/>
  <c r="A14425" i="1"/>
  <c r="A14935" i="1"/>
  <c r="A16006" i="1"/>
  <c r="A16259" i="1"/>
  <c r="A16559" i="1"/>
  <c r="A15143" i="1"/>
  <c r="A15699" i="1"/>
  <c r="A15915" i="1"/>
  <c r="A16513" i="1"/>
  <c r="A6076" i="1"/>
  <c r="A15212" i="1"/>
  <c r="A16397" i="1"/>
  <c r="A16565" i="1"/>
  <c r="A15806" i="1"/>
  <c r="A18233" i="1"/>
  <c r="A15879" i="1"/>
  <c r="A15267" i="1"/>
  <c r="A16293" i="1"/>
  <c r="A16361" i="1"/>
  <c r="A18232" i="1"/>
  <c r="A16375" i="1"/>
  <c r="A18231" i="1"/>
  <c r="A18230" i="1"/>
  <c r="A18229" i="1"/>
  <c r="A553" i="1"/>
  <c r="A16049" i="1"/>
  <c r="A16703" i="1"/>
  <c r="A16534" i="1"/>
  <c r="A16264" i="1"/>
  <c r="A16216" i="1"/>
  <c r="A15426" i="1"/>
  <c r="A15499" i="1"/>
  <c r="A16667" i="1"/>
  <c r="A16345" i="1"/>
  <c r="A14533" i="1"/>
  <c r="A16645" i="1"/>
  <c r="A16604" i="1"/>
  <c r="A18228" i="1"/>
  <c r="A16461" i="1"/>
  <c r="A16612" i="1"/>
  <c r="A15340" i="1"/>
  <c r="A12664" i="1"/>
  <c r="A957" i="1"/>
  <c r="A14815" i="1"/>
  <c r="A15707" i="1"/>
  <c r="A15889" i="1"/>
  <c r="A16632" i="1"/>
  <c r="A16000" i="1"/>
  <c r="A16025" i="1"/>
  <c r="A5772" i="1"/>
  <c r="A16696" i="1"/>
  <c r="A15773" i="1"/>
  <c r="A16215" i="1"/>
  <c r="A16167" i="1"/>
  <c r="A18227" i="1"/>
  <c r="A16037" i="1"/>
  <c r="A16344" i="1"/>
  <c r="A15425" i="1"/>
  <c r="A16231" i="1"/>
  <c r="A15943" i="1"/>
  <c r="A16611" i="1"/>
  <c r="A16354" i="1"/>
  <c r="A16318" i="1"/>
  <c r="A16197" i="1"/>
  <c r="A15749" i="1"/>
  <c r="A18226" i="1"/>
  <c r="A16368" i="1"/>
  <c r="A16328" i="1"/>
  <c r="A14892" i="1"/>
  <c r="A16599" i="1"/>
  <c r="A15950" i="1"/>
  <c r="A15595" i="1"/>
  <c r="A16675" i="1"/>
  <c r="A16445" i="1"/>
  <c r="A16156" i="1"/>
  <c r="A16623" i="1"/>
  <c r="A16353" i="1"/>
  <c r="A15487" i="1"/>
  <c r="A15973" i="1"/>
  <c r="A15972" i="1"/>
  <c r="A16306" i="1"/>
  <c r="A16598" i="1"/>
  <c r="A14934" i="1"/>
  <c r="A15378" i="1"/>
  <c r="A15568" i="1"/>
  <c r="A16564" i="1"/>
  <c r="A16131" i="1"/>
  <c r="A15337" i="1"/>
  <c r="A14550" i="1"/>
  <c r="A18225" i="1"/>
  <c r="A16644" i="1"/>
  <c r="A15431" i="1"/>
  <c r="A18224" i="1"/>
  <c r="A16468" i="1"/>
  <c r="A16277" i="1"/>
  <c r="A15586" i="1"/>
  <c r="A16043" i="1"/>
  <c r="A16512" i="1"/>
  <c r="A15713" i="1"/>
  <c r="A15256" i="1"/>
  <c r="A16333" i="1"/>
  <c r="A12371" i="1"/>
  <c r="A15351" i="1"/>
  <c r="A16107" i="1"/>
  <c r="A16571" i="1"/>
  <c r="A14470" i="1"/>
  <c r="A10427" i="1"/>
  <c r="A15164" i="1"/>
  <c r="A18223" i="1"/>
  <c r="A16119" i="1"/>
  <c r="A16246" i="1"/>
  <c r="A16230" i="1"/>
  <c r="A15528" i="1"/>
  <c r="A12316" i="1"/>
  <c r="A16017" i="1"/>
  <c r="A16101" i="1"/>
  <c r="A16327" i="1"/>
  <c r="A15285" i="1"/>
  <c r="A14793" i="1"/>
  <c r="A16695" i="1"/>
  <c r="A16272" i="1"/>
  <c r="A16214" i="1"/>
  <c r="A14834" i="1"/>
  <c r="A16048" i="1"/>
  <c r="A18222" i="1"/>
  <c r="A18221" i="1"/>
  <c r="A15706" i="1"/>
  <c r="A6818" i="1"/>
  <c r="A16027" i="1"/>
  <c r="A16511" i="1"/>
  <c r="A15903" i="1"/>
  <c r="A16229" i="1"/>
  <c r="A16174" i="1"/>
  <c r="A16396" i="1"/>
  <c r="A18220" i="1"/>
  <c r="A16395" i="1"/>
  <c r="A16550" i="1"/>
  <c r="A14210" i="1"/>
  <c r="A16100" i="1"/>
  <c r="A16065" i="1"/>
  <c r="A15085" i="1"/>
  <c r="A16510" i="1"/>
  <c r="A14315" i="1"/>
  <c r="A15691" i="1"/>
  <c r="A14396" i="1"/>
  <c r="A15994" i="1"/>
  <c r="A16533" i="1"/>
  <c r="A16193" i="1"/>
  <c r="A16631" i="1"/>
  <c r="A16616" i="1"/>
  <c r="A16527" i="1"/>
  <c r="A16615" i="1"/>
  <c r="A14940" i="1"/>
  <c r="A16088" i="1"/>
  <c r="A16655" i="1"/>
  <c r="A15971" i="1"/>
  <c r="A15837" i="1"/>
  <c r="A18219" i="1"/>
  <c r="A16240" i="1"/>
  <c r="A16407" i="1"/>
  <c r="A15797" i="1"/>
  <c r="A15255" i="1"/>
  <c r="A15821" i="1"/>
  <c r="A16666" i="1"/>
  <c r="A10629" i="1"/>
  <c r="A15836" i="1"/>
  <c r="A18218" i="1"/>
  <c r="A16526" i="1"/>
  <c r="A14115" i="1"/>
  <c r="A16252" i="1"/>
  <c r="A16147" i="1"/>
  <c r="A16480" i="1"/>
  <c r="A16643" i="1"/>
  <c r="A18217" i="1"/>
  <c r="A14850" i="1"/>
  <c r="A16665" i="1"/>
  <c r="A14737" i="1"/>
  <c r="A15980" i="1"/>
  <c r="A16317" i="1"/>
  <c r="A15377" i="1"/>
  <c r="A14409" i="1"/>
  <c r="A15293" i="1"/>
  <c r="A16173" i="1"/>
  <c r="A15780" i="1"/>
  <c r="A16166" i="1"/>
  <c r="A18216" i="1"/>
  <c r="A16406" i="1"/>
  <c r="A16421" i="1"/>
  <c r="A14010" i="1"/>
  <c r="A15525" i="1"/>
  <c r="A16292" i="1"/>
  <c r="A14635" i="1"/>
  <c r="A16545" i="1"/>
  <c r="A15772" i="1"/>
  <c r="A18215" i="1"/>
  <c r="A15100" i="1"/>
  <c r="A16597" i="1"/>
  <c r="A16228" i="1"/>
  <c r="A18214" i="1"/>
  <c r="A15233" i="1"/>
  <c r="A7727" i="1"/>
  <c r="A13023" i="1"/>
  <c r="A16187" i="1"/>
  <c r="A16630" i="1"/>
  <c r="A16415" i="1"/>
  <c r="A16562" i="1"/>
  <c r="A15758" i="1"/>
  <c r="A15186" i="1"/>
  <c r="A16558" i="1"/>
  <c r="A14711" i="1"/>
  <c r="A13634" i="1"/>
  <c r="A15835" i="1"/>
  <c r="A16509" i="1"/>
  <c r="A15266" i="1"/>
  <c r="A16172" i="1"/>
  <c r="A14276" i="1"/>
  <c r="A15771" i="1"/>
  <c r="A16674" i="1"/>
  <c r="A16360" i="1"/>
  <c r="A16239" i="1"/>
  <c r="A18213" i="1"/>
  <c r="A15826" i="1"/>
  <c r="A15350" i="1"/>
  <c r="A16367" i="1"/>
  <c r="A16057" i="1"/>
  <c r="A16276" i="1"/>
  <c r="A15524" i="1"/>
  <c r="A16352" i="1"/>
  <c r="A552" i="1"/>
  <c r="A16567" i="1"/>
  <c r="A14744" i="1"/>
  <c r="A16431" i="1"/>
  <c r="A16180" i="1"/>
  <c r="A18212" i="1"/>
  <c r="A16610" i="1"/>
  <c r="A18211" i="1"/>
  <c r="A16493" i="1"/>
  <c r="A16673" i="1"/>
  <c r="A16570" i="1"/>
  <c r="A14549" i="1"/>
  <c r="A16492" i="1"/>
  <c r="A15888" i="1"/>
  <c r="A15993" i="1"/>
  <c r="A16525" i="1"/>
  <c r="A16192" i="1"/>
  <c r="A15451" i="1"/>
  <c r="A15895" i="1"/>
  <c r="A16609" i="1"/>
  <c r="A16664" i="1"/>
  <c r="A15942" i="1"/>
  <c r="A18210" i="1"/>
  <c r="A18209" i="1"/>
  <c r="A18208" i="1"/>
  <c r="A18207" i="1"/>
  <c r="A15640" i="1"/>
  <c r="A16337" i="1"/>
  <c r="A15941" i="1"/>
  <c r="A16351" i="1"/>
  <c r="A15474" i="1"/>
  <c r="A15276" i="1"/>
  <c r="A16155" i="1"/>
  <c r="A13933" i="1"/>
  <c r="A16134" i="1"/>
  <c r="A15834" i="1"/>
  <c r="A16291" i="1"/>
  <c r="A15867" i="1"/>
  <c r="A16251" i="1"/>
  <c r="A16503" i="1"/>
  <c r="A7216" i="1"/>
  <c r="A16394" i="1"/>
  <c r="A18206" i="1"/>
  <c r="A15902" i="1"/>
  <c r="A16393" i="1"/>
  <c r="A16099" i="1"/>
  <c r="A18205" i="1"/>
  <c r="A16524" i="1"/>
  <c r="A8710" i="1"/>
  <c r="A15519" i="1"/>
  <c r="A15914" i="1"/>
  <c r="A16343" i="1"/>
  <c r="A18204" i="1"/>
  <c r="A16342" i="1"/>
  <c r="A16491" i="1"/>
  <c r="A15791" i="1"/>
  <c r="A13501" i="1"/>
  <c r="A16374" i="1"/>
  <c r="A15930" i="1"/>
  <c r="A16467" i="1"/>
  <c r="A16497" i="1"/>
  <c r="A15225" i="1"/>
  <c r="A16162" i="1"/>
  <c r="A16161" i="1"/>
  <c r="A15940" i="1"/>
  <c r="A13554" i="1"/>
  <c r="A15417" i="1"/>
  <c r="A16066" i="1"/>
  <c r="A13733" i="1"/>
  <c r="A16064" i="1"/>
  <c r="A18203" i="1"/>
  <c r="A16063" i="1"/>
  <c r="A18202" i="1"/>
  <c r="A11795" i="1"/>
  <c r="A16401" i="1"/>
  <c r="A13915" i="1"/>
  <c r="A13844" i="1"/>
  <c r="A15901" i="1"/>
  <c r="A16332" i="1"/>
  <c r="A15424" i="1"/>
  <c r="A16221" i="1"/>
  <c r="A14373" i="1"/>
  <c r="A15939" i="1"/>
  <c r="A18201" i="1"/>
  <c r="A15001" i="1"/>
  <c r="A16654" i="1"/>
  <c r="A15332" i="1"/>
  <c r="A16490" i="1"/>
  <c r="A16024" i="1"/>
  <c r="A15613" i="1"/>
  <c r="A6039" i="1"/>
  <c r="A7559" i="1"/>
  <c r="A18200" i="1"/>
  <c r="A16557" i="1"/>
  <c r="A16096" i="1"/>
  <c r="A15681" i="1"/>
  <c r="A11897" i="1"/>
  <c r="A16350" i="1"/>
  <c r="A8461" i="1"/>
  <c r="A16245" i="1"/>
  <c r="A15612" i="1"/>
  <c r="A15056" i="1"/>
  <c r="A16663" i="1"/>
  <c r="A16300" i="1"/>
  <c r="A4754" i="1"/>
  <c r="A16196" i="1"/>
  <c r="A16056" i="1"/>
  <c r="A14965" i="1"/>
  <c r="A16124" i="1"/>
  <c r="A15841" i="1"/>
  <c r="A14287" i="1"/>
  <c r="A16444" i="1"/>
  <c r="A15790" i="1"/>
  <c r="A13702" i="1"/>
  <c r="A8485" i="1"/>
  <c r="A15349" i="1"/>
  <c r="A15833" i="1"/>
  <c r="A15463" i="1"/>
  <c r="A16586" i="1"/>
  <c r="A15224" i="1"/>
  <c r="A16544" i="1"/>
  <c r="A15938" i="1"/>
  <c r="A16577" i="1"/>
  <c r="A15486" i="1"/>
  <c r="A16258" i="1"/>
  <c r="A15611" i="1"/>
  <c r="A15727" i="1"/>
  <c r="A16508" i="1"/>
  <c r="A15814" i="1"/>
  <c r="A16186" i="1"/>
  <c r="A18199" i="1"/>
  <c r="A15097" i="1"/>
  <c r="A15966" i="1"/>
  <c r="A16309" i="1"/>
  <c r="A5362" i="1"/>
  <c r="A15473" i="1"/>
  <c r="A15442" i="1"/>
  <c r="A15033" i="1"/>
  <c r="A16118" i="1"/>
  <c r="A15913" i="1"/>
  <c r="A18198" i="1"/>
  <c r="A18197" i="1"/>
  <c r="A14237" i="1"/>
  <c r="A16502" i="1"/>
  <c r="A15065" i="1"/>
  <c r="A16642" i="1"/>
  <c r="A16694" i="1"/>
  <c r="A16523" i="1"/>
  <c r="A16282" i="1"/>
  <c r="A551" i="1"/>
  <c r="A16388" i="1"/>
  <c r="A13534" i="1"/>
  <c r="A16160" i="1"/>
  <c r="A14408" i="1"/>
  <c r="A3039" i="1"/>
  <c r="A15604" i="1"/>
  <c r="A16366" i="1"/>
  <c r="A16016" i="1"/>
  <c r="A15698" i="1"/>
  <c r="A15585" i="1"/>
  <c r="A16387" i="1"/>
  <c r="A15779" i="1"/>
  <c r="A14908" i="1"/>
  <c r="A15132" i="1"/>
  <c r="A14518" i="1"/>
  <c r="A16154" i="1"/>
  <c r="A16023" i="1"/>
  <c r="A16153" i="1"/>
  <c r="A15832" i="1"/>
  <c r="A14939" i="1"/>
  <c r="A15866" i="1"/>
  <c r="A18196" i="1"/>
  <c r="A15503" i="1"/>
  <c r="A15284" i="1"/>
  <c r="A18195" i="1"/>
  <c r="A15472" i="1"/>
  <c r="A16382" i="1"/>
  <c r="A14836" i="1"/>
  <c r="A13903" i="1"/>
  <c r="A16653" i="1"/>
  <c r="A16257" i="1"/>
  <c r="A16290" i="1"/>
  <c r="A16087" i="1"/>
  <c r="A16015" i="1"/>
  <c r="A15894" i="1"/>
  <c r="A16022" i="1"/>
  <c r="A16414" i="1"/>
  <c r="A16289" i="1"/>
  <c r="A16106" i="1"/>
  <c r="A13561" i="1"/>
  <c r="A15763" i="1"/>
  <c r="A16702" i="1"/>
  <c r="A16324" i="1"/>
  <c r="A15979" i="1"/>
  <c r="A16556" i="1"/>
  <c r="A15680" i="1"/>
  <c r="A16227" i="1"/>
  <c r="A15559" i="1"/>
  <c r="A16392" i="1"/>
  <c r="A15654" i="1"/>
  <c r="A15471" i="1"/>
  <c r="A18194" i="1"/>
  <c r="A15887" i="1"/>
  <c r="A16117" i="1"/>
  <c r="A1815" i="1"/>
  <c r="A13022" i="1"/>
  <c r="A13746" i="1"/>
  <c r="A18193" i="1"/>
  <c r="A15502" i="1"/>
  <c r="A16171" i="1"/>
  <c r="A18192" i="1"/>
  <c r="A16438" i="1"/>
  <c r="A15012" i="1"/>
  <c r="A16286" i="1"/>
  <c r="A15796" i="1"/>
  <c r="A15958" i="1"/>
  <c r="A15064" i="1"/>
  <c r="A15748" i="1"/>
  <c r="A18191" i="1"/>
  <c r="A18190" i="1"/>
  <c r="A15978" i="1"/>
  <c r="A16413" i="1"/>
  <c r="A14080" i="1"/>
  <c r="A15462" i="1"/>
  <c r="A16281" i="1"/>
  <c r="A15111" i="1"/>
  <c r="A16349" i="1"/>
  <c r="A16047" i="1"/>
  <c r="A15414" i="1"/>
  <c r="A16518" i="1"/>
  <c r="A16213" i="1"/>
  <c r="A13870" i="1"/>
  <c r="A14721" i="1"/>
  <c r="A18189" i="1"/>
  <c r="A14525" i="1"/>
  <c r="A18188" i="1"/>
  <c r="A15124" i="1"/>
  <c r="A18187" i="1"/>
  <c r="A15055" i="1"/>
  <c r="A15518" i="1"/>
  <c r="A15712" i="1"/>
  <c r="A3542" i="1"/>
  <c r="A16074" i="1"/>
  <c r="A16009" i="1"/>
  <c r="A18186" i="1"/>
  <c r="A15937" i="1"/>
  <c r="A14679" i="1"/>
  <c r="A16652" i="1"/>
  <c r="A18185" i="1"/>
  <c r="A15789" i="1"/>
  <c r="A16373" i="1"/>
  <c r="A16146" i="1"/>
  <c r="A18184" i="1"/>
  <c r="A13745" i="1"/>
  <c r="A15084" i="1"/>
  <c r="A7033" i="1"/>
  <c r="A16080" i="1"/>
  <c r="A16629" i="1"/>
  <c r="A16220" i="1"/>
  <c r="A14520" i="1"/>
  <c r="A15865" i="1"/>
  <c r="A16532" i="1"/>
  <c r="A15864" i="1"/>
  <c r="A18183" i="1"/>
  <c r="A14823" i="1"/>
  <c r="A15361" i="1"/>
  <c r="A18182" i="1"/>
  <c r="A12981" i="1"/>
  <c r="A16430" i="1"/>
  <c r="A15308" i="1"/>
  <c r="A16316" i="1"/>
  <c r="A18181" i="1"/>
  <c r="A16095" i="1"/>
  <c r="A5471" i="1"/>
  <c r="A15847" i="1"/>
  <c r="A13744" i="1"/>
  <c r="A16238" i="1"/>
  <c r="A14974" i="1"/>
  <c r="A15096" i="1"/>
  <c r="A18180" i="1"/>
  <c r="A14279" i="1"/>
  <c r="A16145" i="1"/>
  <c r="A15628" i="1"/>
  <c r="A15603" i="1"/>
  <c r="A15509" i="1"/>
  <c r="A15331" i="1"/>
  <c r="A11409" i="1"/>
  <c r="A18179" i="1"/>
  <c r="A16712" i="1"/>
  <c r="A15466" i="1"/>
  <c r="A16443" i="1"/>
  <c r="A15747" i="1"/>
  <c r="A14814" i="1"/>
  <c r="A16460" i="1"/>
  <c r="A15393" i="1"/>
  <c r="A13236" i="1"/>
  <c r="A15538" i="1"/>
  <c r="A16400" i="1"/>
  <c r="A18178" i="1"/>
  <c r="A16693" i="1"/>
  <c r="A18177" i="1"/>
  <c r="A15198" i="1"/>
  <c r="A13086" i="1"/>
  <c r="A16603" i="1"/>
  <c r="A16144" i="1"/>
  <c r="A13073" i="1"/>
  <c r="A15970" i="1"/>
  <c r="A18176" i="1"/>
  <c r="A14813" i="1"/>
  <c r="A18175" i="1"/>
  <c r="A16442" i="1"/>
  <c r="A15922" i="1"/>
  <c r="A14938" i="1"/>
  <c r="A16123" i="1"/>
  <c r="A15348" i="1"/>
  <c r="A16649" i="1"/>
  <c r="A16365" i="1"/>
  <c r="A16662" i="1"/>
  <c r="A14407" i="1"/>
  <c r="A15596" i="1"/>
  <c r="A15602" i="1"/>
  <c r="A13932" i="1"/>
  <c r="A15423" i="1"/>
  <c r="A15770" i="1"/>
  <c r="A14927" i="1"/>
  <c r="A16079" i="1"/>
  <c r="A15537" i="1"/>
  <c r="A15567" i="1"/>
  <c r="A15238" i="1"/>
  <c r="A16622" i="1"/>
  <c r="A16152" i="1"/>
  <c r="A15330" i="1"/>
  <c r="A15751" i="1"/>
  <c r="A15399" i="1"/>
  <c r="A15667" i="1"/>
  <c r="A15558" i="1"/>
  <c r="A15071" i="1"/>
  <c r="A18174" i="1"/>
  <c r="A15757" i="1"/>
  <c r="A16042" i="1"/>
  <c r="A16429" i="1"/>
  <c r="A15406" i="1"/>
  <c r="A16692" i="1"/>
  <c r="A14662" i="1"/>
  <c r="A15163" i="1"/>
  <c r="A16237" i="1"/>
  <c r="A18173" i="1"/>
  <c r="A11412" i="1"/>
  <c r="A15054" i="1"/>
  <c r="A15115" i="1"/>
  <c r="A15322" i="1"/>
  <c r="A15070" i="1"/>
  <c r="A16033" i="1"/>
  <c r="A15929" i="1"/>
  <c r="A12441" i="1"/>
  <c r="A16280" i="1"/>
  <c r="A16226" i="1"/>
  <c r="A15690" i="1"/>
  <c r="A18172" i="1"/>
  <c r="A12904" i="1"/>
  <c r="A15498" i="1"/>
  <c r="A15911" i="1"/>
  <c r="A16185" i="1"/>
  <c r="A16602" i="1"/>
  <c r="A16679" i="1"/>
  <c r="A15517" i="1"/>
  <c r="A16236" i="1"/>
  <c r="A15497" i="1"/>
  <c r="A16170" i="1"/>
  <c r="A4030" i="1"/>
  <c r="A13425" i="1"/>
  <c r="A14720" i="1"/>
  <c r="A15679" i="1"/>
  <c r="A15027" i="1"/>
  <c r="A18171" i="1"/>
  <c r="A14916" i="1"/>
  <c r="A14964" i="1"/>
  <c r="A15977" i="1"/>
  <c r="A16341" i="1"/>
  <c r="A16412" i="1"/>
  <c r="A15413" i="1"/>
  <c r="A14960" i="1"/>
  <c r="A9702" i="1"/>
  <c r="A15648" i="1"/>
  <c r="A14532" i="1"/>
  <c r="A14382" i="1"/>
  <c r="A15601" i="1"/>
  <c r="A16129" i="1"/>
  <c r="A16263" i="1"/>
  <c r="A15530" i="1"/>
  <c r="A15546" i="1"/>
  <c r="A18170" i="1"/>
  <c r="A15697" i="1"/>
  <c r="A16261" i="1"/>
  <c r="A4326" i="1"/>
  <c r="A12387" i="1"/>
  <c r="A14768" i="1"/>
  <c r="A16420" i="1"/>
  <c r="A16116" i="1"/>
  <c r="A18169" i="1"/>
  <c r="A18168" i="1"/>
  <c r="A16014" i="1"/>
  <c r="A14643" i="1"/>
  <c r="A15687" i="1"/>
  <c r="A13142" i="1"/>
  <c r="A15678" i="1"/>
  <c r="A5227" i="1"/>
  <c r="A14061" i="1"/>
  <c r="A15666" i="1"/>
  <c r="A18167" i="1"/>
  <c r="A15536" i="1"/>
  <c r="A16641" i="1"/>
  <c r="A14849" i="1"/>
  <c r="A15610" i="1"/>
  <c r="A15365" i="1"/>
  <c r="A16576" i="1"/>
  <c r="A15545" i="1"/>
  <c r="A15928" i="1"/>
  <c r="A15123" i="1"/>
  <c r="A14722" i="1"/>
  <c r="A18166" i="1"/>
  <c r="A16151" i="1"/>
  <c r="A13925" i="1"/>
  <c r="A15307" i="1"/>
  <c r="A15171" i="1"/>
  <c r="A15886" i="1"/>
  <c r="A11842" i="1"/>
  <c r="A12417" i="1"/>
  <c r="A12967" i="1"/>
  <c r="A15523" i="1"/>
  <c r="A15801" i="1"/>
  <c r="A18165" i="1"/>
  <c r="A15696" i="1"/>
  <c r="A16285" i="1"/>
  <c r="A15813" i="1"/>
  <c r="A11690" i="1"/>
  <c r="A15185" i="1"/>
  <c r="A16005" i="1"/>
  <c r="A15874" i="1"/>
  <c r="A15885" i="1"/>
  <c r="A15026" i="1"/>
  <c r="A15292" i="1"/>
  <c r="A15746" i="1"/>
  <c r="A15376" i="1"/>
  <c r="A16250" i="1"/>
  <c r="A18164" i="1"/>
  <c r="A18163" i="1"/>
  <c r="A15820" i="1"/>
  <c r="A14771" i="1"/>
  <c r="A15144" i="1"/>
  <c r="A18162" i="1"/>
  <c r="A16640" i="1"/>
  <c r="A11617" i="1"/>
  <c r="A15846" i="1"/>
  <c r="A18161" i="1"/>
  <c r="A18160" i="1"/>
  <c r="A15173" i="1"/>
  <c r="A14416" i="1"/>
  <c r="A10628" i="1"/>
  <c r="A14548" i="1"/>
  <c r="A16614" i="1"/>
  <c r="A15275" i="1"/>
  <c r="A12888" i="1"/>
  <c r="A15900" i="1"/>
  <c r="A14667" i="1"/>
  <c r="A15840" i="1"/>
  <c r="A14933" i="1"/>
  <c r="A18159" i="1"/>
  <c r="A15989" i="1"/>
  <c r="A15500" i="1"/>
  <c r="A16596" i="1"/>
  <c r="A15639" i="1"/>
  <c r="A15274" i="1"/>
  <c r="A13483" i="1"/>
  <c r="A15461" i="1"/>
  <c r="A13064" i="1"/>
  <c r="A15232" i="1"/>
  <c r="A16305" i="1"/>
  <c r="A14932" i="1"/>
  <c r="A18158" i="1"/>
  <c r="A15988" i="1"/>
  <c r="A15671" i="1"/>
  <c r="A16479" i="1"/>
  <c r="A14336" i="1"/>
  <c r="A16133" i="1"/>
  <c r="A15705" i="1"/>
  <c r="A10372" i="1"/>
  <c r="A15878" i="1"/>
  <c r="A15496" i="1"/>
  <c r="A16086" i="1"/>
  <c r="A15470" i="1"/>
  <c r="A18157" i="1"/>
  <c r="A15854" i="1"/>
  <c r="A15326" i="1"/>
  <c r="A14335" i="1"/>
  <c r="A16543" i="1"/>
  <c r="A15670" i="1"/>
  <c r="A16661" i="1"/>
  <c r="A18156" i="1"/>
  <c r="A15584" i="1"/>
  <c r="A12394" i="1"/>
  <c r="A15291" i="1"/>
  <c r="A11550" i="1"/>
  <c r="A15949" i="1"/>
  <c r="A16091" i="1"/>
  <c r="A15726" i="1"/>
  <c r="A18155" i="1"/>
  <c r="A15069" i="1"/>
  <c r="A15984" i="1"/>
  <c r="A14833" i="1"/>
  <c r="A15403" i="1"/>
  <c r="A14406" i="1"/>
  <c r="A15689" i="1"/>
  <c r="A15495" i="1"/>
  <c r="A15778" i="1"/>
  <c r="A16094" i="1"/>
  <c r="A14783" i="1"/>
  <c r="A15936" i="1"/>
  <c r="A16359" i="1"/>
  <c r="A11362" i="1"/>
  <c r="A16522" i="1"/>
  <c r="A15021" i="1"/>
  <c r="A18154" i="1"/>
  <c r="A13633" i="1"/>
  <c r="A14864" i="1"/>
  <c r="A16032" i="1"/>
  <c r="A15104" i="1"/>
  <c r="A15686" i="1"/>
  <c r="A16419" i="1"/>
  <c r="A15381" i="1"/>
  <c r="A15485" i="1"/>
  <c r="A7732" i="1"/>
  <c r="A15460" i="1"/>
  <c r="A18153" i="1"/>
  <c r="A15522" i="1"/>
  <c r="A15831" i="1"/>
  <c r="A15494" i="1"/>
  <c r="A14300" i="1"/>
  <c r="A16323" i="1"/>
  <c r="A13187" i="1"/>
  <c r="A16055" i="1"/>
  <c r="A15725" i="1"/>
  <c r="A15583" i="1"/>
  <c r="A15501" i="1"/>
  <c r="A15571" i="1"/>
  <c r="A16340" i="1"/>
  <c r="A15516" i="1"/>
  <c r="A16372" i="1"/>
  <c r="A14343" i="1"/>
  <c r="A15011" i="1"/>
  <c r="A16078" i="1"/>
  <c r="A15095" i="1"/>
  <c r="A16165" i="1"/>
  <c r="A10034" i="1"/>
  <c r="A15819" i="1"/>
  <c r="A14784" i="1"/>
  <c r="A15176" i="1"/>
  <c r="A13040" i="1"/>
  <c r="A18152" i="1"/>
  <c r="A13934" i="1"/>
  <c r="A15873" i="1"/>
  <c r="A15422" i="1"/>
  <c r="A16073" i="1"/>
  <c r="A16072" i="1"/>
  <c r="A15000" i="1"/>
  <c r="A16489" i="1"/>
  <c r="A13199" i="1"/>
  <c r="A16202" i="1"/>
  <c r="A13039" i="1"/>
  <c r="A15566" i="1"/>
  <c r="A14983" i="1"/>
  <c r="A15405" i="1"/>
  <c r="A14999" i="1"/>
  <c r="A14286" i="1"/>
  <c r="A15306" i="1"/>
  <c r="A15162" i="1"/>
  <c r="A14686" i="1"/>
  <c r="A13143" i="1"/>
  <c r="A14678" i="1"/>
  <c r="A16143" i="1"/>
  <c r="A15447" i="1"/>
  <c r="A12654" i="1"/>
  <c r="A15745" i="1"/>
  <c r="A15321" i="1"/>
  <c r="A16441" i="1"/>
  <c r="A15992" i="1"/>
  <c r="A15594" i="1"/>
  <c r="A14540" i="1"/>
  <c r="A15845" i="1"/>
  <c r="A14937" i="1"/>
  <c r="A16093" i="1"/>
  <c r="A14449" i="1"/>
  <c r="A11645" i="1"/>
  <c r="A15872" i="1"/>
  <c r="A15142" i="1"/>
  <c r="A15910" i="1"/>
  <c r="A15300" i="1"/>
  <c r="A14701" i="1"/>
  <c r="A14915" i="1"/>
  <c r="A12438" i="1"/>
  <c r="A16115" i="1"/>
  <c r="A15544" i="1"/>
  <c r="A15935" i="1"/>
  <c r="A14363" i="1"/>
  <c r="A13673" i="1"/>
  <c r="A13693" i="1"/>
  <c r="A14025" i="1"/>
  <c r="A13813" i="1"/>
  <c r="A14959" i="1"/>
  <c r="A16132" i="1"/>
  <c r="A15170" i="1"/>
  <c r="A15999" i="1"/>
  <c r="A14435" i="1"/>
  <c r="A16085" i="1"/>
  <c r="A15557" i="1"/>
  <c r="A15565" i="1"/>
  <c r="A14508" i="1"/>
  <c r="A18151" i="1"/>
  <c r="A15788" i="1"/>
  <c r="A16386" i="1"/>
  <c r="A14236" i="1"/>
  <c r="A15871" i="1"/>
  <c r="A15515" i="1"/>
  <c r="A18150" i="1"/>
  <c r="A14147" i="1"/>
  <c r="A18149" i="1"/>
  <c r="A14555" i="1"/>
  <c r="A14958" i="1"/>
  <c r="A15254" i="1"/>
  <c r="A15469" i="1"/>
  <c r="A15921" i="1"/>
  <c r="A15818" i="1"/>
  <c r="A16701" i="1"/>
  <c r="A11408" i="1"/>
  <c r="A18148" i="1"/>
  <c r="A15777" i="1"/>
  <c r="A14992" i="1"/>
  <c r="A13441" i="1"/>
  <c r="A16405" i="1"/>
  <c r="A15593" i="1"/>
  <c r="A15627" i="1"/>
  <c r="A15626" i="1"/>
  <c r="A13632" i="1"/>
  <c r="A14565" i="1"/>
  <c r="A16549" i="1"/>
  <c r="A15564" i="1"/>
  <c r="A14693" i="1"/>
  <c r="A15776" i="1"/>
  <c r="A16521" i="1"/>
  <c r="A16249" i="1"/>
  <c r="A16098" i="1"/>
  <c r="A14753" i="1"/>
  <c r="A15659" i="1"/>
  <c r="A16297" i="1"/>
  <c r="A16008" i="1"/>
  <c r="A16256" i="1"/>
  <c r="A15738" i="1"/>
  <c r="A14612" i="1"/>
  <c r="A18147" i="1"/>
  <c r="A15211" i="1"/>
  <c r="A13367" i="1"/>
  <c r="A15122" i="1"/>
  <c r="A15398" i="1"/>
  <c r="A15184" i="1"/>
  <c r="A14128" i="1"/>
  <c r="A14267" i="1"/>
  <c r="A15688" i="1"/>
  <c r="A16142" i="1"/>
  <c r="A15592" i="1"/>
  <c r="A18146" i="1"/>
  <c r="A15677" i="1"/>
  <c r="A13515" i="1"/>
  <c r="A14891" i="1"/>
  <c r="A13914" i="1"/>
  <c r="A4821" i="1"/>
  <c r="A15244" i="1"/>
  <c r="A15493" i="1"/>
  <c r="A7702" i="1"/>
  <c r="A15695" i="1"/>
  <c r="A15459" i="1"/>
  <c r="A16054" i="1"/>
  <c r="A14464" i="1"/>
  <c r="A15412" i="1"/>
  <c r="A15631" i="1"/>
  <c r="A11104" i="1"/>
  <c r="A16711" i="1"/>
  <c r="A4199" i="1"/>
  <c r="A16555" i="1"/>
  <c r="A15625" i="1"/>
  <c r="A16021" i="1"/>
  <c r="A13571" i="1"/>
  <c r="A15965" i="1"/>
  <c r="A15243" i="1"/>
  <c r="A15077" i="1"/>
  <c r="A15441" i="1"/>
  <c r="A15969" i="1"/>
  <c r="A14079" i="1"/>
  <c r="A12554" i="1"/>
  <c r="A15653" i="1"/>
  <c r="A13924" i="1"/>
  <c r="A16020" i="1"/>
  <c r="A18145" i="1"/>
  <c r="A13386" i="1"/>
  <c r="A15853" i="1"/>
  <c r="A16201" i="1"/>
  <c r="A13500" i="1"/>
  <c r="A14982" i="1"/>
  <c r="A15053" i="1"/>
  <c r="A15421" i="1"/>
  <c r="A15899" i="1"/>
  <c r="A12696" i="1"/>
  <c r="A14217" i="1"/>
  <c r="A13863" i="1"/>
  <c r="A16321" i="1"/>
  <c r="A13701" i="1"/>
  <c r="A16195" i="1"/>
  <c r="A13301" i="1"/>
  <c r="A15063" i="1"/>
  <c r="A15197" i="1"/>
  <c r="A15273" i="1"/>
  <c r="A16391" i="1"/>
  <c r="A16457" i="1"/>
  <c r="A15446" i="1"/>
  <c r="A18144" i="1"/>
  <c r="A15402" i="1"/>
  <c r="A14922" i="1"/>
  <c r="A16004" i="1"/>
  <c r="A12749" i="1"/>
  <c r="A16542" i="1"/>
  <c r="A15991" i="1"/>
  <c r="A15440" i="1"/>
  <c r="A13831" i="1"/>
  <c r="A14738" i="1"/>
  <c r="A15948" i="1"/>
  <c r="A18143" i="1"/>
  <c r="A16322" i="1"/>
  <c r="A10071" i="1"/>
  <c r="A550" i="1"/>
  <c r="A8460" i="1"/>
  <c r="A18142" i="1"/>
  <c r="A15927" i="1"/>
  <c r="A14110" i="1"/>
  <c r="A15439" i="1"/>
  <c r="A15582" i="1"/>
  <c r="A15389" i="1"/>
  <c r="A15149" i="1"/>
  <c r="A15563" i="1"/>
  <c r="A15103" i="1"/>
  <c r="A14907" i="1"/>
  <c r="A15665" i="1"/>
  <c r="A14642" i="1"/>
  <c r="A13258" i="1"/>
  <c r="A12849" i="1"/>
  <c r="A15458" i="1"/>
  <c r="A15737" i="1"/>
  <c r="A18141" i="1"/>
  <c r="A18140" i="1"/>
  <c r="A18139" i="1"/>
  <c r="A10768" i="1"/>
  <c r="A15161" i="1"/>
  <c r="A13710" i="1"/>
  <c r="A15898" i="1"/>
  <c r="A13471" i="1"/>
  <c r="A14160" i="1"/>
  <c r="A8433" i="1"/>
  <c r="A13899" i="1"/>
  <c r="A15744" i="1"/>
  <c r="A18138" i="1"/>
  <c r="A16105" i="1"/>
  <c r="A16191" i="1"/>
  <c r="A15658" i="1"/>
  <c r="A14482" i="1"/>
  <c r="A15347" i="1"/>
  <c r="A14517" i="1"/>
  <c r="A15669" i="1"/>
  <c r="A12630" i="1"/>
  <c r="A16159" i="1"/>
  <c r="A15769" i="1"/>
  <c r="A14981" i="1"/>
  <c r="A16084" i="1"/>
  <c r="A13462" i="1"/>
  <c r="A18137" i="1"/>
  <c r="A16390" i="1"/>
  <c r="A14092" i="1"/>
  <c r="A14862" i="1"/>
  <c r="A15346" i="1"/>
  <c r="A15657" i="1"/>
  <c r="A14861" i="1"/>
  <c r="A15556" i="1"/>
  <c r="A14700" i="1"/>
  <c r="A15787" i="1"/>
  <c r="A15083" i="1"/>
  <c r="A15724" i="1"/>
  <c r="A12812" i="1"/>
  <c r="A16585" i="1"/>
  <c r="A14531" i="1"/>
  <c r="A14926" i="1"/>
  <c r="A15387" i="1"/>
  <c r="A15320" i="1"/>
  <c r="A15638" i="1"/>
  <c r="A11605" i="1"/>
  <c r="A15492" i="1"/>
  <c r="A15555" i="1"/>
  <c r="A15438" i="1"/>
  <c r="A16358" i="1"/>
  <c r="A16660" i="1"/>
  <c r="A13644" i="1"/>
  <c r="A14822" i="1"/>
  <c r="A14354" i="1"/>
  <c r="A9898" i="1"/>
  <c r="A15023" i="1"/>
  <c r="A12505" i="1"/>
  <c r="A16013" i="1"/>
  <c r="A16235" i="1"/>
  <c r="A18136" i="1"/>
  <c r="A16456" i="1"/>
  <c r="A15968" i="1"/>
  <c r="A14641" i="1"/>
  <c r="A14890" i="1"/>
  <c r="A14661" i="1"/>
  <c r="A15859" i="1"/>
  <c r="A8374" i="1"/>
  <c r="A16450" i="1"/>
  <c r="A12588" i="1"/>
  <c r="A15052" i="1"/>
  <c r="A7129" i="1"/>
  <c r="A18135" i="1"/>
  <c r="A16262" i="1"/>
  <c r="A13591" i="1"/>
  <c r="A2496" i="1"/>
  <c r="A549" i="1"/>
  <c r="A14597" i="1"/>
  <c r="A8163" i="1"/>
  <c r="A15526" i="1"/>
  <c r="A14957" i="1"/>
  <c r="A15768" i="1"/>
  <c r="A15916" i="1"/>
  <c r="A13989" i="1"/>
  <c r="A14832" i="1"/>
  <c r="A14334" i="1"/>
  <c r="A18134" i="1"/>
  <c r="A18133" i="1"/>
  <c r="A15141" i="1"/>
  <c r="A14973" i="1"/>
  <c r="A14353" i="1"/>
  <c r="A16031" i="1"/>
  <c r="A15216" i="1"/>
  <c r="A15357" i="1"/>
  <c r="A9366" i="1"/>
  <c r="A14821" i="1"/>
  <c r="A18132" i="1"/>
  <c r="A14362" i="1"/>
  <c r="A15920" i="1"/>
  <c r="A15664" i="1"/>
  <c r="A14634" i="1"/>
  <c r="A13553" i="1"/>
  <c r="A15215" i="1"/>
  <c r="A15647" i="1"/>
  <c r="A14586" i="1"/>
  <c r="A15535" i="1"/>
  <c r="A15723" i="1"/>
  <c r="A18131" i="1"/>
  <c r="A16418" i="1"/>
  <c r="A15177" i="1"/>
  <c r="A15231" i="1"/>
  <c r="A15437" i="1"/>
  <c r="A15506" i="1"/>
  <c r="A18130" i="1"/>
  <c r="A15581" i="1"/>
  <c r="A15589" i="1"/>
  <c r="A14925" i="1"/>
  <c r="A14624" i="1"/>
  <c r="A10312" i="1"/>
  <c r="A18129" i="1"/>
  <c r="A15884" i="1"/>
  <c r="A14448" i="1"/>
  <c r="A15214" i="1"/>
  <c r="A18128" i="1"/>
  <c r="A13967" i="1"/>
  <c r="A16003" i="1"/>
  <c r="A8691" i="1"/>
  <c r="A15283" i="1"/>
  <c r="A13643" i="1"/>
  <c r="A11703" i="1"/>
  <c r="A18127" i="1"/>
  <c r="A15237" i="1"/>
  <c r="A15637" i="1"/>
  <c r="A15795" i="1"/>
  <c r="A14951" i="1"/>
  <c r="A16122" i="1"/>
  <c r="A14581" i="1"/>
  <c r="A548" i="1"/>
  <c r="A16308" i="1"/>
  <c r="A14882" i="1"/>
  <c r="A15329" i="1"/>
  <c r="A15508" i="1"/>
  <c r="A13732" i="1"/>
  <c r="A18126" i="1"/>
  <c r="A13955" i="1"/>
  <c r="A15554" i="1"/>
  <c r="A14060" i="1"/>
  <c r="A15236" i="1"/>
  <c r="A14717" i="1"/>
  <c r="A15954" i="1"/>
  <c r="A16209" i="1"/>
  <c r="A15893" i="1"/>
  <c r="A15094" i="1"/>
  <c r="A18125" i="1"/>
  <c r="A15335" i="1"/>
  <c r="A18124" i="1"/>
  <c r="A15375" i="1"/>
  <c r="A16369" i="1"/>
  <c r="A15858" i="1"/>
  <c r="A18123" i="1"/>
  <c r="A15892" i="1"/>
  <c r="A14903" i="1"/>
  <c r="A13869" i="1"/>
  <c r="A15017" i="1"/>
  <c r="A18122" i="1"/>
  <c r="A14692" i="1"/>
  <c r="A15339" i="1"/>
  <c r="A14914" i="1"/>
  <c r="A14677" i="1"/>
  <c r="A15325" i="1"/>
  <c r="A14736" i="1"/>
  <c r="A14463" i="1"/>
  <c r="A14510" i="1"/>
  <c r="A15484" i="1"/>
  <c r="A16030" i="1"/>
  <c r="A16608" i="1"/>
  <c r="A15636" i="1"/>
  <c r="A16268" i="1"/>
  <c r="A18121" i="1"/>
  <c r="A15356" i="1"/>
  <c r="A14672" i="1"/>
  <c r="A15635" i="1"/>
  <c r="A13431" i="1"/>
  <c r="A15600" i="1"/>
  <c r="A15722" i="1"/>
  <c r="A15483" i="1"/>
  <c r="A16710" i="1"/>
  <c r="A15620" i="1"/>
  <c r="A16348" i="1"/>
  <c r="A9809" i="1"/>
  <c r="A15883" i="1"/>
  <c r="A14489" i="1"/>
  <c r="A15345" i="1"/>
  <c r="A15870" i="1"/>
  <c r="A15210" i="1"/>
  <c r="A15196" i="1"/>
  <c r="A14998" i="1"/>
  <c r="A14755" i="1"/>
  <c r="A13862" i="1"/>
  <c r="A18120" i="1"/>
  <c r="A15093" i="1"/>
  <c r="A12748" i="1"/>
  <c r="A16498" i="1"/>
  <c r="A15358" i="1"/>
  <c r="A15877" i="1"/>
  <c r="A13954" i="1"/>
  <c r="A14917" i="1"/>
  <c r="A15160" i="1"/>
  <c r="A14752" i="1"/>
  <c r="A14656" i="1"/>
  <c r="A16179" i="1"/>
  <c r="A16114" i="1"/>
  <c r="A15693" i="1"/>
  <c r="A15676" i="1"/>
  <c r="A18119" i="1"/>
  <c r="A14685" i="1"/>
  <c r="A14857" i="1"/>
  <c r="A14285" i="1"/>
  <c r="A12561" i="1"/>
  <c r="A15562" i="1"/>
  <c r="A14309" i="1"/>
  <c r="A13263" i="1"/>
  <c r="A14547" i="1"/>
  <c r="A14405" i="1"/>
  <c r="A14447" i="1"/>
  <c r="A18118" i="1"/>
  <c r="A15621" i="1"/>
  <c r="A16036" i="1"/>
  <c r="A13776" i="1"/>
  <c r="A15634" i="1"/>
  <c r="A15926" i="1"/>
  <c r="A18117" i="1"/>
  <c r="A14099" i="1"/>
  <c r="A15457" i="1"/>
  <c r="A18116" i="1"/>
  <c r="A13812" i="1"/>
  <c r="A15369" i="1"/>
  <c r="A15839" i="1"/>
  <c r="A14488" i="1"/>
  <c r="A14481" i="1"/>
  <c r="A15148" i="1"/>
  <c r="A18115" i="1"/>
  <c r="A14950" i="1"/>
  <c r="A15721" i="1"/>
  <c r="A15265" i="1"/>
  <c r="A12165" i="1"/>
  <c r="A10106" i="1"/>
  <c r="A14120" i="1"/>
  <c r="A14175" i="1"/>
  <c r="A14751" i="1"/>
  <c r="A14691" i="1"/>
  <c r="A15618" i="1"/>
  <c r="A14602" i="1"/>
  <c r="A14284" i="1"/>
  <c r="A18114" i="1"/>
  <c r="A15685" i="1"/>
  <c r="A18113" i="1"/>
  <c r="A13021" i="1"/>
  <c r="A15553" i="1"/>
  <c r="A15092" i="1"/>
  <c r="A15482" i="1"/>
  <c r="A11876" i="1"/>
  <c r="A15736" i="1"/>
  <c r="A15450" i="1"/>
  <c r="A15805" i="1"/>
  <c r="A14487" i="1"/>
  <c r="A14174" i="1"/>
  <c r="A14660" i="1"/>
  <c r="A15016" i="1"/>
  <c r="A15147" i="1"/>
  <c r="A15964" i="1"/>
  <c r="A14856" i="1"/>
  <c r="A14146" i="1"/>
  <c r="A14972" i="1"/>
  <c r="A14507" i="1"/>
  <c r="A15491" i="1"/>
  <c r="A15091" i="1"/>
  <c r="A13778" i="1"/>
  <c r="A14184" i="1"/>
  <c r="A13292" i="1"/>
  <c r="A13497" i="1"/>
  <c r="A14651" i="1"/>
  <c r="A18112" i="1"/>
  <c r="A18111" i="1"/>
  <c r="A14848" i="1"/>
  <c r="A14255" i="1"/>
  <c r="A14971" i="1"/>
  <c r="A10922" i="1"/>
  <c r="A18110" i="1"/>
  <c r="A14924" i="1"/>
  <c r="A4412" i="1"/>
  <c r="A15456" i="1"/>
  <c r="A14991" i="1"/>
  <c r="A15121" i="1"/>
  <c r="A14684" i="1"/>
  <c r="A9477" i="1"/>
  <c r="A13590" i="1"/>
  <c r="A1814" i="1"/>
  <c r="A15756" i="1"/>
  <c r="A14611" i="1"/>
  <c r="A14847" i="1"/>
  <c r="A13337" i="1"/>
  <c r="A15599" i="1"/>
  <c r="A18109" i="1"/>
  <c r="A16440" i="1"/>
  <c r="A14187" i="1"/>
  <c r="A15131" i="1"/>
  <c r="A14497" i="1"/>
  <c r="A15436" i="1"/>
  <c r="A15812" i="1"/>
  <c r="A15534" i="1"/>
  <c r="A13257" i="1"/>
  <c r="A15543" i="1"/>
  <c r="A16326" i="1"/>
  <c r="A15574" i="1"/>
  <c r="A18108" i="1"/>
  <c r="A18107" i="1"/>
  <c r="A14710" i="1"/>
  <c r="A18106" i="1"/>
  <c r="A14127" i="1"/>
  <c r="A18105" i="1"/>
  <c r="A14913" i="1"/>
  <c r="A15720" i="1"/>
  <c r="A16141" i="1"/>
  <c r="A14831" i="1"/>
  <c r="A12771" i="1"/>
  <c r="A18104" i="1"/>
  <c r="A18103" i="1"/>
  <c r="A14352" i="1"/>
  <c r="A8301" i="1"/>
  <c r="A15272" i="1"/>
  <c r="A14860" i="1"/>
  <c r="A547" i="1"/>
  <c r="A16267" i="1"/>
  <c r="A13828" i="1"/>
  <c r="A14931" i="1"/>
  <c r="A14633" i="1"/>
  <c r="A15580" i="1"/>
  <c r="A14912" i="1"/>
  <c r="A16266" i="1"/>
  <c r="A15844" i="1"/>
  <c r="A16478" i="1"/>
  <c r="A14248" i="1"/>
  <c r="A13253" i="1"/>
  <c r="A8275" i="1"/>
  <c r="A13514" i="1"/>
  <c r="A15195" i="1"/>
  <c r="A12608" i="1"/>
  <c r="A15857" i="1"/>
  <c r="A16208" i="1"/>
  <c r="A15282" i="1"/>
  <c r="A14457" i="1"/>
  <c r="A14361" i="1"/>
  <c r="A15040" i="1"/>
  <c r="A15102" i="1"/>
  <c r="A15869" i="1"/>
  <c r="A15411" i="1"/>
  <c r="A15743" i="1"/>
  <c r="A15114" i="1"/>
  <c r="A12687" i="1"/>
  <c r="A14266" i="1"/>
  <c r="A16671" i="1"/>
  <c r="A15392" i="1"/>
  <c r="A12619" i="1"/>
  <c r="A15719" i="1"/>
  <c r="A15209" i="1"/>
  <c r="A15811" i="1"/>
  <c r="A14902" i="1"/>
  <c r="A14716" i="1"/>
  <c r="A15010" i="1"/>
  <c r="A14247" i="1"/>
  <c r="A14521" i="1"/>
  <c r="A14997" i="1"/>
  <c r="A14743" i="1"/>
  <c r="A18102" i="1"/>
  <c r="A15068" i="1"/>
  <c r="A14901" i="1"/>
  <c r="A16473" i="1"/>
  <c r="A14564" i="1"/>
  <c r="A15051" i="1"/>
  <c r="A14623" i="1"/>
  <c r="A15947" i="1"/>
  <c r="A15120" i="1"/>
  <c r="A4753" i="1"/>
  <c r="A15468" i="1"/>
  <c r="A13593" i="1"/>
  <c r="A18101" i="1"/>
  <c r="A14728" i="1"/>
  <c r="A3323" i="1"/>
  <c r="A15533" i="1"/>
  <c r="A13809" i="1"/>
  <c r="A15646" i="1"/>
  <c r="A14516" i="1"/>
  <c r="A15863" i="1"/>
  <c r="A15684" i="1"/>
  <c r="A15645" i="1"/>
  <c r="A15976" i="1"/>
  <c r="A11878" i="1"/>
  <c r="A18100" i="1"/>
  <c r="A13808" i="1"/>
  <c r="A14326" i="1"/>
  <c r="A10105" i="1"/>
  <c r="A15360" i="1"/>
  <c r="A14830" i="1"/>
  <c r="A15386" i="1"/>
  <c r="A15396" i="1"/>
  <c r="A8614" i="1"/>
  <c r="A14881" i="1"/>
  <c r="A15520" i="1"/>
  <c r="A15490" i="1"/>
  <c r="A15876" i="1"/>
  <c r="A15767" i="1"/>
  <c r="A14351" i="1"/>
  <c r="A14265" i="1"/>
  <c r="A14446" i="1"/>
  <c r="A15319" i="1"/>
  <c r="A15735" i="1"/>
  <c r="A15435" i="1"/>
  <c r="A16607" i="1"/>
  <c r="A18099" i="1"/>
  <c r="A546" i="1"/>
  <c r="A15050" i="1"/>
  <c r="A18098" i="1"/>
  <c r="A15909" i="1"/>
  <c r="A16053" i="1"/>
  <c r="A13735" i="1"/>
  <c r="A13601" i="1"/>
  <c r="A14506" i="1"/>
  <c r="A12497" i="1"/>
  <c r="A15552" i="1"/>
  <c r="A15305" i="1"/>
  <c r="A14742" i="1"/>
  <c r="A15336" i="1"/>
  <c r="A14851" i="1"/>
  <c r="A15208" i="1"/>
  <c r="A11977" i="1"/>
  <c r="A13857" i="1"/>
  <c r="A16472" i="1"/>
  <c r="A15299" i="1"/>
  <c r="A16071" i="1"/>
  <c r="A15481" i="1"/>
  <c r="A15455" i="1"/>
  <c r="A14456" i="1"/>
  <c r="A15617" i="1"/>
  <c r="A15856" i="1"/>
  <c r="A9928" i="1"/>
  <c r="A13214" i="1"/>
  <c r="A16150" i="1"/>
  <c r="A14709" i="1"/>
  <c r="A14900" i="1"/>
  <c r="A14264" i="1"/>
  <c r="A15169" i="1"/>
  <c r="A14949" i="1"/>
  <c r="A13913" i="1"/>
  <c r="A16501" i="1"/>
  <c r="A14278" i="1"/>
  <c r="A15119" i="1"/>
  <c r="A15855" i="1"/>
  <c r="A14674" i="1"/>
  <c r="A15606" i="1"/>
  <c r="A15624" i="1"/>
  <c r="A15919" i="1"/>
  <c r="A15633" i="1"/>
  <c r="A15076" i="1"/>
  <c r="A18097" i="1"/>
  <c r="A14676" i="1"/>
  <c r="A14713" i="1"/>
  <c r="A14741" i="1"/>
  <c r="A15616" i="1"/>
  <c r="A14654" i="1"/>
  <c r="A15794" i="1"/>
  <c r="A15049" i="1"/>
  <c r="A15489" i="1"/>
  <c r="A14009" i="1"/>
  <c r="A15029" i="1"/>
  <c r="A18096" i="1"/>
  <c r="A14855" i="1"/>
  <c r="A15990" i="1"/>
  <c r="A14840" i="1"/>
  <c r="A14629" i="1"/>
  <c r="A14645" i="1"/>
  <c r="A13430" i="1"/>
  <c r="A15607" i="1"/>
  <c r="A15830" i="1"/>
  <c r="A15288" i="1"/>
  <c r="A11753" i="1"/>
  <c r="A14455" i="1"/>
  <c r="A18095" i="1"/>
  <c r="A14906" i="1"/>
  <c r="A15862" i="1"/>
  <c r="A16399" i="1"/>
  <c r="A14905" i="1"/>
  <c r="A14990" i="1"/>
  <c r="A15242" i="1"/>
  <c r="A15013" i="1"/>
  <c r="A11781" i="1"/>
  <c r="A18094" i="1"/>
  <c r="A14782" i="1"/>
  <c r="A15852" i="1"/>
  <c r="A14183" i="1"/>
  <c r="A18093" i="1"/>
  <c r="A16364" i="1"/>
  <c r="A13692" i="1"/>
  <c r="A11497" i="1"/>
  <c r="A16225" i="1"/>
  <c r="A13405" i="1"/>
  <c r="A15397" i="1"/>
  <c r="A13830" i="1"/>
  <c r="A14659" i="1"/>
  <c r="A14059" i="1"/>
  <c r="A15817" i="1"/>
  <c r="A15235" i="1"/>
  <c r="A14792" i="1"/>
  <c r="A14805" i="1"/>
  <c r="A18092" i="1"/>
  <c r="A14781" i="1"/>
  <c r="A16299" i="1"/>
  <c r="A14622" i="1"/>
  <c r="A9759" i="1"/>
  <c r="A15075" i="1"/>
  <c r="A15420" i="1"/>
  <c r="A15507" i="1"/>
  <c r="A14804" i="1"/>
  <c r="A15742" i="1"/>
  <c r="A12201" i="1"/>
  <c r="A14889" i="1"/>
  <c r="A15532" i="1"/>
  <c r="A15741" i="1"/>
  <c r="A13722" i="1"/>
  <c r="A15786" i="1"/>
  <c r="A14050" i="1"/>
  <c r="A15213" i="1"/>
  <c r="A16140" i="1"/>
  <c r="A14235" i="1"/>
  <c r="A15810" i="1"/>
  <c r="A14791" i="1"/>
  <c r="A14970" i="1"/>
  <c r="A13513" i="1"/>
  <c r="A15039" i="1"/>
  <c r="A14573" i="1"/>
  <c r="A15851" i="1"/>
  <c r="A14911" i="1"/>
  <c r="A15289" i="1"/>
  <c r="A13461" i="1"/>
  <c r="A15140" i="1"/>
  <c r="A15542" i="1"/>
  <c r="A15344" i="1"/>
  <c r="A14145" i="1"/>
  <c r="A9096" i="1"/>
  <c r="A14841" i="1"/>
  <c r="A15374" i="1"/>
  <c r="A15591" i="1"/>
  <c r="A14246" i="1"/>
  <c r="A15183" i="1"/>
  <c r="A15032" i="1"/>
  <c r="A7373" i="1"/>
  <c r="A11273" i="1"/>
  <c r="A14880" i="1"/>
  <c r="A18091" i="1"/>
  <c r="A15264" i="1"/>
  <c r="A16207" i="1"/>
  <c r="A18090" i="1"/>
  <c r="A14367" i="1"/>
  <c r="A14585" i="1"/>
  <c r="A14996" i="1"/>
  <c r="A14584" i="1"/>
  <c r="A18089" i="1"/>
  <c r="A14863" i="1"/>
  <c r="A11574" i="1"/>
  <c r="A14735" i="1"/>
  <c r="A14589" i="1"/>
  <c r="A15130" i="1"/>
  <c r="A15934" i="1"/>
  <c r="A15281" i="1"/>
  <c r="A10091" i="1"/>
  <c r="A16315" i="1"/>
  <c r="A9235" i="1"/>
  <c r="A14699" i="1"/>
  <c r="A14068" i="1"/>
  <c r="A14621" i="1"/>
  <c r="A15933" i="1"/>
  <c r="A15740" i="1"/>
  <c r="A18088" i="1"/>
  <c r="A14389" i="1"/>
  <c r="A14816" i="1"/>
  <c r="A14462" i="1"/>
  <c r="A16381" i="1"/>
  <c r="A15521" i="1"/>
  <c r="A18087" i="1"/>
  <c r="A14989" i="1"/>
  <c r="A18086" i="1"/>
  <c r="A14587" i="1"/>
  <c r="A13412" i="1"/>
  <c r="A8432" i="1"/>
  <c r="A14628" i="1"/>
  <c r="A14109" i="1"/>
  <c r="A16304" i="1"/>
  <c r="A14424" i="1"/>
  <c r="A15785" i="1"/>
  <c r="A12618" i="1"/>
  <c r="A18085" i="1"/>
  <c r="A14333" i="1"/>
  <c r="A15159" i="1"/>
  <c r="A6518" i="1"/>
  <c r="A15009" i="1"/>
  <c r="A14445" i="1"/>
  <c r="A15298" i="1"/>
  <c r="A15703" i="1"/>
  <c r="A14515" i="1"/>
  <c r="A15694" i="1"/>
  <c r="A14269" i="1"/>
  <c r="A16070" i="1"/>
  <c r="A15551" i="1"/>
  <c r="A14535" i="1"/>
  <c r="A545" i="1"/>
  <c r="A14350" i="1"/>
  <c r="A14388" i="1"/>
  <c r="A14812" i="1"/>
  <c r="A13667" i="1"/>
  <c r="A2251" i="1"/>
  <c r="A5105" i="1"/>
  <c r="A15139" i="1"/>
  <c r="A14045" i="1"/>
  <c r="A15825" i="1"/>
  <c r="A13313" i="1"/>
  <c r="A14734" i="1"/>
  <c r="A15755" i="1"/>
  <c r="A14888" i="1"/>
  <c r="A14820" i="1"/>
  <c r="A14415" i="1"/>
  <c r="A18084" i="1"/>
  <c r="A14756" i="1"/>
  <c r="A14894" i="1"/>
  <c r="A14995" i="1"/>
  <c r="A14727" i="1"/>
  <c r="A13213" i="1"/>
  <c r="A15882" i="1"/>
  <c r="A15048" i="1"/>
  <c r="A14980" i="1"/>
  <c r="A18083" i="1"/>
  <c r="A15118" i="1"/>
  <c r="A10131" i="1"/>
  <c r="A15328" i="1"/>
  <c r="A11945" i="1"/>
  <c r="A14530" i="1"/>
  <c r="A14245" i="1"/>
  <c r="A14337" i="1"/>
  <c r="A15385" i="1"/>
  <c r="A14702" i="1"/>
  <c r="A11061" i="1"/>
  <c r="A11076" i="1"/>
  <c r="A15271" i="1"/>
  <c r="A15158" i="1"/>
  <c r="A15334" i="1"/>
  <c r="A13966" i="1"/>
  <c r="A15117" i="1"/>
  <c r="A14529" i="1"/>
  <c r="A14698" i="1"/>
  <c r="A15028" i="1"/>
  <c r="A13321" i="1"/>
  <c r="A11988" i="1"/>
  <c r="A14632" i="1"/>
  <c r="A12315" i="1"/>
  <c r="A16659" i="1"/>
  <c r="A15318" i="1"/>
  <c r="A13827" i="1"/>
  <c r="A14332" i="1"/>
  <c r="A15434" i="1"/>
  <c r="A9760" i="1"/>
  <c r="A14444" i="1"/>
  <c r="A15982" i="1"/>
  <c r="A18082" i="1"/>
  <c r="A4862" i="1"/>
  <c r="A14767" i="1"/>
  <c r="A18081" i="1"/>
  <c r="A15718" i="1"/>
  <c r="A15270" i="1"/>
  <c r="A13694" i="1"/>
  <c r="A14650" i="1"/>
  <c r="A15297" i="1"/>
  <c r="A18080" i="1"/>
  <c r="A14013" i="1"/>
  <c r="A18079" i="1"/>
  <c r="A14108" i="1"/>
  <c r="A14195" i="1"/>
  <c r="A14583" i="1"/>
  <c r="A14173" i="1"/>
  <c r="A15775" i="1"/>
  <c r="A15410" i="1"/>
  <c r="A12124" i="1"/>
  <c r="A15897" i="1"/>
  <c r="A14796" i="1"/>
  <c r="A15896" i="1"/>
  <c r="A14209" i="1"/>
  <c r="A13235" i="1"/>
  <c r="A14750" i="1"/>
  <c r="A18078" i="1"/>
  <c r="A14234" i="1"/>
  <c r="A18077" i="1"/>
  <c r="A15754" i="1"/>
  <c r="A13137" i="1"/>
  <c r="A15734" i="1"/>
  <c r="A11233" i="1"/>
  <c r="A14899" i="1"/>
  <c r="A14780" i="1"/>
  <c r="A14898" i="1"/>
  <c r="A14469" i="1"/>
  <c r="A18076" i="1"/>
  <c r="A14627" i="1"/>
  <c r="A7912" i="1"/>
  <c r="A13743" i="1"/>
  <c r="A14811" i="1"/>
  <c r="A14979" i="1"/>
  <c r="A18075" i="1"/>
  <c r="A14058" i="1"/>
  <c r="A15804" i="1"/>
  <c r="A13061" i="1"/>
  <c r="A13085" i="1"/>
  <c r="A18074" i="1"/>
  <c r="A14948" i="1"/>
  <c r="A15733" i="1"/>
  <c r="A14480" i="1"/>
  <c r="A18073" i="1"/>
  <c r="A18072" i="1"/>
  <c r="A14190" i="1"/>
  <c r="A15207" i="1"/>
  <c r="A14761" i="1"/>
  <c r="A14474" i="1"/>
  <c r="A15579" i="1"/>
  <c r="A13807" i="1"/>
  <c r="A14616" i="1"/>
  <c r="A14461" i="1"/>
  <c r="A14563" i="1"/>
  <c r="A14496" i="1"/>
  <c r="A13499" i="1"/>
  <c r="A15253" i="1"/>
  <c r="A18071" i="1"/>
  <c r="A15206" i="1"/>
  <c r="A15391" i="1"/>
  <c r="A14423" i="1"/>
  <c r="A15110" i="1"/>
  <c r="A15031" i="1"/>
  <c r="A15766" i="1"/>
  <c r="A18070" i="1"/>
  <c r="A14740" i="1"/>
  <c r="A14473" i="1"/>
  <c r="A14829" i="1"/>
  <c r="A14294" i="1"/>
  <c r="A14283" i="1"/>
  <c r="A14947" i="1"/>
  <c r="A18069" i="1"/>
  <c r="A14562" i="1"/>
  <c r="A14606" i="1"/>
  <c r="A14593" i="1"/>
  <c r="A15015" i="1"/>
  <c r="A16314" i="1"/>
  <c r="A15550" i="1"/>
  <c r="A15480" i="1"/>
  <c r="A18068" i="1"/>
  <c r="A14404" i="1"/>
  <c r="A13366" i="1"/>
  <c r="A13320" i="1"/>
  <c r="A18067" i="1"/>
  <c r="A15409" i="1"/>
  <c r="A13621" i="1"/>
  <c r="A15138" i="1"/>
  <c r="A13611" i="1"/>
  <c r="A14381" i="1"/>
  <c r="A14719" i="1"/>
  <c r="A14431" i="1"/>
  <c r="A14819" i="1"/>
  <c r="A16601" i="1"/>
  <c r="A14546" i="1"/>
  <c r="A15194" i="1"/>
  <c r="A18066" i="1"/>
  <c r="A14460" i="1"/>
  <c r="A15803" i="1"/>
  <c r="A18065" i="1"/>
  <c r="A11837" i="1"/>
  <c r="A14572" i="1"/>
  <c r="A15109" i="1"/>
  <c r="A16428" i="1"/>
  <c r="A15113" i="1"/>
  <c r="A15454" i="1"/>
  <c r="A18064" i="1"/>
  <c r="A14946" i="1"/>
  <c r="A15252" i="1"/>
  <c r="A12407" i="1"/>
  <c r="A13796" i="1"/>
  <c r="A13672" i="1"/>
  <c r="A14846" i="1"/>
  <c r="A544" i="1"/>
  <c r="A14620" i="1"/>
  <c r="A15479" i="1"/>
  <c r="A13305" i="1"/>
  <c r="A12695" i="1"/>
  <c r="A15615" i="1"/>
  <c r="A18063" i="1"/>
  <c r="A14592" i="1"/>
  <c r="A14495" i="1"/>
  <c r="A13820" i="1"/>
  <c r="A15090" i="1"/>
  <c r="A14275" i="1"/>
  <c r="A15168" i="1"/>
  <c r="A14314" i="1"/>
  <c r="A18062" i="1"/>
  <c r="A14299" i="1"/>
  <c r="A18061" i="1"/>
  <c r="A14582" i="1"/>
  <c r="A12617" i="1"/>
  <c r="A14640" i="1"/>
  <c r="A14790" i="1"/>
  <c r="A14666" i="1"/>
  <c r="A14154" i="1"/>
  <c r="A14988" i="1"/>
  <c r="A13460" i="1"/>
  <c r="A14649" i="1"/>
  <c r="A16459" i="1"/>
  <c r="A13552" i="1"/>
  <c r="A15663" i="1"/>
  <c r="A14044" i="1"/>
  <c r="A15541" i="1"/>
  <c r="A14499" i="1"/>
  <c r="A15025" i="1"/>
  <c r="A14879" i="1"/>
  <c r="A15478" i="1"/>
  <c r="A14182" i="1"/>
  <c r="A14144" i="1"/>
  <c r="A14505" i="1"/>
  <c r="A13775" i="1"/>
  <c r="A15419" i="1"/>
  <c r="A18060" i="1"/>
  <c r="A14403" i="1"/>
  <c r="A18059" i="1"/>
  <c r="A15304" i="1"/>
  <c r="A13978" i="1"/>
  <c r="A15241" i="1"/>
  <c r="A18058" i="1"/>
  <c r="A16046" i="1"/>
  <c r="A18057" i="1"/>
  <c r="A18056" i="1"/>
  <c r="A15401" i="1"/>
  <c r="A15035" i="1"/>
  <c r="A18055" i="1"/>
  <c r="A13656" i="1"/>
  <c r="A14810" i="1"/>
  <c r="A14869" i="1"/>
  <c r="A14561" i="1"/>
  <c r="A15137" i="1"/>
  <c r="A13900" i="1"/>
  <c r="A16628" i="1"/>
  <c r="A12066" i="1"/>
  <c r="A18054" i="1"/>
  <c r="A13312" i="1"/>
  <c r="A18053" i="1"/>
  <c r="A14639" i="1"/>
  <c r="A14372" i="1"/>
  <c r="A15561" i="1"/>
  <c r="A18052" i="1"/>
  <c r="A14545" i="1"/>
  <c r="A18051" i="1"/>
  <c r="A13377" i="1"/>
  <c r="A14878" i="1"/>
  <c r="A12887" i="1"/>
  <c r="A3106" i="1"/>
  <c r="A14528" i="1"/>
  <c r="A12995" i="1"/>
  <c r="A13551" i="1"/>
  <c r="A14504" i="1"/>
  <c r="A18050" i="1"/>
  <c r="A15311" i="1"/>
  <c r="A14293" i="1"/>
  <c r="A15047" i="1"/>
  <c r="A13020" i="1"/>
  <c r="A9853" i="1"/>
  <c r="A13625" i="1"/>
  <c r="A16371" i="1"/>
  <c r="A13429" i="1"/>
  <c r="A13891" i="1"/>
  <c r="A18049" i="1"/>
  <c r="A14803" i="1"/>
  <c r="A14008" i="1"/>
  <c r="A15652" i="1"/>
  <c r="A14828" i="1"/>
  <c r="A14360" i="1"/>
  <c r="A18048" i="1"/>
  <c r="A13205" i="1"/>
  <c r="A16648" i="1"/>
  <c r="A12891" i="1"/>
  <c r="A18047" i="1"/>
  <c r="A12677" i="1"/>
  <c r="A15760" i="1"/>
  <c r="A14802" i="1"/>
  <c r="A14230" i="1"/>
  <c r="A16548" i="1"/>
  <c r="A13610" i="1"/>
  <c r="A16224" i="1"/>
  <c r="A14371" i="1"/>
  <c r="A18046" i="1"/>
  <c r="A18045" i="1"/>
  <c r="A18044" i="1"/>
  <c r="A14322" i="1"/>
  <c r="A13449" i="1"/>
  <c r="A13527" i="1"/>
  <c r="A11525" i="1"/>
  <c r="A12393" i="1"/>
  <c r="A14801" i="1"/>
  <c r="A16385" i="1"/>
  <c r="A14930" i="1"/>
  <c r="A7848" i="1"/>
  <c r="A11549" i="1"/>
  <c r="A15918" i="1"/>
  <c r="A16128" i="1"/>
  <c r="A13646" i="1"/>
  <c r="A13881" i="1"/>
  <c r="A7451" i="1"/>
  <c r="A13898" i="1"/>
  <c r="A14956" i="1"/>
  <c r="A11261" i="1"/>
  <c r="A14987" i="1"/>
  <c r="A15477" i="1"/>
  <c r="A5285" i="1"/>
  <c r="A15303" i="1"/>
  <c r="A12325" i="1"/>
  <c r="A14074" i="1"/>
  <c r="A13291" i="1"/>
  <c r="A13072" i="1"/>
  <c r="A16092" i="1"/>
  <c r="A14331" i="1"/>
  <c r="A15240" i="1"/>
  <c r="A14067" i="1"/>
  <c r="A14571" i="1"/>
  <c r="A13226" i="1"/>
  <c r="A15578" i="1"/>
  <c r="A13890" i="1"/>
  <c r="A12733" i="1"/>
  <c r="A15146" i="1"/>
  <c r="A13713" i="1"/>
  <c r="A18043" i="1"/>
  <c r="A15263" i="1"/>
  <c r="A13609" i="1"/>
  <c r="A15683" i="1"/>
  <c r="A12824" i="1"/>
  <c r="A18042" i="1"/>
  <c r="A14570" i="1"/>
  <c r="A12553" i="1"/>
  <c r="A15008" i="1"/>
  <c r="A13179" i="1"/>
  <c r="A14366" i="1"/>
  <c r="A14430" i="1"/>
  <c r="A14387" i="1"/>
  <c r="A13988" i="1"/>
  <c r="A14422" i="1"/>
  <c r="A15145" i="1"/>
  <c r="A15038" i="1"/>
  <c r="A15223" i="1"/>
  <c r="A12859" i="1"/>
  <c r="A12125" i="1"/>
  <c r="A15570" i="1"/>
  <c r="A783" i="1"/>
  <c r="A14945" i="1"/>
  <c r="A14181" i="1"/>
  <c r="A14708" i="1"/>
  <c r="A13752" i="1"/>
  <c r="A12263" i="1"/>
  <c r="A13868" i="1"/>
  <c r="A12653" i="1"/>
  <c r="A15573" i="1"/>
  <c r="A12710" i="1"/>
  <c r="A14560" i="1"/>
  <c r="A15230" i="1"/>
  <c r="A13721" i="1"/>
  <c r="A18041" i="1"/>
  <c r="A14544" i="1"/>
  <c r="A18040" i="1"/>
  <c r="A13084" i="1"/>
  <c r="A18039" i="1"/>
  <c r="A15829" i="1"/>
  <c r="A12732" i="1"/>
  <c r="A13556" i="1"/>
  <c r="A6517" i="1"/>
  <c r="A13849" i="1"/>
  <c r="A13600" i="1"/>
  <c r="A15675" i="1"/>
  <c r="A15946" i="1"/>
  <c r="A16041" i="1"/>
  <c r="A14910" i="1"/>
  <c r="A15296" i="1"/>
  <c r="A13459" i="1"/>
  <c r="A14330" i="1"/>
  <c r="A14410" i="1"/>
  <c r="A14107" i="1"/>
  <c r="A15925" i="1"/>
  <c r="A13765" i="1"/>
  <c r="A14596" i="1"/>
  <c r="A16336" i="1"/>
  <c r="A16439" i="1"/>
  <c r="A18038" i="1"/>
  <c r="A15067" i="1"/>
  <c r="A13411" i="1"/>
  <c r="A14524" i="1"/>
  <c r="A14726" i="1"/>
  <c r="A14227" i="1"/>
  <c r="A14168" i="1"/>
  <c r="A14443" i="1"/>
  <c r="A15007" i="1"/>
  <c r="A14697" i="1"/>
  <c r="A13390" i="1"/>
  <c r="A13524" i="1"/>
  <c r="A11394" i="1"/>
  <c r="A1913" i="1"/>
  <c r="A14673" i="1"/>
  <c r="A16380" i="1"/>
  <c r="A14244" i="1"/>
  <c r="A10591" i="1"/>
  <c r="A14978" i="1"/>
  <c r="A18037" i="1"/>
  <c r="A15577" i="1"/>
  <c r="A12671" i="1"/>
  <c r="A12770" i="1"/>
  <c r="A12014" i="1"/>
  <c r="A13252" i="1"/>
  <c r="A14539" i="1"/>
  <c r="A14514" i="1"/>
  <c r="A8690" i="1"/>
  <c r="A6728" i="1"/>
  <c r="A9124" i="1"/>
  <c r="A18036" i="1"/>
  <c r="A14007" i="1"/>
  <c r="A13543" i="1"/>
  <c r="A18035" i="1"/>
  <c r="A14883" i="1"/>
  <c r="A9430" i="1"/>
  <c r="A14167" i="1"/>
  <c r="A11819" i="1"/>
  <c r="A14977" i="1"/>
  <c r="A14274" i="1"/>
  <c r="A2705" i="1"/>
  <c r="A14963" i="1"/>
  <c r="A14349" i="1"/>
  <c r="A18034" i="1"/>
  <c r="A15891" i="1"/>
  <c r="A12773" i="1"/>
  <c r="A18033" i="1"/>
  <c r="A13923" i="1"/>
  <c r="A13764" i="1"/>
  <c r="A14208" i="1"/>
  <c r="A13237" i="1"/>
  <c r="A9283" i="1"/>
  <c r="A14613" i="1"/>
  <c r="A16244" i="1"/>
  <c r="A13912" i="1"/>
  <c r="A13273" i="1"/>
  <c r="A16190" i="1"/>
  <c r="A14418" i="1"/>
  <c r="A15030" i="1"/>
  <c r="A14472" i="1"/>
  <c r="A12676" i="1"/>
  <c r="A8248" i="1"/>
  <c r="A14648" i="1"/>
  <c r="A12980" i="1"/>
  <c r="A10951" i="1"/>
  <c r="A14212" i="1"/>
  <c r="A14442" i="1"/>
  <c r="A18032" i="1"/>
  <c r="A12113" i="1"/>
  <c r="A15476" i="1"/>
  <c r="A15762" i="1"/>
  <c r="A15286" i="1"/>
  <c r="A14897" i="1"/>
  <c r="A13019" i="1"/>
  <c r="A9474" i="1"/>
  <c r="A15945" i="1"/>
  <c r="A13542" i="1"/>
  <c r="A16002" i="1"/>
  <c r="A18031" i="1"/>
  <c r="A15258" i="1"/>
  <c r="A18030" i="1"/>
  <c r="A18029" i="1"/>
  <c r="A543" i="1"/>
  <c r="A14479" i="1"/>
  <c r="A12231" i="1"/>
  <c r="A14859" i="1"/>
  <c r="A14024" i="1"/>
  <c r="A16691" i="1"/>
  <c r="A16040" i="1"/>
  <c r="A13096" i="1"/>
  <c r="A9510" i="1"/>
  <c r="A15774" i="1"/>
  <c r="A15408" i="1"/>
  <c r="A15157" i="1"/>
  <c r="A14827" i="1"/>
  <c r="A14854" i="1"/>
  <c r="A13620" i="1"/>
  <c r="A11935" i="1"/>
  <c r="A15205" i="1"/>
  <c r="A16592" i="1"/>
  <c r="A15384" i="1"/>
  <c r="A5253" i="1"/>
  <c r="A11260" i="1"/>
  <c r="A13843" i="1"/>
  <c r="A13685" i="1"/>
  <c r="A11350" i="1"/>
  <c r="A18028" i="1"/>
  <c r="A15082" i="1"/>
  <c r="A13071" i="1"/>
  <c r="A14297" i="1"/>
  <c r="A14023" i="1"/>
  <c r="A13482" i="1"/>
  <c r="A13642" i="1"/>
  <c r="A14760" i="1"/>
  <c r="A13774" i="1"/>
  <c r="A15037" i="1"/>
  <c r="A13931" i="1"/>
  <c r="A18027" i="1"/>
  <c r="A15390" i="1"/>
  <c r="A13655" i="1"/>
  <c r="A14342" i="1"/>
  <c r="A12427" i="1"/>
  <c r="A13398" i="1"/>
  <c r="A13533" i="1"/>
  <c r="A18026" i="1"/>
  <c r="A18025" i="1"/>
  <c r="A15912" i="1"/>
  <c r="A18024" i="1"/>
  <c r="A13661" i="1"/>
  <c r="A13192" i="1"/>
  <c r="A12747" i="1"/>
  <c r="A12540" i="1"/>
  <c r="A13691" i="1"/>
  <c r="A13953" i="1"/>
  <c r="A18023" i="1"/>
  <c r="A18022" i="1"/>
  <c r="A14800" i="1"/>
  <c r="A13290" i="1"/>
  <c r="A15711" i="1"/>
  <c r="A15662" i="1"/>
  <c r="A14088" i="1"/>
  <c r="A15793" i="1"/>
  <c r="A7128" i="1"/>
  <c r="A10153" i="1"/>
  <c r="A14923" i="1"/>
  <c r="A13965" i="1"/>
  <c r="A14789" i="1"/>
  <c r="A13541" i="1"/>
  <c r="A15062" i="1"/>
  <c r="A18021" i="1"/>
  <c r="A14785" i="1"/>
  <c r="A14143" i="1"/>
  <c r="A14663" i="1"/>
  <c r="A15020" i="1"/>
  <c r="A10152" i="1"/>
  <c r="A13952" i="1"/>
  <c r="A14296" i="1"/>
  <c r="A15259" i="1"/>
  <c r="A12970" i="1"/>
  <c r="A18020" i="1"/>
  <c r="A14770" i="1"/>
  <c r="A8484" i="1"/>
  <c r="A18019" i="1"/>
  <c r="A13385" i="1"/>
  <c r="A16158" i="1"/>
  <c r="A14969" i="1"/>
  <c r="A14412" i="1"/>
  <c r="A13049" i="1"/>
  <c r="A14233" i="1"/>
  <c r="A14707" i="1"/>
  <c r="A12721" i="1"/>
  <c r="A13763" i="1"/>
  <c r="A12954" i="1"/>
  <c r="A15280" i="1"/>
  <c r="A16029" i="1"/>
  <c r="A15036" i="1"/>
  <c r="A5835" i="1"/>
  <c r="A14441" i="1"/>
  <c r="A14066" i="1"/>
  <c r="A12095" i="1"/>
  <c r="A7915" i="1"/>
  <c r="A12041" i="1"/>
  <c r="A13889" i="1"/>
  <c r="A11458" i="1"/>
  <c r="A14440" i="1"/>
  <c r="A12065" i="1"/>
  <c r="A15061" i="1"/>
  <c r="A18018" i="1"/>
  <c r="A14421" i="1"/>
  <c r="A18017" i="1"/>
  <c r="A14494" i="1"/>
  <c r="A14839" i="1"/>
  <c r="A14458" i="1"/>
  <c r="A15843" i="1"/>
  <c r="A13674" i="1"/>
  <c r="A14399" i="1"/>
  <c r="A14604" i="1"/>
  <c r="A15547" i="1"/>
  <c r="A18016" i="1"/>
  <c r="A14402" i="1"/>
  <c r="A18015" i="1"/>
  <c r="A18014" i="1"/>
  <c r="A8412" i="1"/>
  <c r="A16206" i="1"/>
  <c r="A16279" i="1"/>
  <c r="A13289" i="1"/>
  <c r="A12629" i="1"/>
  <c r="A14341" i="1"/>
  <c r="A14696" i="1"/>
  <c r="A18013" i="1"/>
  <c r="A14845" i="1"/>
  <c r="A14493" i="1"/>
  <c r="A15108" i="1"/>
  <c r="A6291" i="1"/>
  <c r="A11828" i="1"/>
  <c r="A12064" i="1"/>
  <c r="A13767" i="1"/>
  <c r="A14543" i="1"/>
  <c r="A12063" i="1"/>
  <c r="A13882" i="1"/>
  <c r="A13083" i="1"/>
  <c r="A13911" i="1"/>
  <c r="A14554" i="1"/>
  <c r="A14484" i="1"/>
  <c r="A11767" i="1"/>
  <c r="A12354" i="1"/>
  <c r="A13458" i="1"/>
  <c r="A7296" i="1"/>
  <c r="A14137" i="1"/>
  <c r="A14559" i="1"/>
  <c r="A14170" i="1"/>
  <c r="A13888" i="1"/>
  <c r="A15260" i="1"/>
  <c r="A18012" i="1"/>
  <c r="A15295" i="1"/>
  <c r="A13731" i="1"/>
  <c r="A14513" i="1"/>
  <c r="A14292" i="1"/>
  <c r="A11752" i="1"/>
  <c r="A12437" i="1"/>
  <c r="A14172" i="1"/>
  <c r="A14126" i="1"/>
  <c r="A13826" i="1"/>
  <c r="A13825" i="1"/>
  <c r="A12151" i="1"/>
  <c r="A15444" i="1"/>
  <c r="A9965" i="1"/>
  <c r="A14153" i="1"/>
  <c r="A14392" i="1"/>
  <c r="A9869" i="1"/>
  <c r="A14125" i="1"/>
  <c r="A18011" i="1"/>
  <c r="A15355" i="1"/>
  <c r="A13819" i="1"/>
  <c r="A12455" i="1"/>
  <c r="A13742" i="1"/>
  <c r="A13700" i="1"/>
  <c r="A13167" i="1"/>
  <c r="A13785" i="1"/>
  <c r="A14414" i="1"/>
  <c r="A18010" i="1"/>
  <c r="A12306" i="1"/>
  <c r="A18009" i="1"/>
  <c r="A14658" i="1"/>
  <c r="A16370" i="1"/>
  <c r="A15380" i="1"/>
  <c r="A11751" i="1"/>
  <c r="A12193" i="1"/>
  <c r="A14043" i="1"/>
  <c r="A14610" i="1"/>
  <c r="A15449" i="1"/>
  <c r="A14308" i="1"/>
  <c r="A7372" i="1"/>
  <c r="A542" i="1"/>
  <c r="A14142" i="1"/>
  <c r="A16007" i="1"/>
  <c r="A18008" i="1"/>
  <c r="A14223" i="1"/>
  <c r="A12628" i="1"/>
  <c r="A14887" i="1"/>
  <c r="A13057" i="1"/>
  <c r="A18007" i="1"/>
  <c r="A14307" i="1"/>
  <c r="A15060" i="1"/>
  <c r="A14799" i="1"/>
  <c r="A13730" i="1"/>
  <c r="A11836" i="1"/>
  <c r="A12426" i="1"/>
  <c r="A13636" i="1"/>
  <c r="A18006" i="1"/>
  <c r="A12262" i="1"/>
  <c r="A13384" i="1"/>
  <c r="A13795" i="1"/>
  <c r="A15156" i="1"/>
  <c r="A13129" i="1"/>
  <c r="A15828" i="1"/>
  <c r="A15890" i="1"/>
  <c r="A12925" i="1"/>
  <c r="A13751" i="1"/>
  <c r="A13535" i="1"/>
  <c r="A14249" i="1"/>
  <c r="A13943" i="1"/>
  <c r="A18005" i="1"/>
  <c r="A782" i="1"/>
  <c r="A13365" i="1"/>
  <c r="A12527" i="1"/>
  <c r="A15824" i="1"/>
  <c r="A13987" i="1"/>
  <c r="A5185" i="1"/>
  <c r="A13182" i="1"/>
  <c r="A13910" i="1"/>
  <c r="A12982" i="1"/>
  <c r="A13741" i="1"/>
  <c r="A13251" i="1"/>
  <c r="A7701" i="1"/>
  <c r="A13161" i="1"/>
  <c r="A13364" i="1"/>
  <c r="A14413" i="1"/>
  <c r="A14282" i="1"/>
  <c r="A11361" i="1"/>
  <c r="A13977" i="1"/>
  <c r="A541" i="1"/>
  <c r="A18004" i="1"/>
  <c r="A14321" i="1"/>
  <c r="A14207" i="1"/>
  <c r="A14454" i="1"/>
  <c r="A14509" i="1"/>
  <c r="A18003" i="1"/>
  <c r="A12180" i="1"/>
  <c r="A11524" i="1"/>
  <c r="A18002" i="1"/>
  <c r="A15644" i="1"/>
  <c r="A16164" i="1"/>
  <c r="A14853" i="1"/>
  <c r="A15193" i="1"/>
  <c r="A14192" i="1"/>
  <c r="A14359" i="1"/>
  <c r="A13861" i="1"/>
  <c r="A15192" i="1"/>
  <c r="A18001" i="1"/>
  <c r="A12514" i="1"/>
  <c r="A13944" i="1"/>
  <c r="A13681" i="1"/>
  <c r="A18000" i="1"/>
  <c r="A14638" i="1"/>
  <c r="A17999" i="1"/>
  <c r="A14594" i="1"/>
  <c r="A16035" i="1"/>
  <c r="A13112" i="1"/>
  <c r="A14386" i="1"/>
  <c r="A13330" i="1"/>
  <c r="A17998" i="1"/>
  <c r="A15129" i="1"/>
  <c r="A14263" i="1"/>
  <c r="A13619" i="1"/>
  <c r="A15222" i="1"/>
  <c r="A17997" i="1"/>
  <c r="A17996" i="1"/>
  <c r="A15228" i="1"/>
  <c r="A540" i="1"/>
  <c r="A14955" i="1"/>
  <c r="A13234" i="1"/>
  <c r="A13671" i="1"/>
  <c r="A15732" i="1"/>
  <c r="A13818" i="1"/>
  <c r="A12314" i="1"/>
  <c r="A17995" i="1"/>
  <c r="A15660" i="1"/>
  <c r="A13964" i="1"/>
  <c r="A13842" i="1"/>
  <c r="A6290" i="1"/>
  <c r="A5749" i="1"/>
  <c r="A12793" i="1"/>
  <c r="A13470" i="1"/>
  <c r="A15373" i="1"/>
  <c r="A14759" i="1"/>
  <c r="A16670" i="1"/>
  <c r="A15560" i="1"/>
  <c r="A14206" i="1"/>
  <c r="A15279" i="1"/>
  <c r="A13887" i="1"/>
  <c r="A14683" i="1"/>
  <c r="A14986" i="1"/>
  <c r="A17994" i="1"/>
  <c r="A7957" i="1"/>
  <c r="A14006" i="1"/>
  <c r="A11875" i="1"/>
  <c r="A13111" i="1"/>
  <c r="A7295" i="1"/>
  <c r="A12924" i="1"/>
  <c r="A13848" i="1"/>
  <c r="A14626" i="1"/>
  <c r="A14042" i="1"/>
  <c r="A14453" i="1"/>
  <c r="A12663" i="1"/>
  <c r="A13817" i="1"/>
  <c r="A13773" i="1"/>
  <c r="A13127" i="1"/>
  <c r="A16200" i="1"/>
  <c r="A15875" i="1"/>
  <c r="A16045" i="1"/>
  <c r="A14291" i="1"/>
  <c r="A12994" i="1"/>
  <c r="A12923" i="1"/>
  <c r="A15418" i="1"/>
  <c r="A12254" i="1"/>
  <c r="A14078" i="1"/>
  <c r="A14313" i="1"/>
  <c r="A14243" i="1"/>
  <c r="A17993" i="1"/>
  <c r="A14671" i="1"/>
  <c r="A14393" i="1"/>
  <c r="A14690" i="1"/>
  <c r="A13841" i="1"/>
  <c r="A13581" i="1"/>
  <c r="A14434" i="1"/>
  <c r="A17992" i="1"/>
  <c r="A14186" i="1"/>
  <c r="A17991" i="1"/>
  <c r="A17990" i="1"/>
  <c r="A14618" i="1"/>
  <c r="A12150" i="1"/>
  <c r="A15251" i="1"/>
  <c r="A14358" i="1"/>
  <c r="A17989" i="1"/>
  <c r="A12004" i="1"/>
  <c r="A12811" i="1"/>
  <c r="A14766" i="1"/>
  <c r="A12134" i="1"/>
  <c r="A14320" i="1"/>
  <c r="A13560" i="1"/>
  <c r="A15014" i="1"/>
  <c r="A15614" i="1"/>
  <c r="A13457" i="1"/>
  <c r="A12675" i="1"/>
  <c r="A14319" i="1"/>
  <c r="A14921" i="1"/>
  <c r="A13986" i="1"/>
  <c r="A14049" i="1"/>
  <c r="A14298" i="1"/>
  <c r="A17988" i="1"/>
  <c r="A17987" i="1"/>
  <c r="A15963" i="1"/>
  <c r="A17986" i="1"/>
  <c r="A14129" i="1"/>
  <c r="A12235" i="1"/>
  <c r="A11632" i="1"/>
  <c r="A15089" i="1"/>
  <c r="A13840" i="1"/>
  <c r="A17985" i="1"/>
  <c r="A14976" i="1"/>
  <c r="A9549" i="1"/>
  <c r="A14005" i="1"/>
  <c r="A14486" i="1"/>
  <c r="A14429" i="1"/>
  <c r="A13038" i="1"/>
  <c r="A14380" i="1"/>
  <c r="A14512" i="1"/>
  <c r="A13113" i="1"/>
  <c r="A13762" i="1"/>
  <c r="A14216" i="1"/>
  <c r="A12513" i="1"/>
  <c r="A14087" i="1"/>
  <c r="A14601" i="1"/>
  <c r="A11674" i="1"/>
  <c r="A13709" i="1"/>
  <c r="A14306" i="1"/>
  <c r="A15753" i="1"/>
  <c r="A15784" i="1"/>
  <c r="A15175" i="1"/>
  <c r="A15006" i="1"/>
  <c r="A14004" i="1"/>
  <c r="A13532" i="1"/>
  <c r="A14485" i="1"/>
  <c r="A14468" i="1"/>
  <c r="A14503" i="1"/>
  <c r="A12922" i="1"/>
  <c r="A14569" i="1"/>
  <c r="A14579" i="1"/>
  <c r="A11864" i="1"/>
  <c r="A13082" i="1"/>
  <c r="A13824" i="1"/>
  <c r="A13048" i="1"/>
  <c r="A17984" i="1"/>
  <c r="A17983" i="1"/>
  <c r="A13204" i="1"/>
  <c r="A12164" i="1"/>
  <c r="A13641" i="1"/>
  <c r="A14896" i="1"/>
  <c r="A14605" i="1"/>
  <c r="A15932" i="1"/>
  <c r="A17982" i="1"/>
  <c r="A15250" i="1"/>
  <c r="A13930" i="1"/>
  <c r="A13018" i="1"/>
  <c r="A17981" i="1"/>
  <c r="A13599" i="1"/>
  <c r="A16169" i="1"/>
  <c r="A15310" i="1"/>
  <c r="A14920" i="1"/>
  <c r="A11740" i="1"/>
  <c r="A16205" i="1"/>
  <c r="A14166" i="1"/>
  <c r="A11010" i="1"/>
  <c r="A14395" i="1"/>
  <c r="A13570" i="1"/>
  <c r="A14016" i="1"/>
  <c r="A14733" i="1"/>
  <c r="A13100" i="1"/>
  <c r="A13631" i="1"/>
  <c r="A12264" i="1"/>
  <c r="A13294" i="1"/>
  <c r="A11794" i="1"/>
  <c r="A14177" i="1"/>
  <c r="A14615" i="1"/>
  <c r="A14119" i="1"/>
  <c r="A11689" i="1"/>
  <c r="A14098" i="1"/>
  <c r="A11529" i="1"/>
  <c r="A13122" i="1"/>
  <c r="A13351" i="1"/>
  <c r="A14325" i="1"/>
  <c r="A14305" i="1"/>
  <c r="A17980" i="1"/>
  <c r="A17979" i="1"/>
  <c r="A16069" i="1"/>
  <c r="A13854" i="1"/>
  <c r="A15128" i="1"/>
  <c r="A14886" i="1"/>
  <c r="A14578" i="1"/>
  <c r="A13806" i="1"/>
  <c r="A14148" i="1"/>
  <c r="A12436" i="1"/>
  <c r="A12821" i="1"/>
  <c r="A13740" i="1"/>
  <c r="A15278" i="1"/>
  <c r="A14091" i="1"/>
  <c r="A10569" i="1"/>
  <c r="A14065" i="1"/>
  <c r="A6727" i="1"/>
  <c r="A15527" i="1"/>
  <c r="A13630" i="1"/>
  <c r="A13963" i="1"/>
  <c r="A13121" i="1"/>
  <c r="A13708" i="1"/>
  <c r="A14490" i="1"/>
  <c r="A14746" i="1"/>
  <c r="A14929" i="1"/>
  <c r="A11754" i="1"/>
  <c r="A8459" i="1"/>
  <c r="A12416" i="1"/>
  <c r="A15590" i="1"/>
  <c r="A12709" i="1"/>
  <c r="A14316" i="1"/>
  <c r="A14936" i="1"/>
  <c r="A12847" i="1"/>
  <c r="A11739" i="1"/>
  <c r="A13991" i="1"/>
  <c r="A14818" i="1"/>
  <c r="A9530" i="1"/>
  <c r="A13410" i="1"/>
  <c r="A14118" i="1"/>
  <c r="A11548" i="1"/>
  <c r="A17978" i="1"/>
  <c r="A17977" i="1"/>
  <c r="A13331" i="1"/>
  <c r="A14452" i="1"/>
  <c r="A13860" i="1"/>
  <c r="A13569" i="1"/>
  <c r="A17976" i="1"/>
  <c r="A15182" i="1"/>
  <c r="A9867" i="1"/>
  <c r="A13720" i="1"/>
  <c r="A14809" i="1"/>
  <c r="A15221" i="1"/>
  <c r="A14636" i="1"/>
  <c r="A16690" i="1"/>
  <c r="A14329" i="1"/>
  <c r="A13880" i="1"/>
  <c r="A14304" i="1"/>
  <c r="A14189" i="1"/>
  <c r="A15944" i="1"/>
  <c r="A14152" i="1"/>
  <c r="A17975" i="1"/>
  <c r="A12133" i="1"/>
  <c r="A13666" i="1"/>
  <c r="A13442" i="1"/>
  <c r="A14239" i="1"/>
  <c r="A12003" i="1"/>
  <c r="A11207" i="1"/>
  <c r="A11285" i="1"/>
  <c r="A15204" i="1"/>
  <c r="A15354" i="1"/>
  <c r="A13714" i="1"/>
  <c r="A13998" i="1"/>
  <c r="A17974" i="1"/>
  <c r="A17973" i="1"/>
  <c r="A17972" i="1"/>
  <c r="A14844" i="1"/>
  <c r="A13852" i="1"/>
  <c r="A15287" i="1"/>
  <c r="A14838" i="1"/>
  <c r="A13017" i="1"/>
  <c r="A17971" i="1"/>
  <c r="A7035" i="1"/>
  <c r="A13550" i="1"/>
  <c r="A14868" i="1"/>
  <c r="A6261" i="1"/>
  <c r="A9866" i="1"/>
  <c r="A9727" i="1"/>
  <c r="A12993" i="1"/>
  <c r="A15203" i="1"/>
  <c r="A14124" i="1"/>
  <c r="A12386" i="1"/>
  <c r="A14136" i="1"/>
  <c r="A13962" i="1"/>
  <c r="A11835" i="1"/>
  <c r="A15598" i="1"/>
  <c r="A12934" i="1"/>
  <c r="A12192" i="1"/>
  <c r="A12392" i="1"/>
  <c r="A17970" i="1"/>
  <c r="A13099" i="1"/>
  <c r="A14205" i="1"/>
  <c r="A13016" i="1"/>
  <c r="A17969" i="1"/>
  <c r="A14116" i="1"/>
  <c r="A5468" i="1"/>
  <c r="A15443" i="1"/>
  <c r="A14657" i="1"/>
  <c r="A14420" i="1"/>
  <c r="A11442" i="1"/>
  <c r="A17968" i="1"/>
  <c r="A13141" i="1"/>
  <c r="A14732" i="1"/>
  <c r="A14097" i="1"/>
  <c r="A14609" i="1"/>
  <c r="A13469" i="1"/>
  <c r="A13766" i="1"/>
  <c r="A8199" i="1"/>
  <c r="A12132" i="1"/>
  <c r="A10754" i="1"/>
  <c r="A11856" i="1"/>
  <c r="A11604" i="1"/>
  <c r="A14318" i="1"/>
  <c r="A13929" i="1"/>
  <c r="A17967" i="1"/>
  <c r="A13839" i="1"/>
  <c r="A16083" i="1"/>
  <c r="A12179" i="1"/>
  <c r="A13961" i="1"/>
  <c r="A12046" i="1"/>
  <c r="A12013" i="1"/>
  <c r="A14015" i="1"/>
  <c r="A13739" i="1"/>
  <c r="A14106" i="1"/>
  <c r="A15116" i="1"/>
  <c r="A12163" i="1"/>
  <c r="A14631" i="1"/>
  <c r="A14348" i="1"/>
  <c r="A14254" i="1"/>
  <c r="A15127" i="1"/>
  <c r="A13356" i="1"/>
  <c r="A9491" i="1"/>
  <c r="A11661" i="1"/>
  <c r="A16148" i="1"/>
  <c r="A14877" i="1"/>
  <c r="A16477" i="1"/>
  <c r="A14670" i="1"/>
  <c r="A5977" i="1"/>
  <c r="A13951" i="1"/>
  <c r="A16068" i="1"/>
  <c r="A13922" i="1"/>
  <c r="A13120" i="1"/>
  <c r="A17966" i="1"/>
  <c r="A12746" i="1"/>
  <c r="A14837" i="1"/>
  <c r="A15317" i="1"/>
  <c r="A14876" i="1"/>
  <c r="A13909" i="1"/>
  <c r="A14317" i="1"/>
  <c r="A14798" i="1"/>
  <c r="A12810" i="1"/>
  <c r="A13486" i="1"/>
  <c r="A13037" i="1"/>
  <c r="A13950" i="1"/>
  <c r="A12870" i="1"/>
  <c r="A15739" i="1"/>
  <c r="A13166" i="1"/>
  <c r="A12112" i="1"/>
  <c r="A13212" i="1"/>
  <c r="A14807" i="1"/>
  <c r="A13719" i="1"/>
  <c r="A13178" i="1"/>
  <c r="A15046" i="1"/>
  <c r="A13579" i="1"/>
  <c r="A12652" i="1"/>
  <c r="A17965" i="1"/>
  <c r="A17964" i="1"/>
  <c r="A13523" i="1"/>
  <c r="A12921" i="1"/>
  <c r="A13177" i="1"/>
  <c r="A13777" i="1"/>
  <c r="A4577" i="1"/>
  <c r="A13329" i="1"/>
  <c r="A13250" i="1"/>
  <c r="A12072" i="1"/>
  <c r="A13440" i="1"/>
  <c r="A13404" i="1"/>
  <c r="A14459" i="1"/>
  <c r="A13699" i="1"/>
  <c r="A17963" i="1"/>
  <c r="A13816" i="1"/>
  <c r="A14135" i="1"/>
  <c r="A13789" i="1"/>
  <c r="A14073" i="1"/>
  <c r="A13047" i="1"/>
  <c r="A1084" i="1"/>
  <c r="A13456" i="1"/>
  <c r="A15353" i="1"/>
  <c r="A14159" i="1"/>
  <c r="A14086" i="1"/>
  <c r="A13592" i="1"/>
  <c r="A13051" i="1"/>
  <c r="A14968" i="1"/>
  <c r="A13886" i="1"/>
  <c r="A17962" i="1"/>
  <c r="A13879" i="1"/>
  <c r="A13402" i="1"/>
  <c r="A11573" i="1"/>
  <c r="A14303" i="1"/>
  <c r="A14739" i="1"/>
  <c r="A15368" i="1"/>
  <c r="A14085" i="1"/>
  <c r="A14962" i="1"/>
  <c r="A17961" i="1"/>
  <c r="A15005" i="1"/>
  <c r="A14199" i="1"/>
  <c r="A12596" i="1"/>
  <c r="A17960" i="1"/>
  <c r="A14273" i="1"/>
  <c r="A13805" i="1"/>
  <c r="A13897" i="1"/>
  <c r="A17959" i="1"/>
  <c r="A11254" i="1"/>
  <c r="A12820" i="1"/>
  <c r="A17958" i="1"/>
  <c r="A13000" i="1"/>
  <c r="A14357" i="1"/>
  <c r="A15881" i="1"/>
  <c r="A15081" i="1"/>
  <c r="A17957" i="1"/>
  <c r="A13563" i="1"/>
  <c r="A17956" i="1"/>
  <c r="A14826" i="1"/>
  <c r="A12261" i="1"/>
  <c r="A14347" i="1"/>
  <c r="A15433" i="1"/>
  <c r="A15343" i="1"/>
  <c r="A12045" i="1"/>
  <c r="A14439" i="1"/>
  <c r="A13738" i="1"/>
  <c r="A10921" i="1"/>
  <c r="A17955" i="1"/>
  <c r="A15126" i="1"/>
  <c r="A14141" i="1"/>
  <c r="A13512" i="1"/>
  <c r="A11987" i="1"/>
  <c r="A14069" i="1"/>
  <c r="A13005" i="1"/>
  <c r="A10507" i="1"/>
  <c r="A13126" i="1"/>
  <c r="A12287" i="1"/>
  <c r="A14105" i="1"/>
  <c r="A14689" i="1"/>
  <c r="A12782" i="1"/>
  <c r="A12745" i="1"/>
  <c r="A14268" i="1"/>
  <c r="A17954" i="1"/>
  <c r="A12242" i="1"/>
  <c r="A12974" i="1"/>
  <c r="A14478" i="1"/>
  <c r="A12305" i="1"/>
  <c r="A14492" i="1"/>
  <c r="A13896" i="1"/>
  <c r="A13311" i="1"/>
  <c r="A13878" i="1"/>
  <c r="A17953" i="1"/>
  <c r="A15059" i="1"/>
  <c r="A16325" i="1"/>
  <c r="A17952" i="1"/>
  <c r="A17951" i="1"/>
  <c r="A17950" i="1"/>
  <c r="A15338" i="1"/>
  <c r="A17949" i="1"/>
  <c r="A17948" i="1"/>
  <c r="A13676" i="1"/>
  <c r="A13928" i="1"/>
  <c r="A12884" i="1"/>
  <c r="A11619" i="1"/>
  <c r="A13949" i="1"/>
  <c r="A12627" i="1"/>
  <c r="A14171" i="1"/>
  <c r="A14253" i="1"/>
  <c r="A11539" i="1"/>
  <c r="A13877" i="1"/>
  <c r="A13804" i="1"/>
  <c r="A11806" i="1"/>
  <c r="A17947" i="1"/>
  <c r="A13350" i="1"/>
  <c r="A13665" i="1"/>
  <c r="A11793" i="1"/>
  <c r="A13941" i="1"/>
  <c r="A15656" i="1"/>
  <c r="A14034" i="1"/>
  <c r="A17946" i="1"/>
  <c r="A13629" i="1"/>
  <c r="A12040" i="1"/>
  <c r="A9830" i="1"/>
  <c r="A17945" i="1"/>
  <c r="A13559" i="1"/>
  <c r="A12902" i="1"/>
  <c r="A14204" i="1"/>
  <c r="A13549" i="1"/>
  <c r="A13718" i="1"/>
  <c r="A6473" i="1"/>
  <c r="A13531" i="1"/>
  <c r="A11827" i="1"/>
  <c r="A14003" i="1"/>
  <c r="A16001" i="1"/>
  <c r="A14165" i="1"/>
  <c r="A12324" i="1"/>
  <c r="A12286" i="1"/>
  <c r="A12486" i="1"/>
  <c r="A15655" i="1"/>
  <c r="A13618" i="1"/>
  <c r="A13066" i="1"/>
  <c r="A13332" i="1"/>
  <c r="A14919" i="1"/>
  <c r="A14185" i="1"/>
  <c r="A3584" i="1"/>
  <c r="A11473" i="1"/>
  <c r="A13640" i="1"/>
  <c r="A12809" i="1"/>
  <c r="A13046" i="1"/>
  <c r="A12131" i="1"/>
  <c r="A14077" i="1"/>
  <c r="A12526" i="1"/>
  <c r="A15800" i="1"/>
  <c r="A10444" i="1"/>
  <c r="A13717" i="1"/>
  <c r="A11928" i="1"/>
  <c r="A13540" i="1"/>
  <c r="A12832" i="1"/>
  <c r="A12813" i="1"/>
  <c r="A13424" i="1"/>
  <c r="A14014" i="1"/>
  <c r="A14281" i="1"/>
  <c r="A12670" i="1"/>
  <c r="A13617" i="1"/>
  <c r="A13397" i="1"/>
  <c r="A14433" i="1"/>
  <c r="A14385" i="1"/>
  <c r="A13401" i="1"/>
  <c r="A14151" i="1"/>
  <c r="A17944" i="1"/>
  <c r="A17943" i="1"/>
  <c r="A12323" i="1"/>
  <c r="A12694" i="1"/>
  <c r="A13847" i="1"/>
  <c r="A17942" i="1"/>
  <c r="A14477" i="1"/>
  <c r="A13015" i="1"/>
  <c r="A17941" i="1"/>
  <c r="A539" i="1"/>
  <c r="A11427" i="1"/>
  <c r="A11457" i="1"/>
  <c r="A14022" i="1"/>
  <c r="A14021" i="1"/>
  <c r="A13288" i="1"/>
  <c r="A12890" i="1"/>
  <c r="A16411" i="1"/>
  <c r="A13468" i="1"/>
  <c r="A12123" i="1"/>
  <c r="A14194" i="1"/>
  <c r="A15191" i="1"/>
  <c r="A17940" i="1"/>
  <c r="A17939" i="1"/>
  <c r="A17938" i="1"/>
  <c r="A13976" i="1"/>
  <c r="A16104" i="1"/>
  <c r="A17937" i="1"/>
  <c r="A13511" i="1"/>
  <c r="A14302" i="1"/>
  <c r="A15019" i="1"/>
  <c r="A13876" i="1"/>
  <c r="A13902" i="1"/>
  <c r="A13985" i="1"/>
  <c r="A12873" i="1"/>
  <c r="A17936" i="1"/>
  <c r="A13176" i="1"/>
  <c r="A13838" i="1"/>
  <c r="A15359" i="1"/>
  <c r="A16234" i="1"/>
  <c r="A13975" i="1"/>
  <c r="A13544" i="1"/>
  <c r="A14806" i="1"/>
  <c r="A6196" i="1"/>
  <c r="A12708" i="1"/>
  <c r="A11393" i="1"/>
  <c r="A14134" i="1"/>
  <c r="A12830" i="1"/>
  <c r="A13895" i="1"/>
  <c r="A13690" i="1"/>
  <c r="A14527" i="1"/>
  <c r="A13439" i="1"/>
  <c r="A10920" i="1"/>
  <c r="A15045" i="1"/>
  <c r="A13438" i="1"/>
  <c r="A8807" i="1"/>
  <c r="A13568" i="1"/>
  <c r="A13815" i="1"/>
  <c r="A8559" i="1"/>
  <c r="A13761" i="1"/>
  <c r="A13383" i="1"/>
  <c r="A13339" i="1"/>
  <c r="A15227" i="1"/>
  <c r="A15475" i="1"/>
  <c r="A13589" i="1"/>
  <c r="A13481" i="1"/>
  <c r="A13616" i="1"/>
  <c r="A13698" i="1"/>
  <c r="A13001" i="1"/>
  <c r="A14428" i="1"/>
  <c r="A14262" i="1"/>
  <c r="A11616" i="1"/>
  <c r="A13293" i="1"/>
  <c r="A11494" i="1"/>
  <c r="A10426" i="1"/>
  <c r="A13885" i="1"/>
  <c r="A13803" i="1"/>
  <c r="A17935" i="1"/>
  <c r="A9051" i="1"/>
  <c r="A11818" i="1"/>
  <c r="A17934" i="1"/>
  <c r="A13063" i="1"/>
  <c r="A13686" i="1"/>
  <c r="A13056" i="1"/>
  <c r="A14379" i="1"/>
  <c r="A13712" i="1"/>
  <c r="A16331" i="1"/>
  <c r="A17933" i="1"/>
  <c r="A6967" i="1"/>
  <c r="A14665" i="1"/>
  <c r="A13522" i="1"/>
  <c r="A12999" i="1"/>
  <c r="A14048" i="1"/>
  <c r="A14568" i="1"/>
  <c r="A12062" i="1"/>
  <c r="A11724" i="1"/>
  <c r="A14047" i="1"/>
  <c r="A15239" i="1"/>
  <c r="A13729" i="1"/>
  <c r="A17932" i="1"/>
  <c r="A13319" i="1"/>
  <c r="A14954" i="1"/>
  <c r="A12567" i="1"/>
  <c r="A12699" i="1"/>
  <c r="A12688" i="1"/>
  <c r="A13530" i="1"/>
  <c r="A13529" i="1"/>
  <c r="A14242" i="1"/>
  <c r="A11192" i="1"/>
  <c r="A13062" i="1"/>
  <c r="A12476" i="1"/>
  <c r="A14858" i="1"/>
  <c r="A14542" i="1"/>
  <c r="A13697" i="1"/>
  <c r="A11380" i="1"/>
  <c r="A13242" i="1"/>
  <c r="A17931" i="1"/>
  <c r="A14198" i="1"/>
  <c r="A13328" i="1"/>
  <c r="A14600" i="1"/>
  <c r="A15850" i="1"/>
  <c r="A17930" i="1"/>
  <c r="A13181" i="1"/>
  <c r="A12338" i="1"/>
  <c r="A12792" i="1"/>
  <c r="A12651" i="1"/>
  <c r="A10611" i="1"/>
  <c r="A12616" i="1"/>
  <c r="A14577" i="1"/>
  <c r="A17929" i="1"/>
  <c r="A13510" i="1"/>
  <c r="A12650" i="1"/>
  <c r="A12084" i="1"/>
  <c r="A17928" i="1"/>
  <c r="A12759" i="1"/>
  <c r="A14035" i="1"/>
  <c r="A14238" i="1"/>
  <c r="A16307" i="1"/>
  <c r="A14384" i="1"/>
  <c r="A12566" i="1"/>
  <c r="A15783" i="1"/>
  <c r="A12385" i="1"/>
  <c r="A12353" i="1"/>
  <c r="A12240" i="1"/>
  <c r="A9429" i="1"/>
  <c r="A17927" i="1"/>
  <c r="A14219" i="1"/>
  <c r="A13894" i="1"/>
  <c r="A12587" i="1"/>
  <c r="A17926" i="1"/>
  <c r="A13970" i="1"/>
  <c r="A13396" i="1"/>
  <c r="A13760" i="1"/>
  <c r="A4411" i="1"/>
  <c r="A8030" i="1"/>
  <c r="A13136" i="1"/>
  <c r="A12552" i="1"/>
  <c r="A14731" i="1"/>
  <c r="A13375" i="1"/>
  <c r="A10801" i="1"/>
  <c r="A13416" i="1"/>
  <c r="A14340" i="1"/>
  <c r="A15202" i="1"/>
  <c r="A17925" i="1"/>
  <c r="A13403" i="1"/>
  <c r="A15372" i="1"/>
  <c r="A5361" i="1"/>
  <c r="A10891" i="1"/>
  <c r="A13160" i="1"/>
  <c r="A12425" i="1"/>
  <c r="A15181" i="1"/>
  <c r="A13750" i="1"/>
  <c r="A12191" i="1"/>
  <c r="A13310" i="1"/>
  <c r="A13233" i="1"/>
  <c r="A14706" i="1"/>
  <c r="A13427" i="1"/>
  <c r="A3940" i="1"/>
  <c r="A11075" i="1"/>
  <c r="A5612" i="1"/>
  <c r="A13548" i="1"/>
  <c r="A12769" i="1"/>
  <c r="A12094" i="1"/>
  <c r="A14835" i="1"/>
  <c r="A12693" i="1"/>
  <c r="A10919" i="1"/>
  <c r="A13432" i="1"/>
  <c r="A12260" i="1"/>
  <c r="A14232" i="1"/>
  <c r="A10425" i="1"/>
  <c r="A8646" i="1"/>
  <c r="A12966" i="1"/>
  <c r="A14608" i="1"/>
  <c r="A17924" i="1"/>
  <c r="A12758" i="1"/>
  <c r="A17923" i="1"/>
  <c r="A13474" i="1"/>
  <c r="A13485" i="1"/>
  <c r="A11331" i="1"/>
  <c r="A11750" i="1"/>
  <c r="A13102" i="1"/>
  <c r="A16097" i="1"/>
  <c r="A11048" i="1"/>
  <c r="A12592" i="1"/>
  <c r="A14779" i="1"/>
  <c r="A12503" i="1"/>
  <c r="A12406" i="1"/>
  <c r="A12539" i="1"/>
  <c r="A12589" i="1"/>
  <c r="A12384" i="1"/>
  <c r="A9808" i="1"/>
  <c r="A13004" i="1"/>
  <c r="A13249" i="1"/>
  <c r="A12424" i="1"/>
  <c r="A12953" i="1"/>
  <c r="A13802" i="1"/>
  <c r="A11959" i="1"/>
  <c r="A12720" i="1"/>
  <c r="A12055" i="1"/>
  <c r="A12840" i="1"/>
  <c r="A12872" i="1"/>
  <c r="A14075" i="1"/>
  <c r="A13119" i="1"/>
  <c r="A16062" i="1"/>
  <c r="A12768" i="1"/>
  <c r="A13300" i="1"/>
  <c r="A13225" i="1"/>
  <c r="A14526" i="1"/>
  <c r="A14502" i="1"/>
  <c r="A17922" i="1"/>
  <c r="A17921" i="1"/>
  <c r="A12039" i="1"/>
  <c r="A13318" i="1"/>
  <c r="A14467" i="1"/>
  <c r="A14140" i="1"/>
  <c r="A15125" i="1"/>
  <c r="A15342" i="1"/>
  <c r="A13521" i="1"/>
  <c r="A15453" i="1"/>
  <c r="A13680" i="1"/>
  <c r="A13363" i="1"/>
  <c r="A13191" i="1"/>
  <c r="A12808" i="1"/>
  <c r="A17920" i="1"/>
  <c r="A15155" i="1"/>
  <c r="A1986" i="1"/>
  <c r="A10558" i="1"/>
  <c r="A11140" i="1"/>
  <c r="A14002" i="1"/>
  <c r="A13287" i="1"/>
  <c r="A16039" i="1"/>
  <c r="A14261" i="1"/>
  <c r="A14072" i="1"/>
  <c r="A13908" i="1"/>
  <c r="A14041" i="1"/>
  <c r="A12920" i="1"/>
  <c r="A14765" i="1"/>
  <c r="A14715" i="1"/>
  <c r="A14033" i="1"/>
  <c r="A17919" i="1"/>
  <c r="A13575" i="1"/>
  <c r="A14114" i="1"/>
  <c r="A12976" i="1"/>
  <c r="A13635" i="1"/>
  <c r="A11363" i="1"/>
  <c r="A11874" i="1"/>
  <c r="A13520" i="1"/>
  <c r="A11684" i="1"/>
  <c r="A13286" i="1"/>
  <c r="A10990" i="1"/>
  <c r="A12525" i="1"/>
  <c r="A15316" i="1"/>
  <c r="A17918" i="1"/>
  <c r="A14158" i="1"/>
  <c r="A12979" i="1"/>
  <c r="A13285" i="1"/>
  <c r="A12122" i="1"/>
  <c r="A9325" i="1"/>
  <c r="A14272" i="1"/>
  <c r="A17917" i="1"/>
  <c r="A14064" i="1"/>
  <c r="A13788" i="1"/>
  <c r="A13689" i="1"/>
  <c r="A14157" i="1"/>
  <c r="A538" i="1"/>
  <c r="A12496" i="1"/>
  <c r="A12276" i="1"/>
  <c r="A16028" i="1"/>
  <c r="A13654" i="1"/>
  <c r="A13990" i="1"/>
  <c r="A14438" i="1"/>
  <c r="A11631" i="1"/>
  <c r="A9490" i="1"/>
  <c r="A16019" i="1"/>
  <c r="A13519" i="1"/>
  <c r="A13186" i="1"/>
  <c r="A11646" i="1"/>
  <c r="A13272" i="1"/>
  <c r="A11284" i="1"/>
  <c r="A14081" i="1"/>
  <c r="A13045" i="1"/>
  <c r="A10767" i="1"/>
  <c r="A13355" i="1"/>
  <c r="A13118" i="1"/>
  <c r="A12591" i="1"/>
  <c r="A13203" i="1"/>
  <c r="A13728" i="1"/>
  <c r="A3785" i="1"/>
  <c r="A10224" i="1"/>
  <c r="A10223" i="1"/>
  <c r="A14260" i="1"/>
  <c r="A12965" i="1"/>
  <c r="A14071" i="1"/>
  <c r="A13707" i="1"/>
  <c r="A17916" i="1"/>
  <c r="A12731" i="1"/>
  <c r="A13567" i="1"/>
  <c r="A13608" i="1"/>
  <c r="A15651" i="1"/>
  <c r="A12054" i="1"/>
  <c r="A12819" i="1"/>
  <c r="A11934" i="1"/>
  <c r="A12291" i="1"/>
  <c r="A17915" i="1"/>
  <c r="A12208" i="1"/>
  <c r="A15827" i="1"/>
  <c r="A13256" i="1"/>
  <c r="A13455" i="1"/>
  <c r="A13448" i="1"/>
  <c r="A13395" i="1"/>
  <c r="A13615" i="1"/>
  <c r="A6075" i="1"/>
  <c r="A11863" i="1"/>
  <c r="A17914" i="1"/>
  <c r="A537" i="1"/>
  <c r="A13394" i="1"/>
  <c r="A13299" i="1"/>
  <c r="A17913" i="1"/>
  <c r="A13679" i="1"/>
  <c r="A17912" i="1"/>
  <c r="A13284" i="1"/>
  <c r="A13856" i="1"/>
  <c r="A13502" i="1"/>
  <c r="A15294" i="1"/>
  <c r="A13387" i="1"/>
  <c r="A14437" i="1"/>
  <c r="A13509" i="1"/>
  <c r="A11830" i="1"/>
  <c r="A13706" i="1"/>
  <c r="A15044" i="1"/>
  <c r="A12595" i="1"/>
  <c r="A14155" i="1"/>
  <c r="A13508" i="1"/>
  <c r="A13255" i="1"/>
  <c r="A11927" i="1"/>
  <c r="A11896" i="1"/>
  <c r="A15154" i="1"/>
  <c r="A14123" i="1"/>
  <c r="A13154" i="1"/>
  <c r="A17911" i="1"/>
  <c r="A14057" i="1"/>
  <c r="A12846" i="1"/>
  <c r="A12869" i="1"/>
  <c r="A15249" i="1"/>
  <c r="A12886" i="1"/>
  <c r="A956" i="1"/>
  <c r="A15868" i="1"/>
  <c r="A13055" i="1"/>
  <c r="A13921" i="1"/>
  <c r="A12791" i="1"/>
  <c r="A17910" i="1"/>
  <c r="A14312" i="1"/>
  <c r="A13317" i="1"/>
  <c r="A7152" i="1"/>
  <c r="A12285" i="1"/>
  <c r="A12952" i="1"/>
  <c r="A12757" i="1"/>
  <c r="A12275" i="1"/>
  <c r="A13837" i="1"/>
  <c r="A12322" i="1"/>
  <c r="A13705" i="1"/>
  <c r="A13437" i="1"/>
  <c r="A14328" i="1"/>
  <c r="A13175" i="1"/>
  <c r="A12969" i="1"/>
  <c r="A14040" i="1"/>
  <c r="A13110" i="1"/>
  <c r="A13598" i="1"/>
  <c r="A14001" i="1"/>
  <c r="A536" i="1"/>
  <c r="A7534" i="1"/>
  <c r="A12919" i="1"/>
  <c r="A12829" i="1"/>
  <c r="A13974" i="1"/>
  <c r="A11780" i="1"/>
  <c r="A11074" i="1"/>
  <c r="A13823" i="1"/>
  <c r="A10721" i="1"/>
  <c r="A13144" i="1"/>
  <c r="A12744" i="1"/>
  <c r="A9701" i="1"/>
  <c r="A10843" i="1"/>
  <c r="A14817" i="1"/>
  <c r="A15229" i="1"/>
  <c r="A14536" i="1"/>
  <c r="A13406" i="1"/>
  <c r="A11901" i="1"/>
  <c r="A13349" i="1"/>
  <c r="A13357" i="1"/>
  <c r="A13507" i="1"/>
  <c r="A2328" i="1"/>
  <c r="A14197" i="1"/>
  <c r="A11630" i="1"/>
  <c r="A14523" i="1"/>
  <c r="A12901" i="1"/>
  <c r="A17909" i="1"/>
  <c r="A11456" i="1"/>
  <c r="A13588" i="1"/>
  <c r="A11360" i="1"/>
  <c r="A9386" i="1"/>
  <c r="A11873" i="1"/>
  <c r="A12560" i="1"/>
  <c r="A14928" i="1"/>
  <c r="A13382" i="1"/>
  <c r="A13323" i="1"/>
  <c r="A13493" i="1"/>
  <c r="A7873" i="1"/>
  <c r="A10872" i="1"/>
  <c r="A12662" i="1"/>
  <c r="A8483" i="1"/>
  <c r="A14511" i="1"/>
  <c r="A13029" i="1"/>
  <c r="A13159" i="1"/>
  <c r="A17908" i="1"/>
  <c r="A13378" i="1"/>
  <c r="A14252" i="1"/>
  <c r="A15262" i="1"/>
  <c r="A13409" i="1"/>
  <c r="A17907" i="1"/>
  <c r="A14290" i="1"/>
  <c r="A12868" i="1"/>
  <c r="A14466" i="1"/>
  <c r="A17906" i="1"/>
  <c r="A15172" i="1"/>
  <c r="A13658" i="1"/>
  <c r="A15364" i="1"/>
  <c r="A12867" i="1"/>
  <c r="A14599" i="1"/>
  <c r="A13506" i="1"/>
  <c r="A17905" i="1"/>
  <c r="A11809" i="1"/>
  <c r="A14012" i="1"/>
  <c r="A17904" i="1"/>
  <c r="A13101" i="1"/>
  <c r="A13759" i="1"/>
  <c r="A13467" i="1"/>
  <c r="A15957" i="1"/>
  <c r="A14730" i="1"/>
  <c r="A13758" i="1"/>
  <c r="A15201" i="1"/>
  <c r="A11929" i="1"/>
  <c r="A6358" i="1"/>
  <c r="A11182" i="1"/>
  <c r="A13948" i="1"/>
  <c r="A11976" i="1"/>
  <c r="A12337" i="1"/>
  <c r="A13492" i="1"/>
  <c r="A13014" i="1"/>
  <c r="A11139" i="1"/>
  <c r="A13316" i="1"/>
  <c r="A12253" i="1"/>
  <c r="A14885" i="1"/>
  <c r="A13241" i="1"/>
  <c r="A14378" i="1"/>
  <c r="A9774" i="1"/>
  <c r="A14705" i="1"/>
  <c r="A14471" i="1"/>
  <c r="A11272" i="1"/>
  <c r="A14377" i="1"/>
  <c r="A14614" i="1"/>
  <c r="A14764" i="1"/>
  <c r="A11341" i="1"/>
  <c r="A15153" i="1"/>
  <c r="A12586" i="1"/>
  <c r="A17903" i="1"/>
  <c r="A11340" i="1"/>
  <c r="A11926" i="1"/>
  <c r="A535" i="1"/>
  <c r="A12998" i="1"/>
  <c r="A14653" i="1"/>
  <c r="A14259" i="1"/>
  <c r="A13283" i="1"/>
  <c r="A13193" i="1"/>
  <c r="A10104" i="1"/>
  <c r="A17902" i="1"/>
  <c r="A12615" i="1"/>
  <c r="A11047" i="1"/>
  <c r="A4719" i="1"/>
  <c r="A5888" i="1"/>
  <c r="A13185" i="1"/>
  <c r="A12730" i="1"/>
  <c r="A12002" i="1"/>
  <c r="A12767" i="1"/>
  <c r="A17901" i="1"/>
  <c r="A14682" i="1"/>
  <c r="A11796" i="1"/>
  <c r="A11862" i="1"/>
  <c r="A11073" i="1"/>
  <c r="A13036" i="1"/>
  <c r="A13749" i="1"/>
  <c r="A13754" i="1"/>
  <c r="A14522" i="1"/>
  <c r="A11933" i="1"/>
  <c r="A13202" i="1"/>
  <c r="A14655" i="1"/>
  <c r="A11900" i="1"/>
  <c r="A10130" i="1"/>
  <c r="A15752" i="1"/>
  <c r="A17900" i="1"/>
  <c r="A12083" i="1"/>
  <c r="A12579" i="1"/>
  <c r="A13135" i="1"/>
  <c r="A13282" i="1"/>
  <c r="A13003" i="1"/>
  <c r="A4410" i="1"/>
  <c r="A7422" i="1"/>
  <c r="A9307" i="1"/>
  <c r="A13354" i="1"/>
  <c r="A12692" i="1"/>
  <c r="A13150" i="1"/>
  <c r="A12941" i="1"/>
  <c r="A9167" i="1"/>
  <c r="A17899" i="1"/>
  <c r="A12572" i="1"/>
  <c r="A13716" i="1"/>
  <c r="A12230" i="1"/>
  <c r="A12918" i="1"/>
  <c r="A11766" i="1"/>
  <c r="A13224" i="1"/>
  <c r="A17898" i="1"/>
  <c r="A13653" i="1"/>
  <c r="A12313" i="1"/>
  <c r="A13400" i="1"/>
  <c r="A13368" i="1"/>
  <c r="A13597" i="1"/>
  <c r="A12302" i="1"/>
  <c r="A10197" i="1"/>
  <c r="A16233" i="1"/>
  <c r="A14436" i="1"/>
  <c r="A13454" i="1"/>
  <c r="A14758" i="1"/>
  <c r="A12585" i="1"/>
  <c r="A13362" i="1"/>
  <c r="A10511" i="1"/>
  <c r="A13997" i="1"/>
  <c r="A14277" i="1"/>
  <c r="A12719" i="1"/>
  <c r="A15066" i="1"/>
  <c r="A13782" i="1"/>
  <c r="A15367" i="1"/>
  <c r="A12661" i="1"/>
  <c r="A17897" i="1"/>
  <c r="A15956" i="1"/>
  <c r="A14538" i="1"/>
  <c r="A12053" i="1"/>
  <c r="A13232" i="1"/>
  <c r="A11726" i="1"/>
  <c r="A12130" i="1"/>
  <c r="A14229" i="1"/>
  <c r="A14032" i="1"/>
  <c r="A11951" i="1"/>
  <c r="A12839" i="1"/>
  <c r="A14133" i="1"/>
  <c r="A13153" i="1"/>
  <c r="A12200" i="1"/>
  <c r="A13044" i="1"/>
  <c r="A17896" i="1"/>
  <c r="A14020" i="1"/>
  <c r="A10918" i="1"/>
  <c r="A12686" i="1"/>
  <c r="A7916" i="1"/>
  <c r="A13969" i="1"/>
  <c r="A14591" i="1"/>
  <c r="A17895" i="1"/>
  <c r="A12453" i="1"/>
  <c r="A15136" i="1"/>
  <c r="A12743" i="1"/>
  <c r="A12383" i="1"/>
  <c r="A13678" i="1"/>
  <c r="A13564" i="1"/>
  <c r="A13505" i="1"/>
  <c r="A12388" i="1"/>
  <c r="A13859" i="1"/>
  <c r="A13753" i="1"/>
  <c r="A17894" i="1"/>
  <c r="A12405" i="1"/>
  <c r="A12678" i="1"/>
  <c r="A13374" i="1"/>
  <c r="A14749" i="1"/>
  <c r="A11925" i="1"/>
  <c r="A14150" i="1"/>
  <c r="A12997" i="1"/>
  <c r="A17893" i="1"/>
  <c r="A14056" i="1"/>
  <c r="A11138" i="1"/>
  <c r="A11054" i="1"/>
  <c r="A14211" i="1"/>
  <c r="A14476" i="1"/>
  <c r="A14944" i="1"/>
  <c r="A17892" i="1"/>
  <c r="A17891" i="1"/>
  <c r="A17890" i="1"/>
  <c r="A13081" i="1"/>
  <c r="A14365" i="1"/>
  <c r="A15190" i="1"/>
  <c r="A13361" i="1"/>
  <c r="A13059" i="1"/>
  <c r="A17889" i="1"/>
  <c r="A11271" i="1"/>
  <c r="A14567" i="1"/>
  <c r="A12951" i="1"/>
  <c r="A10542" i="1"/>
  <c r="A14222" i="1"/>
  <c r="A12111" i="1"/>
  <c r="A12410" i="1"/>
  <c r="A10811" i="1"/>
  <c r="A12917" i="1"/>
  <c r="A12229" i="1"/>
  <c r="A13327" i="1"/>
  <c r="A13098" i="1"/>
  <c r="A13326" i="1"/>
  <c r="A13772" i="1"/>
  <c r="A14221" i="1"/>
  <c r="A17888" i="1"/>
  <c r="A14884" i="1"/>
  <c r="A12818" i="1"/>
  <c r="A12707" i="1"/>
  <c r="A12312" i="1"/>
  <c r="A17887" i="1"/>
  <c r="A1723" i="1"/>
  <c r="A8029" i="1"/>
  <c r="A13043" i="1"/>
  <c r="A13787" i="1"/>
  <c r="A11565" i="1"/>
  <c r="A11472" i="1"/>
  <c r="A12992" i="1"/>
  <c r="A12858" i="1"/>
  <c r="A13254" i="1"/>
  <c r="A12001" i="1"/>
  <c r="A11270" i="1"/>
  <c r="A11888" i="1"/>
  <c r="A13480" i="1"/>
  <c r="A11392" i="1"/>
  <c r="A12900" i="1"/>
  <c r="A12336" i="1"/>
  <c r="A12335" i="1"/>
  <c r="A6561" i="1"/>
  <c r="A14725" i="1"/>
  <c r="A13095" i="1"/>
  <c r="A12021" i="1"/>
  <c r="A11924" i="1"/>
  <c r="A13484" i="1"/>
  <c r="A13223" i="1"/>
  <c r="A14491" i="1"/>
  <c r="A15152" i="1"/>
  <c r="A15004" i="1"/>
  <c r="A12911" i="1"/>
  <c r="A15383" i="1"/>
  <c r="A12637" i="1"/>
  <c r="A13309" i="1"/>
  <c r="A13373" i="1"/>
  <c r="A10107" i="1"/>
  <c r="A13652" i="1"/>
  <c r="A13855" i="1"/>
  <c r="A13696" i="1"/>
  <c r="A13348" i="1"/>
  <c r="A12866" i="1"/>
  <c r="A13198" i="1"/>
  <c r="A12415" i="1"/>
  <c r="A13574" i="1"/>
  <c r="A12895" i="1"/>
  <c r="A17886" i="1"/>
  <c r="A14036" i="1"/>
  <c r="A12218" i="1"/>
  <c r="A17885" i="1"/>
  <c r="A14241" i="1"/>
  <c r="A17884" i="1"/>
  <c r="A14558" i="1"/>
  <c r="A16052" i="1"/>
  <c r="A14139" i="1"/>
  <c r="A14704" i="1"/>
  <c r="A14630" i="1"/>
  <c r="A13298" i="1"/>
  <c r="A13526" i="1"/>
  <c r="A12910" i="1"/>
  <c r="A12052" i="1"/>
  <c r="A14011" i="1"/>
  <c r="A7151" i="1"/>
  <c r="A15609" i="1"/>
  <c r="A14541" i="1"/>
  <c r="A17883" i="1"/>
  <c r="A17882" i="1"/>
  <c r="A13423" i="1"/>
  <c r="A17881" i="1"/>
  <c r="A10066" i="1"/>
  <c r="A7421" i="1"/>
  <c r="A12129" i="1"/>
  <c r="A11975" i="1"/>
  <c r="A12845" i="1"/>
  <c r="A13174" i="1"/>
  <c r="A16449" i="1"/>
  <c r="A12199" i="1"/>
  <c r="A13901" i="1"/>
  <c r="A12964" i="1"/>
  <c r="A13684" i="1"/>
  <c r="A7614" i="1"/>
  <c r="A17880" i="1"/>
  <c r="A11137" i="1"/>
  <c r="A13215" i="1"/>
  <c r="A14338" i="1"/>
  <c r="A7270" i="1"/>
  <c r="A12594" i="1"/>
  <c r="A13353" i="1"/>
  <c r="A13528" i="1"/>
  <c r="A9192" i="1"/>
  <c r="A12565" i="1"/>
  <c r="A14096" i="1"/>
  <c r="A12857" i="1"/>
  <c r="A13124" i="1"/>
  <c r="A10261" i="1"/>
  <c r="A17879" i="1"/>
  <c r="A5436" i="1"/>
  <c r="A12991" i="1"/>
  <c r="A14311" i="1"/>
  <c r="A15467" i="1"/>
  <c r="A12807" i="1"/>
  <c r="A17878" i="1"/>
  <c r="A14451" i="1"/>
  <c r="A12856" i="1"/>
  <c r="A14778" i="1"/>
  <c r="A13347" i="1"/>
  <c r="A12301" i="1"/>
  <c r="A9459" i="1"/>
  <c r="A13670" i="1"/>
  <c r="A9103" i="1"/>
  <c r="A4283" i="1"/>
  <c r="A12404" i="1"/>
  <c r="A11854" i="1"/>
  <c r="A15488" i="1"/>
  <c r="A11323" i="1"/>
  <c r="A11974" i="1"/>
  <c r="A17877" i="1"/>
  <c r="A13660" i="1"/>
  <c r="A13106" i="1"/>
  <c r="A11090" i="1"/>
  <c r="A9676" i="1"/>
  <c r="A12916" i="1"/>
  <c r="A11664" i="1"/>
  <c r="A17876" i="1"/>
  <c r="A10521" i="1"/>
  <c r="A17875" i="1"/>
  <c r="A12093" i="1"/>
  <c r="A13271" i="1"/>
  <c r="A13651" i="1"/>
  <c r="A14501" i="1"/>
  <c r="A14553" i="1"/>
  <c r="A12463" i="1"/>
  <c r="A14370" i="1"/>
  <c r="A17874" i="1"/>
  <c r="A5321" i="1"/>
  <c r="A16554" i="1"/>
  <c r="A13757" i="1"/>
  <c r="A13240" i="1"/>
  <c r="A13566" i="1"/>
  <c r="A14039" i="1"/>
  <c r="A17873" i="1"/>
  <c r="A11973" i="1"/>
  <c r="A10568" i="1"/>
  <c r="A16709" i="1"/>
  <c r="A10842" i="1"/>
  <c r="A11792" i="1"/>
  <c r="A14875" i="1"/>
  <c r="A12990" i="1"/>
  <c r="A10294" i="1"/>
  <c r="A12838" i="1"/>
  <c r="A14258" i="1"/>
  <c r="A13947" i="1"/>
  <c r="A12935" i="1"/>
  <c r="A14909" i="1"/>
  <c r="A14904" i="1"/>
  <c r="A12718" i="1"/>
  <c r="A11725" i="1"/>
  <c r="A12963" i="1"/>
  <c r="A12475" i="1"/>
  <c r="A15880" i="1"/>
  <c r="A7353" i="1"/>
  <c r="A11572" i="1"/>
  <c r="A11291" i="1"/>
  <c r="A12423" i="1"/>
  <c r="A13308" i="1"/>
  <c r="A11536" i="1"/>
  <c r="A14018" i="1"/>
  <c r="A13070" i="1"/>
  <c r="A13946" i="1"/>
  <c r="A12978" i="1"/>
  <c r="A1623" i="1"/>
  <c r="A14104" i="1"/>
  <c r="A12121" i="1"/>
  <c r="A11170" i="1"/>
  <c r="A15576" i="1"/>
  <c r="A7326" i="1"/>
  <c r="A17872" i="1"/>
  <c r="A17871" i="1"/>
  <c r="A13688" i="1"/>
  <c r="A17870" i="1"/>
  <c r="A12781" i="1"/>
  <c r="A14552" i="1"/>
  <c r="A12495" i="1"/>
  <c r="A14777" i="1"/>
  <c r="A13336" i="1"/>
  <c r="A13801" i="1"/>
  <c r="A9741" i="1"/>
  <c r="A13399" i="1"/>
  <c r="A14149" i="1"/>
  <c r="A12669" i="1"/>
  <c r="A14103" i="1"/>
  <c r="A11660" i="1"/>
  <c r="A13270" i="1"/>
  <c r="A14203" i="1"/>
  <c r="A15341" i="1"/>
  <c r="A12894" i="1"/>
  <c r="A10933" i="1"/>
  <c r="A14797" i="1"/>
  <c r="A11841" i="1"/>
  <c r="A9890" i="1"/>
  <c r="A781" i="1"/>
  <c r="A12909" i="1"/>
  <c r="A12626" i="1"/>
  <c r="A14055" i="1"/>
  <c r="A11723" i="1"/>
  <c r="A14215" i="1"/>
  <c r="A14391" i="1"/>
  <c r="A12861" i="1"/>
  <c r="A13984" i="1"/>
  <c r="A14551" i="1"/>
  <c r="A13069" i="1"/>
  <c r="A13372" i="1"/>
  <c r="A11603" i="1"/>
  <c r="A11615" i="1"/>
  <c r="A13683" i="1"/>
  <c r="A10239" i="1"/>
  <c r="A11169" i="1"/>
  <c r="A14017" i="1"/>
  <c r="A17869" i="1"/>
  <c r="A10129" i="1"/>
  <c r="A10788" i="1"/>
  <c r="A13269" i="1"/>
  <c r="A15290" i="1"/>
  <c r="A13607" i="1"/>
  <c r="A17868" i="1"/>
  <c r="A13117" i="1"/>
  <c r="A12828" i="1"/>
  <c r="A14994" i="1"/>
  <c r="A11986" i="1"/>
  <c r="A10932" i="1"/>
  <c r="A13140" i="1"/>
  <c r="A13983" i="1"/>
  <c r="A1372" i="1"/>
  <c r="A11644" i="1"/>
  <c r="A13539" i="1"/>
  <c r="A17867" i="1"/>
  <c r="A13846" i="1"/>
  <c r="A13371" i="1"/>
  <c r="A11985" i="1"/>
  <c r="A12933" i="1"/>
  <c r="A12422" i="1"/>
  <c r="A13211" i="1"/>
  <c r="A13748" i="1"/>
  <c r="A13555" i="1"/>
  <c r="A12524" i="1"/>
  <c r="A14220" i="1"/>
  <c r="A17866" i="1"/>
  <c r="A13370" i="1"/>
  <c r="A10675" i="1"/>
  <c r="A12311" i="1"/>
  <c r="A13945" i="1"/>
  <c r="A9964" i="1"/>
  <c r="A17865" i="1"/>
  <c r="A11853" i="1"/>
  <c r="A8198" i="1"/>
  <c r="A13054" i="1"/>
  <c r="A16284" i="1"/>
  <c r="A13836" i="1"/>
  <c r="A15024" i="1"/>
  <c r="A6388" i="1"/>
  <c r="A17864" i="1"/>
  <c r="A13346" i="1"/>
  <c r="A13013" i="1"/>
  <c r="A12428" i="1"/>
  <c r="A13422" i="1"/>
  <c r="A8558" i="1"/>
  <c r="A12153" i="1"/>
  <c r="A11276" i="1"/>
  <c r="A13012" i="1"/>
  <c r="A9584" i="1"/>
  <c r="A11523" i="1"/>
  <c r="A13360" i="1"/>
  <c r="A12370" i="1"/>
  <c r="A13687" i="1"/>
  <c r="A10314" i="1"/>
  <c r="A12461" i="1"/>
  <c r="A11713" i="1"/>
  <c r="A14772" i="1"/>
  <c r="A13389" i="1"/>
  <c r="A17863" i="1"/>
  <c r="A12950" i="1"/>
  <c r="A13080" i="1"/>
  <c r="A14054" i="1"/>
  <c r="A12742" i="1"/>
  <c r="A13035" i="1"/>
  <c r="A7057" i="1"/>
  <c r="A10402" i="1"/>
  <c r="A16139" i="1"/>
  <c r="A13079" i="1"/>
  <c r="A11493" i="1"/>
  <c r="A12899" i="1"/>
  <c r="A14031" i="1"/>
  <c r="A10917" i="1"/>
  <c r="A17862" i="1"/>
  <c r="A13578" i="1"/>
  <c r="A12932" i="1"/>
  <c r="A17861" i="1"/>
  <c r="A9602" i="1"/>
  <c r="A17860" i="1"/>
  <c r="A13388" i="1"/>
  <c r="A12724" i="1"/>
  <c r="A17859" i="1"/>
  <c r="A14895" i="1"/>
  <c r="A9548" i="1"/>
  <c r="A11673" i="1"/>
  <c r="A12977" i="1"/>
  <c r="A13345" i="1"/>
  <c r="A13227" i="1"/>
  <c r="A1538" i="1"/>
  <c r="A12300" i="1"/>
  <c r="A11939" i="1"/>
  <c r="A8557" i="1"/>
  <c r="A11407" i="1"/>
  <c r="A11840" i="1"/>
  <c r="A13447" i="1"/>
  <c r="A12660" i="1"/>
  <c r="A13028" i="1"/>
  <c r="A12989" i="1"/>
  <c r="A13417" i="1"/>
  <c r="A13426" i="1"/>
  <c r="A16184" i="1"/>
  <c r="A12607" i="1"/>
  <c r="A12614" i="1"/>
  <c r="A13704" i="1"/>
  <c r="A12092" i="1"/>
  <c r="A15220" i="1"/>
  <c r="A10389" i="1"/>
  <c r="A12485" i="1"/>
  <c r="A12321" i="1"/>
  <c r="A14030" i="1"/>
  <c r="A16553" i="1"/>
  <c r="A8329" i="1"/>
  <c r="A14788" i="1"/>
  <c r="A10641" i="1"/>
  <c r="A12020" i="1"/>
  <c r="A11643" i="1"/>
  <c r="A12772" i="1"/>
  <c r="A17858" i="1"/>
  <c r="A10032" i="1"/>
  <c r="A3161" i="1"/>
  <c r="A13231" i="1"/>
  <c r="A14180" i="1"/>
  <c r="A14364" i="1"/>
  <c r="A11314" i="1"/>
  <c r="A13587" i="1"/>
  <c r="A13222" i="1"/>
  <c r="A9458" i="1"/>
  <c r="A12334" i="1"/>
  <c r="A12842" i="1"/>
  <c r="A11952" i="1"/>
  <c r="A12474" i="1"/>
  <c r="A17857" i="1"/>
  <c r="A11101" i="1"/>
  <c r="A12827" i="1"/>
  <c r="A17856" i="1"/>
  <c r="A10388" i="1"/>
  <c r="A12766" i="1"/>
  <c r="A11805" i="1"/>
  <c r="A13201" i="1"/>
  <c r="A13624" i="1"/>
  <c r="A11749" i="1"/>
  <c r="A17855" i="1"/>
  <c r="A11009" i="1"/>
  <c r="A13132" i="1"/>
  <c r="A14344" i="1"/>
  <c r="A11008" i="1"/>
  <c r="A17854" i="1"/>
  <c r="A9682" i="1"/>
  <c r="A11471" i="1"/>
  <c r="A13927" i="1"/>
  <c r="A15661" i="1"/>
  <c r="A13771" i="1"/>
  <c r="A13940" i="1"/>
  <c r="A10753" i="1"/>
  <c r="A11564" i="1"/>
  <c r="A13547" i="1"/>
  <c r="A12473" i="1"/>
  <c r="A17853" i="1"/>
  <c r="A13982" i="1"/>
  <c r="A17852" i="1"/>
  <c r="A13981" i="1"/>
  <c r="A12538" i="1"/>
  <c r="A12484" i="1"/>
  <c r="A14376" i="1"/>
  <c r="A14432" i="1"/>
  <c r="A13027" i="1"/>
  <c r="A12636" i="1"/>
  <c r="A13606" i="1"/>
  <c r="A12551" i="1"/>
  <c r="A12625" i="1"/>
  <c r="A9708" i="1"/>
  <c r="A13206" i="1"/>
  <c r="A4991" i="1"/>
  <c r="A12559" i="1"/>
  <c r="A534" i="1"/>
  <c r="A8866" i="1"/>
  <c r="A9569" i="1"/>
  <c r="A533" i="1"/>
  <c r="A13639" i="1"/>
  <c r="A12780" i="1"/>
  <c r="A17851" i="1"/>
  <c r="A17850" i="1"/>
  <c r="A12550" i="1"/>
  <c r="A13262" i="1"/>
  <c r="A12259" i="1"/>
  <c r="A13078" i="1"/>
  <c r="A17849" i="1"/>
  <c r="A12435" i="1"/>
  <c r="A12762" i="1"/>
  <c r="A13960" i="1"/>
  <c r="A11206" i="1"/>
  <c r="A5284" i="1"/>
  <c r="A9234" i="1"/>
  <c r="A14280" i="1"/>
  <c r="A17848" i="1"/>
  <c r="A16138" i="1"/>
  <c r="A12512" i="1"/>
  <c r="A11765" i="1"/>
  <c r="A12012" i="1"/>
  <c r="A12382" i="1"/>
  <c r="A15549" i="1"/>
  <c r="A7533" i="1"/>
  <c r="A14852" i="1"/>
  <c r="A12061" i="1"/>
  <c r="A2258" i="1"/>
  <c r="A12472" i="1"/>
  <c r="A13011" i="1"/>
  <c r="A532" i="1"/>
  <c r="A9726" i="1"/>
  <c r="A17847" i="1"/>
  <c r="A10816" i="1"/>
  <c r="A12537" i="1"/>
  <c r="A14918" i="1"/>
  <c r="A6451" i="1"/>
  <c r="A14226" i="1"/>
  <c r="A12217" i="1"/>
  <c r="A13105" i="1"/>
  <c r="A11602" i="1"/>
  <c r="A12299" i="1"/>
  <c r="A13546" i="1"/>
  <c r="A10674" i="1"/>
  <c r="A11136" i="1"/>
  <c r="A13335" i="1"/>
  <c r="A14019" i="1"/>
  <c r="A12452" i="1"/>
  <c r="A15302" i="1"/>
  <c r="A12962" i="1"/>
  <c r="A12883" i="1"/>
  <c r="A13210" i="1"/>
  <c r="A12729" i="1"/>
  <c r="A13884" i="1"/>
  <c r="A14776" i="1"/>
  <c r="A13197" i="1"/>
  <c r="A13315" i="1"/>
  <c r="A12381" i="1"/>
  <c r="A10387" i="1"/>
  <c r="A13727" i="1"/>
  <c r="A11359" i="1"/>
  <c r="A11629" i="1"/>
  <c r="A12451" i="1"/>
  <c r="A13614" i="1"/>
  <c r="A13479" i="1"/>
  <c r="A11688" i="1"/>
  <c r="A13381" i="1"/>
  <c r="A12931" i="1"/>
  <c r="A11601" i="1"/>
  <c r="A12765" i="1"/>
  <c r="A14046" i="1"/>
  <c r="A12983" i="1"/>
  <c r="A10103" i="1"/>
  <c r="A12011" i="1"/>
  <c r="A13208" i="1"/>
  <c r="A14095" i="1"/>
  <c r="A14967" i="1"/>
  <c r="A11046" i="1"/>
  <c r="A12649" i="1"/>
  <c r="A12930" i="1"/>
  <c r="A17846" i="1"/>
  <c r="A13939" i="1"/>
  <c r="A7588" i="1"/>
  <c r="A11135" i="1"/>
  <c r="A17845" i="1"/>
  <c r="A13369" i="1"/>
  <c r="A11659" i="1"/>
  <c r="A9408" i="1"/>
  <c r="A16651" i="1"/>
  <c r="A10890" i="1"/>
  <c r="A8008" i="1"/>
  <c r="A15514" i="1"/>
  <c r="A11663" i="1"/>
  <c r="A11600" i="1"/>
  <c r="A13325" i="1"/>
  <c r="A13867" i="1"/>
  <c r="A12741" i="1"/>
  <c r="A13248" i="1"/>
  <c r="A531" i="1"/>
  <c r="A13800" i="1"/>
  <c r="A11702" i="1"/>
  <c r="A13149" i="1"/>
  <c r="A14647" i="1"/>
  <c r="A12082" i="1"/>
  <c r="A10787" i="1"/>
  <c r="A10332" i="1"/>
  <c r="A9005" i="1"/>
  <c r="A12149" i="1"/>
  <c r="A13421" i="1"/>
  <c r="A14156" i="1"/>
  <c r="A12523" i="1"/>
  <c r="A17844" i="1"/>
  <c r="A7294" i="1"/>
  <c r="A530" i="1"/>
  <c r="A12494" i="1"/>
  <c r="A13835" i="1"/>
  <c r="A14763" i="1"/>
  <c r="A15324" i="1"/>
  <c r="A11168" i="1"/>
  <c r="A10654" i="1"/>
  <c r="A11134" i="1"/>
  <c r="A12779" i="1"/>
  <c r="A12621" i="1"/>
  <c r="A529" i="1"/>
  <c r="A17843" i="1"/>
  <c r="A8970" i="1"/>
  <c r="A13853" i="1"/>
  <c r="A11133" i="1"/>
  <c r="A7700" i="1"/>
  <c r="A13247" i="1"/>
  <c r="A13491" i="1"/>
  <c r="A13565" i="1"/>
  <c r="A13628" i="1"/>
  <c r="A17842" i="1"/>
  <c r="A12333" i="1"/>
  <c r="A17841" i="1"/>
  <c r="A10349" i="1"/>
  <c r="A12183" i="1"/>
  <c r="A12817" i="1"/>
  <c r="A10090" i="1"/>
  <c r="A12549" i="1"/>
  <c r="A14102" i="1"/>
  <c r="A10311" i="1"/>
  <c r="A9102" i="1"/>
  <c r="A14063" i="1"/>
  <c r="A11007" i="1"/>
  <c r="A12310" i="1"/>
  <c r="A12216" i="1"/>
  <c r="A14214" i="1"/>
  <c r="A9788" i="1"/>
  <c r="A11269" i="1"/>
  <c r="A11895" i="1"/>
  <c r="A16500" i="1"/>
  <c r="A12790" i="1"/>
  <c r="A10470" i="1"/>
  <c r="A11614" i="1"/>
  <c r="A17840" i="1"/>
  <c r="A12548" i="1"/>
  <c r="A12369" i="1"/>
  <c r="A12483" i="1"/>
  <c r="A9095" i="1"/>
  <c r="A13200" i="1"/>
  <c r="A11330" i="1"/>
  <c r="A16417" i="1"/>
  <c r="A12893" i="1"/>
  <c r="A17839" i="1"/>
  <c r="A12778" i="1"/>
  <c r="A11599" i="1"/>
  <c r="A10238" i="1"/>
  <c r="A13221" i="1"/>
  <c r="A12482" i="1"/>
  <c r="A12929" i="1"/>
  <c r="A13586" i="1"/>
  <c r="A10256" i="1"/>
  <c r="A12949" i="1"/>
  <c r="A528" i="1"/>
  <c r="A13822" i="1"/>
  <c r="A15167" i="1"/>
  <c r="A17838" i="1"/>
  <c r="A13605" i="1"/>
  <c r="A12215" i="1"/>
  <c r="A11349" i="1"/>
  <c r="A12882" i="1"/>
  <c r="A12252" i="1"/>
  <c r="A12558" i="1"/>
  <c r="A12298" i="1"/>
  <c r="A12071" i="1"/>
  <c r="A11613" i="1"/>
  <c r="A10766" i="1"/>
  <c r="A12304" i="1"/>
  <c r="A10874" i="1"/>
  <c r="A10255" i="1"/>
  <c r="A527" i="1"/>
  <c r="A11072" i="1"/>
  <c r="A15643" i="1"/>
  <c r="A12881" i="1"/>
  <c r="A12403" i="1"/>
  <c r="A12214" i="1"/>
  <c r="A12162" i="1"/>
  <c r="A17837" i="1"/>
  <c r="A11608" i="1"/>
  <c r="A13756" i="1"/>
  <c r="A12648" i="1"/>
  <c r="A6602" i="1"/>
  <c r="A1622" i="1"/>
  <c r="A16298" i="1"/>
  <c r="A17836" i="1"/>
  <c r="A12777" i="1"/>
  <c r="A13786" i="1"/>
  <c r="A12091" i="1"/>
  <c r="A12414" i="1"/>
  <c r="A14598" i="1"/>
  <c r="A13450" i="1"/>
  <c r="A11872" i="1"/>
  <c r="A12110" i="1"/>
  <c r="A526" i="1"/>
  <c r="A14383" i="1"/>
  <c r="A12806" i="1"/>
  <c r="A14450" i="1"/>
  <c r="A12764" i="1"/>
  <c r="A12936" i="1"/>
  <c r="A12010" i="1"/>
  <c r="A17835" i="1"/>
  <c r="A11887" i="1"/>
  <c r="A17834" i="1"/>
  <c r="A13938" i="1"/>
  <c r="A17833" i="1"/>
  <c r="A8948" i="1"/>
  <c r="A11944" i="1"/>
  <c r="A12019" i="1"/>
  <c r="A12081" i="1"/>
  <c r="A13109" i="1"/>
  <c r="A9166" i="1"/>
  <c r="A13131" i="1"/>
  <c r="A12413" i="1"/>
  <c r="A13393" i="1"/>
  <c r="A10469" i="1"/>
  <c r="A11455" i="1"/>
  <c r="A12698" i="1"/>
  <c r="A10608" i="1"/>
  <c r="A11861" i="1"/>
  <c r="A12691" i="1"/>
  <c r="A11860" i="1"/>
  <c r="A13125" i="1"/>
  <c r="A17832" i="1"/>
  <c r="A15849" i="1"/>
  <c r="A17831" i="1"/>
  <c r="A14257" i="1"/>
  <c r="A12816" i="1"/>
  <c r="A12213" i="1"/>
  <c r="A13420" i="1"/>
  <c r="A17830" i="1"/>
  <c r="A9588" i="1"/>
  <c r="A12988" i="1"/>
  <c r="A12051" i="1"/>
  <c r="A525" i="1"/>
  <c r="A11563" i="1"/>
  <c r="A10196" i="1"/>
  <c r="A11886" i="1"/>
  <c r="A11045" i="1"/>
  <c r="A12756" i="1"/>
  <c r="A11791" i="1"/>
  <c r="A12097" i="1"/>
  <c r="A11885" i="1"/>
  <c r="A15363" i="1"/>
  <c r="A12018" i="1"/>
  <c r="A13794" i="1"/>
  <c r="A12000" i="1"/>
  <c r="A12761" i="1"/>
  <c r="A17829" i="1"/>
  <c r="A17828" i="1"/>
  <c r="A17827" i="1"/>
  <c r="A12961" i="1"/>
  <c r="A10011" i="1"/>
  <c r="A9073" i="1"/>
  <c r="A9700" i="1"/>
  <c r="A9327" i="1"/>
  <c r="A15366" i="1"/>
  <c r="A12606" i="1"/>
  <c r="A10640" i="1"/>
  <c r="A14712" i="1"/>
  <c r="A11764" i="1"/>
  <c r="A12815" i="1"/>
  <c r="A11722" i="1"/>
  <c r="A9191" i="1"/>
  <c r="A14113" i="1"/>
  <c r="A12284" i="1"/>
  <c r="A13034" i="1"/>
  <c r="A12728" i="1"/>
  <c r="A8986" i="1"/>
  <c r="A12109" i="1"/>
  <c r="A13937" i="1"/>
  <c r="A10738" i="1"/>
  <c r="A10931" i="1"/>
  <c r="A11914" i="1"/>
  <c r="A11530" i="1"/>
  <c r="A13647" i="1"/>
  <c r="A13281" i="1"/>
  <c r="A10031" i="1"/>
  <c r="A17826" i="1"/>
  <c r="A12352" i="1"/>
  <c r="A12706" i="1"/>
  <c r="A11923" i="1"/>
  <c r="A17825" i="1"/>
  <c r="A11607" i="1"/>
  <c r="A11492" i="1"/>
  <c r="A7672" i="1"/>
  <c r="A12060" i="1"/>
  <c r="A12635" i="1"/>
  <c r="A11212" i="1"/>
  <c r="A12239" i="1"/>
  <c r="A12297" i="1"/>
  <c r="A14053" i="1"/>
  <c r="A11642" i="1"/>
  <c r="A17824" i="1"/>
  <c r="A12511" i="1"/>
  <c r="A12137" i="1"/>
  <c r="A10506" i="1"/>
  <c r="A17823" i="1"/>
  <c r="A12028" i="1"/>
  <c r="A11329" i="1"/>
  <c r="A11211" i="1"/>
  <c r="A13190" i="1"/>
  <c r="A17822" i="1"/>
  <c r="A13239" i="1"/>
  <c r="A15710" i="1"/>
  <c r="A9629" i="1"/>
  <c r="A17821" i="1"/>
  <c r="A12477" i="1"/>
  <c r="A11571" i="1"/>
  <c r="A12960" i="1"/>
  <c r="A12363" i="1"/>
  <c r="A11855" i="1"/>
  <c r="A13265" i="1"/>
  <c r="A17820" i="1"/>
  <c r="A6560" i="1"/>
  <c r="A11817" i="1"/>
  <c r="A13770" i="1"/>
  <c r="A12368" i="1"/>
  <c r="A12536" i="1"/>
  <c r="A10639" i="1"/>
  <c r="A11205" i="1"/>
  <c r="A17819" i="1"/>
  <c r="A17818" i="1"/>
  <c r="A11845" i="1"/>
  <c r="A12274" i="1"/>
  <c r="A12273" i="1"/>
  <c r="A12723" i="1"/>
  <c r="A11080" i="1"/>
  <c r="A12605" i="1"/>
  <c r="A12755" i="1"/>
  <c r="A11712" i="1"/>
  <c r="A12178" i="1"/>
  <c r="A13274" i="1"/>
  <c r="A10950" i="1"/>
  <c r="A11816" i="1"/>
  <c r="A15404" i="1"/>
  <c r="A10557" i="1"/>
  <c r="A12717" i="1"/>
  <c r="A12212" i="1"/>
  <c r="A12535" i="1"/>
  <c r="A12789" i="1"/>
  <c r="A12402" i="1"/>
  <c r="A12228" i="1"/>
  <c r="A13134" i="1"/>
  <c r="A13558" i="1"/>
  <c r="A12987" i="1"/>
  <c r="A13165" i="1"/>
  <c r="A12844" i="1"/>
  <c r="A13139" i="1"/>
  <c r="A14748" i="1"/>
  <c r="A9305" i="1"/>
  <c r="A8035" i="1"/>
  <c r="A17817" i="1"/>
  <c r="A14375" i="1"/>
  <c r="A12272" i="1"/>
  <c r="A8617" i="1"/>
  <c r="A12685" i="1"/>
  <c r="A17816" i="1"/>
  <c r="A12070" i="1"/>
  <c r="A11912" i="1"/>
  <c r="A14843" i="1"/>
  <c r="A12096" i="1"/>
  <c r="A524" i="1"/>
  <c r="A12880" i="1"/>
  <c r="A11826" i="1"/>
  <c r="A16288" i="1"/>
  <c r="A13220" i="1"/>
  <c r="A11378" i="1"/>
  <c r="A10906" i="1"/>
  <c r="A11937" i="1"/>
  <c r="A10976" i="1"/>
  <c r="A11586" i="1"/>
  <c r="A13334" i="1"/>
  <c r="A16541" i="1"/>
  <c r="A15301" i="1"/>
  <c r="A17815" i="1"/>
  <c r="A13799" i="1"/>
  <c r="A11763" i="1"/>
  <c r="A12534" i="1"/>
  <c r="A11972" i="1"/>
  <c r="A12283" i="1"/>
  <c r="A9385" i="1"/>
  <c r="A17814" i="1"/>
  <c r="A12871" i="1"/>
  <c r="A9852" i="1"/>
  <c r="A12971" i="1"/>
  <c r="A12120" i="1"/>
  <c r="A9699" i="1"/>
  <c r="A11377" i="1"/>
  <c r="A12613" i="1"/>
  <c r="A13557" i="1"/>
  <c r="A11339" i="1"/>
  <c r="A17813" i="1"/>
  <c r="A12571" i="1"/>
  <c r="A11259" i="1"/>
  <c r="A14100" i="1"/>
  <c r="A13006" i="1"/>
  <c r="A13518" i="1"/>
  <c r="A8556" i="1"/>
  <c r="A10455" i="1"/>
  <c r="A11859" i="1"/>
  <c r="A10030" i="1"/>
  <c r="A12684" i="1"/>
  <c r="A17812" i="1"/>
  <c r="A13466" i="1"/>
  <c r="A12493" i="1"/>
  <c r="A7956" i="1"/>
  <c r="A13169" i="1"/>
  <c r="A12362" i="1"/>
  <c r="A11585" i="1"/>
  <c r="A11858" i="1"/>
  <c r="A12190" i="1"/>
  <c r="A10065" i="1"/>
  <c r="A17811" i="1"/>
  <c r="A14213" i="1"/>
  <c r="A14646" i="1"/>
  <c r="A11922" i="1"/>
  <c r="A10371" i="1"/>
  <c r="A11628" i="1"/>
  <c r="A13246" i="1"/>
  <c r="A12108" i="1"/>
  <c r="A15782" i="1"/>
  <c r="A9365" i="1"/>
  <c r="A14052" i="1"/>
  <c r="A12928" i="1"/>
  <c r="A15080" i="1"/>
  <c r="A11441" i="1"/>
  <c r="A13033" i="1"/>
  <c r="A11721" i="1"/>
  <c r="A17810" i="1"/>
  <c r="A12177" i="1"/>
  <c r="A5893" i="1"/>
  <c r="A11250" i="1"/>
  <c r="A12973" i="1"/>
  <c r="A13473" i="1"/>
  <c r="A9698" i="1"/>
  <c r="A12198" i="1"/>
  <c r="A13352" i="1"/>
  <c r="A8667" i="1"/>
  <c r="A12460" i="1"/>
  <c r="A523" i="1"/>
  <c r="A12814" i="1"/>
  <c r="A12161" i="1"/>
  <c r="A10490" i="1"/>
  <c r="A9773" i="1"/>
  <c r="A7699" i="1"/>
  <c r="A8247" i="1"/>
  <c r="A12176" i="1"/>
  <c r="A13219" i="1"/>
  <c r="A12258" i="1"/>
  <c r="A13650" i="1"/>
  <c r="A12948" i="1"/>
  <c r="A11158" i="1"/>
  <c r="A12959" i="1"/>
  <c r="A10128" i="1"/>
  <c r="A17809" i="1"/>
  <c r="A17808" i="1"/>
  <c r="A8947" i="1"/>
  <c r="A13613" i="1"/>
  <c r="A10049" i="1"/>
  <c r="A13490" i="1"/>
  <c r="A11547" i="1"/>
  <c r="A12227" i="1"/>
  <c r="A17807" i="1"/>
  <c r="A14993" i="1"/>
  <c r="A13659" i="1"/>
  <c r="A12391" i="1"/>
  <c r="A17806" i="1"/>
  <c r="A17805" i="1"/>
  <c r="A11932" i="1"/>
  <c r="A10856" i="1"/>
  <c r="A9740" i="1"/>
  <c r="A17804" i="1"/>
  <c r="A11720" i="1"/>
  <c r="A13104" i="1"/>
  <c r="A13538" i="1"/>
  <c r="A13585" i="1"/>
  <c r="A12510" i="1"/>
  <c r="A12207" i="1"/>
  <c r="A12189" i="1"/>
  <c r="A17803" i="1"/>
  <c r="A12188" i="1"/>
  <c r="A9697" i="1"/>
  <c r="A11683" i="1"/>
  <c r="A12320" i="1"/>
  <c r="A11598" i="1"/>
  <c r="A9146" i="1"/>
  <c r="A12975" i="1"/>
  <c r="A6634" i="1"/>
  <c r="A12776" i="1"/>
  <c r="A12107" i="1"/>
  <c r="A9457" i="1"/>
  <c r="A11612" i="1"/>
  <c r="A10889" i="1"/>
  <c r="A13007" i="1"/>
  <c r="A11522" i="1"/>
  <c r="A9509" i="1"/>
  <c r="A522" i="1"/>
  <c r="A12612" i="1"/>
  <c r="A14762" i="1"/>
  <c r="A12898" i="1"/>
  <c r="A13032" i="1"/>
  <c r="A12450" i="1"/>
  <c r="A521" i="1"/>
  <c r="A9725" i="1"/>
  <c r="A10691" i="1"/>
  <c r="A13261" i="1"/>
  <c r="A15003" i="1"/>
  <c r="A12290" i="1"/>
  <c r="A12879" i="1"/>
  <c r="A11475" i="1"/>
  <c r="A17802" i="1"/>
  <c r="A17801" i="1"/>
  <c r="A12634" i="1"/>
  <c r="A13883" i="1"/>
  <c r="A11296" i="1"/>
  <c r="A11313" i="1"/>
  <c r="A15987" i="1"/>
  <c r="A11950" i="1"/>
  <c r="A17800" i="1"/>
  <c r="A12395" i="1"/>
  <c r="A12119" i="1"/>
  <c r="A17799" i="1"/>
  <c r="A11358" i="1"/>
  <c r="A14310" i="1"/>
  <c r="A12409" i="1"/>
  <c r="A13834" i="1"/>
  <c r="A9209" i="1"/>
  <c r="A8458" i="1"/>
  <c r="A11283" i="1"/>
  <c r="A11762" i="1"/>
  <c r="A14374" i="1"/>
  <c r="A14475" i="1"/>
  <c r="A12296" i="1"/>
  <c r="A12367" i="1"/>
  <c r="A12716" i="1"/>
  <c r="A12080" i="1"/>
  <c r="A520" i="1"/>
  <c r="A9829" i="1"/>
  <c r="A12604" i="1"/>
  <c r="A11191" i="1"/>
  <c r="A12366" i="1"/>
  <c r="A12211" i="1"/>
  <c r="A12647" i="1"/>
  <c r="A12168" i="1"/>
  <c r="A11440" i="1"/>
  <c r="A13268" i="1"/>
  <c r="A9004" i="1"/>
  <c r="A7450" i="1"/>
  <c r="A12318" i="1"/>
  <c r="A9508" i="1"/>
  <c r="A10590" i="1"/>
  <c r="A11157" i="1"/>
  <c r="A12233" i="1"/>
  <c r="A12705" i="1"/>
  <c r="A12197" i="1"/>
  <c r="A14000" i="1"/>
  <c r="A9306" i="1"/>
  <c r="A11348" i="1"/>
  <c r="A13408" i="1"/>
  <c r="A17798" i="1"/>
  <c r="A15315" i="1"/>
  <c r="A10029" i="1"/>
  <c r="A12459" i="1"/>
  <c r="A8613" i="1"/>
  <c r="A12401" i="1"/>
  <c r="A12087" i="1"/>
  <c r="A10237" i="1"/>
  <c r="A10673" i="1"/>
  <c r="A17797" i="1"/>
  <c r="A11376" i="1"/>
  <c r="A15219" i="1"/>
  <c r="A11711" i="1"/>
  <c r="A12175" i="1"/>
  <c r="A9021" i="1"/>
  <c r="A5146" i="1"/>
  <c r="A11790" i="1"/>
  <c r="A8373" i="1"/>
  <c r="A13926" i="1"/>
  <c r="A17796" i="1"/>
  <c r="A17795" i="1"/>
  <c r="A12148" i="1"/>
  <c r="A11406" i="1"/>
  <c r="A8567" i="1"/>
  <c r="A1465" i="1"/>
  <c r="A11071" i="1"/>
  <c r="A10567" i="1"/>
  <c r="A13675" i="1"/>
  <c r="A12506" i="1"/>
  <c r="A12659" i="1"/>
  <c r="A11677" i="1"/>
  <c r="A13726" i="1"/>
  <c r="A17794" i="1"/>
  <c r="A9675" i="1"/>
  <c r="A12380" i="1"/>
  <c r="A519" i="1"/>
  <c r="A10293" i="1"/>
  <c r="A11232" i="1"/>
  <c r="A13793" i="1"/>
  <c r="A13577" i="1"/>
  <c r="A13737" i="1"/>
  <c r="A13230" i="1"/>
  <c r="A12704" i="1"/>
  <c r="A12624" i="1"/>
  <c r="A9963" i="1"/>
  <c r="A14664" i="1"/>
  <c r="A11546" i="1"/>
  <c r="A12471" i="1"/>
  <c r="A7001" i="1"/>
  <c r="A11779" i="1"/>
  <c r="A11426" i="1"/>
  <c r="A10415" i="1"/>
  <c r="A11825" i="1"/>
  <c r="A12449" i="1"/>
  <c r="A17793" i="1"/>
  <c r="A11290" i="1"/>
  <c r="A13158" i="1"/>
  <c r="A7532" i="1"/>
  <c r="A17792" i="1"/>
  <c r="A12038" i="1"/>
  <c r="A11322" i="1"/>
  <c r="A12509" i="1"/>
  <c r="A17791" i="1"/>
  <c r="A12147" i="1"/>
  <c r="A11815" i="1"/>
  <c r="A11778" i="1"/>
  <c r="A11295" i="1"/>
  <c r="A10386" i="1"/>
  <c r="A11824" i="1"/>
  <c r="A11439" i="1"/>
  <c r="A2327" i="1"/>
  <c r="A11943" i="1"/>
  <c r="A11719" i="1"/>
  <c r="A12196" i="1"/>
  <c r="A11852" i="1"/>
  <c r="A8612" i="1"/>
  <c r="A12251" i="1"/>
  <c r="A10888" i="1"/>
  <c r="A17790" i="1"/>
  <c r="A11338" i="1"/>
  <c r="A11808" i="1"/>
  <c r="A13307" i="1"/>
  <c r="A12584" i="1"/>
  <c r="A13496" i="1"/>
  <c r="A17789" i="1"/>
  <c r="A11984" i="1"/>
  <c r="A12027" i="1"/>
  <c r="A12226" i="1"/>
  <c r="A13306" i="1"/>
  <c r="A11454" i="1"/>
  <c r="A12288" i="1"/>
  <c r="A12646" i="1"/>
  <c r="A5714" i="1"/>
  <c r="A11391" i="1"/>
  <c r="A11282" i="1"/>
  <c r="A12740" i="1"/>
  <c r="A12448" i="1"/>
  <c r="A11834" i="1"/>
  <c r="A13194" i="1"/>
  <c r="A11958" i="1"/>
  <c r="A11470" i="1"/>
  <c r="A8729" i="1"/>
  <c r="A9889" i="1"/>
  <c r="A12174" i="1"/>
  <c r="A11676" i="1"/>
  <c r="A1371" i="1"/>
  <c r="A12182" i="1"/>
  <c r="A11115" i="1"/>
  <c r="A12238" i="1"/>
  <c r="A11748" i="1"/>
  <c r="A12351" i="1"/>
  <c r="A13695" i="1"/>
  <c r="A10949" i="1"/>
  <c r="A11957" i="1"/>
  <c r="A12195" i="1"/>
  <c r="A12668" i="1"/>
  <c r="A12160" i="1"/>
  <c r="A11231" i="1"/>
  <c r="A13228" i="1"/>
  <c r="A11672" i="1"/>
  <c r="A17788" i="1"/>
  <c r="A10705" i="1"/>
  <c r="A12522" i="1"/>
  <c r="A9674" i="1"/>
  <c r="A10589" i="1"/>
  <c r="A11491" i="1"/>
  <c r="A10236" i="1"/>
  <c r="A9758" i="1"/>
  <c r="A8145" i="1"/>
  <c r="A10048" i="1"/>
  <c r="A12593" i="1"/>
  <c r="A13094" i="1"/>
  <c r="A12106" i="1"/>
  <c r="A13866" i="1"/>
  <c r="A11438" i="1"/>
  <c r="A13108" i="1"/>
  <c r="A11647" i="1"/>
  <c r="A11627" i="1"/>
  <c r="A11777" i="1"/>
  <c r="A11031" i="1"/>
  <c r="A11328" i="1"/>
  <c r="A12225" i="1"/>
  <c r="A13077" i="1"/>
  <c r="A17787" i="1"/>
  <c r="A13725" i="1"/>
  <c r="A17786" i="1"/>
  <c r="A10492" i="1"/>
  <c r="A13218" i="1"/>
  <c r="A11584" i="1"/>
  <c r="A12224" i="1"/>
  <c r="A13858" i="1"/>
  <c r="A10971" i="1"/>
  <c r="A13280" i="1"/>
  <c r="A9304" i="1"/>
  <c r="A12533" i="1"/>
  <c r="A12434" i="1"/>
  <c r="A11281" i="1"/>
  <c r="A13920" i="1"/>
  <c r="A11747" i="1"/>
  <c r="A12146" i="1"/>
  <c r="A12645" i="1"/>
  <c r="A7352" i="1"/>
  <c r="A11089" i="1"/>
  <c r="A11789" i="1"/>
  <c r="A10493" i="1"/>
  <c r="A11844" i="1"/>
  <c r="A15135" i="1"/>
  <c r="A11983" i="1"/>
  <c r="A12547" i="1"/>
  <c r="A10812" i="1"/>
  <c r="A8896" i="1"/>
  <c r="A11453" i="1"/>
  <c r="A12739" i="1"/>
  <c r="A10690" i="1"/>
  <c r="A11347" i="1"/>
  <c r="A11570" i="1"/>
  <c r="A10737" i="1"/>
  <c r="A14164" i="1"/>
  <c r="A9787" i="1"/>
  <c r="A11405" i="1"/>
  <c r="A17785" i="1"/>
  <c r="A12763" i="1"/>
  <c r="A13170" i="1"/>
  <c r="A7000" i="1"/>
  <c r="A7934" i="1"/>
  <c r="A12105" i="1"/>
  <c r="A8052" i="1"/>
  <c r="A14029" i="1"/>
  <c r="A13068" i="1"/>
  <c r="A11857" i="1"/>
  <c r="A13781" i="1"/>
  <c r="A12855" i="1"/>
  <c r="A12332" i="1"/>
  <c r="A11275" i="1"/>
  <c r="A12754" i="1"/>
  <c r="A12447" i="1"/>
  <c r="A11910" i="1"/>
  <c r="A12470" i="1"/>
  <c r="A17784" i="1"/>
  <c r="A14240" i="1"/>
  <c r="A11746" i="1"/>
  <c r="A12379" i="1"/>
  <c r="A11100" i="1"/>
  <c r="A11921" i="1"/>
  <c r="A12492" i="1"/>
  <c r="A10151" i="1"/>
  <c r="A12050" i="1"/>
  <c r="A17783" i="1"/>
  <c r="A9583" i="1"/>
  <c r="A14193" i="1"/>
  <c r="A12508" i="1"/>
  <c r="A12665" i="1"/>
  <c r="A8891" i="1"/>
  <c r="A11971" i="1"/>
  <c r="A5252" i="1"/>
  <c r="A11738" i="1"/>
  <c r="A8124" i="1"/>
  <c r="A10989" i="1"/>
  <c r="A10704" i="1"/>
  <c r="A10292" i="1"/>
  <c r="A13478" i="1"/>
  <c r="A11970" i="1"/>
  <c r="A11641" i="1"/>
  <c r="A15309" i="1"/>
  <c r="A11718" i="1"/>
  <c r="A17782" i="1"/>
  <c r="A12234" i="1"/>
  <c r="A10401" i="1"/>
  <c r="A11962" i="1"/>
  <c r="A780" i="1"/>
  <c r="A11535" i="1"/>
  <c r="A11312" i="1"/>
  <c r="A11425" i="1"/>
  <c r="A12826" i="1"/>
  <c r="A13973" i="1"/>
  <c r="A17781" i="1"/>
  <c r="A9757" i="1"/>
  <c r="A13324" i="1"/>
  <c r="A12145" i="1"/>
  <c r="A10765" i="1"/>
  <c r="A11044" i="1"/>
  <c r="A10541" i="1"/>
  <c r="A11043" i="1"/>
  <c r="A12805" i="1"/>
  <c r="A10489" i="1"/>
  <c r="A9568" i="1"/>
  <c r="A17780" i="1"/>
  <c r="A9529" i="1"/>
  <c r="A13446" i="1"/>
  <c r="A12958" i="1"/>
  <c r="A12350" i="1"/>
  <c r="A11884" i="1"/>
  <c r="A8197" i="1"/>
  <c r="A17779" i="1"/>
  <c r="A10830" i="1"/>
  <c r="A10720" i="1"/>
  <c r="A10370" i="1"/>
  <c r="A9282" i="1"/>
  <c r="A13919" i="1"/>
  <c r="A8389" i="1"/>
  <c r="A7757" i="1"/>
  <c r="A10752" i="1"/>
  <c r="A11717" i="1"/>
  <c r="A12250" i="1"/>
  <c r="A11671" i="1"/>
  <c r="A8246" i="1"/>
  <c r="A15189" i="1"/>
  <c r="A17778" i="1"/>
  <c r="A8806" i="1"/>
  <c r="A13148" i="1"/>
  <c r="A8595" i="1"/>
  <c r="A10468" i="1"/>
  <c r="A17777" i="1"/>
  <c r="A12361" i="1"/>
  <c r="A17776" i="1"/>
  <c r="A13147" i="1"/>
  <c r="A9384" i="1"/>
  <c r="A11249" i="1"/>
  <c r="A13996" i="1"/>
  <c r="A11156" i="1"/>
  <c r="A11626" i="1"/>
  <c r="A11745" i="1"/>
  <c r="A13875" i="1"/>
  <c r="A11814" i="1"/>
  <c r="A12947" i="1"/>
  <c r="A17775" i="1"/>
  <c r="A10956" i="1"/>
  <c r="A12683" i="1"/>
  <c r="A12623" i="1"/>
  <c r="A11221" i="1"/>
  <c r="A10829" i="1"/>
  <c r="A17774" i="1"/>
  <c r="A9606" i="1"/>
  <c r="A9696" i="1"/>
  <c r="A12446" i="1"/>
  <c r="A17773" i="1"/>
  <c r="A17772" i="1"/>
  <c r="A12144" i="1"/>
  <c r="A12521" i="1"/>
  <c r="A6633" i="1"/>
  <c r="A10786" i="1"/>
  <c r="A11999" i="1"/>
  <c r="A3372" i="1"/>
  <c r="A8300" i="1"/>
  <c r="A11606" i="1"/>
  <c r="A10800" i="1"/>
  <c r="A12373" i="1"/>
  <c r="A11883" i="1"/>
  <c r="A13999" i="1"/>
  <c r="A11469" i="1"/>
  <c r="A15269" i="1"/>
  <c r="A17771" i="1"/>
  <c r="A9582" i="1"/>
  <c r="A11114" i="1"/>
  <c r="A11327" i="1"/>
  <c r="A10672" i="1"/>
  <c r="A10385" i="1"/>
  <c r="A10400" i="1"/>
  <c r="A8689" i="1"/>
  <c r="A9094" i="1"/>
  <c r="A12946" i="1"/>
  <c r="A12753" i="1"/>
  <c r="A11437" i="1"/>
  <c r="A11920" i="1"/>
  <c r="A6819" i="1"/>
  <c r="A10291" i="1"/>
  <c r="A17770" i="1"/>
  <c r="A12564" i="1"/>
  <c r="A11468" i="1"/>
  <c r="A17769" i="1"/>
  <c r="A15608" i="1"/>
  <c r="A12491" i="1"/>
  <c r="A12752" i="1"/>
  <c r="A12490" i="1"/>
  <c r="A10607" i="1"/>
  <c r="A13076" i="1"/>
  <c r="A12788" i="1"/>
  <c r="A17768" i="1"/>
  <c r="A11179" i="1"/>
  <c r="A10785" i="1"/>
  <c r="A12502" i="1"/>
  <c r="A17767" i="1"/>
  <c r="A779" i="1"/>
  <c r="A11701" i="1"/>
  <c r="A11404" i="1"/>
  <c r="A9567" i="1"/>
  <c r="A10970" i="1"/>
  <c r="A14271" i="1"/>
  <c r="A13453" i="1"/>
  <c r="A12603" i="1"/>
  <c r="A10348" i="1"/>
  <c r="A8805" i="1"/>
  <c r="A9772" i="1"/>
  <c r="A11716" i="1"/>
  <c r="A11909" i="1"/>
  <c r="A17766" i="1"/>
  <c r="A3885" i="1"/>
  <c r="A13314" i="1"/>
  <c r="A11403" i="1"/>
  <c r="A4198" i="1"/>
  <c r="A12501" i="1"/>
  <c r="A9145" i="1"/>
  <c r="A10414" i="1"/>
  <c r="A10764" i="1"/>
  <c r="A12878" i="1"/>
  <c r="A17765" i="1"/>
  <c r="A10505" i="1"/>
  <c r="A13664" i="1"/>
  <c r="A11744" i="1"/>
  <c r="A11375" i="1"/>
  <c r="A13489" i="1"/>
  <c r="A8772" i="1"/>
  <c r="A12877" i="1"/>
  <c r="A10588" i="1"/>
  <c r="A9927" i="1"/>
  <c r="A5145" i="1"/>
  <c r="A12026" i="1"/>
  <c r="A11908" i="1"/>
  <c r="A11006" i="1"/>
  <c r="A10988" i="1"/>
  <c r="A8457" i="1"/>
  <c r="A6845" i="1"/>
  <c r="A11640" i="1"/>
  <c r="A13392" i="1"/>
  <c r="A11755" i="1"/>
  <c r="A12349" i="1"/>
  <c r="A11639" i="1"/>
  <c r="A13053" i="1"/>
  <c r="A10948" i="1"/>
  <c r="A17764" i="1"/>
  <c r="A17763" i="1"/>
  <c r="A11351" i="1"/>
  <c r="A13580" i="1"/>
  <c r="A12202" i="1"/>
  <c r="A11776" i="1"/>
  <c r="A12892" i="1"/>
  <c r="A8051" i="1"/>
  <c r="A11700" i="1"/>
  <c r="A12658" i="1"/>
  <c r="A12421" i="1"/>
  <c r="A10947" i="1"/>
  <c r="A9072" i="1"/>
  <c r="A11220" i="1"/>
  <c r="A10369" i="1"/>
  <c r="A10064" i="1"/>
  <c r="A13428" i="1"/>
  <c r="A11132" i="1"/>
  <c r="A10222" i="1"/>
  <c r="A13638" i="1"/>
  <c r="A11424" i="1"/>
  <c r="A12206" i="1"/>
  <c r="A14084" i="1"/>
  <c r="A11687" i="1"/>
  <c r="A11969" i="1"/>
  <c r="A17762" i="1"/>
  <c r="A11890" i="1"/>
  <c r="A8788" i="1"/>
  <c r="A12440" i="1"/>
  <c r="A12578" i="1"/>
  <c r="A8245" i="1"/>
  <c r="A10887" i="1"/>
  <c r="A8456" i="1"/>
  <c r="A7325" i="1"/>
  <c r="A11998" i="1"/>
  <c r="A9865" i="1"/>
  <c r="A11597" i="1"/>
  <c r="A9208" i="1"/>
  <c r="A13103" i="1"/>
  <c r="A12159" i="1"/>
  <c r="A10175" i="1"/>
  <c r="A9566" i="1"/>
  <c r="A12583" i="1"/>
  <c r="A17761" i="1"/>
  <c r="A8123" i="1"/>
  <c r="A11258" i="1"/>
  <c r="A12611" i="1"/>
  <c r="A14346" i="1"/>
  <c r="A518" i="1"/>
  <c r="A10399" i="1"/>
  <c r="A12271" i="1"/>
  <c r="A11490" i="1"/>
  <c r="A17760" i="1"/>
  <c r="A15314" i="1"/>
  <c r="A13936" i="1"/>
  <c r="A14225" i="1"/>
  <c r="A11813" i="1"/>
  <c r="A12223" i="1"/>
  <c r="A11219" i="1"/>
  <c r="A9628" i="1"/>
  <c r="A11670" i="1"/>
  <c r="A9828" i="1"/>
  <c r="A8196" i="1"/>
  <c r="A10871" i="1"/>
  <c r="A12378" i="1"/>
  <c r="A11289" i="1"/>
  <c r="A11264" i="1"/>
  <c r="A11222" i="1"/>
  <c r="A11390" i="1"/>
  <c r="A11665" i="1"/>
  <c r="A11389" i="1"/>
  <c r="A11638" i="1"/>
  <c r="A10973" i="1"/>
  <c r="A13792" i="1"/>
  <c r="A7894" i="1"/>
  <c r="A12257" i="1"/>
  <c r="A12173" i="1"/>
  <c r="A10916" i="1"/>
  <c r="A11436" i="1"/>
  <c r="A13031" i="1"/>
  <c r="A11060" i="1"/>
  <c r="A6327" i="1"/>
  <c r="A11383" i="1"/>
  <c r="A8007" i="1"/>
  <c r="A12009" i="1"/>
  <c r="A5320" i="1"/>
  <c r="A17759" i="1"/>
  <c r="A12270" i="1"/>
  <c r="A17758" i="1"/>
  <c r="A7500" i="1"/>
  <c r="A13266" i="1"/>
  <c r="A11618" i="1"/>
  <c r="A12715" i="1"/>
  <c r="A12727" i="1"/>
  <c r="A11978" i="1"/>
  <c r="A11899" i="1"/>
  <c r="A9383" i="1"/>
  <c r="A11583" i="1"/>
  <c r="A17757" i="1"/>
  <c r="A4781" i="1"/>
  <c r="A13157" i="1"/>
  <c r="A10384" i="1"/>
  <c r="A10368" i="1"/>
  <c r="A12714" i="1"/>
  <c r="A11658" i="1"/>
  <c r="A12940" i="1"/>
  <c r="A11931" i="1"/>
  <c r="A7396" i="1"/>
  <c r="A13905" i="1"/>
  <c r="A13052" i="1"/>
  <c r="A10815" i="1"/>
  <c r="A10472" i="1"/>
  <c r="A9864" i="1"/>
  <c r="A9926" i="1"/>
  <c r="A11596" i="1"/>
  <c r="A12377" i="1"/>
  <c r="A9982" i="1"/>
  <c r="A11508" i="1"/>
  <c r="A8849" i="1"/>
  <c r="A11761" i="1"/>
  <c r="A11029" i="1"/>
  <c r="A9673" i="1"/>
  <c r="A11788" i="1"/>
  <c r="A11467" i="1"/>
  <c r="A10070" i="1"/>
  <c r="A11236" i="1"/>
  <c r="A9695" i="1"/>
  <c r="A11961" i="1"/>
  <c r="A11311" i="1"/>
  <c r="A10810" i="1"/>
  <c r="A10150" i="1"/>
  <c r="A12713" i="1"/>
  <c r="A7499" i="1"/>
  <c r="A7933" i="1"/>
  <c r="A12408" i="1"/>
  <c r="A13344" i="1"/>
  <c r="A12957" i="1"/>
  <c r="A10539" i="1"/>
  <c r="A12158" i="1"/>
  <c r="A11507" i="1"/>
  <c r="A11042" i="1"/>
  <c r="A10930" i="1"/>
  <c r="A11310" i="1"/>
  <c r="A12644" i="1"/>
  <c r="A12682" i="1"/>
  <c r="A10987" i="1"/>
  <c r="A14122" i="1"/>
  <c r="A9771" i="1"/>
  <c r="A13584" i="1"/>
  <c r="A11562" i="1"/>
  <c r="A13596" i="1"/>
  <c r="A7498" i="1"/>
  <c r="A13436" i="1"/>
  <c r="A17756" i="1"/>
  <c r="A9807" i="1"/>
  <c r="A8946" i="1"/>
  <c r="A13452" i="1"/>
  <c r="A10929" i="1"/>
  <c r="A12269" i="1"/>
  <c r="A11637" i="1"/>
  <c r="A11506" i="1"/>
  <c r="A11489" i="1"/>
  <c r="A11595" i="1"/>
  <c r="A11521" i="1"/>
  <c r="A11636" i="1"/>
  <c r="A12331" i="1"/>
  <c r="A12590" i="1"/>
  <c r="A12309" i="1"/>
  <c r="A10149" i="1"/>
  <c r="A10638" i="1"/>
  <c r="A8826" i="1"/>
  <c r="A13916" i="1"/>
  <c r="A17755" i="1"/>
  <c r="A10740" i="1"/>
  <c r="A12348" i="1"/>
  <c r="A10331" i="1"/>
  <c r="A10254" i="1"/>
  <c r="A10637" i="1"/>
  <c r="A11014" i="1"/>
  <c r="A6935" i="1"/>
  <c r="A17754" i="1"/>
  <c r="A17753" i="1"/>
  <c r="A10310" i="1"/>
  <c r="A10475" i="1"/>
  <c r="A11545" i="1"/>
  <c r="A7618" i="1"/>
  <c r="A10010" i="1"/>
  <c r="A10009" i="1"/>
  <c r="A10538" i="1"/>
  <c r="A17752" i="1"/>
  <c r="A10636" i="1"/>
  <c r="A9827" i="1"/>
  <c r="A11715" i="1"/>
  <c r="A11488" i="1"/>
  <c r="A12205" i="1"/>
  <c r="A12079" i="1"/>
  <c r="A12143" i="1"/>
  <c r="A12043" i="1"/>
  <c r="A10127" i="1"/>
  <c r="A4896" i="1"/>
  <c r="A12458" i="1"/>
  <c r="A11710" i="1"/>
  <c r="A10969" i="1"/>
  <c r="A10488" i="1"/>
  <c r="A7781" i="1"/>
  <c r="A9207" i="1"/>
  <c r="A13297" i="1"/>
  <c r="A8006" i="1"/>
  <c r="A10870" i="1"/>
  <c r="A13343" i="1"/>
  <c r="A12187" i="1"/>
  <c r="A12249" i="1"/>
  <c r="A11435" i="1"/>
  <c r="A13959" i="1"/>
  <c r="A12360" i="1"/>
  <c r="A11088" i="1"/>
  <c r="A13498" i="1"/>
  <c r="A11913" i="1"/>
  <c r="A11041" i="1"/>
  <c r="A9995" i="1"/>
  <c r="A7468" i="1"/>
  <c r="A10627" i="1"/>
  <c r="A12078" i="1"/>
  <c r="A8455" i="1"/>
  <c r="A12376" i="1"/>
  <c r="A3727" i="1"/>
  <c r="A11561" i="1"/>
  <c r="A12915" i="1"/>
  <c r="A12359" i="1"/>
  <c r="A11594" i="1"/>
  <c r="A17751" i="1"/>
  <c r="A517" i="1"/>
  <c r="A8848" i="1"/>
  <c r="A10537" i="1"/>
  <c r="A9345" i="1"/>
  <c r="A516" i="1"/>
  <c r="A11560" i="1"/>
  <c r="A17750" i="1"/>
  <c r="A13133" i="1"/>
  <c r="A515" i="1"/>
  <c r="A9190" i="1"/>
  <c r="A11520" i="1"/>
  <c r="A8969" i="1"/>
  <c r="A17749" i="1"/>
  <c r="A4935" i="1"/>
  <c r="A12570" i="1"/>
  <c r="A17748" i="1"/>
  <c r="A11831" i="1"/>
  <c r="A10626" i="1"/>
  <c r="A10915" i="1"/>
  <c r="A8544" i="1"/>
  <c r="A8316" i="1"/>
  <c r="A10986" i="1"/>
  <c r="A14345" i="1"/>
  <c r="A8570" i="1"/>
  <c r="A11388" i="1"/>
  <c r="A10413" i="1"/>
  <c r="A12433" i="1"/>
  <c r="A12104" i="1"/>
  <c r="A17747" i="1"/>
  <c r="A11569" i="1"/>
  <c r="A17746" i="1"/>
  <c r="A12090" i="1"/>
  <c r="A10213" i="1"/>
  <c r="A10671" i="1"/>
  <c r="A13093" i="1"/>
  <c r="A12837" i="1"/>
  <c r="A11871" i="1"/>
  <c r="A11956" i="1"/>
  <c r="A11919" i="1"/>
  <c r="A12248" i="1"/>
  <c r="A11593" i="1"/>
  <c r="A17745" i="1"/>
  <c r="A6074" i="1"/>
  <c r="A11028" i="1"/>
  <c r="A5748" i="1"/>
  <c r="A12247" i="1"/>
  <c r="A11699" i="1"/>
  <c r="A11423" i="1"/>
  <c r="A10443" i="1"/>
  <c r="A12546" i="1"/>
  <c r="A11487" i="1"/>
  <c r="A11582" i="1"/>
  <c r="A6934" i="1"/>
  <c r="A11559" i="1"/>
  <c r="A12555" i="1"/>
  <c r="A12795" i="1"/>
  <c r="A17744" i="1"/>
  <c r="A17743" i="1"/>
  <c r="A14038" i="1"/>
  <c r="A11167" i="1"/>
  <c r="A12308" i="1"/>
  <c r="A12836" i="1"/>
  <c r="A11422" i="1"/>
  <c r="A11131" i="1"/>
  <c r="A11775" i="1"/>
  <c r="A11519" i="1"/>
  <c r="A11657" i="1"/>
  <c r="A12469" i="1"/>
  <c r="A17742" i="1"/>
  <c r="A12622" i="1"/>
  <c r="A10063" i="1"/>
  <c r="A9835" i="1"/>
  <c r="A9428" i="1"/>
  <c r="A11839" i="1"/>
  <c r="A13769" i="1"/>
  <c r="A11178" i="1"/>
  <c r="A9195" i="1"/>
  <c r="A11087" i="1"/>
  <c r="A10905" i="1"/>
  <c r="A11230" i="1"/>
  <c r="A514" i="1"/>
  <c r="A12089" i="1"/>
  <c r="A17741" i="1"/>
  <c r="A11784" i="1"/>
  <c r="A13146" i="1"/>
  <c r="A12545" i="1"/>
  <c r="A12445" i="1"/>
  <c r="A17740" i="1"/>
  <c r="A11682" i="1"/>
  <c r="A11851" i="1"/>
  <c r="A10799" i="1"/>
  <c r="A5918" i="1"/>
  <c r="A11518" i="1"/>
  <c r="A5226" i="1"/>
  <c r="A14179" i="1"/>
  <c r="A11737" i="1"/>
  <c r="A10968" i="1"/>
  <c r="A11774" i="1"/>
  <c r="A12142" i="1"/>
  <c r="A13279" i="1"/>
  <c r="A17739" i="1"/>
  <c r="A12077" i="1"/>
  <c r="A12597" i="1"/>
  <c r="A10798" i="1"/>
  <c r="A11743" i="1"/>
  <c r="A10028" i="1"/>
  <c r="A11321" i="1"/>
  <c r="A11698" i="1"/>
  <c r="A9093" i="1"/>
  <c r="A9650" i="1"/>
  <c r="A11005" i="1"/>
  <c r="A4379" i="1"/>
  <c r="A12602" i="1"/>
  <c r="A11538" i="1"/>
  <c r="A10886" i="1"/>
  <c r="A2502" i="1"/>
  <c r="A10828" i="1"/>
  <c r="A17738" i="1"/>
  <c r="A10885" i="1"/>
  <c r="A9649" i="1"/>
  <c r="A12025" i="1"/>
  <c r="A8504" i="1"/>
  <c r="A14401" i="1"/>
  <c r="A10869" i="1"/>
  <c r="A11760" i="1"/>
  <c r="A6116" i="1"/>
  <c r="A14202" i="1"/>
  <c r="A17737" i="1"/>
  <c r="A15277" i="1"/>
  <c r="A13116" i="1"/>
  <c r="A12860" i="1"/>
  <c r="A10487" i="1"/>
  <c r="A11099" i="1"/>
  <c r="A10330" i="1"/>
  <c r="A14083" i="1"/>
  <c r="A12939" i="1"/>
  <c r="A17736" i="1"/>
  <c r="A7266" i="1"/>
  <c r="A10625" i="1"/>
  <c r="A5887" i="1"/>
  <c r="A10587" i="1"/>
  <c r="A16103" i="1"/>
  <c r="A11681" i="1"/>
  <c r="A14757" i="1"/>
  <c r="A11204" i="1"/>
  <c r="A14825" i="1"/>
  <c r="A6660" i="1"/>
  <c r="A9189" i="1"/>
  <c r="A11544" i="1"/>
  <c r="A10784" i="1"/>
  <c r="A17735" i="1"/>
  <c r="A6326" i="1"/>
  <c r="A17734" i="1"/>
  <c r="A11517" i="1"/>
  <c r="A17733" i="1"/>
  <c r="A17732" i="1"/>
  <c r="A11918" i="1"/>
  <c r="A9382" i="1"/>
  <c r="A9672" i="1"/>
  <c r="A16121" i="1"/>
  <c r="A9851" i="1"/>
  <c r="A12330" i="1"/>
  <c r="A6901" i="1"/>
  <c r="A11113" i="1"/>
  <c r="A9863" i="1"/>
  <c r="A11155" i="1"/>
  <c r="A10047" i="1"/>
  <c r="A10797" i="1"/>
  <c r="A12049" i="1"/>
  <c r="A10975" i="1"/>
  <c r="A14695" i="1"/>
  <c r="A8746" i="1"/>
  <c r="A12462" i="1"/>
  <c r="A9671" i="1"/>
  <c r="A13980" i="1"/>
  <c r="A11248" i="1"/>
  <c r="A6418" i="1"/>
  <c r="A11288" i="1"/>
  <c r="A9528" i="1"/>
  <c r="A17731" i="1"/>
  <c r="A8709" i="1"/>
  <c r="A11257" i="1"/>
  <c r="A11177" i="1"/>
  <c r="A12347" i="1"/>
  <c r="A10670" i="1"/>
  <c r="A12346" i="1"/>
  <c r="A10653" i="1"/>
  <c r="A14874" i="1"/>
  <c r="A10719" i="1"/>
  <c r="A13115" i="1"/>
  <c r="A13958" i="1"/>
  <c r="A9071" i="1"/>
  <c r="A13649" i="1"/>
  <c r="A9811" i="1"/>
  <c r="A8865" i="1"/>
  <c r="A12341" i="1"/>
  <c r="A11040" i="1"/>
  <c r="A11039" i="1"/>
  <c r="A6844" i="1"/>
  <c r="A12103" i="1"/>
  <c r="A10174" i="1"/>
  <c r="A11625" i="1"/>
  <c r="A11434" i="1"/>
  <c r="A11452" i="1"/>
  <c r="A11709" i="1"/>
  <c r="A8594" i="1"/>
  <c r="A6289" i="1"/>
  <c r="A11759" i="1"/>
  <c r="A11942" i="1"/>
  <c r="A17730" i="1"/>
  <c r="A9547" i="1"/>
  <c r="A17729" i="1"/>
  <c r="A8929" i="1"/>
  <c r="A9962" i="1"/>
  <c r="A11247" i="1"/>
  <c r="A13703" i="1"/>
  <c r="A9694" i="1"/>
  <c r="A11421" i="1"/>
  <c r="A10062" i="1"/>
  <c r="A13663" i="1"/>
  <c r="A11736" i="1"/>
  <c r="A10193" i="1"/>
  <c r="A11708" i="1"/>
  <c r="A10809" i="1"/>
  <c r="A10904" i="1"/>
  <c r="A11758" i="1"/>
  <c r="A17728" i="1"/>
  <c r="A13637" i="1"/>
  <c r="A11280" i="1"/>
  <c r="A11387" i="1"/>
  <c r="A13682" i="1"/>
  <c r="A17727" i="1"/>
  <c r="A10008" i="1"/>
  <c r="A11451" i="1"/>
  <c r="A11592" i="1"/>
  <c r="A11955" i="1"/>
  <c r="A8787" i="1"/>
  <c r="A11558" i="1"/>
  <c r="A13278" i="1"/>
  <c r="A13445" i="1"/>
  <c r="A10586" i="1"/>
  <c r="A17726" i="1"/>
  <c r="A8745" i="1"/>
  <c r="A11166" i="1"/>
  <c r="A17725" i="1"/>
  <c r="A11804" i="1"/>
  <c r="A11246" i="1"/>
  <c r="A11516" i="1"/>
  <c r="A11997" i="1"/>
  <c r="A8825" i="1"/>
  <c r="A13277" i="1"/>
  <c r="A10467" i="1"/>
  <c r="A9724" i="1"/>
  <c r="A12277" i="1"/>
  <c r="A11773" i="1"/>
  <c r="A13042" i="1"/>
  <c r="A12532" i="1"/>
  <c r="A513" i="1"/>
  <c r="A14943" i="1"/>
  <c r="A11515" i="1"/>
  <c r="A10442" i="1"/>
  <c r="A11714" i="1"/>
  <c r="A17724" i="1"/>
  <c r="A10102" i="1"/>
  <c r="A12246" i="1"/>
  <c r="A5218" i="1"/>
  <c r="A11505" i="1"/>
  <c r="A10101" i="1"/>
  <c r="A13798" i="1"/>
  <c r="A10955" i="1"/>
  <c r="A12543" i="1"/>
  <c r="A12865" i="1"/>
  <c r="A10707" i="1"/>
  <c r="A10763" i="1"/>
  <c r="A13414" i="1"/>
  <c r="A10624" i="1"/>
  <c r="A11907" i="1"/>
  <c r="A12037" i="1"/>
  <c r="A11996" i="1"/>
  <c r="A9925" i="1"/>
  <c r="A12738" i="1"/>
  <c r="A7265" i="1"/>
  <c r="A11870" i="1"/>
  <c r="A11833" i="1"/>
  <c r="A12329" i="1"/>
  <c r="A17723" i="1"/>
  <c r="A11866" i="1"/>
  <c r="A9206" i="1"/>
  <c r="A11086" i="1"/>
  <c r="A17722" i="1"/>
  <c r="A12850" i="1"/>
  <c r="A11268" i="1"/>
  <c r="A12076" i="1"/>
  <c r="A512" i="1"/>
  <c r="A11850" i="1"/>
  <c r="A10868" i="1"/>
  <c r="A11982" i="1"/>
  <c r="A9770" i="1"/>
  <c r="A11466" i="1"/>
  <c r="A12804" i="1"/>
  <c r="A11557" i="1"/>
  <c r="A15352" i="1"/>
  <c r="A11906" i="1"/>
  <c r="A16517" i="1"/>
  <c r="A511" i="1"/>
  <c r="A510" i="1"/>
  <c r="A11203" i="1"/>
  <c r="A12345" i="1"/>
  <c r="A8028" i="1"/>
  <c r="A10995" i="1"/>
  <c r="A17721" i="1"/>
  <c r="A11245" i="1"/>
  <c r="A12643" i="1"/>
  <c r="A12468" i="1"/>
  <c r="A11085" i="1"/>
  <c r="A10027" i="1"/>
  <c r="A12864" i="1"/>
  <c r="A11130" i="1"/>
  <c r="A4820" i="1"/>
  <c r="A17720" i="1"/>
  <c r="A4458" i="1"/>
  <c r="A10126" i="1"/>
  <c r="A8027" i="1"/>
  <c r="A13010" i="1"/>
  <c r="A10037" i="1"/>
  <c r="A13435" i="1"/>
  <c r="A8728" i="1"/>
  <c r="A11433" i="1"/>
  <c r="A13833" i="1"/>
  <c r="A11981" i="1"/>
  <c r="A17719" i="1"/>
  <c r="A10808" i="1"/>
  <c r="A11357" i="1"/>
  <c r="A5713" i="1"/>
  <c r="A10736" i="1"/>
  <c r="A9968" i="1"/>
  <c r="A10253" i="1"/>
  <c r="A17718" i="1"/>
  <c r="A11337" i="1"/>
  <c r="A17717" i="1"/>
  <c r="A11995" i="1"/>
  <c r="A10928" i="1"/>
  <c r="A9546" i="1"/>
  <c r="A9627" i="1"/>
  <c r="A10852" i="1"/>
  <c r="A17716" i="1"/>
  <c r="A11190" i="1"/>
  <c r="A12601" i="1"/>
  <c r="A11803" i="1"/>
  <c r="A9281" i="1"/>
  <c r="A10536" i="1"/>
  <c r="A11581" i="1"/>
  <c r="A10903" i="1"/>
  <c r="A9527" i="1"/>
  <c r="A11374" i="1"/>
  <c r="A9862" i="1"/>
  <c r="A12210" i="1"/>
  <c r="A11154" i="1"/>
  <c r="A10347" i="1"/>
  <c r="A11812" i="1"/>
  <c r="A6726" i="1"/>
  <c r="A10026" i="1"/>
  <c r="A17715" i="1"/>
  <c r="A11591" i="1"/>
  <c r="A10783" i="1"/>
  <c r="A7893" i="1"/>
  <c r="A13184" i="1"/>
  <c r="A10429" i="1"/>
  <c r="A12400" i="1"/>
  <c r="A12075" i="1"/>
  <c r="A14394" i="1"/>
  <c r="A14132" i="1"/>
  <c r="A11941" i="1"/>
  <c r="A12282" i="1"/>
  <c r="A10927" i="1"/>
  <c r="A11849" i="1"/>
  <c r="A11027" i="1"/>
  <c r="A10192" i="1"/>
  <c r="A12666" i="1"/>
  <c r="A12194" i="1"/>
  <c r="A12835" i="1"/>
  <c r="A9868" i="1"/>
  <c r="A10935" i="1"/>
  <c r="A7911" i="1"/>
  <c r="A10573" i="1"/>
  <c r="A9456" i="1"/>
  <c r="A11402" i="1"/>
  <c r="A10751" i="1"/>
  <c r="A11843" i="1"/>
  <c r="A12681" i="1"/>
  <c r="A7955" i="1"/>
  <c r="A9048" i="1"/>
  <c r="A13715" i="1"/>
  <c r="A9344" i="1"/>
  <c r="A8244" i="1"/>
  <c r="A10718" i="1"/>
  <c r="A11481" i="1"/>
  <c r="A9670" i="1"/>
  <c r="A10841" i="1"/>
  <c r="A11336" i="1"/>
  <c r="A9092" i="1"/>
  <c r="A7645" i="1"/>
  <c r="A10296" i="1"/>
  <c r="A17714" i="1"/>
  <c r="A13784" i="1"/>
  <c r="A12237" i="1"/>
  <c r="A12390" i="1"/>
  <c r="A8520" i="1"/>
  <c r="A11954" i="1"/>
  <c r="A11129" i="1"/>
  <c r="A8645" i="1"/>
  <c r="A11787" i="1"/>
  <c r="A11244" i="1"/>
  <c r="A11735" i="1"/>
  <c r="A13907" i="1"/>
  <c r="A11213" i="1"/>
  <c r="A11568" i="1"/>
  <c r="A11823" i="1"/>
  <c r="A11917" i="1"/>
  <c r="A10773" i="1"/>
  <c r="A11486" i="1"/>
  <c r="A17713" i="1"/>
  <c r="A11346" i="1"/>
  <c r="A17712" i="1"/>
  <c r="A12036" i="1"/>
  <c r="A11949" i="1"/>
  <c r="A11940" i="1"/>
  <c r="A10762" i="1"/>
  <c r="A15448" i="1"/>
  <c r="A11165" i="1"/>
  <c r="A12008" i="1"/>
  <c r="A14037" i="1"/>
  <c r="A11567" i="1"/>
  <c r="A8864" i="1"/>
  <c r="A11128" i="1"/>
  <c r="A17711" i="1"/>
  <c r="A10367" i="1"/>
  <c r="A10926" i="1"/>
  <c r="A14595" i="1"/>
  <c r="A12467" i="1"/>
  <c r="A11734" i="1"/>
  <c r="A4535" i="1"/>
  <c r="A17710" i="1"/>
  <c r="A10235" i="1"/>
  <c r="A9961" i="1"/>
  <c r="A12186" i="1"/>
  <c r="A17709" i="1"/>
  <c r="A12927" i="1"/>
  <c r="A10309" i="1"/>
  <c r="A10827" i="1"/>
  <c r="A4325" i="1"/>
  <c r="A8786" i="1"/>
  <c r="A17708" i="1"/>
  <c r="A11243" i="1"/>
  <c r="A9144" i="1"/>
  <c r="A14094" i="1"/>
  <c r="A14500" i="1"/>
  <c r="A10761" i="1"/>
  <c r="A7531" i="1"/>
  <c r="A7613" i="1"/>
  <c r="A17707" i="1"/>
  <c r="A10001" i="1"/>
  <c r="A10669" i="1"/>
  <c r="A9473" i="1"/>
  <c r="A10789" i="1"/>
  <c r="A11026" i="1"/>
  <c r="A8454" i="1"/>
  <c r="A8985" i="1"/>
  <c r="A17706" i="1"/>
  <c r="A9707" i="1"/>
  <c r="A17705" i="1"/>
  <c r="A9188" i="1"/>
  <c r="A12007" i="1"/>
  <c r="A17704" i="1"/>
  <c r="A10428" i="1"/>
  <c r="A10902" i="1"/>
  <c r="A7467" i="1"/>
  <c r="A11373" i="1"/>
  <c r="A11733" i="1"/>
  <c r="A10735" i="1"/>
  <c r="A10212" i="1"/>
  <c r="A12074" i="1"/>
  <c r="A9789" i="1"/>
  <c r="A17703" i="1"/>
  <c r="A9526" i="1"/>
  <c r="A11059" i="1"/>
  <c r="A12115" i="1"/>
  <c r="A12945" i="1"/>
  <c r="A6933" i="1"/>
  <c r="A10336" i="1"/>
  <c r="A17702" i="1"/>
  <c r="A2075" i="1"/>
  <c r="A11025" i="1"/>
  <c r="A17701" i="1"/>
  <c r="A13173" i="1"/>
  <c r="A10383" i="1"/>
  <c r="A8005" i="1"/>
  <c r="A8890" i="1"/>
  <c r="A12712" i="1"/>
  <c r="A9545" i="1"/>
  <c r="A11372" i="1"/>
  <c r="A10652" i="1"/>
  <c r="A10566" i="1"/>
  <c r="A10295" i="1"/>
  <c r="A10445" i="1"/>
  <c r="A8945" i="1"/>
  <c r="A10946" i="1"/>
  <c r="A11980" i="1"/>
  <c r="A13918" i="1"/>
  <c r="A13196" i="1"/>
  <c r="A11732" i="1"/>
  <c r="A9047" i="1"/>
  <c r="A11420" i="1"/>
  <c r="A13107" i="1"/>
  <c r="A13130" i="1"/>
  <c r="A13050" i="1"/>
  <c r="A11263" i="1"/>
  <c r="A10985" i="1"/>
  <c r="A11680" i="1"/>
  <c r="A12069" i="1"/>
  <c r="A17700" i="1"/>
  <c r="A10366" i="1"/>
  <c r="A14873" i="1"/>
  <c r="A17699" i="1"/>
  <c r="A10994" i="1"/>
  <c r="A6900" i="1"/>
  <c r="A11098" i="1"/>
  <c r="A11624" i="1"/>
  <c r="A10967" i="1"/>
  <c r="A9960" i="1"/>
  <c r="A13092" i="1"/>
  <c r="A10945" i="1"/>
  <c r="A17698" i="1"/>
  <c r="A9739" i="1"/>
  <c r="A11543" i="1"/>
  <c r="A10535" i="1"/>
  <c r="A17697" i="1"/>
  <c r="A3884" i="1"/>
  <c r="A12118" i="1"/>
  <c r="A13091" i="1"/>
  <c r="A12797" i="1"/>
  <c r="A10274" i="1"/>
  <c r="A10556" i="1"/>
  <c r="A13245" i="1"/>
  <c r="A9347" i="1"/>
  <c r="A11176" i="1"/>
  <c r="A12885" i="1"/>
  <c r="A11038" i="1"/>
  <c r="A10668" i="1"/>
  <c r="A13380" i="1"/>
  <c r="A13576" i="1"/>
  <c r="A12908" i="1"/>
  <c r="A12582" i="1"/>
  <c r="A12167" i="1"/>
  <c r="A12481" i="1"/>
  <c r="A12516" i="1"/>
  <c r="A10273" i="1"/>
  <c r="A10298" i="1"/>
  <c r="A9601" i="1"/>
  <c r="A8299" i="1"/>
  <c r="A11070" i="1"/>
  <c r="A13276" i="1"/>
  <c r="A10606" i="1"/>
  <c r="A11802" i="1"/>
  <c r="A10966" i="1"/>
  <c r="A16287" i="1"/>
  <c r="A11504" i="1"/>
  <c r="A11024" i="1"/>
  <c r="A9303" i="1"/>
  <c r="A17696" i="1"/>
  <c r="A12222" i="1"/>
  <c r="A17695" i="1"/>
  <c r="A10510" i="1"/>
  <c r="A10398" i="1"/>
  <c r="A13075" i="1"/>
  <c r="A9994" i="1"/>
  <c r="A9993" i="1"/>
  <c r="A13995" i="1"/>
  <c r="A11371" i="1"/>
  <c r="A8913" i="1"/>
  <c r="A9826" i="1"/>
  <c r="A11356" i="1"/>
  <c r="A17694" i="1"/>
  <c r="A7150" i="1"/>
  <c r="A9381" i="1"/>
  <c r="A12557" i="1"/>
  <c r="A13434" i="1"/>
  <c r="A11320" i="1"/>
  <c r="A11309" i="1"/>
  <c r="A8804" i="1"/>
  <c r="A11669" i="1"/>
  <c r="A9959" i="1"/>
  <c r="A11514" i="1"/>
  <c r="A11401" i="1"/>
  <c r="A9861" i="1"/>
  <c r="A10884" i="1"/>
  <c r="A14256" i="1"/>
  <c r="A9992" i="1"/>
  <c r="A17693" i="1"/>
  <c r="A11037" i="1"/>
  <c r="A5856" i="1"/>
  <c r="A10191" i="1"/>
  <c r="A12141" i="1"/>
  <c r="A9600" i="1"/>
  <c r="A10760" i="1"/>
  <c r="A17692" i="1"/>
  <c r="A9324" i="1"/>
  <c r="A15166" i="1"/>
  <c r="A11164" i="1"/>
  <c r="A17691" i="1"/>
  <c r="A9626" i="1"/>
  <c r="A10046" i="1"/>
  <c r="A17690" i="1"/>
  <c r="A12581" i="1"/>
  <c r="A9984" i="1"/>
  <c r="A10804" i="1"/>
  <c r="A11656" i="1"/>
  <c r="A17689" i="1"/>
  <c r="A11411" i="1"/>
  <c r="A11635" i="1"/>
  <c r="A10045" i="1"/>
  <c r="A10814" i="1"/>
  <c r="A8912" i="1"/>
  <c r="A5503" i="1"/>
  <c r="A7932" i="1"/>
  <c r="A11894" i="1"/>
  <c r="A11279" i="1"/>
  <c r="A7302" i="1"/>
  <c r="A11419" i="1"/>
  <c r="A8079" i="1"/>
  <c r="A11587" i="1"/>
  <c r="A10667" i="1"/>
  <c r="A10914" i="1"/>
  <c r="A9981" i="1"/>
  <c r="A9364" i="1"/>
  <c r="A11298" i="1"/>
  <c r="A7220" i="1"/>
  <c r="A17688" i="1"/>
  <c r="A10148" i="1"/>
  <c r="A17687" i="1"/>
  <c r="A14607" i="1"/>
  <c r="A11023" i="1"/>
  <c r="A10173" i="1"/>
  <c r="A8785" i="1"/>
  <c r="A11229" i="1"/>
  <c r="A12221" i="1"/>
  <c r="A11202" i="1"/>
  <c r="A17686" i="1"/>
  <c r="A12245" i="1"/>
  <c r="A10605" i="1"/>
  <c r="A10195" i="1"/>
  <c r="A9343" i="1"/>
  <c r="A9507" i="1"/>
  <c r="A9924" i="1"/>
  <c r="A13517" i="1"/>
  <c r="A7324" i="1"/>
  <c r="A509" i="1"/>
  <c r="A10826" i="1"/>
  <c r="A11345" i="1"/>
  <c r="A11036" i="1"/>
  <c r="A8231" i="1"/>
  <c r="A11294" i="1"/>
  <c r="A12556" i="1"/>
  <c r="A10944" i="1"/>
  <c r="A10993" i="1"/>
  <c r="A10802" i="1"/>
  <c r="A12787" i="1"/>
  <c r="A10901" i="1"/>
  <c r="A13906" i="1"/>
  <c r="A8050" i="1"/>
  <c r="A9756" i="1"/>
  <c r="A1621" i="1"/>
  <c r="A7726" i="1"/>
  <c r="A10290" i="1"/>
  <c r="A10734" i="1"/>
  <c r="A508" i="1"/>
  <c r="A10424" i="1"/>
  <c r="A5319" i="1"/>
  <c r="A12102" i="1"/>
  <c r="A10572" i="1"/>
  <c r="A17685" i="1"/>
  <c r="A17684" i="1"/>
  <c r="A10717" i="1"/>
  <c r="A11112" i="1"/>
  <c r="A10454" i="1"/>
  <c r="A8771" i="1"/>
  <c r="A11111" i="1"/>
  <c r="A778" i="1"/>
  <c r="A17683" i="1"/>
  <c r="A12680" i="1"/>
  <c r="A10913" i="1"/>
  <c r="A13217" i="1"/>
  <c r="A16248" i="1"/>
  <c r="A10382" i="1"/>
  <c r="A17682" i="1"/>
  <c r="A12059" i="1"/>
  <c r="A12358" i="1"/>
  <c r="A11668" i="1"/>
  <c r="A11079" i="1"/>
  <c r="A10365" i="1"/>
  <c r="A11210" i="1"/>
  <c r="A10635" i="1"/>
  <c r="A12642" i="1"/>
  <c r="A10623" i="1"/>
  <c r="A12854" i="1"/>
  <c r="A11731" i="1"/>
  <c r="A11127" i="1"/>
  <c r="A10441" i="1"/>
  <c r="A10739" i="1"/>
  <c r="A11153" i="1"/>
  <c r="A11326" i="1"/>
  <c r="A507" i="1"/>
  <c r="A10759" i="1"/>
  <c r="A11450" i="1"/>
  <c r="A10509" i="1"/>
  <c r="A11035" i="1"/>
  <c r="A10772" i="1"/>
  <c r="A9565" i="1"/>
  <c r="A10703" i="1"/>
  <c r="A13893" i="1"/>
  <c r="A4655" i="1"/>
  <c r="A8744" i="1"/>
  <c r="A9123" i="1"/>
  <c r="A9980" i="1"/>
  <c r="A12244" i="1"/>
  <c r="A10381" i="1"/>
  <c r="A17681" i="1"/>
  <c r="A12577" i="1"/>
  <c r="A7780" i="1"/>
  <c r="A13030" i="1"/>
  <c r="A13152" i="1"/>
  <c r="A12500" i="1"/>
  <c r="A17680" i="1"/>
  <c r="A12466" i="1"/>
  <c r="A11335" i="1"/>
  <c r="A12006" i="1"/>
  <c r="A11769" i="1"/>
  <c r="A8099" i="1"/>
  <c r="A506" i="1"/>
  <c r="A11126" i="1"/>
  <c r="A14872" i="1"/>
  <c r="A12328" i="1"/>
  <c r="A11432" i="1"/>
  <c r="A10796" i="1"/>
  <c r="A9143" i="1"/>
  <c r="A10716" i="1"/>
  <c r="A9888" i="1"/>
  <c r="A14324" i="1"/>
  <c r="A17679" i="1"/>
  <c r="A12166" i="1"/>
  <c r="A17678" i="1"/>
  <c r="A11097" i="1"/>
  <c r="A10840" i="1"/>
  <c r="A9945" i="1"/>
  <c r="A11344" i="1"/>
  <c r="A10984" i="1"/>
  <c r="A10983" i="1"/>
  <c r="A12017" i="1"/>
  <c r="A505" i="1"/>
  <c r="A6966" i="1"/>
  <c r="A12344" i="1"/>
  <c r="A11175" i="1"/>
  <c r="A9738" i="1"/>
  <c r="A7847" i="1"/>
  <c r="A12209" i="1"/>
  <c r="A10733" i="1"/>
  <c r="A11218" i="1"/>
  <c r="A10044" i="1"/>
  <c r="A11655" i="1"/>
  <c r="A9979" i="1"/>
  <c r="A17677" i="1"/>
  <c r="A13267" i="1"/>
  <c r="A12140" i="1"/>
  <c r="A11556" i="1"/>
  <c r="A9046" i="1"/>
  <c r="A9105" i="1"/>
  <c r="A10486" i="1"/>
  <c r="A12268" i="1"/>
  <c r="A504" i="1"/>
  <c r="A14953" i="1"/>
  <c r="A13026" i="1"/>
  <c r="A12172" i="1"/>
  <c r="A13359" i="1"/>
  <c r="A9265" i="1"/>
  <c r="A8644" i="1"/>
  <c r="A13994" i="1"/>
  <c r="A17676" i="1"/>
  <c r="A8803" i="1"/>
  <c r="A10867" i="1"/>
  <c r="A11022" i="1"/>
  <c r="A17675" i="1"/>
  <c r="A8230" i="1"/>
  <c r="A17674" i="1"/>
  <c r="A11242" i="1"/>
  <c r="A8519" i="1"/>
  <c r="A10346" i="1"/>
  <c r="A11334" i="1"/>
  <c r="A10466" i="1"/>
  <c r="A503" i="1"/>
  <c r="A8917" i="1"/>
  <c r="A12117" i="1"/>
  <c r="A8078" i="1"/>
  <c r="A11576" i="1"/>
  <c r="A11308" i="1"/>
  <c r="A12823" i="1"/>
  <c r="A9342" i="1"/>
  <c r="A7558" i="1"/>
  <c r="A17673" i="1"/>
  <c r="A14101" i="1"/>
  <c r="A10807" i="1"/>
  <c r="A502" i="1"/>
  <c r="A10147" i="1"/>
  <c r="A11801" i="1"/>
  <c r="A10100" i="1"/>
  <c r="A9887" i="1"/>
  <c r="A10345" i="1"/>
  <c r="A10465" i="1"/>
  <c r="A11697" i="1"/>
  <c r="A12128" i="1"/>
  <c r="A11654" i="1"/>
  <c r="A7612" i="1"/>
  <c r="A9958" i="1"/>
  <c r="A11034" i="1"/>
  <c r="A501" i="1"/>
  <c r="A11058" i="1"/>
  <c r="A8743" i="1"/>
  <c r="A10555" i="1"/>
  <c r="A13791" i="1"/>
  <c r="A11772" i="1"/>
  <c r="A10190" i="1"/>
  <c r="A10839" i="1"/>
  <c r="A9564" i="1"/>
  <c r="A13444" i="1"/>
  <c r="A9302" i="1"/>
  <c r="A12157" i="1"/>
  <c r="A11965" i="1"/>
  <c r="A13090" i="1"/>
  <c r="A10211" i="1"/>
  <c r="A10974" i="1"/>
  <c r="A10520" i="1"/>
  <c r="A10554" i="1"/>
  <c r="A10795" i="1"/>
  <c r="A10806" i="1"/>
  <c r="A10604" i="1"/>
  <c r="A12726" i="1"/>
  <c r="A11555" i="1"/>
  <c r="A16051" i="1"/>
  <c r="A10000" i="1"/>
  <c r="A10344" i="1"/>
  <c r="A10585" i="1"/>
  <c r="A9301" i="1"/>
  <c r="A9122" i="1"/>
  <c r="A10485" i="1"/>
  <c r="A9944" i="1"/>
  <c r="A10043" i="1"/>
  <c r="A10343" i="1"/>
  <c r="A9256" i="1"/>
  <c r="A8708" i="1"/>
  <c r="A7371" i="1"/>
  <c r="A10565" i="1"/>
  <c r="A17672" i="1"/>
  <c r="A10954" i="1"/>
  <c r="A9443" i="1"/>
  <c r="A9445" i="1"/>
  <c r="A9886" i="1"/>
  <c r="A9625" i="1"/>
  <c r="A11400" i="1"/>
  <c r="A7557" i="1"/>
  <c r="A16639" i="1"/>
  <c r="A11905" i="1"/>
  <c r="A7556" i="1"/>
  <c r="A11110" i="1"/>
  <c r="A11021" i="1"/>
  <c r="A10750" i="1"/>
  <c r="A12139" i="1"/>
  <c r="A11566" i="1"/>
  <c r="A11228" i="1"/>
  <c r="A12690" i="1"/>
  <c r="A17671" i="1"/>
  <c r="A17670" i="1"/>
  <c r="A12357" i="1"/>
  <c r="A9825" i="1"/>
  <c r="A13488" i="1"/>
  <c r="A12035" i="1"/>
  <c r="A10622" i="1"/>
  <c r="A13979" i="1"/>
  <c r="A12432" i="1"/>
  <c r="A11163" i="1"/>
  <c r="A10172" i="1"/>
  <c r="A10412" i="1"/>
  <c r="A10634" i="1"/>
  <c r="A13662" i="1"/>
  <c r="A13845" i="1"/>
  <c r="A17669" i="1"/>
  <c r="A12831" i="1"/>
  <c r="A14400" i="1"/>
  <c r="A11084" i="1"/>
  <c r="A10342" i="1"/>
  <c r="A8847" i="1"/>
  <c r="A11730" i="1"/>
  <c r="A17668" i="1"/>
  <c r="A17667" i="1"/>
  <c r="A10210" i="1"/>
  <c r="A500" i="1"/>
  <c r="A12034" i="1"/>
  <c r="A10732" i="1"/>
  <c r="A9624" i="1"/>
  <c r="A11707" i="1"/>
  <c r="A8229" i="1"/>
  <c r="A10851" i="1"/>
  <c r="A8707" i="1"/>
  <c r="A10965" i="1"/>
  <c r="A11513" i="1"/>
  <c r="A11227" i="1"/>
  <c r="A17666" i="1"/>
  <c r="A10964" i="1"/>
  <c r="A10782" i="1"/>
  <c r="A8085" i="1"/>
  <c r="A12489" i="1"/>
  <c r="A11686" i="1"/>
  <c r="A10341" i="1"/>
  <c r="A12154" i="1"/>
  <c r="A7530" i="1"/>
  <c r="A10900" i="1"/>
  <c r="A11623" i="1"/>
  <c r="A10519" i="1"/>
  <c r="A10781" i="1"/>
  <c r="A10252" i="1"/>
  <c r="A14588" i="1"/>
  <c r="A10702" i="1"/>
  <c r="A7587" i="1"/>
  <c r="A11226" i="1"/>
  <c r="A11004" i="1"/>
  <c r="A6152" i="1"/>
  <c r="A10534" i="1"/>
  <c r="A9669" i="1"/>
  <c r="A10689" i="1"/>
  <c r="A10633" i="1"/>
  <c r="A9824" i="1"/>
  <c r="A9489" i="1"/>
  <c r="A17665" i="1"/>
  <c r="A11195" i="1"/>
  <c r="A13865" i="1"/>
  <c r="A12751" i="1"/>
  <c r="A8889" i="1"/>
  <c r="A12412" i="1"/>
  <c r="A14356" i="1"/>
  <c r="A9104" i="1"/>
  <c r="A14675" i="1"/>
  <c r="A8298" i="1"/>
  <c r="A16183" i="1"/>
  <c r="A10838" i="1"/>
  <c r="A4197" i="1"/>
  <c r="A11152" i="1"/>
  <c r="A10440" i="1"/>
  <c r="A7323" i="1"/>
  <c r="A8297" i="1"/>
  <c r="A9455" i="1"/>
  <c r="A10504" i="1"/>
  <c r="A10780" i="1"/>
  <c r="A8162" i="1"/>
  <c r="A11217" i="1"/>
  <c r="A11125" i="1"/>
  <c r="A17664" i="1"/>
  <c r="A10907" i="1"/>
  <c r="A11729" i="1"/>
  <c r="A10963" i="1"/>
  <c r="A17663" i="1"/>
  <c r="A10411" i="1"/>
  <c r="A12576" i="1"/>
  <c r="A8372" i="1"/>
  <c r="A10925" i="1"/>
  <c r="A9668" i="1"/>
  <c r="A14871" i="1"/>
  <c r="A10855" i="1"/>
  <c r="A14270" i="1"/>
  <c r="A9806" i="1"/>
  <c r="A10866" i="1"/>
  <c r="A8968" i="1"/>
  <c r="A13957" i="1"/>
  <c r="A6387" i="1"/>
  <c r="A10089" i="1"/>
  <c r="A8144" i="1"/>
  <c r="A11960" i="1"/>
  <c r="A8555" i="1"/>
  <c r="A7779" i="1"/>
  <c r="A17662" i="1"/>
  <c r="A10715" i="1"/>
  <c r="A17661" i="1"/>
  <c r="A11911" i="1"/>
  <c r="A9267" i="1"/>
  <c r="A9899" i="1"/>
  <c r="A9667" i="1"/>
  <c r="A10837" i="1"/>
  <c r="A11534" i="1"/>
  <c r="A9991" i="1"/>
  <c r="A12058" i="1"/>
  <c r="A6725" i="1"/>
  <c r="A6659" i="1"/>
  <c r="A12295" i="1"/>
  <c r="A17660" i="1"/>
  <c r="A9850" i="1"/>
  <c r="A8928" i="1"/>
  <c r="A8911" i="1"/>
  <c r="A10899" i="1"/>
  <c r="A8944" i="1"/>
  <c r="A10701" i="1"/>
  <c r="A9493" i="1"/>
  <c r="A9723" i="1"/>
  <c r="A10484" i="1"/>
  <c r="A11485" i="1"/>
  <c r="A9737" i="1"/>
  <c r="A11399" i="1"/>
  <c r="A8161" i="1"/>
  <c r="A10397" i="1"/>
  <c r="A10714" i="1"/>
  <c r="A4029" i="1"/>
  <c r="A10666" i="1"/>
  <c r="A9233" i="1"/>
  <c r="A10665" i="1"/>
  <c r="A13065" i="1"/>
  <c r="A11449" i="1"/>
  <c r="A10643" i="1"/>
  <c r="A6041" i="1"/>
  <c r="A12088" i="1"/>
  <c r="A10308" i="1"/>
  <c r="A10125" i="1"/>
  <c r="A8411" i="1"/>
  <c r="A7172" i="1"/>
  <c r="A8824" i="1"/>
  <c r="A17659" i="1"/>
  <c r="A10439" i="1"/>
  <c r="A7910" i="1"/>
  <c r="A3784" i="1"/>
  <c r="A8503" i="1"/>
  <c r="A9300" i="1"/>
  <c r="A11267" i="1"/>
  <c r="A11662" i="1"/>
  <c r="A11020" i="1"/>
  <c r="A9849" i="1"/>
  <c r="A15642" i="1"/>
  <c r="A11319" i="1"/>
  <c r="A10423" i="1"/>
  <c r="A6325" i="1"/>
  <c r="A13768" i="1"/>
  <c r="A6014" i="1"/>
  <c r="A9129" i="1"/>
  <c r="A12775" i="1"/>
  <c r="A12986" i="1"/>
  <c r="A10584" i="1"/>
  <c r="A11503" i="1"/>
  <c r="A10329" i="1"/>
  <c r="A9525" i="1"/>
  <c r="A13074" i="1"/>
  <c r="A12256" i="1"/>
  <c r="A7644" i="1"/>
  <c r="A11109" i="1"/>
  <c r="A17658" i="1"/>
  <c r="A9472" i="1"/>
  <c r="A8540" i="1"/>
  <c r="A11318" i="1"/>
  <c r="A12399" i="1"/>
  <c r="A10260" i="1"/>
  <c r="A9299" i="1"/>
  <c r="A10564" i="1"/>
  <c r="A10251" i="1"/>
  <c r="A10289" i="1"/>
  <c r="A4819" i="1"/>
  <c r="A10503" i="1"/>
  <c r="A11003" i="1"/>
  <c r="A11512" i="1"/>
  <c r="A10700" i="1"/>
  <c r="A10713" i="1"/>
  <c r="A15513" i="1"/>
  <c r="A11355" i="1"/>
  <c r="A13358" i="1"/>
  <c r="A12633" i="1"/>
  <c r="A8453" i="1"/>
  <c r="A10051" i="1"/>
  <c r="A9581" i="1"/>
  <c r="A8770" i="1"/>
  <c r="A10825" i="1"/>
  <c r="A9599" i="1"/>
  <c r="A9142" i="1"/>
  <c r="A9635" i="1"/>
  <c r="A10688" i="1"/>
  <c r="A12641" i="1"/>
  <c r="A10307" i="1"/>
  <c r="A17657" i="1"/>
  <c r="A10234" i="1"/>
  <c r="A9943" i="1"/>
  <c r="A17656" i="1"/>
  <c r="A8666" i="1"/>
  <c r="A11256" i="1"/>
  <c r="A11053" i="1"/>
  <c r="A9999" i="1"/>
  <c r="A9648" i="1"/>
  <c r="A10692" i="1"/>
  <c r="A9923" i="1"/>
  <c r="A7804" i="1"/>
  <c r="A14411" i="1"/>
  <c r="A10025" i="1"/>
  <c r="A11398" i="1"/>
  <c r="A6417" i="1"/>
  <c r="A17655" i="1"/>
  <c r="A9413" i="1"/>
  <c r="A6932" i="1"/>
  <c r="A17654" i="1"/>
  <c r="A10146" i="1"/>
  <c r="A10982" i="1"/>
  <c r="A11370" i="1"/>
  <c r="A10410" i="1"/>
  <c r="A13917" i="1"/>
  <c r="A11771" i="1"/>
  <c r="A8633" i="1"/>
  <c r="A8775" i="1"/>
  <c r="A9957" i="1"/>
  <c r="A11882" i="1"/>
  <c r="A11151" i="1"/>
  <c r="A9922" i="1"/>
  <c r="A14718" i="1"/>
  <c r="A6073" i="1"/>
  <c r="A10464" i="1"/>
  <c r="A12480" i="1"/>
  <c r="A10912" i="1"/>
  <c r="A11611" i="1"/>
  <c r="A11994" i="1"/>
  <c r="A9755" i="1"/>
  <c r="A8863" i="1"/>
  <c r="A10898" i="1"/>
  <c r="A10380" i="1"/>
  <c r="A9623" i="1"/>
  <c r="A11161" i="1"/>
  <c r="A10438" i="1"/>
  <c r="A8296" i="1"/>
  <c r="A13259" i="1"/>
  <c r="A10749" i="1"/>
  <c r="A9956" i="1"/>
  <c r="A12520" i="1"/>
  <c r="A10699" i="1"/>
  <c r="A9298" i="1"/>
  <c r="A10934" i="1"/>
  <c r="A13419" i="1"/>
  <c r="A10024" i="1"/>
  <c r="A8943" i="1"/>
  <c r="A11757" i="1"/>
  <c r="A8371" i="1"/>
  <c r="A8784" i="1"/>
  <c r="A17653" i="1"/>
  <c r="A13451" i="1"/>
  <c r="A8706" i="1"/>
  <c r="A7466" i="1"/>
  <c r="A9217" i="1"/>
  <c r="A14121" i="1"/>
  <c r="A11696" i="1"/>
  <c r="A9407" i="1"/>
  <c r="A6843" i="1"/>
  <c r="A15074" i="1"/>
  <c r="A10651" i="1"/>
  <c r="A10892" i="1"/>
  <c r="A10911" i="1"/>
  <c r="A11266" i="1"/>
  <c r="A10364" i="1"/>
  <c r="A10850" i="1"/>
  <c r="A9070" i="1"/>
  <c r="A11542" i="1"/>
  <c r="A10518" i="1"/>
  <c r="A11241" i="1"/>
  <c r="A11278" i="1"/>
  <c r="A10992" i="1"/>
  <c r="A10748" i="1"/>
  <c r="A17652" i="1"/>
  <c r="A12185" i="1"/>
  <c r="A10069" i="1"/>
  <c r="A7698" i="1"/>
  <c r="A10664" i="1"/>
  <c r="A5747" i="1"/>
  <c r="A11120" i="1"/>
  <c r="A10779" i="1"/>
  <c r="A9666" i="1"/>
  <c r="A7846" i="1"/>
  <c r="A7083" i="1"/>
  <c r="A11150" i="1"/>
  <c r="A17651" i="1"/>
  <c r="A10363" i="1"/>
  <c r="A11382" i="1"/>
  <c r="A12294" i="1"/>
  <c r="A10061" i="1"/>
  <c r="A9605" i="1"/>
  <c r="A10610" i="1"/>
  <c r="A8927" i="1"/>
  <c r="A13114" i="1"/>
  <c r="A9693" i="1"/>
  <c r="A12580" i="1"/>
  <c r="A8967" i="1"/>
  <c r="A7082" i="1"/>
  <c r="A9255" i="1"/>
  <c r="A8274" i="1"/>
  <c r="A7497" i="1"/>
  <c r="A10865" i="1"/>
  <c r="A11108" i="1"/>
  <c r="A11149" i="1"/>
  <c r="A6559" i="1"/>
  <c r="A12101" i="1"/>
  <c r="A9978" i="1"/>
  <c r="A11993" i="1"/>
  <c r="A10663" i="1"/>
  <c r="A12689" i="1"/>
  <c r="A9647" i="1"/>
  <c r="A11148" i="1"/>
  <c r="A8966" i="1"/>
  <c r="A11431" i="1"/>
  <c r="A10463" i="1"/>
  <c r="A9544" i="1"/>
  <c r="A9280" i="1"/>
  <c r="A17650" i="1"/>
  <c r="A17649" i="1"/>
  <c r="A10396" i="1"/>
  <c r="A11147" i="1"/>
  <c r="A11174" i="1"/>
  <c r="A7529" i="1"/>
  <c r="A12703" i="1"/>
  <c r="A10233" i="1"/>
  <c r="A10502" i="1"/>
  <c r="A10687" i="1"/>
  <c r="A9121" i="1"/>
  <c r="A10883" i="1"/>
  <c r="A10124" i="1"/>
  <c r="A5771" i="1"/>
  <c r="A10328" i="1"/>
  <c r="A11019" i="1"/>
  <c r="A11848" i="1"/>
  <c r="A10712" i="1"/>
  <c r="A11832" i="1"/>
  <c r="A8984" i="1"/>
  <c r="A5399" i="1"/>
  <c r="A8910" i="1"/>
  <c r="A17648" i="1"/>
  <c r="A9921" i="1"/>
  <c r="A11107" i="1"/>
  <c r="A10189" i="1"/>
  <c r="A7056" i="1"/>
  <c r="A10214" i="1"/>
  <c r="A10023" i="1"/>
  <c r="A11786" i="1"/>
  <c r="A8228" i="1"/>
  <c r="A7892" i="1"/>
  <c r="A8489" i="1"/>
  <c r="A12136" i="1"/>
  <c r="A10501" i="1"/>
  <c r="A17647" i="1"/>
  <c r="A10824" i="1"/>
  <c r="A6759" i="1"/>
  <c r="A5184" i="1"/>
  <c r="A13747" i="1"/>
  <c r="A9279" i="1"/>
  <c r="A17646" i="1"/>
  <c r="A13465" i="1"/>
  <c r="A13724" i="1"/>
  <c r="A10650" i="1"/>
  <c r="A10171" i="1"/>
  <c r="A10483" i="1"/>
  <c r="A10327" i="1"/>
  <c r="A10533" i="1"/>
  <c r="A11201" i="1"/>
  <c r="A17645" i="1"/>
  <c r="A13243" i="1"/>
  <c r="A7496" i="1"/>
  <c r="A9524" i="1"/>
  <c r="A11343" i="1"/>
  <c r="A17644" i="1"/>
  <c r="A10232" i="1"/>
  <c r="A8502" i="1"/>
  <c r="A17643" i="1"/>
  <c r="A10221" i="1"/>
  <c r="A8688" i="1"/>
  <c r="A6697" i="1"/>
  <c r="A9728" i="1"/>
  <c r="A10437" i="1"/>
  <c r="A12057" i="1"/>
  <c r="A5144" i="1"/>
  <c r="A17642" i="1"/>
  <c r="A10395" i="1"/>
  <c r="A9977" i="1"/>
  <c r="A7215" i="1"/>
  <c r="A14747" i="1"/>
  <c r="A17641" i="1"/>
  <c r="A11307" i="1"/>
  <c r="A9091" i="1"/>
  <c r="A17640" i="1"/>
  <c r="A11653" i="1"/>
  <c r="A10517" i="1"/>
  <c r="A11106" i="1"/>
  <c r="A10747" i="1"/>
  <c r="A9069" i="1"/>
  <c r="A10123" i="1"/>
  <c r="A9622" i="1"/>
  <c r="A6120" i="1"/>
  <c r="A12454" i="1"/>
  <c r="A2174" i="1"/>
  <c r="A9488" i="1"/>
  <c r="A13545" i="1"/>
  <c r="A10823" i="1"/>
  <c r="A499" i="1"/>
  <c r="A10099" i="1"/>
  <c r="A10362" i="1"/>
  <c r="A11369" i="1"/>
  <c r="A9543" i="1"/>
  <c r="A11124" i="1"/>
  <c r="A9165" i="1"/>
  <c r="A7778" i="1"/>
  <c r="A9232" i="1"/>
  <c r="A16410" i="1"/>
  <c r="A12985" i="1"/>
  <c r="A7931" i="1"/>
  <c r="A14200" i="1"/>
  <c r="A8965" i="1"/>
  <c r="A11829" i="1"/>
  <c r="A10621" i="1"/>
  <c r="A7643" i="1"/>
  <c r="A12803" i="1"/>
  <c r="A10178" i="1"/>
  <c r="A10409" i="1"/>
  <c r="A4196" i="1"/>
  <c r="A9920" i="1"/>
  <c r="A17639" i="1"/>
  <c r="A10532" i="1"/>
  <c r="A10731" i="1"/>
  <c r="A12444" i="1"/>
  <c r="A10088" i="1"/>
  <c r="A17638" i="1"/>
  <c r="A8388" i="1"/>
  <c r="A9955" i="1"/>
  <c r="A12171" i="1"/>
  <c r="A10813" i="1"/>
  <c r="A9848" i="1"/>
  <c r="A8026" i="1"/>
  <c r="A10306" i="1"/>
  <c r="A11448" i="1"/>
  <c r="A12100" i="1"/>
  <c r="A10340" i="1"/>
  <c r="A9563" i="1"/>
  <c r="A5104" i="1"/>
  <c r="A10553" i="1"/>
  <c r="A10250" i="1"/>
  <c r="A8569" i="1"/>
  <c r="A9532" i="1"/>
  <c r="A4654" i="1"/>
  <c r="A13145" i="1"/>
  <c r="A9646" i="1"/>
  <c r="A7756" i="1"/>
  <c r="A10087" i="1"/>
  <c r="A12016" i="1"/>
  <c r="A7322" i="1"/>
  <c r="A13156" i="1"/>
  <c r="A9754" i="1"/>
  <c r="A5283" i="1"/>
  <c r="A10453" i="1"/>
  <c r="A3791" i="1"/>
  <c r="A10335" i="1"/>
  <c r="A10022" i="1"/>
  <c r="A6151" i="1"/>
  <c r="A8482" i="1"/>
  <c r="A10188" i="1"/>
  <c r="A11057" i="1"/>
  <c r="A8630" i="1"/>
  <c r="A17637" i="1"/>
  <c r="A11502" i="1"/>
  <c r="A9573" i="1"/>
  <c r="A6791" i="1"/>
  <c r="A6724" i="1"/>
  <c r="A10805" i="1"/>
  <c r="A8593" i="1"/>
  <c r="A17636" i="1"/>
  <c r="A13956" i="1"/>
  <c r="A12024" i="1"/>
  <c r="A10500" i="1"/>
  <c r="A12944" i="1"/>
  <c r="A17635" i="1"/>
  <c r="A9454" i="1"/>
  <c r="A10361" i="1"/>
  <c r="A6632" i="1"/>
  <c r="A9954" i="1"/>
  <c r="A13595" i="1"/>
  <c r="A10462" i="1"/>
  <c r="A9860" i="1"/>
  <c r="A9665" i="1"/>
  <c r="A10231" i="1"/>
  <c r="A7976" i="1"/>
  <c r="A17634" i="1"/>
  <c r="A10686" i="1"/>
  <c r="A11541" i="1"/>
  <c r="A10746" i="1"/>
  <c r="A10326" i="1"/>
  <c r="A17633" i="1"/>
  <c r="A10249" i="1"/>
  <c r="A10060" i="1"/>
  <c r="A8802" i="1"/>
  <c r="A10145" i="1"/>
  <c r="A8727" i="1"/>
  <c r="A10379" i="1"/>
  <c r="A10583" i="1"/>
  <c r="A10836" i="1"/>
  <c r="A6450" i="1"/>
  <c r="A8539" i="1"/>
  <c r="A9020" i="1"/>
  <c r="A12099" i="1"/>
  <c r="A8705" i="1"/>
  <c r="A11103" i="1"/>
  <c r="A17632" i="1"/>
  <c r="A10042" i="1"/>
  <c r="A10832" i="1"/>
  <c r="A11069" i="1"/>
  <c r="A11102" i="1"/>
  <c r="A8481" i="1"/>
  <c r="A9810" i="1"/>
  <c r="A17631" i="1"/>
  <c r="A7954" i="1"/>
  <c r="A17630" i="1"/>
  <c r="A10378" i="1"/>
  <c r="A10794" i="1"/>
  <c r="A9580" i="1"/>
  <c r="A8643" i="1"/>
  <c r="A7953" i="1"/>
  <c r="A17629" i="1"/>
  <c r="A10531" i="1"/>
  <c r="A10288" i="1"/>
  <c r="A4238" i="1"/>
  <c r="A11200" i="1"/>
  <c r="A14824" i="1"/>
  <c r="A11056" i="1"/>
  <c r="A8973" i="1"/>
  <c r="A12674" i="1"/>
  <c r="A17628" i="1"/>
  <c r="A10002" i="1"/>
  <c r="A10209" i="1"/>
  <c r="A9897" i="1"/>
  <c r="A14637" i="1"/>
  <c r="A10021" i="1"/>
  <c r="A10685" i="1"/>
  <c r="A10516" i="1"/>
  <c r="A9621" i="1"/>
  <c r="A9805" i="1"/>
  <c r="A9562" i="1"/>
  <c r="A5467" i="1"/>
  <c r="A10041" i="1"/>
  <c r="A498" i="1"/>
  <c r="A17627" i="1"/>
  <c r="A10552" i="1"/>
  <c r="A10582" i="1"/>
  <c r="A11123" i="1"/>
  <c r="A10272" i="1"/>
  <c r="A9101" i="1"/>
  <c r="A8452" i="1"/>
  <c r="A5466" i="1"/>
  <c r="A17626" i="1"/>
  <c r="A11533" i="1"/>
  <c r="A9523" i="1"/>
  <c r="A6072" i="1"/>
  <c r="A10649" i="1"/>
  <c r="A10187" i="1"/>
  <c r="A10422" i="1"/>
  <c r="A9506" i="1"/>
  <c r="A9297" i="1"/>
  <c r="A9285" i="1"/>
  <c r="A7197" i="1"/>
  <c r="A8434" i="1"/>
  <c r="A5976" i="1"/>
  <c r="A10287" i="1"/>
  <c r="A10452" i="1"/>
  <c r="A9722" i="1"/>
  <c r="A11317" i="1"/>
  <c r="A8846" i="1"/>
  <c r="A9833" i="1"/>
  <c r="A9620" i="1"/>
  <c r="A9664" i="1"/>
  <c r="A17625" i="1"/>
  <c r="A9187" i="1"/>
  <c r="A9341" i="1"/>
  <c r="A10835" i="1"/>
  <c r="A10286" i="1"/>
  <c r="A10305" i="1"/>
  <c r="A9847" i="1"/>
  <c r="A10551" i="1"/>
  <c r="A9003" i="1"/>
  <c r="A13407" i="1"/>
  <c r="A10122" i="1"/>
  <c r="A10540" i="1"/>
  <c r="A9476" i="1"/>
  <c r="A13972" i="1"/>
  <c r="A8670" i="1"/>
  <c r="A17624" i="1"/>
  <c r="A11990" i="1"/>
  <c r="A9174" i="1"/>
  <c r="A10822" i="1"/>
  <c r="A9453" i="1"/>
  <c r="A10451" i="1"/>
  <c r="A9753" i="1"/>
  <c r="A8774" i="1"/>
  <c r="A9427" i="1"/>
  <c r="A9823" i="1"/>
  <c r="A10121" i="1"/>
  <c r="A7975" i="1"/>
  <c r="A7872" i="1"/>
  <c r="A3371" i="1"/>
  <c r="A9598" i="1"/>
  <c r="A8370" i="1"/>
  <c r="A10120" i="1"/>
  <c r="A10092" i="1"/>
  <c r="A10271" i="1"/>
  <c r="A9885" i="1"/>
  <c r="A17623" i="1"/>
  <c r="A10377" i="1"/>
  <c r="A10059" i="1"/>
  <c r="A9120" i="1"/>
  <c r="A497" i="1"/>
  <c r="A9752" i="1"/>
  <c r="A10962" i="1"/>
  <c r="A5318" i="1"/>
  <c r="A10711" i="1"/>
  <c r="A9340" i="1"/>
  <c r="A9045" i="1"/>
  <c r="A7032" i="1"/>
  <c r="A10793" i="1"/>
  <c r="A9987" i="1"/>
  <c r="A10450" i="1"/>
  <c r="A8369" i="1"/>
  <c r="A10684" i="1"/>
  <c r="A10924" i="1"/>
  <c r="A11893" i="1"/>
  <c r="A12138" i="1"/>
  <c r="A12005" i="1"/>
  <c r="A17622" i="1"/>
  <c r="A9634" i="1"/>
  <c r="A10508" i="1"/>
  <c r="A8845" i="1"/>
  <c r="A9769" i="1"/>
  <c r="A11018" i="1"/>
  <c r="A9044" i="1"/>
  <c r="A9452" i="1"/>
  <c r="A10208" i="1"/>
  <c r="A10068" i="1"/>
  <c r="A13874" i="1"/>
  <c r="A3939" i="1"/>
  <c r="A7449" i="1"/>
  <c r="A7293" i="1"/>
  <c r="A9339" i="1"/>
  <c r="A10390" i="1"/>
  <c r="A1620" i="1"/>
  <c r="A12184" i="1"/>
  <c r="A11240" i="1"/>
  <c r="A10778" i="1"/>
  <c r="A11068" i="1"/>
  <c r="A10499" i="1"/>
  <c r="A12343" i="1"/>
  <c r="A17621" i="1"/>
  <c r="A9239" i="1"/>
  <c r="A11580" i="1"/>
  <c r="A5892" i="1"/>
  <c r="A7240" i="1"/>
  <c r="A17620" i="1"/>
  <c r="A10961" i="1"/>
  <c r="A11049" i="1"/>
  <c r="A11386" i="1"/>
  <c r="A10436" i="1"/>
  <c r="A10683" i="1"/>
  <c r="A10758" i="1"/>
  <c r="A10325" i="1"/>
  <c r="A10435" i="1"/>
  <c r="A10434" i="1"/>
  <c r="A10098" i="1"/>
  <c r="A8480" i="1"/>
  <c r="A13677" i="1"/>
  <c r="A9100" i="1"/>
  <c r="A10609" i="1"/>
  <c r="A17619" i="1"/>
  <c r="A9919" i="1"/>
  <c r="A496" i="1"/>
  <c r="A15816" i="1"/>
  <c r="A10449" i="1"/>
  <c r="A10530" i="1"/>
  <c r="A10324" i="1"/>
  <c r="A9231" i="1"/>
  <c r="A17618" i="1"/>
  <c r="A10461" i="1"/>
  <c r="A9804" i="1"/>
  <c r="A9487" i="1"/>
  <c r="A495" i="1"/>
  <c r="A8501" i="1"/>
  <c r="A9338" i="1"/>
  <c r="A9068" i="1"/>
  <c r="A9043" i="1"/>
  <c r="A11189" i="1"/>
  <c r="A9736" i="1"/>
  <c r="A9141" i="1"/>
  <c r="A10563" i="1"/>
  <c r="A12375" i="1"/>
  <c r="A14668" i="1"/>
  <c r="A17617" i="1"/>
  <c r="A9597" i="1"/>
  <c r="A11511" i="1"/>
  <c r="A9164" i="1"/>
  <c r="A17616" i="1"/>
  <c r="A10086" i="1"/>
  <c r="A8431" i="1"/>
  <c r="A10085" i="1"/>
  <c r="A6872" i="1"/>
  <c r="A9619" i="1"/>
  <c r="A10482" i="1"/>
  <c r="A12267" i="1"/>
  <c r="A9803" i="1"/>
  <c r="A9909" i="1"/>
  <c r="A11484" i="1"/>
  <c r="A12499" i="1"/>
  <c r="A11253" i="1"/>
  <c r="A17615" i="1"/>
  <c r="A7705" i="1"/>
  <c r="A13537" i="1"/>
  <c r="A17614" i="1"/>
  <c r="A9586" i="1"/>
  <c r="A10220" i="1"/>
  <c r="A9337" i="1"/>
  <c r="A10020" i="1"/>
  <c r="A11225" i="1"/>
  <c r="A10040" i="1"/>
  <c r="A9380" i="1"/>
  <c r="A8704" i="1"/>
  <c r="A11728" i="1"/>
  <c r="A10207" i="1"/>
  <c r="A12702" i="1"/>
  <c r="A7952" i="1"/>
  <c r="A8988" i="1"/>
  <c r="A11679" i="1"/>
  <c r="A17613" i="1"/>
  <c r="A9140" i="1"/>
  <c r="A6115" i="1"/>
  <c r="A10058" i="1"/>
  <c r="A9721" i="1"/>
  <c r="A10084" i="1"/>
  <c r="A6696" i="1"/>
  <c r="A494" i="1"/>
  <c r="A10745" i="1"/>
  <c r="A10170" i="1"/>
  <c r="A9812" i="1"/>
  <c r="A10882" i="1"/>
  <c r="A10960" i="1"/>
  <c r="A8742" i="1"/>
  <c r="A11622" i="1"/>
  <c r="A10097" i="1"/>
  <c r="A12799" i="1"/>
  <c r="A15619" i="1"/>
  <c r="A8769" i="1"/>
  <c r="A10581" i="1"/>
  <c r="A9296" i="1"/>
  <c r="A10491" i="1"/>
  <c r="A10334" i="1"/>
  <c r="A10498" i="1"/>
  <c r="A10057" i="1"/>
  <c r="A9471" i="1"/>
  <c r="A10529" i="1"/>
  <c r="A15802" i="1"/>
  <c r="A11418" i="1"/>
  <c r="A10144" i="1"/>
  <c r="A8926" i="1"/>
  <c r="A9720" i="1"/>
  <c r="A17612" i="1"/>
  <c r="A9486" i="1"/>
  <c r="A10408" i="1"/>
  <c r="A10730" i="1"/>
  <c r="A17611" i="1"/>
  <c r="A8243" i="1"/>
  <c r="A17610" i="1"/>
  <c r="A9884" i="1"/>
  <c r="A9579" i="1"/>
  <c r="A10959" i="1"/>
  <c r="A10248" i="1"/>
  <c r="A9663" i="1"/>
  <c r="A17609" i="1"/>
  <c r="A10007" i="1"/>
  <c r="A10270" i="1"/>
  <c r="A10219" i="1"/>
  <c r="A17608" i="1"/>
  <c r="A17607" i="1"/>
  <c r="A4495" i="1"/>
  <c r="A9019" i="1"/>
  <c r="A13189" i="1"/>
  <c r="A11465" i="1"/>
  <c r="A17606" i="1"/>
  <c r="A10056" i="1"/>
  <c r="A13060" i="1"/>
  <c r="A8430" i="1"/>
  <c r="A15107" i="1"/>
  <c r="A17605" i="1"/>
  <c r="A11083" i="1"/>
  <c r="A17604" i="1"/>
  <c r="A11096" i="1"/>
  <c r="A17603" i="1"/>
  <c r="A11447" i="1"/>
  <c r="A10119" i="1"/>
  <c r="A9953" i="1"/>
  <c r="A10013" i="1"/>
  <c r="A8964" i="1"/>
  <c r="A12600" i="1"/>
  <c r="A10143" i="1"/>
  <c r="A5282" i="1"/>
  <c r="A17602" i="1"/>
  <c r="A11877" i="1"/>
  <c r="A10006" i="1"/>
  <c r="A11051" i="1"/>
  <c r="A6562" i="1"/>
  <c r="A7974" i="1"/>
  <c r="A9618" i="1"/>
  <c r="A8004" i="1"/>
  <c r="A11082" i="1"/>
  <c r="A17601" i="1"/>
  <c r="A10360" i="1"/>
  <c r="A17600" i="1"/>
  <c r="A9719" i="1"/>
  <c r="A9662" i="1"/>
  <c r="A5975" i="1"/>
  <c r="A3726" i="1"/>
  <c r="A8295" i="1"/>
  <c r="A9186" i="1"/>
  <c r="A17599" i="1"/>
  <c r="A10662" i="1"/>
  <c r="A8611" i="1"/>
  <c r="A8801" i="1"/>
  <c r="A9348" i="1"/>
  <c r="A8823" i="1"/>
  <c r="A8963" i="1"/>
  <c r="A10433" i="1"/>
  <c r="A9859" i="1"/>
  <c r="A10910" i="1"/>
  <c r="A10407" i="1"/>
  <c r="A8869" i="1"/>
  <c r="A9205" i="1"/>
  <c r="A10169" i="1"/>
  <c r="A10055" i="1"/>
  <c r="A10304" i="1"/>
  <c r="A10359" i="1"/>
  <c r="A9522" i="1"/>
  <c r="A7803" i="1"/>
  <c r="A10562" i="1"/>
  <c r="A12802" i="1"/>
  <c r="A7528" i="1"/>
  <c r="A11964" i="1"/>
  <c r="A10460" i="1"/>
  <c r="A11528" i="1"/>
  <c r="A9542" i="1"/>
  <c r="A11239" i="1"/>
  <c r="A9323" i="1"/>
  <c r="A9426" i="1"/>
  <c r="A8479" i="1"/>
  <c r="A8227" i="1"/>
  <c r="A493" i="1"/>
  <c r="A8844" i="1"/>
  <c r="A7930" i="1"/>
  <c r="A10448" i="1"/>
  <c r="A10421" i="1"/>
  <c r="A9163" i="1"/>
  <c r="A9578" i="1"/>
  <c r="A9908" i="1"/>
  <c r="A10142" i="1"/>
  <c r="A9617" i="1"/>
  <c r="A9786" i="1"/>
  <c r="A8862" i="1"/>
  <c r="A10206" i="1"/>
  <c r="A8768" i="1"/>
  <c r="A8143" i="1"/>
  <c r="A9990" i="1"/>
  <c r="A8925" i="1"/>
  <c r="A6601" i="1"/>
  <c r="A12204" i="1"/>
  <c r="A8410" i="1"/>
  <c r="A10218" i="1"/>
  <c r="A10481" i="1"/>
  <c r="A10303" i="1"/>
  <c r="A10168" i="1"/>
  <c r="A9918" i="1"/>
  <c r="A9986" i="1"/>
  <c r="A10230" i="1"/>
  <c r="A9442" i="1"/>
  <c r="A9785" i="1"/>
  <c r="A10844" i="1"/>
  <c r="A9169" i="1"/>
  <c r="A17598" i="1"/>
  <c r="A4617" i="1"/>
  <c r="A17597" i="1"/>
  <c r="A9883" i="1"/>
  <c r="A7173" i="1"/>
  <c r="A8687" i="1"/>
  <c r="A7527" i="1"/>
  <c r="A10849" i="1"/>
  <c r="A9942" i="1"/>
  <c r="A9173" i="1"/>
  <c r="A9735" i="1"/>
  <c r="A10648" i="1"/>
  <c r="A4075" i="1"/>
  <c r="A8888" i="1"/>
  <c r="A9751" i="1"/>
  <c r="A8610" i="1"/>
  <c r="A17596" i="1"/>
  <c r="A10943" i="1"/>
  <c r="A11122" i="1"/>
  <c r="A10792" i="1"/>
  <c r="A12737" i="1"/>
  <c r="A7149" i="1"/>
  <c r="A9802" i="1"/>
  <c r="A10205" i="1"/>
  <c r="A11820" i="1"/>
  <c r="A10848" i="1"/>
  <c r="A8256" i="1"/>
  <c r="A10186" i="1"/>
  <c r="A10480" i="1"/>
  <c r="A17595" i="1"/>
  <c r="A2250" i="1"/>
  <c r="A9907" i="1"/>
  <c r="A8909" i="1"/>
  <c r="A8538" i="1"/>
  <c r="A9750" i="1"/>
  <c r="A10285" i="1"/>
  <c r="A15430" i="1"/>
  <c r="A492" i="1"/>
  <c r="A11501" i="1"/>
  <c r="A10682" i="1"/>
  <c r="A9645" i="1"/>
  <c r="A9596" i="1"/>
  <c r="A17594" i="1"/>
  <c r="A17593" i="1"/>
  <c r="A10185" i="1"/>
  <c r="A7081" i="1"/>
  <c r="A11316" i="1"/>
  <c r="A11417" i="1"/>
  <c r="A9336" i="1"/>
  <c r="A7526" i="1"/>
  <c r="A7504" i="1"/>
  <c r="A8098" i="1"/>
  <c r="A7821" i="1"/>
  <c r="A8642" i="1"/>
  <c r="A17592" i="1"/>
  <c r="A12736" i="1"/>
  <c r="A11822" i="1"/>
  <c r="A9485" i="1"/>
  <c r="A7196" i="1"/>
  <c r="A12569" i="1"/>
  <c r="A9425" i="1"/>
  <c r="A9541" i="1"/>
  <c r="A9484" i="1"/>
  <c r="A17591" i="1"/>
  <c r="A17590" i="1"/>
  <c r="A9162" i="1"/>
  <c r="A17589" i="1"/>
  <c r="A9441" i="1"/>
  <c r="A9718" i="1"/>
  <c r="A10528" i="1"/>
  <c r="A10981" i="1"/>
  <c r="A9561" i="1"/>
  <c r="A11727" i="1"/>
  <c r="A9846" i="1"/>
  <c r="A5434" i="1"/>
  <c r="A17588" i="1"/>
  <c r="A10681" i="1"/>
  <c r="A17587" i="1"/>
  <c r="A6449" i="1"/>
  <c r="A5281" i="1"/>
  <c r="A9284" i="1"/>
  <c r="A7697" i="1"/>
  <c r="A10864" i="1"/>
  <c r="A9616" i="1"/>
  <c r="A8767" i="1"/>
  <c r="A10881" i="1"/>
  <c r="A17586" i="1"/>
  <c r="A7031" i="1"/>
  <c r="A9440" i="1"/>
  <c r="A8766" i="1"/>
  <c r="A9090" i="1"/>
  <c r="A8962" i="1"/>
  <c r="A13583" i="1"/>
  <c r="A12632" i="1"/>
  <c r="A9002" i="1"/>
  <c r="A11783" i="1"/>
  <c r="A9439" i="1"/>
  <c r="A10474" i="1"/>
  <c r="A8665" i="1"/>
  <c r="A7300" i="1"/>
  <c r="A13172" i="1"/>
  <c r="A8843" i="1"/>
  <c r="A10351" i="1"/>
  <c r="A9906" i="1"/>
  <c r="A9585" i="1"/>
  <c r="A10571" i="1"/>
  <c r="A10157" i="1"/>
  <c r="A4324" i="1"/>
  <c r="A11173" i="1"/>
  <c r="A17585" i="1"/>
  <c r="A17584" i="1"/>
  <c r="A10358" i="1"/>
  <c r="A3840" i="1"/>
  <c r="A10269" i="1"/>
  <c r="A11199" i="1"/>
  <c r="A8822" i="1"/>
  <c r="A5183" i="1"/>
  <c r="A12531" i="1"/>
  <c r="A11480" i="1"/>
  <c r="A17583" i="1"/>
  <c r="A6357" i="1"/>
  <c r="A10757" i="1"/>
  <c r="A8861" i="1"/>
  <c r="A9595" i="1"/>
  <c r="A17582" i="1"/>
  <c r="A9952" i="1"/>
  <c r="A9161" i="1"/>
  <c r="A9160" i="1"/>
  <c r="A4934" i="1"/>
  <c r="A491" i="1"/>
  <c r="A9749" i="1"/>
  <c r="A7420" i="1"/>
  <c r="A9067" i="1"/>
  <c r="A7525" i="1"/>
  <c r="A11652" i="1"/>
  <c r="A11224" i="1"/>
  <c r="A7678" i="1"/>
  <c r="A17581" i="1"/>
  <c r="A11277" i="1"/>
  <c r="A12431" i="1"/>
  <c r="A5924" i="1"/>
  <c r="A5582" i="1"/>
  <c r="A9089" i="1"/>
  <c r="A9438" i="1"/>
  <c r="A9018" i="1"/>
  <c r="A17580" i="1"/>
  <c r="A9521" i="1"/>
  <c r="A9119" i="1"/>
  <c r="A9644" i="1"/>
  <c r="A9941" i="1"/>
  <c r="A10284" i="1"/>
  <c r="A17579" i="1"/>
  <c r="A4195" i="1"/>
  <c r="A11067" i="1"/>
  <c r="A12356" i="1"/>
  <c r="A9278" i="1"/>
  <c r="A10897" i="1"/>
  <c r="A17578" i="1"/>
  <c r="A17577" i="1"/>
  <c r="A7351" i="1"/>
  <c r="A9940" i="1"/>
  <c r="A9204" i="1"/>
  <c r="A8887" i="1"/>
  <c r="A10632" i="1"/>
  <c r="A9560" i="1"/>
  <c r="A7030" i="1"/>
  <c r="A3370" i="1"/>
  <c r="A9822" i="1"/>
  <c r="A5886" i="1"/>
  <c r="A9777" i="1"/>
  <c r="A9692" i="1"/>
  <c r="A10247" i="1"/>
  <c r="A6999" i="1"/>
  <c r="A10083" i="1"/>
  <c r="A12544" i="1"/>
  <c r="A10756" i="1"/>
  <c r="A9127" i="1"/>
  <c r="A11879" i="1"/>
  <c r="A4861" i="1"/>
  <c r="A7292" i="1"/>
  <c r="A9118" i="1"/>
  <c r="A8025" i="1"/>
  <c r="A9088" i="1"/>
  <c r="A9559" i="1"/>
  <c r="A17576" i="1"/>
  <c r="A11579" i="1"/>
  <c r="A9643" i="1"/>
  <c r="A8024" i="1"/>
  <c r="A9406" i="1"/>
  <c r="A8916" i="1"/>
  <c r="A8195" i="1"/>
  <c r="A9042" i="1"/>
  <c r="A11002" i="1"/>
  <c r="A11811" i="1"/>
  <c r="A17575" i="1"/>
  <c r="A9041" i="1"/>
  <c r="A9882" i="1"/>
  <c r="A9017" i="1"/>
  <c r="A9858" i="1"/>
  <c r="A8160" i="1"/>
  <c r="A17574" i="1"/>
  <c r="A17573" i="1"/>
  <c r="A10019" i="1"/>
  <c r="A10729" i="1"/>
  <c r="A8554" i="1"/>
  <c r="A11695" i="1"/>
  <c r="A10580" i="1"/>
  <c r="A8609" i="1"/>
  <c r="A12048" i="1"/>
  <c r="A7951" i="1"/>
  <c r="A8750" i="1"/>
  <c r="A8537" i="1"/>
  <c r="A9277" i="1"/>
  <c r="A8618" i="1"/>
  <c r="A10018" i="1"/>
  <c r="A9661" i="1"/>
  <c r="A9734" i="1"/>
  <c r="A10096" i="1"/>
  <c r="A7909" i="1"/>
  <c r="A9951" i="1"/>
  <c r="A10268" i="1"/>
  <c r="A9857" i="1"/>
  <c r="A9976" i="1"/>
  <c r="A11590" i="1"/>
  <c r="A8536" i="1"/>
  <c r="A8168" i="1"/>
  <c r="A9040" i="1"/>
  <c r="A9911" i="1"/>
  <c r="A11992" i="1"/>
  <c r="A8749" i="1"/>
  <c r="A10156" i="1"/>
  <c r="A9001" i="1"/>
  <c r="A8255" i="1"/>
  <c r="A17572" i="1"/>
  <c r="A10118" i="1"/>
  <c r="A9254" i="1"/>
  <c r="A17571" i="1"/>
  <c r="A10831" i="1"/>
  <c r="A6842" i="1"/>
  <c r="A13604" i="1"/>
  <c r="A490" i="1"/>
  <c r="A5651" i="1"/>
  <c r="A8553" i="1"/>
  <c r="A9335" i="1"/>
  <c r="A10082" i="1"/>
  <c r="A12073" i="1"/>
  <c r="A8851" i="1"/>
  <c r="A8703" i="1"/>
  <c r="A7148" i="1"/>
  <c r="A11188" i="1"/>
  <c r="A8273" i="1"/>
  <c r="A8726" i="1"/>
  <c r="A8983" i="1"/>
  <c r="A11368" i="1"/>
  <c r="A11589" i="1"/>
  <c r="A17570" i="1"/>
  <c r="A9558" i="1"/>
  <c r="A8686" i="1"/>
  <c r="A8641" i="1"/>
  <c r="A11367" i="1"/>
  <c r="A11187" i="1"/>
  <c r="A8315" i="1"/>
  <c r="A9039" i="1"/>
  <c r="A13333" i="1"/>
  <c r="A9950" i="1"/>
  <c r="A17569" i="1"/>
  <c r="A7214" i="1"/>
  <c r="A9691" i="1"/>
  <c r="A9784" i="1"/>
  <c r="A16178" i="1"/>
  <c r="A9690" i="1"/>
  <c r="A9505" i="1"/>
  <c r="A9520" i="1"/>
  <c r="A12420" i="1"/>
  <c r="A8725" i="1"/>
  <c r="A9540" i="1"/>
  <c r="A11800" i="1"/>
  <c r="A11554" i="1"/>
  <c r="A17568" i="1"/>
  <c r="A9631" i="1"/>
  <c r="A6998" i="1"/>
  <c r="A10132" i="1"/>
  <c r="A10620" i="1"/>
  <c r="A489" i="1"/>
  <c r="A11634" i="1"/>
  <c r="A4576" i="1"/>
  <c r="A3105" i="1"/>
  <c r="A9615" i="1"/>
  <c r="A9896" i="1"/>
  <c r="A9939" i="1"/>
  <c r="A7586" i="1"/>
  <c r="A9295" i="1"/>
  <c r="A8097" i="1"/>
  <c r="A9717" i="1"/>
  <c r="A9660" i="1"/>
  <c r="A17567" i="1"/>
  <c r="A10217" i="1"/>
  <c r="A9748" i="1"/>
  <c r="A7677" i="1"/>
  <c r="A17566" i="1"/>
  <c r="A17565" i="1"/>
  <c r="A9768" i="1"/>
  <c r="A7871" i="1"/>
  <c r="A10592" i="1"/>
  <c r="A11496" i="1"/>
  <c r="A8821" i="1"/>
  <c r="A8649" i="1"/>
  <c r="A7195" i="1"/>
  <c r="A9363" i="1"/>
  <c r="A2173" i="1"/>
  <c r="A9716" i="1"/>
  <c r="A9949" i="1"/>
  <c r="A6558" i="1"/>
  <c r="A17564" i="1"/>
  <c r="A11610" i="1"/>
  <c r="A11537" i="1"/>
  <c r="A9025" i="1"/>
  <c r="A9451" i="1"/>
  <c r="A488" i="1"/>
  <c r="A8783" i="1"/>
  <c r="A7465" i="1"/>
  <c r="A13155" i="1"/>
  <c r="A11892" i="1"/>
  <c r="A8820" i="1"/>
  <c r="A9895" i="1"/>
  <c r="A9424" i="1"/>
  <c r="A8640" i="1"/>
  <c r="A9845" i="1"/>
  <c r="A487" i="1"/>
  <c r="A9066" i="1"/>
  <c r="A9594" i="1"/>
  <c r="A8724" i="1"/>
  <c r="A9715" i="1"/>
  <c r="A10661" i="1"/>
  <c r="A8942" i="1"/>
  <c r="A17563" i="1"/>
  <c r="A11500" i="1"/>
  <c r="A6600" i="1"/>
  <c r="A12398" i="1"/>
  <c r="A9844" i="1"/>
  <c r="A9989" i="1"/>
  <c r="A9203" i="1"/>
  <c r="A9801" i="1"/>
  <c r="A9800" i="1"/>
  <c r="A9362" i="1"/>
  <c r="A9539" i="1"/>
  <c r="A9264" i="1"/>
  <c r="A17562" i="1"/>
  <c r="A8049" i="1"/>
  <c r="A7171" i="1"/>
  <c r="A10579" i="1"/>
  <c r="A9423" i="1"/>
  <c r="A8800" i="1"/>
  <c r="A11838" i="1"/>
  <c r="A9326" i="1"/>
  <c r="A10012" i="1"/>
  <c r="A11678" i="1"/>
  <c r="A7495" i="1"/>
  <c r="A7494" i="1"/>
  <c r="A9538" i="1"/>
  <c r="A10117" i="1"/>
  <c r="A9537" i="1"/>
  <c r="A8961" i="1"/>
  <c r="A17561" i="1"/>
  <c r="A9000" i="1"/>
  <c r="A11651" i="1"/>
  <c r="A13736" i="1"/>
  <c r="A8819" i="1"/>
  <c r="A17560" i="1"/>
  <c r="A17559" i="1"/>
  <c r="A17558" i="1"/>
  <c r="A10980" i="1"/>
  <c r="A9185" i="1"/>
  <c r="A7264" i="1"/>
  <c r="A11052" i="1"/>
  <c r="A9504" i="1"/>
  <c r="A10376" i="1"/>
  <c r="A8886" i="1"/>
  <c r="A11306" i="1"/>
  <c r="A9117" i="1"/>
  <c r="A9294" i="1"/>
  <c r="A9139" i="1"/>
  <c r="A9422" i="1"/>
  <c r="A9799" i="1"/>
  <c r="A11685" i="1"/>
  <c r="A9087" i="1"/>
  <c r="A4237" i="1"/>
  <c r="A10979" i="1"/>
  <c r="A17557" i="1"/>
  <c r="A10229" i="1"/>
  <c r="A6154" i="1"/>
  <c r="A17556" i="1"/>
  <c r="A5712" i="1"/>
  <c r="A11118" i="1"/>
  <c r="A10821" i="1"/>
  <c r="A9975" i="1"/>
  <c r="A7802" i="1"/>
  <c r="A7170" i="1"/>
  <c r="A9761" i="1"/>
  <c r="A12750" i="1"/>
  <c r="A4104" i="1"/>
  <c r="A10017" i="1"/>
  <c r="A486" i="1"/>
  <c r="A8999" i="1"/>
  <c r="A9503" i="1"/>
  <c r="A9322" i="1"/>
  <c r="A9253" i="1"/>
  <c r="A10141" i="1"/>
  <c r="A5103" i="1"/>
  <c r="A8664" i="1"/>
  <c r="A10246" i="1"/>
  <c r="A7269" i="1"/>
  <c r="A10619" i="1"/>
  <c r="A10054" i="1"/>
  <c r="A9159" i="1"/>
  <c r="A9128" i="1"/>
  <c r="A8842" i="1"/>
  <c r="A9513" i="1"/>
  <c r="A10184" i="1"/>
  <c r="A6758" i="1"/>
  <c r="A8702" i="1"/>
  <c r="A10167" i="1"/>
  <c r="A10140" i="1"/>
  <c r="A9659" i="1"/>
  <c r="A13516" i="1"/>
  <c r="A3670" i="1"/>
  <c r="A6260" i="1"/>
  <c r="A8608" i="1"/>
  <c r="A6695" i="1"/>
  <c r="A9361" i="1"/>
  <c r="A9116" i="1"/>
  <c r="A8552" i="1"/>
  <c r="A5683" i="1"/>
  <c r="A14131" i="1"/>
  <c r="A10081" i="1"/>
  <c r="A10139" i="1"/>
  <c r="A11381" i="1"/>
  <c r="A9519" i="1"/>
  <c r="A11770" i="1"/>
  <c r="A9767" i="1"/>
  <c r="A8924" i="1"/>
  <c r="A5611" i="1"/>
  <c r="A10896" i="1"/>
  <c r="A9065" i="1"/>
  <c r="A6606" i="1"/>
  <c r="A14775" i="1"/>
  <c r="A4616" i="1"/>
  <c r="A10618" i="1"/>
  <c r="A485" i="1"/>
  <c r="A9502" i="1"/>
  <c r="A8685" i="1"/>
  <c r="A9184" i="1"/>
  <c r="A9714" i="1"/>
  <c r="A9689" i="1"/>
  <c r="A9293" i="1"/>
  <c r="A6599" i="1"/>
  <c r="A12033" i="1"/>
  <c r="A11216" i="1"/>
  <c r="A11223" i="1"/>
  <c r="A8841" i="1"/>
  <c r="A8194" i="1"/>
  <c r="A10680" i="1"/>
  <c r="A7755" i="1"/>
  <c r="A9557" i="1"/>
  <c r="A9985" i="1"/>
  <c r="A8741" i="1"/>
  <c r="A8765" i="1"/>
  <c r="A10283" i="1"/>
  <c r="A9688" i="1"/>
  <c r="A9064" i="1"/>
  <c r="A9483" i="1"/>
  <c r="A17555" i="1"/>
  <c r="A7611" i="1"/>
  <c r="A10282" i="1"/>
  <c r="A8202" i="1"/>
  <c r="A10728" i="1"/>
  <c r="A17554" i="1"/>
  <c r="A9470" i="1"/>
  <c r="A17553" i="1"/>
  <c r="A484" i="1"/>
  <c r="A9713" i="1"/>
  <c r="A8003" i="1"/>
  <c r="A4780" i="1"/>
  <c r="A9412" i="1"/>
  <c r="A7080" i="1"/>
  <c r="A16627" i="1"/>
  <c r="A9482" i="1"/>
  <c r="A10339" i="1"/>
  <c r="A8998" i="1"/>
  <c r="A9821" i="1"/>
  <c r="A6448" i="1"/>
  <c r="A17552" i="1"/>
  <c r="A9252" i="1"/>
  <c r="A11342" i="1"/>
  <c r="A10791" i="1"/>
  <c r="A8387" i="1"/>
  <c r="A10267" i="1"/>
  <c r="A12170" i="1"/>
  <c r="A10116" i="1"/>
  <c r="A8561" i="1"/>
  <c r="A17551" i="1"/>
  <c r="A17550" i="1"/>
  <c r="A7960" i="1"/>
  <c r="A7820" i="1"/>
  <c r="A10834" i="1"/>
  <c r="A10880" i="1"/>
  <c r="A8272" i="1"/>
  <c r="A8592" i="1"/>
  <c r="A9556" i="1"/>
  <c r="A11479" i="1"/>
  <c r="A9747" i="1"/>
  <c r="A483" i="1"/>
  <c r="A8607" i="1"/>
  <c r="A10863" i="1"/>
  <c r="A9437" i="1"/>
  <c r="A7524" i="1"/>
  <c r="A9379" i="1"/>
  <c r="A9481" i="1"/>
  <c r="A3631" i="1"/>
  <c r="A11325" i="1"/>
  <c r="A11946" i="1"/>
  <c r="A17549" i="1"/>
  <c r="A8490" i="1"/>
  <c r="A6071" i="1"/>
  <c r="A12972" i="1"/>
  <c r="A17548" i="1"/>
  <c r="A13391" i="1"/>
  <c r="A8386" i="1"/>
  <c r="A12326" i="1"/>
  <c r="A8385" i="1"/>
  <c r="A9687" i="1"/>
  <c r="A11578" i="1"/>
  <c r="A9138" i="1"/>
  <c r="A9038" i="1"/>
  <c r="A9480" i="1"/>
  <c r="A7523" i="1"/>
  <c r="A7610" i="1"/>
  <c r="A9501" i="1"/>
  <c r="A5433" i="1"/>
  <c r="A17547" i="1"/>
  <c r="A13814" i="1"/>
  <c r="A9230" i="1"/>
  <c r="A6841" i="1"/>
  <c r="A17546" i="1"/>
  <c r="A10053" i="1"/>
  <c r="A5860" i="1"/>
  <c r="A9183" i="1"/>
  <c r="A12843" i="1"/>
  <c r="A10698" i="1"/>
  <c r="A9378" i="1"/>
  <c r="A8409" i="1"/>
  <c r="A8500" i="1"/>
  <c r="A12673" i="1"/>
  <c r="A9158" i="1"/>
  <c r="A15002" i="1"/>
  <c r="A9894" i="1"/>
  <c r="A10115" i="1"/>
  <c r="A17545" i="1"/>
  <c r="A9733" i="1"/>
  <c r="A4818" i="1"/>
  <c r="A8860" i="1"/>
  <c r="A12365" i="1"/>
  <c r="A5502" i="1"/>
  <c r="A6790" i="1"/>
  <c r="A10216" i="1"/>
  <c r="A9820" i="1"/>
  <c r="A9783" i="1"/>
  <c r="A9614" i="1"/>
  <c r="A9263" i="1"/>
  <c r="A8193" i="1"/>
  <c r="A8663" i="1"/>
  <c r="A10594" i="1"/>
  <c r="A8662" i="1"/>
  <c r="A17544" i="1"/>
  <c r="A7950" i="1"/>
  <c r="A5102" i="1"/>
  <c r="A17543" i="1"/>
  <c r="A6020" i="1"/>
  <c r="A8606" i="1"/>
  <c r="A9746" i="1"/>
  <c r="A9405" i="1"/>
  <c r="A8122" i="1"/>
  <c r="A8818" i="1"/>
  <c r="A12281" i="1"/>
  <c r="A9436" i="1"/>
  <c r="A10420" i="1"/>
  <c r="A17542" i="1"/>
  <c r="A7725" i="1"/>
  <c r="A9137" i="1"/>
  <c r="A12897" i="1"/>
  <c r="A4752" i="1"/>
  <c r="A8723" i="1"/>
  <c r="A8694" i="1"/>
  <c r="A9900" i="1"/>
  <c r="A10357" i="1"/>
  <c r="A9202" i="1"/>
  <c r="A9905" i="1"/>
  <c r="A10095" i="1"/>
  <c r="A17541" i="1"/>
  <c r="A9881" i="1"/>
  <c r="A9229" i="1"/>
  <c r="A15058" i="1"/>
  <c r="A6231" i="1"/>
  <c r="A7350" i="1"/>
  <c r="A10281" i="1"/>
  <c r="A17540" i="1"/>
  <c r="A10603" i="1"/>
  <c r="A17539" i="1"/>
  <c r="A11095" i="1"/>
  <c r="A7555" i="1"/>
  <c r="A8518" i="1"/>
  <c r="A17538" i="1"/>
  <c r="A17537" i="1"/>
  <c r="A11553" i="1"/>
  <c r="A17536" i="1"/>
  <c r="A17535" i="1"/>
  <c r="A12397" i="1"/>
  <c r="A17534" i="1"/>
  <c r="A17533" i="1"/>
  <c r="A17532" i="1"/>
  <c r="A8960" i="1"/>
  <c r="A9172" i="1"/>
  <c r="A8192" i="1"/>
  <c r="A17531" i="1"/>
  <c r="A10245" i="1"/>
  <c r="A9642" i="1"/>
  <c r="A482" i="1"/>
  <c r="A10302" i="1"/>
  <c r="A17530" i="1"/>
  <c r="A8142" i="1"/>
  <c r="A12203" i="1"/>
  <c r="A7696" i="1"/>
  <c r="A12411" i="1"/>
  <c r="A13443" i="1"/>
  <c r="A6516" i="1"/>
  <c r="A10820" i="1"/>
  <c r="A8408" i="1"/>
  <c r="A4499" i="1"/>
  <c r="A9613" i="1"/>
  <c r="A1464" i="1"/>
  <c r="A10710" i="1"/>
  <c r="A9658" i="1"/>
  <c r="A10727" i="1"/>
  <c r="A7754" i="1"/>
  <c r="A7585" i="1"/>
  <c r="A9215" i="1"/>
  <c r="A8191" i="1"/>
  <c r="A8368" i="1"/>
  <c r="A8799" i="1"/>
  <c r="A7239" i="1"/>
  <c r="A17529" i="1"/>
  <c r="A9555" i="1"/>
  <c r="A17528" i="1"/>
  <c r="A9904" i="1"/>
  <c r="A7055" i="1"/>
  <c r="A7891" i="1"/>
  <c r="A11621" i="1"/>
  <c r="A8242" i="1"/>
  <c r="A7054" i="1"/>
  <c r="A7522" i="1"/>
  <c r="A6817" i="1"/>
  <c r="A17527" i="1"/>
  <c r="A13495" i="1"/>
  <c r="A8605" i="1"/>
  <c r="A9435" i="1"/>
  <c r="A7617" i="1"/>
  <c r="A9016" i="1"/>
  <c r="A10862" i="1"/>
  <c r="A9148" i="1"/>
  <c r="A9262" i="1"/>
  <c r="A9063" i="1"/>
  <c r="A3104" i="1"/>
  <c r="A8941" i="1"/>
  <c r="A8167" i="1"/>
  <c r="A9099" i="1"/>
  <c r="A8885" i="1"/>
  <c r="A7194" i="1"/>
  <c r="A8908" i="1"/>
  <c r="A17526" i="1"/>
  <c r="A9194" i="1"/>
  <c r="A10114" i="1"/>
  <c r="A9998" i="1"/>
  <c r="A11262" i="1"/>
  <c r="A9321" i="1"/>
  <c r="A7642" i="1"/>
  <c r="A10244" i="1"/>
  <c r="A11194" i="1"/>
  <c r="A10861" i="1"/>
  <c r="A12834" i="1"/>
  <c r="A5754" i="1"/>
  <c r="A8314" i="1"/>
  <c r="A10479" i="1"/>
  <c r="A17525" i="1"/>
  <c r="A8159" i="1"/>
  <c r="A10459" i="1"/>
  <c r="A9536" i="1"/>
  <c r="A9251" i="1"/>
  <c r="A8884" i="1"/>
  <c r="A8226" i="1"/>
  <c r="A10280" i="1"/>
  <c r="A11446" i="1"/>
  <c r="A9657" i="1"/>
  <c r="A9593" i="1"/>
  <c r="A6816" i="1"/>
  <c r="A17524" i="1"/>
  <c r="A6013" i="1"/>
  <c r="A9390" i="1"/>
  <c r="A7157" i="1"/>
  <c r="A7493" i="1"/>
  <c r="A9037" i="1"/>
  <c r="A9201" i="1"/>
  <c r="A7349" i="1"/>
  <c r="A7584" i="1"/>
  <c r="A13164" i="1"/>
  <c r="A9880" i="1"/>
  <c r="A5465" i="1"/>
  <c r="A9377" i="1"/>
  <c r="A8859" i="1"/>
  <c r="A8923" i="1"/>
  <c r="A9798" i="1"/>
  <c r="A8451" i="1"/>
  <c r="A10113" i="1"/>
  <c r="A7695" i="1"/>
  <c r="A10447" i="1"/>
  <c r="A11499" i="1"/>
  <c r="A8023" i="1"/>
  <c r="A6701" i="1"/>
  <c r="A8591" i="1"/>
  <c r="A6195" i="1"/>
  <c r="A7156" i="1"/>
  <c r="A17523" i="1"/>
  <c r="A8121" i="1"/>
  <c r="A6931" i="1"/>
  <c r="A10166" i="1"/>
  <c r="A17522" i="1"/>
  <c r="A10631" i="1"/>
  <c r="A8517" i="1"/>
  <c r="A10942" i="1"/>
  <c r="A11705" i="1"/>
  <c r="A8147" i="1"/>
  <c r="A6114" i="1"/>
  <c r="A12457" i="1"/>
  <c r="A12528" i="1"/>
  <c r="A4194" i="1"/>
  <c r="A9360" i="1"/>
  <c r="A2172" i="1"/>
  <c r="A8077" i="1"/>
  <c r="A9782" i="1"/>
  <c r="A12876" i="1"/>
  <c r="A10243" i="1"/>
  <c r="A9879" i="1"/>
  <c r="A7053" i="1"/>
  <c r="A8817" i="1"/>
  <c r="A7029" i="1"/>
  <c r="A9450" i="1"/>
  <c r="A1537" i="1"/>
  <c r="A10356" i="1"/>
  <c r="A11742" i="1"/>
  <c r="A8959" i="1"/>
  <c r="A8002" i="1"/>
  <c r="A17521" i="1"/>
  <c r="A9592" i="1"/>
  <c r="A8816" i="1"/>
  <c r="A10016" i="1"/>
  <c r="A10266" i="1"/>
  <c r="A9797" i="1"/>
  <c r="A7929" i="1"/>
  <c r="A10527" i="1"/>
  <c r="A8120" i="1"/>
  <c r="A8684" i="1"/>
  <c r="A9126" i="1"/>
  <c r="A9449" i="1"/>
  <c r="A9024" i="1"/>
  <c r="A9819" i="1"/>
  <c r="A8450" i="1"/>
  <c r="A9796" i="1"/>
  <c r="A10679" i="1"/>
  <c r="A7147" i="1"/>
  <c r="A4779" i="1"/>
  <c r="A10879" i="1"/>
  <c r="A8764" i="1"/>
  <c r="A8190" i="1"/>
  <c r="A10526" i="1"/>
  <c r="A10958" i="1"/>
  <c r="A17520" i="1"/>
  <c r="A9376" i="1"/>
  <c r="A9404" i="1"/>
  <c r="A8119" i="1"/>
  <c r="A3429" i="1"/>
  <c r="A7979" i="1"/>
  <c r="A7583" i="1"/>
  <c r="A7213" i="1"/>
  <c r="A8551" i="1"/>
  <c r="A7301" i="1"/>
  <c r="A8241" i="1"/>
  <c r="A5360" i="1"/>
  <c r="A8048" i="1"/>
  <c r="A11033" i="1"/>
  <c r="A7079" i="1"/>
  <c r="A9359" i="1"/>
  <c r="A7492" i="1"/>
  <c r="A8001" i="1"/>
  <c r="A1297" i="1"/>
  <c r="A481" i="1"/>
  <c r="A13873" i="1"/>
  <c r="A8958" i="1"/>
  <c r="A8384" i="1"/>
  <c r="A9591" i="1"/>
  <c r="A10895" i="1"/>
  <c r="A480" i="1"/>
  <c r="A5464" i="1"/>
  <c r="A6070" i="1"/>
  <c r="A8271" i="1"/>
  <c r="A9250" i="1"/>
  <c r="A9157" i="1"/>
  <c r="A5770" i="1"/>
  <c r="A9641" i="1"/>
  <c r="A8997" i="1"/>
  <c r="A10228" i="1"/>
  <c r="A8076" i="1"/>
  <c r="A7609" i="1"/>
  <c r="A10709" i="1"/>
  <c r="A8740" i="1"/>
  <c r="A9656" i="1"/>
  <c r="A8982" i="1"/>
  <c r="A9997" i="1"/>
  <c r="A13008" i="1"/>
  <c r="A9818" i="1"/>
  <c r="A1296" i="1"/>
  <c r="A8763" i="1"/>
  <c r="A7777" i="1"/>
  <c r="A9577" i="1"/>
  <c r="A11464" i="1"/>
  <c r="A14093" i="1"/>
  <c r="A8478" i="1"/>
  <c r="A479" i="1"/>
  <c r="A7591" i="1"/>
  <c r="A17519" i="1"/>
  <c r="A11017" i="1"/>
  <c r="A8367" i="1"/>
  <c r="A17518" i="1"/>
  <c r="A8270" i="1"/>
  <c r="A5280" i="1"/>
  <c r="A9766" i="1"/>
  <c r="A8604" i="1"/>
  <c r="A7052" i="1"/>
  <c r="A10316" i="1"/>
  <c r="A10050" i="1"/>
  <c r="A9358" i="1"/>
  <c r="A9974" i="1"/>
  <c r="A9357" i="1"/>
  <c r="A8683" i="1"/>
  <c r="A9403" i="1"/>
  <c r="A9276" i="1"/>
  <c r="A11255" i="1"/>
  <c r="A8225" i="1"/>
  <c r="A17517" i="1"/>
  <c r="A8328" i="1"/>
  <c r="A8840" i="1"/>
  <c r="A13138" i="1"/>
  <c r="A10165" i="1"/>
  <c r="A6631" i="1"/>
  <c r="A8346" i="1"/>
  <c r="A10177" i="1"/>
  <c r="A9156" i="1"/>
  <c r="A9402" i="1"/>
  <c r="A17516" i="1"/>
  <c r="A7608" i="1"/>
  <c r="A15174" i="1"/>
  <c r="A17515" i="1"/>
  <c r="A8269" i="1"/>
  <c r="A6665" i="1"/>
  <c r="A9078" i="1"/>
  <c r="A7146" i="1"/>
  <c r="A9938" i="1"/>
  <c r="A8294" i="1"/>
  <c r="A9292" i="1"/>
  <c r="A9062" i="1"/>
  <c r="A8739" i="1"/>
  <c r="A9421" i="1"/>
  <c r="A9036" i="1"/>
  <c r="A17514" i="1"/>
  <c r="A8839" i="1"/>
  <c r="A8996" i="1"/>
  <c r="A11001" i="1"/>
  <c r="A10301" i="1"/>
  <c r="A8345" i="1"/>
  <c r="A2640" i="1"/>
  <c r="A17513" i="1"/>
  <c r="A17512" i="1"/>
  <c r="A8344" i="1"/>
  <c r="A8648" i="1"/>
  <c r="A3583" i="1"/>
  <c r="A8000" i="1"/>
  <c r="A7331" i="1"/>
  <c r="A6630" i="1"/>
  <c r="A9182" i="1"/>
  <c r="A4865" i="1"/>
  <c r="A9136" i="1"/>
  <c r="A17511" i="1"/>
  <c r="A6069" i="1"/>
  <c r="A9973" i="1"/>
  <c r="A11694" i="1"/>
  <c r="A9655" i="1"/>
  <c r="A9356" i="1"/>
  <c r="A12672" i="1"/>
  <c r="A7999" i="1"/>
  <c r="A9249" i="1"/>
  <c r="A9401" i="1"/>
  <c r="A10265" i="1"/>
  <c r="A14163" i="1"/>
  <c r="A7845" i="1"/>
  <c r="A8922" i="1"/>
  <c r="A6259" i="1"/>
  <c r="A9444" i="1"/>
  <c r="A8449" i="1"/>
  <c r="A7395" i="1"/>
  <c r="A7028" i="1"/>
  <c r="A12679" i="1"/>
  <c r="A10394" i="1"/>
  <c r="A8047" i="1"/>
  <c r="A14842" i="1"/>
  <c r="A9334" i="1"/>
  <c r="A12419" i="1"/>
  <c r="A8477" i="1"/>
  <c r="A10416" i="1"/>
  <c r="A9355" i="1"/>
  <c r="A8240" i="1"/>
  <c r="A8883" i="1"/>
  <c r="A6757" i="1"/>
  <c r="A7724" i="1"/>
  <c r="A3883" i="1"/>
  <c r="A7554" i="1"/>
  <c r="A478" i="1"/>
  <c r="A8383" i="1"/>
  <c r="A15101" i="1"/>
  <c r="A4494" i="1"/>
  <c r="A8096" i="1"/>
  <c r="A7127" i="1"/>
  <c r="A7928" i="1"/>
  <c r="A7553" i="1"/>
  <c r="A12599" i="1"/>
  <c r="A8075" i="1"/>
  <c r="A11013" i="1"/>
  <c r="A9086" i="1"/>
  <c r="A17510" i="1"/>
  <c r="A8523" i="1"/>
  <c r="A10225" i="1"/>
  <c r="A9155" i="1"/>
  <c r="A9015" i="1"/>
  <c r="A10909" i="1"/>
  <c r="A13594" i="1"/>
  <c r="A17509" i="1"/>
  <c r="A8407" i="1"/>
  <c r="A8046" i="1"/>
  <c r="A477" i="1"/>
  <c r="A8189" i="1"/>
  <c r="A10515" i="1"/>
  <c r="A10164" i="1"/>
  <c r="A10406" i="1"/>
  <c r="A17508" i="1"/>
  <c r="A8957" i="1"/>
  <c r="A10393" i="1"/>
  <c r="A9745" i="1"/>
  <c r="A9460" i="1"/>
  <c r="A10297" i="1"/>
  <c r="A8313" i="1"/>
  <c r="A8639" i="1"/>
  <c r="A7321" i="1"/>
  <c r="A12439" i="1"/>
  <c r="A9843" i="1"/>
  <c r="A17507" i="1"/>
  <c r="A7753" i="1"/>
  <c r="A10602" i="1"/>
  <c r="A6421" i="1"/>
  <c r="A17506" i="1"/>
  <c r="A9795" i="1"/>
  <c r="A9612" i="1"/>
  <c r="A11463" i="1"/>
  <c r="A7819" i="1"/>
  <c r="A9135" i="1"/>
  <c r="A17505" i="1"/>
  <c r="A9228" i="1"/>
  <c r="A10338" i="1"/>
  <c r="A8476" i="1"/>
  <c r="A12032" i="1"/>
  <c r="A17504" i="1"/>
  <c r="A10617" i="1"/>
  <c r="A8870" i="1"/>
  <c r="A9878" i="1"/>
  <c r="A10375" i="1"/>
  <c r="A10854" i="1"/>
  <c r="A6364" i="1"/>
  <c r="A9791" i="1"/>
  <c r="A5746" i="1"/>
  <c r="A8603" i="1"/>
  <c r="A8566" i="1"/>
  <c r="A8858" i="1"/>
  <c r="A8590" i="1"/>
  <c r="A8838" i="1"/>
  <c r="A9817" i="1"/>
  <c r="A7145" i="1"/>
  <c r="A10015" i="1"/>
  <c r="A8550" i="1"/>
  <c r="A8798" i="1"/>
  <c r="A17503" i="1"/>
  <c r="A10550" i="1"/>
  <c r="A7973" i="1"/>
  <c r="A9214" i="1"/>
  <c r="A9098" i="1"/>
  <c r="A8895" i="1"/>
  <c r="A17502" i="1"/>
  <c r="A17501" i="1"/>
  <c r="A2074" i="1"/>
  <c r="A13464" i="1"/>
  <c r="A6113" i="1"/>
  <c r="A8549" i="1"/>
  <c r="A9115" i="1"/>
  <c r="A8940" i="1"/>
  <c r="A9320" i="1"/>
  <c r="A17500" i="1"/>
  <c r="A7320" i="1"/>
  <c r="A8535" i="1"/>
  <c r="A8045" i="1"/>
  <c r="A8406" i="1"/>
  <c r="A17499" i="1"/>
  <c r="A13183" i="1"/>
  <c r="A9832" i="1"/>
  <c r="A11078" i="1"/>
  <c r="A9654" i="1"/>
  <c r="A8146" i="1"/>
  <c r="A6871" i="1"/>
  <c r="A9831" i="1"/>
  <c r="A8366" i="1"/>
  <c r="A10138" i="1"/>
  <c r="A17498" i="1"/>
  <c r="A9448" i="1"/>
  <c r="A8797" i="1"/>
  <c r="A17497" i="1"/>
  <c r="A7671" i="1"/>
  <c r="A11094" i="1"/>
  <c r="A5885" i="1"/>
  <c r="A10112" i="1"/>
  <c r="A8661" i="1"/>
  <c r="A8907" i="1"/>
  <c r="A10616" i="1"/>
  <c r="A4817" i="1"/>
  <c r="A7818" i="1"/>
  <c r="A7291" i="1"/>
  <c r="A9400" i="1"/>
  <c r="A17496" i="1"/>
  <c r="A8516" i="1"/>
  <c r="A6815" i="1"/>
  <c r="A8882" i="1"/>
  <c r="A17495" i="1"/>
  <c r="A9590" i="1"/>
  <c r="A6038" i="1"/>
  <c r="A10404" i="1"/>
  <c r="A17494" i="1"/>
  <c r="A8638" i="1"/>
  <c r="A10323" i="1"/>
  <c r="A6330" i="1"/>
  <c r="A11633" i="1"/>
  <c r="A9640" i="1"/>
  <c r="A11000" i="1"/>
  <c r="A6930" i="1"/>
  <c r="A6789" i="1"/>
  <c r="A8382" i="1"/>
  <c r="A8365" i="1"/>
  <c r="A10615" i="1"/>
  <c r="A6037" i="1"/>
  <c r="A9061" i="1"/>
  <c r="A7670" i="1"/>
  <c r="A9181" i="1"/>
  <c r="A9291" i="1"/>
  <c r="A10549" i="1"/>
  <c r="A10183" i="1"/>
  <c r="A17493" i="1"/>
  <c r="A8463" i="1"/>
  <c r="A9060" i="1"/>
  <c r="A7998" i="1"/>
  <c r="A7464" i="1"/>
  <c r="A2326" i="1"/>
  <c r="A7108" i="1"/>
  <c r="A7193" i="1"/>
  <c r="A17492" i="1"/>
  <c r="A9375" i="1"/>
  <c r="A476" i="1"/>
  <c r="A8682" i="1"/>
  <c r="A9035" i="1"/>
  <c r="A17491" i="1"/>
  <c r="A9842" i="1"/>
  <c r="A8343" i="1"/>
  <c r="A8429" i="1"/>
  <c r="A9893" i="1"/>
  <c r="A9319" i="1"/>
  <c r="A9154" i="1"/>
  <c r="A9531" i="1"/>
  <c r="A12575" i="1"/>
  <c r="A8852" i="1"/>
  <c r="A9213" i="1"/>
  <c r="A6112" i="1"/>
  <c r="A1463" i="1"/>
  <c r="A8390" i="1"/>
  <c r="A9354" i="1"/>
  <c r="A10080" i="1"/>
  <c r="A2249" i="1"/>
  <c r="A17490" i="1"/>
  <c r="A8293" i="1"/>
  <c r="A8239" i="1"/>
  <c r="A11385" i="1"/>
  <c r="A11105" i="1"/>
  <c r="A7927" i="1"/>
  <c r="A8987" i="1"/>
  <c r="A7908" i="1"/>
  <c r="A7192" i="1"/>
  <c r="A12863" i="1"/>
  <c r="A7782" i="1"/>
  <c r="A7448" i="1"/>
  <c r="A11121" i="1"/>
  <c r="A11081" i="1"/>
  <c r="A6694" i="1"/>
  <c r="A6658" i="1"/>
  <c r="A5650" i="1"/>
  <c r="A4282" i="1"/>
  <c r="A475" i="1"/>
  <c r="A7723" i="1"/>
  <c r="A9180" i="1"/>
  <c r="A8701" i="1"/>
  <c r="A9114" i="1"/>
  <c r="A4615" i="1"/>
  <c r="A9290" i="1"/>
  <c r="A8475" i="1"/>
  <c r="A12640" i="1"/>
  <c r="A9134" i="1"/>
  <c r="A10548" i="1"/>
  <c r="A17489" i="1"/>
  <c r="A12116" i="1"/>
  <c r="A17488" i="1"/>
  <c r="A8906" i="1"/>
  <c r="A6849" i="1"/>
  <c r="A9034" i="1"/>
  <c r="A9967" i="1"/>
  <c r="A8515" i="1"/>
  <c r="A8342" i="1"/>
  <c r="A17487" i="1"/>
  <c r="A6814" i="1"/>
  <c r="A6788" i="1"/>
  <c r="A17486" i="1"/>
  <c r="A13089" i="1"/>
  <c r="A9653" i="1"/>
  <c r="A5182" i="1"/>
  <c r="A6230" i="1"/>
  <c r="A9420" i="1"/>
  <c r="A11869" i="1"/>
  <c r="A7319" i="1"/>
  <c r="A8589" i="1"/>
  <c r="A9500" i="1"/>
  <c r="A16219" i="1"/>
  <c r="A17485" i="1"/>
  <c r="A10036" i="1"/>
  <c r="A7704" i="1"/>
  <c r="A9903" i="1"/>
  <c r="A17484" i="1"/>
  <c r="A11146" i="1"/>
  <c r="A7103" i="1"/>
  <c r="A8939" i="1"/>
  <c r="A8044" i="1"/>
  <c r="A14952" i="1"/>
  <c r="A9113" i="1"/>
  <c r="A8224" i="1"/>
  <c r="A8637" i="1"/>
  <c r="A8514" i="1"/>
  <c r="A9374" i="1"/>
  <c r="A14076" i="1"/>
  <c r="A8312" i="1"/>
  <c r="A8074" i="1"/>
  <c r="A7752" i="1"/>
  <c r="A6194" i="1"/>
  <c r="A9261" i="1"/>
  <c r="A4323" i="1"/>
  <c r="A9877" i="1"/>
  <c r="A10525" i="1"/>
  <c r="A17483" i="1"/>
  <c r="A17482" i="1"/>
  <c r="A17481" i="1"/>
  <c r="A6657" i="1"/>
  <c r="A10660" i="1"/>
  <c r="A6200" i="1"/>
  <c r="A8381" i="1"/>
  <c r="A8700" i="1"/>
  <c r="A17480" i="1"/>
  <c r="A2704" i="1"/>
  <c r="A11305" i="1"/>
  <c r="A6638" i="1"/>
  <c r="A2495" i="1"/>
  <c r="A8981" i="1"/>
  <c r="A5855" i="1"/>
  <c r="A17479" i="1"/>
  <c r="A8341" i="1"/>
  <c r="A7972" i="1"/>
  <c r="A17478" i="1"/>
  <c r="A5647" i="1"/>
  <c r="A7936" i="1"/>
  <c r="A17477" i="1"/>
  <c r="A9816" i="1"/>
  <c r="A6929" i="1"/>
  <c r="A8364" i="1"/>
  <c r="A11445" i="1"/>
  <c r="A7263" i="1"/>
  <c r="A6629" i="1"/>
  <c r="A9917" i="1"/>
  <c r="A8311" i="1"/>
  <c r="A9289" i="1"/>
  <c r="A17476" i="1"/>
  <c r="A8588" i="1"/>
  <c r="A9033" i="1"/>
  <c r="A7027" i="1"/>
  <c r="A7290" i="1"/>
  <c r="A9248" i="1"/>
  <c r="A8722" i="1"/>
  <c r="A8223" i="1"/>
  <c r="A17475" i="1"/>
  <c r="A8980" i="1"/>
  <c r="A10079" i="1"/>
  <c r="A6899" i="1"/>
  <c r="A17474" i="1"/>
  <c r="A13711" i="1"/>
  <c r="A8238" i="1"/>
  <c r="A17473" i="1"/>
  <c r="A6898" i="1"/>
  <c r="A14787" i="1"/>
  <c r="A3038" i="1"/>
  <c r="A8009" i="1"/>
  <c r="A13669" i="1"/>
  <c r="A17472" i="1"/>
  <c r="A10614" i="1"/>
  <c r="A10227" i="1"/>
  <c r="A6870" i="1"/>
  <c r="A9179" i="1"/>
  <c r="A9349" i="1"/>
  <c r="A8782" i="1"/>
  <c r="A9856" i="1"/>
  <c r="A7907" i="1"/>
  <c r="A10601" i="1"/>
  <c r="A8488" i="1"/>
  <c r="A8587" i="1"/>
  <c r="A8448" i="1"/>
  <c r="A17471" i="1"/>
  <c r="A4074" i="1"/>
  <c r="A7394" i="1"/>
  <c r="A11904" i="1"/>
  <c r="A474" i="1"/>
  <c r="A8292" i="1"/>
  <c r="A5974" i="1"/>
  <c r="A7126" i="1"/>
  <c r="A8548" i="1"/>
  <c r="A17470" i="1"/>
  <c r="A8158" i="1"/>
  <c r="A9373" i="1"/>
  <c r="A6111" i="1"/>
  <c r="A11032" i="1"/>
  <c r="A7491" i="1"/>
  <c r="A8157" i="1"/>
  <c r="A8660" i="1"/>
  <c r="A8781" i="1"/>
  <c r="A9288" i="1"/>
  <c r="A8751" i="1"/>
  <c r="A12517" i="1"/>
  <c r="A1722" i="1"/>
  <c r="A8405" i="1"/>
  <c r="A9937" i="1"/>
  <c r="A5682" i="1"/>
  <c r="A14942" i="1"/>
  <c r="A6928" i="1"/>
  <c r="A7419" i="1"/>
  <c r="A473" i="1"/>
  <c r="A8141" i="1"/>
  <c r="A10999" i="1"/>
  <c r="A5646" i="1"/>
  <c r="A9227" i="1"/>
  <c r="A11868" i="1"/>
  <c r="A7418" i="1"/>
  <c r="A17469" i="1"/>
  <c r="A6869" i="1"/>
  <c r="A8629" i="1"/>
  <c r="A8204" i="1"/>
  <c r="A10182" i="1"/>
  <c r="A8631" i="1"/>
  <c r="A6787" i="1"/>
  <c r="A7801" i="1"/>
  <c r="A7262" i="1"/>
  <c r="A6391" i="1"/>
  <c r="A10777" i="1"/>
  <c r="A6472" i="1"/>
  <c r="A6868" i="1"/>
  <c r="A17468" i="1"/>
  <c r="A472" i="1"/>
  <c r="A7817" i="1"/>
  <c r="A9499" i="1"/>
  <c r="A7417" i="1"/>
  <c r="A9085" i="1"/>
  <c r="A8815" i="1"/>
  <c r="A9419" i="1"/>
  <c r="A9367" i="1"/>
  <c r="A8956" i="1"/>
  <c r="A8416" i="1"/>
  <c r="A7348" i="1"/>
  <c r="A7607" i="1"/>
  <c r="A11238" i="1"/>
  <c r="A6598" i="1"/>
  <c r="A8837" i="1"/>
  <c r="A17467" i="1"/>
  <c r="A8222" i="1"/>
  <c r="A6515" i="1"/>
  <c r="A8474" i="1"/>
  <c r="A7582" i="1"/>
  <c r="A10678" i="1"/>
  <c r="A8636" i="1"/>
  <c r="A7641" i="1"/>
  <c r="A8221" i="1"/>
  <c r="A9275" i="1"/>
  <c r="A7026" i="1"/>
  <c r="A8473" i="1"/>
  <c r="A11916" i="1"/>
  <c r="A2978" i="1"/>
  <c r="A7581" i="1"/>
  <c r="A7694" i="1"/>
  <c r="A8628" i="1"/>
  <c r="A7971" i="1"/>
  <c r="A8472" i="1"/>
  <c r="A7751" i="1"/>
  <c r="A8084" i="1"/>
  <c r="A7816" i="1"/>
  <c r="A10137" i="1"/>
  <c r="A8220" i="1"/>
  <c r="A7926" i="1"/>
  <c r="A9916" i="1"/>
  <c r="A7844" i="1"/>
  <c r="A5359" i="1"/>
  <c r="A10677" i="1"/>
  <c r="A6193" i="1"/>
  <c r="A9399" i="1"/>
  <c r="A9274" i="1"/>
  <c r="A7890" i="1"/>
  <c r="A9398" i="1"/>
  <c r="A8363" i="1"/>
  <c r="A17466" i="1"/>
  <c r="A7025" i="1"/>
  <c r="A10524" i="1"/>
  <c r="A10647" i="1"/>
  <c r="A8447" i="1"/>
  <c r="A3541" i="1"/>
  <c r="A8188" i="1"/>
  <c r="A8752" i="1"/>
  <c r="A14301" i="1"/>
  <c r="A9915" i="1"/>
  <c r="A10659" i="1"/>
  <c r="A8351" i="1"/>
  <c r="A8836" i="1"/>
  <c r="A7997" i="1"/>
  <c r="A7676" i="1"/>
  <c r="A9353" i="1"/>
  <c r="A9084" i="1"/>
  <c r="A8340" i="1"/>
  <c r="A8586" i="1"/>
  <c r="A7212" i="1"/>
  <c r="A4409" i="1"/>
  <c r="A8022" i="1"/>
  <c r="A8140" i="1"/>
  <c r="A7870" i="1"/>
  <c r="A6756" i="1"/>
  <c r="A17465" i="1"/>
  <c r="A17464" i="1"/>
  <c r="A8534" i="1"/>
  <c r="A7144" i="1"/>
  <c r="A8327" i="1"/>
  <c r="A7914" i="1"/>
  <c r="A7447" i="1"/>
  <c r="A6897" i="1"/>
  <c r="A9397" i="1"/>
  <c r="A7869" i="1"/>
  <c r="A7191" i="1"/>
  <c r="A9352" i="1"/>
  <c r="A17463" i="1"/>
  <c r="A10578" i="1"/>
  <c r="A9226" i="1"/>
  <c r="A8828" i="1"/>
  <c r="A11704" i="1"/>
  <c r="A7970" i="1"/>
  <c r="A7393" i="1"/>
  <c r="A9200" i="1"/>
  <c r="A6693" i="1"/>
  <c r="A12833" i="1"/>
  <c r="A6965" i="1"/>
  <c r="A8721" i="1"/>
  <c r="A9781" i="1"/>
  <c r="A15575" i="1"/>
  <c r="A6386" i="1"/>
  <c r="A4895" i="1"/>
  <c r="A7490" i="1"/>
  <c r="A17462" i="1"/>
  <c r="A6692" i="1"/>
  <c r="A10697" i="1"/>
  <c r="A11093" i="1"/>
  <c r="A9535" i="1"/>
  <c r="A17461" i="1"/>
  <c r="A11209" i="1"/>
  <c r="A9576" i="1"/>
  <c r="A5951" i="1"/>
  <c r="A12907" i="1"/>
  <c r="A3428" i="1"/>
  <c r="A7318" i="1"/>
  <c r="A471" i="1"/>
  <c r="A8073" i="1"/>
  <c r="A8762" i="1"/>
  <c r="A8560" i="1"/>
  <c r="A17460" i="1"/>
  <c r="A9534" i="1"/>
  <c r="A9396" i="1"/>
  <c r="A8995" i="1"/>
  <c r="A9936" i="1"/>
  <c r="A10941" i="1"/>
  <c r="A8994" i="1"/>
  <c r="A8118" i="1"/>
  <c r="A8827" i="1"/>
  <c r="A6813" i="1"/>
  <c r="A8897" i="1"/>
  <c r="A9083" i="1"/>
  <c r="A17459" i="1"/>
  <c r="A13582" i="1"/>
  <c r="A6691" i="1"/>
  <c r="A9794" i="1"/>
  <c r="A8761" i="1"/>
  <c r="A7125" i="1"/>
  <c r="A9112" i="1"/>
  <c r="A8814" i="1"/>
  <c r="A8585" i="1"/>
  <c r="A6356" i="1"/>
  <c r="A6755" i="1"/>
  <c r="A8993" i="1"/>
  <c r="A9032" i="1"/>
  <c r="A9225" i="1"/>
  <c r="A6192" i="1"/>
  <c r="A9050" i="1"/>
  <c r="A12943" i="1"/>
  <c r="A7580" i="1"/>
  <c r="A8237" i="1"/>
  <c r="A6514" i="1"/>
  <c r="A7669" i="1"/>
  <c r="A8095" i="1"/>
  <c r="A15731" i="1"/>
  <c r="A9224" i="1"/>
  <c r="A7776" i="1"/>
  <c r="A10744" i="1"/>
  <c r="A6847" i="1"/>
  <c r="A8404" i="1"/>
  <c r="A17458" i="1"/>
  <c r="A11066" i="1"/>
  <c r="A17457" i="1"/>
  <c r="A9247" i="1"/>
  <c r="A9914" i="1"/>
  <c r="A10776" i="1"/>
  <c r="A1619" i="1"/>
  <c r="A6812" i="1"/>
  <c r="A7051" i="1"/>
  <c r="A9469" i="1"/>
  <c r="A10514" i="1"/>
  <c r="A8291" i="1"/>
  <c r="A6723" i="1"/>
  <c r="A8499" i="1"/>
  <c r="A8498" i="1"/>
  <c r="A8310" i="1"/>
  <c r="A8979" i="1"/>
  <c r="A9153" i="1"/>
  <c r="A17456" i="1"/>
  <c r="A10136" i="1"/>
  <c r="A10593" i="1"/>
  <c r="A7996" i="1"/>
  <c r="A8868" i="1"/>
  <c r="A9633" i="1"/>
  <c r="A7317" i="1"/>
  <c r="A7347" i="1"/>
  <c r="A7875" i="1"/>
  <c r="A7453" i="1"/>
  <c r="A11333" i="1"/>
  <c r="A6896" i="1"/>
  <c r="A10847" i="1"/>
  <c r="A9732" i="1"/>
  <c r="A9318" i="1"/>
  <c r="A5279" i="1"/>
  <c r="A8881" i="1"/>
  <c r="A7316" i="1"/>
  <c r="A9554" i="1"/>
  <c r="A10322" i="1"/>
  <c r="A9246" i="1"/>
  <c r="A8565" i="1"/>
  <c r="A9639" i="1"/>
  <c r="A8128" i="1"/>
  <c r="A8931" i="1"/>
  <c r="A8720" i="1"/>
  <c r="A10078" i="1"/>
  <c r="A9031" i="1"/>
  <c r="A17455" i="1"/>
  <c r="A9892" i="1"/>
  <c r="A5950" i="1"/>
  <c r="A6690" i="1"/>
  <c r="A9178" i="1"/>
  <c r="A11821" i="1"/>
  <c r="A8117" i="1"/>
  <c r="A9317" i="1"/>
  <c r="A13209" i="1"/>
  <c r="A7289" i="1"/>
  <c r="A6491" i="1"/>
  <c r="A7693" i="1"/>
  <c r="A5101" i="1"/>
  <c r="A6895" i="1"/>
  <c r="A8681" i="1"/>
  <c r="A8584" i="1"/>
  <c r="A8835" i="1"/>
  <c r="A8635" i="1"/>
  <c r="A6597" i="1"/>
  <c r="A5610" i="1"/>
  <c r="A7843" i="1"/>
  <c r="A17454" i="1"/>
  <c r="A5501" i="1"/>
  <c r="A17453" i="1"/>
  <c r="A8899" i="1"/>
  <c r="A9351" i="1"/>
  <c r="A7995" i="1"/>
  <c r="A17452" i="1"/>
  <c r="A8583" i="1"/>
  <c r="A8219" i="1"/>
  <c r="A8731" i="1"/>
  <c r="A10204" i="1"/>
  <c r="A8072" i="1"/>
  <c r="A5545" i="1"/>
  <c r="A11065" i="1"/>
  <c r="A6447" i="1"/>
  <c r="A6355" i="1"/>
  <c r="A470" i="1"/>
  <c r="A8362" i="1"/>
  <c r="A7750" i="1"/>
  <c r="A10600" i="1"/>
  <c r="A8748" i="1"/>
  <c r="A7722" i="1"/>
  <c r="A9571" i="1"/>
  <c r="A9026" i="1"/>
  <c r="A7675" i="1"/>
  <c r="A4378" i="1"/>
  <c r="A8116" i="1"/>
  <c r="A6867" i="1"/>
  <c r="A10203" i="1"/>
  <c r="A13195" i="1"/>
  <c r="A10355" i="1"/>
  <c r="A9133" i="1"/>
  <c r="A8403" i="1"/>
  <c r="A6191" i="1"/>
  <c r="A9023" i="1"/>
  <c r="A7190" i="1"/>
  <c r="A5358" i="1"/>
  <c r="A5368" i="1"/>
  <c r="A8236" i="1"/>
  <c r="A1381" i="1"/>
  <c r="A6997" i="1"/>
  <c r="A8290" i="1"/>
  <c r="A10676" i="1"/>
  <c r="A11799" i="1"/>
  <c r="A8989" i="1"/>
  <c r="A5769" i="1"/>
  <c r="A7868" i="1"/>
  <c r="A7463" i="1"/>
  <c r="A8659" i="1"/>
  <c r="A7024" i="1"/>
  <c r="A12015" i="1"/>
  <c r="A7800" i="1"/>
  <c r="A8071" i="1"/>
  <c r="A9245" i="1"/>
  <c r="A7692" i="1"/>
  <c r="A8156" i="1"/>
  <c r="A8428" i="1"/>
  <c r="A7102" i="1"/>
  <c r="A6288" i="1"/>
  <c r="A8938" i="1"/>
  <c r="A7050" i="1"/>
  <c r="A7446" i="1"/>
  <c r="A6068" i="1"/>
  <c r="A8533" i="1"/>
  <c r="A8627" i="1"/>
  <c r="A7994" i="1"/>
  <c r="A6557" i="1"/>
  <c r="A9780" i="1"/>
  <c r="A12031" i="1"/>
  <c r="A7993" i="1"/>
  <c r="A13872" i="1"/>
  <c r="A7969" i="1"/>
  <c r="A8564" i="1"/>
  <c r="A9111" i="1"/>
  <c r="A8719" i="1"/>
  <c r="A6894" i="1"/>
  <c r="A7416" i="1"/>
  <c r="A8268" i="1"/>
  <c r="A8043" i="1"/>
  <c r="A6556" i="1"/>
  <c r="A5317" i="1"/>
  <c r="A10560" i="1"/>
  <c r="A9611" i="1"/>
  <c r="A8402" i="1"/>
  <c r="A10803" i="1"/>
  <c r="A6722" i="1"/>
  <c r="A6238" i="1"/>
  <c r="A7315" i="1"/>
  <c r="A7261" i="1"/>
  <c r="A8187" i="1"/>
  <c r="A6840" i="1"/>
  <c r="A6324" i="1"/>
  <c r="A8446" i="1"/>
  <c r="A8139" i="1"/>
  <c r="A8582" i="1"/>
  <c r="A9372" i="1"/>
  <c r="A4683" i="1"/>
  <c r="A17451" i="1"/>
  <c r="A1083" i="1"/>
  <c r="A17450" i="1"/>
  <c r="A17449" i="1"/>
  <c r="A5544" i="1"/>
  <c r="A13415" i="1"/>
  <c r="A6287" i="1"/>
  <c r="A8581" i="1"/>
  <c r="A7721" i="1"/>
  <c r="A7815" i="1"/>
  <c r="A10094" i="1"/>
  <c r="A7640" i="1"/>
  <c r="A11315" i="1"/>
  <c r="A17448" i="1"/>
  <c r="A17447" i="1"/>
  <c r="A4073" i="1"/>
  <c r="A7370" i="1"/>
  <c r="A5681" i="1"/>
  <c r="A4578" i="1"/>
  <c r="A17446" i="1"/>
  <c r="A6229" i="1"/>
  <c r="A7521" i="1"/>
  <c r="A7169" i="1"/>
  <c r="A8100" i="1"/>
  <c r="A7124" i="1"/>
  <c r="A6754" i="1"/>
  <c r="A8138" i="1"/>
  <c r="A5954" i="1"/>
  <c r="A8186" i="1"/>
  <c r="A7867" i="1"/>
  <c r="A469" i="1"/>
  <c r="A9913" i="1"/>
  <c r="A6012" i="1"/>
  <c r="A8445" i="1"/>
  <c r="A6964" i="1"/>
  <c r="A8185" i="1"/>
  <c r="A7520" i="1"/>
  <c r="A7889" i="1"/>
  <c r="A8811" i="1"/>
  <c r="A10497" i="1"/>
  <c r="A6963" i="1"/>
  <c r="A7949" i="1"/>
  <c r="A8513" i="1"/>
  <c r="A17445" i="1"/>
  <c r="A11968" i="1"/>
  <c r="A9610" i="1"/>
  <c r="A6596" i="1"/>
  <c r="A8427" i="1"/>
  <c r="A7720" i="1"/>
  <c r="A8115" i="1"/>
  <c r="A17444" i="1"/>
  <c r="A15717" i="1"/>
  <c r="A7123" i="1"/>
  <c r="A9841" i="1"/>
  <c r="A8155" i="1"/>
  <c r="A10658" i="1"/>
  <c r="A11145" i="1"/>
  <c r="A8796" i="1"/>
  <c r="A7489" i="1"/>
  <c r="A8602" i="1"/>
  <c r="A10321" i="1"/>
  <c r="A9223" i="1"/>
  <c r="A8426" i="1"/>
  <c r="A5463" i="1"/>
  <c r="A10354" i="1"/>
  <c r="A4751" i="1"/>
  <c r="A17443" i="1"/>
  <c r="A6721" i="1"/>
  <c r="A9059" i="1"/>
  <c r="A17442" i="1"/>
  <c r="A7392" i="1"/>
  <c r="A7842" i="1"/>
  <c r="A2248" i="1"/>
  <c r="A7238" i="1"/>
  <c r="A7445" i="1"/>
  <c r="A7260" i="1"/>
  <c r="A5316" i="1"/>
  <c r="A7189" i="1"/>
  <c r="A9638" i="1"/>
  <c r="A5100" i="1"/>
  <c r="A17441" i="1"/>
  <c r="A7691" i="1"/>
  <c r="A8634" i="1"/>
  <c r="A7369" i="1"/>
  <c r="A8834" i="1"/>
  <c r="A6939" i="1"/>
  <c r="A4960" i="1"/>
  <c r="A11016" i="1"/>
  <c r="A6474" i="1"/>
  <c r="A8401" i="1"/>
  <c r="A7799" i="1"/>
  <c r="A17440" i="1"/>
  <c r="A8937" i="1"/>
  <c r="A11384" i="1"/>
  <c r="A468" i="1"/>
  <c r="A7775" i="1"/>
  <c r="A8773" i="1"/>
  <c r="A15572" i="1"/>
  <c r="A12127" i="1"/>
  <c r="A8795" i="1"/>
  <c r="A7639" i="1"/>
  <c r="A8794" i="1"/>
  <c r="A8070" i="1"/>
  <c r="A12610" i="1"/>
  <c r="A17439" i="1"/>
  <c r="A7719" i="1"/>
  <c r="A8738" i="1"/>
  <c r="A4614" i="1"/>
  <c r="A4148" i="1"/>
  <c r="A17438" i="1"/>
  <c r="A5609" i="1"/>
  <c r="A7552" i="1"/>
  <c r="A8760" i="1"/>
  <c r="A12488" i="1"/>
  <c r="A5278" i="1"/>
  <c r="A10496" i="1"/>
  <c r="A8235" i="1"/>
  <c r="A467" i="1"/>
  <c r="A6446" i="1"/>
  <c r="A7425" i="1"/>
  <c r="A8833" i="1"/>
  <c r="A8793" i="1"/>
  <c r="A17437" i="1"/>
  <c r="A10163" i="1"/>
  <c r="A8759" i="1"/>
  <c r="A8083" i="1"/>
  <c r="A8036" i="1"/>
  <c r="A7619" i="1"/>
  <c r="A8507" i="1"/>
  <c r="A9779" i="1"/>
  <c r="A9287" i="1"/>
  <c r="A17436" i="1"/>
  <c r="A15641" i="1"/>
  <c r="A8326" i="1"/>
  <c r="A11304" i="1"/>
  <c r="A15998" i="1"/>
  <c r="A16516" i="1"/>
  <c r="A8992" i="1"/>
  <c r="A8699" i="1"/>
  <c r="A10093" i="1"/>
  <c r="A12266" i="1"/>
  <c r="A6811" i="1"/>
  <c r="A7668" i="1"/>
  <c r="A8626" i="1"/>
  <c r="A17435" i="1"/>
  <c r="A6689" i="1"/>
  <c r="A8184" i="1"/>
  <c r="A8350" i="1"/>
  <c r="A17434" i="1"/>
  <c r="A17433" i="1"/>
  <c r="A7078" i="1"/>
  <c r="A7007" i="1"/>
  <c r="A7961" i="1"/>
  <c r="A11510" i="1"/>
  <c r="A8339" i="1"/>
  <c r="A7606" i="1"/>
  <c r="A8601" i="1"/>
  <c r="A7749" i="1"/>
  <c r="A10374" i="1"/>
  <c r="A8114" i="1"/>
  <c r="A9855" i="1"/>
  <c r="A7259" i="1"/>
  <c r="A9935" i="1"/>
  <c r="A4377" i="1"/>
  <c r="A7519" i="1"/>
  <c r="A8936" i="1"/>
  <c r="A8218" i="1"/>
  <c r="A7841" i="1"/>
  <c r="A6720" i="1"/>
  <c r="A9110" i="1"/>
  <c r="A8444" i="1"/>
  <c r="A7798" i="1"/>
  <c r="A5217" i="1"/>
  <c r="A2568" i="1"/>
  <c r="A8658" i="1"/>
  <c r="A9333" i="1"/>
  <c r="A12984" i="1"/>
  <c r="A9498" i="1"/>
  <c r="A6628" i="1"/>
  <c r="A6866" i="1"/>
  <c r="A6839" i="1"/>
  <c r="A8377" i="1"/>
  <c r="A8148" i="1"/>
  <c r="A8905" i="1"/>
  <c r="A4750" i="1"/>
  <c r="A5973" i="1"/>
  <c r="A7797" i="1"/>
  <c r="A14028" i="1"/>
  <c r="A5804" i="1"/>
  <c r="A7551" i="1"/>
  <c r="A7667" i="1"/>
  <c r="A8443" i="1"/>
  <c r="A7462" i="1"/>
  <c r="A8547" i="1"/>
  <c r="A7840" i="1"/>
  <c r="A7718" i="1"/>
  <c r="A8338" i="1"/>
  <c r="A8758" i="1"/>
  <c r="A6927" i="1"/>
  <c r="A7638" i="1"/>
  <c r="A8718" i="1"/>
  <c r="A10577" i="1"/>
  <c r="A9712" i="1"/>
  <c r="A10561" i="1"/>
  <c r="A7444" i="1"/>
  <c r="A9414" i="1"/>
  <c r="A6962" i="1"/>
  <c r="A5680" i="1"/>
  <c r="A7101" i="1"/>
  <c r="A17432" i="1"/>
  <c r="A7605" i="1"/>
  <c r="A17431" i="1"/>
  <c r="A8904" i="1"/>
  <c r="A8978" i="1"/>
  <c r="A12293" i="1"/>
  <c r="A8880" i="1"/>
  <c r="A8325" i="1"/>
  <c r="A7637" i="1"/>
  <c r="A15702" i="1"/>
  <c r="A8361" i="1"/>
  <c r="A7461" i="1"/>
  <c r="A8376" i="1"/>
  <c r="A4816" i="1"/>
  <c r="A8506" i="1"/>
  <c r="A7502" i="1"/>
  <c r="A4322" i="1"/>
  <c r="A6416" i="1"/>
  <c r="A1813" i="1"/>
  <c r="A6286" i="1"/>
  <c r="A6513" i="1"/>
  <c r="A6688" i="1"/>
  <c r="A777" i="1"/>
  <c r="A8625" i="1"/>
  <c r="A10300" i="1"/>
  <c r="A8137" i="1"/>
  <c r="A17430" i="1"/>
  <c r="A7796" i="1"/>
  <c r="A9058" i="1"/>
  <c r="A17429" i="1"/>
  <c r="A7690" i="1"/>
  <c r="A5500" i="1"/>
  <c r="A7636" i="1"/>
  <c r="A8069" i="1"/>
  <c r="A7748" i="1"/>
  <c r="A6415" i="1"/>
  <c r="A8580" i="1"/>
  <c r="A7717" i="1"/>
  <c r="A17428" i="1"/>
  <c r="A6067" i="1"/>
  <c r="A5331" i="1"/>
  <c r="A17427" i="1"/>
  <c r="A8657" i="1"/>
  <c r="A7211" i="1"/>
  <c r="A6687" i="1"/>
  <c r="A6719" i="1"/>
  <c r="A12519" i="1"/>
  <c r="A12735" i="1"/>
  <c r="A7346" i="1"/>
  <c r="A7460" i="1"/>
  <c r="A4457" i="1"/>
  <c r="A6471" i="1"/>
  <c r="A9533" i="1"/>
  <c r="A7674" i="1"/>
  <c r="A7888" i="1"/>
  <c r="A7925" i="1"/>
  <c r="A6285" i="1"/>
  <c r="A8360" i="1"/>
  <c r="A6323" i="1"/>
  <c r="A466" i="1"/>
  <c r="A9468" i="1"/>
  <c r="A6011" i="1"/>
  <c r="A10458" i="1"/>
  <c r="A7314" i="1"/>
  <c r="A7368" i="1"/>
  <c r="A10242" i="1"/>
  <c r="A8497" i="1"/>
  <c r="A9199" i="1"/>
  <c r="A7313" i="1"/>
  <c r="A8217" i="1"/>
  <c r="A11235" i="1"/>
  <c r="A6228" i="1"/>
  <c r="A6996" i="1"/>
  <c r="A4281" i="1"/>
  <c r="A1370" i="1"/>
  <c r="A7077" i="1"/>
  <c r="A17426" i="1"/>
  <c r="A7312" i="1"/>
  <c r="A465" i="1"/>
  <c r="A7774" i="1"/>
  <c r="A8400" i="1"/>
  <c r="A2827" i="1"/>
  <c r="A7367" i="1"/>
  <c r="A6718" i="1"/>
  <c r="A7143" i="1"/>
  <c r="A8337" i="1"/>
  <c r="A6258" i="1"/>
  <c r="A2826" i="1"/>
  <c r="A11293" i="1"/>
  <c r="A17425" i="1"/>
  <c r="A13668" i="1"/>
  <c r="A8166" i="1"/>
  <c r="A9316" i="1"/>
  <c r="A9171" i="1"/>
  <c r="A6656" i="1"/>
  <c r="A6786" i="1"/>
  <c r="A4933" i="1"/>
  <c r="A7550" i="1"/>
  <c r="A7666" i="1"/>
  <c r="A15429" i="1"/>
  <c r="A6838" i="1"/>
  <c r="A6995" i="1"/>
  <c r="A11215" i="1"/>
  <c r="A6753" i="1"/>
  <c r="A4894" i="1"/>
  <c r="A8183" i="1"/>
  <c r="A8780" i="1"/>
  <c r="A9395" i="1"/>
  <c r="A11237" i="1"/>
  <c r="A5608" i="1"/>
  <c r="A5972" i="1"/>
  <c r="A8094" i="1"/>
  <c r="A12479" i="1"/>
  <c r="A9518" i="1"/>
  <c r="A7188" i="1"/>
  <c r="A7635" i="1"/>
  <c r="A17424" i="1"/>
  <c r="A8921" i="1"/>
  <c r="A7565" i="1"/>
  <c r="A8399" i="1"/>
  <c r="A9790" i="1"/>
  <c r="A14483" i="1"/>
  <c r="A7488" i="1"/>
  <c r="A6655" i="1"/>
  <c r="A7378" i="1"/>
  <c r="A11160" i="1"/>
  <c r="A17423" i="1"/>
  <c r="A7689" i="1"/>
  <c r="A3103" i="1"/>
  <c r="A7747" i="1"/>
  <c r="A7518" i="1"/>
  <c r="A17422" i="1"/>
  <c r="A7948" i="1"/>
  <c r="A9765" i="1"/>
  <c r="A8693" i="1"/>
  <c r="A7839" i="1"/>
  <c r="A8324" i="1"/>
  <c r="A6010" i="1"/>
  <c r="A13780" i="1"/>
  <c r="A9132" i="1"/>
  <c r="A7947" i="1"/>
  <c r="A17421" i="1"/>
  <c r="A7634" i="1"/>
  <c r="A5917" i="1"/>
  <c r="A9082" i="1"/>
  <c r="A7746" i="1"/>
  <c r="A8512" i="1"/>
  <c r="A7415" i="1"/>
  <c r="A7838" i="1"/>
  <c r="A6810" i="1"/>
  <c r="A1462" i="1"/>
  <c r="A6785" i="1"/>
  <c r="A11478" i="1"/>
  <c r="A11172" i="1"/>
  <c r="A8336" i="1"/>
  <c r="A7716" i="1"/>
  <c r="A7049" i="1"/>
  <c r="A8309" i="1"/>
  <c r="A3725" i="1"/>
  <c r="A11416" i="1"/>
  <c r="A7258" i="1"/>
  <c r="A14941" i="1"/>
  <c r="A14082" i="1"/>
  <c r="A17420" i="1"/>
  <c r="A7487" i="1"/>
  <c r="A6257" i="1"/>
  <c r="A7968" i="1"/>
  <c r="A7459" i="1"/>
  <c r="A8600" i="1"/>
  <c r="A17419" i="1"/>
  <c r="A10523" i="1"/>
  <c r="A17418" i="1"/>
  <c r="A9891" i="1"/>
  <c r="A8879" i="1"/>
  <c r="A8425" i="1"/>
  <c r="A12667" i="1"/>
  <c r="A10432" i="1"/>
  <c r="A6110" i="1"/>
  <c r="A7579" i="1"/>
  <c r="A8669" i="1"/>
  <c r="A13504" i="1"/>
  <c r="A9776" i="1"/>
  <c r="A9793" i="1"/>
  <c r="A8216" i="1"/>
  <c r="A7946" i="1"/>
  <c r="A8068" i="1"/>
  <c r="A9711" i="1"/>
  <c r="A4959" i="1"/>
  <c r="A8136" i="1"/>
  <c r="A12280" i="1"/>
  <c r="A7486" i="1"/>
  <c r="A5834" i="1"/>
  <c r="A7992" i="1"/>
  <c r="A9260" i="1"/>
  <c r="A9972" i="1"/>
  <c r="A11119" i="1"/>
  <c r="A7887" i="1"/>
  <c r="A7271" i="1"/>
  <c r="A8254" i="1"/>
  <c r="A6837" i="1"/>
  <c r="A6190" i="1"/>
  <c r="A8182" i="1"/>
  <c r="A10476" i="1"/>
  <c r="A6150" i="1"/>
  <c r="A7991" i="1"/>
  <c r="A7187" i="1"/>
  <c r="A5768" i="1"/>
  <c r="A13779" i="1"/>
  <c r="A5884" i="1"/>
  <c r="A8181" i="1"/>
  <c r="A2325" i="1"/>
  <c r="A6354" i="1"/>
  <c r="A8253" i="1"/>
  <c r="A3882" i="1"/>
  <c r="A7924" i="1"/>
  <c r="A8656" i="1"/>
  <c r="A17417" i="1"/>
  <c r="A7795" i="1"/>
  <c r="A8920" i="1"/>
  <c r="A9212" i="1"/>
  <c r="A8180" i="1"/>
  <c r="A9934" i="1"/>
  <c r="A8398" i="1"/>
  <c r="A7299" i="1"/>
  <c r="A7186" i="1"/>
  <c r="A8201" i="1"/>
  <c r="A8471" i="1"/>
  <c r="A8655" i="1"/>
  <c r="A5181" i="1"/>
  <c r="A6470" i="1"/>
  <c r="A6961" i="1"/>
  <c r="A15924" i="1"/>
  <c r="A8042" i="1"/>
  <c r="A11706" i="1"/>
  <c r="A7237" i="1"/>
  <c r="A17416" i="1"/>
  <c r="A5711" i="1"/>
  <c r="A8442" i="1"/>
  <c r="A6189" i="1"/>
  <c r="A7564" i="1"/>
  <c r="A8813" i="1"/>
  <c r="A9418" i="1"/>
  <c r="A7688" i="1"/>
  <c r="A7633" i="1"/>
  <c r="A8757" i="1"/>
  <c r="A6490" i="1"/>
  <c r="A7592" i="1"/>
  <c r="A3938" i="1"/>
  <c r="A6512" i="1"/>
  <c r="A8424" i="1"/>
  <c r="A10940" i="1"/>
  <c r="A9637" i="1"/>
  <c r="A6322" i="1"/>
  <c r="A7311" i="1"/>
  <c r="A9731" i="1"/>
  <c r="A8021" i="1"/>
  <c r="A7185" i="1"/>
  <c r="A6009" i="1"/>
  <c r="A7023" i="1"/>
  <c r="A7414" i="1"/>
  <c r="A8487" i="1"/>
  <c r="A7243" i="1"/>
  <c r="A12389" i="1"/>
  <c r="A5854" i="1"/>
  <c r="A8067" i="1"/>
  <c r="A3986" i="1"/>
  <c r="A5645" i="1"/>
  <c r="A6188" i="1"/>
  <c r="A7288" i="1"/>
  <c r="A17415" i="1"/>
  <c r="A8215" i="1"/>
  <c r="A3783" i="1"/>
  <c r="A7814" i="1"/>
  <c r="A16416" i="1"/>
  <c r="A8066" i="1"/>
  <c r="A7745" i="1"/>
  <c r="A8470" i="1"/>
  <c r="A8935" i="1"/>
  <c r="A10894" i="1"/>
  <c r="A5803" i="1"/>
  <c r="A17414" i="1"/>
  <c r="A17413" i="1"/>
  <c r="A8496" i="1"/>
  <c r="A17412" i="1"/>
  <c r="A9273" i="1"/>
  <c r="A7257" i="1"/>
  <c r="A7549" i="1"/>
  <c r="A9222" i="1"/>
  <c r="A7990" i="1"/>
  <c r="A7485" i="1"/>
  <c r="A9371" i="1"/>
  <c r="A12319" i="1"/>
  <c r="A5224" i="1"/>
  <c r="A5063" i="1"/>
  <c r="A5745" i="1"/>
  <c r="A1461" i="1"/>
  <c r="A6284" i="1"/>
  <c r="A6752" i="1"/>
  <c r="A8154" i="1"/>
  <c r="A7484" i="1"/>
  <c r="A7184" i="1"/>
  <c r="A6469" i="1"/>
  <c r="A10111" i="1"/>
  <c r="A6865" i="1"/>
  <c r="A8214" i="1"/>
  <c r="A8179" i="1"/>
  <c r="A6256" i="1"/>
  <c r="A8562" i="1"/>
  <c r="A8441" i="1"/>
  <c r="A7236" i="1"/>
  <c r="A17411" i="1"/>
  <c r="A7715" i="1"/>
  <c r="A16247" i="1"/>
  <c r="A9517" i="1"/>
  <c r="A4493" i="1"/>
  <c r="A1812" i="1"/>
  <c r="A9764" i="1"/>
  <c r="A7458" i="1"/>
  <c r="A15709" i="1"/>
  <c r="A7142" i="1"/>
  <c r="A15200" i="1"/>
  <c r="A10405" i="1"/>
  <c r="A17410" i="1"/>
  <c r="A7483" i="1"/>
  <c r="A7967" i="1"/>
  <c r="A7837" i="1"/>
  <c r="A7457" i="1"/>
  <c r="A4456" i="1"/>
  <c r="A3477" i="1"/>
  <c r="A7426" i="1"/>
  <c r="A7945" i="1"/>
  <c r="A6109" i="1"/>
  <c r="A6809" i="1"/>
  <c r="A8654" i="1"/>
  <c r="A17409" i="1"/>
  <c r="A8546" i="1"/>
  <c r="A8812" i="1"/>
  <c r="A17408" i="1"/>
  <c r="A13238" i="1"/>
  <c r="A17407" i="1"/>
  <c r="A5833" i="1"/>
  <c r="A8680" i="1"/>
  <c r="A17406" i="1"/>
  <c r="A8511" i="1"/>
  <c r="A6893" i="1"/>
  <c r="A7665" i="1"/>
  <c r="A9516" i="1"/>
  <c r="A8041" i="1"/>
  <c r="A10998" i="1"/>
  <c r="A7632" i="1"/>
  <c r="A9057" i="1"/>
  <c r="A7076" i="1"/>
  <c r="A7886" i="1"/>
  <c r="A6385" i="1"/>
  <c r="A17405" i="1"/>
  <c r="A6926" i="1"/>
  <c r="A8267" i="1"/>
  <c r="A8020" i="1"/>
  <c r="A7703" i="1"/>
  <c r="A5649" i="1"/>
  <c r="A6040" i="1"/>
  <c r="A11303" i="1"/>
  <c r="A8832" i="1"/>
  <c r="A464" i="1"/>
  <c r="A5752" i="1"/>
  <c r="A17404" i="1"/>
  <c r="A6384" i="1"/>
  <c r="A9097" i="1"/>
  <c r="A7906" i="1"/>
  <c r="A8831" i="1"/>
  <c r="A6445" i="1"/>
  <c r="A8579" i="1"/>
  <c r="A8135" i="1"/>
  <c r="A7578" i="1"/>
  <c r="A8977" i="1"/>
  <c r="A6321" i="1"/>
  <c r="A8034" i="1"/>
  <c r="A9149" i="1"/>
  <c r="A7122" i="1"/>
  <c r="A5315" i="1"/>
  <c r="A17403" i="1"/>
  <c r="A10939" i="1"/>
  <c r="A5357" i="1"/>
  <c r="A6255" i="1"/>
  <c r="A9109" i="1"/>
  <c r="A7075" i="1"/>
  <c r="A17402" i="1"/>
  <c r="A9609" i="1"/>
  <c r="A17401" i="1"/>
  <c r="A6836" i="1"/>
  <c r="A6654" i="1"/>
  <c r="A8440" i="1"/>
  <c r="A7664" i="1"/>
  <c r="A7663" i="1"/>
  <c r="A17400" i="1"/>
  <c r="A8578" i="1"/>
  <c r="A8903" i="1"/>
  <c r="A9108" i="1"/>
  <c r="A7141" i="1"/>
  <c r="A17399" i="1"/>
  <c r="A4962" i="1"/>
  <c r="A8577" i="1"/>
  <c r="A8081" i="1"/>
  <c r="A4466" i="1"/>
  <c r="A7505" i="1"/>
  <c r="A6892" i="1"/>
  <c r="A5802" i="1"/>
  <c r="A6717" i="1"/>
  <c r="A6808" i="1"/>
  <c r="A6227" i="1"/>
  <c r="A5143" i="1"/>
  <c r="A4103" i="1"/>
  <c r="A17398" i="1"/>
  <c r="A7376" i="1"/>
  <c r="A8857" i="1"/>
  <c r="A6784" i="1"/>
  <c r="A8113" i="1"/>
  <c r="A8679" i="1"/>
  <c r="A11650" i="1"/>
  <c r="A8019" i="1"/>
  <c r="A7048" i="1"/>
  <c r="A6555" i="1"/>
  <c r="A8469" i="1"/>
  <c r="A7662" i="1"/>
  <c r="A5710" i="1"/>
  <c r="A5971" i="1"/>
  <c r="A6960" i="1"/>
  <c r="A8354" i="1"/>
  <c r="A6283" i="1"/>
  <c r="A5644" i="1"/>
  <c r="A5970" i="1"/>
  <c r="A6282" i="1"/>
  <c r="A12126" i="1"/>
  <c r="A4321" i="1"/>
  <c r="A6008" i="1"/>
  <c r="A13864" i="1"/>
  <c r="A6595" i="1"/>
  <c r="A9515" i="1"/>
  <c r="A8698" i="1"/>
  <c r="A7074" i="1"/>
  <c r="A8856" i="1"/>
  <c r="A8289" i="1"/>
  <c r="A9056" i="1"/>
  <c r="A6994" i="1"/>
  <c r="A10181" i="1"/>
  <c r="A9394" i="1"/>
  <c r="A17397" i="1"/>
  <c r="A10957" i="1"/>
  <c r="A6554" i="1"/>
  <c r="A8330" i="1"/>
  <c r="A6846" i="1"/>
  <c r="A10279" i="1"/>
  <c r="A7391" i="1"/>
  <c r="A8955" i="1"/>
  <c r="A8252" i="1"/>
  <c r="A13971" i="1"/>
  <c r="A13797" i="1"/>
  <c r="A9272" i="1"/>
  <c r="A5180" i="1"/>
  <c r="A6925" i="1"/>
  <c r="A8213" i="1"/>
  <c r="A7022" i="1"/>
  <c r="A7140" i="1"/>
  <c r="A7836" i="1"/>
  <c r="A9271" i="1"/>
  <c r="A17396" i="1"/>
  <c r="A17395" i="1"/>
  <c r="A8934" i="1"/>
  <c r="A8423" i="1"/>
  <c r="A9730" i="1"/>
  <c r="A12430" i="1"/>
  <c r="A9840" i="1"/>
  <c r="A17394" i="1"/>
  <c r="A8178" i="1"/>
  <c r="A4280" i="1"/>
  <c r="A8829" i="1"/>
  <c r="A14251" i="1"/>
  <c r="A13025" i="1"/>
  <c r="A7835" i="1"/>
  <c r="A15151" i="1"/>
  <c r="A17393" i="1"/>
  <c r="A7905" i="1"/>
  <c r="A6924" i="1"/>
  <c r="A17392" i="1"/>
  <c r="A6007" i="1"/>
  <c r="A10077" i="1"/>
  <c r="A7366" i="1"/>
  <c r="A5062" i="1"/>
  <c r="A7989" i="1"/>
  <c r="A7773" i="1"/>
  <c r="A17391" i="1"/>
  <c r="A10726" i="1"/>
  <c r="A6237" i="1"/>
  <c r="A8335" i="1"/>
  <c r="A8491" i="1"/>
  <c r="A6226" i="1"/>
  <c r="A12701" i="1"/>
  <c r="A8134" i="1"/>
  <c r="A8954" i="1"/>
  <c r="A6121" i="1"/>
  <c r="A7783" i="1"/>
  <c r="A9933" i="1"/>
  <c r="A9152" i="1"/>
  <c r="A7139" i="1"/>
  <c r="A7944" i="1"/>
  <c r="A7661" i="1"/>
  <c r="A8065" i="1"/>
  <c r="A7660" i="1"/>
  <c r="A6594" i="1"/>
  <c r="A6553" i="1"/>
  <c r="A9744" i="1"/>
  <c r="A7021" i="1"/>
  <c r="A6187" i="1"/>
  <c r="A6225" i="1"/>
  <c r="A6236" i="1"/>
  <c r="A6993" i="1"/>
  <c r="A6923" i="1"/>
  <c r="A8112" i="1"/>
  <c r="A5577" i="1"/>
  <c r="A7939" i="1"/>
  <c r="A4958" i="1"/>
  <c r="A6864" i="1"/>
  <c r="A8093" i="1"/>
  <c r="A7365" i="1"/>
  <c r="A7482" i="1"/>
  <c r="A7885" i="1"/>
  <c r="A7047" i="1"/>
  <c r="A17390" i="1"/>
  <c r="A7310" i="1"/>
  <c r="A7100" i="1"/>
  <c r="A10495" i="1"/>
  <c r="A9055" i="1"/>
  <c r="A7714" i="1"/>
  <c r="A17389" i="1"/>
  <c r="A7744" i="1"/>
  <c r="A7481" i="1"/>
  <c r="A9971" i="1"/>
  <c r="A8953" i="1"/>
  <c r="A6992" i="1"/>
  <c r="A7138" i="1"/>
  <c r="A8678" i="1"/>
  <c r="A9393" i="1"/>
  <c r="A7834" i="1"/>
  <c r="A17388" i="1"/>
  <c r="A11292" i="1"/>
  <c r="A17387" i="1"/>
  <c r="A8266" i="1"/>
  <c r="A7046" i="1"/>
  <c r="A8933" i="1"/>
  <c r="A9107" i="1"/>
  <c r="A8532" i="1"/>
  <c r="A9681" i="1"/>
  <c r="A17386" i="1"/>
  <c r="A17385" i="1"/>
  <c r="A8991" i="1"/>
  <c r="A17384" i="1"/>
  <c r="A17383" i="1"/>
  <c r="A8756" i="1"/>
  <c r="A5916" i="1"/>
  <c r="A5949" i="1"/>
  <c r="A14537" i="1"/>
  <c r="A9244" i="1"/>
  <c r="A8133" i="1"/>
  <c r="A3839" i="1"/>
  <c r="A10878" i="1"/>
  <c r="A17382" i="1"/>
  <c r="A7577" i="1"/>
  <c r="A7884" i="1"/>
  <c r="A6891" i="1"/>
  <c r="A6922" i="1"/>
  <c r="A6959" i="1"/>
  <c r="A17381" i="1"/>
  <c r="A7813" i="1"/>
  <c r="A7772" i="1"/>
  <c r="A10657" i="1"/>
  <c r="A7833" i="1"/>
  <c r="A17380" i="1"/>
  <c r="A4236" i="1"/>
  <c r="A8894" i="1"/>
  <c r="A7832" i="1"/>
  <c r="A7309" i="1"/>
  <c r="A17379" i="1"/>
  <c r="A6921" i="1"/>
  <c r="A9211" i="1"/>
  <c r="A17378" i="1"/>
  <c r="A16012" i="1"/>
  <c r="A7978" i="1"/>
  <c r="A4778" i="1"/>
  <c r="A13171" i="1"/>
  <c r="A10978" i="1"/>
  <c r="A5179" i="1"/>
  <c r="A6186" i="1"/>
  <c r="A14870" i="1"/>
  <c r="A7631" i="1"/>
  <c r="A12598" i="1"/>
  <c r="A11667" i="1"/>
  <c r="A7456" i="1"/>
  <c r="A7364" i="1"/>
  <c r="A17377" i="1"/>
  <c r="A7771" i="1"/>
  <c r="A12568" i="1"/>
  <c r="A7517" i="1"/>
  <c r="A11540" i="1"/>
  <c r="A7210" i="1"/>
  <c r="A8212" i="1"/>
  <c r="A5314" i="1"/>
  <c r="A5251" i="1"/>
  <c r="A8018" i="1"/>
  <c r="A10613" i="1"/>
  <c r="A8624" i="1"/>
  <c r="A7962" i="1"/>
  <c r="A6353" i="1"/>
  <c r="A7168" i="1"/>
  <c r="A6108" i="1"/>
  <c r="A5356" i="1"/>
  <c r="A10576" i="1"/>
  <c r="A7345" i="1"/>
  <c r="A6807" i="1"/>
  <c r="A6552" i="1"/>
  <c r="A6920" i="1"/>
  <c r="A8308" i="1"/>
  <c r="A14566" i="1"/>
  <c r="A9902" i="1"/>
  <c r="A7045" i="1"/>
  <c r="A8017" i="1"/>
  <c r="A7812" i="1"/>
  <c r="A5709" i="1"/>
  <c r="A8422" i="1"/>
  <c r="A6320" i="1"/>
  <c r="A17376" i="1"/>
  <c r="A17375" i="1"/>
  <c r="A8623" i="1"/>
  <c r="A5250" i="1"/>
  <c r="A17374" i="1"/>
  <c r="A8127" i="1"/>
  <c r="A6716" i="1"/>
  <c r="A8521" i="1"/>
  <c r="A17373" i="1"/>
  <c r="A9932" i="1"/>
  <c r="A7537" i="1"/>
  <c r="A8353" i="1"/>
  <c r="A8064" i="1"/>
  <c r="A4613" i="1"/>
  <c r="A10076" i="1"/>
  <c r="A6991" i="1"/>
  <c r="A8878" i="1"/>
  <c r="A6806" i="1"/>
  <c r="A7020" i="1"/>
  <c r="A7659" i="1"/>
  <c r="A8359" i="1"/>
  <c r="A6958" i="1"/>
  <c r="A6265" i="1"/>
  <c r="A8653" i="1"/>
  <c r="A4682" i="1"/>
  <c r="A17372" i="1"/>
  <c r="A3630" i="1"/>
  <c r="A8358" i="1"/>
  <c r="A8111" i="1"/>
  <c r="A6551" i="1"/>
  <c r="A8352" i="1"/>
  <c r="A5499" i="1"/>
  <c r="A7256" i="1"/>
  <c r="A8265" i="1"/>
  <c r="A17371" i="1"/>
  <c r="A7866" i="1"/>
  <c r="A7576" i="1"/>
  <c r="A8323" i="1"/>
  <c r="A7121" i="1"/>
  <c r="A7235" i="1"/>
  <c r="A17370" i="1"/>
  <c r="A10696" i="1"/>
  <c r="A6006" i="1"/>
  <c r="A10860" i="1"/>
  <c r="A11302" i="1"/>
  <c r="A6352" i="1"/>
  <c r="A17369" i="1"/>
  <c r="A6593" i="1"/>
  <c r="A6254" i="1"/>
  <c r="A10202" i="1"/>
  <c r="A7443" i="1"/>
  <c r="A7333" i="1"/>
  <c r="A7658" i="1"/>
  <c r="A7811" i="1"/>
  <c r="A5679" i="1"/>
  <c r="A5099" i="1"/>
  <c r="A17368" i="1"/>
  <c r="A7648" i="1"/>
  <c r="A8288" i="1"/>
  <c r="A9243" i="1"/>
  <c r="A8380" i="1"/>
  <c r="A7575" i="1"/>
  <c r="A7883" i="1"/>
  <c r="A5948" i="1"/>
  <c r="A4492" i="1"/>
  <c r="A7480" i="1"/>
  <c r="A6835" i="1"/>
  <c r="A17367" i="1"/>
  <c r="A8421" i="1"/>
  <c r="A7759" i="1"/>
  <c r="A7137" i="1"/>
  <c r="A11092" i="1"/>
  <c r="A7255" i="1"/>
  <c r="A17366" i="1"/>
  <c r="A9332" i="1"/>
  <c r="A955" i="1"/>
  <c r="A7630" i="1"/>
  <c r="A6452" i="1"/>
  <c r="A17365" i="1"/>
  <c r="A5398" i="1"/>
  <c r="A4202" i="1"/>
  <c r="A17364" i="1"/>
  <c r="A10846" i="1"/>
  <c r="A17363" i="1"/>
  <c r="A3937" i="1"/>
  <c r="A7471" i="1"/>
  <c r="A15180" i="1"/>
  <c r="A9479" i="1"/>
  <c r="A15179" i="1"/>
  <c r="A7604" i="1"/>
  <c r="A14557" i="1"/>
  <c r="A9497" i="1"/>
  <c r="A7794" i="1"/>
  <c r="A17362" i="1"/>
  <c r="A17361" i="1"/>
  <c r="A5576" i="1"/>
  <c r="A17360" i="1"/>
  <c r="A5767" i="1"/>
  <c r="A4653" i="1"/>
  <c r="A11483" i="1"/>
  <c r="A5575" i="1"/>
  <c r="A17359" i="1"/>
  <c r="A8576" i="1"/>
  <c r="A7904" i="1"/>
  <c r="A7506" i="1"/>
  <c r="A17358" i="1"/>
  <c r="A8677" i="1"/>
  <c r="A7713" i="1"/>
  <c r="A6319" i="1"/>
  <c r="A10708" i="1"/>
  <c r="A7390" i="1"/>
  <c r="A15165" i="1"/>
  <c r="A17357" i="1"/>
  <c r="A7254" i="1"/>
  <c r="A5574" i="1"/>
  <c r="A14769" i="1"/>
  <c r="A8622" i="1"/>
  <c r="A17356" i="1"/>
  <c r="A7363" i="1"/>
  <c r="A7413" i="1"/>
  <c r="A7344" i="1"/>
  <c r="A8531" i="1"/>
  <c r="A8322" i="1"/>
  <c r="A4575" i="1"/>
  <c r="A7629" i="1"/>
  <c r="A6957" i="1"/>
  <c r="A12023" i="1"/>
  <c r="A8468" i="1"/>
  <c r="A8530" i="1"/>
  <c r="A4028" i="1"/>
  <c r="A10320" i="1"/>
  <c r="A9030" i="1"/>
  <c r="A5313" i="1"/>
  <c r="A17355" i="1"/>
  <c r="A7548" i="1"/>
  <c r="A9315" i="1"/>
  <c r="A8177" i="1"/>
  <c r="A5312" i="1"/>
  <c r="A11265" i="1"/>
  <c r="A17354" i="1"/>
  <c r="A5498" i="1"/>
  <c r="A7442" i="1"/>
  <c r="A7209" i="1"/>
  <c r="A4491" i="1"/>
  <c r="A7882" i="1"/>
  <c r="A10725" i="1"/>
  <c r="A6653" i="1"/>
  <c r="A9970" i="1"/>
  <c r="A463" i="1"/>
  <c r="A6550" i="1"/>
  <c r="A6919" i="1"/>
  <c r="A7308" i="1"/>
  <c r="A8110" i="1"/>
  <c r="A17353" i="1"/>
  <c r="A9270" i="1"/>
  <c r="A7657" i="1"/>
  <c r="A7516" i="1"/>
  <c r="A17352" i="1"/>
  <c r="A6652" i="1"/>
  <c r="A7234" i="1"/>
  <c r="A7253" i="1"/>
  <c r="A7656" i="1"/>
  <c r="A7412" i="1"/>
  <c r="A7167" i="1"/>
  <c r="A6686" i="1"/>
  <c r="A7287" i="1"/>
  <c r="A7793" i="1"/>
  <c r="A6253" i="1"/>
  <c r="A7655" i="1"/>
  <c r="A7603" i="1"/>
  <c r="A9221" i="1"/>
  <c r="A7628" i="1"/>
  <c r="A5801" i="1"/>
  <c r="A17351" i="1"/>
  <c r="A8040" i="1"/>
  <c r="A7923" i="1"/>
  <c r="A17350" i="1"/>
  <c r="A8510" i="1"/>
  <c r="A17349" i="1"/>
  <c r="A7166" i="1"/>
  <c r="A9876" i="1"/>
  <c r="A3540" i="1"/>
  <c r="A7515" i="1"/>
  <c r="A8176" i="1"/>
  <c r="A8211" i="1"/>
  <c r="A7574" i="1"/>
  <c r="A7627" i="1"/>
  <c r="A7831" i="1"/>
  <c r="A8439" i="1"/>
  <c r="A6990" i="1"/>
  <c r="A6890" i="1"/>
  <c r="A5189" i="1"/>
  <c r="A7687" i="1"/>
  <c r="A4534" i="1"/>
  <c r="A17348" i="1"/>
  <c r="A7073" i="1"/>
  <c r="A6751" i="1"/>
  <c r="A7602" i="1"/>
  <c r="A5277" i="1"/>
  <c r="A7233" i="1"/>
  <c r="A17347" i="1"/>
  <c r="A7099" i="1"/>
  <c r="A8877" i="1"/>
  <c r="A8321" i="1"/>
  <c r="A6185" i="1"/>
  <c r="A6700" i="1"/>
  <c r="A17346" i="1"/>
  <c r="A6383" i="1"/>
  <c r="A6918" i="1"/>
  <c r="A16708" i="1"/>
  <c r="A4027" i="1"/>
  <c r="A6036" i="1"/>
  <c r="A5969" i="1"/>
  <c r="A15057" i="1"/>
  <c r="A7343" i="1"/>
  <c r="A17345" i="1"/>
  <c r="A462" i="1"/>
  <c r="A6005" i="1"/>
  <c r="A6863" i="1"/>
  <c r="A9839" i="1"/>
  <c r="A5947" i="1"/>
  <c r="A8976" i="1"/>
  <c r="A11186" i="1"/>
  <c r="A7865" i="1"/>
  <c r="A7830" i="1"/>
  <c r="A7547" i="1"/>
  <c r="A6079" i="1"/>
  <c r="A8264" i="1"/>
  <c r="A6281" i="1"/>
  <c r="A6876" i="1"/>
  <c r="A9131" i="1"/>
  <c r="A5029" i="1"/>
  <c r="A4860" i="1"/>
  <c r="A7342" i="1"/>
  <c r="A8092" i="1"/>
  <c r="A461" i="1"/>
  <c r="A7770" i="1"/>
  <c r="A7411" i="1"/>
  <c r="A7410" i="1"/>
  <c r="A7389" i="1"/>
  <c r="A4718" i="1"/>
  <c r="A17344" i="1"/>
  <c r="A7966" i="1"/>
  <c r="A7743" i="1"/>
  <c r="A7232" i="1"/>
  <c r="A7965" i="1"/>
  <c r="A17343" i="1"/>
  <c r="A11756" i="1"/>
  <c r="A4612" i="1"/>
  <c r="A17342" i="1"/>
  <c r="A6549" i="1"/>
  <c r="A7769" i="1"/>
  <c r="A8692" i="1"/>
  <c r="A7573" i="1"/>
  <c r="A6361" i="1"/>
  <c r="A9220" i="1"/>
  <c r="A7441" i="1"/>
  <c r="A7208" i="1"/>
  <c r="A4235" i="1"/>
  <c r="A5915" i="1"/>
  <c r="A6351" i="1"/>
  <c r="A12279" i="1"/>
  <c r="A14724" i="1"/>
  <c r="A11064" i="1"/>
  <c r="A5397" i="1"/>
  <c r="A5061" i="1"/>
  <c r="A4717" i="1"/>
  <c r="A7864" i="1"/>
  <c r="A17341" i="1"/>
  <c r="A2494" i="1"/>
  <c r="A8676" i="1"/>
  <c r="A5098" i="1"/>
  <c r="A6511" i="1"/>
  <c r="A6444" i="1"/>
  <c r="A5497" i="1"/>
  <c r="A9314" i="1"/>
  <c r="A7810" i="1"/>
  <c r="A2825" i="1"/>
  <c r="A8652" i="1"/>
  <c r="A9259" i="1"/>
  <c r="A3782" i="1"/>
  <c r="A7362" i="1"/>
  <c r="A5968" i="1"/>
  <c r="A5914" i="1"/>
  <c r="A4893" i="1"/>
  <c r="A4859" i="1"/>
  <c r="A6637" i="1"/>
  <c r="A6651" i="1"/>
  <c r="A7286" i="1"/>
  <c r="A12255" i="1"/>
  <c r="A6382" i="1"/>
  <c r="A9589" i="1"/>
  <c r="A7742" i="1"/>
  <c r="A7514" i="1"/>
  <c r="A8210" i="1"/>
  <c r="A8320" i="1"/>
  <c r="A9553" i="1"/>
  <c r="A8063" i="1"/>
  <c r="A8109" i="1"/>
  <c r="A8334" i="1"/>
  <c r="A6280" i="1"/>
  <c r="A3171" i="1"/>
  <c r="A7361" i="1"/>
  <c r="A11930" i="1"/>
  <c r="A7285" i="1"/>
  <c r="A6080" i="1"/>
  <c r="A17340" i="1"/>
  <c r="A5060" i="1"/>
  <c r="A3936" i="1"/>
  <c r="A6715" i="1"/>
  <c r="A6956" i="1"/>
  <c r="A12042" i="1"/>
  <c r="A5607" i="1"/>
  <c r="A17339" i="1"/>
  <c r="A7360" i="1"/>
  <c r="A6989" i="1"/>
  <c r="A7044" i="1"/>
  <c r="A6548" i="1"/>
  <c r="A12265" i="1"/>
  <c r="A460" i="1"/>
  <c r="A7183" i="1"/>
  <c r="A15088" i="1"/>
  <c r="A8919" i="1"/>
  <c r="A7409" i="1"/>
  <c r="A5832" i="1"/>
  <c r="A5573" i="1"/>
  <c r="A6988" i="1"/>
  <c r="A5606" i="1"/>
  <c r="A7647" i="1"/>
  <c r="A7479" i="1"/>
  <c r="A6685" i="1"/>
  <c r="A7120" i="1"/>
  <c r="A17338" i="1"/>
  <c r="A17337" i="1"/>
  <c r="A7863" i="1"/>
  <c r="A7654" i="1"/>
  <c r="A1721" i="1"/>
  <c r="A17336" i="1"/>
  <c r="A8209" i="1"/>
  <c r="A5142" i="1"/>
  <c r="A7809" i="1"/>
  <c r="A7284" i="1"/>
  <c r="A4279" i="1"/>
  <c r="A6917" i="1"/>
  <c r="A4376" i="1"/>
  <c r="A7408" i="1"/>
  <c r="A6547" i="1"/>
  <c r="A5678" i="1"/>
  <c r="A7283" i="1"/>
  <c r="A6279" i="1"/>
  <c r="A6783" i="1"/>
  <c r="A8397" i="1"/>
  <c r="A4102" i="1"/>
  <c r="A3669" i="1"/>
  <c r="A11588" i="1"/>
  <c r="A9710" i="1"/>
  <c r="A7601" i="1"/>
  <c r="A7231" i="1"/>
  <c r="A2639" i="1"/>
  <c r="A5800" i="1"/>
  <c r="A8779" i="1"/>
  <c r="A5831" i="1"/>
  <c r="A8467" i="1"/>
  <c r="A7219" i="1"/>
  <c r="A6782" i="1"/>
  <c r="A5605" i="1"/>
  <c r="A6252" i="1"/>
  <c r="A7829" i="1"/>
  <c r="A10478" i="1"/>
  <c r="A8697" i="1"/>
  <c r="A6414" i="1"/>
  <c r="A8033" i="1"/>
  <c r="A17335" i="1"/>
  <c r="A5543" i="1"/>
  <c r="A8039" i="1"/>
  <c r="A7407" i="1"/>
  <c r="A6889" i="1"/>
  <c r="A5643" i="1"/>
  <c r="A6627" i="1"/>
  <c r="A2405" i="1"/>
  <c r="A7478" i="1"/>
  <c r="A5572" i="1"/>
  <c r="A11198" i="1"/>
  <c r="A17334" i="1"/>
  <c r="A5542" i="1"/>
  <c r="A7768" i="1"/>
  <c r="A8599" i="1"/>
  <c r="A5967" i="1"/>
  <c r="A10646" i="1"/>
  <c r="A6489" i="1"/>
  <c r="A6684" i="1"/>
  <c r="A7207" i="1"/>
  <c r="A6278" i="1"/>
  <c r="A6626" i="1"/>
  <c r="A7165" i="1"/>
  <c r="A6350" i="1"/>
  <c r="A8529" i="1"/>
  <c r="A11354" i="1"/>
  <c r="A6510" i="1"/>
  <c r="A3208" i="1"/>
  <c r="A6592" i="1"/>
  <c r="A6546" i="1"/>
  <c r="A6509" i="1"/>
  <c r="A3881" i="1"/>
  <c r="A9331" i="1"/>
  <c r="A3629" i="1"/>
  <c r="A7653" i="1"/>
  <c r="A7828" i="1"/>
  <c r="A8379" i="1"/>
  <c r="A8263" i="1"/>
  <c r="A12156" i="1"/>
  <c r="A8830" i="1"/>
  <c r="A6149" i="1"/>
  <c r="A6848" i="1"/>
  <c r="A8717" i="1"/>
  <c r="A4193" i="1"/>
  <c r="A5946" i="1"/>
  <c r="A8716" i="1"/>
  <c r="A3781" i="1"/>
  <c r="A5642" i="1"/>
  <c r="A6318" i="1"/>
  <c r="A14723" i="1"/>
  <c r="A16212" i="1"/>
  <c r="A7282" i="1"/>
  <c r="A9815" i="1"/>
  <c r="A7686" i="1"/>
  <c r="A6955" i="1"/>
  <c r="A10775" i="1"/>
  <c r="A7440" i="1"/>
  <c r="A8016" i="1"/>
  <c r="A7019" i="1"/>
  <c r="A6107" i="1"/>
  <c r="A17333" i="1"/>
  <c r="A10819" i="1"/>
  <c r="A8791" i="1"/>
  <c r="A5922" i="1"/>
  <c r="A8898" i="1"/>
  <c r="A3582" i="1"/>
  <c r="A6443" i="1"/>
  <c r="A3992" i="1"/>
  <c r="A6954" i="1"/>
  <c r="A14162" i="1"/>
  <c r="A8621" i="1"/>
  <c r="A5059" i="1"/>
  <c r="A8132" i="1"/>
  <c r="A6834" i="1"/>
  <c r="A6035" i="1"/>
  <c r="A7341" i="1"/>
  <c r="A6488" i="1"/>
  <c r="A8287" i="1"/>
  <c r="A7964" i="1"/>
  <c r="A7572" i="1"/>
  <c r="A8062" i="1"/>
  <c r="A7252" i="1"/>
  <c r="A8952" i="1"/>
  <c r="A7359" i="1"/>
  <c r="A7862" i="1"/>
  <c r="A17332" i="1"/>
  <c r="A6805" i="1"/>
  <c r="A17331" i="1"/>
  <c r="A10194" i="1"/>
  <c r="A7706" i="1"/>
  <c r="A10743" i="1"/>
  <c r="A17330" i="1"/>
  <c r="A8509" i="1"/>
  <c r="A5853" i="1"/>
  <c r="A5028" i="1"/>
  <c r="A7712" i="1"/>
  <c r="A9081" i="1"/>
  <c r="A6591" i="1"/>
  <c r="A7424" i="1"/>
  <c r="A7513" i="1"/>
  <c r="A17329" i="1"/>
  <c r="A4072" i="1"/>
  <c r="A15623" i="1"/>
  <c r="A6381" i="1"/>
  <c r="A7098" i="1"/>
  <c r="A7136" i="1"/>
  <c r="A6317" i="1"/>
  <c r="A5852" i="1"/>
  <c r="A7439" i="1"/>
  <c r="A6650" i="1"/>
  <c r="A10075" i="1"/>
  <c r="A8175" i="1"/>
  <c r="A8153" i="1"/>
  <c r="A17328" i="1"/>
  <c r="A5541" i="1"/>
  <c r="A8015" i="1"/>
  <c r="A9775" i="1"/>
  <c r="A8037" i="1"/>
  <c r="A7388" i="1"/>
  <c r="A6750" i="1"/>
  <c r="A4749" i="1"/>
  <c r="A6916" i="1"/>
  <c r="A6199" i="1"/>
  <c r="A12236" i="1"/>
  <c r="A6508" i="1"/>
  <c r="A14961" i="1"/>
  <c r="A17327" i="1"/>
  <c r="A5141" i="1"/>
  <c r="A7512" i="1"/>
  <c r="A7281" i="1"/>
  <c r="A6749" i="1"/>
  <c r="A5883" i="1"/>
  <c r="A7206" i="1"/>
  <c r="A17326" i="1"/>
  <c r="A7546" i="1"/>
  <c r="A6468" i="1"/>
  <c r="A15650" i="1"/>
  <c r="A6667" i="1"/>
  <c r="A9875" i="1"/>
  <c r="A17325" i="1"/>
  <c r="A7679" i="1"/>
  <c r="A7222" i="1"/>
  <c r="A5776" i="1"/>
  <c r="A4815" i="1"/>
  <c r="A6888" i="1"/>
  <c r="A4932" i="1"/>
  <c r="A6545" i="1"/>
  <c r="A7182" i="1"/>
  <c r="A15986" i="1"/>
  <c r="A3880" i="1"/>
  <c r="A6544" i="1"/>
  <c r="A7387" i="1"/>
  <c r="A10859" i="1"/>
  <c r="A9652" i="1"/>
  <c r="A12825" i="1"/>
  <c r="A7205" i="1"/>
  <c r="A7438" i="1"/>
  <c r="A17324" i="1"/>
  <c r="A7881" i="1"/>
  <c r="A9370" i="1"/>
  <c r="A17323" i="1"/>
  <c r="A7072" i="1"/>
  <c r="A7135" i="1"/>
  <c r="A5945" i="1"/>
  <c r="A7545" i="1"/>
  <c r="A6833" i="1"/>
  <c r="A3935" i="1"/>
  <c r="A6106" i="1"/>
  <c r="A17322" i="1"/>
  <c r="A6184" i="1"/>
  <c r="A7792" i="1"/>
  <c r="A7938" i="1"/>
  <c r="A5966" i="1"/>
  <c r="A12774" i="1"/>
  <c r="A5851" i="1"/>
  <c r="A7511" i="1"/>
  <c r="A7119" i="1"/>
  <c r="A9686" i="1"/>
  <c r="A9049" i="1"/>
  <c r="A6683" i="1"/>
  <c r="A7107" i="1"/>
  <c r="A14390" i="1"/>
  <c r="A14694" i="1"/>
  <c r="A459" i="1"/>
  <c r="A12609" i="1"/>
  <c r="A7230" i="1"/>
  <c r="A14669" i="1"/>
  <c r="A7791" i="1"/>
  <c r="A7600" i="1"/>
  <c r="A11091" i="1"/>
  <c r="A17321" i="1"/>
  <c r="A13755" i="1"/>
  <c r="A7808" i="1"/>
  <c r="A6105" i="1"/>
  <c r="A9552" i="1"/>
  <c r="A6682" i="1"/>
  <c r="A11649" i="1"/>
  <c r="A3838" i="1"/>
  <c r="A5432" i="1"/>
  <c r="A6224" i="1"/>
  <c r="A5367" i="1"/>
  <c r="A7181" i="1"/>
  <c r="A5708" i="1"/>
  <c r="A6442" i="1"/>
  <c r="A7790" i="1"/>
  <c r="A10155" i="1"/>
  <c r="A8233" i="1"/>
  <c r="A8303" i="1"/>
  <c r="A17320" i="1"/>
  <c r="A7455" i="1"/>
  <c r="A6832" i="1"/>
  <c r="A6329" i="1"/>
  <c r="A8174" i="1"/>
  <c r="A17319" i="1"/>
  <c r="A4490" i="1"/>
  <c r="A4320" i="1"/>
  <c r="A6183" i="1"/>
  <c r="A13188" i="1"/>
  <c r="A10547" i="1"/>
  <c r="A4611" i="1"/>
  <c r="A5276" i="1"/>
  <c r="A7164" i="1"/>
  <c r="A7943" i="1"/>
  <c r="A6487" i="1"/>
  <c r="A6104" i="1"/>
  <c r="A6590" i="1"/>
  <c r="A6589" i="1"/>
  <c r="A6148" i="1"/>
  <c r="A5496" i="1"/>
  <c r="A17318" i="1"/>
  <c r="A9587" i="1"/>
  <c r="A17317" i="1"/>
  <c r="A9901" i="1"/>
  <c r="A5462" i="1"/>
  <c r="A7118" i="1"/>
  <c r="A7599" i="1"/>
  <c r="A6915" i="1"/>
  <c r="A7652" i="1"/>
  <c r="A8675" i="1"/>
  <c r="A7229" i="1"/>
  <c r="A3724" i="1"/>
  <c r="A6543" i="1"/>
  <c r="A5097" i="1"/>
  <c r="A8307" i="1"/>
  <c r="A17316" i="1"/>
  <c r="A7018" i="1"/>
  <c r="A11332" i="1"/>
  <c r="A5677" i="1"/>
  <c r="A17315" i="1"/>
  <c r="A5965" i="1"/>
  <c r="A6066" i="1"/>
  <c r="A5508" i="1"/>
  <c r="A7251" i="1"/>
  <c r="A7043" i="1"/>
  <c r="A5862" i="1"/>
  <c r="A4026" i="1"/>
  <c r="A3934" i="1"/>
  <c r="A7544" i="1"/>
  <c r="A4147" i="1"/>
  <c r="A3780" i="1"/>
  <c r="A7340" i="1"/>
  <c r="A7250" i="1"/>
  <c r="A9467" i="1"/>
  <c r="A7598" i="1"/>
  <c r="A10695" i="1"/>
  <c r="A5249" i="1"/>
  <c r="A17314" i="1"/>
  <c r="A7685" i="1"/>
  <c r="A6831" i="1"/>
  <c r="A7280" i="1"/>
  <c r="A4465" i="1"/>
  <c r="A7339" i="1"/>
  <c r="A7242" i="1"/>
  <c r="A8306" i="1"/>
  <c r="A7180" i="1"/>
  <c r="A7042" i="1"/>
  <c r="A6441" i="1"/>
  <c r="A9836" i="1"/>
  <c r="A10039" i="1"/>
  <c r="A6155" i="1"/>
  <c r="A7571" i="1"/>
  <c r="A6542" i="1"/>
  <c r="A5178" i="1"/>
  <c r="A17313" i="1"/>
  <c r="A5850" i="1"/>
  <c r="A8575" i="1"/>
  <c r="A5027" i="1"/>
  <c r="A5859" i="1"/>
  <c r="A5275" i="1"/>
  <c r="A4814" i="1"/>
  <c r="A17312" i="1"/>
  <c r="A5396" i="1"/>
  <c r="A8208" i="1"/>
  <c r="A6987" i="1"/>
  <c r="A6887" i="1"/>
  <c r="A9014" i="1"/>
  <c r="A6182" i="1"/>
  <c r="A6316" i="1"/>
  <c r="A3539" i="1"/>
  <c r="A7097" i="1"/>
  <c r="A6625" i="1"/>
  <c r="A8262" i="1"/>
  <c r="A6666" i="1"/>
  <c r="A6004" i="1"/>
  <c r="A7626" i="1"/>
  <c r="A8286" i="1"/>
  <c r="A6034" i="1"/>
  <c r="A3933" i="1"/>
  <c r="A5617" i="1"/>
  <c r="A10337" i="1"/>
  <c r="A11915" i="1"/>
  <c r="A8108" i="1"/>
  <c r="A6541" i="1"/>
  <c r="A8091" i="1"/>
  <c r="A4408" i="1"/>
  <c r="A9551" i="1"/>
  <c r="A6277" i="1"/>
  <c r="A6986" i="1"/>
  <c r="A6223" i="1"/>
  <c r="A7228" i="1"/>
  <c r="A5540" i="1"/>
  <c r="A7358" i="1"/>
  <c r="A4192" i="1"/>
  <c r="A5140" i="1"/>
  <c r="A6886" i="1"/>
  <c r="A6413" i="1"/>
  <c r="A7117" i="1"/>
  <c r="A7071" i="1"/>
  <c r="A6349" i="1"/>
  <c r="A7437" i="1"/>
  <c r="A7861" i="1"/>
  <c r="A8737" i="1"/>
  <c r="A4990" i="1"/>
  <c r="A7249" i="1"/>
  <c r="A6649" i="1"/>
  <c r="A8207" i="1"/>
  <c r="A3322" i="1"/>
  <c r="A17311" i="1"/>
  <c r="A8486" i="1"/>
  <c r="A6781" i="1"/>
  <c r="A17310" i="1"/>
  <c r="A7436" i="1"/>
  <c r="A8438" i="1"/>
  <c r="A1618" i="1"/>
  <c r="A6420" i="1"/>
  <c r="A4455" i="1"/>
  <c r="A3369" i="1"/>
  <c r="A5707" i="1"/>
  <c r="A7895" i="1"/>
  <c r="A7903" i="1"/>
  <c r="A12942" i="1"/>
  <c r="A6885" i="1"/>
  <c r="A5706" i="1"/>
  <c r="A6440" i="1"/>
  <c r="A5539" i="1"/>
  <c r="A7096" i="1"/>
  <c r="A17309" i="1"/>
  <c r="A6648" i="1"/>
  <c r="A7163" i="1"/>
  <c r="A6830" i="1"/>
  <c r="A17308" i="1"/>
  <c r="A6914" i="1"/>
  <c r="A6913" i="1"/>
  <c r="A9054" i="1"/>
  <c r="A6829" i="1"/>
  <c r="A6423" i="1"/>
  <c r="A5248" i="1"/>
  <c r="A17307" i="1"/>
  <c r="A7435" i="1"/>
  <c r="A7223" i="1"/>
  <c r="A4290" i="1"/>
  <c r="A1082" i="1"/>
  <c r="A7087" i="1"/>
  <c r="A6019" i="1"/>
  <c r="A7330" i="1"/>
  <c r="A5744" i="1"/>
  <c r="A9466" i="1"/>
  <c r="A13342" i="1"/>
  <c r="A5571" i="1"/>
  <c r="A5096" i="1"/>
  <c r="A14231" i="1"/>
  <c r="A7470" i="1"/>
  <c r="A5461" i="1"/>
  <c r="A6251" i="1"/>
  <c r="A6985" i="1"/>
  <c r="A6033" i="1"/>
  <c r="A7902" i="1"/>
  <c r="A7179" i="1"/>
  <c r="A6984" i="1"/>
  <c r="A6315" i="1"/>
  <c r="A5431" i="1"/>
  <c r="A5799" i="1"/>
  <c r="A6507" i="1"/>
  <c r="A5766" i="1"/>
  <c r="A4681" i="1"/>
  <c r="A5058" i="1"/>
  <c r="A5430" i="1"/>
  <c r="A4234" i="1"/>
  <c r="A7570" i="1"/>
  <c r="A9053" i="1"/>
  <c r="A7106" i="1"/>
  <c r="A17306" i="1"/>
  <c r="A5705" i="1"/>
  <c r="A17305" i="1"/>
  <c r="A7563" i="1"/>
  <c r="A6540" i="1"/>
  <c r="A8674" i="1"/>
  <c r="A5366" i="1"/>
  <c r="A5355" i="1"/>
  <c r="A5743" i="1"/>
  <c r="A9130" i="1"/>
  <c r="A7901" i="1"/>
  <c r="A14786" i="1"/>
  <c r="A3837" i="1"/>
  <c r="A6748" i="1"/>
  <c r="A9013" i="1"/>
  <c r="A7041" i="1"/>
  <c r="A10656" i="1"/>
  <c r="A16303" i="1"/>
  <c r="A12926" i="1"/>
  <c r="A4071" i="1"/>
  <c r="A4652" i="1"/>
  <c r="A6714" i="1"/>
  <c r="A17304" i="1"/>
  <c r="A16168" i="1"/>
  <c r="A8261" i="1"/>
  <c r="A15649" i="1"/>
  <c r="A7130" i="1"/>
  <c r="A7095" i="1"/>
  <c r="A16137" i="1"/>
  <c r="A10264" i="1"/>
  <c r="A5798" i="1"/>
  <c r="A9814" i="1"/>
  <c r="A7767" i="1"/>
  <c r="A6681" i="1"/>
  <c r="A5676" i="1"/>
  <c r="A6747" i="1"/>
  <c r="A6266" i="1"/>
  <c r="A6147" i="1"/>
  <c r="A7477" i="1"/>
  <c r="A6539" i="1"/>
  <c r="A5742" i="1"/>
  <c r="A6103" i="1"/>
  <c r="A7766" i="1"/>
  <c r="A7178" i="1"/>
  <c r="A4415" i="1"/>
  <c r="A3879" i="1"/>
  <c r="A17303" i="1"/>
  <c r="A17302" i="1"/>
  <c r="A12657" i="1"/>
  <c r="A6538" i="1"/>
  <c r="A5026" i="1"/>
  <c r="A7070" i="1"/>
  <c r="A16531" i="1"/>
  <c r="A5849" i="1"/>
  <c r="A7711" i="1"/>
  <c r="A5704" i="1"/>
  <c r="A8778" i="1"/>
  <c r="A17301" i="1"/>
  <c r="A2324" i="1"/>
  <c r="A7684" i="1"/>
  <c r="A7434" i="1"/>
  <c r="A8932" i="1"/>
  <c r="A12656" i="1"/>
  <c r="A6713" i="1"/>
  <c r="A17300" i="1"/>
  <c r="A6862" i="1"/>
  <c r="A4892" i="1"/>
  <c r="A11171" i="1"/>
  <c r="A7807" i="1"/>
  <c r="A6146" i="1"/>
  <c r="A7386" i="1"/>
  <c r="A776" i="1"/>
  <c r="A5538" i="1"/>
  <c r="A17299" i="1"/>
  <c r="A5703" i="1"/>
  <c r="A17298" i="1"/>
  <c r="A7379" i="1"/>
  <c r="A4858" i="1"/>
  <c r="A17297" i="1"/>
  <c r="A8792" i="1"/>
  <c r="A7005" i="1"/>
  <c r="A5616" i="1"/>
  <c r="A3321" i="1"/>
  <c r="A7646" i="1"/>
  <c r="A7248" i="1"/>
  <c r="A5495" i="1"/>
  <c r="A5188" i="1"/>
  <c r="A10546" i="1"/>
  <c r="A5460" i="1"/>
  <c r="A6904" i="1"/>
  <c r="A6746" i="1"/>
  <c r="A5641" i="1"/>
  <c r="A6588" i="1"/>
  <c r="A5675" i="1"/>
  <c r="A17296" i="1"/>
  <c r="A5882" i="1"/>
  <c r="A6983" i="1"/>
  <c r="A7247" i="1"/>
  <c r="A8357" i="1"/>
  <c r="A8285" i="1"/>
  <c r="A6102" i="1"/>
  <c r="A5741" i="1"/>
  <c r="A5537" i="1"/>
  <c r="A7433" i="1"/>
  <c r="A9417" i="1"/>
  <c r="A7338" i="1"/>
  <c r="A17295" i="1"/>
  <c r="A4748" i="1"/>
  <c r="A6764" i="1"/>
  <c r="A8855" i="1"/>
  <c r="A6861" i="1"/>
  <c r="A4233" i="1"/>
  <c r="A7476" i="1"/>
  <c r="A14070" i="1"/>
  <c r="A4931" i="1"/>
  <c r="A6828" i="1"/>
  <c r="A9313" i="1"/>
  <c r="A6745" i="1"/>
  <c r="A7860" i="1"/>
  <c r="A6624" i="1"/>
  <c r="A3985" i="1"/>
  <c r="A7922" i="1"/>
  <c r="A6506" i="1"/>
  <c r="A6467" i="1"/>
  <c r="A6744" i="1"/>
  <c r="A7116" i="1"/>
  <c r="A4610" i="1"/>
  <c r="A6412" i="1"/>
  <c r="A9465" i="1"/>
  <c r="A6145" i="1"/>
  <c r="A4813" i="1"/>
  <c r="A6912" i="1"/>
  <c r="A6380" i="1"/>
  <c r="A7475" i="1"/>
  <c r="A6411" i="1"/>
  <c r="A6144" i="1"/>
  <c r="A17294" i="1"/>
  <c r="A4533" i="1"/>
  <c r="A6101" i="1"/>
  <c r="A9572" i="1"/>
  <c r="A3628" i="1"/>
  <c r="A7853" i="1"/>
  <c r="A6664" i="1"/>
  <c r="A17293" i="1"/>
  <c r="A7397" i="1"/>
  <c r="A9729" i="1"/>
  <c r="A7880" i="1"/>
  <c r="A5225" i="1"/>
  <c r="A7503" i="1"/>
  <c r="A5830" i="1"/>
  <c r="A2404" i="1"/>
  <c r="A4651" i="1"/>
  <c r="A7469" i="1"/>
  <c r="A6743" i="1"/>
  <c r="A3368" i="1"/>
  <c r="A9350" i="1"/>
  <c r="A17292" i="1"/>
  <c r="A6680" i="1"/>
  <c r="A458" i="1"/>
  <c r="A4786" i="1"/>
  <c r="A4891" i="1"/>
  <c r="A6222" i="1"/>
  <c r="A6348" i="1"/>
  <c r="A5311" i="1"/>
  <c r="A7765" i="1"/>
  <c r="A6439" i="1"/>
  <c r="A6860" i="1"/>
  <c r="A6623" i="1"/>
  <c r="A7406" i="1"/>
  <c r="A7569" i="1"/>
  <c r="A6003" i="1"/>
  <c r="A5881" i="1"/>
  <c r="A6002" i="1"/>
  <c r="A6953" i="1"/>
  <c r="A6276" i="1"/>
  <c r="A9392" i="1"/>
  <c r="A7069" i="1"/>
  <c r="A6827" i="1"/>
  <c r="A7432" i="1"/>
  <c r="A17291" i="1"/>
  <c r="A4721" i="1"/>
  <c r="A8090" i="1"/>
  <c r="A5740" i="1"/>
  <c r="A7590" i="1"/>
  <c r="A5494" i="1"/>
  <c r="A6275" i="1"/>
  <c r="A3376" i="1"/>
  <c r="A12465" i="1"/>
  <c r="A15371" i="1"/>
  <c r="A10877" i="1"/>
  <c r="A4812" i="1"/>
  <c r="A5913" i="1"/>
  <c r="A17290" i="1"/>
  <c r="A5797" i="1"/>
  <c r="A5944" i="1"/>
  <c r="A7177" i="1"/>
  <c r="A4811" i="1"/>
  <c r="A6622" i="1"/>
  <c r="A8420" i="1"/>
  <c r="A5943" i="1"/>
  <c r="A5674" i="1"/>
  <c r="A5739" i="1"/>
  <c r="A8173" i="1"/>
  <c r="A4319" i="1"/>
  <c r="A8495" i="1"/>
  <c r="A17289" i="1"/>
  <c r="A7900" i="1"/>
  <c r="A9464" i="1"/>
  <c r="A6347" i="1"/>
  <c r="A10575" i="1"/>
  <c r="A7337" i="1"/>
  <c r="A7543" i="1"/>
  <c r="A6181" i="1"/>
  <c r="A7405" i="1"/>
  <c r="A6365" i="1"/>
  <c r="A5068" i="1"/>
  <c r="A7058" i="1"/>
  <c r="A8172" i="1"/>
  <c r="A8356" i="1"/>
  <c r="A9463" i="1"/>
  <c r="A5858" i="1"/>
  <c r="A1536" i="1"/>
  <c r="A7040" i="1"/>
  <c r="A4532" i="1"/>
  <c r="A4025" i="1"/>
  <c r="A5429" i="1"/>
  <c r="A17288" i="1"/>
  <c r="A6032" i="1"/>
  <c r="A6742" i="1"/>
  <c r="A6031" i="1"/>
  <c r="A6982" i="1"/>
  <c r="A5880" i="1"/>
  <c r="A6621" i="1"/>
  <c r="A5459" i="1"/>
  <c r="A7597" i="1"/>
  <c r="A6410" i="1"/>
  <c r="A7094" i="1"/>
  <c r="A5879" i="1"/>
  <c r="A17287" i="1"/>
  <c r="A13341" i="1"/>
  <c r="A7474" i="1"/>
  <c r="A5536" i="1"/>
  <c r="A6001" i="1"/>
  <c r="A6826" i="1"/>
  <c r="A7134" i="1"/>
  <c r="A457" i="1"/>
  <c r="A17286" i="1"/>
  <c r="A10135" i="1"/>
  <c r="A6981" i="1"/>
  <c r="A5640" i="1"/>
  <c r="A6030" i="1"/>
  <c r="A7404" i="1"/>
  <c r="A8107" i="1"/>
  <c r="A7827" i="1"/>
  <c r="A6379" i="1"/>
  <c r="A6157" i="1"/>
  <c r="A8902" i="1"/>
  <c r="A17285" i="1"/>
  <c r="A16700" i="1"/>
  <c r="A10494" i="1"/>
  <c r="A6221" i="1"/>
  <c r="A7204" i="1"/>
  <c r="A7899" i="1"/>
  <c r="A6250" i="1"/>
  <c r="A5738" i="1"/>
  <c r="A3779" i="1"/>
  <c r="A6180" i="1"/>
  <c r="A17284" i="1"/>
  <c r="A7431" i="1"/>
  <c r="A6346" i="1"/>
  <c r="A6000" i="1"/>
  <c r="A5829" i="1"/>
  <c r="A5177" i="1"/>
  <c r="A6980" i="1"/>
  <c r="A7093" i="1"/>
  <c r="A5176" i="1"/>
  <c r="A17283" i="1"/>
  <c r="A7859" i="1"/>
  <c r="A6712" i="1"/>
  <c r="A17282" i="1"/>
  <c r="A4747" i="1"/>
  <c r="A5796" i="1"/>
  <c r="A8466" i="1"/>
  <c r="A5570" i="1"/>
  <c r="A6297" i="1"/>
  <c r="A6100" i="1"/>
  <c r="A4278" i="1"/>
  <c r="A17281" i="1"/>
  <c r="A7279" i="1"/>
  <c r="A8975" i="1"/>
  <c r="A5639" i="1"/>
  <c r="A3723" i="1"/>
  <c r="A7176" i="1"/>
  <c r="A6274" i="1"/>
  <c r="A17280" i="1"/>
  <c r="A12889" i="1"/>
  <c r="A5354" i="1"/>
  <c r="A6537" i="1"/>
  <c r="A6273" i="1"/>
  <c r="A6220" i="1"/>
  <c r="A1535" i="1"/>
  <c r="A7963" i="1"/>
  <c r="A5737" i="1"/>
  <c r="A6587" i="1"/>
  <c r="A6586" i="1"/>
  <c r="A7355" i="1"/>
  <c r="A7307" i="1"/>
  <c r="A6264" i="1"/>
  <c r="A10319" i="1"/>
  <c r="A6156" i="1"/>
  <c r="A17279" i="1"/>
  <c r="A17278" i="1"/>
  <c r="A1720" i="1"/>
  <c r="A12443" i="1"/>
  <c r="A4489" i="1"/>
  <c r="A11532" i="1"/>
  <c r="A11185" i="1"/>
  <c r="A9151" i="1"/>
  <c r="A14130" i="1"/>
  <c r="A11609" i="1"/>
  <c r="A6762" i="1"/>
  <c r="A6859" i="1"/>
  <c r="A10431" i="1"/>
  <c r="A8106" i="1"/>
  <c r="A5535" i="1"/>
  <c r="A17277" i="1"/>
  <c r="A6858" i="1"/>
  <c r="A8061" i="1"/>
  <c r="A9330" i="1"/>
  <c r="A5175" i="1"/>
  <c r="A7115" i="1"/>
  <c r="A7651" i="1"/>
  <c r="A10574" i="1"/>
  <c r="A6179" i="1"/>
  <c r="A7473" i="1"/>
  <c r="A2567" i="1"/>
  <c r="A7162" i="1"/>
  <c r="A5999" i="1"/>
  <c r="A6486" i="1"/>
  <c r="A5330" i="1"/>
  <c r="A3427" i="1"/>
  <c r="A4777" i="1"/>
  <c r="A5274" i="1"/>
  <c r="A4716" i="1"/>
  <c r="A15079" i="1"/>
  <c r="A7921" i="1"/>
  <c r="A8014" i="1"/>
  <c r="A9150" i="1"/>
  <c r="A6741" i="1"/>
  <c r="A6485" i="1"/>
  <c r="A7039" i="1"/>
  <c r="A6620" i="1"/>
  <c r="A4191" i="1"/>
  <c r="A6585" i="1"/>
  <c r="A4857" i="1"/>
  <c r="A16357" i="1"/>
  <c r="A5673" i="1"/>
  <c r="A6272" i="1"/>
  <c r="A5964" i="1"/>
  <c r="A6409" i="1"/>
  <c r="A6143" i="1"/>
  <c r="A6647" i="1"/>
  <c r="A6825" i="1"/>
  <c r="A17276" i="1"/>
  <c r="A12801" i="1"/>
  <c r="A3878" i="1"/>
  <c r="A6952" i="1"/>
  <c r="A4101" i="1"/>
  <c r="A6584" i="1"/>
  <c r="A17275" i="1"/>
  <c r="A8574" i="1"/>
  <c r="A9177" i="1"/>
  <c r="A5310" i="1"/>
  <c r="A6219" i="1"/>
  <c r="A13536" i="1"/>
  <c r="A6249" i="1"/>
  <c r="A5942" i="1"/>
  <c r="A3877" i="1"/>
  <c r="A4856" i="1"/>
  <c r="A8755" i="1"/>
  <c r="A5395" i="1"/>
  <c r="A5458" i="1"/>
  <c r="A6979" i="1"/>
  <c r="A12862" i="1"/>
  <c r="A17274" i="1"/>
  <c r="A17273" i="1"/>
  <c r="A5777" i="1"/>
  <c r="A6505" i="1"/>
  <c r="A14117" i="1"/>
  <c r="A4146" i="1"/>
  <c r="A5912" i="1"/>
  <c r="A4995" i="1"/>
  <c r="A7092" i="1"/>
  <c r="A5174" i="1"/>
  <c r="A5139" i="1"/>
  <c r="A6408" i="1"/>
  <c r="A5329" i="1"/>
  <c r="A8876" i="1"/>
  <c r="A7542" i="1"/>
  <c r="A3722" i="1"/>
  <c r="A6911" i="1"/>
  <c r="A5941" i="1"/>
  <c r="A4901" i="1"/>
  <c r="A4100" i="1"/>
  <c r="A5247" i="1"/>
  <c r="A6699" i="1"/>
  <c r="A6504" i="1"/>
  <c r="A5394" i="1"/>
  <c r="A6857" i="1"/>
  <c r="A17272" i="1"/>
  <c r="A6978" i="1"/>
  <c r="A6536" i="1"/>
  <c r="A17271" i="1"/>
  <c r="A6583" i="1"/>
  <c r="A6378" i="1"/>
  <c r="A5998" i="1"/>
  <c r="A6099" i="1"/>
  <c r="A8419" i="1"/>
  <c r="A8918" i="1"/>
  <c r="A6780" i="1"/>
  <c r="A9792" i="1"/>
  <c r="A4626" i="1"/>
  <c r="A6503" i="1"/>
  <c r="A8013" i="1"/>
  <c r="A4070" i="1"/>
  <c r="A6731" i="1"/>
  <c r="A6065" i="1"/>
  <c r="A11301" i="1"/>
  <c r="A6796" i="1"/>
  <c r="A2493" i="1"/>
  <c r="A12530" i="1"/>
  <c r="A17270" i="1"/>
  <c r="A5138" i="1"/>
  <c r="A4989" i="1"/>
  <c r="A12429" i="1"/>
  <c r="A10052" i="1"/>
  <c r="A5997" i="1"/>
  <c r="A3721" i="1"/>
  <c r="A7161" i="1"/>
  <c r="A4680" i="1"/>
  <c r="A4957" i="1"/>
  <c r="A6098" i="1"/>
  <c r="A8901" i="1"/>
  <c r="A5534" i="1"/>
  <c r="A8012" i="1"/>
  <c r="A6711" i="1"/>
  <c r="A5137" i="1"/>
  <c r="A3426" i="1"/>
  <c r="A10457" i="1"/>
  <c r="A5216" i="1"/>
  <c r="A5828" i="1"/>
  <c r="A6710" i="1"/>
  <c r="A6884" i="1"/>
  <c r="A5795" i="1"/>
  <c r="A9258" i="1"/>
  <c r="A1811" i="1"/>
  <c r="A6407" i="1"/>
  <c r="A5533" i="1"/>
  <c r="A5309" i="1"/>
  <c r="A4574" i="1"/>
  <c r="A9170" i="1"/>
  <c r="A11482" i="1"/>
  <c r="A17269" i="1"/>
  <c r="A6883" i="1"/>
  <c r="A5428" i="1"/>
  <c r="A15955" i="1"/>
  <c r="A7541" i="1"/>
  <c r="A7114" i="1"/>
  <c r="A9550" i="1"/>
  <c r="A6064" i="1"/>
  <c r="A10038" i="1"/>
  <c r="A9496" i="1"/>
  <c r="A5751" i="1"/>
  <c r="A11366" i="1"/>
  <c r="A5057" i="1"/>
  <c r="A5246" i="1"/>
  <c r="A5427" i="1"/>
  <c r="A17268" i="1"/>
  <c r="A5775" i="1"/>
  <c r="A4890" i="1"/>
  <c r="A7806" i="1"/>
  <c r="A7068" i="1"/>
  <c r="A17267" i="1"/>
  <c r="A6903" i="1"/>
  <c r="A5702" i="1"/>
  <c r="A3942" i="1"/>
  <c r="A5878" i="1"/>
  <c r="A6314" i="1"/>
  <c r="A6496" i="1"/>
  <c r="A4333" i="1"/>
  <c r="A8284" i="1"/>
  <c r="A17266" i="1"/>
  <c r="A17265" i="1"/>
  <c r="A5877" i="1"/>
  <c r="A17264" i="1"/>
  <c r="A10162" i="1"/>
  <c r="A6910" i="1"/>
  <c r="A8011" i="1"/>
  <c r="A4956" i="1"/>
  <c r="A4776" i="1"/>
  <c r="A7067" i="1"/>
  <c r="A17263" i="1"/>
  <c r="A6029" i="1"/>
  <c r="A6779" i="1"/>
  <c r="A6466" i="1"/>
  <c r="A7625" i="1"/>
  <c r="A17262" i="1"/>
  <c r="A7017" i="1"/>
  <c r="A4988" i="1"/>
  <c r="A4318" i="1"/>
  <c r="A3778" i="1"/>
  <c r="A5736" i="1"/>
  <c r="A4746" i="1"/>
  <c r="A6951" i="1"/>
  <c r="A6465" i="1"/>
  <c r="A6646" i="1"/>
  <c r="A5996" i="1"/>
  <c r="A7540" i="1"/>
  <c r="A6619" i="1"/>
  <c r="A4407" i="1"/>
  <c r="A6582" i="1"/>
  <c r="A8651" i="1"/>
  <c r="A6804" i="1"/>
  <c r="A5765" i="1"/>
  <c r="A9012" i="1"/>
  <c r="A6535" i="1"/>
  <c r="A17261" i="1"/>
  <c r="A6406" i="1"/>
  <c r="A5753" i="1"/>
  <c r="A9198" i="1"/>
  <c r="A456" i="1"/>
  <c r="A6740" i="1"/>
  <c r="A6063" i="1"/>
  <c r="A6534" i="1"/>
  <c r="A17260" i="1"/>
  <c r="A6739" i="1"/>
  <c r="A8875" i="1"/>
  <c r="A6950" i="1"/>
  <c r="A5764" i="1"/>
  <c r="A5940" i="1"/>
  <c r="A6062" i="1"/>
  <c r="A5532" i="1"/>
  <c r="A8089" i="1"/>
  <c r="A4609" i="1"/>
  <c r="A11462" i="1"/>
  <c r="A5308" i="1"/>
  <c r="A5848" i="1"/>
  <c r="A17259" i="1"/>
  <c r="A6061" i="1"/>
  <c r="A5672" i="1"/>
  <c r="A6679" i="1"/>
  <c r="A5911" i="1"/>
  <c r="A6495" i="1"/>
  <c r="A6422" i="1"/>
  <c r="A5307" i="1"/>
  <c r="A5032" i="1"/>
  <c r="A11903" i="1"/>
  <c r="A7004" i="1"/>
  <c r="A5353" i="1"/>
  <c r="A13612" i="1"/>
  <c r="A4069" i="1"/>
  <c r="A7920" i="1"/>
  <c r="A11415" i="1"/>
  <c r="A8131" i="1"/>
  <c r="A6581" i="1"/>
  <c r="A5827" i="1"/>
  <c r="A8528" i="1"/>
  <c r="A7336" i="1"/>
  <c r="A5173" i="1"/>
  <c r="A17258" i="1"/>
  <c r="A4375" i="1"/>
  <c r="A7764" i="1"/>
  <c r="A7858" i="1"/>
  <c r="A17257" i="1"/>
  <c r="A5963" i="1"/>
  <c r="A6313" i="1"/>
  <c r="A10513" i="1"/>
  <c r="A5826" i="1"/>
  <c r="A6738" i="1"/>
  <c r="A6018" i="1"/>
  <c r="A8437" i="1"/>
  <c r="A6218" i="1"/>
  <c r="A5493" i="1"/>
  <c r="A3836" i="1"/>
  <c r="A4232" i="1"/>
  <c r="A3720" i="1"/>
  <c r="A6502" i="1"/>
  <c r="A5426" i="1"/>
  <c r="A7454" i="1"/>
  <c r="A3207" i="1"/>
  <c r="A7218" i="1"/>
  <c r="A13821" i="1"/>
  <c r="A6248" i="1"/>
  <c r="A5425" i="1"/>
  <c r="A6345" i="1"/>
  <c r="A16569" i="1"/>
  <c r="A6217" i="1"/>
  <c r="A6803" i="1"/>
  <c r="A10545" i="1"/>
  <c r="A6178" i="1"/>
  <c r="A6882" i="1"/>
  <c r="A3160" i="1"/>
  <c r="A6464" i="1"/>
  <c r="A6640" i="1"/>
  <c r="A6235" i="1"/>
  <c r="A8673" i="1"/>
  <c r="A6097" i="1"/>
  <c r="A3777" i="1"/>
  <c r="A5457" i="1"/>
  <c r="A3835" i="1"/>
  <c r="A14652" i="1"/>
  <c r="A5095" i="1"/>
  <c r="A5531" i="1"/>
  <c r="A4531" i="1"/>
  <c r="A4775" i="1"/>
  <c r="A6096" i="1"/>
  <c r="A4855" i="1"/>
  <c r="A1810" i="1"/>
  <c r="A6095" i="1"/>
  <c r="A455" i="1"/>
  <c r="A5056" i="1"/>
  <c r="A5876" i="1"/>
  <c r="A3776" i="1"/>
  <c r="A12631" i="1"/>
  <c r="A5136" i="1"/>
  <c r="A6618" i="1"/>
  <c r="A17256" i="1"/>
  <c r="A6405" i="1"/>
  <c r="A6533" i="1"/>
  <c r="A6824" i="1"/>
  <c r="A6312" i="1"/>
  <c r="A6580" i="1"/>
  <c r="A4231" i="1"/>
  <c r="A6142" i="1"/>
  <c r="A6678" i="1"/>
  <c r="A6216" i="1"/>
  <c r="A5953" i="1"/>
  <c r="A4608" i="1"/>
  <c r="A6028" i="1"/>
  <c r="A4110" i="1"/>
  <c r="A5875" i="1"/>
  <c r="A17255" i="1"/>
  <c r="A10456" i="1"/>
  <c r="A5995" i="1"/>
  <c r="A5306" i="1"/>
  <c r="A6311" i="1"/>
  <c r="A7789" i="1"/>
  <c r="A5055" i="1"/>
  <c r="A4715" i="1"/>
  <c r="A5638" i="1"/>
  <c r="A9931" i="1"/>
  <c r="A6438" i="1"/>
  <c r="A5847" i="1"/>
  <c r="A6856" i="1"/>
  <c r="A5637" i="1"/>
  <c r="A6484" i="1"/>
  <c r="A7091" i="1"/>
  <c r="A7763" i="1"/>
  <c r="A5874" i="1"/>
  <c r="A3775" i="1"/>
  <c r="A4854" i="1"/>
  <c r="A5094" i="1"/>
  <c r="A3538" i="1"/>
  <c r="A8171" i="1"/>
  <c r="A7741" i="1"/>
  <c r="A5456" i="1"/>
  <c r="A7227" i="1"/>
  <c r="A7403" i="1"/>
  <c r="A7959" i="1"/>
  <c r="A10201" i="1"/>
  <c r="A5569" i="1"/>
  <c r="A17254" i="1"/>
  <c r="A6501" i="1"/>
  <c r="A4454" i="1"/>
  <c r="A5305" i="1"/>
  <c r="A11620" i="1"/>
  <c r="A17253" i="1"/>
  <c r="A12786" i="1"/>
  <c r="A6909" i="1"/>
  <c r="A4745" i="1"/>
  <c r="A12875" i="1"/>
  <c r="A4889" i="1"/>
  <c r="A11552" i="1"/>
  <c r="A5671" i="1"/>
  <c r="A17252" i="1"/>
  <c r="A15323" i="1"/>
  <c r="A5604" i="1"/>
  <c r="A6094" i="1"/>
  <c r="A15597" i="1"/>
  <c r="A5245" i="1"/>
  <c r="A6949" i="1"/>
  <c r="A5636" i="1"/>
  <c r="A8396" i="1"/>
  <c r="A6617" i="1"/>
  <c r="A17251" i="1"/>
  <c r="A5670" i="1"/>
  <c r="A5794" i="1"/>
  <c r="A17250" i="1"/>
  <c r="A8206" i="1"/>
  <c r="A5939" i="1"/>
  <c r="A6483" i="1"/>
  <c r="A6977" i="1"/>
  <c r="A8715" i="1"/>
  <c r="A6855" i="1"/>
  <c r="A2171" i="1"/>
  <c r="A4607" i="1"/>
  <c r="A4332" i="1"/>
  <c r="A5962" i="1"/>
  <c r="A5352" i="1"/>
  <c r="A4530" i="1"/>
  <c r="A5568" i="1"/>
  <c r="A1912" i="1"/>
  <c r="A4888" i="1"/>
  <c r="A3037" i="1"/>
  <c r="A4024" i="1"/>
  <c r="A3719" i="1"/>
  <c r="A5825" i="1"/>
  <c r="A17249" i="1"/>
  <c r="A6532" i="1"/>
  <c r="A4930" i="1"/>
  <c r="A5701" i="1"/>
  <c r="A10074" i="1"/>
  <c r="A6698" i="1"/>
  <c r="A5793" i="1"/>
  <c r="A5846" i="1"/>
  <c r="A6177" i="1"/>
  <c r="A5393" i="1"/>
  <c r="A4529" i="1"/>
  <c r="A7155" i="1"/>
  <c r="A6377" i="1"/>
  <c r="A4987" i="1"/>
  <c r="A6176" i="1"/>
  <c r="A8395" i="1"/>
  <c r="A6376" i="1"/>
  <c r="A6175" i="1"/>
  <c r="A454" i="1"/>
  <c r="A8283" i="1"/>
  <c r="A9080" i="1"/>
  <c r="A5938" i="1"/>
  <c r="A453" i="1"/>
  <c r="A5567" i="1"/>
  <c r="A4406" i="1"/>
  <c r="A6579" i="1"/>
  <c r="A3320" i="1"/>
  <c r="A6437" i="1"/>
  <c r="A4190" i="1"/>
  <c r="A5700" i="1"/>
  <c r="A5244" i="1"/>
  <c r="A6823" i="1"/>
  <c r="A5792" i="1"/>
  <c r="A5937" i="1"/>
  <c r="A5392" i="1"/>
  <c r="A6215" i="1"/>
  <c r="A8598" i="1"/>
  <c r="A9346" i="1"/>
  <c r="A7822" i="1"/>
  <c r="A5435" i="1"/>
  <c r="A8597" i="1"/>
  <c r="A5455" i="1"/>
  <c r="A12478" i="1"/>
  <c r="A6027" i="1"/>
  <c r="A11459" i="1"/>
  <c r="A6234" i="1"/>
  <c r="A7740" i="1"/>
  <c r="A6344" i="1"/>
  <c r="A11300" i="1"/>
  <c r="A7788" i="1"/>
  <c r="A7942" i="1"/>
  <c r="A5603" i="1"/>
  <c r="A11299" i="1"/>
  <c r="A6802" i="1"/>
  <c r="A6060" i="1"/>
  <c r="A6677" i="1"/>
  <c r="A6778" i="1"/>
  <c r="A5936" i="1"/>
  <c r="A5735" i="1"/>
  <c r="A5824" i="1"/>
  <c r="A5351" i="1"/>
  <c r="A5845" i="1"/>
  <c r="A4853" i="1"/>
  <c r="A5273" i="1"/>
  <c r="A4277" i="1"/>
  <c r="A3537" i="1"/>
  <c r="A7402" i="1"/>
  <c r="A4155" i="1"/>
  <c r="A7879" i="1"/>
  <c r="A7016" i="1"/>
  <c r="A6531" i="1"/>
  <c r="A7452" i="1"/>
  <c r="A17248" i="1"/>
  <c r="A10473" i="1"/>
  <c r="A6737" i="1"/>
  <c r="A4230" i="1"/>
  <c r="A14681" i="1"/>
  <c r="A15087" i="1"/>
  <c r="A12278" i="1"/>
  <c r="A17247" i="1"/>
  <c r="A7683" i="1"/>
  <c r="A3036" i="1"/>
  <c r="A6436" i="1"/>
  <c r="A5910" i="1"/>
  <c r="A5054" i="1"/>
  <c r="A4374" i="1"/>
  <c r="A6948" i="1"/>
  <c r="A4573" i="1"/>
  <c r="A4373" i="1"/>
  <c r="A2247" i="1"/>
  <c r="A4955" i="1"/>
  <c r="A15997" i="1"/>
  <c r="A8714" i="1"/>
  <c r="A5734" i="1"/>
  <c r="A3834" i="1"/>
  <c r="A5823" i="1"/>
  <c r="A9706" i="1"/>
  <c r="A6676" i="1"/>
  <c r="A9079" i="1"/>
  <c r="A17246" i="1"/>
  <c r="A6404" i="1"/>
  <c r="A8990" i="1"/>
  <c r="A4929" i="1"/>
  <c r="A5424" i="1"/>
  <c r="A8251" i="1"/>
  <c r="A17245" i="1"/>
  <c r="A5025" i="1"/>
  <c r="A4887" i="1"/>
  <c r="A4229" i="1"/>
  <c r="A8951" i="1"/>
  <c r="A9312" i="1"/>
  <c r="A3476" i="1"/>
  <c r="A5669" i="1"/>
  <c r="A4023" i="1"/>
  <c r="A7385" i="1"/>
  <c r="A5172" i="1"/>
  <c r="A5423" i="1"/>
  <c r="A10161" i="1"/>
  <c r="A4405" i="1"/>
  <c r="A5822" i="1"/>
  <c r="A452" i="1"/>
  <c r="A6403" i="1"/>
  <c r="A10226" i="1"/>
  <c r="A5844" i="1"/>
  <c r="A17244" i="1"/>
  <c r="A5909" i="1"/>
  <c r="A6777" i="1"/>
  <c r="A6343" i="1"/>
  <c r="A5566" i="1"/>
  <c r="A6059" i="1"/>
  <c r="A17243" i="1"/>
  <c r="A3718" i="1"/>
  <c r="A9434" i="1"/>
  <c r="A6141" i="1"/>
  <c r="A5024" i="1"/>
  <c r="A7826" i="1"/>
  <c r="A10110" i="1"/>
  <c r="A4852" i="1"/>
  <c r="A3159" i="1"/>
  <c r="A5565" i="1"/>
  <c r="A5699" i="1"/>
  <c r="A5492" i="1"/>
  <c r="A5272" i="1"/>
  <c r="A9813" i="1"/>
  <c r="A11948" i="1"/>
  <c r="A6247" i="1"/>
  <c r="A6616" i="1"/>
  <c r="A17242" i="1"/>
  <c r="A4228" i="1"/>
  <c r="A6214" i="1"/>
  <c r="A9874" i="1"/>
  <c r="A6342" i="1"/>
  <c r="A6375" i="1"/>
  <c r="A6463" i="1"/>
  <c r="A5135" i="1"/>
  <c r="A7624" i="1"/>
  <c r="A4145" i="1"/>
  <c r="A17241" i="1"/>
  <c r="A451" i="1"/>
  <c r="A6645" i="1"/>
  <c r="A6607" i="1"/>
  <c r="A17240" i="1"/>
  <c r="A17239" i="1"/>
  <c r="A17238" i="1"/>
  <c r="A7898" i="1"/>
  <c r="A4276" i="1"/>
  <c r="A17237" i="1"/>
  <c r="A7739" i="1"/>
  <c r="A7682" i="1"/>
  <c r="A5763" i="1"/>
  <c r="A5583" i="1"/>
  <c r="A3717" i="1"/>
  <c r="A3876" i="1"/>
  <c r="A4462" i="1"/>
  <c r="A9604" i="1"/>
  <c r="A5530" i="1"/>
  <c r="A5564" i="1"/>
  <c r="A4650" i="1"/>
  <c r="A4404" i="1"/>
  <c r="A8319" i="1"/>
  <c r="A10724" i="1"/>
  <c r="A6822" i="1"/>
  <c r="A6174" i="1"/>
  <c r="A15622" i="1"/>
  <c r="A4317" i="1"/>
  <c r="A17236" i="1"/>
  <c r="A6644" i="1"/>
  <c r="A16177" i="1"/>
  <c r="A9462" i="1"/>
  <c r="A9197" i="1"/>
  <c r="A8713" i="1"/>
  <c r="A9763" i="1"/>
  <c r="A5733" i="1"/>
  <c r="A6578" i="1"/>
  <c r="A8900" i="1"/>
  <c r="A4372" i="1"/>
  <c r="A5791" i="1"/>
  <c r="A5935" i="1"/>
  <c r="A450" i="1"/>
  <c r="A6173" i="1"/>
  <c r="A6172" i="1"/>
  <c r="A6171" i="1"/>
  <c r="A5732" i="1"/>
  <c r="A5093" i="1"/>
  <c r="A8333" i="1"/>
  <c r="A5529" i="1"/>
  <c r="A5171" i="1"/>
  <c r="A5934" i="1"/>
  <c r="A7226" i="1"/>
  <c r="A4851" i="1"/>
  <c r="A17235" i="1"/>
  <c r="A5861" i="1"/>
  <c r="A5271" i="1"/>
  <c r="A6854" i="1"/>
  <c r="A3875" i="1"/>
  <c r="A7401" i="1"/>
  <c r="A5328" i="1"/>
  <c r="A6475" i="1"/>
  <c r="A4986" i="1"/>
  <c r="A7919" i="1"/>
  <c r="A2638" i="1"/>
  <c r="A7203" i="1"/>
  <c r="A11015" i="1"/>
  <c r="A9433" i="1"/>
  <c r="A8696" i="1"/>
  <c r="A5454" i="1"/>
  <c r="A7066" i="1"/>
  <c r="A6577" i="1"/>
  <c r="A5023" i="1"/>
  <c r="A6341" i="1"/>
  <c r="A5092" i="1"/>
  <c r="A6576" i="1"/>
  <c r="A11785" i="1"/>
  <c r="A6435" i="1"/>
  <c r="A6482" i="1"/>
  <c r="A4275" i="1"/>
  <c r="A5022" i="1"/>
  <c r="A5908" i="1"/>
  <c r="A17234" i="1"/>
  <c r="A17233" i="1"/>
  <c r="A5961" i="1"/>
  <c r="A7246" i="1"/>
  <c r="A4810" i="1"/>
  <c r="A17232" i="1"/>
  <c r="A7065" i="1"/>
  <c r="A6675" i="1"/>
  <c r="A5453" i="1"/>
  <c r="A4606" i="1"/>
  <c r="A6374" i="1"/>
  <c r="A5635" i="1"/>
  <c r="A6340" i="1"/>
  <c r="A6776" i="1"/>
  <c r="A5668" i="1"/>
  <c r="A17231" i="1"/>
  <c r="A9029" i="1"/>
  <c r="A4985" i="1"/>
  <c r="A7133" i="1"/>
  <c r="A8874" i="1"/>
  <c r="A17230" i="1"/>
  <c r="A5134" i="1"/>
  <c r="A17229" i="1"/>
  <c r="A7377" i="1"/>
  <c r="A4488" i="1"/>
  <c r="A449" i="1"/>
  <c r="A17228" i="1"/>
  <c r="A3627" i="1"/>
  <c r="A4371" i="1"/>
  <c r="A8282" i="1"/>
  <c r="A4928" i="1"/>
  <c r="A17227" i="1"/>
  <c r="A17226" i="1"/>
  <c r="A6058" i="1"/>
  <c r="A6801" i="1"/>
  <c r="A3102" i="1"/>
  <c r="A7681" i="1"/>
  <c r="A448" i="1"/>
  <c r="A5634" i="1"/>
  <c r="A6481" i="1"/>
  <c r="A6093" i="1"/>
  <c r="A9447" i="1"/>
  <c r="A17225" i="1"/>
  <c r="A7064" i="1"/>
  <c r="A5053" i="1"/>
  <c r="A5270" i="1"/>
  <c r="A5873" i="1"/>
  <c r="A6480" i="1"/>
  <c r="A7596" i="1"/>
  <c r="A11184" i="1"/>
  <c r="A6057" i="1"/>
  <c r="A5528" i="1"/>
  <c r="A8394" i="1"/>
  <c r="A5067" i="1"/>
  <c r="A4068" i="1"/>
  <c r="A7328" i="1"/>
  <c r="A7562" i="1"/>
  <c r="A4286" i="1"/>
  <c r="A8620" i="1"/>
  <c r="A5223" i="1"/>
  <c r="A5350" i="1"/>
  <c r="A5698" i="1"/>
  <c r="A3536" i="1"/>
  <c r="A5843" i="1"/>
  <c r="A6575" i="1"/>
  <c r="A7878" i="1"/>
  <c r="A6800" i="1"/>
  <c r="A17224" i="1"/>
  <c r="A6092" i="1"/>
  <c r="A5842" i="1"/>
  <c r="A4850" i="1"/>
  <c r="A6339" i="1"/>
  <c r="A4099" i="1"/>
  <c r="A6530" i="1"/>
  <c r="A9242" i="1"/>
  <c r="A6674" i="1"/>
  <c r="A6479" i="1"/>
  <c r="A5790" i="1"/>
  <c r="A5907" i="1"/>
  <c r="A5215" i="1"/>
  <c r="A6434" i="1"/>
  <c r="A7825" i="1"/>
  <c r="A5491" i="1"/>
  <c r="A10790" i="1"/>
  <c r="A5633" i="1"/>
  <c r="A4624" i="1"/>
  <c r="A5731" i="1"/>
  <c r="A3677" i="1"/>
  <c r="A4849" i="1"/>
  <c r="A4453" i="1"/>
  <c r="A12956" i="1"/>
  <c r="A6462" i="1"/>
  <c r="A4067" i="1"/>
  <c r="A5243" i="1"/>
  <c r="A4848" i="1"/>
  <c r="A5730" i="1"/>
  <c r="A10612" i="1"/>
  <c r="A4984" i="1"/>
  <c r="A6026" i="1"/>
  <c r="A4864" i="1"/>
  <c r="A5933" i="1"/>
  <c r="A6213" i="1"/>
  <c r="A6140" i="1"/>
  <c r="A8563" i="1"/>
  <c r="A5932" i="1"/>
  <c r="A17223" i="1"/>
  <c r="A5133" i="1"/>
  <c r="A6025" i="1"/>
  <c r="A5490" i="1"/>
  <c r="A5304" i="1"/>
  <c r="A4274" i="1"/>
  <c r="A5667" i="1"/>
  <c r="A3774" i="1"/>
  <c r="A6170" i="1"/>
  <c r="A6310" i="1"/>
  <c r="A5507" i="1"/>
  <c r="A6169" i="1"/>
  <c r="A6091" i="1"/>
  <c r="A5994" i="1"/>
  <c r="A4605" i="1"/>
  <c r="A6821" i="1"/>
  <c r="A17222" i="1"/>
  <c r="A4273" i="1"/>
  <c r="A2403" i="1"/>
  <c r="A5891" i="1"/>
  <c r="A5422" i="1"/>
  <c r="A3581" i="1"/>
  <c r="A6794" i="1"/>
  <c r="A4144" i="1"/>
  <c r="A17221" i="1"/>
  <c r="A11324" i="1"/>
  <c r="A3626" i="1"/>
  <c r="A6390" i="1"/>
  <c r="A7015" i="1"/>
  <c r="A6246" i="1"/>
  <c r="A5981" i="1"/>
  <c r="A6709" i="1"/>
  <c r="A5841" i="1"/>
  <c r="A5421" i="1"/>
  <c r="A6090" i="1"/>
  <c r="A5303" i="1"/>
  <c r="A4189" i="1"/>
  <c r="A6139" i="1"/>
  <c r="A14619" i="1"/>
  <c r="A3932" i="1"/>
  <c r="A5563" i="1"/>
  <c r="A4066" i="1"/>
  <c r="A3044" i="1"/>
  <c r="A6309" i="1"/>
  <c r="A5527" i="1"/>
  <c r="A6056" i="1"/>
  <c r="A5729" i="1"/>
  <c r="A3874" i="1"/>
  <c r="A17220" i="1"/>
  <c r="A17219" i="1"/>
  <c r="A6267" i="1"/>
  <c r="A5052" i="1"/>
  <c r="A4809" i="1"/>
  <c r="A5632" i="1"/>
  <c r="A4403" i="1"/>
  <c r="A5807" i="1"/>
  <c r="A5666" i="1"/>
  <c r="A6497" i="1"/>
  <c r="A4886" i="1"/>
  <c r="A5581" i="1"/>
  <c r="A6908" i="1"/>
  <c r="A3773" i="1"/>
  <c r="A3790" i="1"/>
  <c r="A4487" i="1"/>
  <c r="A3475" i="1"/>
  <c r="A7857" i="1"/>
  <c r="A10938" i="1"/>
  <c r="A8038" i="1"/>
  <c r="A17218" i="1"/>
  <c r="A10241" i="1"/>
  <c r="A4370" i="1"/>
  <c r="A4847" i="1"/>
  <c r="A5906" i="1"/>
  <c r="A6089" i="1"/>
  <c r="A4572" i="1"/>
  <c r="A6308" i="1"/>
  <c r="A5302" i="1"/>
  <c r="A5214" i="1"/>
  <c r="A6461" i="1"/>
  <c r="A4808" i="1"/>
  <c r="A12785" i="1"/>
  <c r="A9391" i="1"/>
  <c r="A6307" i="1"/>
  <c r="A5489" i="1"/>
  <c r="A6708" i="1"/>
  <c r="A12169" i="1"/>
  <c r="A7856" i="1"/>
  <c r="A6881" i="1"/>
  <c r="A1081" i="1"/>
  <c r="A5132" i="1"/>
  <c r="A6212" i="1"/>
  <c r="A4983" i="1"/>
  <c r="A3588" i="1"/>
  <c r="A5697" i="1"/>
  <c r="A5602" i="1"/>
  <c r="A17217" i="1"/>
  <c r="A6500" i="1"/>
  <c r="A6373" i="1"/>
  <c r="A12292" i="1"/>
  <c r="A4649" i="1"/>
  <c r="A6055" i="1"/>
  <c r="A10858" i="1"/>
  <c r="A17216" i="1"/>
  <c r="A5905" i="1"/>
  <c r="A7241" i="1"/>
  <c r="A5222" i="1"/>
  <c r="A5789" i="1"/>
  <c r="A6947" i="1"/>
  <c r="A7160" i="1"/>
  <c r="A5696" i="1"/>
  <c r="A4188" i="1"/>
  <c r="A7357" i="1"/>
  <c r="A9329" i="1"/>
  <c r="A3158" i="1"/>
  <c r="A9685" i="1"/>
  <c r="A2170" i="1"/>
  <c r="A7510" i="1"/>
  <c r="A7787" i="1"/>
  <c r="A5821" i="1"/>
  <c r="A5728" i="1"/>
  <c r="A5993" i="1"/>
  <c r="A17215" i="1"/>
  <c r="A5992" i="1"/>
  <c r="A6574" i="1"/>
  <c r="A5562" i="1"/>
  <c r="A8126" i="1"/>
  <c r="A3676" i="1"/>
  <c r="A4744" i="1"/>
  <c r="A17214" i="1"/>
  <c r="A3625" i="1"/>
  <c r="A5904" i="1"/>
  <c r="A3984" i="1"/>
  <c r="A3931" i="1"/>
  <c r="A6054" i="1"/>
  <c r="A4486" i="1"/>
  <c r="A5695" i="1"/>
  <c r="A5213" i="1"/>
  <c r="A4452" i="1"/>
  <c r="A3983" i="1"/>
  <c r="A7988" i="1"/>
  <c r="A6211" i="1"/>
  <c r="A447" i="1"/>
  <c r="A5021" i="1"/>
  <c r="A14808" i="1"/>
  <c r="A5840" i="1"/>
  <c r="A3319" i="1"/>
  <c r="A5561" i="1"/>
  <c r="A17213" i="1"/>
  <c r="A446" i="1"/>
  <c r="A17212" i="1"/>
  <c r="A17211" i="1"/>
  <c r="A4571" i="1"/>
  <c r="A5488" i="1"/>
  <c r="A3982" i="1"/>
  <c r="A5820" i="1"/>
  <c r="A4885" i="1"/>
  <c r="A17210" i="1"/>
  <c r="A5665" i="1"/>
  <c r="A6499" i="1"/>
  <c r="A6853" i="1"/>
  <c r="A6529" i="1"/>
  <c r="A9608" i="1"/>
  <c r="A8393" i="1"/>
  <c r="A5762" i="1"/>
  <c r="A6138" i="1"/>
  <c r="A9478" i="1"/>
  <c r="A5255" i="1"/>
  <c r="A6433" i="1"/>
  <c r="A5420" i="1"/>
  <c r="A4528" i="1"/>
  <c r="A6402" i="1"/>
  <c r="A11991" i="1"/>
  <c r="A5903" i="1"/>
  <c r="A6372" i="1"/>
  <c r="A6880" i="1"/>
  <c r="A6306" i="1"/>
  <c r="A4679" i="1"/>
  <c r="A8281" i="1"/>
  <c r="A5601" i="1"/>
  <c r="A17209" i="1"/>
  <c r="A17208" i="1"/>
  <c r="A7595" i="1"/>
  <c r="A4402" i="1"/>
  <c r="A17207" i="1"/>
  <c r="A5242" i="1"/>
  <c r="A6305" i="1"/>
  <c r="A14027" i="1"/>
  <c r="A5091" i="1"/>
  <c r="A2703" i="1"/>
  <c r="A4846" i="1"/>
  <c r="A2702" i="1"/>
  <c r="A7786" i="1"/>
  <c r="A5664" i="1"/>
  <c r="A17206" i="1"/>
  <c r="A17205" i="1"/>
  <c r="A2323" i="1"/>
  <c r="A5526" i="1"/>
  <c r="A17204" i="1"/>
  <c r="A5470" i="1"/>
  <c r="A4743" i="1"/>
  <c r="A4461" i="1"/>
  <c r="A17203" i="1"/>
  <c r="A7086" i="1"/>
  <c r="A5487" i="1"/>
  <c r="A3367" i="1"/>
  <c r="A5631" i="1"/>
  <c r="A11365" i="1"/>
  <c r="A4316" i="1"/>
  <c r="A4714" i="1"/>
  <c r="A5212" i="1"/>
  <c r="A17202" i="1"/>
  <c r="A11461" i="1"/>
  <c r="A5694" i="1"/>
  <c r="A7175" i="1"/>
  <c r="A3772" i="1"/>
  <c r="A5693" i="1"/>
  <c r="A17201" i="1"/>
  <c r="A5486" i="1"/>
  <c r="A6775" i="1"/>
  <c r="A5991" i="1"/>
  <c r="A5301" i="1"/>
  <c r="A7897" i="1"/>
  <c r="A17200" i="1"/>
  <c r="A5630" i="1"/>
  <c r="A4498" i="1"/>
  <c r="A17199" i="1"/>
  <c r="A4713" i="1"/>
  <c r="A2830" i="1"/>
  <c r="A445" i="1"/>
  <c r="A6119" i="1"/>
  <c r="A4369" i="1"/>
  <c r="A7824" i="1"/>
  <c r="A444" i="1"/>
  <c r="A6736" i="1"/>
  <c r="A6673" i="1"/>
  <c r="A5300" i="1"/>
  <c r="A5131" i="1"/>
  <c r="A5788" i="1"/>
  <c r="A5187" i="1"/>
  <c r="A4604" i="1"/>
  <c r="A443" i="1"/>
  <c r="A14625" i="1"/>
  <c r="A5727" i="1"/>
  <c r="A17198" i="1"/>
  <c r="A16540" i="1"/>
  <c r="A4315" i="1"/>
  <c r="A6338" i="1"/>
  <c r="A16488" i="1"/>
  <c r="A6879" i="1"/>
  <c r="A5525" i="1"/>
  <c r="A4570" i="1"/>
  <c r="A5663" i="1"/>
  <c r="A7245" i="1"/>
  <c r="A5020" i="1"/>
  <c r="A6799" i="1"/>
  <c r="A17197" i="1"/>
  <c r="A6707" i="1"/>
  <c r="A6168" i="1"/>
  <c r="A5299" i="1"/>
  <c r="A7278" i="1"/>
  <c r="A3157" i="1"/>
  <c r="A4022" i="1"/>
  <c r="A17196" i="1"/>
  <c r="A5692" i="1"/>
  <c r="A5391" i="1"/>
  <c r="A6053" i="1"/>
  <c r="A6878" i="1"/>
  <c r="A5211" i="1"/>
  <c r="A7566" i="1"/>
  <c r="A7623" i="1"/>
  <c r="A4331" i="1"/>
  <c r="A7384" i="1"/>
  <c r="A7014" i="1"/>
  <c r="A11810" i="1"/>
  <c r="A12796" i="1"/>
  <c r="A14774" i="1"/>
  <c r="A6774" i="1"/>
  <c r="A4712" i="1"/>
  <c r="A5560" i="1"/>
  <c r="A17195" i="1"/>
  <c r="A5269" i="1"/>
  <c r="A5268" i="1"/>
  <c r="A5452" i="1"/>
  <c r="A2402" i="1"/>
  <c r="A6052" i="1"/>
  <c r="A2566" i="1"/>
  <c r="A9838" i="1"/>
  <c r="A6852" i="1"/>
  <c r="A6304" i="1"/>
  <c r="A7277" i="1"/>
  <c r="A7306" i="1"/>
  <c r="A6432" i="1"/>
  <c r="A5990" i="1"/>
  <c r="A12241" i="1"/>
  <c r="A4938" i="1"/>
  <c r="A6793" i="1"/>
  <c r="A4824" i="1"/>
  <c r="A3991" i="1"/>
  <c r="A17194" i="1"/>
  <c r="A5390" i="1"/>
  <c r="A2977" i="1"/>
  <c r="A12030" i="1"/>
  <c r="A4569" i="1"/>
  <c r="A4187" i="1"/>
  <c r="A5130" i="1"/>
  <c r="A17193" i="1"/>
  <c r="A5389" i="1"/>
  <c r="A6773" i="1"/>
  <c r="A5419" i="1"/>
  <c r="A5902" i="1"/>
  <c r="A17192" i="1"/>
  <c r="A4272" i="1"/>
  <c r="A12342" i="1"/>
  <c r="A2824" i="1"/>
  <c r="A5872" i="1"/>
  <c r="A5349" i="1"/>
  <c r="A5761" i="1"/>
  <c r="A5615" i="1"/>
  <c r="A4401" i="1"/>
  <c r="A6460" i="1"/>
  <c r="A5451" i="1"/>
  <c r="A5629" i="1"/>
  <c r="A7159" i="1"/>
  <c r="A5628" i="1"/>
  <c r="A4186" i="1"/>
  <c r="A3215" i="1"/>
  <c r="A5348" i="1"/>
  <c r="A4098" i="1"/>
  <c r="A6615" i="1"/>
  <c r="A3324" i="1"/>
  <c r="A4314" i="1"/>
  <c r="A4485" i="1"/>
  <c r="A10544" i="1"/>
  <c r="A7063" i="1"/>
  <c r="A442" i="1"/>
  <c r="A7785" i="1"/>
  <c r="A17191" i="1"/>
  <c r="A5129" i="1"/>
  <c r="A6946" i="1"/>
  <c r="A3668" i="1"/>
  <c r="A7539" i="1"/>
  <c r="A17190" i="1"/>
  <c r="A5960" i="1"/>
  <c r="A5485" i="1"/>
  <c r="A11498" i="1"/>
  <c r="A5090" i="1"/>
  <c r="A5959" i="1"/>
  <c r="A1809" i="1"/>
  <c r="A11162" i="1"/>
  <c r="A5210" i="1"/>
  <c r="A3930" i="1"/>
  <c r="A5484" i="1"/>
  <c r="A7538" i="1"/>
  <c r="A6772" i="1"/>
  <c r="A6271" i="1"/>
  <c r="A4648" i="1"/>
  <c r="A5931" i="1"/>
  <c r="A17189" i="1"/>
  <c r="A7383" i="1"/>
  <c r="A5388" i="1"/>
  <c r="A17188" i="1"/>
  <c r="A5524" i="1"/>
  <c r="A10134" i="1"/>
  <c r="A4982" i="1"/>
  <c r="A2637" i="1"/>
  <c r="A3716" i="1"/>
  <c r="A4927" i="1"/>
  <c r="A4807" i="1"/>
  <c r="A3833" i="1"/>
  <c r="A4647" i="1"/>
  <c r="A5019" i="1"/>
  <c r="A4185" i="1"/>
  <c r="A5930" i="1"/>
  <c r="A5089" i="1"/>
  <c r="A6051" i="1"/>
  <c r="A6401" i="1"/>
  <c r="A4998" i="1"/>
  <c r="A7382" i="1"/>
  <c r="A4845" i="1"/>
  <c r="A6970" i="1"/>
  <c r="A3981" i="1"/>
  <c r="A5111" i="1"/>
  <c r="A3101" i="1"/>
  <c r="A17187" i="1"/>
  <c r="A5787" i="1"/>
  <c r="A6245" i="1"/>
  <c r="A6771" i="1"/>
  <c r="A3624" i="1"/>
  <c r="A6210" i="1"/>
  <c r="A5600" i="1"/>
  <c r="A5662" i="1"/>
  <c r="A4527" i="1"/>
  <c r="A7038" i="1"/>
  <c r="A441" i="1"/>
  <c r="A5871" i="1"/>
  <c r="A2565" i="1"/>
  <c r="A4368" i="1"/>
  <c r="A4097" i="1"/>
  <c r="A2492" i="1"/>
  <c r="A17186" i="1"/>
  <c r="A4464" i="1"/>
  <c r="A4963" i="1"/>
  <c r="A6459" i="1"/>
  <c r="A5901" i="1"/>
  <c r="A2573" i="1"/>
  <c r="A4711" i="1"/>
  <c r="A13097" i="1"/>
  <c r="A4623" i="1"/>
  <c r="A4451" i="1"/>
  <c r="A9873" i="1"/>
  <c r="A9219" i="1"/>
  <c r="A4450" i="1"/>
  <c r="A4710" i="1"/>
  <c r="A5387" i="1"/>
  <c r="A5819" i="1"/>
  <c r="A3715" i="1"/>
  <c r="A4603" i="1"/>
  <c r="A17185" i="1"/>
  <c r="A4400" i="1"/>
  <c r="A5170" i="1"/>
  <c r="A6303" i="1"/>
  <c r="A4709" i="1"/>
  <c r="A17184" i="1"/>
  <c r="A4367" i="1"/>
  <c r="A4646" i="1"/>
  <c r="A5627" i="1"/>
  <c r="A8508" i="1"/>
  <c r="A6431" i="1"/>
  <c r="A5760" i="1"/>
  <c r="A5786" i="1"/>
  <c r="A6605" i="1"/>
  <c r="A5347" i="1"/>
  <c r="A17183" i="1"/>
  <c r="A5241" i="1"/>
  <c r="A5929" i="1"/>
  <c r="A5584" i="1"/>
  <c r="A4313" i="1"/>
  <c r="A5661" i="1"/>
  <c r="A3281" i="1"/>
  <c r="A17182" i="1"/>
  <c r="A17181" i="1"/>
  <c r="A17180" i="1"/>
  <c r="A6641" i="1"/>
  <c r="A4449" i="1"/>
  <c r="A4143" i="1"/>
  <c r="A5483" i="1"/>
  <c r="A17179" i="1"/>
  <c r="A5989" i="1"/>
  <c r="A5128" i="1"/>
  <c r="A6371" i="1"/>
  <c r="A5209" i="1"/>
  <c r="A6302" i="1"/>
  <c r="A3980" i="1"/>
  <c r="A11144" i="1"/>
  <c r="A5450" i="1"/>
  <c r="A4954" i="1"/>
  <c r="A5839" i="1"/>
  <c r="A10160" i="1"/>
  <c r="A5900" i="1"/>
  <c r="A17178" i="1"/>
  <c r="A4399" i="1"/>
  <c r="A12914" i="1"/>
  <c r="A8545" i="1"/>
  <c r="A10005" i="1"/>
  <c r="A15043" i="1"/>
  <c r="A5759" i="1"/>
  <c r="A5386" i="1"/>
  <c r="A5523" i="1"/>
  <c r="A5033" i="1"/>
  <c r="A3035" i="1"/>
  <c r="A4366" i="1"/>
  <c r="A1617" i="1"/>
  <c r="A4774" i="1"/>
  <c r="A5088" i="1"/>
  <c r="A17177" i="1"/>
  <c r="A4077" i="1"/>
  <c r="A1985" i="1"/>
  <c r="A17176" i="1"/>
  <c r="A6400" i="1"/>
  <c r="A17175" i="1"/>
  <c r="A5599" i="1"/>
  <c r="A6017" i="1"/>
  <c r="A3714" i="1"/>
  <c r="A3832" i="1"/>
  <c r="A17174" i="1"/>
  <c r="A5559" i="1"/>
  <c r="A12507" i="1"/>
  <c r="A4742" i="1"/>
  <c r="A6137" i="1"/>
  <c r="A4065" i="1"/>
  <c r="A4526" i="1"/>
  <c r="A11197" i="1"/>
  <c r="A5726" i="1"/>
  <c r="A5346" i="1"/>
  <c r="A5626" i="1"/>
  <c r="A6528" i="1"/>
  <c r="A4142" i="1"/>
  <c r="A15548" i="1"/>
  <c r="A8777" i="1"/>
  <c r="A5418" i="1"/>
  <c r="A5785" i="1"/>
  <c r="A4021" i="1"/>
  <c r="A17173" i="1"/>
  <c r="A14773" i="1"/>
  <c r="A6907" i="1"/>
  <c r="A4806" i="1"/>
  <c r="A6945" i="1"/>
  <c r="A5240" i="1"/>
  <c r="A5169" i="1"/>
  <c r="A5168" i="1"/>
  <c r="A8672" i="1"/>
  <c r="A6118" i="1"/>
  <c r="A4602" i="1"/>
  <c r="A6735" i="1"/>
  <c r="A5921" i="1"/>
  <c r="A4601" i="1"/>
  <c r="A5598" i="1"/>
  <c r="A5051" i="1"/>
  <c r="A3979" i="1"/>
  <c r="A5597" i="1"/>
  <c r="A4525" i="1"/>
  <c r="A8082" i="1"/>
  <c r="A1080" i="1"/>
  <c r="A4448" i="1"/>
  <c r="A17172" i="1"/>
  <c r="A17171" i="1"/>
  <c r="A7335" i="1"/>
  <c r="A4678" i="1"/>
  <c r="A3929" i="1"/>
  <c r="A6244" i="1"/>
  <c r="A5385" i="1"/>
  <c r="A4645" i="1"/>
  <c r="A6458" i="1"/>
  <c r="A6136" i="1"/>
  <c r="A5417" i="1"/>
  <c r="A17170" i="1"/>
  <c r="A8105" i="1"/>
  <c r="A5416" i="1"/>
  <c r="A6944" i="1"/>
  <c r="A6527" i="1"/>
  <c r="A6976" i="1"/>
  <c r="A4884" i="1"/>
  <c r="A10215" i="1"/>
  <c r="A8332" i="1"/>
  <c r="A17169" i="1"/>
  <c r="A4805" i="1"/>
  <c r="A4926" i="1"/>
  <c r="A4741" i="1"/>
  <c r="A11460" i="1"/>
  <c r="A2564" i="1"/>
  <c r="A5127" i="1"/>
  <c r="A5870" i="1"/>
  <c r="A5208" i="1"/>
  <c r="A17168" i="1"/>
  <c r="A1719" i="1"/>
  <c r="A4844" i="1"/>
  <c r="A6301" i="1"/>
  <c r="A5126" i="1"/>
  <c r="A4330" i="1"/>
  <c r="A11353" i="1"/>
  <c r="A8754" i="1"/>
  <c r="A7221" i="1"/>
  <c r="A5838" i="1"/>
  <c r="A6399" i="1"/>
  <c r="A4965" i="1"/>
  <c r="A17167" i="1"/>
  <c r="A2823" i="1"/>
  <c r="A5625" i="1"/>
  <c r="A4141" i="1"/>
  <c r="A11979" i="1"/>
  <c r="A16113" i="1"/>
  <c r="A4568" i="1"/>
  <c r="A6706" i="1"/>
  <c r="A4925" i="1"/>
  <c r="A2322" i="1"/>
  <c r="A5239" i="1"/>
  <c r="A3928" i="1"/>
  <c r="A6209" i="1"/>
  <c r="A8736" i="1"/>
  <c r="A3667" i="1"/>
  <c r="A3831" i="1"/>
  <c r="A5207" i="1"/>
  <c r="A3375" i="1"/>
  <c r="A4740" i="1"/>
  <c r="A5206" i="1"/>
  <c r="A5050" i="1"/>
  <c r="A4227" i="1"/>
  <c r="A4739" i="1"/>
  <c r="A5818" i="1"/>
  <c r="A3034" i="1"/>
  <c r="A4953" i="1"/>
  <c r="A5049" i="1"/>
  <c r="A12639" i="1"/>
  <c r="A13935" i="1"/>
  <c r="A8596" i="1"/>
  <c r="A2976" i="1"/>
  <c r="A6573" i="1"/>
  <c r="A5988" i="1"/>
  <c r="A4708" i="1"/>
  <c r="A7109" i="1"/>
  <c r="A6300" i="1"/>
  <c r="A17166" i="1"/>
  <c r="A4140" i="1"/>
  <c r="A17165" i="1"/>
  <c r="A17164" i="1"/>
  <c r="A6430" i="1"/>
  <c r="A5784" i="1"/>
  <c r="A4644" i="1"/>
  <c r="A5522" i="1"/>
  <c r="A4226" i="1"/>
  <c r="A10073" i="1"/>
  <c r="A6906" i="1"/>
  <c r="A17163" i="1"/>
  <c r="A4064" i="1"/>
  <c r="A4804" i="1"/>
  <c r="A5384" i="1"/>
  <c r="A5018" i="1"/>
  <c r="A4447" i="1"/>
  <c r="A4312" i="1"/>
  <c r="A10159" i="1"/>
  <c r="A5167" i="1"/>
  <c r="A4981" i="1"/>
  <c r="A5415" i="1"/>
  <c r="A6135" i="1"/>
  <c r="A17162" i="1"/>
  <c r="A4924" i="1"/>
  <c r="A3771" i="1"/>
  <c r="A5087" i="1"/>
  <c r="A4524" i="1"/>
  <c r="A5869" i="1"/>
  <c r="A3830" i="1"/>
  <c r="A4365" i="1"/>
  <c r="A5383" i="1"/>
  <c r="A6243" i="1"/>
  <c r="A7006" i="1"/>
  <c r="A4828" i="1"/>
  <c r="A5150" i="1"/>
  <c r="A3713" i="1"/>
  <c r="A4643" i="1"/>
  <c r="A8060" i="1"/>
  <c r="A3033" i="1"/>
  <c r="A4497" i="1"/>
  <c r="A17161" i="1"/>
  <c r="A5449" i="1"/>
  <c r="A10109" i="1"/>
  <c r="A3206" i="1"/>
  <c r="A7738" i="1"/>
  <c r="A4980" i="1"/>
  <c r="A5837" i="1"/>
  <c r="A3366" i="1"/>
  <c r="A5558" i="1"/>
  <c r="A3474" i="1"/>
  <c r="A5086" i="1"/>
  <c r="A3277" i="1"/>
  <c r="A5085" i="1"/>
  <c r="A3873" i="1"/>
  <c r="A4364" i="1"/>
  <c r="A4063" i="1"/>
  <c r="A4523" i="1"/>
  <c r="A4883" i="1"/>
  <c r="A7013" i="1"/>
  <c r="A4139" i="1"/>
  <c r="A4979" i="1"/>
  <c r="A5482" i="1"/>
  <c r="A3770" i="1"/>
  <c r="A17160" i="1"/>
  <c r="A5166" i="1"/>
  <c r="A17159" i="1"/>
  <c r="A5817" i="1"/>
  <c r="A5345" i="1"/>
  <c r="A5868" i="1"/>
  <c r="A5624" i="1"/>
  <c r="A7305" i="1"/>
  <c r="A3580" i="1"/>
  <c r="A5448" i="1"/>
  <c r="A17158" i="1"/>
  <c r="A5867" i="1"/>
  <c r="A17157" i="1"/>
  <c r="A6134" i="1"/>
  <c r="A4826" i="1"/>
  <c r="A4785" i="1"/>
  <c r="A7244" i="1"/>
  <c r="A5191" i="1"/>
  <c r="A3579" i="1"/>
  <c r="A13229" i="1"/>
  <c r="A8170" i="1"/>
  <c r="A7225" i="1"/>
  <c r="A4271" i="1"/>
  <c r="A9241" i="1"/>
  <c r="A10353" i="1"/>
  <c r="A4882" i="1"/>
  <c r="A5382" i="1"/>
  <c r="A17156" i="1"/>
  <c r="A4522" i="1"/>
  <c r="A8059" i="1"/>
  <c r="A5521" i="1"/>
  <c r="A4738" i="1"/>
  <c r="A6167" i="1"/>
  <c r="A2636" i="1"/>
  <c r="A17155" i="1"/>
  <c r="A4843" i="1"/>
  <c r="A12374" i="1"/>
  <c r="A5221" i="1"/>
  <c r="A7012" i="1"/>
  <c r="A8527" i="1"/>
  <c r="A6398" i="1"/>
  <c r="A5982" i="1"/>
  <c r="A3927" i="1"/>
  <c r="A5557" i="1"/>
  <c r="A440" i="1"/>
  <c r="A4923" i="1"/>
  <c r="A5125" i="1"/>
  <c r="A6088" i="1"/>
  <c r="A5447" i="1"/>
  <c r="A5481" i="1"/>
  <c r="A5084" i="1"/>
  <c r="A4446" i="1"/>
  <c r="A4842" i="1"/>
  <c r="A17154" i="1"/>
  <c r="A5124" i="1"/>
  <c r="A5783" i="1"/>
  <c r="A3926" i="1"/>
  <c r="A17153" i="1"/>
  <c r="A5480" i="1"/>
  <c r="A4952" i="1"/>
  <c r="A4225" i="1"/>
  <c r="A6270" i="1"/>
  <c r="A5165" i="1"/>
  <c r="A4677" i="1"/>
  <c r="A3100" i="1"/>
  <c r="A10278" i="1"/>
  <c r="A3829" i="1"/>
  <c r="A4996" i="1"/>
  <c r="A4106" i="1"/>
  <c r="A2765" i="1"/>
  <c r="A6296" i="1"/>
  <c r="A5660" i="1"/>
  <c r="A17152" i="1"/>
  <c r="A4416" i="1"/>
  <c r="A5725" i="1"/>
  <c r="A8152" i="1"/>
  <c r="A2975" i="1"/>
  <c r="A4600" i="1"/>
  <c r="A3623" i="1"/>
  <c r="A3666" i="1"/>
  <c r="A5017" i="1"/>
  <c r="A6397" i="1"/>
  <c r="A6526" i="1"/>
  <c r="A16466" i="1"/>
  <c r="A4521" i="1"/>
  <c r="A13790" i="1"/>
  <c r="A6242" i="1"/>
  <c r="A5596" i="1"/>
  <c r="A3872" i="1"/>
  <c r="A3535" i="1"/>
  <c r="A3712" i="1"/>
  <c r="A17151" i="1"/>
  <c r="A439" i="1"/>
  <c r="A6614" i="1"/>
  <c r="A5595" i="1"/>
  <c r="A7896" i="1"/>
  <c r="A4445" i="1"/>
  <c r="A17150" i="1"/>
  <c r="A6672" i="1"/>
  <c r="A3425" i="1"/>
  <c r="A5414" i="1"/>
  <c r="A4863" i="1"/>
  <c r="A17149" i="1"/>
  <c r="A3978" i="1"/>
  <c r="A8104" i="1"/>
  <c r="A3365" i="1"/>
  <c r="A6671" i="1"/>
  <c r="A4773" i="1"/>
  <c r="A4334" i="1"/>
  <c r="A5344" i="1"/>
  <c r="A17148" i="1"/>
  <c r="A17147" i="1"/>
  <c r="A3318" i="1"/>
  <c r="A17146" i="1"/>
  <c r="A4363" i="1"/>
  <c r="A10263" i="1"/>
  <c r="A4881" i="1"/>
  <c r="A3578" i="1"/>
  <c r="A4062" i="1"/>
  <c r="A5958" i="1"/>
  <c r="A5016" i="1"/>
  <c r="A7710" i="1"/>
  <c r="A4362" i="1"/>
  <c r="A6563" i="1"/>
  <c r="A5866" i="1"/>
  <c r="A4880" i="1"/>
  <c r="A4841" i="1"/>
  <c r="A6396" i="1"/>
  <c r="A4311" i="1"/>
  <c r="A3925" i="1"/>
  <c r="A4707" i="1"/>
  <c r="A17145" i="1"/>
  <c r="A5816" i="1"/>
  <c r="A5123" i="1"/>
  <c r="A4076" i="1"/>
  <c r="A17144" i="1"/>
  <c r="A6087" i="1"/>
  <c r="A6395" i="1"/>
  <c r="A4903" i="1"/>
  <c r="A17143" i="1"/>
  <c r="A17142" i="1"/>
  <c r="A17141" i="1"/>
  <c r="A3156" i="1"/>
  <c r="A17140" i="1"/>
  <c r="A6233" i="1"/>
  <c r="A17139" i="1"/>
  <c r="A3032" i="1"/>
  <c r="A4997" i="1"/>
  <c r="A8619" i="1"/>
  <c r="A5083" i="1"/>
  <c r="A6613" i="1"/>
  <c r="A10200" i="1"/>
  <c r="A2701" i="1"/>
  <c r="A17138" i="1"/>
  <c r="A4840" i="1"/>
  <c r="A9651" i="1"/>
  <c r="A8494" i="1"/>
  <c r="A3769" i="1"/>
  <c r="A16189" i="1"/>
  <c r="A9461" i="1"/>
  <c r="A5164" i="1"/>
  <c r="A15106" i="1"/>
  <c r="A17137" i="1"/>
  <c r="A17136" i="1"/>
  <c r="A4567" i="1"/>
  <c r="A5163" i="1"/>
  <c r="A7762" i="1"/>
  <c r="A5520" i="1"/>
  <c r="A6770" i="1"/>
  <c r="A6050" i="1"/>
  <c r="A5987" i="1"/>
  <c r="A17135" i="1"/>
  <c r="A3977" i="1"/>
  <c r="A3768" i="1"/>
  <c r="A6572" i="1"/>
  <c r="A5205" i="1"/>
  <c r="A5623" i="1"/>
  <c r="A5836" i="1"/>
  <c r="A4904" i="1"/>
  <c r="A5778" i="1"/>
  <c r="A4361" i="1"/>
  <c r="A2180" i="1"/>
  <c r="A4020" i="1"/>
  <c r="A6337" i="1"/>
  <c r="A3767" i="1"/>
  <c r="A5298" i="1"/>
  <c r="A4184" i="1"/>
  <c r="A4951" i="1"/>
  <c r="A3274" i="1"/>
  <c r="A6705" i="1"/>
  <c r="A3828" i="1"/>
  <c r="A4879" i="1"/>
  <c r="A3317" i="1"/>
  <c r="A5899" i="1"/>
  <c r="A4950" i="1"/>
  <c r="A4484" i="1"/>
  <c r="A5267" i="1"/>
  <c r="A4706" i="1"/>
  <c r="A9575" i="1"/>
  <c r="A5724" i="1"/>
  <c r="A17134" i="1"/>
  <c r="A5082" i="1"/>
  <c r="A5015" i="1"/>
  <c r="A4922" i="1"/>
  <c r="A8305" i="1"/>
  <c r="A7062" i="1"/>
  <c r="A4398" i="1"/>
  <c r="A6429" i="1"/>
  <c r="A4823" i="1"/>
  <c r="A4310" i="1"/>
  <c r="A17133" i="1"/>
  <c r="A4839" i="1"/>
  <c r="A17132" i="1"/>
  <c r="A4270" i="1"/>
  <c r="A17131" i="1"/>
  <c r="A5782" i="1"/>
  <c r="A6943" i="1"/>
  <c r="A6208" i="1"/>
  <c r="A6525" i="1"/>
  <c r="A5403" i="1"/>
  <c r="A4061" i="1"/>
  <c r="A4019" i="1"/>
  <c r="A3577" i="1"/>
  <c r="A2921" i="1"/>
  <c r="A3316" i="1"/>
  <c r="A5204" i="1"/>
  <c r="A6207" i="1"/>
  <c r="A5659" i="1"/>
  <c r="A5297" i="1"/>
  <c r="A4096" i="1"/>
  <c r="A5519" i="1"/>
  <c r="A3711" i="1"/>
  <c r="A16112" i="1"/>
  <c r="A5594" i="1"/>
  <c r="A4397" i="1"/>
  <c r="A7113" i="1"/>
  <c r="A4642" i="1"/>
  <c r="A5413" i="1"/>
  <c r="A4269" i="1"/>
  <c r="A15632" i="1"/>
  <c r="A9574" i="1"/>
  <c r="A5122" i="1"/>
  <c r="A5658" i="1"/>
  <c r="A5815" i="1"/>
  <c r="A7090" i="1"/>
  <c r="A6133" i="1"/>
  <c r="A7011" i="1"/>
  <c r="A5121" i="1"/>
  <c r="A5081" i="1"/>
  <c r="A6670" i="1"/>
  <c r="A3665" i="1"/>
  <c r="A5446" i="1"/>
  <c r="A3944" i="1"/>
  <c r="A4676" i="1"/>
  <c r="A2700" i="1"/>
  <c r="A7709" i="1"/>
  <c r="A7509" i="1"/>
  <c r="A10262" i="1"/>
  <c r="A7784" i="1"/>
  <c r="A13379" i="1"/>
  <c r="A3205" i="1"/>
  <c r="A17130" i="1"/>
  <c r="A15248" i="1"/>
  <c r="A3976" i="1"/>
  <c r="A3622" i="1"/>
  <c r="A6166" i="1"/>
  <c r="A5445" i="1"/>
  <c r="A5203" i="1"/>
  <c r="A6877" i="1"/>
  <c r="A4396" i="1"/>
  <c r="A4183" i="1"/>
  <c r="A3534" i="1"/>
  <c r="A4309" i="1"/>
  <c r="A7089" i="1"/>
  <c r="A6478" i="1"/>
  <c r="A7761" i="1"/>
  <c r="A4641" i="1"/>
  <c r="A6457" i="1"/>
  <c r="A5296" i="1"/>
  <c r="A4360" i="1"/>
  <c r="A4921" i="1"/>
  <c r="A4838" i="1"/>
  <c r="A3273" i="1"/>
  <c r="A3975" i="1"/>
  <c r="A4566" i="1"/>
  <c r="A4157" i="1"/>
  <c r="A17129" i="1"/>
  <c r="A6086" i="1"/>
  <c r="A2771" i="1"/>
  <c r="A4964" i="1"/>
  <c r="A17128" i="1"/>
  <c r="A3155" i="1"/>
  <c r="A4705" i="1"/>
  <c r="A2764" i="1"/>
  <c r="A2763" i="1"/>
  <c r="A3827" i="1"/>
  <c r="A17127" i="1"/>
  <c r="A3154" i="1"/>
  <c r="A4520" i="1"/>
  <c r="A7987" i="1"/>
  <c r="A17126" i="1"/>
  <c r="A7536" i="1"/>
  <c r="A8318" i="1"/>
  <c r="A3473" i="1"/>
  <c r="A6975" i="1"/>
  <c r="A9416" i="1"/>
  <c r="A4224" i="1"/>
  <c r="A11798" i="1"/>
  <c r="A6734" i="1"/>
  <c r="A4018" i="1"/>
  <c r="A10599" i="1"/>
  <c r="A4395" i="1"/>
  <c r="A6165" i="1"/>
  <c r="A5691" i="1"/>
  <c r="A6428" i="1"/>
  <c r="A6612" i="1"/>
  <c r="A5014" i="1"/>
  <c r="A4359" i="1"/>
  <c r="A17125" i="1"/>
  <c r="A2920" i="1"/>
  <c r="A5048" i="1"/>
  <c r="A4999" i="1"/>
  <c r="A4878" i="1"/>
  <c r="A4978" i="1"/>
  <c r="A4138" i="1"/>
  <c r="A2871" i="1"/>
  <c r="A4308" i="1"/>
  <c r="A4444" i="1"/>
  <c r="A6797" i="1"/>
  <c r="A3379" i="1"/>
  <c r="A3272" i="1"/>
  <c r="A4640" i="1"/>
  <c r="A4268" i="1"/>
  <c r="A5412" i="1"/>
  <c r="A4519" i="1"/>
  <c r="A4137" i="1"/>
  <c r="A5047" i="1"/>
  <c r="A3153" i="1"/>
  <c r="A5593" i="1"/>
  <c r="A6820" i="1"/>
  <c r="A4704" i="1"/>
  <c r="A4877" i="1"/>
  <c r="A4394" i="1"/>
  <c r="A5013" i="1"/>
  <c r="A3099" i="1"/>
  <c r="A4565" i="1"/>
  <c r="A4358" i="1"/>
  <c r="A2321" i="1"/>
  <c r="A6704" i="1"/>
  <c r="A4876" i="1"/>
  <c r="A4675" i="1"/>
  <c r="A4772" i="1"/>
  <c r="A5080" i="1"/>
  <c r="A5030" i="1"/>
  <c r="A7059" i="1"/>
  <c r="A11947" i="1"/>
  <c r="A4223" i="1"/>
  <c r="A15018" i="1"/>
  <c r="A17124" i="1"/>
  <c r="A3533" i="1"/>
  <c r="A13433" i="1"/>
  <c r="A438" i="1"/>
  <c r="A11352" i="1"/>
  <c r="A4443" i="1"/>
  <c r="A6571" i="1"/>
  <c r="A3710" i="1"/>
  <c r="A437" i="1"/>
  <c r="A2822" i="1"/>
  <c r="A5162" i="1"/>
  <c r="A10004" i="1"/>
  <c r="A4822" i="1"/>
  <c r="A4518" i="1"/>
  <c r="A4357" i="1"/>
  <c r="A4639" i="1"/>
  <c r="A4182" i="1"/>
  <c r="A3364" i="1"/>
  <c r="A17123" i="1"/>
  <c r="A5266" i="1"/>
  <c r="A4875" i="1"/>
  <c r="A4920" i="1"/>
  <c r="A7508" i="1"/>
  <c r="A5046" i="1"/>
  <c r="A17122" i="1"/>
  <c r="A6851" i="1"/>
  <c r="A3766" i="1"/>
  <c r="A6798" i="1"/>
  <c r="A8436" i="1"/>
  <c r="A7760" i="1"/>
  <c r="A2919" i="1"/>
  <c r="A4625" i="1"/>
  <c r="A2918" i="1"/>
  <c r="A6206" i="1"/>
  <c r="A6974" i="1"/>
  <c r="A9988" i="1"/>
  <c r="A2870" i="1"/>
  <c r="A2635" i="1"/>
  <c r="A2634" i="1"/>
  <c r="A4136" i="1"/>
  <c r="A4442" i="1"/>
  <c r="A4919" i="1"/>
  <c r="A17121" i="1"/>
  <c r="A4267" i="1"/>
  <c r="A5781" i="1"/>
  <c r="A5161" i="1"/>
  <c r="A5898" i="1"/>
  <c r="A4703" i="1"/>
  <c r="A5160" i="1"/>
  <c r="A4599" i="1"/>
  <c r="A10937" i="1"/>
  <c r="A7202" i="1"/>
  <c r="A3031" i="1"/>
  <c r="A5758" i="1"/>
  <c r="A3204" i="1"/>
  <c r="A4737" i="1"/>
  <c r="A5381" i="1"/>
  <c r="A4736" i="1"/>
  <c r="A4356" i="1"/>
  <c r="A436" i="1"/>
  <c r="A4702" i="1"/>
  <c r="A3974" i="1"/>
  <c r="A2169" i="1"/>
  <c r="A17120" i="1"/>
  <c r="A3424" i="1"/>
  <c r="A2633" i="1"/>
  <c r="A5045" i="1"/>
  <c r="A3532" i="1"/>
  <c r="A4803" i="1"/>
  <c r="A4918" i="1"/>
  <c r="A3973" i="1"/>
  <c r="A3481" i="1"/>
  <c r="A3728" i="1"/>
  <c r="A8465" i="1"/>
  <c r="A4902" i="1"/>
  <c r="A9052" i="1"/>
  <c r="A4095" i="1"/>
  <c r="A4674" i="1"/>
  <c r="A5723" i="1"/>
  <c r="A3030" i="1"/>
  <c r="A5202" i="1"/>
  <c r="A10014" i="1"/>
  <c r="A5343" i="1"/>
  <c r="A10774" i="1"/>
  <c r="A17119" i="1"/>
  <c r="A4307" i="1"/>
  <c r="A4266" i="1"/>
  <c r="A3472" i="1"/>
  <c r="A3924" i="1"/>
  <c r="A10997" i="1"/>
  <c r="A4517" i="1"/>
  <c r="A7855" i="1"/>
  <c r="A5201" i="1"/>
  <c r="A5690" i="1"/>
  <c r="A6132" i="1"/>
  <c r="A4598" i="1"/>
  <c r="A17118" i="1"/>
  <c r="A11693" i="1"/>
  <c r="A7737" i="1"/>
  <c r="A4771" i="1"/>
  <c r="A4329" i="1"/>
  <c r="A2917" i="1"/>
  <c r="A5120" i="1"/>
  <c r="A3621" i="1"/>
  <c r="A2632" i="1"/>
  <c r="A3203" i="1"/>
  <c r="A3871" i="1"/>
  <c r="A3152" i="1"/>
  <c r="A5079" i="1"/>
  <c r="A17117" i="1"/>
  <c r="A4222" i="1"/>
  <c r="A5556" i="1"/>
  <c r="A11936" i="1"/>
  <c r="A6769" i="1"/>
  <c r="A4735" i="1"/>
  <c r="A4017" i="1"/>
  <c r="A3620" i="1"/>
  <c r="A5119" i="1"/>
  <c r="A5555" i="1"/>
  <c r="A4265" i="1"/>
  <c r="A2821" i="1"/>
  <c r="A6370" i="1"/>
  <c r="A17116" i="1"/>
  <c r="A4734" i="1"/>
  <c r="A6241" i="1"/>
  <c r="A10199" i="1"/>
  <c r="A6164" i="1"/>
  <c r="A5265" i="1"/>
  <c r="A3923" i="1"/>
  <c r="A12498" i="1"/>
  <c r="A5592" i="1"/>
  <c r="A5897" i="1"/>
  <c r="A5411" i="1"/>
  <c r="A6131" i="1"/>
  <c r="A435" i="1"/>
  <c r="A4917" i="1"/>
  <c r="A4701" i="1"/>
  <c r="A4306" i="1"/>
  <c r="A4802" i="1"/>
  <c r="A6427" i="1"/>
  <c r="A5264" i="1"/>
  <c r="A9432" i="1"/>
  <c r="A4516" i="1"/>
  <c r="A8058" i="1"/>
  <c r="A7112" i="1"/>
  <c r="A5622" i="1"/>
  <c r="A3664" i="1"/>
  <c r="A4673" i="1"/>
  <c r="A5159" i="1"/>
  <c r="A4801" i="1"/>
  <c r="A5410" i="1"/>
  <c r="A6130" i="1"/>
  <c r="A7276" i="1"/>
  <c r="A3729" i="1"/>
  <c r="A5980" i="1"/>
  <c r="A5118" i="1"/>
  <c r="A4355" i="1"/>
  <c r="A4756" i="1"/>
  <c r="A4016" i="1"/>
  <c r="A9684" i="1"/>
  <c r="A2762" i="1"/>
  <c r="A8650" i="1"/>
  <c r="A2916" i="1"/>
  <c r="A3922" i="1"/>
  <c r="A17115" i="1"/>
  <c r="A3471" i="1"/>
  <c r="A5380" i="1"/>
  <c r="A4181" i="1"/>
  <c r="A3826" i="1"/>
  <c r="A17114" i="1"/>
  <c r="A2491" i="1"/>
  <c r="A17113" i="1"/>
  <c r="A8260" i="1"/>
  <c r="A3709" i="1"/>
  <c r="A4483" i="1"/>
  <c r="A5591" i="1"/>
  <c r="A5342" i="1"/>
  <c r="A6477" i="1"/>
  <c r="A4977" i="1"/>
  <c r="A6085" i="1"/>
  <c r="A4700" i="1"/>
  <c r="A5230" i="1"/>
  <c r="A434" i="1"/>
  <c r="A10742" i="1"/>
  <c r="A4837" i="1"/>
  <c r="A5158" i="1"/>
  <c r="A4699" i="1"/>
  <c r="A4672" i="1"/>
  <c r="A7010" i="1"/>
  <c r="A5722" i="1"/>
  <c r="A2820" i="1"/>
  <c r="A11768" i="1"/>
  <c r="A17112" i="1"/>
  <c r="A4940" i="1"/>
  <c r="A2563" i="1"/>
  <c r="A5554" i="1"/>
  <c r="A4015" i="1"/>
  <c r="A2699" i="1"/>
  <c r="A5200" i="1"/>
  <c r="A11143" i="1"/>
  <c r="A4180" i="1"/>
  <c r="A7622" i="1"/>
  <c r="A10299" i="1"/>
  <c r="A4393" i="1"/>
  <c r="A17111" i="1"/>
  <c r="A4961" i="1"/>
  <c r="A3765" i="1"/>
  <c r="A4671" i="1"/>
  <c r="A3098" i="1"/>
  <c r="A2974" i="1"/>
  <c r="A5379" i="1"/>
  <c r="A2698" i="1"/>
  <c r="A5378" i="1"/>
  <c r="A17110" i="1"/>
  <c r="A17109" i="1"/>
  <c r="A5621" i="1"/>
  <c r="A3870" i="1"/>
  <c r="A3764" i="1"/>
  <c r="A4670" i="1"/>
  <c r="A3315" i="1"/>
  <c r="A5657" i="1"/>
  <c r="A6024" i="1"/>
  <c r="A6078" i="1"/>
  <c r="A4482" i="1"/>
  <c r="A7201" i="1"/>
  <c r="A4976" i="1"/>
  <c r="A6611" i="1"/>
  <c r="A5078" i="1"/>
  <c r="A17108" i="1"/>
  <c r="A4441" i="1"/>
  <c r="A2986" i="1"/>
  <c r="A2631" i="1"/>
  <c r="A13275" i="1"/>
  <c r="A2630" i="1"/>
  <c r="A2973" i="1"/>
  <c r="A7423" i="1"/>
  <c r="A3619" i="1"/>
  <c r="A4874" i="1"/>
  <c r="A6336" i="1"/>
  <c r="A2697" i="1"/>
  <c r="A17107" i="1"/>
  <c r="A5553" i="1"/>
  <c r="A3763" i="1"/>
  <c r="A2972" i="1"/>
  <c r="A4392" i="1"/>
  <c r="A4564" i="1"/>
  <c r="A4638" i="1"/>
  <c r="A4094" i="1"/>
  <c r="A7568" i="1"/>
  <c r="A17106" i="1"/>
  <c r="A9328" i="1"/>
  <c r="A9743" i="1"/>
  <c r="A11196" i="1"/>
  <c r="A4014" i="1"/>
  <c r="A4669" i="1"/>
  <c r="A4060" i="1"/>
  <c r="A3663" i="1"/>
  <c r="A3531" i="1"/>
  <c r="A17105" i="1"/>
  <c r="A5957" i="1"/>
  <c r="A4916" i="1"/>
  <c r="A17104" i="1"/>
  <c r="A5341" i="1"/>
  <c r="A4179" i="1"/>
  <c r="A17103" i="1"/>
  <c r="A2562" i="1"/>
  <c r="A6456" i="1"/>
  <c r="A5044" i="1"/>
  <c r="A4733" i="1"/>
  <c r="A17102" i="1"/>
  <c r="A7298" i="1"/>
  <c r="A9495" i="1"/>
  <c r="A4440" i="1"/>
  <c r="A8526" i="1"/>
  <c r="A5238" i="1"/>
  <c r="A5479" i="1"/>
  <c r="A4264" i="1"/>
  <c r="A4538" i="1"/>
  <c r="A3314" i="1"/>
  <c r="A3097" i="1"/>
  <c r="A4975" i="1"/>
  <c r="A4732" i="1"/>
  <c r="A9446" i="1"/>
  <c r="A4770" i="1"/>
  <c r="A10598" i="1"/>
  <c r="A4637" i="1"/>
  <c r="A4873" i="1"/>
  <c r="A6669" i="1"/>
  <c r="A7594" i="1"/>
  <c r="A3972" i="1"/>
  <c r="A2819" i="1"/>
  <c r="A3363" i="1"/>
  <c r="A4414" i="1"/>
  <c r="A5620" i="1"/>
  <c r="A4059" i="1"/>
  <c r="A3362" i="1"/>
  <c r="A6973" i="1"/>
  <c r="A5814" i="1"/>
  <c r="A4391" i="1"/>
  <c r="A4800" i="1"/>
  <c r="A5757" i="1"/>
  <c r="A4354" i="1"/>
  <c r="A4135" i="1"/>
  <c r="A8103" i="1"/>
  <c r="A2561" i="1"/>
  <c r="A5444" i="1"/>
  <c r="A4597" i="1"/>
  <c r="A8525" i="1"/>
  <c r="A4836" i="1"/>
  <c r="A7986" i="1"/>
  <c r="A17101" i="1"/>
  <c r="A2490" i="1"/>
  <c r="A10597" i="1"/>
  <c r="A4563" i="1"/>
  <c r="A4974" i="1"/>
  <c r="A4439" i="1"/>
  <c r="A4799" i="1"/>
  <c r="A3576" i="1"/>
  <c r="A4438" i="1"/>
  <c r="A5340" i="1"/>
  <c r="A5263" i="1"/>
  <c r="A954" i="1"/>
  <c r="A4221" i="1"/>
  <c r="A5043" i="1"/>
  <c r="A5288" i="1"/>
  <c r="A4353" i="1"/>
  <c r="A6232" i="1"/>
  <c r="A4134" i="1"/>
  <c r="A17100" i="1"/>
  <c r="A17099" i="1"/>
  <c r="A2915" i="1"/>
  <c r="A7567" i="1"/>
  <c r="A4305" i="1"/>
  <c r="A8151" i="1"/>
  <c r="A5518" i="1"/>
  <c r="A6084" i="1"/>
  <c r="A3361" i="1"/>
  <c r="A9912" i="1"/>
  <c r="A5237" i="1"/>
  <c r="A17098" i="1"/>
  <c r="A4178" i="1"/>
  <c r="A3708" i="1"/>
  <c r="A4731" i="1"/>
  <c r="A4562" i="1"/>
  <c r="A6163" i="1"/>
  <c r="A2246" i="1"/>
  <c r="A5157" i="1"/>
  <c r="A17097" i="1"/>
  <c r="A4352" i="1"/>
  <c r="A4133" i="1"/>
  <c r="A5339" i="1"/>
  <c r="A5262" i="1"/>
  <c r="A433" i="1"/>
  <c r="A3869" i="1"/>
  <c r="A4561" i="1"/>
  <c r="A5377" i="1"/>
  <c r="A5031" i="1"/>
  <c r="A4390" i="1"/>
  <c r="A6162" i="1"/>
  <c r="A3707" i="1"/>
  <c r="A3045" i="1"/>
  <c r="A6049" i="1"/>
  <c r="A5012" i="1"/>
  <c r="A2696" i="1"/>
  <c r="A3994" i="1"/>
  <c r="A2869" i="1"/>
  <c r="A5192" i="1"/>
  <c r="A12220" i="1"/>
  <c r="A4636" i="1"/>
  <c r="A4769" i="1"/>
  <c r="A17096" i="1"/>
  <c r="A17095" i="1"/>
  <c r="A4481" i="1"/>
  <c r="A5042" i="1"/>
  <c r="A2695" i="1"/>
  <c r="A3470" i="1"/>
  <c r="A8810" i="1"/>
  <c r="A3706" i="1"/>
  <c r="A4304" i="1"/>
  <c r="A3825" i="1"/>
  <c r="A4132" i="1"/>
  <c r="A3469" i="1"/>
  <c r="A2761" i="1"/>
  <c r="A5443" i="1"/>
  <c r="A3662" i="1"/>
  <c r="A3468" i="1"/>
  <c r="A4915" i="1"/>
  <c r="A5806" i="1"/>
  <c r="A3575" i="1"/>
  <c r="A14178" i="1"/>
  <c r="A4596" i="1"/>
  <c r="A5236" i="1"/>
  <c r="A4093" i="1"/>
  <c r="A5552" i="1"/>
  <c r="A17094" i="1"/>
  <c r="A3971" i="1"/>
  <c r="A5517" i="1"/>
  <c r="A5199" i="1"/>
  <c r="A5516" i="1"/>
  <c r="A2629" i="1"/>
  <c r="A5813" i="1"/>
  <c r="A4635" i="1"/>
  <c r="A4092" i="1"/>
  <c r="A2914" i="1"/>
  <c r="A4131" i="1"/>
  <c r="A3151" i="1"/>
  <c r="A3618" i="1"/>
  <c r="A5228" i="1"/>
  <c r="A4105" i="1"/>
  <c r="A1295" i="1"/>
  <c r="A5110" i="1"/>
  <c r="A4263" i="1"/>
  <c r="A17093" i="1"/>
  <c r="A4262" i="1"/>
  <c r="A4091" i="1"/>
  <c r="A2489" i="1"/>
  <c r="A2260" i="1"/>
  <c r="A3530" i="1"/>
  <c r="A5198" i="1"/>
  <c r="A3096" i="1"/>
  <c r="A1984" i="1"/>
  <c r="A3313" i="1"/>
  <c r="A2401" i="1"/>
  <c r="A5235" i="1"/>
  <c r="A8355" i="1"/>
  <c r="A12456" i="1"/>
  <c r="A5011" i="1"/>
  <c r="A5442" i="1"/>
  <c r="A9607" i="1"/>
  <c r="A2560" i="1"/>
  <c r="A5376" i="1"/>
  <c r="A4013" i="1"/>
  <c r="A4012" i="1"/>
  <c r="A5441" i="1"/>
  <c r="A6129" i="1"/>
  <c r="A4730" i="1"/>
  <c r="A5041" i="1"/>
  <c r="A7941" i="1"/>
  <c r="A4798" i="1"/>
  <c r="A4303" i="1"/>
  <c r="A3467" i="1"/>
  <c r="A5440" i="1"/>
  <c r="A4835" i="1"/>
  <c r="A10240" i="1"/>
  <c r="A3762" i="1"/>
  <c r="A4560" i="1"/>
  <c r="A3705" i="1"/>
  <c r="A4090" i="1"/>
  <c r="A4058" i="1"/>
  <c r="A3824" i="1"/>
  <c r="A4595" i="1"/>
  <c r="A3921" i="1"/>
  <c r="A2400" i="1"/>
  <c r="A3423" i="1"/>
  <c r="A4872" i="1"/>
  <c r="A4089" i="1"/>
  <c r="A6942" i="1"/>
  <c r="A6455" i="1"/>
  <c r="A17092" i="1"/>
  <c r="A2924" i="1"/>
  <c r="A9268" i="1"/>
  <c r="A5156" i="1"/>
  <c r="A7507" i="1"/>
  <c r="A6426" i="1"/>
  <c r="A4900" i="1"/>
  <c r="A17091" i="1"/>
  <c r="A14703" i="1"/>
  <c r="A10419" i="1"/>
  <c r="A8418" i="1"/>
  <c r="A8331" i="1"/>
  <c r="A17090" i="1"/>
  <c r="A4057" i="1"/>
  <c r="A3823" i="1"/>
  <c r="A432" i="1"/>
  <c r="A3920" i="1"/>
  <c r="A4973" i="1"/>
  <c r="A3761" i="1"/>
  <c r="A6048" i="1"/>
  <c r="A5812" i="1"/>
  <c r="A4302" i="1"/>
  <c r="A4389" i="1"/>
  <c r="A2168" i="1"/>
  <c r="A4480" i="1"/>
  <c r="A4437" i="1"/>
  <c r="A17089" i="1"/>
  <c r="A4056" i="1"/>
  <c r="A5197" i="1"/>
  <c r="A3574" i="1"/>
  <c r="A6360" i="1"/>
  <c r="A2167" i="1"/>
  <c r="A17088" i="1"/>
  <c r="A3822" i="1"/>
  <c r="A5780" i="1"/>
  <c r="A5656" i="1"/>
  <c r="A4768" i="1"/>
  <c r="A4594" i="1"/>
  <c r="A4515" i="1"/>
  <c r="A4011" i="1"/>
  <c r="A4514" i="1"/>
  <c r="A4010" i="1"/>
  <c r="A4767" i="1"/>
  <c r="A3312" i="1"/>
  <c r="A4301" i="1"/>
  <c r="A6335" i="1"/>
  <c r="A4834" i="1"/>
  <c r="A3095" i="1"/>
  <c r="A11967" i="1"/>
  <c r="A17087" i="1"/>
  <c r="A17086" i="1"/>
  <c r="A3573" i="1"/>
  <c r="A11867" i="1"/>
  <c r="A7200" i="1"/>
  <c r="A2488" i="1"/>
  <c r="A4088" i="1"/>
  <c r="A3572" i="1"/>
  <c r="A1718" i="1"/>
  <c r="A5077" i="1"/>
  <c r="A2760" i="1"/>
  <c r="A4220" i="1"/>
  <c r="A4972" i="1"/>
  <c r="A3094" i="1"/>
  <c r="A17085" i="1"/>
  <c r="A431" i="1"/>
  <c r="A7708" i="1"/>
  <c r="A4797" i="1"/>
  <c r="A4698" i="1"/>
  <c r="A6761" i="1"/>
  <c r="A7154" i="1"/>
  <c r="A3617" i="1"/>
  <c r="A6205" i="1"/>
  <c r="A3970" i="1"/>
  <c r="A4971" i="1"/>
  <c r="A4109" i="1"/>
  <c r="A3586" i="1"/>
  <c r="A3422" i="1"/>
  <c r="A4087" i="1"/>
  <c r="A4914" i="1"/>
  <c r="A4766" i="1"/>
  <c r="A3202" i="1"/>
  <c r="A2818" i="1"/>
  <c r="A5295" i="1"/>
  <c r="A17084" i="1"/>
  <c r="A3821" i="1"/>
  <c r="A6269" i="1"/>
  <c r="A4949" i="1"/>
  <c r="A4697" i="1"/>
  <c r="A17083" i="1"/>
  <c r="A6334" i="1"/>
  <c r="A4913" i="1"/>
  <c r="A2759" i="1"/>
  <c r="A4300" i="1"/>
  <c r="A4696" i="1"/>
  <c r="A4593" i="1"/>
  <c r="A5478" i="1"/>
  <c r="A4436" i="1"/>
  <c r="A1294" i="1"/>
  <c r="A7854" i="1"/>
  <c r="A7009" i="1"/>
  <c r="A5234" i="1"/>
  <c r="A2628" i="1"/>
  <c r="A4055" i="1"/>
  <c r="A4219" i="1"/>
  <c r="A5229" i="1"/>
  <c r="A5294" i="1"/>
  <c r="A5293" i="1"/>
  <c r="A3378" i="1"/>
  <c r="A3674" i="1"/>
  <c r="A5811" i="1"/>
  <c r="A4559" i="1"/>
  <c r="A7275" i="1"/>
  <c r="A5117" i="1"/>
  <c r="A10072" i="1"/>
  <c r="A3704" i="1"/>
  <c r="A5409" i="1"/>
  <c r="A10543" i="1"/>
  <c r="A3993" i="1"/>
  <c r="A4634" i="1"/>
  <c r="A17082" i="1"/>
  <c r="A4558" i="1"/>
  <c r="A10318" i="1"/>
  <c r="A3466" i="1"/>
  <c r="A3868" i="1"/>
  <c r="A9837" i="1"/>
  <c r="A7985" i="1"/>
  <c r="A3529" i="1"/>
  <c r="A3616" i="1"/>
  <c r="A2817" i="1"/>
  <c r="A4218" i="1"/>
  <c r="A3029" i="1"/>
  <c r="A5010" i="1"/>
  <c r="A2971" i="1"/>
  <c r="A3271" i="1"/>
  <c r="A17081" i="1"/>
  <c r="A4177" i="1"/>
  <c r="A2970" i="1"/>
  <c r="A2399" i="1"/>
  <c r="A4592" i="1"/>
  <c r="A953" i="1"/>
  <c r="A4086" i="1"/>
  <c r="A3969" i="1"/>
  <c r="A5408" i="1"/>
  <c r="A3465" i="1"/>
  <c r="A3093" i="1"/>
  <c r="A5009" i="1"/>
  <c r="A3820" i="1"/>
  <c r="A3703" i="1"/>
  <c r="A2320" i="1"/>
  <c r="A4479" i="1"/>
  <c r="A5774" i="1"/>
  <c r="A4557" i="1"/>
  <c r="A4591" i="1"/>
  <c r="A17080" i="1"/>
  <c r="A3360" i="1"/>
  <c r="A2341" i="1"/>
  <c r="A5040" i="1"/>
  <c r="A2913" i="1"/>
  <c r="A3615" i="1"/>
  <c r="A3028" i="1"/>
  <c r="A17079" i="1"/>
  <c r="A5928" i="1"/>
  <c r="A3919" i="1"/>
  <c r="A8280" i="1"/>
  <c r="A4590" i="1"/>
  <c r="A4351" i="1"/>
  <c r="A4970" i="1"/>
  <c r="A7680" i="1"/>
  <c r="A5477" i="1"/>
  <c r="A4833" i="1"/>
  <c r="A8057" i="1"/>
  <c r="A2758" i="1"/>
  <c r="A8130" i="1"/>
  <c r="A5008" i="1"/>
  <c r="A3464" i="1"/>
  <c r="A17078" i="1"/>
  <c r="A3702" i="1"/>
  <c r="A17077" i="1"/>
  <c r="A4668" i="1"/>
  <c r="A4513" i="1"/>
  <c r="A9196" i="1"/>
  <c r="A3918" i="1"/>
  <c r="A4299" i="1"/>
  <c r="A2969" i="1"/>
  <c r="A8102" i="1"/>
  <c r="A4556" i="1"/>
  <c r="A3571" i="1"/>
  <c r="A4298" i="1"/>
  <c r="A3661" i="1"/>
  <c r="A4054" i="1"/>
  <c r="A4512" i="1"/>
  <c r="A5076" i="1"/>
  <c r="A5338" i="1"/>
  <c r="A3528" i="1"/>
  <c r="A8790" i="1"/>
  <c r="A5155" i="1"/>
  <c r="A17076" i="1"/>
  <c r="A4350" i="1"/>
  <c r="A4729" i="1"/>
  <c r="A17075" i="1"/>
  <c r="A2319" i="1"/>
  <c r="A4085" i="1"/>
  <c r="A3027" i="1"/>
  <c r="A4796" i="1"/>
  <c r="A10035" i="1"/>
  <c r="A4289" i="1"/>
  <c r="A4009" i="1"/>
  <c r="A17074" i="1"/>
  <c r="A3216" i="1"/>
  <c r="A4435" i="1"/>
  <c r="A3270" i="1"/>
  <c r="A2627" i="1"/>
  <c r="A3614" i="1"/>
  <c r="A2166" i="1"/>
  <c r="A5261" i="1"/>
  <c r="A7329" i="1"/>
  <c r="A17073" i="1"/>
  <c r="A10694" i="1"/>
  <c r="A4176" i="1"/>
  <c r="A3374" i="1"/>
  <c r="A4349" i="1"/>
  <c r="A3968" i="1"/>
  <c r="A4434" i="1"/>
  <c r="A17072" i="1"/>
  <c r="A3150" i="1"/>
  <c r="A3421" i="1"/>
  <c r="A2912" i="1"/>
  <c r="A2559" i="1"/>
  <c r="A2558" i="1"/>
  <c r="A2968" i="1"/>
  <c r="A4795" i="1"/>
  <c r="A6703" i="1"/>
  <c r="A5810" i="1"/>
  <c r="A7430" i="1"/>
  <c r="A5590" i="1"/>
  <c r="A4217" i="1"/>
  <c r="A3527" i="1"/>
  <c r="A5756" i="1"/>
  <c r="A6128" i="1"/>
  <c r="A3269" i="1"/>
  <c r="A4695" i="1"/>
  <c r="A3420" i="1"/>
  <c r="A15996" i="1"/>
  <c r="A3268" i="1"/>
  <c r="A4511" i="1"/>
  <c r="A17071" i="1"/>
  <c r="A3046" i="1"/>
  <c r="A5585" i="1"/>
  <c r="A4510" i="1"/>
  <c r="A17070" i="1"/>
  <c r="A3311" i="1"/>
  <c r="A11063" i="1"/>
  <c r="A11208" i="1"/>
  <c r="A3819" i="1"/>
  <c r="A3463" i="1"/>
  <c r="A5375" i="1"/>
  <c r="A4794" i="1"/>
  <c r="A6047" i="1"/>
  <c r="A3267" i="1"/>
  <c r="A3760" i="1"/>
  <c r="A430" i="1"/>
  <c r="A3818" i="1"/>
  <c r="A3419" i="1"/>
  <c r="A7061" i="1"/>
  <c r="A17069" i="1"/>
  <c r="A3026" i="1"/>
  <c r="A1079" i="1"/>
  <c r="A2165" i="1"/>
  <c r="A2694" i="1"/>
  <c r="A1078" i="1"/>
  <c r="A9514" i="1"/>
  <c r="A4728" i="1"/>
  <c r="A4433" i="1"/>
  <c r="A3201" i="1"/>
  <c r="A3200" i="1"/>
  <c r="A4053" i="1"/>
  <c r="A4432" i="1"/>
  <c r="A4348" i="1"/>
  <c r="A9872" i="1"/>
  <c r="A3817" i="1"/>
  <c r="A4871" i="1"/>
  <c r="A5075" i="1"/>
  <c r="A4694" i="1"/>
  <c r="A3526" i="1"/>
  <c r="A3199" i="1"/>
  <c r="A3359" i="1"/>
  <c r="A3613" i="1"/>
  <c r="A17068" i="1"/>
  <c r="A4052" i="1"/>
  <c r="A3660" i="1"/>
  <c r="A4051" i="1"/>
  <c r="A3612" i="1"/>
  <c r="A17067" i="1"/>
  <c r="A17066" i="1"/>
  <c r="A3435" i="1"/>
  <c r="A4245" i="1"/>
  <c r="A3149" i="1"/>
  <c r="A3525" i="1"/>
  <c r="A11666" i="1"/>
  <c r="A4261" i="1"/>
  <c r="A9948" i="1"/>
  <c r="A11551" i="1"/>
  <c r="A2693" i="1"/>
  <c r="A17065" i="1"/>
  <c r="A2911" i="1"/>
  <c r="A3759" i="1"/>
  <c r="A5589" i="1"/>
  <c r="A6127" i="1"/>
  <c r="A10693" i="1"/>
  <c r="A4693" i="1"/>
  <c r="A8150" i="1"/>
  <c r="A3967" i="1"/>
  <c r="A8873" i="1"/>
  <c r="A4008" i="1"/>
  <c r="A4633" i="1"/>
  <c r="A17064" i="1"/>
  <c r="A2816" i="1"/>
  <c r="A7158" i="1"/>
  <c r="A3816" i="1"/>
  <c r="A8392" i="1"/>
  <c r="A4870" i="1"/>
  <c r="A4297" i="1"/>
  <c r="A3418" i="1"/>
  <c r="A1911" i="1"/>
  <c r="A5588" i="1"/>
  <c r="A8279" i="1"/>
  <c r="A10857" i="1"/>
  <c r="A17063" i="1"/>
  <c r="A10418" i="1"/>
  <c r="A4260" i="1"/>
  <c r="A4259" i="1"/>
  <c r="A4258" i="1"/>
  <c r="A4347" i="1"/>
  <c r="A4969" i="1"/>
  <c r="A5039" i="1"/>
  <c r="A3148" i="1"/>
  <c r="A14196" i="1"/>
  <c r="A429" i="1"/>
  <c r="A17062" i="1"/>
  <c r="A2987" i="1"/>
  <c r="A3966" i="1"/>
  <c r="A3266" i="1"/>
  <c r="A17061" i="1"/>
  <c r="A4509" i="1"/>
  <c r="A17060" i="1"/>
  <c r="A3265" i="1"/>
  <c r="A11364" i="1"/>
  <c r="A4050" i="1"/>
  <c r="A5196" i="1"/>
  <c r="A9311" i="1"/>
  <c r="A3147" i="1"/>
  <c r="A3917" i="1"/>
  <c r="A4049" i="1"/>
  <c r="A17059" i="1"/>
  <c r="A4431" i="1"/>
  <c r="A5407" i="1"/>
  <c r="A3524" i="1"/>
  <c r="A5689" i="1"/>
  <c r="A17058" i="1"/>
  <c r="A3310" i="1"/>
  <c r="A17057" i="1"/>
  <c r="A4478" i="1"/>
  <c r="A5374" i="1"/>
  <c r="A2487" i="1"/>
  <c r="A3570" i="1"/>
  <c r="A8088" i="1"/>
  <c r="A4477" i="1"/>
  <c r="A3309" i="1"/>
  <c r="A428" i="1"/>
  <c r="A3569" i="1"/>
  <c r="A3916" i="1"/>
  <c r="A4912" i="1"/>
  <c r="A8375" i="1"/>
  <c r="A7105" i="1"/>
  <c r="A2692" i="1"/>
  <c r="A17056" i="1"/>
  <c r="A4175" i="1"/>
  <c r="A9028" i="1"/>
  <c r="A6126" i="1"/>
  <c r="A3523" i="1"/>
  <c r="A4657" i="1"/>
  <c r="A3546" i="1"/>
  <c r="A4156" i="1"/>
  <c r="A1983" i="1"/>
  <c r="A4346" i="1"/>
  <c r="A4555" i="1"/>
  <c r="A2691" i="1"/>
  <c r="A2690" i="1"/>
  <c r="A3358" i="1"/>
  <c r="A10876" i="1"/>
  <c r="A3758" i="1"/>
  <c r="A8872" i="1"/>
  <c r="A4727" i="1"/>
  <c r="A2868" i="1"/>
  <c r="A4216" i="1"/>
  <c r="A4257" i="1"/>
  <c r="A3522" i="1"/>
  <c r="A4589" i="1"/>
  <c r="A3815" i="1"/>
  <c r="A3757" i="1"/>
  <c r="A2486" i="1"/>
  <c r="A11159" i="1"/>
  <c r="A3611" i="1"/>
  <c r="A6369" i="1"/>
  <c r="A3701" i="1"/>
  <c r="A3814" i="1"/>
  <c r="A4911" i="1"/>
  <c r="A5927" i="1"/>
  <c r="A7984" i="1"/>
  <c r="A4296" i="1"/>
  <c r="A4007" i="1"/>
  <c r="A2398" i="1"/>
  <c r="A5655" i="1"/>
  <c r="A4667" i="1"/>
  <c r="A6394" i="1"/>
  <c r="A2867" i="1"/>
  <c r="A4948" i="1"/>
  <c r="A3610" i="1"/>
  <c r="A3568" i="1"/>
  <c r="A3198" i="1"/>
  <c r="A3282" i="1"/>
  <c r="A3218" i="1"/>
  <c r="A3700" i="1"/>
  <c r="A4382" i="1"/>
  <c r="A17055" i="1"/>
  <c r="A3756" i="1"/>
  <c r="A8776" i="1"/>
  <c r="A17054" i="1"/>
  <c r="A3915" i="1"/>
  <c r="A5587" i="1"/>
  <c r="A2757" i="1"/>
  <c r="A4508" i="1"/>
  <c r="A3357" i="1"/>
  <c r="A3356" i="1"/>
  <c r="A4968" i="1"/>
  <c r="A6333" i="1"/>
  <c r="A3308" i="1"/>
  <c r="A17053" i="1"/>
  <c r="A5038" i="1"/>
  <c r="A4006" i="1"/>
  <c r="A5406" i="1"/>
  <c r="A4215" i="1"/>
  <c r="A17052" i="1"/>
  <c r="A8464" i="1"/>
  <c r="A2967" i="1"/>
  <c r="A4130" i="1"/>
  <c r="A5007" i="1"/>
  <c r="A6125" i="1"/>
  <c r="A17051" i="1"/>
  <c r="A5654" i="1"/>
  <c r="A3914" i="1"/>
  <c r="A4666" i="1"/>
  <c r="A3521" i="1"/>
  <c r="A2485" i="1"/>
  <c r="A2245" i="1"/>
  <c r="A4476" i="1"/>
  <c r="A9947" i="1"/>
  <c r="A17050" i="1"/>
  <c r="A1910" i="1"/>
  <c r="A4869" i="1"/>
  <c r="A3699" i="1"/>
  <c r="A4345" i="1"/>
  <c r="A5476" i="1"/>
  <c r="A2689" i="1"/>
  <c r="A4793" i="1"/>
  <c r="A4005" i="1"/>
  <c r="A8543" i="1"/>
  <c r="A6668" i="1"/>
  <c r="A3264" i="1"/>
  <c r="A3659" i="1"/>
  <c r="A1808" i="1"/>
  <c r="A3417" i="1"/>
  <c r="A3813" i="1"/>
  <c r="A7650" i="1"/>
  <c r="A12734" i="1"/>
  <c r="A5337" i="1"/>
  <c r="A4344" i="1"/>
  <c r="A4048" i="1"/>
  <c r="A8234" i="1"/>
  <c r="A17049" i="1"/>
  <c r="A1807" i="1"/>
  <c r="A2910" i="1"/>
  <c r="A5779" i="1"/>
  <c r="A8056" i="1"/>
  <c r="A3965" i="1"/>
  <c r="A2484" i="1"/>
  <c r="A4475" i="1"/>
  <c r="A3964" i="1"/>
  <c r="A3658" i="1"/>
  <c r="A3355" i="1"/>
  <c r="A3698" i="1"/>
  <c r="A3697" i="1"/>
  <c r="A11797" i="1"/>
  <c r="A6476" i="1"/>
  <c r="A3520" i="1"/>
  <c r="A7983" i="1"/>
  <c r="A2557" i="1"/>
  <c r="A3755" i="1"/>
  <c r="A3963" i="1"/>
  <c r="A3263" i="1"/>
  <c r="A5475" i="1"/>
  <c r="A17048" i="1"/>
  <c r="A3146" i="1"/>
  <c r="A3483" i="1"/>
  <c r="A8304" i="1"/>
  <c r="A3867" i="1"/>
  <c r="A2966" i="1"/>
  <c r="A17047" i="1"/>
  <c r="A17046" i="1"/>
  <c r="A3484" i="1"/>
  <c r="A1460" i="1"/>
  <c r="A4256" i="1"/>
  <c r="A17045" i="1"/>
  <c r="A2815" i="1"/>
  <c r="A3673" i="1"/>
  <c r="A17044" i="1"/>
  <c r="A2626" i="1"/>
  <c r="A4200" i="1"/>
  <c r="A3866" i="1"/>
  <c r="A4129" i="1"/>
  <c r="A5154" i="1"/>
  <c r="A3197" i="1"/>
  <c r="A4868" i="1"/>
  <c r="A5116" i="1"/>
  <c r="A3262" i="1"/>
  <c r="A2318" i="1"/>
  <c r="A3354" i="1"/>
  <c r="A3754" i="1"/>
  <c r="A4047" i="1"/>
  <c r="A12155" i="1"/>
  <c r="A3913" i="1"/>
  <c r="A4004" i="1"/>
  <c r="A4128" i="1"/>
  <c r="A2965" i="1"/>
  <c r="A3307" i="1"/>
  <c r="A3261" i="1"/>
  <c r="A4632" i="1"/>
  <c r="A5233" i="1"/>
  <c r="A5153" i="1"/>
  <c r="A4046" i="1"/>
  <c r="A17043" i="1"/>
  <c r="A5551" i="1"/>
  <c r="A3657" i="1"/>
  <c r="A5074" i="1"/>
  <c r="A4832" i="1"/>
  <c r="A4214" i="1"/>
  <c r="A3306" i="1"/>
  <c r="A2756" i="1"/>
  <c r="A3260" i="1"/>
  <c r="A2964" i="1"/>
  <c r="A8632" i="1"/>
  <c r="A3416" i="1"/>
  <c r="A5327" i="1"/>
  <c r="A3462" i="1"/>
  <c r="A13477" i="1"/>
  <c r="A7297" i="1"/>
  <c r="A2755" i="1"/>
  <c r="A10908" i="1"/>
  <c r="A3305" i="1"/>
  <c r="A7037" i="1"/>
  <c r="A7621" i="1"/>
  <c r="A13088" i="1"/>
  <c r="A3567" i="1"/>
  <c r="A17042" i="1"/>
  <c r="A3214" i="1"/>
  <c r="A13163" i="1"/>
  <c r="A4792" i="1"/>
  <c r="A3865" i="1"/>
  <c r="A4692" i="1"/>
  <c r="A3635" i="1"/>
  <c r="A17041" i="1"/>
  <c r="A5515" i="1"/>
  <c r="A2963" i="1"/>
  <c r="A2397" i="1"/>
  <c r="A2073" i="1"/>
  <c r="A2688" i="1"/>
  <c r="A4430" i="1"/>
  <c r="A3353" i="1"/>
  <c r="A17040" i="1"/>
  <c r="A2866" i="1"/>
  <c r="A7111" i="1"/>
  <c r="A2814" i="1"/>
  <c r="A5073" i="1"/>
  <c r="A4947" i="1"/>
  <c r="A3656" i="1"/>
  <c r="A2813" i="1"/>
  <c r="A4045" i="1"/>
  <c r="A2865" i="1"/>
  <c r="A2244" i="1"/>
  <c r="A2072" i="1"/>
  <c r="A5514" i="1"/>
  <c r="A3025" i="1"/>
  <c r="A2687" i="1"/>
  <c r="A9778" i="1"/>
  <c r="A4967" i="1"/>
  <c r="A4429" i="1"/>
  <c r="A4428" i="1"/>
  <c r="A17039" i="1"/>
  <c r="A3461" i="1"/>
  <c r="A17038" i="1"/>
  <c r="A3912" i="1"/>
  <c r="A3792" i="1"/>
  <c r="A4285" i="1"/>
  <c r="A2754" i="1"/>
  <c r="A2243" i="1"/>
  <c r="A13296" i="1"/>
  <c r="A3145" i="1"/>
  <c r="A1459" i="1"/>
  <c r="A17037" i="1"/>
  <c r="A2625" i="1"/>
  <c r="A3864" i="1"/>
  <c r="A4691" i="1"/>
  <c r="A5336" i="1"/>
  <c r="A5586" i="1"/>
  <c r="A4295" i="1"/>
  <c r="A6570" i="1"/>
  <c r="A4084" i="1"/>
  <c r="A6524" i="1"/>
  <c r="A3259" i="1"/>
  <c r="A3024" i="1"/>
  <c r="A3519" i="1"/>
  <c r="A3415" i="1"/>
  <c r="A5653" i="1"/>
  <c r="A4174" i="1"/>
  <c r="A3566" i="1"/>
  <c r="A4588" i="1"/>
  <c r="A2753" i="1"/>
  <c r="A3518" i="1"/>
  <c r="A5865" i="1"/>
  <c r="A4044" i="1"/>
  <c r="A3517" i="1"/>
  <c r="A2909" i="1"/>
  <c r="A17036" i="1"/>
  <c r="A4127" i="1"/>
  <c r="A4173" i="1"/>
  <c r="A4507" i="1"/>
  <c r="A3609" i="1"/>
  <c r="A5857" i="1"/>
  <c r="A3023" i="1"/>
  <c r="A4788" i="1"/>
  <c r="A2962" i="1"/>
  <c r="A3414" i="1"/>
  <c r="A13627" i="1"/>
  <c r="A4474" i="1"/>
  <c r="A4108" i="1"/>
  <c r="A4126" i="1"/>
  <c r="A17035" i="1"/>
  <c r="A3911" i="1"/>
  <c r="A3516" i="1"/>
  <c r="A6972" i="1"/>
  <c r="A3144" i="1"/>
  <c r="A6368" i="1"/>
  <c r="A2483" i="1"/>
  <c r="A2071" i="1"/>
  <c r="A3565" i="1"/>
  <c r="A7429" i="1"/>
  <c r="A4043" i="1"/>
  <c r="A17034" i="1"/>
  <c r="A427" i="1"/>
  <c r="A2556" i="1"/>
  <c r="A3143" i="1"/>
  <c r="A4427" i="1"/>
  <c r="A3696" i="1"/>
  <c r="A3304" i="1"/>
  <c r="A9369" i="1"/>
  <c r="A3142" i="1"/>
  <c r="A3608" i="1"/>
  <c r="A3460" i="1"/>
  <c r="A4831" i="1"/>
  <c r="A3695" i="1"/>
  <c r="A4554" i="1"/>
  <c r="A4125" i="1"/>
  <c r="A17033" i="1"/>
  <c r="A17032" i="1"/>
  <c r="A2752" i="1"/>
  <c r="A17031" i="1"/>
  <c r="A3564" i="1"/>
  <c r="A3607" i="1"/>
  <c r="A17030" i="1"/>
  <c r="A3413" i="1"/>
  <c r="A3812" i="1"/>
  <c r="A2624" i="1"/>
  <c r="A3412" i="1"/>
  <c r="A4553" i="1"/>
  <c r="A3196" i="1"/>
  <c r="A2623" i="1"/>
  <c r="A4755" i="1"/>
  <c r="A3811" i="1"/>
  <c r="A11741" i="1"/>
  <c r="A2317" i="1"/>
  <c r="A17029" i="1"/>
  <c r="A3753" i="1"/>
  <c r="A3730" i="1"/>
  <c r="A9415" i="1"/>
  <c r="A6763" i="1"/>
  <c r="A3563" i="1"/>
  <c r="A3863" i="1"/>
  <c r="A5287" i="1"/>
  <c r="A10818" i="1"/>
  <c r="A2908" i="1"/>
  <c r="A2751" i="1"/>
  <c r="A5614" i="1"/>
  <c r="A6161" i="1"/>
  <c r="A3141" i="1"/>
  <c r="A1369" i="1"/>
  <c r="A2686" i="1"/>
  <c r="A4213" i="1"/>
  <c r="A4587" i="1"/>
  <c r="A5956" i="1"/>
  <c r="A3515" i="1"/>
  <c r="A2907" i="1"/>
  <c r="A4124" i="1"/>
  <c r="A17028" i="1"/>
  <c r="A3655" i="1"/>
  <c r="A5006" i="1"/>
  <c r="A3459" i="1"/>
  <c r="A3411" i="1"/>
  <c r="A3352" i="1"/>
  <c r="A2316" i="1"/>
  <c r="A2482" i="1"/>
  <c r="A3351" i="1"/>
  <c r="A4665" i="1"/>
  <c r="A4042" i="1"/>
  <c r="A3140" i="1"/>
  <c r="A2750" i="1"/>
  <c r="A17027" i="1"/>
  <c r="A2481" i="1"/>
  <c r="A4172" i="1"/>
  <c r="A2906" i="1"/>
  <c r="A3654" i="1"/>
  <c r="A5652" i="1"/>
  <c r="A3810" i="1"/>
  <c r="A4791" i="1"/>
  <c r="A3962" i="1"/>
  <c r="A3862" i="1"/>
  <c r="A3022" i="1"/>
  <c r="A4032" i="1"/>
  <c r="A2315" i="1"/>
  <c r="A3092" i="1"/>
  <c r="A17026" i="1"/>
  <c r="A3195" i="1"/>
  <c r="A2070" i="1"/>
  <c r="A6021" i="1"/>
  <c r="A7003" i="1"/>
  <c r="A17025" i="1"/>
  <c r="A17024" i="1"/>
  <c r="A2685" i="1"/>
  <c r="A3752" i="1"/>
  <c r="A11055" i="1"/>
  <c r="A10417" i="1"/>
  <c r="A3458" i="1"/>
  <c r="A17023" i="1"/>
  <c r="A3350" i="1"/>
  <c r="A2749" i="1"/>
  <c r="A426" i="1"/>
  <c r="A425" i="1"/>
  <c r="A5474" i="1"/>
  <c r="A3809" i="1"/>
  <c r="A3139" i="1"/>
  <c r="A9871" i="1"/>
  <c r="A6083" i="1"/>
  <c r="A11847" i="1"/>
  <c r="A3021" i="1"/>
  <c r="A9011" i="1"/>
  <c r="A3961" i="1"/>
  <c r="A5005" i="1"/>
  <c r="A4123" i="1"/>
  <c r="A8735" i="1"/>
  <c r="A3138" i="1"/>
  <c r="A3606" i="1"/>
  <c r="A1616" i="1"/>
  <c r="A2314" i="1"/>
  <c r="A4790" i="1"/>
  <c r="A3653" i="1"/>
  <c r="A3751" i="1"/>
  <c r="A3258" i="1"/>
  <c r="A2313" i="1"/>
  <c r="A3257" i="1"/>
  <c r="A12327" i="1"/>
  <c r="A2480" i="1"/>
  <c r="A3910" i="1"/>
  <c r="A1806" i="1"/>
  <c r="A2961" i="1"/>
  <c r="A7877" i="1"/>
  <c r="A1475" i="1"/>
  <c r="A17022" i="1"/>
  <c r="A3605" i="1"/>
  <c r="A4946" i="1"/>
  <c r="A4664" i="1"/>
  <c r="A3283" i="1"/>
  <c r="A2769" i="1"/>
  <c r="A4033" i="1"/>
  <c r="A2905" i="1"/>
  <c r="A3137" i="1"/>
  <c r="A2684" i="1"/>
  <c r="A3020" i="1"/>
  <c r="A2312" i="1"/>
  <c r="A3750" i="1"/>
  <c r="A3091" i="1"/>
  <c r="A17021" i="1"/>
  <c r="A12529" i="1"/>
  <c r="A3256" i="1"/>
  <c r="A3749" i="1"/>
  <c r="A3861" i="1"/>
  <c r="A3349" i="1"/>
  <c r="A4426" i="1"/>
  <c r="A3303" i="1"/>
  <c r="A2069" i="1"/>
  <c r="A5405" i="1"/>
  <c r="A3255" i="1"/>
  <c r="A3909" i="1"/>
  <c r="A3410" i="1"/>
  <c r="A3514" i="1"/>
  <c r="A3513" i="1"/>
  <c r="A17020" i="1"/>
  <c r="A3136" i="1"/>
  <c r="A17019" i="1"/>
  <c r="A2960" i="1"/>
  <c r="A4506" i="1"/>
  <c r="A3960" i="1"/>
  <c r="A3512" i="1"/>
  <c r="A4201" i="1"/>
  <c r="A3194" i="1"/>
  <c r="A3604" i="1"/>
  <c r="A9494" i="1"/>
  <c r="A5004" i="1"/>
  <c r="A2812" i="1"/>
  <c r="A3193" i="1"/>
  <c r="A4003" i="1"/>
  <c r="A17018" i="1"/>
  <c r="A3808" i="1"/>
  <c r="A6046" i="1"/>
  <c r="A3254" i="1"/>
  <c r="A4910" i="1"/>
  <c r="A17017" i="1"/>
  <c r="A4909" i="1"/>
  <c r="A3172" i="1"/>
  <c r="A4425" i="1"/>
  <c r="A2748" i="1"/>
  <c r="A3652" i="1"/>
  <c r="A3959" i="1"/>
  <c r="A10645" i="1"/>
  <c r="A4388" i="1"/>
  <c r="A3019" i="1"/>
  <c r="A2811" i="1"/>
  <c r="A2396" i="1"/>
  <c r="A424" i="1"/>
  <c r="A3018" i="1"/>
  <c r="A3603" i="1"/>
  <c r="A2959" i="1"/>
  <c r="A8149" i="1"/>
  <c r="A4726" i="1"/>
  <c r="A3253" i="1"/>
  <c r="A423" i="1"/>
  <c r="A4343" i="1"/>
  <c r="A2904" i="1"/>
  <c r="A3090" i="1"/>
  <c r="A422" i="1"/>
  <c r="A4552" i="1"/>
  <c r="A3192" i="1"/>
  <c r="A13603" i="1"/>
  <c r="A17016" i="1"/>
  <c r="A6971" i="1"/>
  <c r="A3511" i="1"/>
  <c r="A2810" i="1"/>
  <c r="A5955" i="1"/>
  <c r="A3409" i="1"/>
  <c r="A1368" i="1"/>
  <c r="A3135" i="1"/>
  <c r="A4342" i="1"/>
  <c r="A4122" i="1"/>
  <c r="A1293" i="1"/>
  <c r="A3408" i="1"/>
  <c r="A3860" i="1"/>
  <c r="A3510" i="1"/>
  <c r="A7428" i="1"/>
  <c r="A4939" i="1"/>
  <c r="A2068" i="1"/>
  <c r="A3252" i="1"/>
  <c r="A5513" i="1"/>
  <c r="A5195" i="1"/>
  <c r="A421" i="1"/>
  <c r="A4725" i="1"/>
  <c r="A4586" i="1"/>
  <c r="A5194" i="1"/>
  <c r="A2683" i="1"/>
  <c r="A3407" i="1"/>
  <c r="A4663" i="1"/>
  <c r="A13009" i="1"/>
  <c r="A2809" i="1"/>
  <c r="A952" i="1"/>
  <c r="A1367" i="1"/>
  <c r="A3562" i="1"/>
  <c r="A17015" i="1"/>
  <c r="A2958" i="1"/>
  <c r="A3908" i="1"/>
  <c r="A2808" i="1"/>
  <c r="A3807" i="1"/>
  <c r="A3302" i="1"/>
  <c r="A3017" i="1"/>
  <c r="A3089" i="1"/>
  <c r="A6425" i="1"/>
  <c r="A9310" i="1"/>
  <c r="A3561" i="1"/>
  <c r="A1805" i="1"/>
  <c r="A3134" i="1"/>
  <c r="A4473" i="1"/>
  <c r="A3088" i="1"/>
  <c r="A3907" i="1"/>
  <c r="A2242" i="1"/>
  <c r="A4212" i="1"/>
  <c r="A3251" i="1"/>
  <c r="A3651" i="1"/>
  <c r="A2164" i="1"/>
  <c r="A3806" i="1"/>
  <c r="A3457" i="1"/>
  <c r="A3087" i="1"/>
  <c r="A2622" i="1"/>
  <c r="A17014" i="1"/>
  <c r="A2479" i="1"/>
  <c r="A3406" i="1"/>
  <c r="A3906" i="1"/>
  <c r="A17013" i="1"/>
  <c r="A6610" i="1"/>
  <c r="A5112" i="1"/>
  <c r="A4171" i="1"/>
  <c r="A3086" i="1"/>
  <c r="A1825" i="1"/>
  <c r="A5072" i="1"/>
  <c r="A2555" i="1"/>
  <c r="A2395" i="1"/>
  <c r="A2478" i="1"/>
  <c r="A1982" i="1"/>
  <c r="A1981" i="1"/>
  <c r="A2311" i="1"/>
  <c r="A3859" i="1"/>
  <c r="A1804" i="1"/>
  <c r="A6124" i="1"/>
  <c r="A6609" i="1"/>
  <c r="A2163" i="1"/>
  <c r="A5404" i="1"/>
  <c r="A3602" i="1"/>
  <c r="A3650" i="1"/>
  <c r="A6240" i="1"/>
  <c r="A420" i="1"/>
  <c r="A3748" i="1"/>
  <c r="A3250" i="1"/>
  <c r="A2477" i="1"/>
  <c r="A4002" i="1"/>
  <c r="A6299" i="1"/>
  <c r="A2747" i="1"/>
  <c r="A3905" i="1"/>
  <c r="A2621" i="1"/>
  <c r="A5071" i="1"/>
  <c r="A3509" i="1"/>
  <c r="A2394" i="1"/>
  <c r="A3958" i="1"/>
  <c r="A6454" i="1"/>
  <c r="A8893" i="1"/>
  <c r="A2864" i="1"/>
  <c r="A4765" i="1"/>
  <c r="A1909" i="1"/>
  <c r="A3747" i="1"/>
  <c r="A7110" i="1"/>
  <c r="A3746" i="1"/>
  <c r="A17012" i="1"/>
  <c r="A3957" i="1"/>
  <c r="A5550" i="1"/>
  <c r="A4211" i="1"/>
  <c r="A2310" i="1"/>
  <c r="A6850" i="1"/>
  <c r="A4121" i="1"/>
  <c r="A4041" i="1"/>
  <c r="A4585" i="1"/>
  <c r="A1717" i="1"/>
  <c r="A2903" i="1"/>
  <c r="A3405" i="1"/>
  <c r="A3508" i="1"/>
  <c r="A2902" i="1"/>
  <c r="A4505" i="1"/>
  <c r="A2554" i="1"/>
  <c r="A17011" i="1"/>
  <c r="A3904" i="1"/>
  <c r="A17010" i="1"/>
  <c r="A4153" i="1"/>
  <c r="A2067" i="1"/>
  <c r="A17009" i="1"/>
  <c r="A3249" i="1"/>
  <c r="A4830" i="1"/>
  <c r="A2876" i="1"/>
  <c r="A7982" i="1"/>
  <c r="A2476" i="1"/>
  <c r="A1803" i="1"/>
  <c r="A4210" i="1"/>
  <c r="A3694" i="1"/>
  <c r="A17008" i="1"/>
  <c r="A3858" i="1"/>
  <c r="A2901" i="1"/>
  <c r="A3857" i="1"/>
  <c r="A3404" i="1"/>
  <c r="A3301" i="1"/>
  <c r="A12047" i="1"/>
  <c r="A2475" i="1"/>
  <c r="A2807" i="1"/>
  <c r="A4040" i="1"/>
  <c r="A17007" i="1"/>
  <c r="A3133" i="1"/>
  <c r="A5373" i="1"/>
  <c r="A3649" i="1"/>
  <c r="A2900" i="1"/>
  <c r="A3507" i="1"/>
  <c r="A3085" i="1"/>
  <c r="A3132" i="1"/>
  <c r="A2309" i="1"/>
  <c r="A3560" i="1"/>
  <c r="A3191" i="1"/>
  <c r="A2620" i="1"/>
  <c r="A7060" i="1"/>
  <c r="A3506" i="1"/>
  <c r="A5721" i="1"/>
  <c r="A2863" i="1"/>
  <c r="A4001" i="1"/>
  <c r="A1908" i="1"/>
  <c r="A3789" i="1"/>
  <c r="A6643" i="1"/>
  <c r="A3348" i="1"/>
  <c r="A17006" i="1"/>
  <c r="A17005" i="1"/>
  <c r="A10430" i="1"/>
  <c r="A17004" i="1"/>
  <c r="A3190" i="1"/>
  <c r="A3693" i="1"/>
  <c r="A5809" i="1"/>
  <c r="A3856" i="1"/>
  <c r="A1921" i="1"/>
  <c r="A4083" i="1"/>
  <c r="A3300" i="1"/>
  <c r="A17003" i="1"/>
  <c r="A4551" i="1"/>
  <c r="A7918" i="1"/>
  <c r="A3559" i="1"/>
  <c r="A6268" i="1"/>
  <c r="A1304" i="1"/>
  <c r="A17002" i="1"/>
  <c r="A3219" i="1"/>
  <c r="A5220" i="1"/>
  <c r="A4328" i="1"/>
  <c r="A1542" i="1"/>
  <c r="A4154" i="1"/>
  <c r="A1472" i="1"/>
  <c r="A1802" i="1"/>
  <c r="A6160" i="1"/>
  <c r="A5003" i="1"/>
  <c r="A5439" i="1"/>
  <c r="A1716" i="1"/>
  <c r="A1907" i="1"/>
  <c r="A10446" i="1"/>
  <c r="A2862" i="1"/>
  <c r="A2474" i="1"/>
  <c r="A4690" i="1"/>
  <c r="A3248" i="1"/>
  <c r="A10108" i="1"/>
  <c r="A2682" i="1"/>
  <c r="A6905" i="1"/>
  <c r="A2899" i="1"/>
  <c r="A3956" i="1"/>
  <c r="A2473" i="1"/>
  <c r="A3247" i="1"/>
  <c r="A2861" i="1"/>
  <c r="A3456" i="1"/>
  <c r="A3505" i="1"/>
  <c r="A5037" i="1"/>
  <c r="A2619" i="1"/>
  <c r="A3189" i="1"/>
  <c r="A3016" i="1"/>
  <c r="A1715" i="1"/>
  <c r="A3403" i="1"/>
  <c r="A1077" i="1"/>
  <c r="A2898" i="1"/>
  <c r="A3648" i="1"/>
  <c r="A17001" i="1"/>
  <c r="A3347" i="1"/>
  <c r="A4000" i="1"/>
  <c r="A4550" i="1"/>
  <c r="A3246" i="1"/>
  <c r="A3504" i="1"/>
  <c r="A5335" i="1"/>
  <c r="A17000" i="1"/>
  <c r="A4631" i="1"/>
  <c r="A4082" i="1"/>
  <c r="A4689" i="1"/>
  <c r="A3634" i="1"/>
  <c r="A2553" i="1"/>
  <c r="A2985" i="1"/>
  <c r="A12289" i="1"/>
  <c r="A1714" i="1"/>
  <c r="A3855" i="1"/>
  <c r="A3903" i="1"/>
  <c r="A16999" i="1"/>
  <c r="A8087" i="1"/>
  <c r="A3346" i="1"/>
  <c r="A3902" i="1"/>
  <c r="A3745" i="1"/>
  <c r="A4627" i="1"/>
  <c r="A2772" i="1"/>
  <c r="A5369" i="1"/>
  <c r="A3245" i="1"/>
  <c r="A11214" i="1"/>
  <c r="A2393" i="1"/>
  <c r="A4120" i="1"/>
  <c r="A2681" i="1"/>
  <c r="A3647" i="1"/>
  <c r="A4255" i="1"/>
  <c r="A3901" i="1"/>
  <c r="A2680" i="1"/>
  <c r="A3188" i="1"/>
  <c r="A5438" i="1"/>
  <c r="A9010" i="1"/>
  <c r="A3244" i="1"/>
  <c r="A16998" i="1"/>
  <c r="A4662" i="1"/>
  <c r="A1615" i="1"/>
  <c r="A9218" i="1"/>
  <c r="A4630" i="1"/>
  <c r="A3692" i="1"/>
  <c r="A6569" i="1"/>
  <c r="A4504" i="1"/>
  <c r="A6204" i="1"/>
  <c r="A1980" i="1"/>
  <c r="A3955" i="1"/>
  <c r="A3900" i="1"/>
  <c r="A5619" i="1"/>
  <c r="A6568" i="1"/>
  <c r="A2308" i="1"/>
  <c r="A16997" i="1"/>
  <c r="A3299" i="1"/>
  <c r="A2860" i="1"/>
  <c r="A4549" i="1"/>
  <c r="A5036" i="1"/>
  <c r="A16996" i="1"/>
  <c r="A3455" i="1"/>
  <c r="A2162" i="1"/>
  <c r="A3691" i="1"/>
  <c r="A1801" i="1"/>
  <c r="A16995" i="1"/>
  <c r="A5372" i="1"/>
  <c r="A3854" i="1"/>
  <c r="A3131" i="1"/>
  <c r="A4294" i="1"/>
  <c r="A4387" i="1"/>
  <c r="A5260" i="1"/>
  <c r="A16994" i="1"/>
  <c r="A5473" i="1"/>
  <c r="A4658" i="1"/>
  <c r="A1379" i="1"/>
  <c r="A1906" i="1"/>
  <c r="A4381" i="1"/>
  <c r="A2472" i="1"/>
  <c r="A2552" i="1"/>
  <c r="A3402" i="1"/>
  <c r="A16993" i="1"/>
  <c r="A3015" i="1"/>
  <c r="A10996" i="1"/>
  <c r="A11477" i="1"/>
  <c r="A2897" i="1"/>
  <c r="A3454" i="1"/>
  <c r="A3453" i="1"/>
  <c r="A2859" i="1"/>
  <c r="A16992" i="1"/>
  <c r="A2307" i="1"/>
  <c r="A3853" i="1"/>
  <c r="A2957" i="1"/>
  <c r="A16991" i="1"/>
  <c r="A3744" i="1"/>
  <c r="A2306" i="1"/>
  <c r="A16990" i="1"/>
  <c r="A1979" i="1"/>
  <c r="A2896" i="1"/>
  <c r="A5549" i="1"/>
  <c r="A1713" i="1"/>
  <c r="A3130" i="1"/>
  <c r="A8573" i="1"/>
  <c r="A4724" i="1"/>
  <c r="A2618" i="1"/>
  <c r="A16989" i="1"/>
  <c r="A3743" i="1"/>
  <c r="A4209" i="1"/>
  <c r="A2471" i="1"/>
  <c r="A4764" i="1"/>
  <c r="A16988" i="1"/>
  <c r="A3243" i="1"/>
  <c r="A2746" i="1"/>
  <c r="A3345" i="1"/>
  <c r="A2575" i="1"/>
  <c r="A2066" i="1"/>
  <c r="A2956" i="1"/>
  <c r="A3999" i="1"/>
  <c r="A3547" i="1"/>
  <c r="A2161" i="1"/>
  <c r="A5152" i="1"/>
  <c r="A3545" i="1"/>
  <c r="A2858" i="1"/>
  <c r="A3852" i="1"/>
  <c r="A3014" i="1"/>
  <c r="A2857" i="1"/>
  <c r="A3013" i="1"/>
  <c r="A6367" i="1"/>
  <c r="A3943" i="1"/>
  <c r="A4827" i="1"/>
  <c r="A2988" i="1"/>
  <c r="A3636" i="1"/>
  <c r="A2305" i="1"/>
  <c r="A2241" i="1"/>
  <c r="A6760" i="1"/>
  <c r="A9027" i="1"/>
  <c r="A16987" i="1"/>
  <c r="A1800" i="1"/>
  <c r="A5232" i="1"/>
  <c r="A3452" i="1"/>
  <c r="A2679" i="1"/>
  <c r="A3276" i="1"/>
  <c r="A1978" i="1"/>
  <c r="A2470" i="1"/>
  <c r="A2469" i="1"/>
  <c r="A4661" i="1"/>
  <c r="A5334" i="1"/>
  <c r="A3899" i="1"/>
  <c r="A3898" i="1"/>
  <c r="A4424" i="1"/>
  <c r="A2304" i="1"/>
  <c r="A6159" i="1"/>
  <c r="A2678" i="1"/>
  <c r="A2677" i="1"/>
  <c r="A3187" i="1"/>
  <c r="A2617" i="1"/>
  <c r="A3954" i="1"/>
  <c r="A3298" i="1"/>
  <c r="A4945" i="1"/>
  <c r="A1712" i="1"/>
  <c r="A2856" i="1"/>
  <c r="A2895" i="1"/>
  <c r="A3953" i="1"/>
  <c r="A3601" i="1"/>
  <c r="A11476" i="1"/>
  <c r="A2806" i="1"/>
  <c r="A3690" i="1"/>
  <c r="A1799" i="1"/>
  <c r="A2676" i="1"/>
  <c r="A4548" i="1"/>
  <c r="A2303" i="1"/>
  <c r="A2468" i="1"/>
  <c r="A16986" i="1"/>
  <c r="A2551" i="1"/>
  <c r="A3084" i="1"/>
  <c r="A3083" i="1"/>
  <c r="A3805" i="1"/>
  <c r="A3600" i="1"/>
  <c r="A1534" i="1"/>
  <c r="A2302" i="1"/>
  <c r="A3451" i="1"/>
  <c r="A9854" i="1"/>
  <c r="A3401" i="1"/>
  <c r="A3646" i="1"/>
  <c r="A4660" i="1"/>
  <c r="A4170" i="1"/>
  <c r="A1629" i="1"/>
  <c r="A2392" i="1"/>
  <c r="A2550" i="1"/>
  <c r="A7649" i="1"/>
  <c r="A2745" i="1"/>
  <c r="A1215" i="1"/>
  <c r="A1458" i="1"/>
  <c r="A3186" i="1"/>
  <c r="A10833" i="1"/>
  <c r="A3998" i="1"/>
  <c r="A3344" i="1"/>
  <c r="A2391" i="1"/>
  <c r="A1977" i="1"/>
  <c r="A1711" i="1"/>
  <c r="A2301" i="1"/>
  <c r="A4293" i="1"/>
  <c r="A2160" i="1"/>
  <c r="A16985" i="1"/>
  <c r="A3450" i="1"/>
  <c r="A4169" i="1"/>
  <c r="A2675" i="1"/>
  <c r="A2159" i="1"/>
  <c r="A3804" i="1"/>
  <c r="A3599" i="1"/>
  <c r="A3082" i="1"/>
  <c r="A2390" i="1"/>
  <c r="A15313" i="1"/>
  <c r="A3185" i="1"/>
  <c r="A419" i="1"/>
  <c r="A1798" i="1"/>
  <c r="A2805" i="1"/>
  <c r="A3081" i="1"/>
  <c r="A5720" i="1"/>
  <c r="A6203" i="1"/>
  <c r="A3803" i="1"/>
  <c r="A5002" i="1"/>
  <c r="A3558" i="1"/>
  <c r="A3242" i="1"/>
  <c r="A2616" i="1"/>
  <c r="A3503" i="1"/>
  <c r="A3557" i="1"/>
  <c r="A3689" i="1"/>
  <c r="A4254" i="1"/>
  <c r="A3556" i="1"/>
  <c r="A2923" i="1"/>
  <c r="A3645" i="1"/>
  <c r="A3802" i="1"/>
  <c r="A2549" i="1"/>
  <c r="A16984" i="1"/>
  <c r="A3080" i="1"/>
  <c r="A2744" i="1"/>
  <c r="A2804" i="1"/>
  <c r="A4720" i="1"/>
  <c r="A2065" i="1"/>
  <c r="A5548" i="1"/>
  <c r="A3109" i="1"/>
  <c r="A16983" i="1"/>
  <c r="A2991" i="1"/>
  <c r="A1905" i="1"/>
  <c r="A1904" i="1"/>
  <c r="A2645" i="1"/>
  <c r="A2064" i="1"/>
  <c r="A2674" i="1"/>
  <c r="A9475" i="1"/>
  <c r="A2743" i="1"/>
  <c r="A418" i="1"/>
  <c r="A2467" i="1"/>
  <c r="A2548" i="1"/>
  <c r="A3297" i="1"/>
  <c r="A3012" i="1"/>
  <c r="A5115" i="1"/>
  <c r="A3343" i="1"/>
  <c r="A3241" i="1"/>
  <c r="A2158" i="1"/>
  <c r="A4908" i="1"/>
  <c r="A2803" i="1"/>
  <c r="A16982" i="1"/>
  <c r="A2955" i="1"/>
  <c r="A2547" i="1"/>
  <c r="A2615" i="1"/>
  <c r="A3011" i="1"/>
  <c r="A2802" i="1"/>
  <c r="A4629" i="1"/>
  <c r="A16981" i="1"/>
  <c r="A2954" i="1"/>
  <c r="A2742" i="1"/>
  <c r="A8417" i="1"/>
  <c r="A4208" i="1"/>
  <c r="A3240" i="1"/>
  <c r="A3449" i="1"/>
  <c r="A2546" i="1"/>
  <c r="A3598" i="1"/>
  <c r="A16980" i="1"/>
  <c r="A13476" i="1"/>
  <c r="A5114" i="1"/>
  <c r="A2953" i="1"/>
  <c r="A3851" i="1"/>
  <c r="A2855" i="1"/>
  <c r="A1797" i="1"/>
  <c r="A2801" i="1"/>
  <c r="A3296" i="1"/>
  <c r="A5719" i="1"/>
  <c r="A4584" i="1"/>
  <c r="A6702" i="1"/>
  <c r="A5896" i="1"/>
  <c r="A3342" i="1"/>
  <c r="A16979" i="1"/>
  <c r="A3742" i="1"/>
  <c r="A2741" i="1"/>
  <c r="A4168" i="1"/>
  <c r="A16978" i="1"/>
  <c r="A3644" i="1"/>
  <c r="A3400" i="1"/>
  <c r="A16977" i="1"/>
  <c r="A6123" i="1"/>
  <c r="A3897" i="1"/>
  <c r="A16976" i="1"/>
  <c r="A3341" i="1"/>
  <c r="A1457" i="1"/>
  <c r="A2240" i="1"/>
  <c r="A3399" i="1"/>
  <c r="A3482" i="1"/>
  <c r="A2646" i="1"/>
  <c r="A5986" i="1"/>
  <c r="A2673" i="1"/>
  <c r="A417" i="1"/>
  <c r="A1976" i="1"/>
  <c r="A14419" i="1"/>
  <c r="A6424" i="1"/>
  <c r="A8871" i="1"/>
  <c r="A4253" i="1"/>
  <c r="A4119" i="1"/>
  <c r="A8010" i="1"/>
  <c r="A5292" i="1"/>
  <c r="A4503" i="1"/>
  <c r="A3239" i="1"/>
  <c r="A16975" i="1"/>
  <c r="A4472" i="1"/>
  <c r="A2800" i="1"/>
  <c r="A7940" i="1"/>
  <c r="A2063" i="1"/>
  <c r="A4471" i="1"/>
  <c r="A2300" i="1"/>
  <c r="A4252" i="1"/>
  <c r="A3398" i="1"/>
  <c r="A3079" i="1"/>
  <c r="A2854" i="1"/>
  <c r="A2389" i="1"/>
  <c r="A4167" i="1"/>
  <c r="A2388" i="1"/>
  <c r="A4763" i="1"/>
  <c r="A2952" i="1"/>
  <c r="A5618" i="1"/>
  <c r="A2614" i="1"/>
  <c r="A2387" i="1"/>
  <c r="A2740" i="1"/>
  <c r="A1796" i="1"/>
  <c r="A2894" i="1"/>
  <c r="A2466" i="1"/>
  <c r="A2239" i="1"/>
  <c r="A2739" i="1"/>
  <c r="A2238" i="1"/>
  <c r="A3238" i="1"/>
  <c r="A3340" i="1"/>
  <c r="A5070" i="1"/>
  <c r="A3555" i="1"/>
  <c r="A3502" i="1"/>
  <c r="A3397" i="1"/>
  <c r="A2672" i="1"/>
  <c r="A2299" i="1"/>
  <c r="A3688" i="1"/>
  <c r="A2386" i="1"/>
  <c r="A416" i="1"/>
  <c r="A4829" i="1"/>
  <c r="A3237" i="1"/>
  <c r="A7356" i="1"/>
  <c r="A3295" i="1"/>
  <c r="A16974" i="1"/>
  <c r="A3597" i="1"/>
  <c r="A2613" i="1"/>
  <c r="A4907" i="1"/>
  <c r="A3078" i="1"/>
  <c r="A6045" i="1"/>
  <c r="A3129" i="1"/>
  <c r="A4547" i="1"/>
  <c r="A2237" i="1"/>
  <c r="A3501" i="1"/>
  <c r="A3170" i="1"/>
  <c r="A2612" i="1"/>
  <c r="A3801" i="1"/>
  <c r="A16973" i="1"/>
  <c r="A1975" i="1"/>
  <c r="A7400" i="1"/>
  <c r="A6642" i="1"/>
  <c r="A2465" i="1"/>
  <c r="A2340" i="1"/>
  <c r="A2062" i="1"/>
  <c r="A6239" i="1"/>
  <c r="A16972" i="1"/>
  <c r="A1974" i="1"/>
  <c r="A9269" i="1"/>
  <c r="A1214" i="1"/>
  <c r="A3687" i="1"/>
  <c r="A7731" i="1"/>
  <c r="A1973" i="1"/>
  <c r="A8734" i="1"/>
  <c r="A3339" i="1"/>
  <c r="A3850" i="1"/>
  <c r="A2799" i="1"/>
  <c r="A3294" i="1"/>
  <c r="A2464" i="1"/>
  <c r="A3236" i="1"/>
  <c r="A2545" i="1"/>
  <c r="A1972" i="1"/>
  <c r="A10180" i="1"/>
  <c r="A2385" i="1"/>
  <c r="A2671" i="1"/>
  <c r="A4118" i="1"/>
  <c r="A5371" i="1"/>
  <c r="A2544" i="1"/>
  <c r="A2853" i="1"/>
  <c r="A3896" i="1"/>
  <c r="A2543" i="1"/>
  <c r="A3997" i="1"/>
  <c r="A16971" i="1"/>
  <c r="A1903" i="1"/>
  <c r="A3338" i="1"/>
  <c r="A2738" i="1"/>
  <c r="A16970" i="1"/>
  <c r="A3554" i="1"/>
  <c r="A4081" i="1"/>
  <c r="A3235" i="1"/>
  <c r="A2298" i="1"/>
  <c r="A1468" i="1"/>
  <c r="A2542" i="1"/>
  <c r="A7036" i="1"/>
  <c r="A12044" i="1"/>
  <c r="A6122" i="1"/>
  <c r="A4166" i="1"/>
  <c r="A2611" i="1"/>
  <c r="A1795" i="1"/>
  <c r="A3741" i="1"/>
  <c r="A4039" i="1"/>
  <c r="A3596" i="1"/>
  <c r="A1614" i="1"/>
  <c r="A3589" i="1"/>
  <c r="A1991" i="1"/>
  <c r="A4111" i="1"/>
  <c r="A16969" i="1"/>
  <c r="A1794" i="1"/>
  <c r="A3278" i="1"/>
  <c r="A2412" i="1"/>
  <c r="A7132" i="1"/>
  <c r="A3234" i="1"/>
  <c r="A5437" i="1"/>
  <c r="A3396" i="1"/>
  <c r="A1902" i="1"/>
  <c r="A415" i="1"/>
  <c r="A3293" i="1"/>
  <c r="A3448" i="1"/>
  <c r="A2951" i="1"/>
  <c r="A2157" i="1"/>
  <c r="A3337" i="1"/>
  <c r="A3077" i="1"/>
  <c r="A16968" i="1"/>
  <c r="A3128" i="1"/>
  <c r="A4207" i="1"/>
  <c r="A2384" i="1"/>
  <c r="A16967" i="1"/>
  <c r="A2798" i="1"/>
  <c r="A2541" i="1"/>
  <c r="A2236" i="1"/>
  <c r="A3740" i="1"/>
  <c r="A2540" i="1"/>
  <c r="A3010" i="1"/>
  <c r="A2463" i="1"/>
  <c r="A2539" i="1"/>
  <c r="A16966" i="1"/>
  <c r="A3447" i="1"/>
  <c r="A2893" i="1"/>
  <c r="A2297" i="1"/>
  <c r="A6202" i="1"/>
  <c r="A4583" i="1"/>
  <c r="A4867" i="1"/>
  <c r="A3184" i="1"/>
  <c r="A1901" i="1"/>
  <c r="A3127" i="1"/>
  <c r="A3336" i="1"/>
  <c r="A3686" i="1"/>
  <c r="A2852" i="1"/>
  <c r="A3076" i="1"/>
  <c r="A2383" i="1"/>
  <c r="A2610" i="1"/>
  <c r="A3395" i="1"/>
  <c r="A4206" i="1"/>
  <c r="A2382" i="1"/>
  <c r="A2538" i="1"/>
  <c r="A16965" i="1"/>
  <c r="A414" i="1"/>
  <c r="A3394" i="1"/>
  <c r="A5190" i="1"/>
  <c r="A2797" i="1"/>
  <c r="A10817" i="1"/>
  <c r="A2875" i="1"/>
  <c r="A16964" i="1"/>
  <c r="A16963" i="1"/>
  <c r="A1793" i="1"/>
  <c r="A1971" i="1"/>
  <c r="A16962" i="1"/>
  <c r="A2156" i="1"/>
  <c r="A1366" i="1"/>
  <c r="A2381" i="1"/>
  <c r="A4470" i="1"/>
  <c r="A2670" i="1"/>
  <c r="A1533" i="1"/>
  <c r="A3009" i="1"/>
  <c r="A3126" i="1"/>
  <c r="A11966" i="1"/>
  <c r="A4341" i="1"/>
  <c r="A1900" i="1"/>
  <c r="A3292" i="1"/>
  <c r="A2737" i="1"/>
  <c r="A3595" i="1"/>
  <c r="A4117" i="1"/>
  <c r="A4292" i="1"/>
  <c r="A2155" i="1"/>
  <c r="A1792" i="1"/>
  <c r="A4688" i="1"/>
  <c r="A2154" i="1"/>
  <c r="A3075" i="1"/>
  <c r="A1899" i="1"/>
  <c r="A11807" i="1"/>
  <c r="A1710" i="1"/>
  <c r="A3393" i="1"/>
  <c r="A2153" i="1"/>
  <c r="A1709" i="1"/>
  <c r="A4469" i="1"/>
  <c r="A3074" i="1"/>
  <c r="A3073" i="1"/>
  <c r="A4251" i="1"/>
  <c r="A2851" i="1"/>
  <c r="A1970" i="1"/>
  <c r="A2462" i="1"/>
  <c r="A2669" i="1"/>
  <c r="A2950" i="1"/>
  <c r="A5952" i="1"/>
  <c r="A3280" i="1"/>
  <c r="A2644" i="1"/>
  <c r="A1969" i="1"/>
  <c r="A1708" i="1"/>
  <c r="A4423" i="1"/>
  <c r="A2461" i="1"/>
  <c r="A2949" i="1"/>
  <c r="A8753" i="1"/>
  <c r="A9176" i="1"/>
  <c r="A1898" i="1"/>
  <c r="A16961" i="1"/>
  <c r="A5001" i="1"/>
  <c r="A3183" i="1"/>
  <c r="A3553" i="1"/>
  <c r="A3552" i="1"/>
  <c r="A3233" i="1"/>
  <c r="A2850" i="1"/>
  <c r="A3125" i="1"/>
  <c r="A9309" i="1"/>
  <c r="A3446" i="1"/>
  <c r="A4468" i="1"/>
  <c r="A3500" i="1"/>
  <c r="A2736" i="1"/>
  <c r="A14556" i="1"/>
  <c r="A413" i="1"/>
  <c r="A1532" i="1"/>
  <c r="A16960" i="1"/>
  <c r="A3445" i="1"/>
  <c r="A16959" i="1"/>
  <c r="A1292" i="1"/>
  <c r="A3739" i="1"/>
  <c r="A2061" i="1"/>
  <c r="A3738" i="1"/>
  <c r="A775" i="1"/>
  <c r="A16958" i="1"/>
  <c r="A4502" i="1"/>
  <c r="A2152" i="1"/>
  <c r="A2151" i="1"/>
  <c r="A3800" i="1"/>
  <c r="A3594" i="1"/>
  <c r="A2948" i="1"/>
  <c r="A2296" i="1"/>
  <c r="A4250" i="1"/>
  <c r="A5864" i="1"/>
  <c r="A5291" i="1"/>
  <c r="A1791" i="1"/>
  <c r="A16957" i="1"/>
  <c r="A1897" i="1"/>
  <c r="A2668" i="1"/>
  <c r="A2947" i="1"/>
  <c r="A3232" i="1"/>
  <c r="A2460" i="1"/>
  <c r="A1790" i="1"/>
  <c r="A3433" i="1"/>
  <c r="A16956" i="1"/>
  <c r="A3392" i="1"/>
  <c r="A6023" i="1"/>
  <c r="A1707" i="1"/>
  <c r="A16955" i="1"/>
  <c r="A8493" i="1"/>
  <c r="A1993" i="1"/>
  <c r="A3008" i="1"/>
  <c r="A2181" i="1"/>
  <c r="A2609" i="1"/>
  <c r="A2770" i="1"/>
  <c r="A963" i="1"/>
  <c r="A3169" i="1"/>
  <c r="A2295" i="1"/>
  <c r="A2667" i="1"/>
  <c r="A412" i="1"/>
  <c r="A411" i="1"/>
  <c r="A2150" i="1"/>
  <c r="A2149" i="1"/>
  <c r="A1706" i="1"/>
  <c r="A2459" i="1"/>
  <c r="A3499" i="1"/>
  <c r="A2235" i="1"/>
  <c r="A1365" i="1"/>
  <c r="A16954" i="1"/>
  <c r="A2458" i="1"/>
  <c r="A3643" i="1"/>
  <c r="A2380" i="1"/>
  <c r="A1456" i="1"/>
  <c r="A2457" i="1"/>
  <c r="A2456" i="1"/>
  <c r="A6393" i="1"/>
  <c r="A410" i="1"/>
  <c r="A2148" i="1"/>
  <c r="A2849" i="1"/>
  <c r="A3685" i="1"/>
  <c r="A3335" i="1"/>
  <c r="A1291" i="1"/>
  <c r="A2537" i="1"/>
  <c r="A3072" i="1"/>
  <c r="A2666" i="1"/>
  <c r="A5985" i="1"/>
  <c r="A2379" i="1"/>
  <c r="A2378" i="1"/>
  <c r="A3952" i="1"/>
  <c r="A2946" i="1"/>
  <c r="A3071" i="1"/>
  <c r="A2294" i="1"/>
  <c r="A1290" i="1"/>
  <c r="A16953" i="1"/>
  <c r="A2945" i="1"/>
  <c r="A3951" i="1"/>
  <c r="A11953" i="1"/>
  <c r="A3070" i="1"/>
  <c r="A3182" i="1"/>
  <c r="A3391" i="1"/>
  <c r="A3231" i="1"/>
  <c r="A3684" i="1"/>
  <c r="A16952" i="1"/>
  <c r="A2735" i="1"/>
  <c r="A409" i="1"/>
  <c r="A3124" i="1"/>
  <c r="A408" i="1"/>
  <c r="A2147" i="1"/>
  <c r="A3390" i="1"/>
  <c r="A2060" i="1"/>
  <c r="A1705" i="1"/>
  <c r="A2377" i="1"/>
  <c r="A4038" i="1"/>
  <c r="A4941" i="1"/>
  <c r="A3737" i="1"/>
  <c r="A5333" i="1"/>
  <c r="A2536" i="1"/>
  <c r="A2293" i="1"/>
  <c r="A1544" i="1"/>
  <c r="A2336" i="1"/>
  <c r="A4582" i="1"/>
  <c r="A1789" i="1"/>
  <c r="A1896" i="1"/>
  <c r="A2376" i="1"/>
  <c r="A5926" i="1"/>
  <c r="A13648" i="1"/>
  <c r="A1895" i="1"/>
  <c r="A4249" i="1"/>
  <c r="A2944" i="1"/>
  <c r="A3642" i="1"/>
  <c r="A1788" i="1"/>
  <c r="A3069" i="1"/>
  <c r="A2059" i="1"/>
  <c r="A3736" i="1"/>
  <c r="A3007" i="1"/>
  <c r="A2455" i="1"/>
  <c r="A2892" i="1"/>
  <c r="A2234" i="1"/>
  <c r="A3895" i="1"/>
  <c r="A2535" i="1"/>
  <c r="A2233" i="1"/>
  <c r="A3123" i="1"/>
  <c r="A4205" i="1"/>
  <c r="A2943" i="1"/>
  <c r="A1613" i="1"/>
  <c r="A1787" i="1"/>
  <c r="A2146" i="1"/>
  <c r="A2375" i="1"/>
  <c r="A1894" i="1"/>
  <c r="A4546" i="1"/>
  <c r="A3122" i="1"/>
  <c r="A2734" i="1"/>
  <c r="A2145" i="1"/>
  <c r="A2733" i="1"/>
  <c r="A16951" i="1"/>
  <c r="A1968" i="1"/>
  <c r="A1076" i="1"/>
  <c r="A2454" i="1"/>
  <c r="A2374" i="1"/>
  <c r="A2373" i="1"/>
  <c r="A2608" i="1"/>
  <c r="A2796" i="1"/>
  <c r="A4340" i="1"/>
  <c r="A3068" i="1"/>
  <c r="A2453" i="1"/>
  <c r="A3230" i="1"/>
  <c r="A2942" i="1"/>
  <c r="A4581" i="1"/>
  <c r="A407" i="1"/>
  <c r="A4386" i="1"/>
  <c r="A4467" i="1"/>
  <c r="A3067" i="1"/>
  <c r="A2732" i="1"/>
  <c r="A3799" i="1"/>
  <c r="A4248" i="1"/>
  <c r="A1967" i="1"/>
  <c r="A3894" i="1"/>
  <c r="A2941" i="1"/>
  <c r="A16950" i="1"/>
  <c r="A2731" i="1"/>
  <c r="A3551" i="1"/>
  <c r="A3006" i="1"/>
  <c r="A3893" i="1"/>
  <c r="A2891" i="1"/>
  <c r="A2992" i="1"/>
  <c r="A3633" i="1"/>
  <c r="A3389" i="1"/>
  <c r="A2795" i="1"/>
  <c r="A8391" i="1"/>
  <c r="A4687" i="1"/>
  <c r="A16949" i="1"/>
  <c r="A3887" i="1"/>
  <c r="A3110" i="1"/>
  <c r="A6366" i="1"/>
  <c r="A2848" i="1"/>
  <c r="A2337" i="1"/>
  <c r="A2708" i="1"/>
  <c r="A1531" i="1"/>
  <c r="A16948" i="1"/>
  <c r="A3434" i="1"/>
  <c r="A3675" i="1"/>
  <c r="A2877" i="1"/>
  <c r="A16947" i="1"/>
  <c r="A1966" i="1"/>
  <c r="A3334" i="1"/>
  <c r="A1364" i="1"/>
  <c r="A12243" i="1"/>
  <c r="A3229" i="1"/>
  <c r="A1213" i="1"/>
  <c r="A2607" i="1"/>
  <c r="A2890" i="1"/>
  <c r="A1363" i="1"/>
  <c r="A2292" i="1"/>
  <c r="A3228" i="1"/>
  <c r="A2232" i="1"/>
  <c r="A1965" i="1"/>
  <c r="A2847" i="1"/>
  <c r="A1893" i="1"/>
  <c r="A2665" i="1"/>
  <c r="A3291" i="1"/>
  <c r="A2794" i="1"/>
  <c r="A3066" i="1"/>
  <c r="A1786" i="1"/>
  <c r="A16946" i="1"/>
  <c r="A6768" i="1"/>
  <c r="A4685" i="1"/>
  <c r="A3498" i="1"/>
  <c r="A2372" i="1"/>
  <c r="A16945" i="1"/>
  <c r="A16944" i="1"/>
  <c r="A11414" i="1"/>
  <c r="A3290" i="1"/>
  <c r="A3065" i="1"/>
  <c r="A4080" i="1"/>
  <c r="A4165" i="1"/>
  <c r="A2793" i="1"/>
  <c r="A16943" i="1"/>
  <c r="A16942" i="1"/>
  <c r="A3641" i="1"/>
  <c r="A2664" i="1"/>
  <c r="A2058" i="1"/>
  <c r="A1892" i="1"/>
  <c r="A774" i="1"/>
  <c r="A2371" i="1"/>
  <c r="A1964" i="1"/>
  <c r="A1612" i="1"/>
  <c r="A2370" i="1"/>
  <c r="A2730" i="1"/>
  <c r="A4164" i="1"/>
  <c r="A3683" i="1"/>
  <c r="A406" i="1"/>
  <c r="A3064" i="1"/>
  <c r="A3227" i="1"/>
  <c r="A2369" i="1"/>
  <c r="A3181" i="1"/>
  <c r="A2792" i="1"/>
  <c r="A16941" i="1"/>
  <c r="A4116" i="1"/>
  <c r="A4385" i="1"/>
  <c r="A5755" i="1"/>
  <c r="A4037" i="1"/>
  <c r="A2291" i="1"/>
  <c r="A2889" i="1"/>
  <c r="A3289" i="1"/>
  <c r="A2940" i="1"/>
  <c r="A3497" i="1"/>
  <c r="A16940" i="1"/>
  <c r="A2144" i="1"/>
  <c r="A2231" i="1"/>
  <c r="A2606" i="1"/>
  <c r="A10893" i="1"/>
  <c r="A2057" i="1"/>
  <c r="A16939" i="1"/>
  <c r="A2290" i="1"/>
  <c r="A2663" i="1"/>
  <c r="A2662" i="1"/>
  <c r="A1828" i="1"/>
  <c r="A1092" i="1"/>
  <c r="A4163" i="1"/>
  <c r="A4762" i="1"/>
  <c r="A16938" i="1"/>
  <c r="A2939" i="1"/>
  <c r="A2177" i="1"/>
  <c r="A8492" i="1"/>
  <c r="A16937" i="1"/>
  <c r="A1212" i="1"/>
  <c r="A1827" i="1"/>
  <c r="A4539" i="1"/>
  <c r="A3593" i="1"/>
  <c r="A2791" i="1"/>
  <c r="A3005" i="1"/>
  <c r="A4339" i="1"/>
  <c r="A773" i="1"/>
  <c r="A12938" i="1"/>
  <c r="A9762" i="1"/>
  <c r="A6298" i="1"/>
  <c r="A16936" i="1"/>
  <c r="A2056" i="1"/>
  <c r="A2230" i="1"/>
  <c r="A3892" i="1"/>
  <c r="A2055" i="1"/>
  <c r="A1704" i="1"/>
  <c r="A2368" i="1"/>
  <c r="A1891" i="1"/>
  <c r="A16935" i="1"/>
  <c r="A1963" i="1"/>
  <c r="A3063" i="1"/>
  <c r="A1785" i="1"/>
  <c r="A16934" i="1"/>
  <c r="A1784" i="1"/>
  <c r="A2229" i="1"/>
  <c r="A16933" i="1"/>
  <c r="A2452" i="1"/>
  <c r="A2367" i="1"/>
  <c r="A7707" i="1"/>
  <c r="A2534" i="1"/>
  <c r="A2228" i="1"/>
  <c r="A1962" i="1"/>
  <c r="A5718" i="1"/>
  <c r="A1530" i="1"/>
  <c r="A1611" i="1"/>
  <c r="A1610" i="1"/>
  <c r="A1609" i="1"/>
  <c r="A1608" i="1"/>
  <c r="A2143" i="1"/>
  <c r="A16932" i="1"/>
  <c r="A2605" i="1"/>
  <c r="A1703" i="1"/>
  <c r="A8378" i="1"/>
  <c r="A1529" i="1"/>
  <c r="A4580" i="1"/>
  <c r="A2366" i="1"/>
  <c r="A2451" i="1"/>
  <c r="A2729" i="1"/>
  <c r="A1783" i="1"/>
  <c r="A16931" i="1"/>
  <c r="A2054" i="1"/>
  <c r="A2888" i="1"/>
  <c r="A3333" i="1"/>
  <c r="A6044" i="1"/>
  <c r="A4338" i="1"/>
  <c r="A3004" i="1"/>
  <c r="A16930" i="1"/>
  <c r="A2450" i="1"/>
  <c r="A951" i="1"/>
  <c r="A1961" i="1"/>
  <c r="A16929" i="1"/>
  <c r="A3682" i="1"/>
  <c r="A1960" i="1"/>
  <c r="A2846" i="1"/>
  <c r="A2604" i="1"/>
  <c r="A2053" i="1"/>
  <c r="A3121" i="1"/>
  <c r="A3735" i="1"/>
  <c r="A2887" i="1"/>
  <c r="A3950" i="1"/>
  <c r="A16928" i="1"/>
  <c r="A7274" i="1"/>
  <c r="A2790" i="1"/>
  <c r="A3226" i="1"/>
  <c r="A1890" i="1"/>
  <c r="A1289" i="1"/>
  <c r="A4906" i="1"/>
  <c r="A1528" i="1"/>
  <c r="A5370" i="1"/>
  <c r="A2603" i="1"/>
  <c r="A1702" i="1"/>
  <c r="A2728" i="1"/>
  <c r="A1075" i="1"/>
  <c r="A16927" i="1"/>
  <c r="A2602" i="1"/>
  <c r="A3062" i="1"/>
  <c r="A8278" i="1"/>
  <c r="A2052" i="1"/>
  <c r="A3388" i="1"/>
  <c r="A2051" i="1"/>
  <c r="A2227" i="1"/>
  <c r="A2938" i="1"/>
  <c r="A1959" i="1"/>
  <c r="A1471" i="1"/>
  <c r="A2500" i="1"/>
  <c r="A1607" i="1"/>
  <c r="A1288" i="1"/>
  <c r="A772" i="1"/>
  <c r="A3332" i="1"/>
  <c r="A14714" i="1"/>
  <c r="A2937" i="1"/>
  <c r="A16926" i="1"/>
  <c r="A4761" i="1"/>
  <c r="A5512" i="1"/>
  <c r="A2365" i="1"/>
  <c r="A7736" i="1"/>
  <c r="A16925" i="1"/>
  <c r="A9308" i="1"/>
  <c r="A1782" i="1"/>
  <c r="A16302" i="1"/>
  <c r="A2364" i="1"/>
  <c r="A2727" i="1"/>
  <c r="A2050" i="1"/>
  <c r="A2049" i="1"/>
  <c r="A9930" i="1"/>
  <c r="A1362" i="1"/>
  <c r="A3387" i="1"/>
  <c r="A2048" i="1"/>
  <c r="A2449" i="1"/>
  <c r="A2448" i="1"/>
  <c r="A1958" i="1"/>
  <c r="A3798" i="1"/>
  <c r="A2363" i="1"/>
  <c r="A3496" i="1"/>
  <c r="A2142" i="1"/>
  <c r="A2226" i="1"/>
  <c r="A2289" i="1"/>
  <c r="A4247" i="1"/>
  <c r="A2533" i="1"/>
  <c r="A4036" i="1"/>
  <c r="A4079" i="1"/>
  <c r="A1701" i="1"/>
  <c r="A16924" i="1"/>
  <c r="A2047" i="1"/>
  <c r="A2601" i="1"/>
  <c r="A4545" i="1"/>
  <c r="A5259" i="1"/>
  <c r="A16923" i="1"/>
  <c r="A2447" i="1"/>
  <c r="A1889" i="1"/>
  <c r="A2532" i="1"/>
  <c r="A2936" i="1"/>
  <c r="A4760" i="1"/>
  <c r="A3061" i="1"/>
  <c r="A2661" i="1"/>
  <c r="A4866" i="1"/>
  <c r="A5895" i="1"/>
  <c r="A2046" i="1"/>
  <c r="A16922" i="1"/>
  <c r="A2446" i="1"/>
  <c r="A2789" i="1"/>
  <c r="A2531" i="1"/>
  <c r="A16921" i="1"/>
  <c r="A1361" i="1"/>
  <c r="A2141" i="1"/>
  <c r="A2660" i="1"/>
  <c r="A5511" i="1"/>
  <c r="A2659" i="1"/>
  <c r="A2362" i="1"/>
  <c r="A2288" i="1"/>
  <c r="A16920" i="1"/>
  <c r="A1455" i="1"/>
  <c r="A2225" i="1"/>
  <c r="A3495" i="1"/>
  <c r="A2530" i="1"/>
  <c r="A1211" i="1"/>
  <c r="A3225" i="1"/>
  <c r="A4723" i="1"/>
  <c r="A2788" i="1"/>
  <c r="A5069" i="1"/>
  <c r="A2726" i="1"/>
  <c r="A16919" i="1"/>
  <c r="A2140" i="1"/>
  <c r="A2886" i="1"/>
  <c r="A2045" i="1"/>
  <c r="A3003" i="1"/>
  <c r="A16918" i="1"/>
  <c r="A1606" i="1"/>
  <c r="A1888" i="1"/>
  <c r="A6201" i="1"/>
  <c r="A1476" i="1"/>
  <c r="A1728" i="1"/>
  <c r="A2287" i="1"/>
  <c r="A5258" i="1"/>
  <c r="A4759" i="1"/>
  <c r="A1074" i="1"/>
  <c r="A14201" i="1"/>
  <c r="A16917" i="1"/>
  <c r="A13002" i="1"/>
  <c r="A1454" i="1"/>
  <c r="A5925" i="1"/>
  <c r="A10277" i="1"/>
  <c r="A1210" i="1"/>
  <c r="A16916" i="1"/>
  <c r="A2787" i="1"/>
  <c r="A1957" i="1"/>
  <c r="A3849" i="1"/>
  <c r="A2139" i="1"/>
  <c r="A2445" i="1"/>
  <c r="A3444" i="1"/>
  <c r="A2138" i="1"/>
  <c r="A1781" i="1"/>
  <c r="A3060" i="1"/>
  <c r="A2935" i="1"/>
  <c r="A2786" i="1"/>
  <c r="A2137" i="1"/>
  <c r="A1700" i="1"/>
  <c r="A3180" i="1"/>
  <c r="A2136" i="1"/>
  <c r="A1780" i="1"/>
  <c r="A2286" i="1"/>
  <c r="A2658" i="1"/>
  <c r="A1453" i="1"/>
  <c r="A1779" i="1"/>
  <c r="A2135" i="1"/>
  <c r="A1887" i="1"/>
  <c r="A2444" i="1"/>
  <c r="A1605" i="1"/>
  <c r="A1452" i="1"/>
  <c r="A2600" i="1"/>
  <c r="A2725" i="1"/>
  <c r="A2885" i="1"/>
  <c r="A2443" i="1"/>
  <c r="A3681" i="1"/>
  <c r="A4162" i="1"/>
  <c r="A1886" i="1"/>
  <c r="A3891" i="1"/>
  <c r="A2285" i="1"/>
  <c r="A5035" i="1"/>
  <c r="A3386" i="1"/>
  <c r="A2284" i="1"/>
  <c r="A2442" i="1"/>
  <c r="A1287" i="1"/>
  <c r="A1778" i="1"/>
  <c r="A4722" i="1"/>
  <c r="A1699" i="1"/>
  <c r="A3059" i="1"/>
  <c r="A3058" i="1"/>
  <c r="A2361" i="1"/>
  <c r="A3640" i="1"/>
  <c r="A405" i="1"/>
  <c r="A4905" i="1"/>
  <c r="A16915" i="1"/>
  <c r="A16914" i="1"/>
  <c r="A16913" i="1"/>
  <c r="A2504" i="1"/>
  <c r="A950" i="1"/>
  <c r="A1885" i="1"/>
  <c r="A2044" i="1"/>
  <c r="A1527" i="1"/>
  <c r="A1884" i="1"/>
  <c r="A3179" i="1"/>
  <c r="A1451" i="1"/>
  <c r="A13207" i="1"/>
  <c r="A1209" i="1"/>
  <c r="A1208" i="1"/>
  <c r="A3120" i="1"/>
  <c r="A4204" i="1"/>
  <c r="A2224" i="1"/>
  <c r="A2441" i="1"/>
  <c r="A4944" i="1"/>
  <c r="A1883" i="1"/>
  <c r="A12853" i="1"/>
  <c r="A1882" i="1"/>
  <c r="A2845" i="1"/>
  <c r="A2223" i="1"/>
  <c r="A1604" i="1"/>
  <c r="A1698" i="1"/>
  <c r="A16912" i="1"/>
  <c r="A2134" i="1"/>
  <c r="A2529" i="1"/>
  <c r="A2360" i="1"/>
  <c r="A16911" i="1"/>
  <c r="A2724" i="1"/>
  <c r="A1526" i="1"/>
  <c r="A2785" i="1"/>
  <c r="A2043" i="1"/>
  <c r="A2657" i="1"/>
  <c r="A3331" i="1"/>
  <c r="A1073" i="1"/>
  <c r="A2222" i="1"/>
  <c r="A2042" i="1"/>
  <c r="A2440" i="1"/>
  <c r="A2133" i="1"/>
  <c r="A1956" i="1"/>
  <c r="A771" i="1"/>
  <c r="A2132" i="1"/>
  <c r="A3550" i="1"/>
  <c r="A1777" i="1"/>
  <c r="A1697" i="1"/>
  <c r="A3224" i="1"/>
  <c r="A2528" i="1"/>
  <c r="A2041" i="1"/>
  <c r="A2283" i="1"/>
  <c r="A1072" i="1"/>
  <c r="A1955" i="1"/>
  <c r="A2131" i="1"/>
  <c r="A16910" i="1"/>
  <c r="A5688" i="1"/>
  <c r="A3002" i="1"/>
  <c r="A1954" i="1"/>
  <c r="A2439" i="1"/>
  <c r="A404" i="1"/>
  <c r="A1450" i="1"/>
  <c r="A2723" i="1"/>
  <c r="A3223" i="1"/>
  <c r="A1881" i="1"/>
  <c r="A2599" i="1"/>
  <c r="A2656" i="1"/>
  <c r="A2438" i="1"/>
  <c r="A3057" i="1"/>
  <c r="A2722" i="1"/>
  <c r="A3056" i="1"/>
  <c r="A1953" i="1"/>
  <c r="A1696" i="1"/>
  <c r="A3178" i="1"/>
  <c r="A3001" i="1"/>
  <c r="A2844" i="1"/>
  <c r="A1695" i="1"/>
  <c r="A2721" i="1"/>
  <c r="A2720" i="1"/>
  <c r="A1603" i="1"/>
  <c r="A16909" i="1"/>
  <c r="A3797" i="1"/>
  <c r="A2843" i="1"/>
  <c r="A3385" i="1"/>
  <c r="A2934" i="1"/>
  <c r="A6567" i="1"/>
  <c r="A3000" i="1"/>
  <c r="A2999" i="1"/>
  <c r="A16908" i="1"/>
  <c r="A2527" i="1"/>
  <c r="A3494" i="1"/>
  <c r="A1303" i="1"/>
  <c r="A1920" i="1"/>
  <c r="A1826" i="1"/>
  <c r="A2176" i="1"/>
  <c r="A2989" i="1"/>
  <c r="A16907" i="1"/>
  <c r="A5469" i="1"/>
  <c r="A1880" i="1"/>
  <c r="A8435" i="1"/>
  <c r="A8974" i="1"/>
  <c r="A1602" i="1"/>
  <c r="A14188" i="1"/>
  <c r="A16906" i="1"/>
  <c r="A1071" i="1"/>
  <c r="A1207" i="1"/>
  <c r="A1286" i="1"/>
  <c r="A1601" i="1"/>
  <c r="A1952" i="1"/>
  <c r="A1694" i="1"/>
  <c r="A2130" i="1"/>
  <c r="A1693" i="1"/>
  <c r="A2884" i="1"/>
  <c r="A2282" i="1"/>
  <c r="A2437" i="1"/>
  <c r="A16905" i="1"/>
  <c r="A2436" i="1"/>
  <c r="A1449" i="1"/>
  <c r="A4384" i="1"/>
  <c r="A2221" i="1"/>
  <c r="A3796" i="1"/>
  <c r="A2220" i="1"/>
  <c r="A2526" i="1"/>
  <c r="A2129" i="1"/>
  <c r="A403" i="1"/>
  <c r="A1600" i="1"/>
  <c r="A1525" i="1"/>
  <c r="A2219" i="1"/>
  <c r="A2281" i="1"/>
  <c r="A1951" i="1"/>
  <c r="A2933" i="1"/>
  <c r="A2218" i="1"/>
  <c r="A4544" i="1"/>
  <c r="A1524" i="1"/>
  <c r="A16904" i="1"/>
  <c r="A2932" i="1"/>
  <c r="A2040" i="1"/>
  <c r="A3890" i="1"/>
  <c r="A2128" i="1"/>
  <c r="A2217" i="1"/>
  <c r="A2127" i="1"/>
  <c r="A2216" i="1"/>
  <c r="A2598" i="1"/>
  <c r="A1776" i="1"/>
  <c r="A2215" i="1"/>
  <c r="A1692" i="1"/>
  <c r="A1070" i="1"/>
  <c r="A770" i="1"/>
  <c r="A2126" i="1"/>
  <c r="A949" i="1"/>
  <c r="A16903" i="1"/>
  <c r="A16902" i="1"/>
  <c r="A2998" i="1"/>
  <c r="A5984" i="1"/>
  <c r="A1879" i="1"/>
  <c r="A2280" i="1"/>
  <c r="A2039" i="1"/>
  <c r="A2214" i="1"/>
  <c r="A3443" i="1"/>
  <c r="A16901" i="1"/>
  <c r="A2125" i="1"/>
  <c r="A1360" i="1"/>
  <c r="A4501" i="1"/>
  <c r="A2213" i="1"/>
  <c r="A2435" i="1"/>
  <c r="A2597" i="1"/>
  <c r="A2124" i="1"/>
  <c r="A1448" i="1"/>
  <c r="A2212" i="1"/>
  <c r="A2359" i="1"/>
  <c r="A5510" i="1"/>
  <c r="A1775" i="1"/>
  <c r="A2358" i="1"/>
  <c r="A3549" i="1"/>
  <c r="A2596" i="1"/>
  <c r="A3639" i="1"/>
  <c r="A16900" i="1"/>
  <c r="A3442" i="1"/>
  <c r="A1691" i="1"/>
  <c r="A2931" i="1"/>
  <c r="A16899" i="1"/>
  <c r="A1878" i="1"/>
  <c r="A2357" i="1"/>
  <c r="A2525" i="1"/>
  <c r="A1877" i="1"/>
  <c r="A3493" i="1"/>
  <c r="A2279" i="1"/>
  <c r="A1523" i="1"/>
  <c r="A1447" i="1"/>
  <c r="A3384" i="1"/>
  <c r="A1599" i="1"/>
  <c r="A3848" i="1"/>
  <c r="A1876" i="1"/>
  <c r="A1382" i="1"/>
  <c r="A1285" i="1"/>
  <c r="A2338" i="1"/>
  <c r="A2883" i="1"/>
  <c r="A2524" i="1"/>
  <c r="A5547" i="1"/>
  <c r="A1950" i="1"/>
  <c r="A2356" i="1"/>
  <c r="A2179" i="1"/>
  <c r="A5109" i="1"/>
  <c r="A2523" i="1"/>
  <c r="A1824" i="1"/>
  <c r="A1598" i="1"/>
  <c r="A2038" i="1"/>
  <c r="A16898" i="1"/>
  <c r="A3680" i="1"/>
  <c r="A1446" i="1"/>
  <c r="A1445" i="1"/>
  <c r="A2503" i="1"/>
  <c r="A2707" i="1"/>
  <c r="A2501" i="1"/>
  <c r="A1823" i="1"/>
  <c r="A1444" i="1"/>
  <c r="A402" i="1"/>
  <c r="A3119" i="1"/>
  <c r="A1690" i="1"/>
  <c r="A1875" i="1"/>
  <c r="A401" i="1"/>
  <c r="A2278" i="1"/>
  <c r="A1874" i="1"/>
  <c r="A16897" i="1"/>
  <c r="A1206" i="1"/>
  <c r="A10642" i="1"/>
  <c r="A948" i="1"/>
  <c r="A2277" i="1"/>
  <c r="A3383" i="1"/>
  <c r="A769" i="1"/>
  <c r="A1597" i="1"/>
  <c r="A1689" i="1"/>
  <c r="A2434" i="1"/>
  <c r="A2211" i="1"/>
  <c r="A2123" i="1"/>
  <c r="A2122" i="1"/>
  <c r="A2433" i="1"/>
  <c r="A6767" i="1"/>
  <c r="A2121" i="1"/>
  <c r="A2120" i="1"/>
  <c r="A16896" i="1"/>
  <c r="A4337" i="1"/>
  <c r="A1443" i="1"/>
  <c r="A1359" i="1"/>
  <c r="A2276" i="1"/>
  <c r="A1873" i="1"/>
  <c r="A2037" i="1"/>
  <c r="A1774" i="1"/>
  <c r="A2119" i="1"/>
  <c r="A2210" i="1"/>
  <c r="A400" i="1"/>
  <c r="A1688" i="1"/>
  <c r="A16895" i="1"/>
  <c r="A16894" i="1"/>
  <c r="A1687" i="1"/>
  <c r="A2784" i="1"/>
  <c r="A1686" i="1"/>
  <c r="A1596" i="1"/>
  <c r="A2118" i="1"/>
  <c r="A2275" i="1"/>
  <c r="A16893" i="1"/>
  <c r="A3288" i="1"/>
  <c r="A1949" i="1"/>
  <c r="A3949" i="1"/>
  <c r="A2355" i="1"/>
  <c r="A2595" i="1"/>
  <c r="A2274" i="1"/>
  <c r="A16892" i="1"/>
  <c r="A1948" i="1"/>
  <c r="A3177" i="1"/>
  <c r="A2783" i="1"/>
  <c r="A2432" i="1"/>
  <c r="A2209" i="1"/>
  <c r="A4758" i="1"/>
  <c r="A2594" i="1"/>
  <c r="A2354" i="1"/>
  <c r="A2036" i="1"/>
  <c r="A3996" i="1"/>
  <c r="A2930" i="1"/>
  <c r="A2782" i="1"/>
  <c r="A947" i="1"/>
  <c r="A1442" i="1"/>
  <c r="A1441" i="1"/>
  <c r="A1440" i="1"/>
  <c r="A2655" i="1"/>
  <c r="A1872" i="1"/>
  <c r="A1522" i="1"/>
  <c r="A1685" i="1"/>
  <c r="A1521" i="1"/>
  <c r="A1595" i="1"/>
  <c r="A768" i="1"/>
  <c r="A1594" i="1"/>
  <c r="A3734" i="1"/>
  <c r="A6874" i="1"/>
  <c r="A16891" i="1"/>
  <c r="A2208" i="1"/>
  <c r="A1205" i="1"/>
  <c r="A16890" i="1"/>
  <c r="A2339" i="1"/>
  <c r="A2993" i="1"/>
  <c r="A1871" i="1"/>
  <c r="A16889" i="1"/>
  <c r="A2593" i="1"/>
  <c r="A16888" i="1"/>
  <c r="A4078" i="1"/>
  <c r="A16887" i="1"/>
  <c r="A16886" i="1"/>
  <c r="A1773" i="1"/>
  <c r="A2273" i="1"/>
  <c r="A2719" i="1"/>
  <c r="A1204" i="1"/>
  <c r="A14327" i="1"/>
  <c r="A10198" i="1"/>
  <c r="A3287" i="1"/>
  <c r="A2781" i="1"/>
  <c r="A1870" i="1"/>
  <c r="A1684" i="1"/>
  <c r="A10522" i="1"/>
  <c r="A2431" i="1"/>
  <c r="A1772" i="1"/>
  <c r="A1683" i="1"/>
  <c r="A2592" i="1"/>
  <c r="A11648" i="1"/>
  <c r="A7273" i="1"/>
  <c r="A2842" i="1"/>
  <c r="A13463" i="1"/>
  <c r="A1203" i="1"/>
  <c r="A2035" i="1"/>
  <c r="A2117" i="1"/>
  <c r="A6158" i="1"/>
  <c r="A1593" i="1"/>
  <c r="A1869" i="1"/>
  <c r="A1868" i="1"/>
  <c r="A2034" i="1"/>
  <c r="A2207" i="1"/>
  <c r="A1682" i="1"/>
  <c r="A3118" i="1"/>
  <c r="A1202" i="1"/>
  <c r="A399" i="1"/>
  <c r="A1284" i="1"/>
  <c r="A16885" i="1"/>
  <c r="A1947" i="1"/>
  <c r="A2353" i="1"/>
  <c r="A1946" i="1"/>
  <c r="A1358" i="1"/>
  <c r="A1592" i="1"/>
  <c r="A2033" i="1"/>
  <c r="A1945" i="1"/>
  <c r="A6043" i="1"/>
  <c r="A1771" i="1"/>
  <c r="A2032" i="1"/>
  <c r="A1591" i="1"/>
  <c r="A2116" i="1"/>
  <c r="A7735" i="1"/>
  <c r="A2430" i="1"/>
  <c r="A1681" i="1"/>
  <c r="A2429" i="1"/>
  <c r="A1867" i="1"/>
  <c r="A1866" i="1"/>
  <c r="A2718" i="1"/>
  <c r="A1680" i="1"/>
  <c r="A946" i="1"/>
  <c r="A2717" i="1"/>
  <c r="A1865" i="1"/>
  <c r="A4543" i="1"/>
  <c r="A2115" i="1"/>
  <c r="A1439" i="1"/>
  <c r="A1357" i="1"/>
  <c r="A3055" i="1"/>
  <c r="A3795" i="1"/>
  <c r="A2654" i="1"/>
  <c r="A3054" i="1"/>
  <c r="A16884" i="1"/>
  <c r="A3213" i="1"/>
  <c r="A1520" i="1"/>
  <c r="A1356" i="1"/>
  <c r="A16883" i="1"/>
  <c r="A8572" i="1"/>
  <c r="A1944" i="1"/>
  <c r="A1380" i="1"/>
  <c r="A2522" i="1"/>
  <c r="A1770" i="1"/>
  <c r="A2653" i="1"/>
  <c r="A2206" i="1"/>
  <c r="A2574" i="1"/>
  <c r="A2505" i="1"/>
  <c r="A2272" i="1"/>
  <c r="A2413" i="1"/>
  <c r="A2652" i="1"/>
  <c r="A1519" i="1"/>
  <c r="A3286" i="1"/>
  <c r="A2271" i="1"/>
  <c r="A2882" i="1"/>
  <c r="A1201" i="1"/>
  <c r="A2270" i="1"/>
  <c r="A3330" i="1"/>
  <c r="A4035" i="1"/>
  <c r="A2031" i="1"/>
  <c r="A2205" i="1"/>
  <c r="A1590" i="1"/>
  <c r="A945" i="1"/>
  <c r="A3441" i="1"/>
  <c r="A1200" i="1"/>
  <c r="A1864" i="1"/>
  <c r="A1069" i="1"/>
  <c r="A944" i="1"/>
  <c r="A1679" i="1"/>
  <c r="A2428" i="1"/>
  <c r="A1355" i="1"/>
  <c r="A398" i="1"/>
  <c r="A2591" i="1"/>
  <c r="A2030" i="1"/>
  <c r="A16882" i="1"/>
  <c r="A1943" i="1"/>
  <c r="A4659" i="1"/>
  <c r="A1068" i="1"/>
  <c r="A397" i="1"/>
  <c r="A2029" i="1"/>
  <c r="A1199" i="1"/>
  <c r="A1283" i="1"/>
  <c r="A1589" i="1"/>
  <c r="A1438" i="1"/>
  <c r="A767" i="1"/>
  <c r="A2028" i="1"/>
  <c r="A2114" i="1"/>
  <c r="A2027" i="1"/>
  <c r="A1863" i="1"/>
  <c r="A1198" i="1"/>
  <c r="A2026" i="1"/>
  <c r="A2025" i="1"/>
  <c r="A2997" i="1"/>
  <c r="A1437" i="1"/>
  <c r="A3053" i="1"/>
  <c r="A1588" i="1"/>
  <c r="A2269" i="1"/>
  <c r="A2024" i="1"/>
  <c r="A1197" i="1"/>
  <c r="A3440" i="1"/>
  <c r="A2590" i="1"/>
  <c r="A16881" i="1"/>
  <c r="A4034" i="1"/>
  <c r="A1942" i="1"/>
  <c r="A1518" i="1"/>
  <c r="A1436" i="1"/>
  <c r="A1587" i="1"/>
  <c r="A3492" i="1"/>
  <c r="A2268" i="1"/>
  <c r="A1435" i="1"/>
  <c r="A1769" i="1"/>
  <c r="A1067" i="1"/>
  <c r="A1768" i="1"/>
  <c r="A1767" i="1"/>
  <c r="A3733" i="1"/>
  <c r="A1196" i="1"/>
  <c r="A1678" i="1"/>
  <c r="A16880" i="1"/>
  <c r="A1631" i="1"/>
  <c r="A16879" i="1"/>
  <c r="A1586" i="1"/>
  <c r="A4966" i="1"/>
  <c r="A2589" i="1"/>
  <c r="A1862" i="1"/>
  <c r="A2113" i="1"/>
  <c r="A2780" i="1"/>
  <c r="A1585" i="1"/>
  <c r="A16878" i="1"/>
  <c r="A943" i="1"/>
  <c r="A396" i="1"/>
  <c r="A1094" i="1"/>
  <c r="A3382" i="1"/>
  <c r="A2881" i="1"/>
  <c r="A1766" i="1"/>
  <c r="A1354" i="1"/>
  <c r="A1517" i="1"/>
  <c r="A3794" i="1"/>
  <c r="A3381" i="1"/>
  <c r="A3587" i="1"/>
  <c r="A16877" i="1"/>
  <c r="A1630" i="1"/>
  <c r="A1730" i="1"/>
  <c r="A2023" i="1"/>
  <c r="A2259" i="1"/>
  <c r="A2112" i="1"/>
  <c r="A1434" i="1"/>
  <c r="A1195" i="1"/>
  <c r="A2588" i="1"/>
  <c r="A16669" i="1"/>
  <c r="A395" i="1"/>
  <c r="A2427" i="1"/>
  <c r="A2651" i="1"/>
  <c r="A1677" i="1"/>
  <c r="A2521" i="1"/>
  <c r="A1676" i="1"/>
  <c r="A1282" i="1"/>
  <c r="A394" i="1"/>
  <c r="A1675" i="1"/>
  <c r="A1353" i="1"/>
  <c r="A16876" i="1"/>
  <c r="A6453" i="1"/>
  <c r="A2111" i="1"/>
  <c r="A5808" i="1"/>
  <c r="A9969" i="1"/>
  <c r="A9009" i="1"/>
  <c r="A2022" i="1"/>
  <c r="A1861" i="1"/>
  <c r="A2110" i="1"/>
  <c r="A1941" i="1"/>
  <c r="A1433" i="1"/>
  <c r="A2929" i="1"/>
  <c r="A1860" i="1"/>
  <c r="A1674" i="1"/>
  <c r="A2520" i="1"/>
  <c r="A1673" i="1"/>
  <c r="A4161" i="1"/>
  <c r="A2352" i="1"/>
  <c r="A1584" i="1"/>
  <c r="A1352" i="1"/>
  <c r="A1583" i="1"/>
  <c r="A16875" i="1"/>
  <c r="A1672" i="1"/>
  <c r="A1671" i="1"/>
  <c r="A2587" i="1"/>
  <c r="A2204" i="1"/>
  <c r="A1765" i="1"/>
  <c r="A3592" i="1"/>
  <c r="A2426" i="1"/>
  <c r="A1281" i="1"/>
  <c r="A2021" i="1"/>
  <c r="A2020" i="1"/>
  <c r="A1432" i="1"/>
  <c r="A1351" i="1"/>
  <c r="A5113" i="1"/>
  <c r="A2425" i="1"/>
  <c r="A16874" i="1"/>
  <c r="A1859" i="1"/>
  <c r="A1431" i="1"/>
  <c r="A2203" i="1"/>
  <c r="A16873" i="1"/>
  <c r="A3491" i="1"/>
  <c r="A1582" i="1"/>
  <c r="A766" i="1"/>
  <c r="A2880" i="1"/>
  <c r="A3176" i="1"/>
  <c r="A1350" i="1"/>
  <c r="A2019" i="1"/>
  <c r="A1194" i="1"/>
  <c r="A2351" i="1"/>
  <c r="A1516" i="1"/>
  <c r="A1515" i="1"/>
  <c r="A1066" i="1"/>
  <c r="A2018" i="1"/>
  <c r="A1280" i="1"/>
  <c r="A1764" i="1"/>
  <c r="A2017" i="1"/>
  <c r="A1193" i="1"/>
  <c r="A1065" i="1"/>
  <c r="A1670" i="1"/>
  <c r="A2109" i="1"/>
  <c r="A1669" i="1"/>
  <c r="A1581" i="1"/>
  <c r="A3117" i="1"/>
  <c r="A2650" i="1"/>
  <c r="A1220" i="1"/>
  <c r="A1992" i="1"/>
  <c r="A1192" i="1"/>
  <c r="A3116" i="1"/>
  <c r="A16872" i="1"/>
  <c r="A1858" i="1"/>
  <c r="A1349" i="1"/>
  <c r="A3115" i="1"/>
  <c r="A2779" i="1"/>
  <c r="A2202" i="1"/>
  <c r="A1514" i="1"/>
  <c r="A2016" i="1"/>
  <c r="A1763" i="1"/>
  <c r="A4115" i="1"/>
  <c r="A3889" i="1"/>
  <c r="A1279" i="1"/>
  <c r="A7981" i="1"/>
  <c r="A1668" i="1"/>
  <c r="A1093" i="1"/>
  <c r="A942" i="1"/>
  <c r="A1994" i="1"/>
  <c r="A16871" i="1"/>
  <c r="A393" i="1"/>
  <c r="A1191" i="1"/>
  <c r="A765" i="1"/>
  <c r="A7304" i="1"/>
  <c r="A3052" i="1"/>
  <c r="A1278" i="1"/>
  <c r="A1190" i="1"/>
  <c r="A16870" i="1"/>
  <c r="A764" i="1"/>
  <c r="A16869" i="1"/>
  <c r="A12784" i="1"/>
  <c r="A1430" i="1"/>
  <c r="A1189" i="1"/>
  <c r="A2841" i="1"/>
  <c r="A1667" i="1"/>
  <c r="A2424" i="1"/>
  <c r="A16868" i="1"/>
  <c r="A2108" i="1"/>
  <c r="A2586" i="1"/>
  <c r="A1277" i="1"/>
  <c r="A2778" i="1"/>
  <c r="A1762" i="1"/>
  <c r="A1513" i="1"/>
  <c r="A2649" i="1"/>
  <c r="A1761" i="1"/>
  <c r="A1188" i="1"/>
  <c r="A2015" i="1"/>
  <c r="A16867" i="1"/>
  <c r="A2107" i="1"/>
  <c r="A1348" i="1"/>
  <c r="A1940" i="1"/>
  <c r="A2201" i="1"/>
  <c r="A392" i="1"/>
  <c r="A1512" i="1"/>
  <c r="A8169" i="1"/>
  <c r="A1666" i="1"/>
  <c r="A2928" i="1"/>
  <c r="A1665" i="1"/>
  <c r="A1939" i="1"/>
  <c r="A4943" i="1"/>
  <c r="A2648" i="1"/>
  <c r="A1429" i="1"/>
  <c r="A1857" i="1"/>
  <c r="A1760" i="1"/>
  <c r="A1347" i="1"/>
  <c r="A3490" i="1"/>
  <c r="A2200" i="1"/>
  <c r="A1346" i="1"/>
  <c r="A1580" i="1"/>
  <c r="A1579" i="1"/>
  <c r="A2014" i="1"/>
  <c r="A2199" i="1"/>
  <c r="A16866" i="1"/>
  <c r="A1064" i="1"/>
  <c r="A5034" i="1"/>
  <c r="A1276" i="1"/>
  <c r="A2106" i="1"/>
  <c r="A1856" i="1"/>
  <c r="A1855" i="1"/>
  <c r="A1428" i="1"/>
  <c r="A1275" i="1"/>
  <c r="A2105" i="1"/>
  <c r="A1664" i="1"/>
  <c r="A1854" i="1"/>
  <c r="A2198" i="1"/>
  <c r="A2716" i="1"/>
  <c r="A1274" i="1"/>
  <c r="A1759" i="1"/>
  <c r="A5151" i="1"/>
  <c r="A3329" i="1"/>
  <c r="A2104" i="1"/>
  <c r="A2197" i="1"/>
  <c r="A2840" i="1"/>
  <c r="A1187" i="1"/>
  <c r="A1511" i="1"/>
  <c r="A1063" i="1"/>
  <c r="A1663" i="1"/>
  <c r="A3175" i="1"/>
  <c r="A1662" i="1"/>
  <c r="A2196" i="1"/>
  <c r="A2195" i="1"/>
  <c r="A16865" i="1"/>
  <c r="A2194" i="1"/>
  <c r="A3439" i="1"/>
  <c r="A1578" i="1"/>
  <c r="A2777" i="1"/>
  <c r="A1577" i="1"/>
  <c r="A6566" i="1"/>
  <c r="A16864" i="1"/>
  <c r="A2013" i="1"/>
  <c r="A1273" i="1"/>
  <c r="A1758" i="1"/>
  <c r="A2103" i="1"/>
  <c r="A1062" i="1"/>
  <c r="A1661" i="1"/>
  <c r="A2643" i="1"/>
  <c r="A1272" i="1"/>
  <c r="A16863" i="1"/>
  <c r="A1271" i="1"/>
  <c r="A3217" i="1"/>
  <c r="A2012" i="1"/>
  <c r="A1510" i="1"/>
  <c r="A2839" i="1"/>
  <c r="A16862" i="1"/>
  <c r="A16861" i="1"/>
  <c r="A2011" i="1"/>
  <c r="A5257" i="1"/>
  <c r="A3114" i="1"/>
  <c r="A1757" i="1"/>
  <c r="A3328" i="1"/>
  <c r="A2776" i="1"/>
  <c r="A2010" i="1"/>
  <c r="A16860" i="1"/>
  <c r="A941" i="1"/>
  <c r="A16859" i="1"/>
  <c r="A1756" i="1"/>
  <c r="A1938" i="1"/>
  <c r="A1576" i="1"/>
  <c r="A1509" i="1"/>
  <c r="A16858" i="1"/>
  <c r="A9742" i="1"/>
  <c r="A1186" i="1"/>
  <c r="A2009" i="1"/>
  <c r="A1853" i="1"/>
  <c r="A1345" i="1"/>
  <c r="A1755" i="1"/>
  <c r="A1270" i="1"/>
  <c r="A2008" i="1"/>
  <c r="A2715" i="1"/>
  <c r="A16857" i="1"/>
  <c r="A1508" i="1"/>
  <c r="A3948" i="1"/>
  <c r="A3847" i="1"/>
  <c r="A2585" i="1"/>
  <c r="A2102" i="1"/>
  <c r="A3591" i="1"/>
  <c r="A1575" i="1"/>
  <c r="A2193" i="1"/>
  <c r="A1754" i="1"/>
  <c r="A1937" i="1"/>
  <c r="A1507" i="1"/>
  <c r="A2584" i="1"/>
  <c r="A1185" i="1"/>
  <c r="A4757" i="1"/>
  <c r="A1344" i="1"/>
  <c r="A1852" i="1"/>
  <c r="A1660" i="1"/>
  <c r="A2838" i="1"/>
  <c r="A1851" i="1"/>
  <c r="A3438" i="1"/>
  <c r="A1427" i="1"/>
  <c r="A1269" i="1"/>
  <c r="A1659" i="1"/>
  <c r="A763" i="1"/>
  <c r="A1184" i="1"/>
  <c r="A2996" i="1"/>
  <c r="A1506" i="1"/>
  <c r="A1753" i="1"/>
  <c r="A1183" i="1"/>
  <c r="A1936" i="1"/>
  <c r="A1343" i="1"/>
  <c r="A1182" i="1"/>
  <c r="A391" i="1"/>
  <c r="A1850" i="1"/>
  <c r="A2101" i="1"/>
  <c r="A16856" i="1"/>
  <c r="A2007" i="1"/>
  <c r="A1268" i="1"/>
  <c r="A16855" i="1"/>
  <c r="A2837" i="1"/>
  <c r="A3051" i="1"/>
  <c r="A1574" i="1"/>
  <c r="A1573" i="1"/>
  <c r="A3437" i="1"/>
  <c r="A1378" i="1"/>
  <c r="A1377" i="1"/>
  <c r="A2342" i="1"/>
  <c r="A762" i="1"/>
  <c r="A1061" i="1"/>
  <c r="A7088" i="1"/>
  <c r="A13602" i="1"/>
  <c r="A1752" i="1"/>
  <c r="A1849" i="1"/>
  <c r="A1848" i="1"/>
  <c r="A1847" i="1"/>
  <c r="A16854" i="1"/>
  <c r="A1572" i="1"/>
  <c r="A12574" i="1"/>
  <c r="A10936" i="1"/>
  <c r="A4422" i="1"/>
  <c r="A1505" i="1"/>
  <c r="A3995" i="1"/>
  <c r="A5290" i="1"/>
  <c r="A1751" i="1"/>
  <c r="A1181" i="1"/>
  <c r="A1180" i="1"/>
  <c r="A1267" i="1"/>
  <c r="A940" i="1"/>
  <c r="A1342" i="1"/>
  <c r="A1426" i="1"/>
  <c r="A1425" i="1"/>
  <c r="A2267" i="1"/>
  <c r="A2266" i="1"/>
  <c r="A2100" i="1"/>
  <c r="A1935" i="1"/>
  <c r="A16853" i="1"/>
  <c r="A3174" i="1"/>
  <c r="A1750" i="1"/>
  <c r="A2006" i="1"/>
  <c r="A1424" i="1"/>
  <c r="A1504" i="1"/>
  <c r="A2519" i="1"/>
  <c r="A2099" i="1"/>
  <c r="A4421" i="1"/>
  <c r="A2265" i="1"/>
  <c r="A939" i="1"/>
  <c r="A1179" i="1"/>
  <c r="A1178" i="1"/>
  <c r="A3793" i="1"/>
  <c r="A4942" i="1"/>
  <c r="A16852" i="1"/>
  <c r="A1846" i="1"/>
  <c r="A1060" i="1"/>
  <c r="A1571" i="1"/>
  <c r="A16851" i="1"/>
  <c r="A1177" i="1"/>
  <c r="A1266" i="1"/>
  <c r="A1658" i="1"/>
  <c r="A1423" i="1"/>
  <c r="A4336" i="1"/>
  <c r="A1265" i="1"/>
  <c r="A1341" i="1"/>
  <c r="A5472" i="1"/>
  <c r="A2714" i="1"/>
  <c r="A1570" i="1"/>
  <c r="A796" i="1"/>
  <c r="A2506" i="1"/>
  <c r="A16850" i="1"/>
  <c r="A761" i="1"/>
  <c r="A16849" i="1"/>
  <c r="A2257" i="1"/>
  <c r="A1845" i="1"/>
  <c r="A1176" i="1"/>
  <c r="A10845" i="1"/>
  <c r="A16848" i="1"/>
  <c r="A3947" i="1"/>
  <c r="A760" i="1"/>
  <c r="A1059" i="1"/>
  <c r="A2836" i="1"/>
  <c r="A1058" i="1"/>
  <c r="A6494" i="1"/>
  <c r="A12518" i="1"/>
  <c r="A16847" i="1"/>
  <c r="A1175" i="1"/>
  <c r="A1569" i="1"/>
  <c r="A6941" i="1"/>
  <c r="A1503" i="1"/>
  <c r="A390" i="1"/>
  <c r="A1844" i="1"/>
  <c r="A1568" i="1"/>
  <c r="A1057" i="1"/>
  <c r="A1657" i="1"/>
  <c r="A2350" i="1"/>
  <c r="A1174" i="1"/>
  <c r="A1264" i="1"/>
  <c r="A1056" i="1"/>
  <c r="A3679" i="1"/>
  <c r="A1263" i="1"/>
  <c r="A2005" i="1"/>
  <c r="A938" i="1"/>
  <c r="A1422" i="1"/>
  <c r="A1656" i="1"/>
  <c r="A1421" i="1"/>
  <c r="A759" i="1"/>
  <c r="A1502" i="1"/>
  <c r="A1173" i="1"/>
  <c r="A1749" i="1"/>
  <c r="A1420" i="1"/>
  <c r="A2192" i="1"/>
  <c r="A4686" i="1"/>
  <c r="A937" i="1"/>
  <c r="A2423" i="1"/>
  <c r="A1340" i="1"/>
  <c r="A2191" i="1"/>
  <c r="A1172" i="1"/>
  <c r="A936" i="1"/>
  <c r="A1567" i="1"/>
  <c r="A1419" i="1"/>
  <c r="A1655" i="1"/>
  <c r="A16846" i="1"/>
  <c r="A1654" i="1"/>
  <c r="A16845" i="1"/>
  <c r="A3113" i="1"/>
  <c r="A1418" i="1"/>
  <c r="A935" i="1"/>
  <c r="A1843" i="1"/>
  <c r="A934" i="1"/>
  <c r="A5717" i="1"/>
  <c r="A1262" i="1"/>
  <c r="A1339" i="1"/>
  <c r="A933" i="1"/>
  <c r="A758" i="1"/>
  <c r="A1417" i="1"/>
  <c r="A16844" i="1"/>
  <c r="A1338" i="1"/>
  <c r="A16843" i="1"/>
  <c r="A3279" i="1"/>
  <c r="A757" i="1"/>
  <c r="A1501" i="1"/>
  <c r="A2518" i="1"/>
  <c r="A932" i="1"/>
  <c r="A931" i="1"/>
  <c r="A2349" i="1"/>
  <c r="A2098" i="1"/>
  <c r="A1055" i="1"/>
  <c r="A3173" i="1"/>
  <c r="A930" i="1"/>
  <c r="A16842" i="1"/>
  <c r="A1500" i="1"/>
  <c r="A2583" i="1"/>
  <c r="A2190" i="1"/>
  <c r="A2713" i="1"/>
  <c r="A756" i="1"/>
  <c r="A2582" i="1"/>
  <c r="A16841" i="1"/>
  <c r="A2004" i="1"/>
  <c r="A3327" i="1"/>
  <c r="A14680" i="1"/>
  <c r="A9870" i="1"/>
  <c r="A4579" i="1"/>
  <c r="A11902" i="1"/>
  <c r="A13418" i="1"/>
  <c r="A1566" i="1"/>
  <c r="A1337" i="1"/>
  <c r="A1565" i="1"/>
  <c r="A8259" i="1"/>
  <c r="A2517" i="1"/>
  <c r="A389" i="1"/>
  <c r="A8733" i="1"/>
  <c r="A2835" i="1"/>
  <c r="A10477" i="1"/>
  <c r="A3222" i="1"/>
  <c r="A1653" i="1"/>
  <c r="A1652" i="1"/>
  <c r="A2097" i="1"/>
  <c r="A2775" i="1"/>
  <c r="A8277" i="1"/>
  <c r="A2096" i="1"/>
  <c r="A4107" i="1"/>
  <c r="A1651" i="1"/>
  <c r="A1171" i="1"/>
  <c r="A388" i="1"/>
  <c r="A2927" i="1"/>
  <c r="A2422" i="1"/>
  <c r="A1416" i="1"/>
  <c r="A1261" i="1"/>
  <c r="A1336" i="1"/>
  <c r="A1415" i="1"/>
  <c r="A929" i="1"/>
  <c r="A1414" i="1"/>
  <c r="A2834" i="1"/>
  <c r="A2264" i="1"/>
  <c r="A1499" i="1"/>
  <c r="A16840" i="1"/>
  <c r="A3888" i="1"/>
  <c r="A2003" i="1"/>
  <c r="A2178" i="1"/>
  <c r="A1650" i="1"/>
  <c r="A1919" i="1"/>
  <c r="A755" i="1"/>
  <c r="A754" i="1"/>
  <c r="A1649" i="1"/>
  <c r="A1564" i="1"/>
  <c r="A2712" i="1"/>
  <c r="A3050" i="1"/>
  <c r="A1470" i="1"/>
  <c r="A3049" i="1"/>
  <c r="A2002" i="1"/>
  <c r="A2421" i="1"/>
  <c r="A1498" i="1"/>
  <c r="A1729" i="1"/>
  <c r="A1091" i="1"/>
  <c r="A1054" i="1"/>
  <c r="A1170" i="1"/>
  <c r="A1169" i="1"/>
  <c r="A1413" i="1"/>
  <c r="A928" i="1"/>
  <c r="A753" i="1"/>
  <c r="A1053" i="1"/>
  <c r="A3946" i="1"/>
  <c r="A13993" i="1"/>
  <c r="A4160" i="1"/>
  <c r="A13260" i="1"/>
  <c r="A6766" i="1"/>
  <c r="A7303" i="1"/>
  <c r="A1648" i="1"/>
  <c r="A12638" i="1"/>
  <c r="A1748" i="1"/>
  <c r="A1842" i="1"/>
  <c r="A1168" i="1"/>
  <c r="A1335" i="1"/>
  <c r="A2581" i="1"/>
  <c r="A927" i="1"/>
  <c r="A1412" i="1"/>
  <c r="A1934" i="1"/>
  <c r="A1497" i="1"/>
  <c r="A1167" i="1"/>
  <c r="A1841" i="1"/>
  <c r="A1840" i="1"/>
  <c r="A1052" i="1"/>
  <c r="A387" i="1"/>
  <c r="A2189" i="1"/>
  <c r="A2348" i="1"/>
  <c r="A2711" i="1"/>
  <c r="A386" i="1"/>
  <c r="A1747" i="1"/>
  <c r="A926" i="1"/>
  <c r="A1563" i="1"/>
  <c r="A1260" i="1"/>
  <c r="A5687" i="1"/>
  <c r="A1334" i="1"/>
  <c r="A1166" i="1"/>
  <c r="A925" i="1"/>
  <c r="A752" i="1"/>
  <c r="A2420" i="1"/>
  <c r="A1333" i="1"/>
  <c r="A16839" i="1"/>
  <c r="A924" i="1"/>
  <c r="A1051" i="1"/>
  <c r="A1496" i="1"/>
  <c r="A1165" i="1"/>
  <c r="A1332" i="1"/>
  <c r="A4628" i="1"/>
  <c r="A751" i="1"/>
  <c r="A16838" i="1"/>
  <c r="A16837" i="1"/>
  <c r="A1050" i="1"/>
  <c r="A2419" i="1"/>
  <c r="A1411" i="1"/>
  <c r="A385" i="1"/>
  <c r="A2095" i="1"/>
  <c r="A16836" i="1"/>
  <c r="A923" i="1"/>
  <c r="A1495" i="1"/>
  <c r="A1331" i="1"/>
  <c r="A2094" i="1"/>
  <c r="A2347" i="1"/>
  <c r="A1494" i="1"/>
  <c r="A2188" i="1"/>
  <c r="A1410" i="1"/>
  <c r="A4114" i="1"/>
  <c r="A1746" i="1"/>
  <c r="A1049" i="1"/>
  <c r="A384" i="1"/>
  <c r="A750" i="1"/>
  <c r="A1727" i="1"/>
  <c r="A2710" i="1"/>
  <c r="A922" i="1"/>
  <c r="A3678" i="1"/>
  <c r="A1647" i="1"/>
  <c r="A2516" i="1"/>
  <c r="A1562" i="1"/>
  <c r="A1221" i="1"/>
  <c r="A1474" i="1"/>
  <c r="A961" i="1"/>
  <c r="A1301" i="1"/>
  <c r="A798" i="1"/>
  <c r="A2001" i="1"/>
  <c r="A1048" i="1"/>
  <c r="A3048" i="1"/>
  <c r="A13216" i="1"/>
  <c r="A2263" i="1"/>
  <c r="A1409" i="1"/>
  <c r="A12852" i="1"/>
  <c r="A1259" i="1"/>
  <c r="A1258" i="1"/>
  <c r="A1164" i="1"/>
  <c r="A1257" i="1"/>
  <c r="A16835" i="1"/>
  <c r="A921" i="1"/>
  <c r="A1493" i="1"/>
  <c r="A920" i="1"/>
  <c r="A1163" i="1"/>
  <c r="A7399" i="1"/>
  <c r="A7734" i="1"/>
  <c r="A1256" i="1"/>
  <c r="A1255" i="1"/>
  <c r="A5289" i="1"/>
  <c r="A3436" i="1"/>
  <c r="A10158" i="1"/>
  <c r="A1330" i="1"/>
  <c r="A1646" i="1"/>
  <c r="A3221" i="1"/>
  <c r="A749" i="1"/>
  <c r="A383" i="1"/>
  <c r="A1254" i="1"/>
  <c r="A1162" i="1"/>
  <c r="A16834" i="1"/>
  <c r="A1161" i="1"/>
  <c r="A4420" i="1"/>
  <c r="A4203" i="1"/>
  <c r="A2093" i="1"/>
  <c r="A1160" i="1"/>
  <c r="A1159" i="1"/>
  <c r="A16833" i="1"/>
  <c r="A1047" i="1"/>
  <c r="A16832" i="1"/>
  <c r="A748" i="1"/>
  <c r="A919" i="1"/>
  <c r="A7876" i="1"/>
  <c r="A4419" i="1"/>
  <c r="A1408" i="1"/>
  <c r="A1158" i="1"/>
  <c r="A1561" i="1"/>
  <c r="A1157" i="1"/>
  <c r="A2926" i="1"/>
  <c r="A747" i="1"/>
  <c r="A1046" i="1"/>
  <c r="A16831" i="1"/>
  <c r="A1045" i="1"/>
  <c r="A1329" i="1"/>
  <c r="A2187" i="1"/>
  <c r="A1044" i="1"/>
  <c r="A16830" i="1"/>
  <c r="A1745" i="1"/>
  <c r="A1407" i="1"/>
  <c r="A5231" i="1"/>
  <c r="A1043" i="1"/>
  <c r="A1042" i="1"/>
  <c r="A16829" i="1"/>
  <c r="A1492" i="1"/>
  <c r="A1156" i="1"/>
  <c r="A746" i="1"/>
  <c r="A1328" i="1"/>
  <c r="A2418" i="1"/>
  <c r="A1155" i="1"/>
  <c r="A382" i="1"/>
  <c r="A16828" i="1"/>
  <c r="A1154" i="1"/>
  <c r="A1041" i="1"/>
  <c r="A1839" i="1"/>
  <c r="A918" i="1"/>
  <c r="A745" i="1"/>
  <c r="A1040" i="1"/>
  <c r="A2833" i="1"/>
  <c r="A744" i="1"/>
  <c r="A917" i="1"/>
  <c r="A1560" i="1"/>
  <c r="A1253" i="1"/>
  <c r="A16827" i="1"/>
  <c r="A593" i="1"/>
  <c r="A1153" i="1"/>
  <c r="A16826" i="1"/>
  <c r="A1744" i="1"/>
  <c r="A1327" i="1"/>
  <c r="A1406" i="1"/>
  <c r="A16825" i="1"/>
  <c r="A16824" i="1"/>
  <c r="A2092" i="1"/>
  <c r="A2994" i="1"/>
  <c r="A3112" i="1"/>
  <c r="A2091" i="1"/>
  <c r="A1559" i="1"/>
  <c r="A1252" i="1"/>
  <c r="A1645" i="1"/>
  <c r="A381" i="1"/>
  <c r="A1491" i="1"/>
  <c r="A2580" i="1"/>
  <c r="A4418" i="1"/>
  <c r="A2000" i="1"/>
  <c r="A16823" i="1"/>
  <c r="A1644" i="1"/>
  <c r="A1558" i="1"/>
  <c r="A1089" i="1"/>
  <c r="A16822" i="1"/>
  <c r="A743" i="1"/>
  <c r="A1152" i="1"/>
  <c r="A8129" i="1"/>
  <c r="A1039" i="1"/>
  <c r="A3732" i="1"/>
  <c r="A16821" i="1"/>
  <c r="A12760" i="1"/>
  <c r="A13244" i="1"/>
  <c r="A916" i="1"/>
  <c r="A1151" i="1"/>
  <c r="A16820" i="1"/>
  <c r="A4113" i="1"/>
  <c r="A1643" i="1"/>
  <c r="A915" i="1"/>
  <c r="A1642" i="1"/>
  <c r="A1326" i="1"/>
  <c r="A1038" i="1"/>
  <c r="A4112" i="1"/>
  <c r="A1405" i="1"/>
  <c r="A1404" i="1"/>
  <c r="A380" i="1"/>
  <c r="A3489" i="1"/>
  <c r="A16819" i="1"/>
  <c r="A1838" i="1"/>
  <c r="A1150" i="1"/>
  <c r="A6523" i="1"/>
  <c r="A16818" i="1"/>
  <c r="A1149" i="1"/>
  <c r="A2417" i="1"/>
  <c r="A10133" i="1"/>
  <c r="A1490" i="1"/>
  <c r="A1037" i="1"/>
  <c r="A16817" i="1"/>
  <c r="A1036" i="1"/>
  <c r="A2879" i="1"/>
  <c r="A914" i="1"/>
  <c r="A16816" i="1"/>
  <c r="A913" i="1"/>
  <c r="A742" i="1"/>
  <c r="A379" i="1"/>
  <c r="A16815" i="1"/>
  <c r="A2186" i="1"/>
  <c r="A4335" i="1"/>
  <c r="A1999" i="1"/>
  <c r="A1933" i="1"/>
  <c r="A912" i="1"/>
  <c r="A741" i="1"/>
  <c r="A16814" i="1"/>
  <c r="A911" i="1"/>
  <c r="A1251" i="1"/>
  <c r="A740" i="1"/>
  <c r="A910" i="1"/>
  <c r="A739" i="1"/>
  <c r="A1035" i="1"/>
  <c r="A1325" i="1"/>
  <c r="A1250" i="1"/>
  <c r="A738" i="1"/>
  <c r="A737" i="1"/>
  <c r="A909" i="1"/>
  <c r="A1324" i="1"/>
  <c r="A908" i="1"/>
  <c r="A378" i="1"/>
  <c r="A1034" i="1"/>
  <c r="A2774" i="1"/>
  <c r="A1323" i="1"/>
  <c r="A1148" i="1"/>
  <c r="A1033" i="1"/>
  <c r="A16813" i="1"/>
  <c r="A1403" i="1"/>
  <c r="A2090" i="1"/>
  <c r="A907" i="1"/>
  <c r="A2185" i="1"/>
  <c r="A736" i="1"/>
  <c r="A1402" i="1"/>
  <c r="A1401" i="1"/>
  <c r="A1641" i="1"/>
  <c r="A1032" i="1"/>
  <c r="A735" i="1"/>
  <c r="A2515" i="1"/>
  <c r="A377" i="1"/>
  <c r="A3047" i="1"/>
  <c r="A376" i="1"/>
  <c r="A1557" i="1"/>
  <c r="A1932" i="1"/>
  <c r="A734" i="1"/>
  <c r="A16812" i="1"/>
  <c r="A906" i="1"/>
  <c r="A1147" i="1"/>
  <c r="A1090" i="1"/>
  <c r="A1837" i="1"/>
  <c r="A375" i="1"/>
  <c r="A1249" i="1"/>
  <c r="A2514" i="1"/>
  <c r="A1146" i="1"/>
  <c r="A1640" i="1"/>
  <c r="A1376" i="1"/>
  <c r="A733" i="1"/>
  <c r="A1489" i="1"/>
  <c r="A1145" i="1"/>
  <c r="A1998" i="1"/>
  <c r="A1743" i="1"/>
  <c r="A1556" i="1"/>
  <c r="A374" i="1"/>
  <c r="A2513" i="1"/>
  <c r="A1144" i="1"/>
  <c r="A2579" i="1"/>
  <c r="A2089" i="1"/>
  <c r="A804" i="1"/>
  <c r="A905" i="1"/>
  <c r="A805" i="1"/>
  <c r="A800" i="1"/>
  <c r="A904" i="1"/>
  <c r="A1031" i="1"/>
  <c r="A1742" i="1"/>
  <c r="A11062" i="1"/>
  <c r="A373" i="1"/>
  <c r="A903" i="1"/>
  <c r="A372" i="1"/>
  <c r="A732" i="1"/>
  <c r="A371" i="1"/>
  <c r="A902" i="1"/>
  <c r="A1400" i="1"/>
  <c r="A13487" i="1"/>
  <c r="A1030" i="1"/>
  <c r="A1931" i="1"/>
  <c r="A5193" i="1"/>
  <c r="A1639" i="1"/>
  <c r="A731" i="1"/>
  <c r="A1248" i="1"/>
  <c r="A16811" i="1"/>
  <c r="A1143" i="1"/>
  <c r="A901" i="1"/>
  <c r="A1142" i="1"/>
  <c r="A16810" i="1"/>
  <c r="A1029" i="1"/>
  <c r="A1028" i="1"/>
  <c r="A2578" i="1"/>
  <c r="A1399" i="1"/>
  <c r="A900" i="1"/>
  <c r="A2709" i="1"/>
  <c r="A2512" i="1"/>
  <c r="A370" i="1"/>
  <c r="A1741" i="1"/>
  <c r="A1027" i="1"/>
  <c r="A369" i="1"/>
  <c r="A1555" i="1"/>
  <c r="A1488" i="1"/>
  <c r="A1740" i="1"/>
  <c r="A1141" i="1"/>
  <c r="A730" i="1"/>
  <c r="A899" i="1"/>
  <c r="A368" i="1"/>
  <c r="A729" i="1"/>
  <c r="A1739" i="1"/>
  <c r="A1026" i="1"/>
  <c r="A16809" i="1"/>
  <c r="A1487" i="1"/>
  <c r="A898" i="1"/>
  <c r="A1554" i="1"/>
  <c r="A728" i="1"/>
  <c r="A367" i="1"/>
  <c r="A366" i="1"/>
  <c r="A4159" i="1"/>
  <c r="A3846" i="1"/>
  <c r="A2184" i="1"/>
  <c r="A1247" i="1"/>
  <c r="A1025" i="1"/>
  <c r="A1246" i="1"/>
  <c r="A1024" i="1"/>
  <c r="A1023" i="1"/>
  <c r="A727" i="1"/>
  <c r="A1322" i="1"/>
  <c r="A1930" i="1"/>
  <c r="A1140" i="1"/>
  <c r="A16808" i="1"/>
  <c r="A1245" i="1"/>
  <c r="A7427" i="1"/>
  <c r="A897" i="1"/>
  <c r="A896" i="1"/>
  <c r="A1139" i="1"/>
  <c r="A1022" i="1"/>
  <c r="A895" i="1"/>
  <c r="A1021" i="1"/>
  <c r="A1138" i="1"/>
  <c r="A726" i="1"/>
  <c r="A2577" i="1"/>
  <c r="A725" i="1"/>
  <c r="A724" i="1"/>
  <c r="A16807" i="1"/>
  <c r="A723" i="1"/>
  <c r="A1137" i="1"/>
  <c r="A2416" i="1"/>
  <c r="A1321" i="1"/>
  <c r="A1836" i="1"/>
  <c r="A1638" i="1"/>
  <c r="A722" i="1"/>
  <c r="A16806" i="1"/>
  <c r="A1244" i="1"/>
  <c r="A16805" i="1"/>
  <c r="A721" i="1"/>
  <c r="A1020" i="1"/>
  <c r="A720" i="1"/>
  <c r="A1019" i="1"/>
  <c r="A2415" i="1"/>
  <c r="A1398" i="1"/>
  <c r="A1136" i="1"/>
  <c r="A1320" i="1"/>
  <c r="A2511" i="1"/>
  <c r="A2262" i="1"/>
  <c r="A2183" i="1"/>
  <c r="A1486" i="1"/>
  <c r="A894" i="1"/>
  <c r="A1628" i="1"/>
  <c r="A1135" i="1"/>
  <c r="A1397" i="1"/>
  <c r="A1835" i="1"/>
  <c r="A1319" i="1"/>
  <c r="A596" i="1"/>
  <c r="A365" i="1"/>
  <c r="A1485" i="1"/>
  <c r="A1134" i="1"/>
  <c r="A1133" i="1"/>
  <c r="A803" i="1"/>
  <c r="A1318" i="1"/>
  <c r="A1132" i="1"/>
  <c r="A719" i="1"/>
  <c r="A1738" i="1"/>
  <c r="A4542" i="1"/>
  <c r="A1131" i="1"/>
  <c r="A1317" i="1"/>
  <c r="A1541" i="1"/>
  <c r="A1243" i="1"/>
  <c r="A893" i="1"/>
  <c r="A1302" i="1"/>
  <c r="A1737" i="1"/>
  <c r="A1553" i="1"/>
  <c r="A3380" i="1"/>
  <c r="A1242" i="1"/>
  <c r="A1834" i="1"/>
  <c r="A718" i="1"/>
  <c r="A892" i="1"/>
  <c r="A965" i="1"/>
  <c r="A2256" i="1"/>
  <c r="A600" i="1"/>
  <c r="A1545" i="1"/>
  <c r="A799" i="1"/>
  <c r="A16804" i="1"/>
  <c r="A1241" i="1"/>
  <c r="A717" i="1"/>
  <c r="A891" i="1"/>
  <c r="A890" i="1"/>
  <c r="A364" i="1"/>
  <c r="A16803" i="1"/>
  <c r="A889" i="1"/>
  <c r="A3168" i="1"/>
  <c r="A3488" i="1"/>
  <c r="A16082" i="1"/>
  <c r="A363" i="1"/>
  <c r="A1240" i="1"/>
  <c r="A888" i="1"/>
  <c r="A4417" i="1"/>
  <c r="A887" i="1"/>
  <c r="A362" i="1"/>
  <c r="A1130" i="1"/>
  <c r="A1396" i="1"/>
  <c r="A886" i="1"/>
  <c r="A4291" i="1"/>
  <c r="A716" i="1"/>
  <c r="A3326" i="1"/>
  <c r="A885" i="1"/>
  <c r="A884" i="1"/>
  <c r="A883" i="1"/>
  <c r="A361" i="1"/>
  <c r="A1736" i="1"/>
  <c r="A360" i="1"/>
  <c r="A2510" i="1"/>
  <c r="A359" i="1"/>
  <c r="A16802" i="1"/>
  <c r="A4383" i="1"/>
  <c r="A715" i="1"/>
  <c r="A358" i="1"/>
  <c r="A882" i="1"/>
  <c r="A881" i="1"/>
  <c r="A3945" i="1"/>
  <c r="A1018" i="1"/>
  <c r="A357" i="1"/>
  <c r="A16801" i="1"/>
  <c r="A3487" i="1"/>
  <c r="A16800" i="1"/>
  <c r="A714" i="1"/>
  <c r="A1129" i="1"/>
  <c r="A1128" i="1"/>
  <c r="A880" i="1"/>
  <c r="A356" i="1"/>
  <c r="A713" i="1"/>
  <c r="A712" i="1"/>
  <c r="A1484" i="1"/>
  <c r="A16799" i="1"/>
  <c r="A1017" i="1"/>
  <c r="A2346" i="1"/>
  <c r="A16798" i="1"/>
  <c r="A879" i="1"/>
  <c r="A1016" i="1"/>
  <c r="A1637" i="1"/>
  <c r="A711" i="1"/>
  <c r="A1015" i="1"/>
  <c r="A1636" i="1"/>
  <c r="A355" i="1"/>
  <c r="A16797" i="1"/>
  <c r="A1014" i="1"/>
  <c r="A710" i="1"/>
  <c r="A1013" i="1"/>
  <c r="A1127" i="1"/>
  <c r="A354" i="1"/>
  <c r="A878" i="1"/>
  <c r="A877" i="1"/>
  <c r="A353" i="1"/>
  <c r="A16796" i="1"/>
  <c r="A352" i="1"/>
  <c r="A876" i="1"/>
  <c r="A875" i="1"/>
  <c r="A874" i="1"/>
  <c r="A351" i="1"/>
  <c r="A873" i="1"/>
  <c r="A3285" i="1"/>
  <c r="A709" i="1"/>
  <c r="A350" i="1"/>
  <c r="A2088" i="1"/>
  <c r="A1929" i="1"/>
  <c r="A349" i="1"/>
  <c r="A2345" i="1"/>
  <c r="A708" i="1"/>
  <c r="A348" i="1"/>
  <c r="A1552" i="1"/>
  <c r="A1239" i="1"/>
  <c r="A16795" i="1"/>
  <c r="A1316" i="1"/>
  <c r="A1238" i="1"/>
  <c r="A707" i="1"/>
  <c r="A872" i="1"/>
  <c r="A2832" i="1"/>
  <c r="A706" i="1"/>
  <c r="A16794" i="1"/>
  <c r="A705" i="1"/>
  <c r="A871" i="1"/>
  <c r="A347" i="1"/>
  <c r="A346" i="1"/>
  <c r="A870" i="1"/>
  <c r="A1735" i="1"/>
  <c r="A1315" i="1"/>
  <c r="A345" i="1"/>
  <c r="A1126" i="1"/>
  <c r="A2261" i="1"/>
  <c r="A1125" i="1"/>
  <c r="A1012" i="1"/>
  <c r="A16793" i="1"/>
  <c r="A344" i="1"/>
  <c r="A1483" i="1"/>
  <c r="A869" i="1"/>
  <c r="A1237" i="1"/>
  <c r="A343" i="1"/>
  <c r="A1124" i="1"/>
  <c r="A16792" i="1"/>
  <c r="A16791" i="1"/>
  <c r="A808" i="1"/>
  <c r="A1236" i="1"/>
  <c r="A1635" i="1"/>
  <c r="A595" i="1"/>
  <c r="A1222" i="1"/>
  <c r="A592" i="1"/>
  <c r="A598" i="1"/>
  <c r="A588" i="1"/>
  <c r="A801" i="1"/>
  <c r="A964" i="1"/>
  <c r="A794" i="1"/>
  <c r="A16790" i="1"/>
  <c r="A704" i="1"/>
  <c r="A1219" i="1"/>
  <c r="A793" i="1"/>
  <c r="A962" i="1"/>
  <c r="A1482" i="1"/>
  <c r="A868" i="1"/>
  <c r="A867" i="1"/>
  <c r="A1123" i="1"/>
  <c r="A12851" i="1"/>
  <c r="A1011" i="1"/>
  <c r="A342" i="1"/>
  <c r="A1833" i="1"/>
  <c r="A14138" i="1"/>
  <c r="A2925" i="1"/>
  <c r="A7334" i="1"/>
  <c r="A12937" i="1"/>
  <c r="A703" i="1"/>
  <c r="A13340" i="1"/>
  <c r="A866" i="1"/>
  <c r="A341" i="1"/>
  <c r="A865" i="1"/>
  <c r="A702" i="1"/>
  <c r="A340" i="1"/>
  <c r="A1395" i="1"/>
  <c r="A16789" i="1"/>
  <c r="A13992" i="1"/>
  <c r="A1394" i="1"/>
  <c r="A701" i="1"/>
  <c r="A339" i="1"/>
  <c r="A16788" i="1"/>
  <c r="A3548" i="1"/>
  <c r="A338" i="1"/>
  <c r="A16787" i="1"/>
  <c r="A700" i="1"/>
  <c r="A1235" i="1"/>
  <c r="A864" i="1"/>
  <c r="A1010" i="1"/>
  <c r="A1551" i="1"/>
  <c r="A699" i="1"/>
  <c r="A1393" i="1"/>
  <c r="A8950" i="1"/>
  <c r="A698" i="1"/>
  <c r="A697" i="1"/>
  <c r="A3325" i="1"/>
  <c r="A1634" i="1"/>
  <c r="A16786" i="1"/>
  <c r="A1234" i="1"/>
  <c r="A863" i="1"/>
  <c r="A16785" i="1"/>
  <c r="A1009" i="1"/>
  <c r="A696" i="1"/>
  <c r="A5256" i="1"/>
  <c r="A862" i="1"/>
  <c r="A861" i="1"/>
  <c r="A337" i="1"/>
  <c r="A336" i="1"/>
  <c r="A695" i="1"/>
  <c r="A1633" i="1"/>
  <c r="A335" i="1"/>
  <c r="A860" i="1"/>
  <c r="A16784" i="1"/>
  <c r="A694" i="1"/>
  <c r="A1392" i="1"/>
  <c r="A334" i="1"/>
  <c r="A333" i="1"/>
  <c r="A859" i="1"/>
  <c r="A16783" i="1"/>
  <c r="A693" i="1"/>
  <c r="A1008" i="1"/>
  <c r="A1233" i="1"/>
  <c r="A1232" i="1"/>
  <c r="A332" i="1"/>
  <c r="A692" i="1"/>
  <c r="A331" i="1"/>
  <c r="A1231" i="1"/>
  <c r="A858" i="1"/>
  <c r="A691" i="1"/>
  <c r="A1314" i="1"/>
  <c r="A1007" i="1"/>
  <c r="A857" i="1"/>
  <c r="A1006" i="1"/>
  <c r="A690" i="1"/>
  <c r="A330" i="1"/>
  <c r="A689" i="1"/>
  <c r="A1313" i="1"/>
  <c r="A688" i="1"/>
  <c r="A687" i="1"/>
  <c r="A686" i="1"/>
  <c r="A856" i="1"/>
  <c r="A4246" i="1"/>
  <c r="A329" i="1"/>
  <c r="A855" i="1"/>
  <c r="A854" i="1"/>
  <c r="A328" i="1"/>
  <c r="A1230" i="1"/>
  <c r="A1005" i="1"/>
  <c r="A327" i="1"/>
  <c r="A853" i="1"/>
  <c r="A852" i="1"/>
  <c r="A6565" i="1"/>
  <c r="A1004" i="1"/>
  <c r="A1122" i="1"/>
  <c r="A685" i="1"/>
  <c r="A684" i="1"/>
  <c r="A851" i="1"/>
  <c r="A683" i="1"/>
  <c r="A682" i="1"/>
  <c r="A1229" i="1"/>
  <c r="A1391" i="1"/>
  <c r="A16782" i="1"/>
  <c r="A326" i="1"/>
  <c r="A16781" i="1"/>
  <c r="A325" i="1"/>
  <c r="A2878" i="1"/>
  <c r="A1121" i="1"/>
  <c r="A1550" i="1"/>
  <c r="A681" i="1"/>
  <c r="A16780" i="1"/>
  <c r="A1003" i="1"/>
  <c r="A324" i="1"/>
  <c r="A1228" i="1"/>
  <c r="A323" i="1"/>
  <c r="A680" i="1"/>
  <c r="A679" i="1"/>
  <c r="A1312" i="1"/>
  <c r="A2087" i="1"/>
  <c r="A322" i="1"/>
  <c r="A678" i="1"/>
  <c r="A850" i="1"/>
  <c r="A1120" i="1"/>
  <c r="A849" i="1"/>
  <c r="A848" i="1"/>
  <c r="A321" i="1"/>
  <c r="A2086" i="1"/>
  <c r="A320" i="1"/>
  <c r="A1734" i="1"/>
  <c r="A1002" i="1"/>
  <c r="A16779" i="1"/>
  <c r="A1481" i="1"/>
  <c r="A677" i="1"/>
  <c r="A1390" i="1"/>
  <c r="A847" i="1"/>
  <c r="A1832" i="1"/>
  <c r="A1001" i="1"/>
  <c r="A676" i="1"/>
  <c r="A675" i="1"/>
  <c r="A674" i="1"/>
  <c r="A319" i="1"/>
  <c r="A318" i="1"/>
  <c r="A673" i="1"/>
  <c r="A846" i="1"/>
  <c r="A1311" i="1"/>
  <c r="A317" i="1"/>
  <c r="A16778" i="1"/>
  <c r="A1389" i="1"/>
  <c r="A1000" i="1"/>
  <c r="A999" i="1"/>
  <c r="A998" i="1"/>
  <c r="A316" i="1"/>
  <c r="A2344" i="1"/>
  <c r="A3111" i="1"/>
  <c r="A315" i="1"/>
  <c r="A1480" i="1"/>
  <c r="A16777" i="1"/>
  <c r="A314" i="1"/>
  <c r="A313" i="1"/>
  <c r="A16776" i="1"/>
  <c r="A312" i="1"/>
  <c r="A2509" i="1"/>
  <c r="A1928" i="1"/>
  <c r="A311" i="1"/>
  <c r="A1119" i="1"/>
  <c r="A1118" i="1"/>
  <c r="A16775" i="1"/>
  <c r="A1632" i="1"/>
  <c r="A672" i="1"/>
  <c r="A1388" i="1"/>
  <c r="A1227" i="1"/>
  <c r="A845" i="1"/>
  <c r="A1479" i="1"/>
  <c r="A1387" i="1"/>
  <c r="A16774" i="1"/>
  <c r="A671" i="1"/>
  <c r="A16773" i="1"/>
  <c r="A2995" i="1"/>
  <c r="A670" i="1"/>
  <c r="A806" i="1"/>
  <c r="A807" i="1"/>
  <c r="A597" i="1"/>
  <c r="A594" i="1"/>
  <c r="A591" i="1"/>
  <c r="A16772" i="1"/>
  <c r="A589" i="1"/>
  <c r="A590" i="1"/>
  <c r="A587" i="1"/>
  <c r="A802" i="1"/>
  <c r="A586" i="1"/>
  <c r="A585" i="1"/>
  <c r="A792" i="1"/>
  <c r="A584" i="1"/>
  <c r="A1549" i="1"/>
  <c r="A795" i="1"/>
  <c r="A797" i="1"/>
  <c r="A16771" i="1"/>
  <c r="A1310" i="1"/>
  <c r="A844" i="1"/>
  <c r="A2182" i="1"/>
  <c r="A669" i="1"/>
  <c r="A6042" i="1"/>
  <c r="A843" i="1"/>
  <c r="A16770" i="1"/>
  <c r="A12798" i="1"/>
  <c r="A12996" i="1"/>
  <c r="A11531" i="1"/>
  <c r="A16769" i="1"/>
  <c r="A842" i="1"/>
  <c r="A310" i="1"/>
  <c r="A3590" i="1"/>
  <c r="A8732" i="1"/>
  <c r="A309" i="1"/>
  <c r="A668" i="1"/>
  <c r="A16484" i="1"/>
  <c r="A15761" i="1"/>
  <c r="A841" i="1"/>
  <c r="A8854" i="1"/>
  <c r="A11413" i="1"/>
  <c r="A308" i="1"/>
  <c r="A15848" i="1"/>
  <c r="A307" i="1"/>
  <c r="A16768" i="1"/>
  <c r="A6733" i="1"/>
  <c r="A1927" i="1"/>
  <c r="A10179" i="1"/>
  <c r="A1997" i="1"/>
  <c r="A997" i="1"/>
  <c r="A667" i="1"/>
  <c r="A306" i="1"/>
  <c r="A305" i="1"/>
  <c r="A304" i="1"/>
  <c r="A996" i="1"/>
  <c r="A303" i="1"/>
  <c r="A302" i="1"/>
  <c r="A16767" i="1"/>
  <c r="A301" i="1"/>
  <c r="A840" i="1"/>
  <c r="A3220" i="1"/>
  <c r="A16766" i="1"/>
  <c r="A2414" i="1"/>
  <c r="A300" i="1"/>
  <c r="A299" i="1"/>
  <c r="A298" i="1"/>
  <c r="A16765" i="1"/>
  <c r="A11881" i="1"/>
  <c r="A9632" i="1"/>
  <c r="A9240" i="1"/>
  <c r="A297" i="1"/>
  <c r="A296" i="1"/>
  <c r="A11183" i="1"/>
  <c r="A16764" i="1"/>
  <c r="A15908" i="1"/>
  <c r="A995" i="1"/>
  <c r="A295" i="1"/>
  <c r="A12874" i="1"/>
  <c r="A1926" i="1"/>
  <c r="A294" i="1"/>
  <c r="A293" i="1"/>
  <c r="A292" i="1"/>
  <c r="A16487" i="1"/>
  <c r="A8317" i="1"/>
  <c r="A16763" i="1"/>
  <c r="A2508" i="1"/>
  <c r="A12396" i="1"/>
  <c r="A7224" i="1"/>
  <c r="A666" i="1"/>
  <c r="A16762" i="1"/>
  <c r="A291" i="1"/>
  <c r="A290" i="1"/>
  <c r="A665" i="1"/>
  <c r="A664" i="1"/>
  <c r="A289" i="1"/>
  <c r="A994" i="1"/>
  <c r="A288" i="1"/>
  <c r="A9368" i="1"/>
  <c r="A287" i="1"/>
  <c r="A16539" i="1"/>
  <c r="A8853" i="1"/>
  <c r="A1386" i="1"/>
  <c r="A1226" i="1"/>
  <c r="A7733" i="1"/>
  <c r="A839" i="1"/>
  <c r="A286" i="1"/>
  <c r="A285" i="1"/>
  <c r="A6392" i="1"/>
  <c r="A284" i="1"/>
  <c r="A283" i="1"/>
  <c r="A282" i="1"/>
  <c r="A281" i="1"/>
  <c r="A280" i="1"/>
  <c r="A279" i="1"/>
  <c r="A278" i="1"/>
  <c r="A277" i="1"/>
  <c r="A9106" i="1"/>
  <c r="A1309" i="1"/>
  <c r="A276" i="1"/>
  <c r="A275" i="1"/>
  <c r="A15178" i="1"/>
  <c r="A1925" i="1"/>
  <c r="A993" i="1"/>
  <c r="A2343" i="1"/>
  <c r="A2576" i="1"/>
  <c r="A274" i="1"/>
  <c r="A4789" i="1"/>
  <c r="A1225" i="1"/>
  <c r="A273" i="1"/>
  <c r="A272" i="1"/>
  <c r="A12307" i="1"/>
  <c r="A9705" i="1"/>
  <c r="A271" i="1"/>
  <c r="A16761" i="1"/>
  <c r="A663" i="1"/>
  <c r="A16760" i="1"/>
  <c r="A270" i="1"/>
  <c r="A8276" i="1"/>
  <c r="A269" i="1"/>
  <c r="A268" i="1"/>
  <c r="A662" i="1"/>
  <c r="A267" i="1"/>
  <c r="A10352" i="1"/>
  <c r="A2773" i="1"/>
  <c r="A266" i="1"/>
  <c r="A265" i="1"/>
  <c r="A992" i="1"/>
  <c r="A264" i="1"/>
  <c r="A263" i="1"/>
  <c r="A16759" i="1"/>
  <c r="A661" i="1"/>
  <c r="A838" i="1"/>
  <c r="A262" i="1"/>
  <c r="A7381" i="1"/>
  <c r="A8695" i="1"/>
  <c r="A3486" i="1"/>
  <c r="A261" i="1"/>
  <c r="A260" i="1"/>
  <c r="A8055" i="1"/>
  <c r="A991" i="1"/>
  <c r="A10392" i="1"/>
  <c r="A259" i="1"/>
  <c r="A12464" i="1"/>
  <c r="A16758" i="1"/>
  <c r="A837" i="1"/>
  <c r="A8712" i="1"/>
  <c r="A836" i="1"/>
  <c r="A13503" i="1"/>
  <c r="A660" i="1"/>
  <c r="A258" i="1"/>
  <c r="A12896" i="1"/>
  <c r="A257" i="1"/>
  <c r="A12700" i="1"/>
  <c r="A2085" i="1"/>
  <c r="A12822" i="1"/>
  <c r="A256" i="1"/>
  <c r="A255" i="1"/>
  <c r="A1117" i="1"/>
  <c r="A659" i="1"/>
  <c r="A835" i="1"/>
  <c r="A10596" i="1"/>
  <c r="A5509" i="1"/>
  <c r="A254" i="1"/>
  <c r="A658" i="1"/>
  <c r="A7917" i="1"/>
  <c r="A16255" i="1"/>
  <c r="A253" i="1"/>
  <c r="A834" i="1"/>
  <c r="A252" i="1"/>
  <c r="A251" i="1"/>
  <c r="A990" i="1"/>
  <c r="A250" i="1"/>
  <c r="A8949" i="1"/>
  <c r="A249" i="1"/>
  <c r="A248" i="1"/>
  <c r="A247" i="1"/>
  <c r="A246" i="1"/>
  <c r="A12418" i="1"/>
  <c r="A657" i="1"/>
  <c r="A245" i="1"/>
  <c r="A16606" i="1"/>
  <c r="A8671" i="1"/>
  <c r="A12906" i="1"/>
  <c r="A7174" i="1"/>
  <c r="A833" i="1"/>
  <c r="A244" i="1"/>
  <c r="A243" i="1"/>
  <c r="A7593" i="1"/>
  <c r="A242" i="1"/>
  <c r="A11050" i="1"/>
  <c r="A241" i="1"/>
  <c r="A240" i="1"/>
  <c r="A239" i="1"/>
  <c r="A238" i="1"/>
  <c r="A3638" i="1"/>
  <c r="A10317" i="1"/>
  <c r="A989" i="1"/>
  <c r="A16757" i="1"/>
  <c r="A832" i="1"/>
  <c r="A237" i="1"/>
  <c r="A16756" i="1"/>
  <c r="A656" i="1"/>
  <c r="A7008" i="1"/>
  <c r="A236" i="1"/>
  <c r="A235" i="1"/>
  <c r="A10630" i="1"/>
  <c r="A988" i="1"/>
  <c r="A5983" i="1"/>
  <c r="A655" i="1"/>
  <c r="A11691" i="1"/>
  <c r="A234" i="1"/>
  <c r="A10875" i="1"/>
  <c r="A233" i="1"/>
  <c r="A16755" i="1"/>
  <c r="A10644" i="1"/>
  <c r="A5686" i="1"/>
  <c r="A232" i="1"/>
  <c r="A987" i="1"/>
  <c r="A986" i="1"/>
  <c r="A231" i="1"/>
  <c r="A230" i="1"/>
  <c r="A831" i="1"/>
  <c r="A229" i="1"/>
  <c r="A9946" i="1"/>
  <c r="A4541" i="1"/>
  <c r="A228" i="1"/>
  <c r="A227" i="1"/>
  <c r="A654" i="1"/>
  <c r="A1385" i="1"/>
  <c r="A10595" i="1"/>
  <c r="A226" i="1"/>
  <c r="A1384" i="1"/>
  <c r="A225" i="1"/>
  <c r="A224" i="1"/>
  <c r="A6732" i="1"/>
  <c r="A10512" i="1"/>
  <c r="A14250" i="1"/>
  <c r="A1733" i="1"/>
  <c r="A223" i="1"/>
  <c r="A1548" i="1"/>
  <c r="A222" i="1"/>
  <c r="A221" i="1"/>
  <c r="A220" i="1"/>
  <c r="A219" i="1"/>
  <c r="A5000" i="1"/>
  <c r="A16754" i="1"/>
  <c r="A4158" i="1"/>
  <c r="A3731" i="1"/>
  <c r="A218" i="1"/>
  <c r="A217" i="1"/>
  <c r="A985" i="1"/>
  <c r="A6332" i="1"/>
  <c r="A216" i="1"/>
  <c r="A16753" i="1"/>
  <c r="A215" i="1"/>
  <c r="A214" i="1"/>
  <c r="A16176" i="1"/>
  <c r="A213" i="1"/>
  <c r="A653" i="1"/>
  <c r="A8086" i="1"/>
  <c r="A652" i="1"/>
  <c r="A984" i="1"/>
  <c r="A651" i="1"/>
  <c r="A830" i="1"/>
  <c r="A14224" i="1"/>
  <c r="A16752" i="1"/>
  <c r="A212" i="1"/>
  <c r="A211" i="1"/>
  <c r="A210" i="1"/>
  <c r="A829" i="1"/>
  <c r="A209" i="1"/>
  <c r="A5863" i="1"/>
  <c r="A208" i="1"/>
  <c r="A9683" i="1"/>
  <c r="A2084" i="1"/>
  <c r="A207" i="1"/>
  <c r="A983" i="1"/>
  <c r="A828" i="1"/>
  <c r="A1116" i="1"/>
  <c r="A11430" i="1"/>
  <c r="A11692" i="1"/>
  <c r="A16751" i="1"/>
  <c r="A650" i="1"/>
  <c r="A206" i="1"/>
  <c r="A827" i="1"/>
  <c r="A12905" i="1"/>
  <c r="A1308" i="1"/>
  <c r="A16750" i="1"/>
  <c r="A7380" i="1"/>
  <c r="A12219" i="1"/>
  <c r="A15382" i="1"/>
  <c r="A205" i="1"/>
  <c r="A204" i="1"/>
  <c r="A203" i="1"/>
  <c r="A9286" i="1"/>
  <c r="A6082" i="1"/>
  <c r="A202" i="1"/>
  <c r="A7272" i="1"/>
  <c r="A201" i="1"/>
  <c r="A826" i="1"/>
  <c r="A200" i="1"/>
  <c r="A199" i="1"/>
  <c r="A649" i="1"/>
  <c r="A198" i="1"/>
  <c r="A3485" i="1"/>
  <c r="A197" i="1"/>
  <c r="A16749" i="1"/>
  <c r="A648" i="1"/>
  <c r="A196" i="1"/>
  <c r="A982" i="1"/>
  <c r="A1115" i="1"/>
  <c r="A195" i="1"/>
  <c r="A194" i="1"/>
  <c r="A16748" i="1"/>
  <c r="A193" i="1"/>
  <c r="A192" i="1"/>
  <c r="A15105" i="1"/>
  <c r="A3637" i="1"/>
  <c r="A191" i="1"/>
  <c r="A13067" i="1"/>
  <c r="A6940" i="1"/>
  <c r="A190" i="1"/>
  <c r="A189" i="1"/>
  <c r="A825" i="1"/>
  <c r="A188" i="1"/>
  <c r="A1307" i="1"/>
  <c r="A15531" i="1"/>
  <c r="A16747" i="1"/>
  <c r="A187" i="1"/>
  <c r="A186" i="1"/>
  <c r="A647" i="1"/>
  <c r="A16746" i="1"/>
  <c r="A1114" i="1"/>
  <c r="A9636" i="1"/>
  <c r="A981" i="1"/>
  <c r="A185" i="1"/>
  <c r="A184" i="1"/>
  <c r="A1732" i="1"/>
  <c r="A183" i="1"/>
  <c r="A182" i="1"/>
  <c r="A12098" i="1"/>
  <c r="A980" i="1"/>
  <c r="A181" i="1"/>
  <c r="A8101" i="1"/>
  <c r="A13829" i="1"/>
  <c r="A16745" i="1"/>
  <c r="A979" i="1"/>
  <c r="A978" i="1"/>
  <c r="A6765" i="1"/>
  <c r="A16744" i="1"/>
  <c r="A180" i="1"/>
  <c r="A179" i="1"/>
  <c r="A16265" i="1"/>
  <c r="A178" i="1"/>
  <c r="A6608" i="1"/>
  <c r="A177" i="1"/>
  <c r="A176" i="1"/>
  <c r="A175" i="1"/>
  <c r="A646" i="1"/>
  <c r="A16743" i="1"/>
  <c r="A1996" i="1"/>
  <c r="A8258" i="1"/>
  <c r="A174" i="1"/>
  <c r="A173" i="1"/>
  <c r="A977" i="1"/>
  <c r="A172" i="1"/>
  <c r="A171" i="1"/>
  <c r="A170" i="1"/>
  <c r="A169" i="1"/>
  <c r="A168" i="1"/>
  <c r="A645" i="1"/>
  <c r="A167" i="1"/>
  <c r="A166" i="1"/>
  <c r="A644" i="1"/>
  <c r="A165" i="1"/>
  <c r="A976" i="1"/>
  <c r="A164" i="1"/>
  <c r="A163" i="1"/>
  <c r="A1113" i="1"/>
  <c r="A16742" i="1"/>
  <c r="A824" i="1"/>
  <c r="A162" i="1"/>
  <c r="A6564" i="1"/>
  <c r="A823" i="1"/>
  <c r="A161" i="1"/>
  <c r="A160" i="1"/>
  <c r="A159" i="1"/>
  <c r="A643" i="1"/>
  <c r="A11880" i="1"/>
  <c r="A158" i="1"/>
  <c r="A157" i="1"/>
  <c r="A642" i="1"/>
  <c r="A16741" i="1"/>
  <c r="A156" i="1"/>
  <c r="A641" i="1"/>
  <c r="A155" i="1"/>
  <c r="A154" i="1"/>
  <c r="A153" i="1"/>
  <c r="A16740" i="1"/>
  <c r="A1112" i="1"/>
  <c r="A640" i="1"/>
  <c r="A152" i="1"/>
  <c r="A151" i="1"/>
  <c r="A639" i="1"/>
  <c r="A1731" i="1"/>
  <c r="A150" i="1"/>
  <c r="A149" i="1"/>
  <c r="A148" i="1"/>
  <c r="A638" i="1"/>
  <c r="A637" i="1"/>
  <c r="A1478" i="1"/>
  <c r="A147" i="1"/>
  <c r="A146" i="1"/>
  <c r="A5894" i="1"/>
  <c r="A145" i="1"/>
  <c r="A144" i="1"/>
  <c r="A143" i="1"/>
  <c r="A636" i="1"/>
  <c r="A142" i="1"/>
  <c r="A7131" i="1"/>
  <c r="A975" i="1"/>
  <c r="A7823" i="1"/>
  <c r="A822" i="1"/>
  <c r="A1111" i="1"/>
  <c r="A7472" i="1"/>
  <c r="A141" i="1"/>
  <c r="A635" i="1"/>
  <c r="A140" i="1"/>
  <c r="A139" i="1"/>
  <c r="A138" i="1"/>
  <c r="A137" i="1"/>
  <c r="A136" i="1"/>
  <c r="A16739" i="1"/>
  <c r="A4540" i="1"/>
  <c r="A821" i="1"/>
  <c r="A8524" i="1"/>
  <c r="A8257" i="1"/>
  <c r="A820" i="1"/>
  <c r="A2647" i="1"/>
  <c r="A135" i="1"/>
  <c r="A7620" i="1"/>
  <c r="A16738" i="1"/>
  <c r="A134" i="1"/>
  <c r="A133" i="1"/>
  <c r="A634" i="1"/>
  <c r="A132" i="1"/>
  <c r="A6331" i="1"/>
  <c r="A974" i="1"/>
  <c r="A1110" i="1"/>
  <c r="A131" i="1"/>
  <c r="A130" i="1"/>
  <c r="A129" i="1"/>
  <c r="A128" i="1"/>
  <c r="A127" i="1"/>
  <c r="A126" i="1"/>
  <c r="A1831" i="1"/>
  <c r="A9175" i="1"/>
  <c r="A973" i="1"/>
  <c r="A633" i="1"/>
  <c r="A125" i="1"/>
  <c r="A819" i="1"/>
  <c r="A124" i="1"/>
  <c r="A123" i="1"/>
  <c r="A16737" i="1"/>
  <c r="A16736" i="1"/>
  <c r="A122" i="1"/>
  <c r="A16735" i="1"/>
  <c r="A121" i="1"/>
  <c r="A6081" i="1"/>
  <c r="A120" i="1"/>
  <c r="A119" i="1"/>
  <c r="A118" i="1"/>
  <c r="A117" i="1"/>
  <c r="A116" i="1"/>
  <c r="A115" i="1"/>
  <c r="A114" i="1"/>
  <c r="A113" i="1"/>
  <c r="A10003" i="1"/>
  <c r="A112" i="1"/>
  <c r="A111" i="1"/>
  <c r="A110" i="1"/>
  <c r="A109" i="1"/>
  <c r="A632" i="1"/>
  <c r="A12029" i="1"/>
  <c r="A1109" i="1"/>
  <c r="A6498" i="1"/>
  <c r="A108" i="1"/>
  <c r="A1108" i="1"/>
  <c r="A16734" i="1"/>
  <c r="A631" i="1"/>
  <c r="A1830" i="1"/>
  <c r="A107" i="1"/>
  <c r="A630" i="1"/>
  <c r="A16733" i="1"/>
  <c r="A106" i="1"/>
  <c r="A629" i="1"/>
  <c r="A105" i="1"/>
  <c r="A1107" i="1"/>
  <c r="A818" i="1"/>
  <c r="A16732" i="1"/>
  <c r="A5332" i="1"/>
  <c r="A104" i="1"/>
  <c r="A103" i="1"/>
  <c r="A102" i="1"/>
  <c r="A101" i="1"/>
  <c r="A100" i="1"/>
  <c r="A99" i="1"/>
  <c r="A98" i="1"/>
  <c r="A1224" i="1"/>
  <c r="A1547" i="1"/>
  <c r="A97" i="1"/>
  <c r="A16731" i="1"/>
  <c r="A96" i="1"/>
  <c r="A16730" i="1"/>
  <c r="A1106" i="1"/>
  <c r="A628" i="1"/>
  <c r="A1105" i="1"/>
  <c r="A95" i="1"/>
  <c r="A94" i="1"/>
  <c r="A93" i="1"/>
  <c r="A9709" i="1"/>
  <c r="A11577" i="1"/>
  <c r="A16729" i="1"/>
  <c r="A6522" i="1"/>
  <c r="A92" i="1"/>
  <c r="A1383" i="1"/>
  <c r="A91" i="1"/>
  <c r="A90" i="1"/>
  <c r="A89" i="1"/>
  <c r="A88" i="1"/>
  <c r="A6022" i="1"/>
  <c r="A627" i="1"/>
  <c r="A87" i="1"/>
  <c r="A86" i="1"/>
  <c r="A85" i="1"/>
  <c r="A84" i="1"/>
  <c r="A16728" i="1"/>
  <c r="A83" i="1"/>
  <c r="A82" i="1"/>
  <c r="A626" i="1"/>
  <c r="A81" i="1"/>
  <c r="A80" i="1"/>
  <c r="A79" i="1"/>
  <c r="A1477" i="1"/>
  <c r="A625" i="1"/>
  <c r="A78" i="1"/>
  <c r="A624" i="1"/>
  <c r="A77" i="1"/>
  <c r="A16727" i="1"/>
  <c r="A76" i="1"/>
  <c r="A75" i="1"/>
  <c r="A623" i="1"/>
  <c r="A74" i="1"/>
  <c r="A73" i="1"/>
  <c r="A72" i="1"/>
  <c r="A71" i="1"/>
  <c r="A622" i="1"/>
  <c r="A621" i="1"/>
  <c r="A620" i="1"/>
  <c r="A619" i="1"/>
  <c r="A70" i="1"/>
  <c r="A817" i="1"/>
  <c r="A10977" i="1"/>
  <c r="A618" i="1"/>
  <c r="A69" i="1"/>
  <c r="A68" i="1"/>
  <c r="A67" i="1"/>
  <c r="A12955" i="1"/>
  <c r="A4500" i="1"/>
  <c r="A617" i="1"/>
  <c r="A1995" i="1"/>
  <c r="A1104" i="1"/>
  <c r="A66" i="1"/>
  <c r="A65" i="1"/>
  <c r="A64" i="1"/>
  <c r="A1924" i="1"/>
  <c r="A1103" i="1"/>
  <c r="A63" i="1"/>
  <c r="A616" i="1"/>
  <c r="A62" i="1"/>
  <c r="A816" i="1"/>
  <c r="A61" i="1"/>
  <c r="A16726" i="1"/>
  <c r="A60" i="1"/>
  <c r="A972" i="1"/>
  <c r="A1102" i="1"/>
  <c r="A2507" i="1"/>
  <c r="A59" i="1"/>
  <c r="A58" i="1"/>
  <c r="A57" i="1"/>
  <c r="A6521" i="1"/>
  <c r="A615" i="1"/>
  <c r="A56" i="1"/>
  <c r="A55" i="1"/>
  <c r="A16725" i="1"/>
  <c r="A1101" i="1"/>
  <c r="A54" i="1"/>
  <c r="A614" i="1"/>
  <c r="A53" i="1"/>
  <c r="A613" i="1"/>
  <c r="A52" i="1"/>
  <c r="A612" i="1"/>
  <c r="A51" i="1"/>
  <c r="A50" i="1"/>
  <c r="A49" i="1"/>
  <c r="A48" i="1"/>
  <c r="A611" i="1"/>
  <c r="A47" i="1"/>
  <c r="A971" i="1"/>
  <c r="A610" i="1"/>
  <c r="A46" i="1"/>
  <c r="A45" i="1"/>
  <c r="A44" i="1"/>
  <c r="A16724" i="1"/>
  <c r="A16723" i="1"/>
  <c r="A43" i="1"/>
  <c r="A16722" i="1"/>
  <c r="A42" i="1"/>
  <c r="A41" i="1"/>
  <c r="A40" i="1"/>
  <c r="A39" i="1"/>
  <c r="A815" i="1"/>
  <c r="A814" i="1"/>
  <c r="A609" i="1"/>
  <c r="A1546" i="1"/>
  <c r="A608" i="1"/>
  <c r="A38" i="1"/>
  <c r="A607" i="1"/>
  <c r="A970" i="1"/>
  <c r="A1100" i="1"/>
  <c r="A1829" i="1"/>
  <c r="A37" i="1"/>
  <c r="A1099" i="1"/>
  <c r="A36" i="1"/>
  <c r="A969" i="1"/>
  <c r="A35" i="1"/>
  <c r="A16721" i="1"/>
  <c r="A34" i="1"/>
  <c r="A1223" i="1"/>
  <c r="A33" i="1"/>
  <c r="A968" i="1"/>
  <c r="A32" i="1"/>
  <c r="A813" i="1"/>
  <c r="A31" i="1"/>
  <c r="A16720" i="1"/>
  <c r="A1923" i="1"/>
  <c r="A30" i="1"/>
  <c r="A606" i="1"/>
  <c r="A812" i="1"/>
  <c r="A16719" i="1"/>
  <c r="A29" i="1"/>
  <c r="A605" i="1"/>
  <c r="A28" i="1"/>
  <c r="A27" i="1"/>
  <c r="A16718" i="1"/>
  <c r="A26" i="1"/>
  <c r="A25" i="1"/>
  <c r="A24" i="1"/>
  <c r="A1098" i="1"/>
  <c r="A2083" i="1"/>
  <c r="A23" i="1"/>
  <c r="A16717" i="1"/>
  <c r="A22" i="1"/>
  <c r="A21" i="1"/>
  <c r="A20" i="1"/>
  <c r="A1922" i="1"/>
  <c r="A19" i="1"/>
  <c r="A18" i="1"/>
  <c r="A604" i="1"/>
  <c r="A1473" i="1"/>
  <c r="A967" i="1"/>
  <c r="A17" i="1"/>
  <c r="A1469" i="1"/>
  <c r="A16" i="1"/>
  <c r="A15" i="1"/>
  <c r="A14" i="1"/>
  <c r="A603" i="1"/>
  <c r="A1306" i="1"/>
  <c r="A1305" i="1"/>
  <c r="A13" i="1"/>
  <c r="A12" i="1"/>
  <c r="A966" i="1"/>
  <c r="A16716" i="1"/>
  <c r="A11" i="1"/>
  <c r="A811" i="1"/>
  <c r="A10" i="1"/>
  <c r="A1097" i="1"/>
  <c r="A2831" i="1"/>
  <c r="A9" i="1"/>
  <c r="A8" i="1"/>
  <c r="A1096" i="1"/>
  <c r="A1095" i="1"/>
  <c r="A602" i="1"/>
  <c r="A810" i="1"/>
  <c r="A7" i="1"/>
  <c r="A601" i="1"/>
  <c r="A6" i="1"/>
  <c r="A809" i="1"/>
  <c r="A5" i="1"/>
  <c r="A4" i="1"/>
  <c r="A3" i="1"/>
  <c r="A2" i="1"/>
  <c r="A23378" i="2"/>
  <c r="A23377" i="2"/>
  <c r="A23376" i="2"/>
  <c r="A23375" i="2"/>
  <c r="A23374" i="2"/>
  <c r="A23373" i="2"/>
  <c r="A23372" i="2"/>
  <c r="A23371" i="2"/>
  <c r="A23370" i="2"/>
  <c r="A23369" i="2"/>
  <c r="A23368" i="2"/>
  <c r="A23367" i="2"/>
  <c r="A23366" i="2"/>
  <c r="A23365" i="2"/>
  <c r="A23364" i="2"/>
  <c r="A23363" i="2"/>
  <c r="A23362" i="2"/>
  <c r="A23361" i="2"/>
  <c r="A23360" i="2"/>
  <c r="A23359" i="2"/>
  <c r="A23358" i="2"/>
  <c r="A23357" i="2"/>
  <c r="A23356" i="2"/>
  <c r="A23355" i="2"/>
  <c r="A23354" i="2"/>
  <c r="A23353" i="2"/>
  <c r="A23352" i="2"/>
  <c r="A23351" i="2"/>
  <c r="A23350" i="2"/>
  <c r="A23349" i="2"/>
  <c r="A23348" i="2"/>
  <c r="A23347" i="2"/>
  <c r="A23346" i="2"/>
  <c r="A23345" i="2"/>
  <c r="A23344" i="2"/>
  <c r="A23343" i="2"/>
  <c r="A23342" i="2"/>
  <c r="A23341" i="2"/>
  <c r="A23340" i="2"/>
  <c r="A23339" i="2"/>
  <c r="A23338" i="2"/>
  <c r="A23337" i="2"/>
  <c r="A23336" i="2"/>
  <c r="A23335" i="2"/>
  <c r="A23334" i="2"/>
  <c r="A23333" i="2"/>
  <c r="A23332" i="2"/>
  <c r="A23331" i="2"/>
  <c r="A23330" i="2"/>
  <c r="A23329" i="2"/>
  <c r="A23328" i="2"/>
  <c r="A23327" i="2"/>
  <c r="A23326" i="2"/>
  <c r="A23325" i="2"/>
  <c r="A23324" i="2"/>
  <c r="A23323" i="2"/>
  <c r="A23322" i="2"/>
  <c r="A23321" i="2"/>
  <c r="A23320" i="2"/>
  <c r="A23319" i="2"/>
  <c r="A23318" i="2"/>
  <c r="A23317" i="2"/>
  <c r="A23316" i="2"/>
  <c r="A23315" i="2"/>
  <c r="A23314" i="2"/>
  <c r="A23313" i="2"/>
  <c r="A23312" i="2"/>
  <c r="A23311" i="2"/>
  <c r="A23310" i="2"/>
  <c r="A23309" i="2"/>
  <c r="A23308" i="2"/>
  <c r="A23307" i="2"/>
  <c r="A23306" i="2"/>
  <c r="A23305" i="2"/>
  <c r="A23304" i="2"/>
  <c r="A23303" i="2"/>
  <c r="A23302" i="2"/>
  <c r="A23301" i="2"/>
  <c r="A23300" i="2"/>
  <c r="A23299" i="2"/>
  <c r="A23298" i="2"/>
  <c r="A23297" i="2"/>
  <c r="A23296" i="2"/>
  <c r="A23295" i="2"/>
  <c r="A23294" i="2"/>
  <c r="A23293" i="2"/>
  <c r="A23292" i="2"/>
  <c r="A23291" i="2"/>
  <c r="A23290" i="2"/>
  <c r="A23289" i="2"/>
  <c r="A23288" i="2"/>
  <c r="A23287" i="2"/>
  <c r="A23286" i="2"/>
  <c r="A23285" i="2"/>
  <c r="A23284" i="2"/>
  <c r="A23283" i="2"/>
  <c r="A23282" i="2"/>
  <c r="A23281" i="2"/>
  <c r="A23280" i="2"/>
  <c r="A23279" i="2"/>
  <c r="A23278" i="2"/>
  <c r="A23277" i="2"/>
  <c r="A23276" i="2"/>
  <c r="A23275" i="2"/>
  <c r="A23274" i="2"/>
  <c r="A23273" i="2"/>
  <c r="A23272" i="2"/>
  <c r="A23271" i="2"/>
  <c r="A23270" i="2"/>
  <c r="A23269" i="2"/>
  <c r="A23268" i="2"/>
  <c r="A23267" i="2"/>
  <c r="A23266" i="2"/>
  <c r="A23265" i="2"/>
  <c r="A23264" i="2"/>
  <c r="A23263" i="2"/>
  <c r="A23262" i="2"/>
  <c r="A23261" i="2"/>
  <c r="A23260" i="2"/>
  <c r="A23259" i="2"/>
  <c r="A23258" i="2"/>
  <c r="A23257" i="2"/>
  <c r="A23256" i="2"/>
  <c r="A23255" i="2"/>
  <c r="A23254" i="2"/>
  <c r="A23253" i="2"/>
  <c r="A23252" i="2"/>
  <c r="A23251" i="2"/>
  <c r="A23250" i="2"/>
  <c r="A23249" i="2"/>
  <c r="A23248" i="2"/>
  <c r="A23247" i="2"/>
  <c r="A23246" i="2"/>
  <c r="A23245" i="2"/>
  <c r="A23244" i="2"/>
  <c r="A23243" i="2"/>
  <c r="A23242" i="2"/>
  <c r="A23241" i="2"/>
  <c r="A23240" i="2"/>
  <c r="A23239" i="2"/>
  <c r="A23238" i="2"/>
  <c r="A23237" i="2"/>
  <c r="A23236" i="2"/>
  <c r="A23235" i="2"/>
  <c r="A23234" i="2"/>
  <c r="A23233" i="2"/>
  <c r="A23232" i="2"/>
  <c r="A23231" i="2"/>
  <c r="A23230" i="2"/>
  <c r="A23229" i="2"/>
  <c r="A23228" i="2"/>
  <c r="A23227" i="2"/>
  <c r="A23226" i="2"/>
  <c r="A23225" i="2"/>
  <c r="A23224" i="2"/>
  <c r="A23223" i="2"/>
  <c r="A23222" i="2"/>
  <c r="A23221" i="2"/>
  <c r="A23220" i="2"/>
  <c r="A23219" i="2"/>
  <c r="A23218" i="2"/>
  <c r="A23217" i="2"/>
  <c r="A23216" i="2"/>
  <c r="A23215" i="2"/>
  <c r="A23214" i="2"/>
  <c r="A23213" i="2"/>
  <c r="A23212" i="2"/>
  <c r="A23211" i="2"/>
  <c r="A23210" i="2"/>
  <c r="A23209" i="2"/>
  <c r="A23208" i="2"/>
  <c r="A23207" i="2"/>
  <c r="A23206" i="2"/>
  <c r="A23205" i="2"/>
  <c r="A23204" i="2"/>
  <c r="A23203" i="2"/>
  <c r="A23202" i="2"/>
  <c r="A23201" i="2"/>
  <c r="A23200" i="2"/>
  <c r="A23199" i="2"/>
  <c r="A23198" i="2"/>
  <c r="A23197" i="2"/>
  <c r="A23196" i="2"/>
  <c r="A23195" i="2"/>
  <c r="A23194" i="2"/>
  <c r="A23193" i="2"/>
  <c r="A23192" i="2"/>
  <c r="A23191" i="2"/>
  <c r="A23190" i="2"/>
  <c r="A23189" i="2"/>
  <c r="A23188" i="2"/>
  <c r="A23187" i="2"/>
  <c r="A23186" i="2"/>
  <c r="A23185" i="2"/>
  <c r="A23184" i="2"/>
  <c r="A23183" i="2"/>
  <c r="A23182" i="2"/>
  <c r="A23181" i="2"/>
  <c r="A23180" i="2"/>
  <c r="A23179" i="2"/>
  <c r="A23178" i="2"/>
  <c r="A23177" i="2"/>
  <c r="A23176" i="2"/>
  <c r="A23175" i="2"/>
  <c r="A23174" i="2"/>
  <c r="A23173" i="2"/>
  <c r="A23172" i="2"/>
  <c r="A23171" i="2"/>
  <c r="A23170" i="2"/>
  <c r="A23169" i="2"/>
  <c r="A23168" i="2"/>
  <c r="A23167" i="2"/>
  <c r="A23166" i="2"/>
  <c r="A23165" i="2"/>
  <c r="A23164" i="2"/>
  <c r="A23163" i="2"/>
  <c r="A23162" i="2"/>
  <c r="A23161" i="2"/>
  <c r="A23160" i="2"/>
  <c r="A23159" i="2"/>
  <c r="A23158" i="2"/>
  <c r="A23157" i="2"/>
  <c r="A23156" i="2"/>
  <c r="A23155" i="2"/>
  <c r="A23154" i="2"/>
  <c r="A23153" i="2"/>
  <c r="A23152" i="2"/>
  <c r="A23151" i="2"/>
  <c r="A23150" i="2"/>
  <c r="A23149" i="2"/>
  <c r="A23148" i="2"/>
  <c r="A23147" i="2"/>
  <c r="A23146" i="2"/>
  <c r="A23145" i="2"/>
  <c r="A23144" i="2"/>
  <c r="A23143" i="2"/>
  <c r="A23142" i="2"/>
  <c r="A23141" i="2"/>
  <c r="A23140" i="2"/>
  <c r="A23139" i="2"/>
  <c r="A23138" i="2"/>
  <c r="A23137" i="2"/>
  <c r="A23136" i="2"/>
  <c r="A23135" i="2"/>
  <c r="A23134" i="2"/>
  <c r="A23133" i="2"/>
  <c r="A23132" i="2"/>
  <c r="A23131" i="2"/>
  <c r="A23130" i="2"/>
  <c r="A23129" i="2"/>
  <c r="A23128" i="2"/>
  <c r="A23127" i="2"/>
  <c r="A23126" i="2"/>
  <c r="A23125" i="2"/>
  <c r="A23124" i="2"/>
  <c r="A23123" i="2"/>
  <c r="A23122" i="2"/>
  <c r="A23121" i="2"/>
  <c r="A23120" i="2"/>
  <c r="A23119" i="2"/>
  <c r="A23118" i="2"/>
  <c r="A23117" i="2"/>
  <c r="A23116" i="2"/>
  <c r="A23115" i="2"/>
  <c r="A23114" i="2"/>
  <c r="A23113" i="2"/>
  <c r="A23112" i="2"/>
  <c r="A23111" i="2"/>
  <c r="A23110" i="2"/>
  <c r="A23109" i="2"/>
  <c r="A23108" i="2"/>
  <c r="A23107" i="2"/>
  <c r="A23106" i="2"/>
  <c r="A23105" i="2"/>
  <c r="A23104" i="2"/>
  <c r="A23103" i="2"/>
  <c r="A23102" i="2"/>
  <c r="A23101" i="2"/>
  <c r="A23100" i="2"/>
  <c r="A23099" i="2"/>
  <c r="A23098" i="2"/>
  <c r="A23097" i="2"/>
  <c r="A23096" i="2"/>
  <c r="A23095" i="2"/>
  <c r="A23094" i="2"/>
  <c r="A23093" i="2"/>
  <c r="A23092" i="2"/>
  <c r="A23091" i="2"/>
  <c r="A23090" i="2"/>
  <c r="A23089" i="2"/>
  <c r="A23088" i="2"/>
  <c r="A23087" i="2"/>
  <c r="A23086" i="2"/>
  <c r="A23085" i="2"/>
  <c r="A23084" i="2"/>
  <c r="A23083" i="2"/>
  <c r="A23082" i="2"/>
  <c r="A23081" i="2"/>
  <c r="A23080" i="2"/>
  <c r="A23079" i="2"/>
  <c r="A23078" i="2"/>
  <c r="A23077" i="2"/>
  <c r="A23076" i="2"/>
  <c r="A23075" i="2"/>
  <c r="A23074" i="2"/>
  <c r="A23073" i="2"/>
  <c r="A23072" i="2"/>
  <c r="A23071" i="2"/>
  <c r="A23070" i="2"/>
  <c r="A23069" i="2"/>
  <c r="A23068" i="2"/>
  <c r="A23067" i="2"/>
  <c r="A23066" i="2"/>
  <c r="A23065" i="2"/>
  <c r="A23064" i="2"/>
  <c r="A23063" i="2"/>
  <c r="A23062" i="2"/>
  <c r="A23061" i="2"/>
  <c r="A23060" i="2"/>
  <c r="A23059" i="2"/>
  <c r="A23058" i="2"/>
  <c r="A23057" i="2"/>
  <c r="A23056" i="2"/>
  <c r="A23055" i="2"/>
  <c r="A23054" i="2"/>
  <c r="A23053" i="2"/>
  <c r="A23052" i="2"/>
  <c r="A23051" i="2"/>
  <c r="A23050" i="2"/>
  <c r="A23049" i="2"/>
  <c r="A23048" i="2"/>
  <c r="A23047" i="2"/>
  <c r="A23046" i="2"/>
  <c r="A23045" i="2"/>
  <c r="A23044" i="2"/>
  <c r="A23043" i="2"/>
  <c r="A23042" i="2"/>
  <c r="A23041" i="2"/>
  <c r="A23040" i="2"/>
  <c r="A23039" i="2"/>
  <c r="A23038" i="2"/>
  <c r="A23037" i="2"/>
  <c r="A23036" i="2"/>
  <c r="A23035" i="2"/>
  <c r="A23034" i="2"/>
  <c r="A23033" i="2"/>
  <c r="A23032" i="2"/>
  <c r="A23031" i="2"/>
  <c r="A23030" i="2"/>
  <c r="A23029" i="2"/>
  <c r="A23028" i="2"/>
  <c r="A23027" i="2"/>
  <c r="A23026" i="2"/>
  <c r="A23025" i="2"/>
  <c r="A23024" i="2"/>
  <c r="A23023" i="2"/>
  <c r="A23022" i="2"/>
  <c r="A23021" i="2"/>
  <c r="A23020" i="2"/>
  <c r="A23019" i="2"/>
  <c r="A23018" i="2"/>
  <c r="A23017" i="2"/>
  <c r="A23016" i="2"/>
  <c r="A23015" i="2"/>
  <c r="A23014" i="2"/>
  <c r="A23013" i="2"/>
  <c r="A23012" i="2"/>
  <c r="A23011" i="2"/>
  <c r="A23010" i="2"/>
  <c r="A23009" i="2"/>
  <c r="A23008" i="2"/>
  <c r="A23007" i="2"/>
  <c r="A23006" i="2"/>
  <c r="A23005" i="2"/>
  <c r="A23004" i="2"/>
  <c r="A23003" i="2"/>
  <c r="A23002" i="2"/>
  <c r="A23001" i="2"/>
  <c r="A23000" i="2"/>
  <c r="A22999" i="2"/>
  <c r="A22998" i="2"/>
  <c r="A22997" i="2"/>
  <c r="A22996" i="2"/>
  <c r="A22995" i="2"/>
  <c r="A22994" i="2"/>
  <c r="A22993" i="2"/>
  <c r="A22992" i="2"/>
  <c r="A22991" i="2"/>
  <c r="A22990" i="2"/>
  <c r="A22989" i="2"/>
  <c r="A22988" i="2"/>
  <c r="A22987" i="2"/>
  <c r="A22986" i="2"/>
  <c r="A22985" i="2"/>
  <c r="A22984" i="2"/>
  <c r="A22983" i="2"/>
  <c r="A22982" i="2"/>
  <c r="A22981" i="2"/>
  <c r="A22980" i="2"/>
  <c r="A22979" i="2"/>
  <c r="A22978" i="2"/>
  <c r="A22977" i="2"/>
  <c r="A22976" i="2"/>
  <c r="A22975" i="2"/>
  <c r="A22974" i="2"/>
  <c r="A22973" i="2"/>
  <c r="A22972" i="2"/>
  <c r="A22971" i="2"/>
  <c r="A22970" i="2"/>
  <c r="A22969" i="2"/>
  <c r="A22968" i="2"/>
  <c r="A22967" i="2"/>
  <c r="A22966" i="2"/>
  <c r="A22965" i="2"/>
  <c r="A22964" i="2"/>
  <c r="A22963" i="2"/>
  <c r="A22962" i="2"/>
  <c r="A22961" i="2"/>
  <c r="A22960" i="2"/>
  <c r="A22959" i="2"/>
  <c r="A22958" i="2"/>
  <c r="A22957" i="2"/>
  <c r="A22956" i="2"/>
  <c r="A22955" i="2"/>
  <c r="A22954" i="2"/>
  <c r="A22953" i="2"/>
  <c r="A22952" i="2"/>
  <c r="A22951" i="2"/>
  <c r="A22950" i="2"/>
  <c r="A22949" i="2"/>
  <c r="A22948" i="2"/>
  <c r="A22947" i="2"/>
  <c r="A22946" i="2"/>
  <c r="A22945" i="2"/>
  <c r="A22944" i="2"/>
  <c r="A22943" i="2"/>
  <c r="A22942" i="2"/>
  <c r="A22941" i="2"/>
  <c r="A22940" i="2"/>
  <c r="A22939" i="2"/>
  <c r="A22938" i="2"/>
  <c r="A22937" i="2"/>
  <c r="A22936" i="2"/>
  <c r="A22935" i="2"/>
  <c r="A22934" i="2"/>
  <c r="A22933" i="2"/>
  <c r="A22932" i="2"/>
  <c r="A22931" i="2"/>
  <c r="A22930" i="2"/>
  <c r="A22929" i="2"/>
  <c r="A22928" i="2"/>
  <c r="A22927" i="2"/>
  <c r="A22926" i="2"/>
  <c r="A22925" i="2"/>
  <c r="A22924" i="2"/>
  <c r="A22923" i="2"/>
  <c r="A22922" i="2"/>
  <c r="A22921" i="2"/>
  <c r="A22920" i="2"/>
  <c r="A22919" i="2"/>
  <c r="A22918" i="2"/>
  <c r="A22917" i="2"/>
  <c r="A22916" i="2"/>
  <c r="A22915" i="2"/>
  <c r="A22914" i="2"/>
  <c r="A22913" i="2"/>
  <c r="A22912" i="2"/>
  <c r="A22911" i="2"/>
  <c r="A22910" i="2"/>
  <c r="A22909" i="2"/>
  <c r="A22908" i="2"/>
  <c r="A22907" i="2"/>
  <c r="A22906" i="2"/>
  <c r="A22905" i="2"/>
  <c r="A22904" i="2"/>
  <c r="A22903" i="2"/>
  <c r="A22902" i="2"/>
  <c r="A22901" i="2"/>
  <c r="A22900" i="2"/>
  <c r="A22899" i="2"/>
  <c r="A22898" i="2"/>
  <c r="A22897" i="2"/>
  <c r="A22896" i="2"/>
  <c r="A22895" i="2"/>
  <c r="A22894" i="2"/>
  <c r="A22893" i="2"/>
  <c r="A22892" i="2"/>
  <c r="A22891" i="2"/>
  <c r="A22890" i="2"/>
  <c r="A22889" i="2"/>
  <c r="A22888" i="2"/>
  <c r="A22887" i="2"/>
  <c r="A22886" i="2"/>
  <c r="A22885" i="2"/>
  <c r="A22884" i="2"/>
  <c r="A22883" i="2"/>
  <c r="A22882" i="2"/>
  <c r="A22881" i="2"/>
  <c r="A22880" i="2"/>
  <c r="A22879" i="2"/>
  <c r="A22878" i="2"/>
  <c r="A22877" i="2"/>
  <c r="A22876" i="2"/>
  <c r="A22875" i="2"/>
  <c r="A22874" i="2"/>
  <c r="A22873" i="2"/>
  <c r="A22872" i="2"/>
  <c r="A22871" i="2"/>
  <c r="A22870" i="2"/>
  <c r="A22869" i="2"/>
  <c r="A22868" i="2"/>
  <c r="A22867" i="2"/>
  <c r="A22866" i="2"/>
  <c r="A22865" i="2"/>
  <c r="A22864" i="2"/>
  <c r="A22863" i="2"/>
  <c r="A22862" i="2"/>
  <c r="A22861" i="2"/>
  <c r="A22860" i="2"/>
  <c r="A22859" i="2"/>
  <c r="A22858" i="2"/>
  <c r="A22857" i="2"/>
  <c r="A22856" i="2"/>
  <c r="A22855" i="2"/>
  <c r="A22854" i="2"/>
  <c r="A22853" i="2"/>
  <c r="A22852" i="2"/>
  <c r="A22851" i="2"/>
  <c r="A22850" i="2"/>
  <c r="A22849" i="2"/>
  <c r="A22848" i="2"/>
  <c r="A22847" i="2"/>
  <c r="A22846" i="2"/>
  <c r="A22845" i="2"/>
  <c r="A22844" i="2"/>
  <c r="A22843" i="2"/>
  <c r="A22842" i="2"/>
  <c r="A22841" i="2"/>
  <c r="A22840" i="2"/>
  <c r="A22839" i="2"/>
  <c r="A22838" i="2"/>
  <c r="A22837" i="2"/>
  <c r="A22836" i="2"/>
  <c r="A22835" i="2"/>
  <c r="A22834" i="2"/>
  <c r="A22833" i="2"/>
  <c r="A22832" i="2"/>
  <c r="A22831" i="2"/>
  <c r="A22830" i="2"/>
  <c r="A22829" i="2"/>
  <c r="A22828" i="2"/>
  <c r="A22827" i="2"/>
  <c r="A22826" i="2"/>
  <c r="A22825" i="2"/>
  <c r="A22824" i="2"/>
  <c r="A22823" i="2"/>
  <c r="A22822" i="2"/>
  <c r="A22821" i="2"/>
  <c r="A22820" i="2"/>
  <c r="A22819" i="2"/>
  <c r="A22818" i="2"/>
  <c r="A22817" i="2"/>
  <c r="A22816" i="2"/>
  <c r="A22815" i="2"/>
  <c r="A22814" i="2"/>
  <c r="A22813" i="2"/>
  <c r="A22812" i="2"/>
  <c r="A22811" i="2"/>
  <c r="A22810" i="2"/>
  <c r="A22809" i="2"/>
  <c r="A22808" i="2"/>
  <c r="A22807" i="2"/>
  <c r="A22806" i="2"/>
  <c r="A22805" i="2"/>
  <c r="A22804" i="2"/>
  <c r="A22803" i="2"/>
  <c r="A22802" i="2"/>
  <c r="A22801" i="2"/>
  <c r="A22800" i="2"/>
  <c r="A22799" i="2"/>
  <c r="A22798" i="2"/>
  <c r="A22797" i="2"/>
  <c r="A22796" i="2"/>
  <c r="A22795" i="2"/>
  <c r="A22794" i="2"/>
  <c r="A22793" i="2"/>
  <c r="A22792" i="2"/>
  <c r="A22791" i="2"/>
  <c r="A22790" i="2"/>
  <c r="A22789" i="2"/>
  <c r="A22788" i="2"/>
  <c r="A22787" i="2"/>
  <c r="A22786" i="2"/>
  <c r="A22785" i="2"/>
  <c r="A22784" i="2"/>
  <c r="A22783" i="2"/>
  <c r="A22782" i="2"/>
  <c r="A22781" i="2"/>
  <c r="A22780" i="2"/>
  <c r="A22779" i="2"/>
  <c r="A22778" i="2"/>
  <c r="A22777" i="2"/>
  <c r="A22776" i="2"/>
  <c r="A22775" i="2"/>
  <c r="A22774" i="2"/>
  <c r="A22773" i="2"/>
  <c r="A22772" i="2"/>
  <c r="A22771" i="2"/>
  <c r="A22770" i="2"/>
  <c r="A22769" i="2"/>
  <c r="A22768" i="2"/>
  <c r="A22767" i="2"/>
  <c r="A22766" i="2"/>
  <c r="A22765" i="2"/>
  <c r="A22764" i="2"/>
  <c r="A22763" i="2"/>
  <c r="A22762" i="2"/>
  <c r="A22761" i="2"/>
  <c r="A22760" i="2"/>
  <c r="A22759" i="2"/>
  <c r="A22758" i="2"/>
  <c r="A22757" i="2"/>
  <c r="A22756" i="2"/>
  <c r="A22755" i="2"/>
  <c r="A22754" i="2"/>
  <c r="A22753" i="2"/>
  <c r="A22752" i="2"/>
  <c r="A22751" i="2"/>
  <c r="A22750" i="2"/>
  <c r="A22749" i="2"/>
  <c r="A22748" i="2"/>
  <c r="A22747" i="2"/>
  <c r="A22746" i="2"/>
  <c r="A22745" i="2"/>
  <c r="A22744" i="2"/>
  <c r="A22743" i="2"/>
  <c r="A22742" i="2"/>
  <c r="A22741" i="2"/>
  <c r="A22740" i="2"/>
  <c r="A22739" i="2"/>
  <c r="A22738" i="2"/>
  <c r="A22737" i="2"/>
  <c r="A22736" i="2"/>
  <c r="A22735" i="2"/>
  <c r="A22734" i="2"/>
  <c r="A22733" i="2"/>
  <c r="A22732" i="2"/>
  <c r="A22731" i="2"/>
  <c r="A22730" i="2"/>
  <c r="A22729" i="2"/>
  <c r="A22728" i="2"/>
  <c r="A22727" i="2"/>
  <c r="A22726" i="2"/>
  <c r="A22725" i="2"/>
  <c r="A22724" i="2"/>
  <c r="A22723" i="2"/>
  <c r="A22722" i="2"/>
  <c r="A22721" i="2"/>
  <c r="A22720" i="2"/>
  <c r="A22719" i="2"/>
  <c r="A22718" i="2"/>
  <c r="A22717" i="2"/>
  <c r="A22716" i="2"/>
  <c r="A22715" i="2"/>
  <c r="A22714" i="2"/>
  <c r="A22713" i="2"/>
  <c r="A22712" i="2"/>
  <c r="A22711" i="2"/>
  <c r="A22710" i="2"/>
  <c r="A22709" i="2"/>
  <c r="A22708" i="2"/>
  <c r="A22707" i="2"/>
  <c r="A22706" i="2"/>
  <c r="A22705" i="2"/>
  <c r="A22704" i="2"/>
  <c r="A22703" i="2"/>
  <c r="A22702" i="2"/>
  <c r="A22701" i="2"/>
  <c r="A22700" i="2"/>
  <c r="A22699" i="2"/>
  <c r="A22698" i="2"/>
  <c r="A22697" i="2"/>
  <c r="A22696" i="2"/>
  <c r="A22695" i="2"/>
  <c r="A22694" i="2"/>
  <c r="A22693" i="2"/>
  <c r="A22692" i="2"/>
  <c r="A22691" i="2"/>
  <c r="A22690" i="2"/>
  <c r="A22689" i="2"/>
  <c r="A22688" i="2"/>
  <c r="A22687" i="2"/>
  <c r="A22686" i="2"/>
  <c r="A22685" i="2"/>
  <c r="A22684" i="2"/>
  <c r="A22683" i="2"/>
  <c r="A22682" i="2"/>
  <c r="A22681" i="2"/>
  <c r="A22680" i="2"/>
  <c r="A22679" i="2"/>
  <c r="A22678" i="2"/>
  <c r="A22677" i="2"/>
  <c r="A22676" i="2"/>
  <c r="A22675" i="2"/>
  <c r="A22674" i="2"/>
  <c r="A22673" i="2"/>
  <c r="A22672" i="2"/>
  <c r="A22671" i="2"/>
  <c r="A22670" i="2"/>
  <c r="A22669" i="2"/>
  <c r="A22668" i="2"/>
  <c r="A22667" i="2"/>
  <c r="A22666" i="2"/>
  <c r="A22665" i="2"/>
  <c r="A22664" i="2"/>
  <c r="A22663" i="2"/>
  <c r="A22662" i="2"/>
  <c r="A22661" i="2"/>
  <c r="A22660" i="2"/>
  <c r="A22659" i="2"/>
  <c r="A22658" i="2"/>
  <c r="A22657" i="2"/>
  <c r="A22656" i="2"/>
  <c r="A22655" i="2"/>
  <c r="A22654" i="2"/>
  <c r="A22653" i="2"/>
  <c r="A22652" i="2"/>
  <c r="A22651" i="2"/>
  <c r="A22650" i="2"/>
  <c r="A22649" i="2"/>
  <c r="A22648" i="2"/>
  <c r="A22647" i="2"/>
  <c r="A22646" i="2"/>
  <c r="A22645" i="2"/>
  <c r="A22644" i="2"/>
  <c r="A22643" i="2"/>
  <c r="A22642" i="2"/>
  <c r="A22641" i="2"/>
  <c r="A22640" i="2"/>
  <c r="A22639" i="2"/>
  <c r="A22638" i="2"/>
  <c r="A22637" i="2"/>
  <c r="A22636" i="2"/>
  <c r="A22635" i="2"/>
  <c r="A22634" i="2"/>
  <c r="A22633" i="2"/>
  <c r="A22632" i="2"/>
  <c r="A22631" i="2"/>
  <c r="A22630" i="2"/>
  <c r="A22629" i="2"/>
  <c r="A22628" i="2"/>
  <c r="A22627" i="2"/>
  <c r="A22626" i="2"/>
  <c r="A22625" i="2"/>
  <c r="A22624" i="2"/>
  <c r="A22623" i="2"/>
  <c r="A22622" i="2"/>
  <c r="A22621" i="2"/>
  <c r="A22620" i="2"/>
  <c r="A22619" i="2"/>
  <c r="A22618" i="2"/>
  <c r="A22617" i="2"/>
  <c r="A22616" i="2"/>
  <c r="A22615" i="2"/>
  <c r="A22614" i="2"/>
  <c r="A22613" i="2"/>
  <c r="A22612" i="2"/>
  <c r="A22611" i="2"/>
  <c r="A22610" i="2"/>
  <c r="A22609" i="2"/>
  <c r="A22608" i="2"/>
  <c r="A22607" i="2"/>
  <c r="A22606" i="2"/>
  <c r="A22605" i="2"/>
  <c r="A22604" i="2"/>
  <c r="A22603" i="2"/>
  <c r="A22602" i="2"/>
  <c r="A22601" i="2"/>
  <c r="A22600" i="2"/>
  <c r="A22599" i="2"/>
  <c r="A22598" i="2"/>
  <c r="A22597" i="2"/>
  <c r="A22596" i="2"/>
  <c r="A22595" i="2"/>
  <c r="A22594" i="2"/>
  <c r="A22593" i="2"/>
  <c r="A22592" i="2"/>
  <c r="A22591" i="2"/>
  <c r="A22590" i="2"/>
  <c r="A22589" i="2"/>
  <c r="A22588" i="2"/>
  <c r="A22587" i="2"/>
  <c r="A22586" i="2"/>
  <c r="A22585" i="2"/>
  <c r="A22584" i="2"/>
  <c r="A22583" i="2"/>
  <c r="A22582" i="2"/>
  <c r="A22581" i="2"/>
  <c r="A22580" i="2"/>
  <c r="A22579" i="2"/>
  <c r="A22578" i="2"/>
  <c r="A22577" i="2"/>
  <c r="A22576" i="2"/>
  <c r="A22575" i="2"/>
  <c r="A22574" i="2"/>
  <c r="A22573" i="2"/>
  <c r="A22572" i="2"/>
  <c r="A22571" i="2"/>
  <c r="A22570" i="2"/>
  <c r="A22569" i="2"/>
  <c r="A22568" i="2"/>
  <c r="A22567" i="2"/>
  <c r="A22566" i="2"/>
  <c r="A22565" i="2"/>
  <c r="A22564" i="2"/>
  <c r="A22563" i="2"/>
  <c r="A22562" i="2"/>
  <c r="A22561" i="2"/>
  <c r="A22560" i="2"/>
  <c r="A22559" i="2"/>
  <c r="A22558" i="2"/>
  <c r="A22557" i="2"/>
  <c r="A22556" i="2"/>
  <c r="A22555" i="2"/>
  <c r="A22554" i="2"/>
  <c r="A22553" i="2"/>
  <c r="A22552" i="2"/>
  <c r="A22551" i="2"/>
  <c r="A22550" i="2"/>
  <c r="A22549" i="2"/>
  <c r="A22548" i="2"/>
  <c r="A22547" i="2"/>
  <c r="A22546" i="2"/>
  <c r="A22545" i="2"/>
  <c r="A22544" i="2"/>
  <c r="A22543" i="2"/>
  <c r="A22542" i="2"/>
  <c r="A22541" i="2"/>
  <c r="A22540" i="2"/>
  <c r="A22539" i="2"/>
  <c r="A22538" i="2"/>
  <c r="A22537" i="2"/>
  <c r="A22536" i="2"/>
  <c r="A22535" i="2"/>
  <c r="A22534" i="2"/>
  <c r="A22533" i="2"/>
  <c r="A22532" i="2"/>
  <c r="A22531" i="2"/>
  <c r="A22530" i="2"/>
  <c r="A22529" i="2"/>
  <c r="A22528" i="2"/>
  <c r="A22527" i="2"/>
  <c r="A22526" i="2"/>
  <c r="A22525" i="2"/>
  <c r="A22524" i="2"/>
  <c r="A22523" i="2"/>
  <c r="A22522" i="2"/>
  <c r="A22521" i="2"/>
  <c r="A22520" i="2"/>
  <c r="A22519" i="2"/>
  <c r="A22518" i="2"/>
  <c r="A22517" i="2"/>
  <c r="A22516" i="2"/>
  <c r="A22515" i="2"/>
  <c r="A22514" i="2"/>
  <c r="A22513" i="2"/>
  <c r="A22512" i="2"/>
  <c r="A22511" i="2"/>
  <c r="A22510" i="2"/>
  <c r="A22509" i="2"/>
  <c r="A22508" i="2"/>
  <c r="A22507" i="2"/>
  <c r="A22506" i="2"/>
  <c r="A22505" i="2"/>
  <c r="A22504" i="2"/>
  <c r="A22503" i="2"/>
  <c r="A22502" i="2"/>
  <c r="A22501" i="2"/>
  <c r="A22500" i="2"/>
  <c r="A22499" i="2"/>
  <c r="A22498" i="2"/>
  <c r="A22497" i="2"/>
  <c r="A22496" i="2"/>
  <c r="A22495" i="2"/>
  <c r="A22494" i="2"/>
  <c r="A22493" i="2"/>
  <c r="A22492" i="2"/>
  <c r="A22491" i="2"/>
  <c r="A22490" i="2"/>
  <c r="A22489" i="2"/>
  <c r="A22488" i="2"/>
  <c r="A22487" i="2"/>
  <c r="A22486" i="2"/>
  <c r="A22485" i="2"/>
  <c r="A22484" i="2"/>
  <c r="A22483" i="2"/>
  <c r="A22482" i="2"/>
  <c r="A22481" i="2"/>
  <c r="A22480" i="2"/>
  <c r="A22479" i="2"/>
  <c r="A22478" i="2"/>
  <c r="A22477" i="2"/>
  <c r="A22476" i="2"/>
  <c r="A22475" i="2"/>
  <c r="A22474" i="2"/>
  <c r="A22473" i="2"/>
  <c r="A22472" i="2"/>
  <c r="A22471" i="2"/>
  <c r="A22470" i="2"/>
  <c r="A22469" i="2"/>
  <c r="A22468" i="2"/>
  <c r="A22467" i="2"/>
  <c r="A22466" i="2"/>
  <c r="A22465" i="2"/>
  <c r="A22464" i="2"/>
  <c r="A22463" i="2"/>
  <c r="A22462" i="2"/>
  <c r="A22461" i="2"/>
  <c r="A22460" i="2"/>
  <c r="A22459" i="2"/>
  <c r="A22458" i="2"/>
  <c r="A22457" i="2"/>
  <c r="A22456" i="2"/>
  <c r="A22455" i="2"/>
  <c r="A22454" i="2"/>
  <c r="A22453" i="2"/>
  <c r="A22452" i="2"/>
  <c r="A22451" i="2"/>
  <c r="A22450" i="2"/>
  <c r="A22449" i="2"/>
  <c r="A22448" i="2"/>
  <c r="A22447" i="2"/>
  <c r="A22446" i="2"/>
  <c r="A22445" i="2"/>
  <c r="A22444" i="2"/>
  <c r="A22443" i="2"/>
  <c r="A22442" i="2"/>
  <c r="A22441" i="2"/>
  <c r="A22440" i="2"/>
  <c r="A22439" i="2"/>
  <c r="A22438" i="2"/>
  <c r="A22437" i="2"/>
  <c r="A22436" i="2"/>
  <c r="A22435" i="2"/>
  <c r="A22434" i="2"/>
  <c r="A22433" i="2"/>
  <c r="A22432" i="2"/>
  <c r="A22431" i="2"/>
  <c r="A22430" i="2"/>
  <c r="A22429" i="2"/>
  <c r="A22428" i="2"/>
  <c r="A22427" i="2"/>
  <c r="A22426" i="2"/>
  <c r="A22425" i="2"/>
  <c r="A22424" i="2"/>
  <c r="A22423" i="2"/>
  <c r="A22422" i="2"/>
  <c r="A22421" i="2"/>
  <c r="A22420" i="2"/>
  <c r="A22419" i="2"/>
  <c r="A22418" i="2"/>
  <c r="A22417" i="2"/>
  <c r="A22416" i="2"/>
  <c r="A22415" i="2"/>
  <c r="A22414" i="2"/>
  <c r="A22413" i="2"/>
  <c r="A22412" i="2"/>
  <c r="A22411" i="2"/>
  <c r="A22410" i="2"/>
  <c r="A22409" i="2"/>
  <c r="A22408" i="2"/>
  <c r="A22407" i="2"/>
  <c r="A22406" i="2"/>
  <c r="A22405" i="2"/>
  <c r="A22404" i="2"/>
  <c r="A22403" i="2"/>
  <c r="A22402" i="2"/>
  <c r="A22401" i="2"/>
  <c r="A22400" i="2"/>
  <c r="A22399" i="2"/>
  <c r="A22398" i="2"/>
  <c r="A22397" i="2"/>
  <c r="A22396" i="2"/>
  <c r="A22395" i="2"/>
  <c r="A22394" i="2"/>
  <c r="A22393" i="2"/>
  <c r="A22392" i="2"/>
  <c r="A22391" i="2"/>
  <c r="A22390" i="2"/>
  <c r="A22389" i="2"/>
  <c r="A22388" i="2"/>
  <c r="A22387" i="2"/>
  <c r="A22386" i="2"/>
  <c r="A22385" i="2"/>
  <c r="A22384" i="2"/>
  <c r="A22383" i="2"/>
  <c r="A22382" i="2"/>
  <c r="A22381" i="2"/>
  <c r="A22380" i="2"/>
  <c r="A22379" i="2"/>
  <c r="A22378" i="2"/>
  <c r="A22377" i="2"/>
  <c r="A22376" i="2"/>
  <c r="A22375" i="2"/>
  <c r="A22374" i="2"/>
  <c r="A22373" i="2"/>
  <c r="A22372" i="2"/>
  <c r="A22371" i="2"/>
  <c r="A22370" i="2"/>
  <c r="A22369" i="2"/>
  <c r="A22368" i="2"/>
  <c r="A22367" i="2"/>
  <c r="A22366" i="2"/>
  <c r="A22365" i="2"/>
  <c r="A22364" i="2"/>
  <c r="A22363" i="2"/>
  <c r="A22362" i="2"/>
  <c r="A22361" i="2"/>
  <c r="A22360" i="2"/>
  <c r="A22359" i="2"/>
  <c r="A22358" i="2"/>
  <c r="A22357" i="2"/>
  <c r="A22356" i="2"/>
  <c r="A22355" i="2"/>
  <c r="A22354" i="2"/>
  <c r="A22353" i="2"/>
  <c r="A22352" i="2"/>
  <c r="A22351" i="2"/>
  <c r="A22350" i="2"/>
  <c r="A22349" i="2"/>
  <c r="A22348" i="2"/>
  <c r="A22347" i="2"/>
  <c r="A22346" i="2"/>
  <c r="A22345" i="2"/>
  <c r="A22344" i="2"/>
  <c r="A22343" i="2"/>
  <c r="A22342" i="2"/>
  <c r="A22341" i="2"/>
  <c r="A22340" i="2"/>
  <c r="A22339" i="2"/>
  <c r="A22338" i="2"/>
  <c r="A22337" i="2"/>
  <c r="A22336" i="2"/>
  <c r="A22335" i="2"/>
  <c r="A22334" i="2"/>
  <c r="A22333" i="2"/>
  <c r="A22332" i="2"/>
  <c r="A22331" i="2"/>
  <c r="A22330" i="2"/>
  <c r="A22329" i="2"/>
  <c r="A22328" i="2"/>
  <c r="A22327" i="2"/>
  <c r="A22326" i="2"/>
  <c r="A22325" i="2"/>
  <c r="A22324" i="2"/>
  <c r="A22323" i="2"/>
  <c r="A22322" i="2"/>
  <c r="A22321" i="2"/>
  <c r="A22320" i="2"/>
  <c r="A22319" i="2"/>
  <c r="A22318" i="2"/>
  <c r="A22317" i="2"/>
  <c r="A22316" i="2"/>
  <c r="A22315" i="2"/>
  <c r="A22314" i="2"/>
  <c r="A22313" i="2"/>
  <c r="A22312" i="2"/>
  <c r="A22311" i="2"/>
  <c r="A22310" i="2"/>
  <c r="A22309" i="2"/>
  <c r="A22308" i="2"/>
  <c r="A22307" i="2"/>
  <c r="A22306" i="2"/>
  <c r="A22305" i="2"/>
  <c r="A22304" i="2"/>
  <c r="A22303" i="2"/>
  <c r="A22302" i="2"/>
  <c r="A22301" i="2"/>
  <c r="A22300" i="2"/>
  <c r="A22299" i="2"/>
  <c r="A22298" i="2"/>
  <c r="A22297" i="2"/>
  <c r="A22296" i="2"/>
  <c r="A22295" i="2"/>
  <c r="A22294" i="2"/>
  <c r="A22293" i="2"/>
  <c r="A22292" i="2"/>
  <c r="A22291" i="2"/>
  <c r="A22290" i="2"/>
  <c r="A22289" i="2"/>
  <c r="A22288" i="2"/>
  <c r="A22287" i="2"/>
  <c r="A22286" i="2"/>
  <c r="A22285" i="2"/>
  <c r="A22284" i="2"/>
  <c r="A22283" i="2"/>
  <c r="A22282" i="2"/>
  <c r="A22281" i="2"/>
  <c r="A22280" i="2"/>
  <c r="A22279" i="2"/>
  <c r="A22278" i="2"/>
  <c r="A22277" i="2"/>
  <c r="A22276" i="2"/>
  <c r="A22275" i="2"/>
  <c r="A22274" i="2"/>
  <c r="A22273" i="2"/>
  <c r="A22272" i="2"/>
  <c r="A22271" i="2"/>
  <c r="A22270" i="2"/>
  <c r="A22269" i="2"/>
  <c r="A22268" i="2"/>
  <c r="A22267" i="2"/>
  <c r="A22266" i="2"/>
  <c r="A22265" i="2"/>
  <c r="A22264" i="2"/>
  <c r="A22263" i="2"/>
  <c r="A22262" i="2"/>
  <c r="A22261" i="2"/>
  <c r="A22260" i="2"/>
  <c r="A22259" i="2"/>
  <c r="A22258" i="2"/>
  <c r="A22257" i="2"/>
  <c r="A22256" i="2"/>
  <c r="A22255" i="2"/>
  <c r="A22254" i="2"/>
  <c r="A22253" i="2"/>
  <c r="A22252" i="2"/>
  <c r="A22251" i="2"/>
  <c r="A22250" i="2"/>
  <c r="A22249" i="2"/>
  <c r="A22248" i="2"/>
  <c r="A22247" i="2"/>
  <c r="A22246" i="2"/>
  <c r="A22245" i="2"/>
  <c r="A22244" i="2"/>
  <c r="A22243" i="2"/>
  <c r="A22242" i="2"/>
  <c r="A22241" i="2"/>
  <c r="A22240" i="2"/>
  <c r="A22239" i="2"/>
  <c r="A22238" i="2"/>
  <c r="A22237" i="2"/>
  <c r="A22236" i="2"/>
  <c r="A22235" i="2"/>
  <c r="A22234" i="2"/>
  <c r="A22233" i="2"/>
  <c r="A22232" i="2"/>
  <c r="A22231" i="2"/>
  <c r="A22230" i="2"/>
  <c r="A22229" i="2"/>
  <c r="A22228" i="2"/>
  <c r="A22227" i="2"/>
  <c r="A22226" i="2"/>
  <c r="A22225" i="2"/>
  <c r="A22224" i="2"/>
  <c r="A22223" i="2"/>
  <c r="A22222" i="2"/>
  <c r="A22221" i="2"/>
  <c r="A22220" i="2"/>
  <c r="A22219" i="2"/>
  <c r="A22218" i="2"/>
  <c r="A22217" i="2"/>
  <c r="A22216" i="2"/>
  <c r="A22215" i="2"/>
  <c r="A22214" i="2"/>
  <c r="A22213" i="2"/>
  <c r="A22212" i="2"/>
  <c r="A22211" i="2"/>
  <c r="A22210" i="2"/>
  <c r="A22209" i="2"/>
  <c r="A22208" i="2"/>
  <c r="A22207" i="2"/>
  <c r="A22206" i="2"/>
  <c r="A22205" i="2"/>
  <c r="A22204" i="2"/>
  <c r="A22203" i="2"/>
  <c r="A22202" i="2"/>
  <c r="A22201" i="2"/>
  <c r="A22200" i="2"/>
  <c r="A22199" i="2"/>
  <c r="A22198" i="2"/>
  <c r="A22197" i="2"/>
  <c r="A22196" i="2"/>
  <c r="A22195" i="2"/>
  <c r="A22194" i="2"/>
  <c r="A22193" i="2"/>
  <c r="A22192" i="2"/>
  <c r="A22191" i="2"/>
  <c r="A22190" i="2"/>
  <c r="A22189" i="2"/>
  <c r="A22188" i="2"/>
  <c r="A22187" i="2"/>
  <c r="A22186" i="2"/>
  <c r="A22185" i="2"/>
  <c r="A22184" i="2"/>
  <c r="A22183" i="2"/>
  <c r="A22182" i="2"/>
  <c r="A22181" i="2"/>
  <c r="A22180" i="2"/>
  <c r="A22179" i="2"/>
  <c r="A22178" i="2"/>
  <c r="A22177" i="2"/>
  <c r="A22176" i="2"/>
  <c r="A22175" i="2"/>
  <c r="A22174" i="2"/>
  <c r="A22173" i="2"/>
  <c r="A22172" i="2"/>
  <c r="A22171" i="2"/>
  <c r="A22170" i="2"/>
  <c r="A22169" i="2"/>
  <c r="A22168" i="2"/>
  <c r="A22167" i="2"/>
  <c r="A22166" i="2"/>
  <c r="A22165" i="2"/>
  <c r="A22164" i="2"/>
  <c r="A22163" i="2"/>
  <c r="A22162" i="2"/>
  <c r="A22161" i="2"/>
  <c r="A22160" i="2"/>
  <c r="A22159" i="2"/>
  <c r="A22158" i="2"/>
  <c r="A22157" i="2"/>
  <c r="A22156" i="2"/>
  <c r="A22155" i="2"/>
  <c r="A22154" i="2"/>
  <c r="A22153" i="2"/>
  <c r="A22152" i="2"/>
  <c r="A22151" i="2"/>
  <c r="A22150" i="2"/>
  <c r="A22149" i="2"/>
  <c r="A22148" i="2"/>
  <c r="A22147" i="2"/>
  <c r="A22146" i="2"/>
  <c r="A22145" i="2"/>
  <c r="A22144" i="2"/>
  <c r="A22143" i="2"/>
  <c r="A22142" i="2"/>
  <c r="A22141" i="2"/>
  <c r="A22140" i="2"/>
  <c r="A22139" i="2"/>
  <c r="A22138" i="2"/>
  <c r="A22137" i="2"/>
  <c r="A22136" i="2"/>
  <c r="A22135" i="2"/>
  <c r="A22134" i="2"/>
  <c r="A22133" i="2"/>
  <c r="A22132" i="2"/>
  <c r="A22131" i="2"/>
  <c r="A22130" i="2"/>
  <c r="A22129" i="2"/>
  <c r="A22128" i="2"/>
  <c r="A22127" i="2"/>
  <c r="A22126" i="2"/>
  <c r="A22125" i="2"/>
  <c r="A22124" i="2"/>
  <c r="A22123" i="2"/>
  <c r="A22122" i="2"/>
  <c r="A22121" i="2"/>
  <c r="A22120" i="2"/>
  <c r="A22119" i="2"/>
  <c r="A22118" i="2"/>
  <c r="A22117" i="2"/>
  <c r="A22116" i="2"/>
  <c r="A22115" i="2"/>
  <c r="A22114" i="2"/>
  <c r="A22113" i="2"/>
  <c r="A22112" i="2"/>
  <c r="A22111" i="2"/>
  <c r="A22110" i="2"/>
  <c r="A22109" i="2"/>
  <c r="A22108" i="2"/>
  <c r="A22107" i="2"/>
  <c r="A22106" i="2"/>
  <c r="A22105" i="2"/>
  <c r="A22104" i="2"/>
  <c r="A22103" i="2"/>
  <c r="A22102" i="2"/>
  <c r="A22101" i="2"/>
  <c r="A22100" i="2"/>
  <c r="A22099" i="2"/>
  <c r="A22098" i="2"/>
  <c r="A22097" i="2"/>
  <c r="A22096" i="2"/>
  <c r="A22095" i="2"/>
  <c r="A22094" i="2"/>
  <c r="A22093" i="2"/>
  <c r="A22092" i="2"/>
  <c r="A22091" i="2"/>
  <c r="A22090" i="2"/>
  <c r="A22089" i="2"/>
  <c r="A22088" i="2"/>
  <c r="A22087" i="2"/>
  <c r="A22086" i="2"/>
  <c r="A22085" i="2"/>
  <c r="A22084" i="2"/>
  <c r="A22083" i="2"/>
  <c r="A22082" i="2"/>
  <c r="A22081" i="2"/>
  <c r="A22080" i="2"/>
  <c r="A22079" i="2"/>
  <c r="A22078" i="2"/>
  <c r="A22077" i="2"/>
  <c r="A22076" i="2"/>
  <c r="A22075" i="2"/>
  <c r="A22074" i="2"/>
  <c r="A22073" i="2"/>
  <c r="A22072" i="2"/>
  <c r="A22071" i="2"/>
  <c r="A22070" i="2"/>
  <c r="A22069" i="2"/>
  <c r="A22068" i="2"/>
  <c r="A22067" i="2"/>
  <c r="A22066" i="2"/>
  <c r="A22065" i="2"/>
  <c r="A22064" i="2"/>
  <c r="A22063" i="2"/>
  <c r="A22062" i="2"/>
  <c r="A22061" i="2"/>
  <c r="A22060" i="2"/>
  <c r="A22059" i="2"/>
  <c r="A22058" i="2"/>
  <c r="A22057" i="2"/>
  <c r="A22056" i="2"/>
  <c r="A22055" i="2"/>
  <c r="A22054" i="2"/>
  <c r="A22053" i="2"/>
  <c r="A22052" i="2"/>
  <c r="A22051" i="2"/>
  <c r="A22050" i="2"/>
  <c r="A22049" i="2"/>
  <c r="A22048" i="2"/>
  <c r="A22047" i="2"/>
  <c r="A22046" i="2"/>
  <c r="A22045" i="2"/>
  <c r="A22044" i="2"/>
  <c r="A22043" i="2"/>
  <c r="A22042" i="2"/>
  <c r="A22041" i="2"/>
  <c r="A22040" i="2"/>
  <c r="A22039" i="2"/>
  <c r="A22038" i="2"/>
  <c r="A22037" i="2"/>
  <c r="A22036" i="2"/>
  <c r="A22035" i="2"/>
  <c r="A22034" i="2"/>
  <c r="A22033" i="2"/>
  <c r="A22032" i="2"/>
  <c r="A22031" i="2"/>
  <c r="A22030" i="2"/>
  <c r="A22029" i="2"/>
  <c r="A22028" i="2"/>
  <c r="A22027" i="2"/>
  <c r="A22026" i="2"/>
  <c r="A22025" i="2"/>
  <c r="A22024" i="2"/>
  <c r="A22023" i="2"/>
  <c r="A22022" i="2"/>
  <c r="A22021" i="2"/>
  <c r="A22020" i="2"/>
  <c r="A22019" i="2"/>
  <c r="A22018" i="2"/>
  <c r="A22017" i="2"/>
  <c r="A22016" i="2"/>
  <c r="A22015" i="2"/>
  <c r="A22014" i="2"/>
  <c r="A22013" i="2"/>
  <c r="A22012" i="2"/>
  <c r="A22011" i="2"/>
  <c r="A22010" i="2"/>
  <c r="A22009" i="2"/>
  <c r="A22008" i="2"/>
  <c r="A22007" i="2"/>
  <c r="A22006" i="2"/>
  <c r="A22005" i="2"/>
  <c r="A22004" i="2"/>
  <c r="A22003" i="2"/>
  <c r="A22002" i="2"/>
  <c r="A22001" i="2"/>
  <c r="A22000" i="2"/>
  <c r="A21999" i="2"/>
  <c r="A21998" i="2"/>
  <c r="A21997" i="2"/>
  <c r="A21996" i="2"/>
  <c r="A21995" i="2"/>
  <c r="A21994" i="2"/>
  <c r="A21993" i="2"/>
  <c r="A21992" i="2"/>
  <c r="A21991" i="2"/>
  <c r="A21990" i="2"/>
  <c r="A21989" i="2"/>
  <c r="A21988" i="2"/>
  <c r="A21987" i="2"/>
  <c r="A21986" i="2"/>
  <c r="A21985" i="2"/>
  <c r="A21984" i="2"/>
  <c r="A21983" i="2"/>
  <c r="A21982" i="2"/>
  <c r="A21981" i="2"/>
  <c r="A21980" i="2"/>
  <c r="A21979" i="2"/>
  <c r="A21978" i="2"/>
  <c r="A21977" i="2"/>
  <c r="A21976" i="2"/>
  <c r="A21975" i="2"/>
  <c r="A21974" i="2"/>
  <c r="A21973" i="2"/>
  <c r="A21972" i="2"/>
  <c r="A21971" i="2"/>
  <c r="A21970" i="2"/>
  <c r="A21969" i="2"/>
  <c r="A21968" i="2"/>
  <c r="A21967" i="2"/>
  <c r="A21966" i="2"/>
  <c r="A21965" i="2"/>
  <c r="A21964" i="2"/>
  <c r="A21963" i="2"/>
  <c r="A21962" i="2"/>
  <c r="A21961" i="2"/>
  <c r="A21960" i="2"/>
  <c r="A21959" i="2"/>
  <c r="A21958" i="2"/>
  <c r="A21957" i="2"/>
  <c r="A21956" i="2"/>
  <c r="A21955" i="2"/>
  <c r="A21954" i="2"/>
  <c r="A21953" i="2"/>
  <c r="A21952" i="2"/>
  <c r="A21951" i="2"/>
  <c r="A21950" i="2"/>
  <c r="A21949" i="2"/>
  <c r="A21948" i="2"/>
  <c r="A21947" i="2"/>
  <c r="A21946" i="2"/>
  <c r="A21945" i="2"/>
  <c r="A21944" i="2"/>
  <c r="A21943" i="2"/>
  <c r="A21942" i="2"/>
  <c r="A21941" i="2"/>
  <c r="A21940" i="2"/>
  <c r="A21939" i="2"/>
  <c r="A21938" i="2"/>
  <c r="A21937" i="2"/>
  <c r="A21936" i="2"/>
  <c r="A21935" i="2"/>
  <c r="A21934" i="2"/>
  <c r="A21933" i="2"/>
  <c r="A21932" i="2"/>
  <c r="A21931" i="2"/>
  <c r="A21930" i="2"/>
  <c r="A21929" i="2"/>
  <c r="A21928" i="2"/>
  <c r="A21927" i="2"/>
  <c r="A21926" i="2"/>
  <c r="A21925" i="2"/>
  <c r="A21924" i="2"/>
  <c r="A21923" i="2"/>
  <c r="A21922" i="2"/>
  <c r="A21921" i="2"/>
  <c r="A21920" i="2"/>
  <c r="A21919" i="2"/>
  <c r="A21918" i="2"/>
  <c r="A21917" i="2"/>
  <c r="A21916" i="2"/>
  <c r="A21915" i="2"/>
  <c r="A21914" i="2"/>
  <c r="A21913" i="2"/>
  <c r="A21912" i="2"/>
  <c r="A21911" i="2"/>
  <c r="A21910" i="2"/>
  <c r="A21909" i="2"/>
  <c r="A21908" i="2"/>
  <c r="A21907" i="2"/>
  <c r="A21906" i="2"/>
  <c r="A21905" i="2"/>
  <c r="A21904" i="2"/>
  <c r="A21903" i="2"/>
  <c r="A21902" i="2"/>
  <c r="A21901" i="2"/>
  <c r="A21900" i="2"/>
  <c r="A21899" i="2"/>
  <c r="A21898" i="2"/>
  <c r="A21897" i="2"/>
  <c r="A21896" i="2"/>
  <c r="A21895" i="2"/>
  <c r="A21894" i="2"/>
  <c r="A21893" i="2"/>
  <c r="A21892" i="2"/>
  <c r="A21891" i="2"/>
  <c r="A21890" i="2"/>
  <c r="A21889" i="2"/>
  <c r="A21888" i="2"/>
  <c r="A21887" i="2"/>
  <c r="A21886" i="2"/>
  <c r="A21885" i="2"/>
  <c r="A21884" i="2"/>
  <c r="A21883" i="2"/>
  <c r="A21882" i="2"/>
  <c r="A21881" i="2"/>
  <c r="A21880" i="2"/>
  <c r="A21879" i="2"/>
  <c r="A21878" i="2"/>
  <c r="A21877" i="2"/>
  <c r="A21876" i="2"/>
  <c r="A21875" i="2"/>
  <c r="A21874" i="2"/>
  <c r="A21873" i="2"/>
  <c r="A21872" i="2"/>
  <c r="A21871" i="2"/>
  <c r="A21870" i="2"/>
  <c r="A21869" i="2"/>
  <c r="A21868" i="2"/>
  <c r="A21867" i="2"/>
  <c r="A21866" i="2"/>
  <c r="A21865" i="2"/>
  <c r="A21864" i="2"/>
  <c r="A21863" i="2"/>
  <c r="A21862" i="2"/>
  <c r="A21861" i="2"/>
  <c r="A21860" i="2"/>
  <c r="A21859" i="2"/>
  <c r="A21858" i="2"/>
  <c r="A21857" i="2"/>
  <c r="A21856" i="2"/>
  <c r="A21855" i="2"/>
  <c r="A21854" i="2"/>
  <c r="A21853" i="2"/>
  <c r="A21852" i="2"/>
  <c r="A21851" i="2"/>
  <c r="A21850" i="2"/>
  <c r="A21849" i="2"/>
  <c r="A21848" i="2"/>
  <c r="A21847" i="2"/>
  <c r="A21846" i="2"/>
  <c r="A21845" i="2"/>
  <c r="A21844" i="2"/>
  <c r="A21843" i="2"/>
  <c r="A21842" i="2"/>
  <c r="A21841" i="2"/>
  <c r="A21840" i="2"/>
  <c r="A21839" i="2"/>
  <c r="A21838" i="2"/>
  <c r="A21837" i="2"/>
  <c r="A21836" i="2"/>
  <c r="A21835" i="2"/>
  <c r="A21834" i="2"/>
  <c r="A21833" i="2"/>
  <c r="A21832" i="2"/>
  <c r="A21831" i="2"/>
  <c r="A21830" i="2"/>
  <c r="A21829" i="2"/>
  <c r="A21828" i="2"/>
  <c r="A21827" i="2"/>
  <c r="A21826" i="2"/>
  <c r="A21825" i="2"/>
  <c r="A21824" i="2"/>
  <c r="A21823" i="2"/>
  <c r="A21822" i="2"/>
  <c r="A21821" i="2"/>
  <c r="A21820" i="2"/>
  <c r="A21819" i="2"/>
  <c r="A21818" i="2"/>
  <c r="A21817" i="2"/>
  <c r="A21816" i="2"/>
  <c r="A21815" i="2"/>
  <c r="A21814" i="2"/>
  <c r="A21813" i="2"/>
  <c r="A21812" i="2"/>
  <c r="A21811" i="2"/>
  <c r="A21810" i="2"/>
  <c r="A21809" i="2"/>
  <c r="A21808" i="2"/>
  <c r="A21807" i="2"/>
  <c r="A21806" i="2"/>
  <c r="A21805" i="2"/>
  <c r="A21804" i="2"/>
  <c r="A21803" i="2"/>
  <c r="A21802" i="2"/>
  <c r="A21801" i="2"/>
  <c r="A21800" i="2"/>
  <c r="A21799" i="2"/>
  <c r="A21798" i="2"/>
  <c r="A21797" i="2"/>
  <c r="A21796" i="2"/>
  <c r="A21795" i="2"/>
  <c r="A21794" i="2"/>
  <c r="A21793" i="2"/>
  <c r="A21792" i="2"/>
  <c r="A21791" i="2"/>
  <c r="A21790" i="2"/>
  <c r="A21789" i="2"/>
  <c r="A21788" i="2"/>
  <c r="A21787" i="2"/>
  <c r="A21786" i="2"/>
  <c r="A21785" i="2"/>
  <c r="A21784" i="2"/>
  <c r="A21783" i="2"/>
  <c r="A21782" i="2"/>
  <c r="A21781" i="2"/>
  <c r="A21780" i="2"/>
  <c r="A21779" i="2"/>
  <c r="A21778" i="2"/>
  <c r="A21777" i="2"/>
  <c r="A21776" i="2"/>
  <c r="A21775" i="2"/>
  <c r="A21774" i="2"/>
  <c r="A21773" i="2"/>
  <c r="A21772" i="2"/>
  <c r="A21771" i="2"/>
  <c r="A21770" i="2"/>
  <c r="A21769" i="2"/>
  <c r="A21768" i="2"/>
  <c r="A21767" i="2"/>
  <c r="A21766" i="2"/>
  <c r="A21765" i="2"/>
  <c r="A21764" i="2"/>
  <c r="A21763" i="2"/>
  <c r="A21762" i="2"/>
  <c r="A21761" i="2"/>
  <c r="A21760" i="2"/>
  <c r="A21759" i="2"/>
  <c r="A21758" i="2"/>
  <c r="A21757" i="2"/>
  <c r="A21756" i="2"/>
  <c r="A21755" i="2"/>
  <c r="A21754" i="2"/>
  <c r="A21753" i="2"/>
  <c r="A21752" i="2"/>
  <c r="A21751" i="2"/>
  <c r="A21750" i="2"/>
  <c r="A21749" i="2"/>
  <c r="A21748" i="2"/>
  <c r="A21747" i="2"/>
  <c r="A21746" i="2"/>
  <c r="A21745" i="2"/>
  <c r="A21744" i="2"/>
  <c r="A21743" i="2"/>
  <c r="A21742" i="2"/>
  <c r="A21741" i="2"/>
  <c r="A21740" i="2"/>
  <c r="A21739" i="2"/>
  <c r="A21738" i="2"/>
  <c r="A21737" i="2"/>
  <c r="A21736" i="2"/>
  <c r="A21735" i="2"/>
  <c r="A21734" i="2"/>
  <c r="A21733" i="2"/>
  <c r="A21732" i="2"/>
  <c r="A21731" i="2"/>
  <c r="A21730" i="2"/>
  <c r="A21729" i="2"/>
  <c r="A21728" i="2"/>
  <c r="A21727" i="2"/>
  <c r="A21726" i="2"/>
  <c r="A21725" i="2"/>
  <c r="A21724" i="2"/>
  <c r="A21723" i="2"/>
  <c r="A21722" i="2"/>
  <c r="A21721" i="2"/>
  <c r="A21720" i="2"/>
  <c r="A21719" i="2"/>
  <c r="A21718" i="2"/>
  <c r="A21717" i="2"/>
  <c r="A21716" i="2"/>
  <c r="A21715" i="2"/>
  <c r="A21714" i="2"/>
  <c r="A21713" i="2"/>
  <c r="A21712" i="2"/>
  <c r="A21711" i="2"/>
  <c r="A21710" i="2"/>
  <c r="A21709" i="2"/>
  <c r="A21708" i="2"/>
  <c r="A21707" i="2"/>
  <c r="A21706" i="2"/>
  <c r="A21705" i="2"/>
  <c r="A21704" i="2"/>
  <c r="A21703" i="2"/>
  <c r="A21702" i="2"/>
  <c r="A21701" i="2"/>
  <c r="A21700" i="2"/>
  <c r="A21699" i="2"/>
  <c r="A21698" i="2"/>
  <c r="A21697" i="2"/>
  <c r="A21696" i="2"/>
  <c r="A21695" i="2"/>
  <c r="A21694" i="2"/>
  <c r="A21693" i="2"/>
  <c r="A21692" i="2"/>
  <c r="A21691" i="2"/>
  <c r="A21690" i="2"/>
  <c r="A21689" i="2"/>
  <c r="A21688" i="2"/>
  <c r="A21687" i="2"/>
  <c r="A21686" i="2"/>
  <c r="A21685" i="2"/>
  <c r="A21684" i="2"/>
  <c r="A21683" i="2"/>
  <c r="A21682" i="2"/>
  <c r="A21681" i="2"/>
  <c r="A21680" i="2"/>
  <c r="A21679" i="2"/>
  <c r="A21678" i="2"/>
  <c r="A21677" i="2"/>
  <c r="A21676" i="2"/>
  <c r="A21675" i="2"/>
  <c r="A21674" i="2"/>
  <c r="A21673" i="2"/>
  <c r="A21672" i="2"/>
  <c r="A21671" i="2"/>
  <c r="A21670" i="2"/>
  <c r="A21669" i="2"/>
  <c r="A21668" i="2"/>
  <c r="A21667" i="2"/>
  <c r="A21666" i="2"/>
  <c r="A21665" i="2"/>
  <c r="A21664" i="2"/>
  <c r="A21663" i="2"/>
  <c r="A21662" i="2"/>
  <c r="A21661" i="2"/>
  <c r="A21660" i="2"/>
  <c r="A21659" i="2"/>
  <c r="A21658" i="2"/>
  <c r="A21657" i="2"/>
  <c r="A21656" i="2"/>
  <c r="A21655" i="2"/>
  <c r="A21654" i="2"/>
  <c r="A21653" i="2"/>
  <c r="A21652" i="2"/>
  <c r="A21651" i="2"/>
  <c r="A21650" i="2"/>
  <c r="A21649" i="2"/>
  <c r="A21648" i="2"/>
  <c r="A21647" i="2"/>
  <c r="A21646" i="2"/>
  <c r="A21645" i="2"/>
  <c r="A21644" i="2"/>
  <c r="A21643" i="2"/>
  <c r="A21642" i="2"/>
  <c r="A21641" i="2"/>
  <c r="A21640" i="2"/>
  <c r="A21639" i="2"/>
  <c r="A21638" i="2"/>
  <c r="A21637" i="2"/>
  <c r="A21636" i="2"/>
  <c r="A21635" i="2"/>
  <c r="A21634" i="2"/>
  <c r="A21633" i="2"/>
  <c r="A21632" i="2"/>
  <c r="A21631" i="2"/>
  <c r="A21630" i="2"/>
  <c r="A21629" i="2"/>
  <c r="A21628" i="2"/>
  <c r="A21627" i="2"/>
  <c r="A21626" i="2"/>
  <c r="A21625" i="2"/>
  <c r="A21624" i="2"/>
  <c r="A21623" i="2"/>
  <c r="A21622" i="2"/>
  <c r="A21621" i="2"/>
  <c r="A21620" i="2"/>
  <c r="A21619" i="2"/>
  <c r="A21618" i="2"/>
  <c r="A21617" i="2"/>
  <c r="A21616" i="2"/>
  <c r="A21615" i="2"/>
  <c r="A21614" i="2"/>
  <c r="A21613" i="2"/>
  <c r="A21612" i="2"/>
  <c r="A21611" i="2"/>
  <c r="A21610" i="2"/>
  <c r="A21609" i="2"/>
  <c r="A21608" i="2"/>
  <c r="A21607" i="2"/>
  <c r="A21606" i="2"/>
  <c r="A21605" i="2"/>
  <c r="A21604" i="2"/>
  <c r="A21603" i="2"/>
  <c r="A21602" i="2"/>
  <c r="A21601" i="2"/>
  <c r="A21600" i="2"/>
  <c r="A21599" i="2"/>
  <c r="A21598" i="2"/>
  <c r="A21597" i="2"/>
  <c r="A21596" i="2"/>
  <c r="A21595" i="2"/>
  <c r="A21594" i="2"/>
  <c r="A21593" i="2"/>
  <c r="A21592" i="2"/>
  <c r="A21591" i="2"/>
  <c r="A21590" i="2"/>
  <c r="A21589" i="2"/>
  <c r="A21588" i="2"/>
  <c r="A21587" i="2"/>
  <c r="A21586" i="2"/>
  <c r="A21585" i="2"/>
  <c r="A21584" i="2"/>
  <c r="A21583" i="2"/>
  <c r="A21582" i="2"/>
  <c r="A21581" i="2"/>
  <c r="A21580" i="2"/>
  <c r="A21579" i="2"/>
  <c r="A21578" i="2"/>
  <c r="A21577" i="2"/>
  <c r="A21576" i="2"/>
  <c r="A21575" i="2"/>
  <c r="A21574" i="2"/>
  <c r="A21573" i="2"/>
  <c r="A21572" i="2"/>
  <c r="A21571" i="2"/>
  <c r="A21570" i="2"/>
  <c r="A21569" i="2"/>
  <c r="A21568" i="2"/>
  <c r="A21567" i="2"/>
  <c r="A21566" i="2"/>
  <c r="A21565" i="2"/>
  <c r="A21564" i="2"/>
  <c r="A21563" i="2"/>
  <c r="A21562" i="2"/>
  <c r="A21561" i="2"/>
  <c r="A21560" i="2"/>
  <c r="A21559" i="2"/>
  <c r="A21558" i="2"/>
  <c r="A21557" i="2"/>
  <c r="A21556" i="2"/>
  <c r="A21555" i="2"/>
  <c r="A21554" i="2"/>
  <c r="A21553" i="2"/>
  <c r="A21552" i="2"/>
  <c r="A21551" i="2"/>
  <c r="A21550" i="2"/>
  <c r="A21549" i="2"/>
  <c r="A21548" i="2"/>
  <c r="A21547" i="2"/>
  <c r="A21546" i="2"/>
  <c r="A21545" i="2"/>
  <c r="A21544" i="2"/>
  <c r="A21543" i="2"/>
  <c r="A21542" i="2"/>
  <c r="A21541" i="2"/>
  <c r="A21540" i="2"/>
  <c r="A21539" i="2"/>
  <c r="A21538" i="2"/>
  <c r="A21537" i="2"/>
  <c r="A21536" i="2"/>
  <c r="A21535" i="2"/>
  <c r="A21534" i="2"/>
  <c r="A21533" i="2"/>
  <c r="A21532" i="2"/>
  <c r="A21531" i="2"/>
  <c r="A21530" i="2"/>
  <c r="A21529" i="2"/>
  <c r="A21528" i="2"/>
  <c r="A21527" i="2"/>
  <c r="A21526" i="2"/>
  <c r="A21525" i="2"/>
  <c r="A21524" i="2"/>
  <c r="A21523" i="2"/>
  <c r="A21522" i="2"/>
  <c r="A21521" i="2"/>
  <c r="A21520" i="2"/>
  <c r="A21519" i="2"/>
  <c r="A21518" i="2"/>
  <c r="A21517" i="2"/>
  <c r="A21516" i="2"/>
  <c r="A21515" i="2"/>
  <c r="A21514" i="2"/>
  <c r="A21513" i="2"/>
  <c r="A21512" i="2"/>
  <c r="A21511" i="2"/>
  <c r="A21510" i="2"/>
  <c r="A21509" i="2"/>
  <c r="A21508" i="2"/>
  <c r="A21507" i="2"/>
  <c r="A21506" i="2"/>
  <c r="A21505" i="2"/>
  <c r="A21504" i="2"/>
  <c r="A21503" i="2"/>
  <c r="A21502" i="2"/>
  <c r="A21501" i="2"/>
  <c r="A21500" i="2"/>
  <c r="A21499" i="2"/>
  <c r="A21498" i="2"/>
  <c r="A21497" i="2"/>
  <c r="A21496" i="2"/>
  <c r="A21495" i="2"/>
  <c r="A21494" i="2"/>
  <c r="A21493" i="2"/>
  <c r="A21492" i="2"/>
  <c r="A21491" i="2"/>
  <c r="A21490" i="2"/>
  <c r="A21489" i="2"/>
  <c r="A21488" i="2"/>
  <c r="A21487" i="2"/>
  <c r="A21486" i="2"/>
  <c r="A21485" i="2"/>
  <c r="A21484" i="2"/>
  <c r="A21483" i="2"/>
  <c r="A21482" i="2"/>
  <c r="A21481" i="2"/>
  <c r="A21480" i="2"/>
  <c r="A21479" i="2"/>
  <c r="A21478" i="2"/>
  <c r="A21477" i="2"/>
  <c r="A21476" i="2"/>
  <c r="A21475" i="2"/>
  <c r="A21474" i="2"/>
  <c r="A21473" i="2"/>
  <c r="A21472" i="2"/>
  <c r="A21471" i="2"/>
  <c r="A21470" i="2"/>
  <c r="A21469" i="2"/>
  <c r="A21468" i="2"/>
  <c r="A21467" i="2"/>
  <c r="A21466" i="2"/>
  <c r="A21465" i="2"/>
  <c r="A21464" i="2"/>
  <c r="A21463" i="2"/>
  <c r="A21462" i="2"/>
  <c r="A21461" i="2"/>
  <c r="A21460" i="2"/>
  <c r="A21459" i="2"/>
  <c r="A21458" i="2"/>
  <c r="A21457" i="2"/>
  <c r="A21456" i="2"/>
  <c r="A21455" i="2"/>
  <c r="A21454" i="2"/>
  <c r="A21453" i="2"/>
  <c r="A21452" i="2"/>
  <c r="A21451" i="2"/>
  <c r="A21450" i="2"/>
  <c r="A21449" i="2"/>
  <c r="A21448" i="2"/>
  <c r="A21447" i="2"/>
  <c r="A21446" i="2"/>
  <c r="A21445" i="2"/>
  <c r="A21444" i="2"/>
  <c r="A21443" i="2"/>
  <c r="A21442" i="2"/>
  <c r="A21441" i="2"/>
  <c r="A21440" i="2"/>
  <c r="A21439" i="2"/>
  <c r="A21438" i="2"/>
  <c r="A21437" i="2"/>
  <c r="A21436" i="2"/>
  <c r="A21435" i="2"/>
  <c r="A21434" i="2"/>
  <c r="A21433" i="2"/>
  <c r="A21432" i="2"/>
  <c r="A21431" i="2"/>
  <c r="A21430" i="2"/>
  <c r="A21429" i="2"/>
  <c r="A21428" i="2"/>
  <c r="A21427" i="2"/>
  <c r="A21426" i="2"/>
  <c r="A21425" i="2"/>
  <c r="A21424" i="2"/>
  <c r="A21423" i="2"/>
  <c r="A21422" i="2"/>
  <c r="A21421" i="2"/>
  <c r="A21420" i="2"/>
  <c r="A21419" i="2"/>
  <c r="A21418" i="2"/>
  <c r="A21417" i="2"/>
  <c r="A21416" i="2"/>
  <c r="A21415" i="2"/>
  <c r="A21414" i="2"/>
  <c r="A21413" i="2"/>
  <c r="A21412" i="2"/>
  <c r="A21411" i="2"/>
  <c r="A21410" i="2"/>
  <c r="A21409" i="2"/>
  <c r="A21408" i="2"/>
  <c r="A21407" i="2"/>
  <c r="A21406" i="2"/>
  <c r="A21405" i="2"/>
  <c r="A21404" i="2"/>
  <c r="A21403" i="2"/>
  <c r="A21402" i="2"/>
  <c r="A21401" i="2"/>
  <c r="A21400" i="2"/>
  <c r="A21399" i="2"/>
  <c r="A21398" i="2"/>
  <c r="A21397" i="2"/>
  <c r="A21396" i="2"/>
  <c r="A21395" i="2"/>
  <c r="A21394" i="2"/>
  <c r="A21393" i="2"/>
  <c r="A21392" i="2"/>
  <c r="A21391" i="2"/>
  <c r="A21390" i="2"/>
  <c r="A21389" i="2"/>
  <c r="A21388" i="2"/>
  <c r="A21387" i="2"/>
  <c r="A21386" i="2"/>
  <c r="A21385" i="2"/>
  <c r="A21384" i="2"/>
  <c r="A21383" i="2"/>
  <c r="A21382" i="2"/>
  <c r="A21381" i="2"/>
  <c r="A21380" i="2"/>
  <c r="A21379" i="2"/>
  <c r="A21378" i="2"/>
  <c r="A21377" i="2"/>
  <c r="A21376" i="2"/>
  <c r="A21375" i="2"/>
  <c r="A21374" i="2"/>
  <c r="A21373" i="2"/>
  <c r="A21372" i="2"/>
  <c r="A21371" i="2"/>
  <c r="A21370" i="2"/>
  <c r="A21369" i="2"/>
  <c r="A21368" i="2"/>
  <c r="A21367" i="2"/>
  <c r="A21366" i="2"/>
  <c r="A21365" i="2"/>
  <c r="A21364" i="2"/>
  <c r="A21363" i="2"/>
  <c r="A21362" i="2"/>
  <c r="A21361" i="2"/>
  <c r="A21360" i="2"/>
  <c r="A21359" i="2"/>
  <c r="A21358" i="2"/>
  <c r="A21357" i="2"/>
  <c r="A21356" i="2"/>
  <c r="A21355" i="2"/>
  <c r="A21354" i="2"/>
  <c r="A21353" i="2"/>
  <c r="A21352" i="2"/>
  <c r="A21351" i="2"/>
  <c r="A21350" i="2"/>
  <c r="A21349" i="2"/>
  <c r="A21348" i="2"/>
  <c r="A21347" i="2"/>
  <c r="A21346" i="2"/>
  <c r="A21345" i="2"/>
  <c r="A21344" i="2"/>
  <c r="A21343" i="2"/>
  <c r="A21342" i="2"/>
  <c r="A21341" i="2"/>
  <c r="A21340" i="2"/>
  <c r="A21339" i="2"/>
  <c r="A21338" i="2"/>
  <c r="A21337" i="2"/>
  <c r="A21336" i="2"/>
  <c r="A21335" i="2"/>
  <c r="A21334" i="2"/>
  <c r="A21333" i="2"/>
  <c r="A21332" i="2"/>
  <c r="A21331" i="2"/>
  <c r="A21330" i="2"/>
  <c r="A21329" i="2"/>
  <c r="A21328" i="2"/>
  <c r="A21327" i="2"/>
  <c r="A21326" i="2"/>
  <c r="A21325" i="2"/>
  <c r="A21324" i="2"/>
  <c r="A21323" i="2"/>
  <c r="A21322" i="2"/>
  <c r="A21321" i="2"/>
  <c r="A21320" i="2"/>
  <c r="A21319" i="2"/>
  <c r="A21318" i="2"/>
  <c r="A21317" i="2"/>
  <c r="A21316" i="2"/>
  <c r="A21315" i="2"/>
  <c r="A21314" i="2"/>
  <c r="A21313" i="2"/>
  <c r="A21312" i="2"/>
  <c r="A21311" i="2"/>
  <c r="A21310" i="2"/>
  <c r="A21309" i="2"/>
  <c r="A21308" i="2"/>
  <c r="A21307" i="2"/>
  <c r="A21306" i="2"/>
  <c r="A21305" i="2"/>
  <c r="A21304" i="2"/>
  <c r="A21303" i="2"/>
  <c r="A21302" i="2"/>
  <c r="A21301" i="2"/>
  <c r="A21300" i="2"/>
  <c r="A21299" i="2"/>
  <c r="A21298" i="2"/>
  <c r="A21297" i="2"/>
  <c r="A21296" i="2"/>
  <c r="A21295" i="2"/>
  <c r="A21294" i="2"/>
  <c r="A21293" i="2"/>
  <c r="A21292" i="2"/>
  <c r="A21291" i="2"/>
  <c r="A21290" i="2"/>
  <c r="A21289" i="2"/>
  <c r="A21288" i="2"/>
  <c r="A21287" i="2"/>
  <c r="A21286" i="2"/>
  <c r="A21285" i="2"/>
  <c r="A21284" i="2"/>
  <c r="A21283" i="2"/>
  <c r="A21282" i="2"/>
  <c r="A21281" i="2"/>
  <c r="A21280" i="2"/>
  <c r="A21279" i="2"/>
  <c r="A21278" i="2"/>
  <c r="A21277" i="2"/>
  <c r="A21276" i="2"/>
  <c r="A21275" i="2"/>
  <c r="A21274" i="2"/>
  <c r="A21273" i="2"/>
  <c r="A21272" i="2"/>
  <c r="A21271" i="2"/>
  <c r="A21270" i="2"/>
  <c r="A21269" i="2"/>
  <c r="A21268" i="2"/>
  <c r="A21267" i="2"/>
  <c r="A21266" i="2"/>
  <c r="A21265" i="2"/>
  <c r="A21264" i="2"/>
  <c r="A21263" i="2"/>
  <c r="A21262" i="2"/>
  <c r="A21261" i="2"/>
  <c r="A21260" i="2"/>
  <c r="A21259" i="2"/>
  <c r="A21258" i="2"/>
  <c r="A21257" i="2"/>
  <c r="A21256" i="2"/>
  <c r="A21255" i="2"/>
  <c r="A21254" i="2"/>
  <c r="A21253" i="2"/>
  <c r="A21252" i="2"/>
  <c r="A21251" i="2"/>
  <c r="A21250" i="2"/>
  <c r="A21249" i="2"/>
  <c r="A21248" i="2"/>
  <c r="A21247" i="2"/>
  <c r="A21246" i="2"/>
  <c r="A21245" i="2"/>
  <c r="A21244" i="2"/>
  <c r="A21243" i="2"/>
  <c r="A21242" i="2"/>
  <c r="A21241" i="2"/>
  <c r="A21240" i="2"/>
  <c r="A21239" i="2"/>
  <c r="A21238" i="2"/>
  <c r="A21237" i="2"/>
  <c r="A21236" i="2"/>
  <c r="A21235" i="2"/>
  <c r="A21234" i="2"/>
  <c r="A21233" i="2"/>
  <c r="A21232" i="2"/>
  <c r="A21231" i="2"/>
  <c r="A21230" i="2"/>
  <c r="A21229" i="2"/>
  <c r="A21228" i="2"/>
  <c r="A21227" i="2"/>
  <c r="A21226" i="2"/>
  <c r="A21225" i="2"/>
  <c r="A21224" i="2"/>
  <c r="A21223" i="2"/>
  <c r="A21222" i="2"/>
  <c r="A21221" i="2"/>
  <c r="A21220" i="2"/>
  <c r="A21219" i="2"/>
  <c r="A21218" i="2"/>
  <c r="A21217" i="2"/>
  <c r="A21216" i="2"/>
  <c r="A21215" i="2"/>
  <c r="A21214" i="2"/>
  <c r="A21213" i="2"/>
  <c r="A21212" i="2"/>
  <c r="A21211" i="2"/>
  <c r="A21210" i="2"/>
  <c r="A21209" i="2"/>
  <c r="A21208" i="2"/>
  <c r="A21207" i="2"/>
  <c r="A21206" i="2"/>
  <c r="A21205" i="2"/>
  <c r="A21204" i="2"/>
  <c r="A21203" i="2"/>
  <c r="A21202" i="2"/>
  <c r="A21201" i="2"/>
  <c r="A21200" i="2"/>
  <c r="A21199" i="2"/>
  <c r="A21198" i="2"/>
  <c r="A21197" i="2"/>
  <c r="A21196" i="2"/>
  <c r="A21195" i="2"/>
  <c r="A21194" i="2"/>
  <c r="A21193" i="2"/>
  <c r="A21192" i="2"/>
  <c r="A21191" i="2"/>
  <c r="A21190" i="2"/>
  <c r="A21189" i="2"/>
  <c r="A21188" i="2"/>
  <c r="A21187" i="2"/>
  <c r="A21186" i="2"/>
  <c r="A21185" i="2"/>
  <c r="A21184" i="2"/>
  <c r="A21183" i="2"/>
  <c r="A21182" i="2"/>
  <c r="A21181" i="2"/>
  <c r="A21180" i="2"/>
  <c r="A21179" i="2"/>
  <c r="A21178" i="2"/>
  <c r="A21177" i="2"/>
  <c r="A21176" i="2"/>
  <c r="A21175" i="2"/>
  <c r="A21174" i="2"/>
  <c r="A21173" i="2"/>
  <c r="A21172" i="2"/>
  <c r="A21171" i="2"/>
  <c r="A21170" i="2"/>
  <c r="A21169" i="2"/>
  <c r="A21168" i="2"/>
  <c r="A21167" i="2"/>
  <c r="A21166" i="2"/>
  <c r="A21165" i="2"/>
  <c r="A21164" i="2"/>
  <c r="A21163" i="2"/>
  <c r="A21162" i="2"/>
  <c r="A21161" i="2"/>
  <c r="A21160" i="2"/>
  <c r="A21159" i="2"/>
  <c r="A21158" i="2"/>
  <c r="A21157" i="2"/>
  <c r="A21156" i="2"/>
  <c r="A21155" i="2"/>
  <c r="A21154" i="2"/>
  <c r="A21153" i="2"/>
  <c r="A21152" i="2"/>
  <c r="A21151" i="2"/>
  <c r="A21150" i="2"/>
  <c r="A21149" i="2"/>
  <c r="A21148" i="2"/>
  <c r="A21147" i="2"/>
  <c r="A21146" i="2"/>
  <c r="A21145" i="2"/>
  <c r="A21144" i="2"/>
  <c r="A21143" i="2"/>
  <c r="A21142" i="2"/>
  <c r="A21141" i="2"/>
  <c r="A21140" i="2"/>
  <c r="A21139" i="2"/>
  <c r="A21138" i="2"/>
  <c r="A21137" i="2"/>
  <c r="A21136" i="2"/>
  <c r="A21135" i="2"/>
  <c r="A21134" i="2"/>
  <c r="A21133" i="2"/>
  <c r="A21132" i="2"/>
  <c r="A21131" i="2"/>
  <c r="A21130" i="2"/>
  <c r="A21129" i="2"/>
  <c r="A21128" i="2"/>
  <c r="A21127" i="2"/>
  <c r="A21126" i="2"/>
  <c r="A21125" i="2"/>
  <c r="A21124" i="2"/>
  <c r="A21123" i="2"/>
  <c r="A21122" i="2"/>
  <c r="A21121" i="2"/>
  <c r="A21120" i="2"/>
  <c r="A21119" i="2"/>
  <c r="A21118" i="2"/>
  <c r="A21117" i="2"/>
  <c r="A21116" i="2"/>
  <c r="A21115" i="2"/>
  <c r="A21114" i="2"/>
  <c r="A21113" i="2"/>
  <c r="A21112" i="2"/>
  <c r="A21111" i="2"/>
  <c r="A21110" i="2"/>
  <c r="A21109" i="2"/>
  <c r="A21108" i="2"/>
  <c r="A21107" i="2"/>
  <c r="A21106" i="2"/>
  <c r="A21105" i="2"/>
  <c r="A21104" i="2"/>
  <c r="A21103" i="2"/>
  <c r="A21102" i="2"/>
  <c r="A21101" i="2"/>
  <c r="A21100" i="2"/>
  <c r="A21099" i="2"/>
  <c r="A21098" i="2"/>
  <c r="A21097" i="2"/>
  <c r="A21096" i="2"/>
  <c r="A21095" i="2"/>
  <c r="A21094" i="2"/>
  <c r="A21093" i="2"/>
  <c r="A21092" i="2"/>
  <c r="A21091" i="2"/>
  <c r="A21090" i="2"/>
  <c r="A21089" i="2"/>
  <c r="A21088" i="2"/>
  <c r="A21087" i="2"/>
  <c r="A21086" i="2"/>
  <c r="A21085" i="2"/>
  <c r="A21084" i="2"/>
  <c r="A21083" i="2"/>
  <c r="A21082" i="2"/>
  <c r="A21081" i="2"/>
  <c r="A21080" i="2"/>
  <c r="A21079" i="2"/>
  <c r="A21078" i="2"/>
  <c r="A21077" i="2"/>
  <c r="A21076" i="2"/>
  <c r="A21075" i="2"/>
  <c r="A21074" i="2"/>
  <c r="A21073" i="2"/>
  <c r="A21072" i="2"/>
  <c r="A21071" i="2"/>
  <c r="A21070" i="2"/>
  <c r="A21069" i="2"/>
  <c r="A21068" i="2"/>
  <c r="A21067" i="2"/>
  <c r="A21066" i="2"/>
  <c r="A21065" i="2"/>
  <c r="A21064" i="2"/>
  <c r="A21063" i="2"/>
  <c r="A21062" i="2"/>
  <c r="A21061" i="2"/>
  <c r="A21060" i="2"/>
  <c r="A21059" i="2"/>
  <c r="A21058" i="2"/>
  <c r="A21057" i="2"/>
  <c r="A21056" i="2"/>
  <c r="A21055" i="2"/>
  <c r="A21054" i="2"/>
  <c r="A21053" i="2"/>
  <c r="A21052" i="2"/>
  <c r="A21051" i="2"/>
  <c r="A21050" i="2"/>
  <c r="A21049" i="2"/>
  <c r="A21048" i="2"/>
  <c r="A21047" i="2"/>
  <c r="A21046" i="2"/>
  <c r="A21045" i="2"/>
  <c r="A21044" i="2"/>
  <c r="A21043" i="2"/>
  <c r="A21042" i="2"/>
  <c r="A21041" i="2"/>
  <c r="A21040" i="2"/>
  <c r="A21039" i="2"/>
  <c r="A21038" i="2"/>
  <c r="A21037" i="2"/>
  <c r="A21036" i="2"/>
  <c r="A21035" i="2"/>
  <c r="A21034" i="2"/>
  <c r="A21033" i="2"/>
  <c r="A21032" i="2"/>
  <c r="A21031" i="2"/>
  <c r="A21030" i="2"/>
  <c r="A21029" i="2"/>
  <c r="A21028" i="2"/>
  <c r="A21027" i="2"/>
  <c r="A21026" i="2"/>
  <c r="A21025" i="2"/>
  <c r="A21024" i="2"/>
  <c r="A21023" i="2"/>
  <c r="A21022" i="2"/>
  <c r="A21021" i="2"/>
  <c r="A21020" i="2"/>
  <c r="A21019" i="2"/>
  <c r="A21018" i="2"/>
  <c r="A21017" i="2"/>
  <c r="A21016" i="2"/>
  <c r="A21015" i="2"/>
  <c r="A21014" i="2"/>
  <c r="A21013" i="2"/>
  <c r="A21012" i="2"/>
  <c r="A21011" i="2"/>
  <c r="A21010" i="2"/>
  <c r="A21009" i="2"/>
  <c r="A21008" i="2"/>
  <c r="A21007" i="2"/>
  <c r="A21006" i="2"/>
  <c r="A21005" i="2"/>
  <c r="A21004" i="2"/>
  <c r="A21003" i="2"/>
  <c r="A21002" i="2"/>
  <c r="A21001" i="2"/>
  <c r="A21000" i="2"/>
  <c r="A20999" i="2"/>
  <c r="A20998" i="2"/>
  <c r="A20997" i="2"/>
  <c r="A20996" i="2"/>
  <c r="A20995" i="2"/>
  <c r="A20994" i="2"/>
  <c r="A20993" i="2"/>
  <c r="A20992" i="2"/>
  <c r="A20991" i="2"/>
  <c r="A20990" i="2"/>
  <c r="A20989" i="2"/>
  <c r="A20988" i="2"/>
  <c r="A20987" i="2"/>
  <c r="A20986" i="2"/>
  <c r="A20985" i="2"/>
  <c r="A20984" i="2"/>
  <c r="A20983" i="2"/>
  <c r="A20982" i="2"/>
  <c r="A20981" i="2"/>
  <c r="A20980" i="2"/>
  <c r="A20979" i="2"/>
  <c r="A20978" i="2"/>
  <c r="A20977" i="2"/>
  <c r="A20976" i="2"/>
  <c r="A20975" i="2"/>
  <c r="A20974" i="2"/>
  <c r="A20973" i="2"/>
  <c r="A20972" i="2"/>
  <c r="A20971" i="2"/>
  <c r="A20970" i="2"/>
  <c r="A20969" i="2"/>
  <c r="A20968" i="2"/>
  <c r="A20967" i="2"/>
  <c r="A20966" i="2"/>
  <c r="A20965" i="2"/>
  <c r="A20964" i="2"/>
  <c r="A20963" i="2"/>
  <c r="A20962" i="2"/>
  <c r="A20961" i="2"/>
  <c r="A20960" i="2"/>
  <c r="A20959" i="2"/>
  <c r="A20958" i="2"/>
  <c r="A20957" i="2"/>
  <c r="A20956" i="2"/>
  <c r="A20955" i="2"/>
  <c r="A20954" i="2"/>
  <c r="A20953" i="2"/>
  <c r="A20952" i="2"/>
  <c r="A20951" i="2"/>
  <c r="A20950" i="2"/>
  <c r="A20949" i="2"/>
  <c r="A20948" i="2"/>
  <c r="A20947" i="2"/>
  <c r="A20946" i="2"/>
  <c r="A20945" i="2"/>
  <c r="A20944" i="2"/>
  <c r="A20943" i="2"/>
  <c r="A20942" i="2"/>
  <c r="A20941" i="2"/>
  <c r="A20940" i="2"/>
  <c r="A20939" i="2"/>
  <c r="A20938" i="2"/>
  <c r="A20937" i="2"/>
  <c r="A20936" i="2"/>
  <c r="A20935" i="2"/>
  <c r="A20934" i="2"/>
  <c r="A20933" i="2"/>
  <c r="A20932" i="2"/>
  <c r="A20931" i="2"/>
  <c r="A20930" i="2"/>
  <c r="A20929" i="2"/>
  <c r="A20928" i="2"/>
  <c r="A20927" i="2"/>
  <c r="A20926" i="2"/>
  <c r="A20925" i="2"/>
  <c r="A20924" i="2"/>
  <c r="A20923" i="2"/>
  <c r="A20922" i="2"/>
  <c r="A20921" i="2"/>
  <c r="A20920" i="2"/>
  <c r="A20919" i="2"/>
  <c r="A20918" i="2"/>
  <c r="A20917" i="2"/>
  <c r="A20916" i="2"/>
  <c r="A20915" i="2"/>
  <c r="A20914" i="2"/>
  <c r="A20913" i="2"/>
  <c r="A20912" i="2"/>
  <c r="A20911" i="2"/>
  <c r="A20910" i="2"/>
  <c r="A20909" i="2"/>
  <c r="A20908" i="2"/>
  <c r="A20907" i="2"/>
  <c r="A20906" i="2"/>
  <c r="A20905" i="2"/>
  <c r="A20904" i="2"/>
  <c r="A20903" i="2"/>
  <c r="A20902" i="2"/>
  <c r="A20901" i="2"/>
  <c r="A20900" i="2"/>
  <c r="A20899" i="2"/>
  <c r="A20898" i="2"/>
  <c r="A20897" i="2"/>
  <c r="A20896" i="2"/>
  <c r="A20895" i="2"/>
  <c r="A20894" i="2"/>
  <c r="A20893" i="2"/>
  <c r="A20892" i="2"/>
  <c r="A20891" i="2"/>
  <c r="A20890" i="2"/>
  <c r="A20889" i="2"/>
  <c r="A20888" i="2"/>
  <c r="A20887" i="2"/>
  <c r="A20886" i="2"/>
  <c r="A20885" i="2"/>
  <c r="A20884" i="2"/>
  <c r="A20883" i="2"/>
  <c r="A20882" i="2"/>
  <c r="A20881" i="2"/>
  <c r="A20880" i="2"/>
  <c r="A20879" i="2"/>
  <c r="A20878" i="2"/>
  <c r="A20877" i="2"/>
  <c r="A20876" i="2"/>
  <c r="A20875" i="2"/>
  <c r="A20874" i="2"/>
  <c r="A20873" i="2"/>
  <c r="A20872" i="2"/>
  <c r="A20871" i="2"/>
  <c r="A20870" i="2"/>
  <c r="A20869" i="2"/>
  <c r="A20868" i="2"/>
  <c r="A20867" i="2"/>
  <c r="A20866" i="2"/>
  <c r="A20865" i="2"/>
  <c r="A20864" i="2"/>
  <c r="A20863" i="2"/>
  <c r="A20862" i="2"/>
  <c r="A20861" i="2"/>
  <c r="A20860" i="2"/>
  <c r="A20859" i="2"/>
  <c r="A20858" i="2"/>
  <c r="A20857" i="2"/>
  <c r="A20856" i="2"/>
  <c r="A20855" i="2"/>
  <c r="A20854" i="2"/>
  <c r="A20853" i="2"/>
  <c r="A20852" i="2"/>
  <c r="A20851" i="2"/>
  <c r="A20850" i="2"/>
  <c r="A20849" i="2"/>
  <c r="A20848" i="2"/>
  <c r="A20847" i="2"/>
  <c r="A20846" i="2"/>
  <c r="A20845" i="2"/>
  <c r="A20844" i="2"/>
  <c r="A20843" i="2"/>
  <c r="A20842" i="2"/>
  <c r="A20841" i="2"/>
  <c r="A20840" i="2"/>
  <c r="A20839" i="2"/>
  <c r="A20838" i="2"/>
  <c r="A20837" i="2"/>
  <c r="A20836" i="2"/>
  <c r="A20835" i="2"/>
  <c r="A20834" i="2"/>
  <c r="A20833" i="2"/>
  <c r="A20832" i="2"/>
  <c r="A20831" i="2"/>
  <c r="A20830" i="2"/>
  <c r="A20829" i="2"/>
  <c r="A20828" i="2"/>
  <c r="A20827" i="2"/>
  <c r="A20826" i="2"/>
  <c r="A20825" i="2"/>
  <c r="A20824" i="2"/>
  <c r="A20823" i="2"/>
  <c r="A20822" i="2"/>
  <c r="A20821" i="2"/>
  <c r="A20820" i="2"/>
  <c r="A20819" i="2"/>
  <c r="A20818" i="2"/>
  <c r="A20817" i="2"/>
  <c r="A20816" i="2"/>
  <c r="A20815" i="2"/>
  <c r="A20814" i="2"/>
  <c r="A20813" i="2"/>
  <c r="A20812" i="2"/>
  <c r="A20811" i="2"/>
  <c r="A20810" i="2"/>
  <c r="A20809" i="2"/>
  <c r="A20808" i="2"/>
  <c r="A20807" i="2"/>
  <c r="A20806" i="2"/>
  <c r="A20805" i="2"/>
  <c r="A20804" i="2"/>
  <c r="A20803" i="2"/>
  <c r="A20802" i="2"/>
  <c r="A20801" i="2"/>
  <c r="A20800" i="2"/>
  <c r="A20799" i="2"/>
  <c r="A20798" i="2"/>
  <c r="A20797" i="2"/>
  <c r="A20796" i="2"/>
  <c r="A20795" i="2"/>
  <c r="A20794" i="2"/>
  <c r="A20793" i="2"/>
  <c r="A20792" i="2"/>
  <c r="A20791" i="2"/>
  <c r="A20790" i="2"/>
  <c r="A20789" i="2"/>
  <c r="A20788" i="2"/>
  <c r="A20787" i="2"/>
  <c r="A20786" i="2"/>
  <c r="A20785" i="2"/>
  <c r="A20784" i="2"/>
  <c r="A20783" i="2"/>
  <c r="A20782" i="2"/>
  <c r="A20781" i="2"/>
  <c r="A20780" i="2"/>
  <c r="A20779" i="2"/>
  <c r="A20778" i="2"/>
  <c r="A20777" i="2"/>
  <c r="A20776" i="2"/>
  <c r="A20775" i="2"/>
  <c r="A20774" i="2"/>
  <c r="A20773" i="2"/>
  <c r="A20772" i="2"/>
  <c r="A20771" i="2"/>
  <c r="A20770" i="2"/>
  <c r="A20769" i="2"/>
  <c r="A20768" i="2"/>
  <c r="A20767" i="2"/>
  <c r="A20766" i="2"/>
  <c r="A20765" i="2"/>
  <c r="A20764" i="2"/>
  <c r="A20763" i="2"/>
  <c r="A20762" i="2"/>
  <c r="A20761" i="2"/>
  <c r="A20760" i="2"/>
  <c r="A20759" i="2"/>
  <c r="A20758" i="2"/>
  <c r="A20757" i="2"/>
  <c r="A20756" i="2"/>
  <c r="A20755" i="2"/>
  <c r="A20754" i="2"/>
  <c r="A20753" i="2"/>
  <c r="A20752" i="2"/>
  <c r="A20751" i="2"/>
  <c r="A20750" i="2"/>
  <c r="A20749" i="2"/>
  <c r="A20748" i="2"/>
  <c r="A20747" i="2"/>
  <c r="A20746" i="2"/>
  <c r="A20745" i="2"/>
  <c r="A20744" i="2"/>
  <c r="A20743" i="2"/>
  <c r="A20742" i="2"/>
  <c r="A20741" i="2"/>
  <c r="A20740" i="2"/>
  <c r="A20739" i="2"/>
  <c r="A20738" i="2"/>
  <c r="A20737" i="2"/>
  <c r="A20736" i="2"/>
  <c r="A20735" i="2"/>
  <c r="A20734" i="2"/>
  <c r="A20733" i="2"/>
  <c r="A20732" i="2"/>
  <c r="A20731" i="2"/>
  <c r="A20730" i="2"/>
  <c r="A20729" i="2"/>
  <c r="A20728" i="2"/>
  <c r="A20727" i="2"/>
  <c r="A20726" i="2"/>
  <c r="A20725" i="2"/>
  <c r="A20724" i="2"/>
  <c r="A20723" i="2"/>
  <c r="A20722" i="2"/>
  <c r="A20721" i="2"/>
  <c r="A20720" i="2"/>
  <c r="A20719" i="2"/>
  <c r="A20718" i="2"/>
  <c r="A20717" i="2"/>
  <c r="A20716" i="2"/>
  <c r="A20715" i="2"/>
  <c r="A20714" i="2"/>
  <c r="A20713" i="2"/>
  <c r="A20712" i="2"/>
  <c r="A20711" i="2"/>
  <c r="A20710" i="2"/>
  <c r="A20709" i="2"/>
  <c r="A20708" i="2"/>
  <c r="A20707" i="2"/>
  <c r="A20706" i="2"/>
  <c r="A20705" i="2"/>
  <c r="A20704" i="2"/>
  <c r="A20703" i="2"/>
  <c r="A20702" i="2"/>
  <c r="A20701" i="2"/>
  <c r="A20700" i="2"/>
  <c r="A20699" i="2"/>
  <c r="A20698" i="2"/>
  <c r="A20697" i="2"/>
  <c r="A20696" i="2"/>
  <c r="A20695" i="2"/>
  <c r="A20694" i="2"/>
  <c r="A20693" i="2"/>
  <c r="A20692" i="2"/>
  <c r="A20691" i="2"/>
  <c r="A20690" i="2"/>
  <c r="A20689" i="2"/>
  <c r="A20688" i="2"/>
  <c r="A20687" i="2"/>
  <c r="A20686" i="2"/>
  <c r="A20685" i="2"/>
  <c r="A20684" i="2"/>
  <c r="A20683" i="2"/>
  <c r="A20682" i="2"/>
  <c r="A20681" i="2"/>
  <c r="A20680" i="2"/>
  <c r="A20679" i="2"/>
  <c r="A20678" i="2"/>
  <c r="A20677" i="2"/>
  <c r="A20676" i="2"/>
  <c r="A20675" i="2"/>
  <c r="A20674" i="2"/>
  <c r="A20673" i="2"/>
  <c r="A20672" i="2"/>
  <c r="A20671" i="2"/>
  <c r="A20670" i="2"/>
  <c r="A20669" i="2"/>
  <c r="A20668" i="2"/>
  <c r="A20667" i="2"/>
  <c r="A20666" i="2"/>
  <c r="A20665" i="2"/>
  <c r="A20664" i="2"/>
  <c r="A20663" i="2"/>
  <c r="A20662" i="2"/>
  <c r="A20661" i="2"/>
  <c r="A20660" i="2"/>
  <c r="A20659" i="2"/>
  <c r="A20658" i="2"/>
  <c r="A20657" i="2"/>
  <c r="A20656" i="2"/>
  <c r="A20655" i="2"/>
  <c r="A20654" i="2"/>
  <c r="A20653" i="2"/>
  <c r="A20652" i="2"/>
  <c r="A20651" i="2"/>
  <c r="A20650" i="2"/>
  <c r="A20649" i="2"/>
  <c r="A20648" i="2"/>
  <c r="A20647" i="2"/>
  <c r="A20646" i="2"/>
  <c r="A20645" i="2"/>
  <c r="A20644" i="2"/>
  <c r="A20643" i="2"/>
  <c r="A20642" i="2"/>
  <c r="A20641" i="2"/>
  <c r="A20640" i="2"/>
  <c r="A20639" i="2"/>
  <c r="A20638" i="2"/>
  <c r="A20637" i="2"/>
  <c r="A20636" i="2"/>
  <c r="A20635" i="2"/>
  <c r="A20634" i="2"/>
  <c r="A20633" i="2"/>
  <c r="A20632" i="2"/>
  <c r="A20631" i="2"/>
  <c r="A20630" i="2"/>
  <c r="A20629" i="2"/>
  <c r="A20628" i="2"/>
  <c r="A20627" i="2"/>
  <c r="A20626" i="2"/>
  <c r="A20625" i="2"/>
  <c r="A20624" i="2"/>
  <c r="A20623" i="2"/>
  <c r="A20622" i="2"/>
  <c r="A20621" i="2"/>
  <c r="A20620" i="2"/>
  <c r="A20619" i="2"/>
  <c r="A20618" i="2"/>
  <c r="A20617" i="2"/>
  <c r="A20616" i="2"/>
  <c r="A20615" i="2"/>
  <c r="A20614" i="2"/>
  <c r="A20613" i="2"/>
  <c r="A20612" i="2"/>
  <c r="A20611" i="2"/>
  <c r="A20610" i="2"/>
  <c r="A20609" i="2"/>
  <c r="A20608" i="2"/>
  <c r="A20607" i="2"/>
  <c r="A20606" i="2"/>
  <c r="A20605" i="2"/>
  <c r="A20604" i="2"/>
  <c r="A20603" i="2"/>
  <c r="A20602" i="2"/>
  <c r="A20601" i="2"/>
  <c r="A20600" i="2"/>
  <c r="A20599" i="2"/>
  <c r="A20598" i="2"/>
  <c r="A20597" i="2"/>
  <c r="A20596" i="2"/>
  <c r="A20595" i="2"/>
  <c r="A20594" i="2"/>
  <c r="A20593" i="2"/>
  <c r="A20592" i="2"/>
  <c r="A20591" i="2"/>
  <c r="A20590" i="2"/>
  <c r="A20589" i="2"/>
  <c r="A20588" i="2"/>
  <c r="A20587" i="2"/>
  <c r="A20586" i="2"/>
  <c r="A20585" i="2"/>
  <c r="A20584" i="2"/>
  <c r="A20583" i="2"/>
  <c r="A20582" i="2"/>
  <c r="A20581" i="2"/>
  <c r="A20580" i="2"/>
  <c r="A20579" i="2"/>
  <c r="A20578" i="2"/>
  <c r="A20577" i="2"/>
  <c r="A20576" i="2"/>
  <c r="A20575" i="2"/>
  <c r="A20574" i="2"/>
  <c r="A20573" i="2"/>
  <c r="A20572" i="2"/>
  <c r="A20571" i="2"/>
  <c r="A20570" i="2"/>
  <c r="A20569" i="2"/>
  <c r="A20568" i="2"/>
  <c r="A20567" i="2"/>
  <c r="A20566" i="2"/>
  <c r="A20565" i="2"/>
  <c r="A20564" i="2"/>
  <c r="A20563" i="2"/>
  <c r="A20562" i="2"/>
  <c r="A20561" i="2"/>
  <c r="A20560" i="2"/>
  <c r="A20559" i="2"/>
  <c r="A20558" i="2"/>
  <c r="A20557" i="2"/>
  <c r="A20556" i="2"/>
  <c r="A20555" i="2"/>
  <c r="A20554" i="2"/>
  <c r="A20553" i="2"/>
  <c r="A20552" i="2"/>
  <c r="A20551" i="2"/>
  <c r="A20550" i="2"/>
  <c r="A20549" i="2"/>
  <c r="A20548" i="2"/>
  <c r="A20547" i="2"/>
  <c r="A20546" i="2"/>
  <c r="A20545" i="2"/>
  <c r="A20544" i="2"/>
  <c r="A20543" i="2"/>
  <c r="A20542" i="2"/>
  <c r="A20541" i="2"/>
  <c r="A20540" i="2"/>
  <c r="A20539" i="2"/>
  <c r="A20538" i="2"/>
  <c r="A20537" i="2"/>
  <c r="A20536" i="2"/>
  <c r="A20535" i="2"/>
  <c r="A20534" i="2"/>
  <c r="A20533" i="2"/>
  <c r="A20532" i="2"/>
  <c r="A20531" i="2"/>
  <c r="A20530" i="2"/>
  <c r="A20529" i="2"/>
  <c r="A20528" i="2"/>
  <c r="A20527" i="2"/>
  <c r="A20526" i="2"/>
  <c r="A20525" i="2"/>
  <c r="A20524" i="2"/>
  <c r="A20523" i="2"/>
  <c r="A20522" i="2"/>
  <c r="A20521" i="2"/>
  <c r="A20520" i="2"/>
  <c r="A20519" i="2"/>
  <c r="A20518" i="2"/>
  <c r="A20517" i="2"/>
  <c r="A20516" i="2"/>
  <c r="A20515" i="2"/>
  <c r="A20514" i="2"/>
  <c r="A20513" i="2"/>
  <c r="A20512" i="2"/>
  <c r="A20511" i="2"/>
  <c r="A20510" i="2"/>
  <c r="A20509" i="2"/>
  <c r="A20508" i="2"/>
  <c r="A20507" i="2"/>
  <c r="A20506" i="2"/>
  <c r="A20505" i="2"/>
  <c r="A20504" i="2"/>
  <c r="A20503" i="2"/>
  <c r="A20502" i="2"/>
  <c r="A20501" i="2"/>
  <c r="A20500" i="2"/>
  <c r="A20499" i="2"/>
  <c r="A20498" i="2"/>
  <c r="A20497" i="2"/>
  <c r="A20496" i="2"/>
  <c r="A20495" i="2"/>
  <c r="A20494" i="2"/>
  <c r="A20493" i="2"/>
  <c r="A20492" i="2"/>
  <c r="A20491" i="2"/>
  <c r="A20490" i="2"/>
  <c r="A20489" i="2"/>
  <c r="A20488" i="2"/>
  <c r="A20487" i="2"/>
  <c r="A20486" i="2"/>
  <c r="A20485" i="2"/>
  <c r="A20484" i="2"/>
  <c r="A20483" i="2"/>
  <c r="A20482" i="2"/>
  <c r="A20481" i="2"/>
  <c r="A20480" i="2"/>
  <c r="A20479" i="2"/>
  <c r="A20478" i="2"/>
  <c r="A20477" i="2"/>
  <c r="A20476" i="2"/>
  <c r="A20475" i="2"/>
  <c r="A20474" i="2"/>
  <c r="A20473" i="2"/>
  <c r="A20472" i="2"/>
  <c r="A20471" i="2"/>
  <c r="A20470" i="2"/>
  <c r="A20469" i="2"/>
  <c r="A20468" i="2"/>
  <c r="A20467" i="2"/>
  <c r="A20466" i="2"/>
  <c r="A20465" i="2"/>
  <c r="A20464" i="2"/>
  <c r="A20463" i="2"/>
  <c r="A20462" i="2"/>
  <c r="A20461" i="2"/>
  <c r="A20460" i="2"/>
  <c r="A20459" i="2"/>
  <c r="A20458" i="2"/>
  <c r="A20457" i="2"/>
  <c r="A20456" i="2"/>
  <c r="A20455" i="2"/>
  <c r="A20454" i="2"/>
  <c r="A20453" i="2"/>
  <c r="A20452" i="2"/>
  <c r="A20451" i="2"/>
  <c r="A20450" i="2"/>
  <c r="A20449" i="2"/>
  <c r="A20448" i="2"/>
  <c r="A20447" i="2"/>
  <c r="A20446" i="2"/>
  <c r="A20445" i="2"/>
  <c r="A20444" i="2"/>
  <c r="A20443" i="2"/>
  <c r="A20442" i="2"/>
  <c r="A20441" i="2"/>
  <c r="A20440" i="2"/>
  <c r="A20439" i="2"/>
  <c r="A20438" i="2"/>
  <c r="A20437" i="2"/>
  <c r="A20436" i="2"/>
  <c r="A20435" i="2"/>
  <c r="A20434" i="2"/>
  <c r="A20433" i="2"/>
  <c r="A20432" i="2"/>
  <c r="A20431" i="2"/>
  <c r="A20430" i="2"/>
  <c r="A20429" i="2"/>
  <c r="A20428" i="2"/>
  <c r="A20427" i="2"/>
  <c r="A20426" i="2"/>
  <c r="A20425" i="2"/>
  <c r="A20424" i="2"/>
  <c r="A20423" i="2"/>
  <c r="A20422" i="2"/>
  <c r="A20421" i="2"/>
  <c r="A20420" i="2"/>
  <c r="A20419" i="2"/>
  <c r="A20418" i="2"/>
  <c r="A20417" i="2"/>
  <c r="A20416" i="2"/>
  <c r="A20415" i="2"/>
  <c r="A20414" i="2"/>
  <c r="A20413" i="2"/>
  <c r="A20412" i="2"/>
  <c r="A20411" i="2"/>
  <c r="A20410" i="2"/>
  <c r="A20409" i="2"/>
  <c r="A20408" i="2"/>
  <c r="A20407" i="2"/>
  <c r="A20406" i="2"/>
  <c r="A20405" i="2"/>
  <c r="A20404" i="2"/>
  <c r="A20403" i="2"/>
  <c r="A20402" i="2"/>
  <c r="A20401" i="2"/>
  <c r="A20400" i="2"/>
  <c r="A20399" i="2"/>
  <c r="A20398" i="2"/>
  <c r="A20397" i="2"/>
  <c r="A20396" i="2"/>
  <c r="A20395" i="2"/>
  <c r="A20394" i="2"/>
  <c r="A20393" i="2"/>
  <c r="A20392" i="2"/>
  <c r="A20391" i="2"/>
  <c r="A20390" i="2"/>
  <c r="A20389" i="2"/>
  <c r="A20388" i="2"/>
  <c r="A20387" i="2"/>
  <c r="A20386" i="2"/>
  <c r="A20385" i="2"/>
  <c r="A20384" i="2"/>
  <c r="A20383" i="2"/>
  <c r="A20382" i="2"/>
  <c r="A20381" i="2"/>
  <c r="A20380" i="2"/>
  <c r="A20379" i="2"/>
  <c r="A20378" i="2"/>
  <c r="A20377" i="2"/>
  <c r="A20376" i="2"/>
  <c r="A20375" i="2"/>
  <c r="A20374" i="2"/>
  <c r="A20373" i="2"/>
  <c r="A20372" i="2"/>
  <c r="A20371" i="2"/>
  <c r="A20370" i="2"/>
  <c r="A20369" i="2"/>
  <c r="A20368" i="2"/>
  <c r="A20367" i="2"/>
  <c r="A20366" i="2"/>
  <c r="A20365" i="2"/>
  <c r="A20364" i="2"/>
  <c r="A20363" i="2"/>
  <c r="A20362" i="2"/>
  <c r="A20361" i="2"/>
  <c r="A20360" i="2"/>
  <c r="A20359" i="2"/>
  <c r="A20358" i="2"/>
  <c r="A20357" i="2"/>
  <c r="A20356" i="2"/>
  <c r="A20355" i="2"/>
  <c r="A20354" i="2"/>
  <c r="A20353" i="2"/>
  <c r="A20352" i="2"/>
  <c r="A20351" i="2"/>
  <c r="A20350" i="2"/>
  <c r="A20349" i="2"/>
  <c r="A20348" i="2"/>
  <c r="A20347" i="2"/>
  <c r="A20346" i="2"/>
  <c r="A20345" i="2"/>
  <c r="A20344" i="2"/>
  <c r="A20343" i="2"/>
  <c r="A20342" i="2"/>
  <c r="A20341" i="2"/>
  <c r="A20340" i="2"/>
  <c r="A20339" i="2"/>
  <c r="A20338" i="2"/>
  <c r="A20337" i="2"/>
  <c r="A20336" i="2"/>
  <c r="A20335" i="2"/>
  <c r="A20334" i="2"/>
  <c r="A20333" i="2"/>
  <c r="A20332" i="2"/>
  <c r="A20331" i="2"/>
  <c r="A20330" i="2"/>
  <c r="A20329" i="2"/>
  <c r="A20328" i="2"/>
  <c r="A20327" i="2"/>
  <c r="A20326" i="2"/>
  <c r="A20325" i="2"/>
  <c r="A20324" i="2"/>
  <c r="A20323" i="2"/>
  <c r="A20322" i="2"/>
  <c r="A20321" i="2"/>
  <c r="A20320" i="2"/>
  <c r="A20319" i="2"/>
  <c r="A20318" i="2"/>
  <c r="A20317" i="2"/>
  <c r="A20316" i="2"/>
  <c r="A20315" i="2"/>
  <c r="A20314" i="2"/>
  <c r="A20313" i="2"/>
  <c r="A20312" i="2"/>
  <c r="A20311" i="2"/>
  <c r="A20310" i="2"/>
  <c r="A20309" i="2"/>
  <c r="A20308" i="2"/>
  <c r="A20307" i="2"/>
  <c r="A20306" i="2"/>
  <c r="A20305" i="2"/>
  <c r="A20304" i="2"/>
  <c r="A20303" i="2"/>
  <c r="A20302" i="2"/>
  <c r="A20301" i="2"/>
  <c r="A20300" i="2"/>
  <c r="A20299" i="2"/>
  <c r="A20298" i="2"/>
  <c r="A20297" i="2"/>
  <c r="A20296" i="2"/>
  <c r="A20295" i="2"/>
  <c r="A20294" i="2"/>
  <c r="A20293" i="2"/>
  <c r="A20292" i="2"/>
  <c r="A20291" i="2"/>
  <c r="A20290" i="2"/>
  <c r="A20289" i="2"/>
  <c r="A20288" i="2"/>
  <c r="A20287" i="2"/>
  <c r="A20286" i="2"/>
  <c r="A20285" i="2"/>
  <c r="A20284" i="2"/>
  <c r="A20283" i="2"/>
  <c r="A20282" i="2"/>
  <c r="A20281" i="2"/>
  <c r="A20280" i="2"/>
  <c r="A20279" i="2"/>
  <c r="A20278" i="2"/>
  <c r="A20277" i="2"/>
  <c r="A20276" i="2"/>
  <c r="A20275" i="2"/>
  <c r="A20274" i="2"/>
  <c r="A20273" i="2"/>
  <c r="A20272" i="2"/>
  <c r="A20271" i="2"/>
  <c r="A20270" i="2"/>
  <c r="A20269" i="2"/>
  <c r="A20268" i="2"/>
  <c r="A20267" i="2"/>
  <c r="A20266" i="2"/>
  <c r="A20265" i="2"/>
  <c r="A20264" i="2"/>
  <c r="A20263" i="2"/>
  <c r="A20262" i="2"/>
  <c r="A20261" i="2"/>
  <c r="A20260" i="2"/>
  <c r="A20259" i="2"/>
  <c r="A20258" i="2"/>
  <c r="A20257" i="2"/>
  <c r="A20256" i="2"/>
  <c r="A20255" i="2"/>
  <c r="A20254" i="2"/>
  <c r="A20253" i="2"/>
  <c r="A20252" i="2"/>
  <c r="A20251" i="2"/>
  <c r="A20250" i="2"/>
  <c r="A20249" i="2"/>
  <c r="A20248" i="2"/>
  <c r="A20247" i="2"/>
  <c r="A20246" i="2"/>
  <c r="A20245" i="2"/>
  <c r="A20244" i="2"/>
  <c r="A20243" i="2"/>
  <c r="A20242" i="2"/>
  <c r="A20241" i="2"/>
  <c r="A20240" i="2"/>
  <c r="A20239" i="2"/>
  <c r="A20238" i="2"/>
  <c r="A20237" i="2"/>
  <c r="A20236" i="2"/>
  <c r="A20235" i="2"/>
  <c r="A20234" i="2"/>
  <c r="A20233" i="2"/>
  <c r="A20232" i="2"/>
  <c r="A20231" i="2"/>
  <c r="A20230" i="2"/>
  <c r="A20229" i="2"/>
  <c r="A20228" i="2"/>
  <c r="A20227" i="2"/>
  <c r="A20226" i="2"/>
  <c r="A20225" i="2"/>
  <c r="A20224" i="2"/>
  <c r="A20223" i="2"/>
  <c r="A20222" i="2"/>
  <c r="A20221" i="2"/>
  <c r="A20220" i="2"/>
  <c r="A20219" i="2"/>
  <c r="A20218" i="2"/>
  <c r="A20217" i="2"/>
  <c r="A20216" i="2"/>
  <c r="A20215" i="2"/>
  <c r="A20214" i="2"/>
  <c r="A20213" i="2"/>
  <c r="A20212" i="2"/>
  <c r="A20211" i="2"/>
  <c r="A20210" i="2"/>
  <c r="A20209" i="2"/>
  <c r="A20208" i="2"/>
  <c r="A20207" i="2"/>
  <c r="A20206" i="2"/>
  <c r="A20205" i="2"/>
  <c r="A20204" i="2"/>
  <c r="A20203" i="2"/>
  <c r="A20202" i="2"/>
  <c r="A20201" i="2"/>
  <c r="A20200" i="2"/>
  <c r="A20199" i="2"/>
  <c r="A20198" i="2"/>
  <c r="A20197" i="2"/>
  <c r="A20196" i="2"/>
  <c r="A20195" i="2"/>
  <c r="A20194" i="2"/>
  <c r="A20193" i="2"/>
  <c r="A20192" i="2"/>
  <c r="A20191" i="2"/>
  <c r="A20190" i="2"/>
  <c r="A20189" i="2"/>
  <c r="A20188" i="2"/>
  <c r="A20187" i="2"/>
  <c r="A20186" i="2"/>
  <c r="A20185" i="2"/>
  <c r="A20184" i="2"/>
  <c r="A20183" i="2"/>
  <c r="A20182" i="2"/>
  <c r="A20181" i="2"/>
  <c r="A20180" i="2"/>
  <c r="A20179" i="2"/>
  <c r="A20178" i="2"/>
  <c r="A20177" i="2"/>
  <c r="A20176" i="2"/>
  <c r="A20175" i="2"/>
  <c r="A20174" i="2"/>
  <c r="A20173" i="2"/>
  <c r="A20172" i="2"/>
  <c r="A20171" i="2"/>
  <c r="A20170" i="2"/>
  <c r="A20169" i="2"/>
  <c r="A20168" i="2"/>
  <c r="A20167" i="2"/>
  <c r="A20166" i="2"/>
  <c r="A20165" i="2"/>
  <c r="A20164" i="2"/>
  <c r="A20163" i="2"/>
  <c r="A20162" i="2"/>
  <c r="A20161" i="2"/>
  <c r="A20160" i="2"/>
  <c r="A20159" i="2"/>
  <c r="A20158" i="2"/>
  <c r="A20157" i="2"/>
  <c r="A20156" i="2"/>
  <c r="A20155" i="2"/>
  <c r="A20154" i="2"/>
  <c r="A20153" i="2"/>
  <c r="A20152" i="2"/>
  <c r="A20151" i="2"/>
  <c r="A20150" i="2"/>
  <c r="A20149" i="2"/>
  <c r="A20148" i="2"/>
  <c r="A20147" i="2"/>
  <c r="A20146" i="2"/>
  <c r="A20145" i="2"/>
  <c r="A20144" i="2"/>
  <c r="A20143" i="2"/>
  <c r="A20142" i="2"/>
  <c r="A20141" i="2"/>
  <c r="A20140" i="2"/>
  <c r="A20139" i="2"/>
  <c r="A20138" i="2"/>
  <c r="A20137" i="2"/>
  <c r="A20136" i="2"/>
  <c r="A20135" i="2"/>
  <c r="A20134" i="2"/>
  <c r="A20133" i="2"/>
  <c r="A20132" i="2"/>
  <c r="A20131" i="2"/>
  <c r="A20130" i="2"/>
  <c r="A20129" i="2"/>
  <c r="A20128" i="2"/>
  <c r="A20127" i="2"/>
  <c r="A20126" i="2"/>
  <c r="A20125" i="2"/>
  <c r="A20124" i="2"/>
  <c r="A20123" i="2"/>
  <c r="A20122" i="2"/>
  <c r="A20121" i="2"/>
  <c r="A20120" i="2"/>
  <c r="A20119" i="2"/>
  <c r="A20118" i="2"/>
  <c r="A20117" i="2"/>
  <c r="A20116" i="2"/>
  <c r="A20115" i="2"/>
  <c r="A20114" i="2"/>
  <c r="A20113" i="2"/>
  <c r="A20112" i="2"/>
  <c r="A20111" i="2"/>
  <c r="A20110" i="2"/>
  <c r="A20109" i="2"/>
  <c r="A20108" i="2"/>
  <c r="A20107" i="2"/>
  <c r="A20106" i="2"/>
  <c r="A20105" i="2"/>
  <c r="A20104" i="2"/>
  <c r="A20103" i="2"/>
  <c r="A20102" i="2"/>
  <c r="A20101" i="2"/>
  <c r="A20100" i="2"/>
  <c r="A20099" i="2"/>
  <c r="A20098" i="2"/>
  <c r="A20097" i="2"/>
  <c r="A20096" i="2"/>
  <c r="A20095" i="2"/>
  <c r="A20094" i="2"/>
  <c r="A20093" i="2"/>
  <c r="A20092" i="2"/>
  <c r="A20091" i="2"/>
  <c r="A20090" i="2"/>
  <c r="A20089" i="2"/>
  <c r="A20088" i="2"/>
  <c r="A20087" i="2"/>
  <c r="A20086" i="2"/>
  <c r="A20085" i="2"/>
  <c r="A20084" i="2"/>
  <c r="A20083" i="2"/>
  <c r="A20082" i="2"/>
  <c r="A20081" i="2"/>
  <c r="A20080" i="2"/>
  <c r="A20079" i="2"/>
  <c r="A20078" i="2"/>
  <c r="A20077" i="2"/>
  <c r="A20076" i="2"/>
  <c r="A20075" i="2"/>
  <c r="A20074" i="2"/>
  <c r="A20073" i="2"/>
  <c r="A20072" i="2"/>
  <c r="A20071" i="2"/>
  <c r="A20070" i="2"/>
  <c r="A20069" i="2"/>
  <c r="A20068" i="2"/>
  <c r="A20067" i="2"/>
  <c r="A20066" i="2"/>
  <c r="A20065" i="2"/>
  <c r="A20064" i="2"/>
  <c r="A20063" i="2"/>
  <c r="A20062" i="2"/>
  <c r="A20061" i="2"/>
  <c r="A20060" i="2"/>
  <c r="A20059" i="2"/>
  <c r="A20058" i="2"/>
  <c r="A20057" i="2"/>
  <c r="A20056" i="2"/>
  <c r="A20055" i="2"/>
  <c r="A20054" i="2"/>
  <c r="A20053" i="2"/>
  <c r="A20052" i="2"/>
  <c r="A20051" i="2"/>
  <c r="A20050" i="2"/>
  <c r="A20049" i="2"/>
  <c r="A20048" i="2"/>
  <c r="A20047" i="2"/>
  <c r="A20046" i="2"/>
  <c r="A20045" i="2"/>
  <c r="A20044" i="2"/>
  <c r="A20043" i="2"/>
  <c r="A20042" i="2"/>
  <c r="A20041" i="2"/>
  <c r="A20040" i="2"/>
  <c r="A20039" i="2"/>
  <c r="A20038" i="2"/>
  <c r="A20037" i="2"/>
  <c r="A20036" i="2"/>
  <c r="A20035" i="2"/>
  <c r="A20034" i="2"/>
  <c r="A20033" i="2"/>
  <c r="A20032" i="2"/>
  <c r="A20031" i="2"/>
  <c r="A20030" i="2"/>
  <c r="A20029" i="2"/>
  <c r="A20028" i="2"/>
  <c r="A20027" i="2"/>
  <c r="A20026" i="2"/>
  <c r="A20025" i="2"/>
  <c r="A20024" i="2"/>
  <c r="A20023" i="2"/>
  <c r="A20022" i="2"/>
  <c r="A20021" i="2"/>
  <c r="A20020" i="2"/>
  <c r="A20019" i="2"/>
  <c r="A20018" i="2"/>
  <c r="A20017" i="2"/>
  <c r="A20016" i="2"/>
  <c r="A20015" i="2"/>
  <c r="A20014" i="2"/>
  <c r="A20013" i="2"/>
  <c r="A20012" i="2"/>
  <c r="A20011" i="2"/>
  <c r="A20010" i="2"/>
  <c r="A20009" i="2"/>
  <c r="A20008" i="2"/>
  <c r="A20007" i="2"/>
  <c r="A20006" i="2"/>
  <c r="A20005" i="2"/>
  <c r="A20004" i="2"/>
  <c r="A20003" i="2"/>
  <c r="A20002" i="2"/>
  <c r="A20001" i="2"/>
  <c r="A20000" i="2"/>
  <c r="A19999" i="2"/>
  <c r="A19998" i="2"/>
  <c r="A19997" i="2"/>
  <c r="A19996" i="2"/>
  <c r="A19995" i="2"/>
  <c r="A19994" i="2"/>
  <c r="A19993" i="2"/>
  <c r="A19992" i="2"/>
  <c r="A19991" i="2"/>
  <c r="A19990" i="2"/>
  <c r="A19989" i="2"/>
  <c r="A19988" i="2"/>
  <c r="A19987" i="2"/>
  <c r="A19986" i="2"/>
  <c r="A19985" i="2"/>
  <c r="A19984" i="2"/>
  <c r="A19983" i="2"/>
  <c r="A19982" i="2"/>
  <c r="A19981" i="2"/>
  <c r="A19980" i="2"/>
  <c r="A19979" i="2"/>
  <c r="A19978" i="2"/>
  <c r="A19977" i="2"/>
  <c r="A19976" i="2"/>
  <c r="A19975" i="2"/>
  <c r="A19974" i="2"/>
  <c r="A19973" i="2"/>
  <c r="A19972" i="2"/>
  <c r="A19971" i="2"/>
  <c r="A19970" i="2"/>
  <c r="A19969" i="2"/>
  <c r="A19968" i="2"/>
  <c r="A19967" i="2"/>
  <c r="A19966" i="2"/>
  <c r="A19965" i="2"/>
  <c r="A19964" i="2"/>
  <c r="A19963" i="2"/>
  <c r="A19962" i="2"/>
  <c r="A19961" i="2"/>
  <c r="A19960" i="2"/>
  <c r="A19959" i="2"/>
  <c r="A19958" i="2"/>
  <c r="A19957" i="2"/>
  <c r="A19956" i="2"/>
  <c r="A19955" i="2"/>
  <c r="A19954" i="2"/>
  <c r="A19953" i="2"/>
  <c r="A19952" i="2"/>
  <c r="A19951" i="2"/>
  <c r="A19950" i="2"/>
  <c r="A19949" i="2"/>
  <c r="A19948" i="2"/>
  <c r="A19947" i="2"/>
  <c r="A19946" i="2"/>
  <c r="A19945" i="2"/>
  <c r="A19944" i="2"/>
  <c r="A19943" i="2"/>
  <c r="A19942" i="2"/>
  <c r="A19941" i="2"/>
  <c r="A19940" i="2"/>
  <c r="A19939" i="2"/>
  <c r="A19938" i="2"/>
  <c r="A19937" i="2"/>
  <c r="A19936" i="2"/>
  <c r="A19935" i="2"/>
  <c r="A19934" i="2"/>
  <c r="A19933" i="2"/>
  <c r="A19932" i="2"/>
  <c r="A19931" i="2"/>
  <c r="A19930" i="2"/>
  <c r="A19929" i="2"/>
  <c r="A19928" i="2"/>
  <c r="A19927" i="2"/>
  <c r="A19926" i="2"/>
  <c r="A19925" i="2"/>
  <c r="A19924" i="2"/>
  <c r="A19923" i="2"/>
  <c r="A19922" i="2"/>
  <c r="A19921" i="2"/>
  <c r="A19920" i="2"/>
  <c r="A19919" i="2"/>
  <c r="A19918" i="2"/>
  <c r="A19917" i="2"/>
  <c r="A19916" i="2"/>
  <c r="A19915" i="2"/>
  <c r="A19914" i="2"/>
  <c r="A19913" i="2"/>
  <c r="A19912" i="2"/>
  <c r="A19911" i="2"/>
  <c r="A19910" i="2"/>
  <c r="A19909" i="2"/>
  <c r="A19908" i="2"/>
  <c r="A19907" i="2"/>
  <c r="A19906" i="2"/>
  <c r="A19905" i="2"/>
  <c r="A19904" i="2"/>
  <c r="A19903" i="2"/>
  <c r="A19902" i="2"/>
  <c r="A19901" i="2"/>
  <c r="A19900" i="2"/>
  <c r="A19899" i="2"/>
  <c r="A19898" i="2"/>
  <c r="A19897" i="2"/>
  <c r="A19896" i="2"/>
  <c r="A19895" i="2"/>
  <c r="A19894" i="2"/>
  <c r="A19893" i="2"/>
  <c r="A19892" i="2"/>
  <c r="A19891" i="2"/>
  <c r="A19890" i="2"/>
  <c r="A19889" i="2"/>
  <c r="A19888" i="2"/>
  <c r="A19887" i="2"/>
  <c r="A19886" i="2"/>
  <c r="A19885" i="2"/>
  <c r="A19884" i="2"/>
  <c r="A19883" i="2"/>
  <c r="A19882" i="2"/>
  <c r="A19881" i="2"/>
  <c r="A19880" i="2"/>
  <c r="A19879" i="2"/>
  <c r="A19878" i="2"/>
  <c r="A19877" i="2"/>
  <c r="A19876" i="2"/>
  <c r="A19875" i="2"/>
  <c r="A19874" i="2"/>
  <c r="A19873" i="2"/>
  <c r="A19872" i="2"/>
  <c r="A19871" i="2"/>
  <c r="A19870" i="2"/>
  <c r="A19869" i="2"/>
  <c r="A19868" i="2"/>
  <c r="A19867" i="2"/>
  <c r="A19866" i="2"/>
  <c r="A19865" i="2"/>
  <c r="A19864" i="2"/>
  <c r="A19863" i="2"/>
  <c r="A19862" i="2"/>
  <c r="A19861" i="2"/>
  <c r="A19860" i="2"/>
  <c r="A19859" i="2"/>
  <c r="A19858" i="2"/>
  <c r="A19857" i="2"/>
  <c r="A19856" i="2"/>
  <c r="A19855" i="2"/>
  <c r="A19854" i="2"/>
  <c r="A19853" i="2"/>
  <c r="A19852" i="2"/>
  <c r="A19851" i="2"/>
  <c r="A19850" i="2"/>
  <c r="A19849" i="2"/>
  <c r="A19848" i="2"/>
  <c r="A19847" i="2"/>
  <c r="A19846" i="2"/>
  <c r="A19845" i="2"/>
  <c r="A19844" i="2"/>
  <c r="A19843" i="2"/>
  <c r="A19842" i="2"/>
  <c r="A19841" i="2"/>
  <c r="A19840" i="2"/>
  <c r="A19839" i="2"/>
  <c r="A19838" i="2"/>
  <c r="A19837" i="2"/>
  <c r="A19836" i="2"/>
  <c r="A19835" i="2"/>
  <c r="A19834" i="2"/>
  <c r="A19833" i="2"/>
  <c r="A19832" i="2"/>
  <c r="A19831" i="2"/>
  <c r="A19830" i="2"/>
  <c r="A19829" i="2"/>
  <c r="A19828" i="2"/>
  <c r="A19827" i="2"/>
  <c r="A19826" i="2"/>
  <c r="A19825" i="2"/>
  <c r="A19824" i="2"/>
  <c r="A19823" i="2"/>
  <c r="A19822" i="2"/>
  <c r="A19821" i="2"/>
  <c r="A19820" i="2"/>
  <c r="A19819" i="2"/>
  <c r="A19818" i="2"/>
  <c r="A19817" i="2"/>
  <c r="A19816" i="2"/>
  <c r="A19815" i="2"/>
  <c r="A19814" i="2"/>
  <c r="A19813" i="2"/>
  <c r="A19812" i="2"/>
  <c r="A19811" i="2"/>
  <c r="A19810" i="2"/>
  <c r="A19809" i="2"/>
  <c r="A19808" i="2"/>
  <c r="A19807" i="2"/>
  <c r="A19806" i="2"/>
  <c r="A19805" i="2"/>
  <c r="A19804" i="2"/>
  <c r="A19803" i="2"/>
  <c r="A19802" i="2"/>
  <c r="A19801" i="2"/>
  <c r="A19800" i="2"/>
  <c r="A19799" i="2"/>
  <c r="A19798" i="2"/>
  <c r="A19797" i="2"/>
  <c r="A19796" i="2"/>
  <c r="A19795" i="2"/>
  <c r="A19794" i="2"/>
  <c r="A19793" i="2"/>
  <c r="A19792" i="2"/>
  <c r="A19791" i="2"/>
  <c r="A19790" i="2"/>
  <c r="A19789" i="2"/>
  <c r="A19788" i="2"/>
  <c r="A19787" i="2"/>
  <c r="A19786" i="2"/>
  <c r="A19785" i="2"/>
  <c r="A19784" i="2"/>
  <c r="A19783" i="2"/>
  <c r="A19782" i="2"/>
  <c r="A19781" i="2"/>
  <c r="A19780" i="2"/>
  <c r="A19779" i="2"/>
  <c r="A19778" i="2"/>
  <c r="A19777" i="2"/>
  <c r="A19776" i="2"/>
  <c r="A19775" i="2"/>
  <c r="A19774" i="2"/>
  <c r="A19773" i="2"/>
  <c r="A19772" i="2"/>
  <c r="A19771" i="2"/>
  <c r="A19770" i="2"/>
  <c r="A19769" i="2"/>
  <c r="A19768" i="2"/>
  <c r="A19767" i="2"/>
  <c r="A19766" i="2"/>
  <c r="A19765" i="2"/>
  <c r="A19764" i="2"/>
  <c r="A19763" i="2"/>
  <c r="A19762" i="2"/>
  <c r="A19761" i="2"/>
  <c r="A19760" i="2"/>
  <c r="A19759" i="2"/>
  <c r="A19758" i="2"/>
  <c r="A19757" i="2"/>
  <c r="A19756" i="2"/>
  <c r="A19755" i="2"/>
  <c r="A19754" i="2"/>
  <c r="A19753" i="2"/>
  <c r="A19752" i="2"/>
  <c r="A19751" i="2"/>
  <c r="A19750" i="2"/>
  <c r="A19749" i="2"/>
  <c r="A19748" i="2"/>
  <c r="A19747" i="2"/>
  <c r="A19746" i="2"/>
  <c r="A19745" i="2"/>
  <c r="A19744" i="2"/>
  <c r="A19743" i="2"/>
  <c r="A19742" i="2"/>
  <c r="A19741" i="2"/>
  <c r="A19740" i="2"/>
  <c r="A19739" i="2"/>
  <c r="A19738" i="2"/>
  <c r="A19737" i="2"/>
  <c r="A19736" i="2"/>
  <c r="A19735" i="2"/>
  <c r="A19734" i="2"/>
  <c r="A19733" i="2"/>
  <c r="A19732" i="2"/>
  <c r="A19731" i="2"/>
  <c r="A19730" i="2"/>
  <c r="A19729" i="2"/>
  <c r="A19728" i="2"/>
  <c r="A19727" i="2"/>
  <c r="A19726" i="2"/>
  <c r="A19725" i="2"/>
  <c r="A19724" i="2"/>
  <c r="A19723" i="2"/>
  <c r="A19722" i="2"/>
  <c r="A19721" i="2"/>
  <c r="A19720" i="2"/>
  <c r="A19719" i="2"/>
  <c r="A19718" i="2"/>
  <c r="A19717" i="2"/>
  <c r="A19716" i="2"/>
  <c r="A19715" i="2"/>
  <c r="A19714" i="2"/>
  <c r="A19713" i="2"/>
  <c r="A19712" i="2"/>
  <c r="A19711" i="2"/>
  <c r="A19710" i="2"/>
  <c r="A19709" i="2"/>
  <c r="A19708" i="2"/>
  <c r="A19707" i="2"/>
  <c r="A19706" i="2"/>
  <c r="A19705" i="2"/>
  <c r="A19704" i="2"/>
  <c r="A19703" i="2"/>
  <c r="A19702" i="2"/>
  <c r="A19701" i="2"/>
  <c r="A19700" i="2"/>
  <c r="A19699" i="2"/>
  <c r="A19698" i="2"/>
  <c r="A19697" i="2"/>
  <c r="A19696" i="2"/>
  <c r="A19695" i="2"/>
  <c r="A19694" i="2"/>
  <c r="A19693" i="2"/>
  <c r="A19692" i="2"/>
  <c r="A19691" i="2"/>
  <c r="A19690" i="2"/>
  <c r="A19689" i="2"/>
  <c r="A19688" i="2"/>
  <c r="A19687" i="2"/>
  <c r="A19686" i="2"/>
  <c r="A19685" i="2"/>
  <c r="A19684" i="2"/>
  <c r="A19683" i="2"/>
  <c r="A19682" i="2"/>
  <c r="A19681" i="2"/>
  <c r="A19680" i="2"/>
  <c r="A19679" i="2"/>
  <c r="A19678" i="2"/>
  <c r="A19677" i="2"/>
  <c r="A19676" i="2"/>
  <c r="A19675" i="2"/>
  <c r="A19674" i="2"/>
  <c r="A19673" i="2"/>
  <c r="A19672" i="2"/>
  <c r="A19671" i="2"/>
  <c r="A19670" i="2"/>
  <c r="A19669" i="2"/>
  <c r="A19668" i="2"/>
  <c r="A19667" i="2"/>
  <c r="A19666" i="2"/>
  <c r="A19665" i="2"/>
  <c r="A19664" i="2"/>
  <c r="A19663" i="2"/>
  <c r="A19662" i="2"/>
  <c r="A19661" i="2"/>
  <c r="A19660" i="2"/>
  <c r="A19659" i="2"/>
  <c r="A19658" i="2"/>
  <c r="A19657" i="2"/>
  <c r="A19656" i="2"/>
  <c r="A19655" i="2"/>
  <c r="A19654" i="2"/>
  <c r="A19653" i="2"/>
  <c r="A19652" i="2"/>
  <c r="A19651" i="2"/>
  <c r="A19650" i="2"/>
  <c r="A19649" i="2"/>
  <c r="A19648" i="2"/>
  <c r="A19647" i="2"/>
  <c r="A19646" i="2"/>
  <c r="A19645" i="2"/>
  <c r="A19644" i="2"/>
  <c r="A19643" i="2"/>
  <c r="A19642" i="2"/>
  <c r="A19641" i="2"/>
  <c r="A19640" i="2"/>
  <c r="A19639" i="2"/>
  <c r="A19638" i="2"/>
  <c r="A19637" i="2"/>
  <c r="A19636" i="2"/>
  <c r="A19635" i="2"/>
  <c r="A19634" i="2"/>
  <c r="A19633" i="2"/>
  <c r="A19632" i="2"/>
  <c r="A19631" i="2"/>
  <c r="A19630" i="2"/>
  <c r="A19629" i="2"/>
  <c r="A19628" i="2"/>
  <c r="A19627" i="2"/>
  <c r="A19626" i="2"/>
  <c r="A19625" i="2"/>
  <c r="A19624" i="2"/>
  <c r="A19623" i="2"/>
  <c r="A19622" i="2"/>
  <c r="A19621" i="2"/>
  <c r="A19620" i="2"/>
  <c r="A19619" i="2"/>
  <c r="A19618" i="2"/>
  <c r="A19617" i="2"/>
  <c r="A19616" i="2"/>
  <c r="A19615" i="2"/>
  <c r="A19614" i="2"/>
  <c r="A19613" i="2"/>
  <c r="A19612" i="2"/>
  <c r="A19611" i="2"/>
  <c r="A19610" i="2"/>
  <c r="A19609" i="2"/>
  <c r="A19608" i="2"/>
  <c r="A19607" i="2"/>
  <c r="A19606" i="2"/>
  <c r="A19605" i="2"/>
  <c r="A19604" i="2"/>
  <c r="A19603" i="2"/>
  <c r="A19602" i="2"/>
  <c r="A19601" i="2"/>
  <c r="A19600" i="2"/>
  <c r="A19599" i="2"/>
  <c r="A19598" i="2"/>
  <c r="A19597" i="2"/>
  <c r="A19596" i="2"/>
  <c r="A19595" i="2"/>
  <c r="A19594" i="2"/>
  <c r="A19593" i="2"/>
  <c r="A19592" i="2"/>
  <c r="A19591" i="2"/>
  <c r="A19590" i="2"/>
  <c r="A19589" i="2"/>
  <c r="A19588" i="2"/>
  <c r="A19587" i="2"/>
  <c r="A19586" i="2"/>
  <c r="A19585" i="2"/>
  <c r="A19584" i="2"/>
  <c r="A19583" i="2"/>
  <c r="A19582" i="2"/>
  <c r="A19581" i="2"/>
  <c r="A19580" i="2"/>
  <c r="A19579" i="2"/>
  <c r="A19578" i="2"/>
  <c r="A19577" i="2"/>
  <c r="A19576" i="2"/>
  <c r="A19575" i="2"/>
  <c r="A19574" i="2"/>
  <c r="A19573" i="2"/>
  <c r="A19572" i="2"/>
  <c r="A19571" i="2"/>
  <c r="A19570" i="2"/>
  <c r="A19569" i="2"/>
  <c r="A19568" i="2"/>
  <c r="A19567" i="2"/>
  <c r="A19566" i="2"/>
  <c r="A19565" i="2"/>
  <c r="A19564" i="2"/>
  <c r="A19563" i="2"/>
  <c r="A19562" i="2"/>
  <c r="A19561" i="2"/>
  <c r="A19560" i="2"/>
  <c r="A19559" i="2"/>
  <c r="A19558" i="2"/>
  <c r="A19557" i="2"/>
  <c r="A19556" i="2"/>
  <c r="A19555" i="2"/>
  <c r="A19554" i="2"/>
  <c r="A19553" i="2"/>
  <c r="A19552" i="2"/>
  <c r="A19551" i="2"/>
  <c r="A19550" i="2"/>
  <c r="A19549" i="2"/>
  <c r="A19548" i="2"/>
  <c r="A19547" i="2"/>
  <c r="A19546" i="2"/>
  <c r="A19545" i="2"/>
  <c r="A19544" i="2"/>
  <c r="A19543" i="2"/>
  <c r="A19542" i="2"/>
  <c r="A19541" i="2"/>
  <c r="A19540" i="2"/>
  <c r="A19539" i="2"/>
  <c r="A19538" i="2"/>
  <c r="A19537" i="2"/>
  <c r="A19536" i="2"/>
  <c r="A19535" i="2"/>
  <c r="A19534" i="2"/>
  <c r="A19533" i="2"/>
  <c r="A19532" i="2"/>
  <c r="A19531" i="2"/>
  <c r="A19530" i="2"/>
  <c r="A19529" i="2"/>
  <c r="A19528" i="2"/>
  <c r="A19527" i="2"/>
  <c r="A19526" i="2"/>
  <c r="A19525" i="2"/>
  <c r="A19524" i="2"/>
  <c r="A19523" i="2"/>
  <c r="A19522" i="2"/>
  <c r="A19521" i="2"/>
  <c r="A19520" i="2"/>
  <c r="A19519" i="2"/>
  <c r="A19518" i="2"/>
  <c r="A19517" i="2"/>
  <c r="A19516" i="2"/>
  <c r="A19515" i="2"/>
  <c r="A19514" i="2"/>
  <c r="A19513" i="2"/>
  <c r="A19512" i="2"/>
  <c r="A19511" i="2"/>
  <c r="A19510" i="2"/>
  <c r="A19509" i="2"/>
  <c r="A19508" i="2"/>
  <c r="A19507" i="2"/>
  <c r="A19506" i="2"/>
  <c r="A19505" i="2"/>
  <c r="A19504" i="2"/>
  <c r="A19503" i="2"/>
  <c r="A19502" i="2"/>
  <c r="A19501" i="2"/>
  <c r="A19500" i="2"/>
  <c r="A19499" i="2"/>
  <c r="A19498" i="2"/>
  <c r="A19497" i="2"/>
  <c r="A19496" i="2"/>
  <c r="A19495" i="2"/>
  <c r="A19494" i="2"/>
  <c r="A19493" i="2"/>
  <c r="A19492" i="2"/>
  <c r="A19491" i="2"/>
  <c r="A19490" i="2"/>
  <c r="A19489" i="2"/>
  <c r="A19488" i="2"/>
  <c r="A19487" i="2"/>
  <c r="A19486" i="2"/>
  <c r="A19485" i="2"/>
  <c r="A19484" i="2"/>
  <c r="A19483" i="2"/>
  <c r="A19482" i="2"/>
  <c r="A19481" i="2"/>
  <c r="A19480" i="2"/>
  <c r="A19479" i="2"/>
  <c r="A19478" i="2"/>
  <c r="A19477" i="2"/>
  <c r="A19476" i="2"/>
  <c r="A19475" i="2"/>
  <c r="A19474" i="2"/>
  <c r="A19473" i="2"/>
  <c r="A19472" i="2"/>
  <c r="A19471" i="2"/>
  <c r="A19470" i="2"/>
  <c r="A19469" i="2"/>
  <c r="A19468" i="2"/>
  <c r="A19467" i="2"/>
  <c r="A19466" i="2"/>
  <c r="A19465" i="2"/>
  <c r="A19464" i="2"/>
  <c r="A19463" i="2"/>
  <c r="A19462" i="2"/>
  <c r="A19461" i="2"/>
  <c r="A19460" i="2"/>
  <c r="A19459" i="2"/>
  <c r="A19458" i="2"/>
  <c r="A19457" i="2"/>
  <c r="A19456" i="2"/>
  <c r="A19455" i="2"/>
  <c r="A19454" i="2"/>
  <c r="A19453" i="2"/>
  <c r="A19452" i="2"/>
  <c r="A19451" i="2"/>
  <c r="A19450" i="2"/>
  <c r="A19449" i="2"/>
  <c r="A19448" i="2"/>
  <c r="A19447" i="2"/>
  <c r="A19446" i="2"/>
  <c r="A19445" i="2"/>
  <c r="A19444" i="2"/>
  <c r="A19443" i="2"/>
  <c r="A19442" i="2"/>
  <c r="A19441" i="2"/>
  <c r="A19440" i="2"/>
  <c r="A19439" i="2"/>
  <c r="A19438" i="2"/>
  <c r="A19437" i="2"/>
  <c r="A19436" i="2"/>
  <c r="A19435" i="2"/>
  <c r="A19434" i="2"/>
  <c r="A19433" i="2"/>
  <c r="A19432" i="2"/>
  <c r="A19431" i="2"/>
  <c r="A19430" i="2"/>
  <c r="A19429" i="2"/>
  <c r="A19428" i="2"/>
  <c r="A19427" i="2"/>
  <c r="A19426" i="2"/>
  <c r="A19425" i="2"/>
  <c r="A19424" i="2"/>
  <c r="A19423" i="2"/>
  <c r="A19422" i="2"/>
  <c r="A19421" i="2"/>
  <c r="A19420" i="2"/>
  <c r="A19419" i="2"/>
  <c r="A19418" i="2"/>
  <c r="A19417" i="2"/>
  <c r="A19416" i="2"/>
  <c r="A19415" i="2"/>
  <c r="A19414" i="2"/>
  <c r="A19413" i="2"/>
  <c r="A19412" i="2"/>
  <c r="A19411" i="2"/>
  <c r="A19410" i="2"/>
  <c r="A19409" i="2"/>
  <c r="A19408" i="2"/>
  <c r="A19407" i="2"/>
  <c r="A19406" i="2"/>
  <c r="A19405" i="2"/>
  <c r="A19404" i="2"/>
  <c r="A19403" i="2"/>
  <c r="A19402" i="2"/>
  <c r="A19401" i="2"/>
  <c r="A19400" i="2"/>
  <c r="A19399" i="2"/>
  <c r="A19398" i="2"/>
  <c r="A19397" i="2"/>
  <c r="A19396" i="2"/>
  <c r="A19395" i="2"/>
  <c r="A19394" i="2"/>
  <c r="A19393" i="2"/>
  <c r="A19392" i="2"/>
  <c r="A19391" i="2"/>
  <c r="A19390" i="2"/>
  <c r="A19389" i="2"/>
  <c r="A19388" i="2"/>
  <c r="A19387" i="2"/>
  <c r="A19386" i="2"/>
  <c r="A19385" i="2"/>
  <c r="A19384" i="2"/>
  <c r="A19383" i="2"/>
  <c r="A19382" i="2"/>
  <c r="A19381" i="2"/>
  <c r="A19380" i="2"/>
  <c r="A19379" i="2"/>
  <c r="A19378" i="2"/>
  <c r="A19377" i="2"/>
  <c r="A19376" i="2"/>
  <c r="A19375" i="2"/>
  <c r="A19374" i="2"/>
  <c r="A19373" i="2"/>
  <c r="A19372" i="2"/>
  <c r="A19371" i="2"/>
  <c r="A19370" i="2"/>
  <c r="A19369" i="2"/>
  <c r="A19368" i="2"/>
  <c r="A19367" i="2"/>
  <c r="A19366" i="2"/>
  <c r="A19365" i="2"/>
  <c r="A19364" i="2"/>
  <c r="A19363" i="2"/>
  <c r="A19362" i="2"/>
  <c r="A19361" i="2"/>
  <c r="A19360" i="2"/>
  <c r="A19359" i="2"/>
  <c r="A19358" i="2"/>
  <c r="A19357" i="2"/>
  <c r="A19356" i="2"/>
  <c r="A19355" i="2"/>
  <c r="A19354" i="2"/>
  <c r="A19353" i="2"/>
  <c r="A19352" i="2"/>
  <c r="A19351" i="2"/>
  <c r="A19350" i="2"/>
  <c r="A19349" i="2"/>
  <c r="A19348" i="2"/>
  <c r="A19347" i="2"/>
  <c r="A19346" i="2"/>
  <c r="A19345" i="2"/>
  <c r="A19344" i="2"/>
  <c r="A19343" i="2"/>
  <c r="A19342" i="2"/>
  <c r="A19341" i="2"/>
  <c r="A19340" i="2"/>
  <c r="A19339" i="2"/>
  <c r="A19338" i="2"/>
  <c r="A19337" i="2"/>
  <c r="A19336" i="2"/>
  <c r="A19335" i="2"/>
  <c r="A19334" i="2"/>
  <c r="A19333" i="2"/>
  <c r="A19332" i="2"/>
  <c r="A19331" i="2"/>
  <c r="A19330" i="2"/>
  <c r="A19329" i="2"/>
  <c r="A19328" i="2"/>
  <c r="A19327" i="2"/>
  <c r="A19326" i="2"/>
  <c r="A19325" i="2"/>
  <c r="A19324" i="2"/>
  <c r="A19323" i="2"/>
  <c r="A19322" i="2"/>
  <c r="A19321" i="2"/>
  <c r="A19320" i="2"/>
  <c r="A19319" i="2"/>
  <c r="A19318" i="2"/>
  <c r="A19317" i="2"/>
  <c r="A19316" i="2"/>
  <c r="A19315" i="2"/>
  <c r="A19314" i="2"/>
  <c r="A19313" i="2"/>
  <c r="A19312" i="2"/>
  <c r="A19311" i="2"/>
  <c r="A19310" i="2"/>
  <c r="A19309" i="2"/>
  <c r="A19308" i="2"/>
  <c r="A19307" i="2"/>
  <c r="A19306" i="2"/>
  <c r="A19305" i="2"/>
  <c r="A19304" i="2"/>
  <c r="A19303" i="2"/>
  <c r="A19302" i="2"/>
  <c r="A19301" i="2"/>
  <c r="A19300" i="2"/>
  <c r="A19299" i="2"/>
  <c r="A19298" i="2"/>
  <c r="A19297" i="2"/>
  <c r="A19296" i="2"/>
  <c r="A19295" i="2"/>
  <c r="A19294" i="2"/>
  <c r="A19293" i="2"/>
  <c r="A19292" i="2"/>
  <c r="A19291" i="2"/>
  <c r="A19290" i="2"/>
  <c r="A19289" i="2"/>
  <c r="A19288" i="2"/>
  <c r="A19287" i="2"/>
  <c r="A19286" i="2"/>
  <c r="A19285" i="2"/>
  <c r="A19284" i="2"/>
  <c r="A19283" i="2"/>
  <c r="A19282" i="2"/>
  <c r="A19281" i="2"/>
  <c r="A19280" i="2"/>
  <c r="A19279" i="2"/>
  <c r="A19278" i="2"/>
  <c r="A19277" i="2"/>
  <c r="A19276" i="2"/>
  <c r="A19275" i="2"/>
  <c r="A19274" i="2"/>
  <c r="A19273" i="2"/>
  <c r="A19272" i="2"/>
  <c r="A19271" i="2"/>
  <c r="A19270" i="2"/>
  <c r="A19269" i="2"/>
  <c r="A19268" i="2"/>
  <c r="A19267" i="2"/>
  <c r="A19266" i="2"/>
  <c r="A19265" i="2"/>
  <c r="A19264" i="2"/>
  <c r="A19263" i="2"/>
  <c r="A19262" i="2"/>
  <c r="A19261" i="2"/>
  <c r="A19260" i="2"/>
  <c r="A19259" i="2"/>
  <c r="A19258" i="2"/>
  <c r="A19257" i="2"/>
  <c r="A19256" i="2"/>
  <c r="A19255" i="2"/>
  <c r="A19254" i="2"/>
  <c r="A19253" i="2"/>
  <c r="A19252" i="2"/>
  <c r="A19251" i="2"/>
  <c r="A19250" i="2"/>
  <c r="A19249" i="2"/>
  <c r="A19248" i="2"/>
  <c r="A19247" i="2"/>
  <c r="A19246" i="2"/>
  <c r="A19245" i="2"/>
  <c r="A19244" i="2"/>
  <c r="A19243" i="2"/>
  <c r="A19242" i="2"/>
  <c r="A19241" i="2"/>
  <c r="A19240" i="2"/>
  <c r="A19239" i="2"/>
  <c r="A19238" i="2"/>
  <c r="A19237" i="2"/>
  <c r="A19236" i="2"/>
  <c r="A19235" i="2"/>
  <c r="A19234" i="2"/>
  <c r="A19233" i="2"/>
  <c r="A19232" i="2"/>
  <c r="A19231" i="2"/>
  <c r="A19230" i="2"/>
  <c r="A19229" i="2"/>
  <c r="A19228" i="2"/>
  <c r="A19227" i="2"/>
  <c r="A19226" i="2"/>
  <c r="A19225" i="2"/>
  <c r="A19224" i="2"/>
  <c r="A19223" i="2"/>
  <c r="A19222" i="2"/>
  <c r="A19221" i="2"/>
  <c r="A19220" i="2"/>
  <c r="A19219" i="2"/>
  <c r="A19218" i="2"/>
  <c r="A19217" i="2"/>
  <c r="A19216" i="2"/>
  <c r="A19215" i="2"/>
  <c r="A19214" i="2"/>
  <c r="A19213" i="2"/>
  <c r="A19212" i="2"/>
  <c r="A19211" i="2"/>
  <c r="A19210" i="2"/>
  <c r="A19209" i="2"/>
  <c r="A19208" i="2"/>
  <c r="A19207" i="2"/>
  <c r="A19206" i="2"/>
  <c r="A19205" i="2"/>
  <c r="A19204" i="2"/>
  <c r="A19203" i="2"/>
  <c r="A19202" i="2"/>
  <c r="A19201" i="2"/>
  <c r="A19200" i="2"/>
  <c r="A19199" i="2"/>
  <c r="A19198" i="2"/>
  <c r="A19197" i="2"/>
  <c r="A19196" i="2"/>
  <c r="A19195" i="2"/>
  <c r="A19194" i="2"/>
  <c r="A19193" i="2"/>
  <c r="A19192" i="2"/>
  <c r="A19191" i="2"/>
  <c r="A19190" i="2"/>
  <c r="A19189" i="2"/>
  <c r="A19188" i="2"/>
  <c r="A19187" i="2"/>
  <c r="A19186" i="2"/>
  <c r="A19185" i="2"/>
  <c r="A19184" i="2"/>
  <c r="A19183" i="2"/>
  <c r="A19182" i="2"/>
  <c r="A19181" i="2"/>
  <c r="A19180" i="2"/>
  <c r="A19179" i="2"/>
  <c r="A19178" i="2"/>
  <c r="A19177" i="2"/>
  <c r="A19176" i="2"/>
  <c r="A19175" i="2"/>
  <c r="A19174" i="2"/>
  <c r="A19173" i="2"/>
  <c r="A19172" i="2"/>
  <c r="A19171" i="2"/>
  <c r="A19170" i="2"/>
  <c r="A19169" i="2"/>
  <c r="A19168" i="2"/>
  <c r="A19167" i="2"/>
  <c r="A19166" i="2"/>
  <c r="A19165" i="2"/>
  <c r="A19164" i="2"/>
  <c r="A19163" i="2"/>
  <c r="A19162" i="2"/>
  <c r="A19161" i="2"/>
  <c r="A19160" i="2"/>
  <c r="A19159" i="2"/>
  <c r="A19158" i="2"/>
  <c r="A19157" i="2"/>
  <c r="A19156" i="2"/>
  <c r="A19155" i="2"/>
  <c r="A19154" i="2"/>
  <c r="A19153" i="2"/>
  <c r="A19152" i="2"/>
  <c r="A19151" i="2"/>
  <c r="A19150" i="2"/>
  <c r="A19149" i="2"/>
  <c r="A19148" i="2"/>
  <c r="A19147" i="2"/>
  <c r="A19146" i="2"/>
  <c r="A19145" i="2"/>
  <c r="A19144" i="2"/>
  <c r="A19143" i="2"/>
  <c r="A19142" i="2"/>
  <c r="A19141" i="2"/>
  <c r="A19140" i="2"/>
  <c r="A19139" i="2"/>
  <c r="A19138" i="2"/>
  <c r="A19137" i="2"/>
  <c r="A19136" i="2"/>
  <c r="A19135" i="2"/>
  <c r="A19134" i="2"/>
  <c r="A19133" i="2"/>
  <c r="A19132" i="2"/>
  <c r="A19131" i="2"/>
  <c r="A19130" i="2"/>
  <c r="A19129" i="2"/>
  <c r="A19128" i="2"/>
  <c r="A19127" i="2"/>
  <c r="A19126" i="2"/>
  <c r="A19125" i="2"/>
  <c r="A19124" i="2"/>
  <c r="A19123" i="2"/>
  <c r="A19122" i="2"/>
  <c r="A19121" i="2"/>
  <c r="A19120" i="2"/>
  <c r="A19119" i="2"/>
  <c r="A19118" i="2"/>
  <c r="A19117" i="2"/>
  <c r="A19116" i="2"/>
  <c r="A19115" i="2"/>
  <c r="A19114" i="2"/>
  <c r="A19113" i="2"/>
  <c r="A19112" i="2"/>
  <c r="A19111" i="2"/>
  <c r="A19110" i="2"/>
  <c r="A19109" i="2"/>
  <c r="A19108" i="2"/>
  <c r="A19107" i="2"/>
  <c r="A19106" i="2"/>
  <c r="A19105" i="2"/>
  <c r="A19104" i="2"/>
  <c r="A19103" i="2"/>
  <c r="A19102" i="2"/>
  <c r="A19101" i="2"/>
  <c r="A19100" i="2"/>
  <c r="A19099" i="2"/>
  <c r="A19098" i="2"/>
  <c r="A19097" i="2"/>
  <c r="A19096" i="2"/>
  <c r="A19095" i="2"/>
  <c r="A19094" i="2"/>
  <c r="A19093" i="2"/>
  <c r="A19092" i="2"/>
  <c r="A19091" i="2"/>
  <c r="A19090" i="2"/>
  <c r="A19089" i="2"/>
  <c r="A19088" i="2"/>
  <c r="A19087" i="2"/>
  <c r="A19086" i="2"/>
  <c r="A19085" i="2"/>
  <c r="A19084" i="2"/>
  <c r="A19083" i="2"/>
  <c r="A19082" i="2"/>
  <c r="A19081" i="2"/>
  <c r="A19080" i="2"/>
  <c r="A19079" i="2"/>
  <c r="A19078" i="2"/>
  <c r="A19077" i="2"/>
  <c r="A19076" i="2"/>
  <c r="A19075" i="2"/>
  <c r="A19074" i="2"/>
  <c r="A19073" i="2"/>
  <c r="A19072" i="2"/>
  <c r="A19071" i="2"/>
  <c r="A19070" i="2"/>
  <c r="A19069" i="2"/>
  <c r="A19068" i="2"/>
  <c r="A19067" i="2"/>
  <c r="A19066" i="2"/>
  <c r="A19065" i="2"/>
  <c r="A19064" i="2"/>
  <c r="A19063" i="2"/>
  <c r="A19062" i="2"/>
  <c r="A19061" i="2"/>
  <c r="A19060" i="2"/>
  <c r="A19059" i="2"/>
  <c r="A19058" i="2"/>
  <c r="A19057" i="2"/>
  <c r="A19056" i="2"/>
  <c r="A19055" i="2"/>
  <c r="A19054" i="2"/>
  <c r="A19053" i="2"/>
  <c r="A19052" i="2"/>
  <c r="A19051" i="2"/>
  <c r="A19050" i="2"/>
  <c r="A19049" i="2"/>
  <c r="A19048" i="2"/>
  <c r="A19047" i="2"/>
  <c r="A19046" i="2"/>
  <c r="A19045" i="2"/>
  <c r="A19044" i="2"/>
  <c r="A19043" i="2"/>
  <c r="A19042" i="2"/>
  <c r="A19041" i="2"/>
  <c r="A19040" i="2"/>
  <c r="A19039" i="2"/>
  <c r="A19038" i="2"/>
  <c r="A19037" i="2"/>
  <c r="A19036" i="2"/>
  <c r="A19035" i="2"/>
  <c r="A19034" i="2"/>
  <c r="A19033" i="2"/>
  <c r="A19032" i="2"/>
  <c r="A19031" i="2"/>
  <c r="A19030" i="2"/>
  <c r="A19029" i="2"/>
  <c r="A19028" i="2"/>
  <c r="A19027" i="2"/>
  <c r="A19026" i="2"/>
  <c r="A19025" i="2"/>
  <c r="A19024" i="2"/>
  <c r="A19023" i="2"/>
  <c r="A19022" i="2"/>
  <c r="A19021" i="2"/>
  <c r="A19020" i="2"/>
  <c r="A19019" i="2"/>
  <c r="A19018" i="2"/>
  <c r="A19017" i="2"/>
  <c r="A19016" i="2"/>
  <c r="A19015" i="2"/>
  <c r="A19014" i="2"/>
  <c r="A19013" i="2"/>
  <c r="A19012" i="2"/>
  <c r="A19011" i="2"/>
  <c r="A19010" i="2"/>
  <c r="A19009" i="2"/>
  <c r="A19008" i="2"/>
  <c r="A19007" i="2"/>
  <c r="A19006" i="2"/>
  <c r="A19005" i="2"/>
  <c r="A19004" i="2"/>
  <c r="A19003" i="2"/>
  <c r="A19002" i="2"/>
  <c r="A19001" i="2"/>
  <c r="A19000" i="2"/>
  <c r="A18999" i="2"/>
  <c r="A18998" i="2"/>
  <c r="A18997" i="2"/>
  <c r="A18996" i="2"/>
  <c r="A18995" i="2"/>
  <c r="A18994" i="2"/>
  <c r="A18993" i="2"/>
  <c r="A18992" i="2"/>
  <c r="A18991" i="2"/>
  <c r="A18990" i="2"/>
  <c r="A18989" i="2"/>
  <c r="A18988" i="2"/>
  <c r="A18987" i="2"/>
  <c r="A18986" i="2"/>
  <c r="A18985" i="2"/>
  <c r="A18984" i="2"/>
  <c r="A18983" i="2"/>
  <c r="A18982" i="2"/>
  <c r="A18981" i="2"/>
  <c r="A18980" i="2"/>
  <c r="A18979" i="2"/>
  <c r="A18978" i="2"/>
  <c r="A18977" i="2"/>
  <c r="A18976" i="2"/>
  <c r="A18975" i="2"/>
  <c r="A18974" i="2"/>
  <c r="A18973" i="2"/>
  <c r="A18972" i="2"/>
  <c r="A18971" i="2"/>
  <c r="A18970" i="2"/>
  <c r="A18969" i="2"/>
  <c r="A18968" i="2"/>
  <c r="A18967" i="2"/>
  <c r="A18966" i="2"/>
  <c r="A18965" i="2"/>
  <c r="A18964" i="2"/>
  <c r="A18963" i="2"/>
  <c r="A18962" i="2"/>
  <c r="A18961" i="2"/>
  <c r="A18960" i="2"/>
  <c r="A18959" i="2"/>
  <c r="A18958" i="2"/>
  <c r="A18957" i="2"/>
  <c r="A18956" i="2"/>
  <c r="A18955" i="2"/>
  <c r="A18954" i="2"/>
  <c r="A18953" i="2"/>
  <c r="A18952" i="2"/>
  <c r="A18951" i="2"/>
  <c r="A18950" i="2"/>
  <c r="A18949" i="2"/>
  <c r="A18948" i="2"/>
  <c r="A18947" i="2"/>
  <c r="A18946" i="2"/>
  <c r="A18945" i="2"/>
  <c r="A18944" i="2"/>
  <c r="A18943" i="2"/>
  <c r="A18942" i="2"/>
  <c r="A18941" i="2"/>
  <c r="A18940" i="2"/>
  <c r="A18939" i="2"/>
  <c r="A18938" i="2"/>
  <c r="A18937" i="2"/>
  <c r="A18936" i="2"/>
  <c r="A18935" i="2"/>
  <c r="A18934" i="2"/>
  <c r="A18933" i="2"/>
  <c r="A18932" i="2"/>
  <c r="A18931" i="2"/>
  <c r="A18930" i="2"/>
  <c r="A18929" i="2"/>
  <c r="A18928" i="2"/>
  <c r="A18927" i="2"/>
  <c r="A18926" i="2"/>
  <c r="A18925" i="2"/>
  <c r="A18924" i="2"/>
  <c r="A18923" i="2"/>
  <c r="A18922" i="2"/>
  <c r="A18921" i="2"/>
  <c r="A18920" i="2"/>
  <c r="A18919" i="2"/>
  <c r="A18918" i="2"/>
  <c r="A18917" i="2"/>
  <c r="A18916" i="2"/>
  <c r="A18915" i="2"/>
  <c r="A18914" i="2"/>
  <c r="A18913" i="2"/>
  <c r="A18912" i="2"/>
  <c r="A18911" i="2"/>
  <c r="A18910" i="2"/>
  <c r="A18909" i="2"/>
  <c r="A18908" i="2"/>
  <c r="A18907" i="2"/>
  <c r="A18906" i="2"/>
  <c r="A18905" i="2"/>
  <c r="A18904" i="2"/>
  <c r="A18903" i="2"/>
  <c r="A18902" i="2"/>
  <c r="A18901" i="2"/>
  <c r="A18900" i="2"/>
  <c r="A18899" i="2"/>
  <c r="A18898" i="2"/>
  <c r="A18897" i="2"/>
  <c r="A18896" i="2"/>
  <c r="A18895" i="2"/>
  <c r="A18894" i="2"/>
  <c r="A18893" i="2"/>
  <c r="A18892" i="2"/>
  <c r="A18891" i="2"/>
  <c r="A18890" i="2"/>
  <c r="A18889" i="2"/>
  <c r="A18888" i="2"/>
  <c r="A18887" i="2"/>
  <c r="A18886" i="2"/>
  <c r="A18885" i="2"/>
  <c r="A18884" i="2"/>
  <c r="A18883" i="2"/>
  <c r="A18882" i="2"/>
  <c r="A18881" i="2"/>
  <c r="A18880" i="2"/>
  <c r="A18879" i="2"/>
  <c r="A18878" i="2"/>
  <c r="A18877" i="2"/>
  <c r="A18876" i="2"/>
  <c r="A18875" i="2"/>
  <c r="A18874" i="2"/>
  <c r="A18873" i="2"/>
  <c r="A18872" i="2"/>
  <c r="A18871" i="2"/>
  <c r="A18870" i="2"/>
  <c r="A18869" i="2"/>
  <c r="A18868" i="2"/>
  <c r="A18867" i="2"/>
  <c r="A18866" i="2"/>
  <c r="A18865" i="2"/>
  <c r="A18864" i="2"/>
  <c r="A18863" i="2"/>
  <c r="A18862" i="2"/>
  <c r="A18861" i="2"/>
  <c r="A18860" i="2"/>
  <c r="A18859" i="2"/>
  <c r="A18858" i="2"/>
  <c r="A18857" i="2"/>
  <c r="A18856" i="2"/>
  <c r="A18855" i="2"/>
  <c r="A18854" i="2"/>
  <c r="A18853" i="2"/>
  <c r="A18852" i="2"/>
  <c r="A18851" i="2"/>
  <c r="A18850" i="2"/>
  <c r="A18849" i="2"/>
  <c r="A18848" i="2"/>
  <c r="A18847" i="2"/>
  <c r="A18846" i="2"/>
  <c r="A18845" i="2"/>
  <c r="A18844" i="2"/>
  <c r="A18843" i="2"/>
  <c r="A18842" i="2"/>
  <c r="A18841" i="2"/>
  <c r="A18840" i="2"/>
  <c r="A18839" i="2"/>
  <c r="A18838" i="2"/>
  <c r="A18837" i="2"/>
  <c r="A18836" i="2"/>
  <c r="A18835" i="2"/>
  <c r="A18834" i="2"/>
  <c r="A18833" i="2"/>
  <c r="A18832" i="2"/>
  <c r="A18831" i="2"/>
  <c r="A18830" i="2"/>
  <c r="A18829" i="2"/>
  <c r="A18828" i="2"/>
  <c r="A18827" i="2"/>
  <c r="A18826" i="2"/>
  <c r="A18825" i="2"/>
  <c r="A18824" i="2"/>
  <c r="A18823" i="2"/>
  <c r="A18822" i="2"/>
  <c r="A18821" i="2"/>
  <c r="A18820" i="2"/>
  <c r="A18819" i="2"/>
  <c r="A18818" i="2"/>
  <c r="A18817" i="2"/>
  <c r="A18816" i="2"/>
  <c r="A18815" i="2"/>
  <c r="A18814" i="2"/>
  <c r="A18813" i="2"/>
  <c r="A18812" i="2"/>
  <c r="A18811" i="2"/>
  <c r="A18810" i="2"/>
  <c r="A18809" i="2"/>
  <c r="A18808" i="2"/>
  <c r="A18807" i="2"/>
  <c r="A18806" i="2"/>
  <c r="A18805" i="2"/>
  <c r="A18804" i="2"/>
  <c r="A18803" i="2"/>
  <c r="A18802" i="2"/>
  <c r="A18801" i="2"/>
  <c r="A18800" i="2"/>
  <c r="A18799" i="2"/>
  <c r="A18798" i="2"/>
  <c r="A18797" i="2"/>
  <c r="A18796" i="2"/>
  <c r="A18795" i="2"/>
  <c r="A18794" i="2"/>
  <c r="A18793" i="2"/>
  <c r="A18792" i="2"/>
  <c r="A18791" i="2"/>
  <c r="A18790" i="2"/>
  <c r="A18789" i="2"/>
  <c r="A18788" i="2"/>
  <c r="A18787" i="2"/>
  <c r="A18786" i="2"/>
  <c r="A18785" i="2"/>
  <c r="A18784" i="2"/>
  <c r="A18783" i="2"/>
  <c r="A18782" i="2"/>
  <c r="A18781" i="2"/>
  <c r="A18780" i="2"/>
  <c r="A18779" i="2"/>
  <c r="A18778" i="2"/>
  <c r="A18777" i="2"/>
  <c r="A18776" i="2"/>
  <c r="A18775" i="2"/>
  <c r="A18774" i="2"/>
  <c r="A18773" i="2"/>
  <c r="A18772" i="2"/>
  <c r="A18771" i="2"/>
  <c r="A18770" i="2"/>
  <c r="A18769" i="2"/>
  <c r="A18768" i="2"/>
  <c r="A18767" i="2"/>
  <c r="A18766" i="2"/>
  <c r="A18765" i="2"/>
  <c r="A18764" i="2"/>
  <c r="A18763" i="2"/>
  <c r="A18762" i="2"/>
  <c r="A18761" i="2"/>
  <c r="A18760" i="2"/>
  <c r="A18759" i="2"/>
  <c r="A18758" i="2"/>
  <c r="A18757" i="2"/>
  <c r="A18756" i="2"/>
  <c r="A18755" i="2"/>
  <c r="A18754" i="2"/>
  <c r="A18753" i="2"/>
  <c r="A18752" i="2"/>
  <c r="A18751" i="2"/>
  <c r="A18750" i="2"/>
  <c r="A18749" i="2"/>
  <c r="A18748" i="2"/>
  <c r="A18747" i="2"/>
  <c r="A18746" i="2"/>
  <c r="A18745" i="2"/>
  <c r="A18744" i="2"/>
  <c r="A18743" i="2"/>
  <c r="A18742" i="2"/>
  <c r="A18741" i="2"/>
  <c r="A18740" i="2"/>
  <c r="A18739" i="2"/>
  <c r="A18738" i="2"/>
  <c r="A18737" i="2"/>
  <c r="A18736" i="2"/>
  <c r="A18735" i="2"/>
  <c r="A18734" i="2"/>
  <c r="A18733" i="2"/>
  <c r="A18732" i="2"/>
  <c r="A18731" i="2"/>
  <c r="A18730" i="2"/>
  <c r="A18729" i="2"/>
  <c r="A18728" i="2"/>
  <c r="A18727" i="2"/>
  <c r="A18726" i="2"/>
  <c r="A18725" i="2"/>
  <c r="A18724" i="2"/>
  <c r="A18723" i="2"/>
  <c r="A18722" i="2"/>
  <c r="A18721" i="2"/>
  <c r="A18720" i="2"/>
  <c r="A18719" i="2"/>
  <c r="A18718" i="2"/>
  <c r="A18717" i="2"/>
  <c r="A18716" i="2"/>
  <c r="A18715" i="2"/>
  <c r="A18714" i="2"/>
  <c r="A18713" i="2"/>
  <c r="A18712" i="2"/>
  <c r="A18711" i="2"/>
  <c r="A18710" i="2"/>
  <c r="A18709" i="2"/>
  <c r="A18708" i="2"/>
  <c r="A18707" i="2"/>
  <c r="A18706" i="2"/>
  <c r="A18705" i="2"/>
  <c r="A18704" i="2"/>
  <c r="A18703" i="2"/>
  <c r="A18702" i="2"/>
  <c r="A18701" i="2"/>
  <c r="A18700" i="2"/>
  <c r="A18699" i="2"/>
  <c r="A18698" i="2"/>
  <c r="A18697" i="2"/>
  <c r="A18696" i="2"/>
  <c r="A18695" i="2"/>
  <c r="A18694" i="2"/>
  <c r="A18693" i="2"/>
  <c r="A18692" i="2"/>
  <c r="A18691" i="2"/>
  <c r="A18690" i="2"/>
  <c r="A18689" i="2"/>
  <c r="A18688" i="2"/>
  <c r="A18687" i="2"/>
  <c r="A18686" i="2"/>
  <c r="A18685" i="2"/>
  <c r="A18684" i="2"/>
  <c r="A18683" i="2"/>
  <c r="A18682" i="2"/>
  <c r="A18681" i="2"/>
  <c r="A18680" i="2"/>
  <c r="A18679" i="2"/>
  <c r="A18678" i="2"/>
  <c r="A18677" i="2"/>
  <c r="A18676" i="2"/>
  <c r="A18675" i="2"/>
  <c r="A18674" i="2"/>
  <c r="A18673" i="2"/>
  <c r="A18672" i="2"/>
  <c r="A18671" i="2"/>
  <c r="A18670" i="2"/>
  <c r="A18669" i="2"/>
  <c r="A18668" i="2"/>
  <c r="A18667" i="2"/>
  <c r="A18666" i="2"/>
  <c r="A18665" i="2"/>
  <c r="A18664" i="2"/>
  <c r="A18663" i="2"/>
  <c r="A18662" i="2"/>
  <c r="A18661" i="2"/>
  <c r="A18660" i="2"/>
  <c r="A18659" i="2"/>
  <c r="A18658" i="2"/>
  <c r="A18657" i="2"/>
  <c r="A18656" i="2"/>
  <c r="A18655" i="2"/>
  <c r="A18654" i="2"/>
  <c r="A18653" i="2"/>
  <c r="A18652" i="2"/>
  <c r="A18651" i="2"/>
  <c r="A18650" i="2"/>
  <c r="A18649" i="2"/>
  <c r="A18648" i="2"/>
  <c r="A18647" i="2"/>
  <c r="A18646" i="2"/>
  <c r="A18645" i="2"/>
  <c r="A18644" i="2"/>
  <c r="A18643" i="2"/>
  <c r="A18642" i="2"/>
  <c r="A18641" i="2"/>
  <c r="A18640" i="2"/>
  <c r="A18639" i="2"/>
  <c r="A18638" i="2"/>
  <c r="A18637" i="2"/>
  <c r="A18636" i="2"/>
  <c r="A18635" i="2"/>
  <c r="A18634" i="2"/>
  <c r="A18633" i="2"/>
  <c r="A18632" i="2"/>
  <c r="A18631" i="2"/>
  <c r="A18630" i="2"/>
  <c r="A18629" i="2"/>
  <c r="A18628" i="2"/>
  <c r="A18627" i="2"/>
  <c r="A18626" i="2"/>
  <c r="A18625" i="2"/>
  <c r="A18624" i="2"/>
  <c r="A18623" i="2"/>
  <c r="A18622" i="2"/>
  <c r="A18621" i="2"/>
  <c r="A18620" i="2"/>
  <c r="A18619" i="2"/>
  <c r="A18618" i="2"/>
  <c r="A18617" i="2"/>
  <c r="A18616" i="2"/>
  <c r="A18615" i="2"/>
  <c r="A18614" i="2"/>
  <c r="A18613" i="2"/>
  <c r="A18612" i="2"/>
  <c r="A18611" i="2"/>
  <c r="A18610" i="2"/>
  <c r="A18609" i="2"/>
  <c r="A18608" i="2"/>
  <c r="A18607" i="2"/>
  <c r="A18606" i="2"/>
  <c r="A18605" i="2"/>
  <c r="A18604" i="2"/>
  <c r="A18603" i="2"/>
  <c r="A18602" i="2"/>
  <c r="A18601" i="2"/>
  <c r="A18600" i="2"/>
  <c r="A18599" i="2"/>
  <c r="A18598" i="2"/>
  <c r="A18597" i="2"/>
  <c r="A18596" i="2"/>
  <c r="A18595" i="2"/>
  <c r="A18594" i="2"/>
  <c r="A18593" i="2"/>
  <c r="A18592" i="2"/>
  <c r="A18591" i="2"/>
  <c r="A18590" i="2"/>
  <c r="A18589" i="2"/>
  <c r="A18588" i="2"/>
  <c r="A18587" i="2"/>
  <c r="A18586" i="2"/>
  <c r="A18585" i="2"/>
  <c r="A18584" i="2"/>
  <c r="A18583" i="2"/>
  <c r="A18582" i="2"/>
  <c r="A18581" i="2"/>
  <c r="A18580" i="2"/>
  <c r="A18579" i="2"/>
  <c r="A18578" i="2"/>
  <c r="A18577" i="2"/>
  <c r="A18576" i="2"/>
  <c r="A18575" i="2"/>
  <c r="A18574" i="2"/>
  <c r="A18573" i="2"/>
  <c r="A18572" i="2"/>
  <c r="A18571" i="2"/>
  <c r="A18570" i="2"/>
  <c r="A18569" i="2"/>
  <c r="A18568" i="2"/>
  <c r="A18567" i="2"/>
  <c r="A18566" i="2"/>
  <c r="A18565" i="2"/>
  <c r="A18564" i="2"/>
  <c r="A18563" i="2"/>
  <c r="A18562" i="2"/>
  <c r="A18561" i="2"/>
  <c r="A18560" i="2"/>
  <c r="A18559" i="2"/>
  <c r="A18558" i="2"/>
  <c r="A18557" i="2"/>
  <c r="A18556" i="2"/>
  <c r="A18555" i="2"/>
  <c r="A18554" i="2"/>
  <c r="A18553" i="2"/>
  <c r="A18552" i="2"/>
  <c r="A18551" i="2"/>
  <c r="A18550" i="2"/>
  <c r="A18549" i="2"/>
  <c r="A18548" i="2"/>
  <c r="A18547" i="2"/>
  <c r="A18546" i="2"/>
  <c r="A18545" i="2"/>
  <c r="A18544" i="2"/>
  <c r="A18543" i="2"/>
  <c r="A18542" i="2"/>
  <c r="A18541" i="2"/>
  <c r="A18540" i="2"/>
  <c r="A18539" i="2"/>
  <c r="A18538" i="2"/>
  <c r="A18537" i="2"/>
  <c r="A18536" i="2"/>
  <c r="A18535" i="2"/>
  <c r="A18534" i="2"/>
  <c r="A18533" i="2"/>
  <c r="A18532" i="2"/>
  <c r="A18531" i="2"/>
  <c r="A18530" i="2"/>
  <c r="A18529" i="2"/>
  <c r="A18528" i="2"/>
  <c r="A18527" i="2"/>
  <c r="A18526" i="2"/>
  <c r="A18525" i="2"/>
  <c r="A18524" i="2"/>
  <c r="A18523" i="2"/>
  <c r="A18522" i="2"/>
  <c r="A18521" i="2"/>
  <c r="A18520" i="2"/>
  <c r="A18519" i="2"/>
  <c r="A18518" i="2"/>
  <c r="A18517" i="2"/>
  <c r="A18516" i="2"/>
  <c r="A18515" i="2"/>
  <c r="A18514" i="2"/>
  <c r="A18513" i="2"/>
  <c r="A18512" i="2"/>
  <c r="A18511" i="2"/>
  <c r="A18510" i="2"/>
  <c r="A18509" i="2"/>
  <c r="A18508" i="2"/>
  <c r="A18507" i="2"/>
  <c r="A18506" i="2"/>
  <c r="A18505" i="2"/>
  <c r="A18504" i="2"/>
  <c r="A18503" i="2"/>
  <c r="A18502" i="2"/>
  <c r="A18501" i="2"/>
  <c r="A18500" i="2"/>
  <c r="A18499" i="2"/>
  <c r="A18498" i="2"/>
  <c r="A18497" i="2"/>
  <c r="A18496" i="2"/>
  <c r="A18495" i="2"/>
  <c r="A18494" i="2"/>
  <c r="A18493" i="2"/>
  <c r="A18492" i="2"/>
  <c r="A18491" i="2"/>
  <c r="A18490" i="2"/>
  <c r="A18489" i="2"/>
  <c r="A18488" i="2"/>
  <c r="A18487" i="2"/>
  <c r="A18486" i="2"/>
  <c r="A18485" i="2"/>
  <c r="A18484" i="2"/>
  <c r="A18483" i="2"/>
  <c r="A18482" i="2"/>
  <c r="A18481" i="2"/>
  <c r="A18480" i="2"/>
  <c r="A18479" i="2"/>
  <c r="A18478" i="2"/>
  <c r="A18477" i="2"/>
  <c r="A18476" i="2"/>
  <c r="A18475" i="2"/>
  <c r="A18474" i="2"/>
  <c r="A18473" i="2"/>
  <c r="A18472" i="2"/>
  <c r="A18471" i="2"/>
  <c r="A18470" i="2"/>
  <c r="A18469" i="2"/>
  <c r="A18468" i="2"/>
  <c r="A18467" i="2"/>
  <c r="A18466" i="2"/>
  <c r="A18465" i="2"/>
  <c r="A18464" i="2"/>
  <c r="A18463" i="2"/>
  <c r="A18462" i="2"/>
  <c r="A18461" i="2"/>
  <c r="A18460" i="2"/>
  <c r="A18459" i="2"/>
  <c r="A18458" i="2"/>
  <c r="A18457" i="2"/>
  <c r="A18456" i="2"/>
  <c r="A18455" i="2"/>
  <c r="A18454" i="2"/>
  <c r="A18453" i="2"/>
  <c r="A18452" i="2"/>
  <c r="A18451" i="2"/>
  <c r="A18450" i="2"/>
  <c r="A18449" i="2"/>
  <c r="A18448" i="2"/>
  <c r="A18447" i="2"/>
  <c r="A18446" i="2"/>
  <c r="A18445" i="2"/>
  <c r="A18444" i="2"/>
  <c r="A18443" i="2"/>
  <c r="A18442" i="2"/>
  <c r="A18441" i="2"/>
  <c r="A18440" i="2"/>
  <c r="A18439" i="2"/>
  <c r="A18438" i="2"/>
  <c r="A18437" i="2"/>
  <c r="A18436" i="2"/>
  <c r="A18435" i="2"/>
  <c r="A18434" i="2"/>
  <c r="A18433" i="2"/>
  <c r="A18432" i="2"/>
  <c r="A18431" i="2"/>
  <c r="A18430" i="2"/>
  <c r="A18429" i="2"/>
  <c r="A18428" i="2"/>
  <c r="A18427" i="2"/>
  <c r="A18426" i="2"/>
  <c r="A18425" i="2"/>
  <c r="A18424" i="2"/>
  <c r="A18423" i="2"/>
  <c r="A18422" i="2"/>
  <c r="A18421" i="2"/>
  <c r="A18420" i="2"/>
  <c r="A18419" i="2"/>
  <c r="A18418" i="2"/>
  <c r="A18417" i="2"/>
  <c r="A18416" i="2"/>
  <c r="A18415" i="2"/>
  <c r="A18414" i="2"/>
  <c r="A18413" i="2"/>
  <c r="A18412" i="2"/>
  <c r="A18411" i="2"/>
  <c r="A18410" i="2"/>
  <c r="A18409" i="2"/>
  <c r="A18408" i="2"/>
  <c r="A18407" i="2"/>
  <c r="A18406" i="2"/>
  <c r="A18405" i="2"/>
  <c r="A18404" i="2"/>
  <c r="A18403" i="2"/>
  <c r="A18402" i="2"/>
  <c r="A18401" i="2"/>
  <c r="A18400" i="2"/>
  <c r="A18399" i="2"/>
  <c r="A18398" i="2"/>
  <c r="A18397" i="2"/>
  <c r="A18396" i="2"/>
  <c r="A18395" i="2"/>
  <c r="A18394" i="2"/>
  <c r="A18393" i="2"/>
  <c r="A18392" i="2"/>
  <c r="A18391" i="2"/>
  <c r="A18390" i="2"/>
  <c r="A18389" i="2"/>
  <c r="A18388" i="2"/>
  <c r="A18387" i="2"/>
  <c r="A18386" i="2"/>
  <c r="A18385" i="2"/>
  <c r="A18384" i="2"/>
  <c r="A18383" i="2"/>
  <c r="A18382" i="2"/>
  <c r="A18381" i="2"/>
  <c r="A18380" i="2"/>
  <c r="A18379" i="2"/>
  <c r="A18378" i="2"/>
  <c r="A18377" i="2"/>
  <c r="A18376" i="2"/>
  <c r="A18375" i="2"/>
  <c r="A18374" i="2"/>
  <c r="A18373" i="2"/>
  <c r="A18372" i="2"/>
  <c r="A18371" i="2"/>
  <c r="A18370" i="2"/>
  <c r="A18369" i="2"/>
  <c r="A18368" i="2"/>
  <c r="A18367" i="2"/>
  <c r="A18366" i="2"/>
  <c r="A18365" i="2"/>
  <c r="A18364" i="2"/>
  <c r="A18363" i="2"/>
  <c r="A18362" i="2"/>
  <c r="A18361" i="2"/>
  <c r="A18360" i="2"/>
  <c r="A18359" i="2"/>
  <c r="A18358" i="2"/>
  <c r="A18357" i="2"/>
  <c r="A18356" i="2"/>
  <c r="A18355" i="2"/>
  <c r="A18354" i="2"/>
  <c r="A18353" i="2"/>
  <c r="A18352" i="2"/>
  <c r="A18351" i="2"/>
  <c r="A18350" i="2"/>
  <c r="A18349" i="2"/>
  <c r="A18348" i="2"/>
  <c r="A18347" i="2"/>
  <c r="A18346" i="2"/>
  <c r="A18345" i="2"/>
  <c r="A18344" i="2"/>
  <c r="A18343" i="2"/>
  <c r="A18342" i="2"/>
  <c r="A18341" i="2"/>
  <c r="A18340" i="2"/>
  <c r="A18339" i="2"/>
  <c r="A18338" i="2"/>
  <c r="A18337" i="2"/>
  <c r="A18336" i="2"/>
  <c r="A18335" i="2"/>
  <c r="A18334" i="2"/>
  <c r="A18333" i="2"/>
  <c r="A18332" i="2"/>
  <c r="A18331" i="2"/>
  <c r="A18330" i="2"/>
  <c r="A18329" i="2"/>
  <c r="A18328" i="2"/>
  <c r="A18327" i="2"/>
  <c r="A18326" i="2"/>
  <c r="A18325" i="2"/>
  <c r="A18324" i="2"/>
  <c r="A18323" i="2"/>
  <c r="A18322" i="2"/>
  <c r="A18321" i="2"/>
  <c r="A18320" i="2"/>
  <c r="A18319" i="2"/>
  <c r="A18318" i="2"/>
  <c r="A18317" i="2"/>
  <c r="A18316" i="2"/>
  <c r="A18315" i="2"/>
  <c r="A18314" i="2"/>
  <c r="A18313" i="2"/>
  <c r="A18312" i="2"/>
  <c r="A18311" i="2"/>
  <c r="A18310" i="2"/>
  <c r="A18309" i="2"/>
  <c r="A18308" i="2"/>
  <c r="A18307" i="2"/>
  <c r="A18306" i="2"/>
  <c r="A18305" i="2"/>
  <c r="A18304" i="2"/>
  <c r="A18303" i="2"/>
  <c r="A18302" i="2"/>
  <c r="A18301" i="2"/>
  <c r="A18300" i="2"/>
  <c r="A18299" i="2"/>
  <c r="A18298" i="2"/>
  <c r="A18297" i="2"/>
  <c r="A18296" i="2"/>
  <c r="A18295" i="2"/>
  <c r="A18294" i="2"/>
  <c r="A18293" i="2"/>
  <c r="A18292" i="2"/>
  <c r="A18291" i="2"/>
  <c r="A18290" i="2"/>
  <c r="A18289" i="2"/>
  <c r="A18288" i="2"/>
  <c r="A18287" i="2"/>
  <c r="A18286" i="2"/>
  <c r="A18285" i="2"/>
  <c r="A18284" i="2"/>
  <c r="A18283" i="2"/>
  <c r="A18282" i="2"/>
  <c r="A18281" i="2"/>
  <c r="A18280" i="2"/>
  <c r="A18279" i="2"/>
  <c r="A18278" i="2"/>
  <c r="A18277" i="2"/>
  <c r="A18276" i="2"/>
  <c r="A18275" i="2"/>
  <c r="A18274" i="2"/>
  <c r="A18273" i="2"/>
  <c r="A18272" i="2"/>
  <c r="A18271" i="2"/>
  <c r="A18270" i="2"/>
  <c r="A18269" i="2"/>
  <c r="A18268" i="2"/>
  <c r="A18267" i="2"/>
  <c r="A18266" i="2"/>
  <c r="A18265" i="2"/>
  <c r="A18264" i="2"/>
  <c r="A18263" i="2"/>
  <c r="A18262" i="2"/>
  <c r="A18261" i="2"/>
  <c r="A18260" i="2"/>
  <c r="A18259" i="2"/>
  <c r="A18258" i="2"/>
  <c r="A18257" i="2"/>
  <c r="A18256" i="2"/>
  <c r="A18255" i="2"/>
  <c r="A18254" i="2"/>
  <c r="A18253" i="2"/>
  <c r="A18252" i="2"/>
  <c r="A18251" i="2"/>
  <c r="A18250" i="2"/>
  <c r="A18249" i="2"/>
  <c r="A18248" i="2"/>
  <c r="A18247" i="2"/>
  <c r="A18246" i="2"/>
  <c r="A18245" i="2"/>
  <c r="A18244" i="2"/>
  <c r="A18243" i="2"/>
  <c r="A18242" i="2"/>
  <c r="A18241" i="2"/>
  <c r="A18240" i="2"/>
  <c r="A18239" i="2"/>
  <c r="A18238" i="2"/>
  <c r="A18237" i="2"/>
  <c r="A18236" i="2"/>
  <c r="A18235" i="2"/>
  <c r="A18234" i="2"/>
  <c r="A18233" i="2"/>
  <c r="A18232" i="2"/>
  <c r="A18231" i="2"/>
  <c r="A18230" i="2"/>
  <c r="A18229" i="2"/>
  <c r="A18228" i="2"/>
  <c r="A18227" i="2"/>
  <c r="A18226" i="2"/>
  <c r="A18225" i="2"/>
  <c r="A18224" i="2"/>
  <c r="A18223" i="2"/>
  <c r="A18222" i="2"/>
  <c r="A18221" i="2"/>
  <c r="A18220" i="2"/>
  <c r="A18219" i="2"/>
  <c r="A18218" i="2"/>
  <c r="A18217" i="2"/>
  <c r="A18216" i="2"/>
  <c r="A18215" i="2"/>
  <c r="A18214" i="2"/>
  <c r="A18213" i="2"/>
  <c r="A18212" i="2"/>
  <c r="A18211" i="2"/>
  <c r="A18210" i="2"/>
  <c r="A18209" i="2"/>
  <c r="A18208" i="2"/>
  <c r="A18207" i="2"/>
  <c r="A18206" i="2"/>
  <c r="A18205" i="2"/>
  <c r="A18204" i="2"/>
  <c r="A18203" i="2"/>
  <c r="A18202" i="2"/>
  <c r="A18201" i="2"/>
  <c r="A18200" i="2"/>
  <c r="A18199" i="2"/>
  <c r="A18198" i="2"/>
  <c r="A18197" i="2"/>
  <c r="A18196" i="2"/>
  <c r="A18195" i="2"/>
  <c r="A18194" i="2"/>
  <c r="A18193" i="2"/>
  <c r="A18192" i="2"/>
  <c r="A18191" i="2"/>
  <c r="A18190" i="2"/>
  <c r="A18189" i="2"/>
  <c r="A18188" i="2"/>
  <c r="A18187" i="2"/>
  <c r="A18186" i="2"/>
  <c r="A18185" i="2"/>
  <c r="A18184" i="2"/>
  <c r="A18183" i="2"/>
  <c r="A18182" i="2"/>
  <c r="A18181" i="2"/>
  <c r="A18180" i="2"/>
  <c r="A18179" i="2"/>
  <c r="A18178" i="2"/>
  <c r="A18177" i="2"/>
  <c r="A18176" i="2"/>
  <c r="A18175" i="2"/>
  <c r="A18174" i="2"/>
  <c r="A18173" i="2"/>
  <c r="A18172" i="2"/>
  <c r="A18171" i="2"/>
  <c r="A18170" i="2"/>
  <c r="A18169" i="2"/>
  <c r="A18168" i="2"/>
  <c r="A18167" i="2"/>
  <c r="A18166" i="2"/>
  <c r="A18165" i="2"/>
  <c r="A18164" i="2"/>
  <c r="A18163" i="2"/>
  <c r="A18162" i="2"/>
  <c r="A18161" i="2"/>
  <c r="A18160" i="2"/>
  <c r="A18159" i="2"/>
  <c r="A18158" i="2"/>
  <c r="A18157" i="2"/>
  <c r="A18156" i="2"/>
  <c r="A18155" i="2"/>
  <c r="A18154" i="2"/>
  <c r="A18153" i="2"/>
  <c r="A18152" i="2"/>
  <c r="A18151" i="2"/>
  <c r="A18150" i="2"/>
  <c r="A18149" i="2"/>
  <c r="A18148" i="2"/>
  <c r="A18147" i="2"/>
  <c r="A18146" i="2"/>
  <c r="A18145" i="2"/>
  <c r="A18144" i="2"/>
  <c r="A18143" i="2"/>
  <c r="A18142" i="2"/>
  <c r="A18141" i="2"/>
  <c r="A18140" i="2"/>
  <c r="A18139" i="2"/>
  <c r="A18138" i="2"/>
  <c r="A18137" i="2"/>
  <c r="A18136" i="2"/>
  <c r="A18135" i="2"/>
  <c r="A18134" i="2"/>
  <c r="A18133" i="2"/>
  <c r="A18132" i="2"/>
  <c r="A18131" i="2"/>
  <c r="A18130" i="2"/>
  <c r="A18129" i="2"/>
  <c r="A18128" i="2"/>
  <c r="A18127" i="2"/>
  <c r="A18126" i="2"/>
  <c r="A18125" i="2"/>
  <c r="A18124" i="2"/>
  <c r="A18123" i="2"/>
  <c r="A18122" i="2"/>
  <c r="A18121" i="2"/>
  <c r="A18120" i="2"/>
  <c r="A18119" i="2"/>
  <c r="A18118" i="2"/>
  <c r="A18117" i="2"/>
  <c r="A18116" i="2"/>
  <c r="A18115" i="2"/>
  <c r="A18114" i="2"/>
  <c r="A18113" i="2"/>
  <c r="A18112" i="2"/>
  <c r="A18111" i="2"/>
  <c r="A18110" i="2"/>
  <c r="A18109" i="2"/>
  <c r="A18108" i="2"/>
  <c r="A18107" i="2"/>
  <c r="A18106" i="2"/>
  <c r="A18105" i="2"/>
  <c r="A18104" i="2"/>
  <c r="A18103" i="2"/>
  <c r="A18102" i="2"/>
  <c r="A18101" i="2"/>
  <c r="A18100" i="2"/>
  <c r="A18099" i="2"/>
  <c r="A18098" i="2"/>
  <c r="A18097" i="2"/>
  <c r="A18096" i="2"/>
  <c r="A18095" i="2"/>
  <c r="A18094" i="2"/>
  <c r="A18093" i="2"/>
  <c r="A18092" i="2"/>
  <c r="A18091" i="2"/>
  <c r="A18090" i="2"/>
  <c r="A18089" i="2"/>
  <c r="A18088" i="2"/>
  <c r="A18087" i="2"/>
  <c r="A18086" i="2"/>
  <c r="A18085" i="2"/>
  <c r="A18084" i="2"/>
  <c r="A18083" i="2"/>
  <c r="A18082" i="2"/>
  <c r="A18081" i="2"/>
  <c r="A18080" i="2"/>
  <c r="A18079" i="2"/>
  <c r="A18078" i="2"/>
  <c r="A18077" i="2"/>
  <c r="A18076" i="2"/>
  <c r="A18075" i="2"/>
  <c r="A18074" i="2"/>
  <c r="A18073" i="2"/>
  <c r="A18072" i="2"/>
  <c r="A18071" i="2"/>
  <c r="A18070" i="2"/>
  <c r="A18069" i="2"/>
  <c r="A18068" i="2"/>
  <c r="A18067" i="2"/>
  <c r="A18066" i="2"/>
  <c r="A18065" i="2"/>
  <c r="A18064" i="2"/>
  <c r="A18063" i="2"/>
  <c r="A18062" i="2"/>
  <c r="A18061" i="2"/>
  <c r="A18060" i="2"/>
  <c r="A18059" i="2"/>
  <c r="A18058" i="2"/>
  <c r="A18057" i="2"/>
  <c r="A18056" i="2"/>
  <c r="A18055" i="2"/>
  <c r="A18054" i="2"/>
  <c r="A18053" i="2"/>
  <c r="A18052" i="2"/>
  <c r="A18051" i="2"/>
  <c r="A18050" i="2"/>
  <c r="A18049" i="2"/>
  <c r="A18048" i="2"/>
  <c r="A18047" i="2"/>
  <c r="A18046" i="2"/>
  <c r="A18045" i="2"/>
  <c r="A18044" i="2"/>
  <c r="A18043" i="2"/>
  <c r="A18042" i="2"/>
  <c r="A18041" i="2"/>
  <c r="A18040" i="2"/>
  <c r="A18039" i="2"/>
  <c r="A18038" i="2"/>
  <c r="A18037" i="2"/>
  <c r="A18036" i="2"/>
  <c r="A18035" i="2"/>
  <c r="A18034" i="2"/>
  <c r="A18033" i="2"/>
  <c r="A18032" i="2"/>
  <c r="A18031" i="2"/>
  <c r="A18030" i="2"/>
  <c r="A18029" i="2"/>
  <c r="A18028" i="2"/>
  <c r="A18027" i="2"/>
  <c r="A18026" i="2"/>
  <c r="A18025" i="2"/>
  <c r="A18024" i="2"/>
  <c r="A18023" i="2"/>
  <c r="A18022" i="2"/>
  <c r="A18021" i="2"/>
  <c r="A18020" i="2"/>
  <c r="A18019" i="2"/>
  <c r="A18018" i="2"/>
  <c r="A18017" i="2"/>
  <c r="A18016" i="2"/>
  <c r="A18015" i="2"/>
  <c r="A18014" i="2"/>
  <c r="A18013" i="2"/>
  <c r="A18012" i="2"/>
  <c r="A18011" i="2"/>
  <c r="A18010" i="2"/>
  <c r="A18009" i="2"/>
  <c r="A18008" i="2"/>
  <c r="A18007" i="2"/>
  <c r="A18006" i="2"/>
  <c r="A18005" i="2"/>
  <c r="A18004" i="2"/>
  <c r="A18003" i="2"/>
  <c r="A18002" i="2"/>
  <c r="A18001" i="2"/>
  <c r="A18000" i="2"/>
  <c r="A17999" i="2"/>
  <c r="A17998" i="2"/>
  <c r="A17997" i="2"/>
  <c r="A17996" i="2"/>
  <c r="A17995" i="2"/>
  <c r="A17994" i="2"/>
  <c r="A17993" i="2"/>
  <c r="A17992" i="2"/>
  <c r="A17991" i="2"/>
  <c r="A17990" i="2"/>
  <c r="A17989" i="2"/>
  <c r="A17988" i="2"/>
  <c r="A17987" i="2"/>
  <c r="A17986" i="2"/>
  <c r="A17985" i="2"/>
  <c r="A17984" i="2"/>
  <c r="A17983" i="2"/>
  <c r="A17982" i="2"/>
  <c r="A17981" i="2"/>
  <c r="A17980" i="2"/>
  <c r="A17979" i="2"/>
  <c r="A17978" i="2"/>
  <c r="A17977" i="2"/>
  <c r="A17976" i="2"/>
  <c r="A17975" i="2"/>
  <c r="A17974" i="2"/>
  <c r="A17973" i="2"/>
  <c r="A17972" i="2"/>
  <c r="A17971" i="2"/>
  <c r="A17970" i="2"/>
  <c r="A17969" i="2"/>
  <c r="A17968" i="2"/>
  <c r="A17967" i="2"/>
  <c r="A17966" i="2"/>
  <c r="A17965" i="2"/>
  <c r="A17964" i="2"/>
  <c r="A17963" i="2"/>
  <c r="A17962" i="2"/>
  <c r="A17961" i="2"/>
  <c r="A17960" i="2"/>
  <c r="A17959" i="2"/>
  <c r="A17958" i="2"/>
  <c r="A17957" i="2"/>
  <c r="A17956" i="2"/>
  <c r="A17955" i="2"/>
  <c r="A17954" i="2"/>
  <c r="A17953" i="2"/>
  <c r="A17952" i="2"/>
  <c r="A17951" i="2"/>
  <c r="A17950" i="2"/>
  <c r="A17949" i="2"/>
  <c r="A17948" i="2"/>
  <c r="A17947" i="2"/>
  <c r="A17946" i="2"/>
  <c r="A17945" i="2"/>
  <c r="A17944" i="2"/>
  <c r="A17943" i="2"/>
  <c r="A17942" i="2"/>
  <c r="A17941" i="2"/>
  <c r="A17940" i="2"/>
  <c r="A17939" i="2"/>
  <c r="A17938" i="2"/>
  <c r="A17937" i="2"/>
  <c r="A17936" i="2"/>
  <c r="A17935" i="2"/>
  <c r="A17934" i="2"/>
  <c r="A17933" i="2"/>
  <c r="A17932" i="2"/>
  <c r="A17931" i="2"/>
  <c r="A17930" i="2"/>
  <c r="A17929" i="2"/>
  <c r="A17928" i="2"/>
  <c r="A17927" i="2"/>
  <c r="A17926" i="2"/>
  <c r="A17925" i="2"/>
  <c r="A17924" i="2"/>
  <c r="A17923" i="2"/>
  <c r="A17922" i="2"/>
  <c r="A17921" i="2"/>
  <c r="A17920" i="2"/>
  <c r="A17919" i="2"/>
  <c r="A17918" i="2"/>
  <c r="A17917" i="2"/>
  <c r="A17916" i="2"/>
  <c r="A17915" i="2"/>
  <c r="A17914" i="2"/>
  <c r="A17913" i="2"/>
  <c r="A17912" i="2"/>
  <c r="A17911" i="2"/>
  <c r="A17910" i="2"/>
  <c r="A17909" i="2"/>
  <c r="A17908" i="2"/>
  <c r="A17907" i="2"/>
  <c r="A17906" i="2"/>
  <c r="A17905" i="2"/>
  <c r="A17904" i="2"/>
  <c r="A17903" i="2"/>
  <c r="A17902" i="2"/>
  <c r="A17901" i="2"/>
  <c r="A17900" i="2"/>
  <c r="A17899" i="2"/>
  <c r="A17898" i="2"/>
  <c r="A17897" i="2"/>
  <c r="A17896" i="2"/>
  <c r="A17895" i="2"/>
  <c r="A17894" i="2"/>
  <c r="A17893" i="2"/>
  <c r="A17892" i="2"/>
  <c r="A17891" i="2"/>
  <c r="A17890" i="2"/>
  <c r="A17889" i="2"/>
  <c r="A17888" i="2"/>
  <c r="A17887" i="2"/>
  <c r="A17886" i="2"/>
  <c r="A17885" i="2"/>
  <c r="A17884" i="2"/>
  <c r="A17883" i="2"/>
  <c r="A17882" i="2"/>
  <c r="A17881" i="2"/>
  <c r="A17880" i="2"/>
  <c r="A17879" i="2"/>
  <c r="A17878" i="2"/>
  <c r="A17877" i="2"/>
  <c r="A17876" i="2"/>
  <c r="A17875" i="2"/>
  <c r="A17874" i="2"/>
  <c r="A17873" i="2"/>
  <c r="A17872" i="2"/>
  <c r="A17871" i="2"/>
  <c r="A17870" i="2"/>
  <c r="A17869" i="2"/>
  <c r="A17868" i="2"/>
  <c r="A17867" i="2"/>
  <c r="A17866" i="2"/>
  <c r="A17865" i="2"/>
  <c r="A17864" i="2"/>
  <c r="A17863" i="2"/>
  <c r="A17862" i="2"/>
  <c r="A17861" i="2"/>
  <c r="A17860" i="2"/>
  <c r="A17859" i="2"/>
  <c r="A17858" i="2"/>
  <c r="A17857" i="2"/>
  <c r="A17856" i="2"/>
  <c r="A17855" i="2"/>
  <c r="A17854" i="2"/>
  <c r="A17853" i="2"/>
  <c r="A17852" i="2"/>
  <c r="A17851" i="2"/>
  <c r="A17850" i="2"/>
  <c r="A17849" i="2"/>
  <c r="A17848" i="2"/>
  <c r="A17847" i="2"/>
  <c r="A17846" i="2"/>
  <c r="A17845" i="2"/>
  <c r="A17844" i="2"/>
  <c r="A17843" i="2"/>
  <c r="A17842" i="2"/>
  <c r="A17841" i="2"/>
  <c r="A17840" i="2"/>
  <c r="A17839" i="2"/>
  <c r="A17838" i="2"/>
  <c r="A17837" i="2"/>
  <c r="A17836" i="2"/>
  <c r="A17835" i="2"/>
  <c r="A17834" i="2"/>
  <c r="A17833" i="2"/>
  <c r="A17832" i="2"/>
  <c r="A17831" i="2"/>
  <c r="A17830" i="2"/>
  <c r="A17829" i="2"/>
  <c r="A17828" i="2"/>
  <c r="A17827" i="2"/>
  <c r="A17826" i="2"/>
  <c r="A17825" i="2"/>
  <c r="A17824" i="2"/>
  <c r="A17823" i="2"/>
  <c r="A17822" i="2"/>
  <c r="A17821" i="2"/>
  <c r="A17820" i="2"/>
  <c r="A17819" i="2"/>
  <c r="A17818" i="2"/>
  <c r="A17817" i="2"/>
  <c r="A17816" i="2"/>
  <c r="A17815" i="2"/>
  <c r="A17814" i="2"/>
  <c r="A17813" i="2"/>
  <c r="A17812" i="2"/>
  <c r="A17811" i="2"/>
  <c r="A17810" i="2"/>
  <c r="A17809" i="2"/>
  <c r="A17808" i="2"/>
  <c r="A17807" i="2"/>
  <c r="A17806" i="2"/>
  <c r="A17805" i="2"/>
  <c r="A17804" i="2"/>
  <c r="A17803" i="2"/>
  <c r="A17802" i="2"/>
  <c r="A17801" i="2"/>
  <c r="A17800" i="2"/>
  <c r="A17799" i="2"/>
  <c r="A17798" i="2"/>
  <c r="A17797" i="2"/>
  <c r="A17796" i="2"/>
  <c r="A17795" i="2"/>
  <c r="A17794" i="2"/>
  <c r="A17793" i="2"/>
  <c r="A17792" i="2"/>
  <c r="A17791" i="2"/>
  <c r="A17790" i="2"/>
  <c r="A17789" i="2"/>
  <c r="A17788" i="2"/>
  <c r="A17787" i="2"/>
  <c r="A17786" i="2"/>
  <c r="A17785" i="2"/>
  <c r="A17784" i="2"/>
  <c r="A17783" i="2"/>
  <c r="A17782" i="2"/>
  <c r="A17781" i="2"/>
  <c r="A17780" i="2"/>
  <c r="A17779" i="2"/>
  <c r="A17778" i="2"/>
  <c r="A17777" i="2"/>
  <c r="A17776" i="2"/>
  <c r="A17775" i="2"/>
  <c r="A17774" i="2"/>
  <c r="A17773" i="2"/>
  <c r="A17772" i="2"/>
  <c r="A17771" i="2"/>
  <c r="A17770" i="2"/>
  <c r="A17769" i="2"/>
  <c r="A17768" i="2"/>
  <c r="A17767" i="2"/>
  <c r="A17766" i="2"/>
  <c r="A17765" i="2"/>
  <c r="A17764" i="2"/>
  <c r="A17763" i="2"/>
  <c r="A17762" i="2"/>
  <c r="A17761" i="2"/>
  <c r="A17760" i="2"/>
  <c r="A17759" i="2"/>
  <c r="A17758" i="2"/>
  <c r="A17757" i="2"/>
  <c r="A17756" i="2"/>
  <c r="A17755" i="2"/>
  <c r="A17754" i="2"/>
  <c r="A17753" i="2"/>
  <c r="A17752" i="2"/>
  <c r="A17751" i="2"/>
  <c r="A17750" i="2"/>
  <c r="A17749" i="2"/>
  <c r="A17748" i="2"/>
  <c r="A17747" i="2"/>
  <c r="A17746" i="2"/>
  <c r="A17745" i="2"/>
  <c r="A17744" i="2"/>
  <c r="A17743" i="2"/>
  <c r="A17742" i="2"/>
  <c r="A17741" i="2"/>
  <c r="A17740" i="2"/>
  <c r="A17739" i="2"/>
  <c r="A17738" i="2"/>
  <c r="A17737" i="2"/>
  <c r="A17736" i="2"/>
  <c r="A17735" i="2"/>
  <c r="A17734" i="2"/>
  <c r="A17733" i="2"/>
  <c r="A17732" i="2"/>
  <c r="A17731" i="2"/>
  <c r="A17730" i="2"/>
  <c r="A17729" i="2"/>
  <c r="A17728" i="2"/>
  <c r="A17727" i="2"/>
  <c r="A17726" i="2"/>
  <c r="A17725" i="2"/>
  <c r="A17724" i="2"/>
  <c r="A17723" i="2"/>
  <c r="A17722" i="2"/>
  <c r="A17721" i="2"/>
  <c r="A17720" i="2"/>
  <c r="A17719" i="2"/>
  <c r="A17718" i="2"/>
  <c r="A17717" i="2"/>
  <c r="A17716" i="2"/>
  <c r="A17715" i="2"/>
  <c r="A17714" i="2"/>
  <c r="A17713" i="2"/>
  <c r="A17712" i="2"/>
  <c r="A17711" i="2"/>
  <c r="A17710" i="2"/>
  <c r="A17709" i="2"/>
  <c r="A17708" i="2"/>
  <c r="A17707" i="2"/>
  <c r="A17706" i="2"/>
  <c r="A17705" i="2"/>
  <c r="A17704" i="2"/>
  <c r="A17703" i="2"/>
  <c r="A17702" i="2"/>
  <c r="A17701" i="2"/>
  <c r="A17700" i="2"/>
  <c r="A17699" i="2"/>
  <c r="A17698" i="2"/>
  <c r="A17697" i="2"/>
  <c r="A17696" i="2"/>
  <c r="A17695" i="2"/>
  <c r="A17694" i="2"/>
  <c r="A17693" i="2"/>
  <c r="A17692" i="2"/>
  <c r="A17691" i="2"/>
  <c r="A17690" i="2"/>
  <c r="A17689" i="2"/>
  <c r="A17688" i="2"/>
  <c r="A17687" i="2"/>
  <c r="A17686" i="2"/>
  <c r="A17685" i="2"/>
  <c r="A17684" i="2"/>
  <c r="A17683" i="2"/>
  <c r="A17682" i="2"/>
  <c r="A17681" i="2"/>
  <c r="A17680" i="2"/>
  <c r="A17679" i="2"/>
  <c r="A17678" i="2"/>
  <c r="A17677" i="2"/>
  <c r="A17676" i="2"/>
  <c r="A17675" i="2"/>
  <c r="A17674" i="2"/>
  <c r="A17673" i="2"/>
  <c r="A17672" i="2"/>
  <c r="A17671" i="2"/>
  <c r="A17670" i="2"/>
  <c r="A17669" i="2"/>
  <c r="A17668" i="2"/>
  <c r="A17667" i="2"/>
  <c r="A17666" i="2"/>
  <c r="A17665" i="2"/>
  <c r="A17664" i="2"/>
  <c r="A17663" i="2"/>
  <c r="A17662" i="2"/>
  <c r="A17661" i="2"/>
  <c r="A17660" i="2"/>
  <c r="A17659" i="2"/>
  <c r="A17658" i="2"/>
  <c r="A17657" i="2"/>
  <c r="A17656" i="2"/>
  <c r="A17655" i="2"/>
  <c r="A17654" i="2"/>
  <c r="A17653" i="2"/>
  <c r="A17652" i="2"/>
  <c r="A17651" i="2"/>
  <c r="A17650" i="2"/>
  <c r="A17649" i="2"/>
  <c r="A17648" i="2"/>
  <c r="A17647" i="2"/>
  <c r="A17646" i="2"/>
  <c r="A17645" i="2"/>
  <c r="A17644" i="2"/>
  <c r="A17643" i="2"/>
  <c r="A17642" i="2"/>
  <c r="A17641" i="2"/>
  <c r="A17640" i="2"/>
  <c r="A17639" i="2"/>
  <c r="A17638" i="2"/>
  <c r="A17637" i="2"/>
  <c r="A17636" i="2"/>
  <c r="A17635" i="2"/>
  <c r="A17634" i="2"/>
  <c r="A17633" i="2"/>
  <c r="A17632" i="2"/>
  <c r="A17631" i="2"/>
  <c r="A17630" i="2"/>
  <c r="A17629" i="2"/>
  <c r="A17628" i="2"/>
  <c r="A17627" i="2"/>
  <c r="A17626" i="2"/>
  <c r="A17625" i="2"/>
  <c r="A17624" i="2"/>
  <c r="A17623" i="2"/>
  <c r="A17622" i="2"/>
  <c r="A17621" i="2"/>
  <c r="A17620" i="2"/>
  <c r="A17619" i="2"/>
  <c r="A17618" i="2"/>
  <c r="A17617" i="2"/>
  <c r="A17616" i="2"/>
  <c r="A17615" i="2"/>
  <c r="A17614" i="2"/>
  <c r="A17613" i="2"/>
  <c r="A17612" i="2"/>
  <c r="A17611" i="2"/>
  <c r="A17610" i="2"/>
  <c r="A17609" i="2"/>
  <c r="A17608" i="2"/>
  <c r="A17607" i="2"/>
  <c r="A17606" i="2"/>
  <c r="A17605" i="2"/>
  <c r="A17604" i="2"/>
  <c r="A17603" i="2"/>
  <c r="A17602" i="2"/>
  <c r="A17601" i="2"/>
  <c r="A17600" i="2"/>
  <c r="A17599" i="2"/>
  <c r="A17598" i="2"/>
  <c r="A17597" i="2"/>
  <c r="A17596" i="2"/>
  <c r="A17595" i="2"/>
  <c r="A17594" i="2"/>
  <c r="A17593" i="2"/>
  <c r="A17592" i="2"/>
  <c r="A17591" i="2"/>
  <c r="A17590" i="2"/>
  <c r="A17589" i="2"/>
  <c r="A17588" i="2"/>
  <c r="A17587" i="2"/>
  <c r="A17586" i="2"/>
  <c r="A17585" i="2"/>
  <c r="A17584" i="2"/>
  <c r="A17583" i="2"/>
  <c r="A17582" i="2"/>
  <c r="A17581" i="2"/>
  <c r="A17580" i="2"/>
  <c r="A17579" i="2"/>
  <c r="A17578" i="2"/>
  <c r="A17577" i="2"/>
  <c r="A17576" i="2"/>
  <c r="A17575" i="2"/>
  <c r="A17574" i="2"/>
  <c r="A17573" i="2"/>
  <c r="A17572" i="2"/>
  <c r="A17571" i="2"/>
  <c r="A17570" i="2"/>
  <c r="A17569" i="2"/>
  <c r="A17568" i="2"/>
  <c r="A17567" i="2"/>
  <c r="A17566" i="2"/>
  <c r="A17565" i="2"/>
  <c r="A17564" i="2"/>
  <c r="A17563" i="2"/>
  <c r="A17562" i="2"/>
  <c r="A17561" i="2"/>
  <c r="A17560" i="2"/>
  <c r="A17559" i="2"/>
  <c r="A17558" i="2"/>
  <c r="A17557" i="2"/>
  <c r="A17556" i="2"/>
  <c r="A17555" i="2"/>
  <c r="A17554" i="2"/>
  <c r="A17553" i="2"/>
  <c r="A17552" i="2"/>
  <c r="A17551" i="2"/>
  <c r="A17550" i="2"/>
  <c r="A17549" i="2"/>
  <c r="A17548" i="2"/>
  <c r="A17547" i="2"/>
  <c r="A17546" i="2"/>
  <c r="A17545" i="2"/>
  <c r="A17544" i="2"/>
  <c r="A17543" i="2"/>
  <c r="A17542" i="2"/>
  <c r="A17541" i="2"/>
  <c r="A17540" i="2"/>
  <c r="A17539" i="2"/>
  <c r="A17538" i="2"/>
  <c r="A17537" i="2"/>
  <c r="A17536" i="2"/>
  <c r="A17535" i="2"/>
  <c r="A17534" i="2"/>
  <c r="A17533" i="2"/>
  <c r="A17532" i="2"/>
  <c r="A17531" i="2"/>
  <c r="A17530" i="2"/>
  <c r="A17529" i="2"/>
  <c r="A17528" i="2"/>
  <c r="A17527" i="2"/>
  <c r="A17526" i="2"/>
  <c r="A17525" i="2"/>
  <c r="A17524" i="2"/>
  <c r="A17523" i="2"/>
  <c r="A17522" i="2"/>
  <c r="A17521" i="2"/>
  <c r="A17520" i="2"/>
  <c r="A17519" i="2"/>
  <c r="A17518" i="2"/>
  <c r="A17517" i="2"/>
  <c r="A17516" i="2"/>
  <c r="A17515" i="2"/>
  <c r="A17514" i="2"/>
  <c r="A17513" i="2"/>
  <c r="A17512" i="2"/>
  <c r="A17511" i="2"/>
  <c r="A17510" i="2"/>
  <c r="A17509" i="2"/>
  <c r="A17508" i="2"/>
  <c r="A17507" i="2"/>
  <c r="A17506" i="2"/>
  <c r="A17505" i="2"/>
  <c r="A17504" i="2"/>
  <c r="A17503" i="2"/>
  <c r="A17502" i="2"/>
  <c r="A17501" i="2"/>
  <c r="A17500" i="2"/>
  <c r="A17499" i="2"/>
  <c r="A17498" i="2"/>
  <c r="A17497" i="2"/>
  <c r="A17496" i="2"/>
  <c r="A17495" i="2"/>
  <c r="A17494" i="2"/>
  <c r="A17493" i="2"/>
  <c r="A17492" i="2"/>
  <c r="A17491" i="2"/>
  <c r="A17490" i="2"/>
  <c r="A17489" i="2"/>
  <c r="A17488" i="2"/>
  <c r="A17487" i="2"/>
  <c r="A17486" i="2"/>
  <c r="A17485" i="2"/>
  <c r="A17484" i="2"/>
  <c r="A17483" i="2"/>
  <c r="A17482" i="2"/>
  <c r="A17481" i="2"/>
  <c r="A17480" i="2"/>
  <c r="A17479" i="2"/>
  <c r="A17478" i="2"/>
  <c r="A17477" i="2"/>
  <c r="A17476" i="2"/>
  <c r="A17475" i="2"/>
  <c r="A17474" i="2"/>
  <c r="A17473" i="2"/>
  <c r="A17472" i="2"/>
  <c r="A17471" i="2"/>
  <c r="A17470" i="2"/>
  <c r="A17469" i="2"/>
  <c r="A17468" i="2"/>
  <c r="A17467" i="2"/>
  <c r="A17466" i="2"/>
  <c r="A17465" i="2"/>
  <c r="A17464" i="2"/>
  <c r="A17463" i="2"/>
  <c r="A17462" i="2"/>
  <c r="A17461" i="2"/>
  <c r="A17460" i="2"/>
  <c r="A17459" i="2"/>
  <c r="A17458" i="2"/>
  <c r="A17457" i="2"/>
  <c r="A17456" i="2"/>
  <c r="A17455" i="2"/>
  <c r="A17454" i="2"/>
  <c r="A17453" i="2"/>
  <c r="A17452" i="2"/>
  <c r="A17451" i="2"/>
  <c r="A17450" i="2"/>
  <c r="A17449" i="2"/>
  <c r="A17448" i="2"/>
  <c r="A17447" i="2"/>
  <c r="A17446" i="2"/>
  <c r="A17445" i="2"/>
  <c r="A17444" i="2"/>
  <c r="A17443" i="2"/>
  <c r="A17442" i="2"/>
  <c r="A17441" i="2"/>
  <c r="A17440" i="2"/>
  <c r="A17439" i="2"/>
  <c r="A17438" i="2"/>
  <c r="A17437" i="2"/>
  <c r="A17436" i="2"/>
  <c r="A17435" i="2"/>
  <c r="A17434" i="2"/>
  <c r="A17433" i="2"/>
  <c r="A17432" i="2"/>
  <c r="A17431" i="2"/>
  <c r="A17430" i="2"/>
  <c r="A17429" i="2"/>
  <c r="A17428" i="2"/>
  <c r="A17427" i="2"/>
  <c r="A17426" i="2"/>
  <c r="A17425" i="2"/>
  <c r="A17424" i="2"/>
  <c r="A17423" i="2"/>
  <c r="A17422" i="2"/>
  <c r="A17421" i="2"/>
  <c r="A17420" i="2"/>
  <c r="A17419" i="2"/>
  <c r="A17418" i="2"/>
  <c r="A17417" i="2"/>
  <c r="A17416" i="2"/>
  <c r="A17415" i="2"/>
  <c r="A17414" i="2"/>
  <c r="A17413" i="2"/>
  <c r="A17412" i="2"/>
  <c r="A17411" i="2"/>
  <c r="A17410" i="2"/>
  <c r="A17409" i="2"/>
  <c r="A17408" i="2"/>
  <c r="A17407" i="2"/>
  <c r="A17406" i="2"/>
  <c r="A17405" i="2"/>
  <c r="A17404" i="2"/>
  <c r="A17403" i="2"/>
  <c r="A17402" i="2"/>
  <c r="A17401" i="2"/>
  <c r="A17400" i="2"/>
  <c r="A17399" i="2"/>
  <c r="A17398" i="2"/>
  <c r="A17397" i="2"/>
  <c r="A17396" i="2"/>
  <c r="A17395" i="2"/>
  <c r="A17394" i="2"/>
  <c r="A17393" i="2"/>
  <c r="A17392" i="2"/>
  <c r="A17391" i="2"/>
  <c r="A17390" i="2"/>
  <c r="A17389" i="2"/>
  <c r="A17388" i="2"/>
  <c r="A17387" i="2"/>
  <c r="A17386" i="2"/>
  <c r="A17385" i="2"/>
  <c r="A17384" i="2"/>
  <c r="A17383" i="2"/>
  <c r="A17382" i="2"/>
  <c r="A17381" i="2"/>
  <c r="A17380" i="2"/>
  <c r="A17379" i="2"/>
  <c r="A17378" i="2"/>
  <c r="A17377" i="2"/>
  <c r="A17376" i="2"/>
  <c r="A17375" i="2"/>
  <c r="A17374" i="2"/>
  <c r="A17373" i="2"/>
  <c r="A17372" i="2"/>
  <c r="A17371" i="2"/>
  <c r="A17370" i="2"/>
  <c r="A17369" i="2"/>
  <c r="A17368" i="2"/>
  <c r="A17367" i="2"/>
  <c r="A17366" i="2"/>
  <c r="A17365" i="2"/>
  <c r="A17364" i="2"/>
  <c r="A17363" i="2"/>
  <c r="A17362" i="2"/>
  <c r="A17361" i="2"/>
  <c r="A17360" i="2"/>
  <c r="A17359" i="2"/>
  <c r="A17358" i="2"/>
  <c r="A17357" i="2"/>
  <c r="A17356" i="2"/>
  <c r="A17355" i="2"/>
  <c r="A17354" i="2"/>
  <c r="A17353" i="2"/>
  <c r="A17352" i="2"/>
  <c r="A17351" i="2"/>
  <c r="A17350" i="2"/>
  <c r="A17349" i="2"/>
  <c r="A17348" i="2"/>
  <c r="A17347" i="2"/>
  <c r="A17346" i="2"/>
  <c r="A17345" i="2"/>
  <c r="A17344" i="2"/>
  <c r="A17343" i="2"/>
  <c r="A17342" i="2"/>
  <c r="A17341" i="2"/>
  <c r="A17340" i="2"/>
  <c r="A17339" i="2"/>
  <c r="A17338" i="2"/>
  <c r="A17337" i="2"/>
  <c r="A17336" i="2"/>
  <c r="A17335" i="2"/>
  <c r="A17334" i="2"/>
  <c r="A17333" i="2"/>
  <c r="A17332" i="2"/>
  <c r="A17331" i="2"/>
  <c r="A17330" i="2"/>
  <c r="A17329" i="2"/>
  <c r="A17328" i="2"/>
  <c r="A17327" i="2"/>
  <c r="A17326" i="2"/>
  <c r="A17325" i="2"/>
  <c r="A17324" i="2"/>
  <c r="A17323" i="2"/>
  <c r="A17322" i="2"/>
  <c r="A17321" i="2"/>
  <c r="A17320" i="2"/>
  <c r="A17319" i="2"/>
  <c r="A17318" i="2"/>
  <c r="A17317" i="2"/>
  <c r="A17316" i="2"/>
  <c r="A17315" i="2"/>
  <c r="A17314" i="2"/>
  <c r="A17313" i="2"/>
  <c r="A17312" i="2"/>
  <c r="A17311" i="2"/>
  <c r="A17310" i="2"/>
  <c r="A17309" i="2"/>
  <c r="A17308" i="2"/>
  <c r="A17307" i="2"/>
  <c r="A17306" i="2"/>
  <c r="A17305" i="2"/>
  <c r="A17304" i="2"/>
  <c r="A17303" i="2"/>
  <c r="A17302" i="2"/>
  <c r="A17301" i="2"/>
  <c r="A17300" i="2"/>
  <c r="A17299" i="2"/>
  <c r="A17298" i="2"/>
  <c r="A17297" i="2"/>
  <c r="A17296" i="2"/>
  <c r="A17295" i="2"/>
  <c r="A17294" i="2"/>
  <c r="A17293" i="2"/>
  <c r="A17292" i="2"/>
  <c r="A17291" i="2"/>
  <c r="A17290" i="2"/>
  <c r="A17289" i="2"/>
  <c r="A17288" i="2"/>
  <c r="A17287" i="2"/>
  <c r="A17286" i="2"/>
  <c r="A17285" i="2"/>
  <c r="A17284" i="2"/>
  <c r="A17283" i="2"/>
  <c r="A17282" i="2"/>
  <c r="A17281" i="2"/>
  <c r="A17280" i="2"/>
  <c r="A17279" i="2"/>
  <c r="A17278" i="2"/>
  <c r="A17277" i="2"/>
  <c r="A17276" i="2"/>
  <c r="A17275" i="2"/>
  <c r="A17274" i="2"/>
  <c r="A17273" i="2"/>
  <c r="A17272" i="2"/>
  <c r="A17271" i="2"/>
  <c r="A17270" i="2"/>
  <c r="A17269" i="2"/>
  <c r="A17268" i="2"/>
  <c r="A17267" i="2"/>
  <c r="A17266" i="2"/>
  <c r="A17265" i="2"/>
  <c r="A17264" i="2"/>
  <c r="A17263" i="2"/>
  <c r="A17262" i="2"/>
  <c r="A17261" i="2"/>
  <c r="A17260" i="2"/>
  <c r="A17259" i="2"/>
  <c r="A17258" i="2"/>
  <c r="A17257" i="2"/>
  <c r="A17256" i="2"/>
  <c r="A17255" i="2"/>
  <c r="A17254" i="2"/>
  <c r="A17253" i="2"/>
  <c r="A17252" i="2"/>
  <c r="A17251" i="2"/>
  <c r="A17250" i="2"/>
  <c r="A17249" i="2"/>
  <c r="A17248" i="2"/>
  <c r="A17247" i="2"/>
  <c r="A17246" i="2"/>
  <c r="A17245" i="2"/>
  <c r="A17244" i="2"/>
  <c r="A17243" i="2"/>
  <c r="A17242" i="2"/>
  <c r="A17241" i="2"/>
  <c r="A17240" i="2"/>
  <c r="A17239" i="2"/>
  <c r="A17238" i="2"/>
  <c r="A17237" i="2"/>
  <c r="A17236" i="2"/>
  <c r="A17235" i="2"/>
  <c r="A17234" i="2"/>
  <c r="A17233" i="2"/>
  <c r="A17232" i="2"/>
  <c r="A17231" i="2"/>
  <c r="A17230" i="2"/>
  <c r="A17229" i="2"/>
  <c r="A17228" i="2"/>
  <c r="A17227" i="2"/>
  <c r="A17226" i="2"/>
  <c r="A17225" i="2"/>
  <c r="A17224" i="2"/>
  <c r="A17223" i="2"/>
  <c r="A17222" i="2"/>
  <c r="A17221" i="2"/>
  <c r="A17220" i="2"/>
  <c r="A17219" i="2"/>
  <c r="A17218" i="2"/>
  <c r="A17217" i="2"/>
  <c r="A17216" i="2"/>
  <c r="A17215" i="2"/>
  <c r="A17214" i="2"/>
  <c r="A17213" i="2"/>
  <c r="A17212" i="2"/>
  <c r="A17211" i="2"/>
  <c r="A17210" i="2"/>
  <c r="A17209" i="2"/>
  <c r="A17208" i="2"/>
  <c r="A17207" i="2"/>
  <c r="A17206" i="2"/>
  <c r="A17205" i="2"/>
  <c r="A17204" i="2"/>
  <c r="A17203" i="2"/>
  <c r="A17202" i="2"/>
  <c r="A17201" i="2"/>
  <c r="A17200" i="2"/>
  <c r="A17199" i="2"/>
  <c r="A17198" i="2"/>
  <c r="A17197" i="2"/>
  <c r="A17196" i="2"/>
  <c r="A17195" i="2"/>
  <c r="A17194" i="2"/>
  <c r="A17193" i="2"/>
  <c r="A17192" i="2"/>
  <c r="A17191" i="2"/>
  <c r="A17190" i="2"/>
  <c r="A17189" i="2"/>
  <c r="A17188" i="2"/>
  <c r="A17187" i="2"/>
  <c r="A17186" i="2"/>
  <c r="A17185" i="2"/>
  <c r="A17184" i="2"/>
  <c r="A17183" i="2"/>
  <c r="A17182" i="2"/>
  <c r="A17181" i="2"/>
  <c r="A17180" i="2"/>
  <c r="A17179" i="2"/>
  <c r="A17178" i="2"/>
  <c r="A17177" i="2"/>
  <c r="A17176" i="2"/>
  <c r="A17175" i="2"/>
  <c r="A17174" i="2"/>
  <c r="A17173" i="2"/>
  <c r="A17172" i="2"/>
  <c r="A17171" i="2"/>
  <c r="A17170" i="2"/>
  <c r="A17169" i="2"/>
  <c r="A17168" i="2"/>
  <c r="A17167" i="2"/>
  <c r="A17166" i="2"/>
  <c r="A17165" i="2"/>
  <c r="A17164" i="2"/>
  <c r="A17163" i="2"/>
  <c r="A17162" i="2"/>
  <c r="A17161" i="2"/>
  <c r="A17160" i="2"/>
  <c r="A17159" i="2"/>
  <c r="A17158" i="2"/>
  <c r="A17157" i="2"/>
  <c r="A17156" i="2"/>
  <c r="A17155" i="2"/>
  <c r="A17154" i="2"/>
  <c r="A17153" i="2"/>
  <c r="A17152" i="2"/>
  <c r="A17151" i="2"/>
  <c r="A17150" i="2"/>
  <c r="A17149" i="2"/>
  <c r="A17148" i="2"/>
  <c r="A17147" i="2"/>
  <c r="A17146" i="2"/>
  <c r="A17145" i="2"/>
  <c r="A17144" i="2"/>
  <c r="A17143" i="2"/>
  <c r="A17142" i="2"/>
  <c r="A17141" i="2"/>
  <c r="A17140" i="2"/>
  <c r="A17139" i="2"/>
  <c r="A17138" i="2"/>
  <c r="A17137" i="2"/>
  <c r="A17136" i="2"/>
  <c r="A17135" i="2"/>
  <c r="A17134" i="2"/>
  <c r="A17133" i="2"/>
  <c r="A17132" i="2"/>
  <c r="A17131" i="2"/>
  <c r="A17130" i="2"/>
  <c r="A17129" i="2"/>
  <c r="A17128" i="2"/>
  <c r="A17127" i="2"/>
  <c r="A17126" i="2"/>
  <c r="A17125" i="2"/>
  <c r="A17124" i="2"/>
  <c r="A17123" i="2"/>
  <c r="A17122" i="2"/>
  <c r="A17121" i="2"/>
  <c r="A17120" i="2"/>
  <c r="A17119" i="2"/>
  <c r="A17118" i="2"/>
  <c r="A17117" i="2"/>
  <c r="A17116" i="2"/>
  <c r="A17115" i="2"/>
  <c r="A17114" i="2"/>
  <c r="A17113" i="2"/>
  <c r="A17112" i="2"/>
  <c r="A17111" i="2"/>
  <c r="A17110" i="2"/>
  <c r="A17109" i="2"/>
  <c r="A17108" i="2"/>
  <c r="A17107" i="2"/>
  <c r="A17106" i="2"/>
  <c r="A17105" i="2"/>
  <c r="A17104" i="2"/>
  <c r="A17103" i="2"/>
  <c r="A17102" i="2"/>
  <c r="A17101" i="2"/>
  <c r="A17100" i="2"/>
  <c r="A17099" i="2"/>
  <c r="A17098" i="2"/>
  <c r="A17097" i="2"/>
  <c r="A17096" i="2"/>
  <c r="A17095" i="2"/>
  <c r="A17094" i="2"/>
  <c r="A17093" i="2"/>
  <c r="A17092" i="2"/>
  <c r="A17091" i="2"/>
  <c r="A17090" i="2"/>
  <c r="A17089" i="2"/>
  <c r="A17088" i="2"/>
  <c r="A17087" i="2"/>
  <c r="A17086" i="2"/>
  <c r="A17085" i="2"/>
  <c r="A17084" i="2"/>
  <c r="A17083" i="2"/>
  <c r="A17082" i="2"/>
  <c r="A17081" i="2"/>
  <c r="A17080" i="2"/>
  <c r="A17079" i="2"/>
  <c r="A17078" i="2"/>
  <c r="A17077" i="2"/>
  <c r="A17076" i="2"/>
  <c r="A17075" i="2"/>
  <c r="A17074" i="2"/>
  <c r="A17073" i="2"/>
  <c r="A17072" i="2"/>
  <c r="A17071" i="2"/>
  <c r="A17070" i="2"/>
  <c r="A17069" i="2"/>
  <c r="A17068" i="2"/>
  <c r="A17067" i="2"/>
  <c r="A17066" i="2"/>
  <c r="A17065" i="2"/>
  <c r="A17064" i="2"/>
  <c r="A17063" i="2"/>
  <c r="A17062" i="2"/>
  <c r="A17061" i="2"/>
  <c r="A17060" i="2"/>
  <c r="A17059" i="2"/>
  <c r="A17058" i="2"/>
  <c r="A17057" i="2"/>
  <c r="A17056" i="2"/>
  <c r="A17055" i="2"/>
  <c r="A17054" i="2"/>
  <c r="A17053" i="2"/>
  <c r="A17052" i="2"/>
  <c r="A17051" i="2"/>
  <c r="A17050" i="2"/>
  <c r="A17049" i="2"/>
  <c r="A17048" i="2"/>
  <c r="A17047" i="2"/>
  <c r="A17046" i="2"/>
  <c r="A17045" i="2"/>
  <c r="A17044" i="2"/>
  <c r="A17043" i="2"/>
  <c r="A17042" i="2"/>
  <c r="A17041" i="2"/>
  <c r="A17040" i="2"/>
  <c r="A17039" i="2"/>
  <c r="A17038" i="2"/>
  <c r="A17037" i="2"/>
  <c r="A17036" i="2"/>
  <c r="A17035" i="2"/>
  <c r="A17034" i="2"/>
  <c r="A17033" i="2"/>
  <c r="A17032" i="2"/>
  <c r="A17031" i="2"/>
  <c r="A17030" i="2"/>
  <c r="A17029" i="2"/>
  <c r="A17028" i="2"/>
  <c r="A17027" i="2"/>
  <c r="A17026" i="2"/>
  <c r="A17025" i="2"/>
  <c r="A17024" i="2"/>
  <c r="A17023" i="2"/>
  <c r="A17022" i="2"/>
  <c r="A17021" i="2"/>
  <c r="A17020" i="2"/>
  <c r="A17019" i="2"/>
  <c r="A17018" i="2"/>
  <c r="A17017" i="2"/>
  <c r="A17016" i="2"/>
  <c r="A17015" i="2"/>
  <c r="A17014" i="2"/>
  <c r="A17013" i="2"/>
  <c r="A17012" i="2"/>
  <c r="A17011" i="2"/>
  <c r="A17010" i="2"/>
  <c r="A17009" i="2"/>
  <c r="A17008" i="2"/>
  <c r="A17007" i="2"/>
  <c r="A17006" i="2"/>
  <c r="A17005" i="2"/>
  <c r="A17004" i="2"/>
  <c r="A17003" i="2"/>
  <c r="A17002" i="2"/>
  <c r="A17001" i="2"/>
  <c r="A17000" i="2"/>
  <c r="A16999" i="2"/>
  <c r="A16998" i="2"/>
  <c r="A16997" i="2"/>
  <c r="A16996" i="2"/>
  <c r="A16995" i="2"/>
  <c r="A16994" i="2"/>
  <c r="A16993" i="2"/>
  <c r="A16992" i="2"/>
  <c r="A16991" i="2"/>
  <c r="A16990" i="2"/>
  <c r="A16989" i="2"/>
  <c r="A16988" i="2"/>
  <c r="A16987" i="2"/>
  <c r="A16986" i="2"/>
  <c r="A16985" i="2"/>
  <c r="A16984" i="2"/>
  <c r="A16983" i="2"/>
  <c r="A16982" i="2"/>
  <c r="A16981" i="2"/>
  <c r="A16980" i="2"/>
  <c r="A16979" i="2"/>
  <c r="A16978" i="2"/>
  <c r="A16977" i="2"/>
  <c r="A16976" i="2"/>
  <c r="A16975" i="2"/>
  <c r="A16974" i="2"/>
  <c r="A16973" i="2"/>
  <c r="A16972" i="2"/>
  <c r="A16971" i="2"/>
  <c r="A16970" i="2"/>
  <c r="A16969" i="2"/>
  <c r="A16968" i="2"/>
  <c r="A16967" i="2"/>
  <c r="A16966" i="2"/>
  <c r="A16965" i="2"/>
  <c r="A16964" i="2"/>
  <c r="A16963" i="2"/>
  <c r="A16962" i="2"/>
  <c r="A16961" i="2"/>
  <c r="A16960" i="2"/>
  <c r="A16959" i="2"/>
  <c r="A16958" i="2"/>
  <c r="A16957" i="2"/>
  <c r="A16956" i="2"/>
  <c r="A16955" i="2"/>
  <c r="A16954" i="2"/>
  <c r="A16953" i="2"/>
  <c r="A16952" i="2"/>
  <c r="A16951" i="2"/>
  <c r="A16950" i="2"/>
  <c r="A16949" i="2"/>
  <c r="A16948" i="2"/>
  <c r="A16947" i="2"/>
  <c r="A16946" i="2"/>
  <c r="A16945" i="2"/>
  <c r="A16944" i="2"/>
  <c r="A16943" i="2"/>
  <c r="A16942" i="2"/>
  <c r="A16941" i="2"/>
  <c r="A16940" i="2"/>
  <c r="A16939" i="2"/>
  <c r="A16938" i="2"/>
  <c r="A16937" i="2"/>
  <c r="A16936" i="2"/>
  <c r="A16935" i="2"/>
  <c r="A16934" i="2"/>
  <c r="A16933" i="2"/>
  <c r="A16932" i="2"/>
  <c r="A16931" i="2"/>
  <c r="A16930" i="2"/>
  <c r="A16929" i="2"/>
  <c r="A16928" i="2"/>
  <c r="A16927" i="2"/>
  <c r="A16926" i="2"/>
  <c r="A16925" i="2"/>
  <c r="A16924" i="2"/>
  <c r="A16923" i="2"/>
  <c r="A16922" i="2"/>
  <c r="A16921" i="2"/>
  <c r="A16920" i="2"/>
  <c r="A16919" i="2"/>
  <c r="A16918" i="2"/>
  <c r="A16917" i="2"/>
  <c r="A16916" i="2"/>
  <c r="A16915" i="2"/>
  <c r="A16914" i="2"/>
  <c r="A16913" i="2"/>
  <c r="A16912" i="2"/>
  <c r="A16911" i="2"/>
  <c r="A16910" i="2"/>
  <c r="A16909" i="2"/>
  <c r="A16908" i="2"/>
  <c r="A16907" i="2"/>
  <c r="A16906" i="2"/>
  <c r="A16905" i="2"/>
  <c r="A16904" i="2"/>
  <c r="A16903" i="2"/>
  <c r="A16902" i="2"/>
  <c r="A16901" i="2"/>
  <c r="A16900" i="2"/>
  <c r="A16899" i="2"/>
  <c r="A16898" i="2"/>
  <c r="A16897" i="2"/>
  <c r="A16896" i="2"/>
  <c r="A16895" i="2"/>
  <c r="A16894" i="2"/>
  <c r="A16893" i="2"/>
  <c r="A16892" i="2"/>
  <c r="A16891" i="2"/>
  <c r="A16890" i="2"/>
  <c r="A16889" i="2"/>
  <c r="A16888" i="2"/>
  <c r="A16887" i="2"/>
  <c r="A16886" i="2"/>
  <c r="A16885" i="2"/>
  <c r="A16884" i="2"/>
  <c r="A16883" i="2"/>
  <c r="A16882" i="2"/>
  <c r="A16881" i="2"/>
  <c r="A16880" i="2"/>
  <c r="A16879" i="2"/>
  <c r="A16878" i="2"/>
  <c r="A16877" i="2"/>
  <c r="A16876" i="2"/>
  <c r="A16875" i="2"/>
  <c r="A16874" i="2"/>
  <c r="A16873" i="2"/>
  <c r="A16872" i="2"/>
  <c r="A16871" i="2"/>
  <c r="A16870" i="2"/>
  <c r="A16869" i="2"/>
  <c r="A16868" i="2"/>
  <c r="A16867" i="2"/>
  <c r="A16866" i="2"/>
  <c r="A16865" i="2"/>
  <c r="A16864" i="2"/>
  <c r="A16863" i="2"/>
  <c r="A16862" i="2"/>
  <c r="A16861" i="2"/>
  <c r="A16860" i="2"/>
  <c r="A16859" i="2"/>
  <c r="A16858" i="2"/>
  <c r="A16857" i="2"/>
  <c r="A16856" i="2"/>
  <c r="A16855" i="2"/>
  <c r="A16854" i="2"/>
  <c r="A16853" i="2"/>
  <c r="A16852" i="2"/>
  <c r="A16851" i="2"/>
  <c r="A16850" i="2"/>
  <c r="A16849" i="2"/>
  <c r="A16848" i="2"/>
  <c r="A16847" i="2"/>
  <c r="A16846" i="2"/>
  <c r="A16845" i="2"/>
  <c r="A16844" i="2"/>
  <c r="A16843" i="2"/>
  <c r="A16842" i="2"/>
  <c r="A16841" i="2"/>
  <c r="A16840" i="2"/>
  <c r="A16839" i="2"/>
  <c r="A16838" i="2"/>
  <c r="A16837" i="2"/>
  <c r="A16836" i="2"/>
  <c r="A16835" i="2"/>
  <c r="A16834" i="2"/>
  <c r="A16833" i="2"/>
  <c r="A16832" i="2"/>
  <c r="A16831" i="2"/>
  <c r="A16830" i="2"/>
  <c r="A16829" i="2"/>
  <c r="A16828" i="2"/>
  <c r="A16827" i="2"/>
  <c r="A16826" i="2"/>
  <c r="A16825" i="2"/>
  <c r="A16824" i="2"/>
  <c r="A16823" i="2"/>
  <c r="A16822" i="2"/>
  <c r="A16821" i="2"/>
  <c r="A16820" i="2"/>
  <c r="A16819" i="2"/>
  <c r="A16818" i="2"/>
  <c r="A16817" i="2"/>
  <c r="A16816" i="2"/>
  <c r="A16815" i="2"/>
  <c r="A16814" i="2"/>
  <c r="A16813" i="2"/>
  <c r="A16812" i="2"/>
  <c r="A16811" i="2"/>
  <c r="A16810" i="2"/>
  <c r="A16809" i="2"/>
  <c r="A16808" i="2"/>
  <c r="A16807" i="2"/>
  <c r="A16806" i="2"/>
  <c r="A16805" i="2"/>
  <c r="A16804" i="2"/>
  <c r="A16803" i="2"/>
  <c r="A16802" i="2"/>
  <c r="A16801" i="2"/>
  <c r="A16800" i="2"/>
  <c r="A16799" i="2"/>
  <c r="A16798" i="2"/>
  <c r="A16797" i="2"/>
  <c r="A16796" i="2"/>
  <c r="A16795" i="2"/>
  <c r="A16794" i="2"/>
  <c r="A16793" i="2"/>
  <c r="A16792" i="2"/>
  <c r="A16791" i="2"/>
  <c r="A16790" i="2"/>
  <c r="A16789" i="2"/>
  <c r="A16788" i="2"/>
  <c r="A16787" i="2"/>
  <c r="A16786" i="2"/>
  <c r="A16785" i="2"/>
  <c r="A16784" i="2"/>
  <c r="A16783" i="2"/>
  <c r="A16782" i="2"/>
  <c r="A16781" i="2"/>
  <c r="A16780" i="2"/>
  <c r="A16779" i="2"/>
  <c r="A16778" i="2"/>
  <c r="A16777" i="2"/>
  <c r="A16776" i="2"/>
  <c r="A16775" i="2"/>
  <c r="A16774" i="2"/>
  <c r="A16773" i="2"/>
  <c r="A16772" i="2"/>
  <c r="A16771" i="2"/>
  <c r="A16770" i="2"/>
  <c r="A16769" i="2"/>
  <c r="A16768" i="2"/>
  <c r="A16767" i="2"/>
  <c r="A16766" i="2"/>
  <c r="A16765" i="2"/>
  <c r="A16764" i="2"/>
  <c r="A16763" i="2"/>
  <c r="A16762" i="2"/>
  <c r="A16761" i="2"/>
  <c r="A16760" i="2"/>
  <c r="A16759" i="2"/>
  <c r="A16758" i="2"/>
  <c r="A16757" i="2"/>
  <c r="A16756" i="2"/>
  <c r="A16755" i="2"/>
  <c r="A16754" i="2"/>
  <c r="A16753" i="2"/>
  <c r="A16752" i="2"/>
  <c r="A16751" i="2"/>
  <c r="A16750" i="2"/>
  <c r="A16749" i="2"/>
  <c r="A16748" i="2"/>
  <c r="A16747" i="2"/>
  <c r="A16746" i="2"/>
  <c r="A16745" i="2"/>
  <c r="A16744" i="2"/>
  <c r="A16743" i="2"/>
  <c r="A16742" i="2"/>
  <c r="A16741" i="2"/>
  <c r="A16740" i="2"/>
  <c r="A16739" i="2"/>
  <c r="A16738" i="2"/>
  <c r="A16737" i="2"/>
  <c r="A16736" i="2"/>
  <c r="A16735" i="2"/>
  <c r="A16734" i="2"/>
  <c r="A16733" i="2"/>
  <c r="A16732" i="2"/>
  <c r="A16731" i="2"/>
  <c r="A16730" i="2"/>
  <c r="A16729" i="2"/>
  <c r="A16728" i="2"/>
  <c r="A16727" i="2"/>
  <c r="A16726" i="2"/>
  <c r="A16725" i="2"/>
  <c r="A16724" i="2"/>
  <c r="A16723" i="2"/>
  <c r="A16722" i="2"/>
  <c r="A16721" i="2"/>
  <c r="A16720" i="2"/>
  <c r="A16719" i="2"/>
  <c r="A16718" i="2"/>
  <c r="A16717" i="2"/>
  <c r="A16716" i="2"/>
  <c r="A16715" i="2"/>
  <c r="A16714" i="2"/>
  <c r="A16713" i="2"/>
  <c r="A16712" i="2"/>
  <c r="A16711" i="2"/>
  <c r="A16710" i="2"/>
  <c r="A16709" i="2"/>
  <c r="A16708" i="2"/>
  <c r="A16707" i="2"/>
  <c r="A16706" i="2"/>
  <c r="A16705" i="2"/>
  <c r="A16704" i="2"/>
  <c r="A16703" i="2"/>
  <c r="A16702" i="2"/>
  <c r="A16701" i="2"/>
  <c r="A16700" i="2"/>
  <c r="A16699" i="2"/>
  <c r="A16698" i="2"/>
  <c r="A16697" i="2"/>
  <c r="A16696" i="2"/>
  <c r="A16695" i="2"/>
  <c r="A16694" i="2"/>
  <c r="A16693" i="2"/>
  <c r="A16692" i="2"/>
  <c r="A16691" i="2"/>
  <c r="A16690" i="2"/>
  <c r="A16689" i="2"/>
  <c r="A16688" i="2"/>
  <c r="A16687" i="2"/>
  <c r="A16686" i="2"/>
  <c r="A16685" i="2"/>
  <c r="A16684" i="2"/>
  <c r="A16683" i="2"/>
  <c r="A16682" i="2"/>
  <c r="A16681" i="2"/>
  <c r="A16680" i="2"/>
  <c r="A16679" i="2"/>
  <c r="A16678" i="2"/>
  <c r="A16677" i="2"/>
  <c r="A16676" i="2"/>
  <c r="A16675" i="2"/>
  <c r="A16674" i="2"/>
  <c r="A16673" i="2"/>
  <c r="A16672" i="2"/>
  <c r="A16671" i="2"/>
  <c r="A16670" i="2"/>
  <c r="A16669" i="2"/>
  <c r="A16668" i="2"/>
  <c r="A16667" i="2"/>
  <c r="A16666" i="2"/>
  <c r="A16665" i="2"/>
  <c r="A16664" i="2"/>
  <c r="A16663" i="2"/>
  <c r="A16662" i="2"/>
  <c r="A16661" i="2"/>
  <c r="A16660" i="2"/>
  <c r="A16659" i="2"/>
  <c r="A16658" i="2"/>
  <c r="A16657" i="2"/>
  <c r="A16656" i="2"/>
  <c r="A16655" i="2"/>
  <c r="A16654" i="2"/>
  <c r="A16653" i="2"/>
  <c r="A16652" i="2"/>
  <c r="A16651" i="2"/>
  <c r="A16650" i="2"/>
  <c r="A16649" i="2"/>
  <c r="A16648" i="2"/>
  <c r="A16647" i="2"/>
  <c r="A16646" i="2"/>
  <c r="A16645" i="2"/>
  <c r="A16644" i="2"/>
  <c r="A16643" i="2"/>
  <c r="A16642" i="2"/>
  <c r="A16641" i="2"/>
  <c r="A16640" i="2"/>
  <c r="A16639" i="2"/>
  <c r="A16638" i="2"/>
  <c r="A16637" i="2"/>
  <c r="A16636" i="2"/>
  <c r="A16635" i="2"/>
  <c r="A16634" i="2"/>
  <c r="A16633" i="2"/>
  <c r="A16632" i="2"/>
  <c r="A16631" i="2"/>
  <c r="A16630" i="2"/>
  <c r="A16629" i="2"/>
  <c r="A16628" i="2"/>
  <c r="A16627" i="2"/>
  <c r="A16626" i="2"/>
  <c r="A16625" i="2"/>
  <c r="A16624" i="2"/>
  <c r="A16623" i="2"/>
  <c r="A16622" i="2"/>
  <c r="A16621" i="2"/>
  <c r="A16620" i="2"/>
  <c r="A16619" i="2"/>
  <c r="A16618" i="2"/>
  <c r="A16617" i="2"/>
  <c r="A16616" i="2"/>
  <c r="A16615" i="2"/>
  <c r="A16614" i="2"/>
  <c r="A16613" i="2"/>
  <c r="A16612" i="2"/>
  <c r="A16611" i="2"/>
  <c r="A16610" i="2"/>
  <c r="A16609" i="2"/>
  <c r="A16608" i="2"/>
  <c r="A16607" i="2"/>
  <c r="A16606" i="2"/>
  <c r="A16605" i="2"/>
  <c r="A16604" i="2"/>
  <c r="A16603" i="2"/>
  <c r="A16602" i="2"/>
  <c r="A16601" i="2"/>
  <c r="A16600" i="2"/>
  <c r="A16599" i="2"/>
  <c r="A16598" i="2"/>
  <c r="A16597" i="2"/>
  <c r="A16596" i="2"/>
  <c r="A16595" i="2"/>
  <c r="A16594" i="2"/>
  <c r="A16593" i="2"/>
  <c r="A16592" i="2"/>
  <c r="A16591" i="2"/>
  <c r="A16590" i="2"/>
  <c r="A16589" i="2"/>
  <c r="A16588" i="2"/>
  <c r="A16587" i="2"/>
  <c r="A16586" i="2"/>
  <c r="A16585" i="2"/>
  <c r="A16584" i="2"/>
  <c r="A16583" i="2"/>
  <c r="A16582" i="2"/>
  <c r="A16581" i="2"/>
  <c r="A16580" i="2"/>
  <c r="A16579" i="2"/>
  <c r="A16578" i="2"/>
  <c r="A16577" i="2"/>
  <c r="A16576" i="2"/>
  <c r="A16575" i="2"/>
  <c r="A16574" i="2"/>
  <c r="A16573" i="2"/>
  <c r="A16572" i="2"/>
  <c r="A16571" i="2"/>
  <c r="A16570" i="2"/>
  <c r="A16569" i="2"/>
  <c r="A16568" i="2"/>
  <c r="A16567" i="2"/>
  <c r="A16566" i="2"/>
  <c r="A16565" i="2"/>
  <c r="A16564" i="2"/>
  <c r="A16563" i="2"/>
  <c r="A16562" i="2"/>
  <c r="A16561" i="2"/>
  <c r="A16560" i="2"/>
  <c r="A16559" i="2"/>
  <c r="A16558" i="2"/>
  <c r="A16557" i="2"/>
  <c r="A16556" i="2"/>
  <c r="A16555" i="2"/>
  <c r="A16554" i="2"/>
  <c r="A16553" i="2"/>
  <c r="A16552" i="2"/>
  <c r="A16551" i="2"/>
  <c r="A16550" i="2"/>
  <c r="A16549" i="2"/>
  <c r="A16548" i="2"/>
  <c r="A16547" i="2"/>
  <c r="A16546" i="2"/>
  <c r="A16545" i="2"/>
  <c r="A16544" i="2"/>
  <c r="A16543" i="2"/>
  <c r="A16542" i="2"/>
  <c r="A16541" i="2"/>
  <c r="A16540" i="2"/>
  <c r="A16539" i="2"/>
  <c r="A16538" i="2"/>
  <c r="A16537" i="2"/>
  <c r="A16536" i="2"/>
  <c r="A16535" i="2"/>
  <c r="A16534" i="2"/>
  <c r="A16533" i="2"/>
  <c r="A16532" i="2"/>
  <c r="A16531" i="2"/>
  <c r="A16530" i="2"/>
  <c r="A16529" i="2"/>
  <c r="A16528" i="2"/>
  <c r="A16527" i="2"/>
  <c r="A16526" i="2"/>
  <c r="A16525" i="2"/>
  <c r="A16524" i="2"/>
  <c r="A16523" i="2"/>
  <c r="A16522" i="2"/>
  <c r="A16521" i="2"/>
  <c r="A16520" i="2"/>
  <c r="A16519" i="2"/>
  <c r="A16518" i="2"/>
  <c r="A16517" i="2"/>
  <c r="A16516" i="2"/>
  <c r="A16515" i="2"/>
  <c r="A16514" i="2"/>
  <c r="A16513" i="2"/>
  <c r="A16512" i="2"/>
  <c r="A16511" i="2"/>
  <c r="A16510" i="2"/>
  <c r="A16509" i="2"/>
  <c r="A16508" i="2"/>
  <c r="A16507" i="2"/>
  <c r="A16506" i="2"/>
  <c r="A16505" i="2"/>
  <c r="A16504" i="2"/>
  <c r="A16503" i="2"/>
  <c r="A16502" i="2"/>
  <c r="A16501" i="2"/>
  <c r="A16500" i="2"/>
  <c r="A16499" i="2"/>
  <c r="A16498" i="2"/>
  <c r="A16497" i="2"/>
  <c r="A16496" i="2"/>
  <c r="A16495" i="2"/>
  <c r="A16494" i="2"/>
  <c r="A16493" i="2"/>
  <c r="A16492" i="2"/>
  <c r="A16491" i="2"/>
  <c r="A16490" i="2"/>
  <c r="A16489" i="2"/>
  <c r="A16488" i="2"/>
  <c r="A16487" i="2"/>
  <c r="A16486" i="2"/>
  <c r="A16485" i="2"/>
  <c r="A16484" i="2"/>
  <c r="A16483" i="2"/>
  <c r="A16482" i="2"/>
  <c r="A16481" i="2"/>
  <c r="A16480" i="2"/>
  <c r="A16479" i="2"/>
  <c r="A16478" i="2"/>
  <c r="A16477" i="2"/>
  <c r="A16476" i="2"/>
  <c r="A16475" i="2"/>
  <c r="A16474" i="2"/>
  <c r="A16473" i="2"/>
  <c r="A16472" i="2"/>
  <c r="A16471" i="2"/>
  <c r="A16470" i="2"/>
  <c r="A16469" i="2"/>
  <c r="A16468" i="2"/>
  <c r="A16467" i="2"/>
  <c r="A16466" i="2"/>
  <c r="A16465" i="2"/>
  <c r="A16464" i="2"/>
  <c r="A16463" i="2"/>
  <c r="A16462" i="2"/>
  <c r="A16461" i="2"/>
  <c r="A16460" i="2"/>
  <c r="A16459" i="2"/>
  <c r="A16458" i="2"/>
  <c r="A16457" i="2"/>
  <c r="A16456" i="2"/>
  <c r="A16455" i="2"/>
  <c r="A16454" i="2"/>
  <c r="A16453" i="2"/>
  <c r="A16452" i="2"/>
  <c r="A16451" i="2"/>
  <c r="A16450" i="2"/>
  <c r="A16449" i="2"/>
  <c r="A16448" i="2"/>
  <c r="A16447" i="2"/>
  <c r="A16446" i="2"/>
  <c r="A16445" i="2"/>
  <c r="A16444" i="2"/>
  <c r="A16443" i="2"/>
  <c r="A16442" i="2"/>
  <c r="A16441" i="2"/>
  <c r="A16440" i="2"/>
  <c r="A16439" i="2"/>
  <c r="A16438" i="2"/>
  <c r="A16437" i="2"/>
  <c r="A16436" i="2"/>
  <c r="A16435" i="2"/>
  <c r="A16434" i="2"/>
  <c r="A16433" i="2"/>
  <c r="A16432" i="2"/>
  <c r="A16431" i="2"/>
  <c r="A16430" i="2"/>
  <c r="A16429" i="2"/>
  <c r="A16428" i="2"/>
  <c r="A16427" i="2"/>
  <c r="A16426" i="2"/>
  <c r="A16425" i="2"/>
  <c r="A16424" i="2"/>
  <c r="A16423" i="2"/>
  <c r="A16422" i="2"/>
  <c r="A16421" i="2"/>
  <c r="A16420" i="2"/>
  <c r="A16419" i="2"/>
  <c r="A16418" i="2"/>
  <c r="A16417" i="2"/>
  <c r="A16416" i="2"/>
  <c r="A16415" i="2"/>
  <c r="A16414" i="2"/>
  <c r="A16413" i="2"/>
  <c r="A16412" i="2"/>
  <c r="A16411" i="2"/>
  <c r="A16410" i="2"/>
  <c r="A16409" i="2"/>
  <c r="A16408" i="2"/>
  <c r="A16407" i="2"/>
  <c r="A16406" i="2"/>
  <c r="A16405" i="2"/>
  <c r="A16404" i="2"/>
  <c r="A16403" i="2"/>
  <c r="A16402" i="2"/>
  <c r="A16401" i="2"/>
  <c r="A16400" i="2"/>
  <c r="A16399" i="2"/>
  <c r="A16398" i="2"/>
  <c r="A16397" i="2"/>
  <c r="A16396" i="2"/>
  <c r="A16395" i="2"/>
  <c r="A16394" i="2"/>
  <c r="A16393" i="2"/>
  <c r="A16392" i="2"/>
  <c r="A16391" i="2"/>
  <c r="A16390" i="2"/>
  <c r="A16389" i="2"/>
  <c r="A16388" i="2"/>
  <c r="A16387" i="2"/>
  <c r="A16386" i="2"/>
  <c r="A16385" i="2"/>
  <c r="A16384" i="2"/>
  <c r="A16383" i="2"/>
  <c r="A16382" i="2"/>
  <c r="A16381" i="2"/>
  <c r="A16380" i="2"/>
  <c r="A16379" i="2"/>
  <c r="A16378" i="2"/>
  <c r="A16377" i="2"/>
  <c r="A16376" i="2"/>
  <c r="A16375" i="2"/>
  <c r="A16374" i="2"/>
  <c r="A16373" i="2"/>
  <c r="A16372" i="2"/>
  <c r="A16371" i="2"/>
  <c r="A16370" i="2"/>
  <c r="A16369" i="2"/>
  <c r="A16368" i="2"/>
  <c r="A16367" i="2"/>
  <c r="A16366" i="2"/>
  <c r="A16365" i="2"/>
  <c r="A16364" i="2"/>
  <c r="A16363" i="2"/>
  <c r="A16362" i="2"/>
  <c r="A16361" i="2"/>
  <c r="A16360" i="2"/>
  <c r="A16359" i="2"/>
  <c r="A16358" i="2"/>
  <c r="A16357" i="2"/>
  <c r="A16356" i="2"/>
  <c r="A16355" i="2"/>
  <c r="A16354" i="2"/>
  <c r="A16353" i="2"/>
  <c r="A16352" i="2"/>
  <c r="A16351" i="2"/>
  <c r="A16350" i="2"/>
  <c r="A16349" i="2"/>
  <c r="A16348" i="2"/>
  <c r="A16347" i="2"/>
  <c r="A16346" i="2"/>
  <c r="A16345" i="2"/>
  <c r="A16344" i="2"/>
  <c r="A16343" i="2"/>
  <c r="A16342" i="2"/>
  <c r="A16341" i="2"/>
  <c r="A16340" i="2"/>
  <c r="A16339" i="2"/>
  <c r="A16338" i="2"/>
  <c r="A16337" i="2"/>
  <c r="A16336" i="2"/>
  <c r="A16335" i="2"/>
  <c r="A16334" i="2"/>
  <c r="A16333" i="2"/>
  <c r="A16332" i="2"/>
  <c r="A16331" i="2"/>
  <c r="A16330" i="2"/>
  <c r="A16329" i="2"/>
  <c r="A16328" i="2"/>
  <c r="A16327" i="2"/>
  <c r="A16326" i="2"/>
  <c r="A16325" i="2"/>
  <c r="A16324" i="2"/>
  <c r="A16323" i="2"/>
  <c r="A16322" i="2"/>
  <c r="A16321" i="2"/>
  <c r="A16320" i="2"/>
  <c r="A16319" i="2"/>
  <c r="A16318" i="2"/>
  <c r="A16317" i="2"/>
  <c r="A16316" i="2"/>
  <c r="A16315" i="2"/>
  <c r="A16314" i="2"/>
  <c r="A16313" i="2"/>
  <c r="A16312" i="2"/>
  <c r="A16311" i="2"/>
  <c r="A16310" i="2"/>
  <c r="A16309" i="2"/>
  <c r="A16308" i="2"/>
  <c r="A16307" i="2"/>
  <c r="A16306" i="2"/>
  <c r="A16305" i="2"/>
  <c r="A16304" i="2"/>
  <c r="A16303" i="2"/>
  <c r="A16302" i="2"/>
  <c r="A16301" i="2"/>
  <c r="A16300" i="2"/>
  <c r="A16299" i="2"/>
  <c r="A16298" i="2"/>
  <c r="A16297" i="2"/>
  <c r="A16296" i="2"/>
  <c r="A16295" i="2"/>
  <c r="A16294" i="2"/>
  <c r="A16293" i="2"/>
  <c r="A16292" i="2"/>
  <c r="A16291" i="2"/>
  <c r="A16290" i="2"/>
  <c r="A16289" i="2"/>
  <c r="A16288" i="2"/>
  <c r="A16287" i="2"/>
  <c r="A16286" i="2"/>
  <c r="A16285" i="2"/>
  <c r="A16284" i="2"/>
  <c r="A16283" i="2"/>
  <c r="A16282" i="2"/>
  <c r="A16281" i="2"/>
  <c r="A16280" i="2"/>
  <c r="A16279" i="2"/>
  <c r="A16278" i="2"/>
  <c r="A16277" i="2"/>
  <c r="A16276" i="2"/>
  <c r="A16275" i="2"/>
  <c r="A16274" i="2"/>
  <c r="A16273" i="2"/>
  <c r="A16272" i="2"/>
  <c r="A16271" i="2"/>
  <c r="A16270" i="2"/>
  <c r="A16269" i="2"/>
  <c r="A16268" i="2"/>
  <c r="A16267" i="2"/>
  <c r="A16266" i="2"/>
  <c r="A16265" i="2"/>
  <c r="A16264" i="2"/>
  <c r="A16263" i="2"/>
  <c r="A16262" i="2"/>
  <c r="A16261" i="2"/>
  <c r="A16260" i="2"/>
  <c r="A16259" i="2"/>
  <c r="A16258" i="2"/>
  <c r="A16257" i="2"/>
  <c r="A16256" i="2"/>
  <c r="A16255" i="2"/>
  <c r="A16254" i="2"/>
  <c r="A16253" i="2"/>
  <c r="A16252" i="2"/>
  <c r="A16251" i="2"/>
  <c r="A16250" i="2"/>
  <c r="A16249" i="2"/>
  <c r="A16248" i="2"/>
  <c r="A16247" i="2"/>
  <c r="A16246" i="2"/>
  <c r="A16245" i="2"/>
  <c r="A16244" i="2"/>
  <c r="A16243" i="2"/>
  <c r="A16242" i="2"/>
  <c r="A16241" i="2"/>
  <c r="A16240" i="2"/>
  <c r="A16239" i="2"/>
  <c r="A16238" i="2"/>
  <c r="A16237" i="2"/>
  <c r="A16236" i="2"/>
  <c r="A16235" i="2"/>
  <c r="A16234" i="2"/>
  <c r="A16233" i="2"/>
  <c r="A16232" i="2"/>
  <c r="A16231" i="2"/>
  <c r="A16230" i="2"/>
  <c r="A16229" i="2"/>
  <c r="A16228" i="2"/>
  <c r="A16227" i="2"/>
  <c r="A16226" i="2"/>
  <c r="A16225" i="2"/>
  <c r="A16224" i="2"/>
  <c r="A16223" i="2"/>
  <c r="A16222" i="2"/>
  <c r="A16221" i="2"/>
  <c r="A16220" i="2"/>
  <c r="A16219" i="2"/>
  <c r="A16218" i="2"/>
  <c r="A16217" i="2"/>
  <c r="A16216" i="2"/>
  <c r="A16215" i="2"/>
  <c r="A16214" i="2"/>
  <c r="A16213" i="2"/>
  <c r="A16212" i="2"/>
  <c r="A16211" i="2"/>
  <c r="A16210" i="2"/>
  <c r="A16209" i="2"/>
  <c r="A16208" i="2"/>
  <c r="A16207" i="2"/>
  <c r="A16206" i="2"/>
  <c r="A16205" i="2"/>
  <c r="A16204" i="2"/>
  <c r="A16203" i="2"/>
  <c r="A16202" i="2"/>
  <c r="A16201" i="2"/>
  <c r="A16200" i="2"/>
  <c r="A16199" i="2"/>
  <c r="A16198" i="2"/>
  <c r="A16197" i="2"/>
  <c r="A16196" i="2"/>
  <c r="A16195" i="2"/>
  <c r="A16194" i="2"/>
  <c r="A16193" i="2"/>
  <c r="A16192" i="2"/>
  <c r="A16191" i="2"/>
  <c r="A16190" i="2"/>
  <c r="A16189" i="2"/>
  <c r="A16188" i="2"/>
  <c r="A16187" i="2"/>
  <c r="A16186" i="2"/>
  <c r="A16185" i="2"/>
  <c r="A16184" i="2"/>
  <c r="A16183" i="2"/>
  <c r="A16182" i="2"/>
  <c r="A16181" i="2"/>
  <c r="A16180" i="2"/>
  <c r="A16179" i="2"/>
  <c r="A16178" i="2"/>
  <c r="A16177" i="2"/>
  <c r="A16176" i="2"/>
  <c r="A16175" i="2"/>
  <c r="A16174" i="2"/>
  <c r="A16173" i="2"/>
  <c r="A16172" i="2"/>
  <c r="A16171" i="2"/>
  <c r="A16170" i="2"/>
  <c r="A16169" i="2"/>
  <c r="A16168" i="2"/>
  <c r="A16167" i="2"/>
  <c r="A16166" i="2"/>
  <c r="A16165" i="2"/>
  <c r="A16164" i="2"/>
  <c r="A16163" i="2"/>
  <c r="A16162" i="2"/>
  <c r="A16161" i="2"/>
  <c r="A16160" i="2"/>
  <c r="A16159" i="2"/>
  <c r="A16158" i="2"/>
  <c r="A16157" i="2"/>
  <c r="A16156" i="2"/>
  <c r="A16155" i="2"/>
  <c r="A16154" i="2"/>
  <c r="A16153" i="2"/>
  <c r="A16152" i="2"/>
  <c r="A16151" i="2"/>
  <c r="A16150" i="2"/>
  <c r="A16149" i="2"/>
  <c r="A16148" i="2"/>
  <c r="A16147" i="2"/>
  <c r="A16146" i="2"/>
  <c r="A16145" i="2"/>
  <c r="A16144" i="2"/>
  <c r="A16143" i="2"/>
  <c r="A16142" i="2"/>
  <c r="A16141" i="2"/>
  <c r="A16140" i="2"/>
  <c r="A16139" i="2"/>
  <c r="A16138" i="2"/>
  <c r="A16137" i="2"/>
  <c r="A16136" i="2"/>
  <c r="A16135" i="2"/>
  <c r="A16134" i="2"/>
  <c r="A16133" i="2"/>
  <c r="A16132" i="2"/>
  <c r="A16131" i="2"/>
  <c r="A16130" i="2"/>
  <c r="A16129" i="2"/>
  <c r="A16128" i="2"/>
  <c r="A16127" i="2"/>
  <c r="A16126" i="2"/>
  <c r="A16125" i="2"/>
  <c r="A16124" i="2"/>
  <c r="A16123" i="2"/>
  <c r="A16122" i="2"/>
  <c r="A16121" i="2"/>
  <c r="A16120" i="2"/>
  <c r="A16119" i="2"/>
  <c r="A16118" i="2"/>
  <c r="A16117" i="2"/>
  <c r="A16116" i="2"/>
  <c r="A16115" i="2"/>
  <c r="A16114" i="2"/>
  <c r="A16113" i="2"/>
  <c r="A16112" i="2"/>
  <c r="A16111" i="2"/>
  <c r="A16110" i="2"/>
  <c r="A16109" i="2"/>
  <c r="A16108" i="2"/>
  <c r="A16107" i="2"/>
  <c r="A16106" i="2"/>
  <c r="A16105" i="2"/>
  <c r="A16104" i="2"/>
  <c r="A16103" i="2"/>
  <c r="A16102" i="2"/>
  <c r="A16101" i="2"/>
  <c r="A16100" i="2"/>
  <c r="A16099" i="2"/>
  <c r="A16098" i="2"/>
  <c r="A16097" i="2"/>
  <c r="A16096" i="2"/>
  <c r="A16095" i="2"/>
  <c r="A16094" i="2"/>
  <c r="A16093" i="2"/>
  <c r="A16092" i="2"/>
  <c r="A16091" i="2"/>
  <c r="A16090" i="2"/>
  <c r="A16089" i="2"/>
  <c r="A16088" i="2"/>
  <c r="A16087" i="2"/>
  <c r="A16086" i="2"/>
  <c r="A16085" i="2"/>
  <c r="A16084" i="2"/>
  <c r="A16083" i="2"/>
  <c r="A16082" i="2"/>
  <c r="A16081" i="2"/>
  <c r="A16080" i="2"/>
  <c r="A16079" i="2"/>
  <c r="A16078" i="2"/>
  <c r="A16077" i="2"/>
  <c r="A16076" i="2"/>
  <c r="A16075" i="2"/>
  <c r="A16074" i="2"/>
  <c r="A16073" i="2"/>
  <c r="A16072" i="2"/>
  <c r="A16071" i="2"/>
  <c r="A16070" i="2"/>
  <c r="A16069" i="2"/>
  <c r="A16068" i="2"/>
  <c r="A16067" i="2"/>
  <c r="A16066" i="2"/>
  <c r="A16065" i="2"/>
  <c r="A16064" i="2"/>
  <c r="A16063" i="2"/>
  <c r="A16062" i="2"/>
  <c r="A16061" i="2"/>
  <c r="A16060" i="2"/>
  <c r="A16059" i="2"/>
  <c r="A16058" i="2"/>
  <c r="A16057" i="2"/>
  <c r="A16056" i="2"/>
  <c r="A16055" i="2"/>
  <c r="A16054" i="2"/>
  <c r="A16053" i="2"/>
  <c r="A16052" i="2"/>
  <c r="A16051" i="2"/>
  <c r="A16050" i="2"/>
  <c r="A16049" i="2"/>
  <c r="A16048" i="2"/>
  <c r="A16047" i="2"/>
  <c r="A16046" i="2"/>
  <c r="A16045" i="2"/>
  <c r="A16044" i="2"/>
  <c r="A16043" i="2"/>
  <c r="A16042" i="2"/>
  <c r="A16041" i="2"/>
  <c r="A16040" i="2"/>
  <c r="A16039" i="2"/>
  <c r="A16038" i="2"/>
  <c r="A16037" i="2"/>
  <c r="A16036" i="2"/>
  <c r="A16035" i="2"/>
  <c r="A16034" i="2"/>
  <c r="A16033" i="2"/>
  <c r="A16032" i="2"/>
  <c r="A16031" i="2"/>
  <c r="A16030" i="2"/>
  <c r="A16029" i="2"/>
  <c r="A16028" i="2"/>
  <c r="A16027" i="2"/>
  <c r="A16026" i="2"/>
  <c r="A16025" i="2"/>
  <c r="A16024" i="2"/>
  <c r="A16023" i="2"/>
  <c r="A16022" i="2"/>
  <c r="A16021" i="2"/>
  <c r="A16020" i="2"/>
  <c r="A16019" i="2"/>
  <c r="A16018" i="2"/>
  <c r="A16017" i="2"/>
  <c r="A16016" i="2"/>
  <c r="A16015" i="2"/>
  <c r="A16014" i="2"/>
  <c r="A16013" i="2"/>
  <c r="A16012" i="2"/>
  <c r="A16011" i="2"/>
  <c r="A16010" i="2"/>
  <c r="A16009" i="2"/>
  <c r="A16008" i="2"/>
  <c r="A16007" i="2"/>
  <c r="A16006" i="2"/>
  <c r="A16005" i="2"/>
  <c r="A16004" i="2"/>
  <c r="A16003" i="2"/>
  <c r="A16002" i="2"/>
  <c r="A16001" i="2"/>
  <c r="A16000" i="2"/>
  <c r="A15999" i="2"/>
  <c r="A15998" i="2"/>
  <c r="A15997" i="2"/>
  <c r="A15996" i="2"/>
  <c r="A15995" i="2"/>
  <c r="A15994" i="2"/>
  <c r="A15993" i="2"/>
  <c r="A15992" i="2"/>
  <c r="A15991" i="2"/>
  <c r="A15990" i="2"/>
  <c r="A15989" i="2"/>
  <c r="A15988" i="2"/>
  <c r="A15987" i="2"/>
  <c r="A15986" i="2"/>
  <c r="A15985" i="2"/>
  <c r="A15984" i="2"/>
  <c r="A15983" i="2"/>
  <c r="A15982" i="2"/>
  <c r="A15981" i="2"/>
  <c r="A15980" i="2"/>
  <c r="A15979" i="2"/>
  <c r="A15978" i="2"/>
  <c r="A15977" i="2"/>
  <c r="A15976" i="2"/>
  <c r="A15975" i="2"/>
  <c r="A15974" i="2"/>
  <c r="A15973" i="2"/>
  <c r="A15972" i="2"/>
  <c r="A15971" i="2"/>
  <c r="A15970" i="2"/>
  <c r="A15969" i="2"/>
  <c r="A15968" i="2"/>
  <c r="A15967" i="2"/>
  <c r="A15966" i="2"/>
  <c r="A15965" i="2"/>
  <c r="A15964" i="2"/>
  <c r="A15963" i="2"/>
  <c r="A15962" i="2"/>
  <c r="A15961" i="2"/>
  <c r="A15960" i="2"/>
  <c r="A15959" i="2"/>
  <c r="A15958" i="2"/>
  <c r="A15957" i="2"/>
  <c r="A15956" i="2"/>
  <c r="A15955" i="2"/>
  <c r="A15954" i="2"/>
  <c r="A15953" i="2"/>
  <c r="A15952" i="2"/>
  <c r="A15951" i="2"/>
  <c r="A15950" i="2"/>
  <c r="A15949" i="2"/>
  <c r="A15948" i="2"/>
  <c r="A15947" i="2"/>
  <c r="A15946" i="2"/>
  <c r="A15945" i="2"/>
  <c r="A15944" i="2"/>
  <c r="A15943" i="2"/>
  <c r="A15942" i="2"/>
  <c r="A15941" i="2"/>
  <c r="A15940" i="2"/>
  <c r="A15939" i="2"/>
  <c r="A15938" i="2"/>
  <c r="A15937" i="2"/>
  <c r="A15936" i="2"/>
  <c r="A15935" i="2"/>
  <c r="A15934" i="2"/>
  <c r="A15933" i="2"/>
  <c r="A15932" i="2"/>
  <c r="A15931" i="2"/>
  <c r="A15930" i="2"/>
  <c r="A15929" i="2"/>
  <c r="A15928" i="2"/>
  <c r="A15927" i="2"/>
  <c r="A15926" i="2"/>
  <c r="A15925" i="2"/>
  <c r="A15924" i="2"/>
  <c r="A15923" i="2"/>
  <c r="A15922" i="2"/>
  <c r="A15921" i="2"/>
  <c r="A15920" i="2"/>
  <c r="A15919" i="2"/>
  <c r="A15918" i="2"/>
  <c r="A15917" i="2"/>
  <c r="A15916" i="2"/>
  <c r="A15915" i="2"/>
  <c r="A15914" i="2"/>
  <c r="A15913" i="2"/>
  <c r="A15912" i="2"/>
  <c r="A15911" i="2"/>
  <c r="A15910" i="2"/>
  <c r="A15909" i="2"/>
  <c r="A15908" i="2"/>
  <c r="A15907" i="2"/>
  <c r="A15906" i="2"/>
  <c r="A15905" i="2"/>
  <c r="A15904" i="2"/>
  <c r="A15903" i="2"/>
  <c r="A15902" i="2"/>
  <c r="A15901" i="2"/>
  <c r="A15900" i="2"/>
  <c r="A15899" i="2"/>
  <c r="A15898" i="2"/>
  <c r="A15897" i="2"/>
  <c r="A15896" i="2"/>
  <c r="A15895" i="2"/>
  <c r="A15894" i="2"/>
  <c r="A15893" i="2"/>
  <c r="A15892" i="2"/>
  <c r="A15891" i="2"/>
  <c r="A15890" i="2"/>
  <c r="A15889" i="2"/>
  <c r="A15888" i="2"/>
  <c r="A15887" i="2"/>
  <c r="A15886" i="2"/>
  <c r="A15885" i="2"/>
  <c r="A15884" i="2"/>
  <c r="A15883" i="2"/>
  <c r="A15882" i="2"/>
  <c r="A15881" i="2"/>
  <c r="A15880" i="2"/>
  <c r="A15879" i="2"/>
  <c r="A15878" i="2"/>
  <c r="A15877" i="2"/>
  <c r="A15876" i="2"/>
  <c r="A15875" i="2"/>
  <c r="A15874" i="2"/>
  <c r="A15873" i="2"/>
  <c r="A15872" i="2"/>
  <c r="A15871" i="2"/>
  <c r="A15870" i="2"/>
  <c r="A15869" i="2"/>
  <c r="A15868" i="2"/>
  <c r="A15867" i="2"/>
  <c r="A15866" i="2"/>
  <c r="A15865" i="2"/>
  <c r="A15864" i="2"/>
  <c r="A15863" i="2"/>
  <c r="A15862" i="2"/>
  <c r="A15861" i="2"/>
  <c r="A15860" i="2"/>
  <c r="A15859" i="2"/>
  <c r="A15858" i="2"/>
  <c r="A15857" i="2"/>
  <c r="A15856" i="2"/>
  <c r="A15855" i="2"/>
  <c r="A15854" i="2"/>
  <c r="A15853" i="2"/>
  <c r="A15852" i="2"/>
  <c r="A15851" i="2"/>
  <c r="A15850" i="2"/>
  <c r="A15849" i="2"/>
  <c r="A15848" i="2"/>
  <c r="A15847" i="2"/>
  <c r="A15846" i="2"/>
  <c r="A15845" i="2"/>
  <c r="A15844" i="2"/>
  <c r="A15843" i="2"/>
  <c r="A15842" i="2"/>
  <c r="A15841" i="2"/>
  <c r="A15840" i="2"/>
  <c r="A15839" i="2"/>
  <c r="A15838" i="2"/>
  <c r="A15837" i="2"/>
  <c r="A15836" i="2"/>
  <c r="A15835" i="2"/>
  <c r="A15834" i="2"/>
  <c r="A15833" i="2"/>
  <c r="A15832" i="2"/>
  <c r="A15831" i="2"/>
  <c r="A15830" i="2"/>
  <c r="A15829" i="2"/>
  <c r="A15828" i="2"/>
  <c r="A15827" i="2"/>
  <c r="A15826" i="2"/>
  <c r="A15825" i="2"/>
  <c r="A15824" i="2"/>
  <c r="A15823" i="2"/>
  <c r="A15822" i="2"/>
  <c r="A15821" i="2"/>
  <c r="A15820" i="2"/>
  <c r="A15819" i="2"/>
  <c r="A15818" i="2"/>
  <c r="A15817" i="2"/>
  <c r="A15816" i="2"/>
  <c r="A15815" i="2"/>
  <c r="A15814" i="2"/>
  <c r="A15813" i="2"/>
  <c r="A15812" i="2"/>
  <c r="A15811" i="2"/>
  <c r="A15810" i="2"/>
  <c r="A15809" i="2"/>
  <c r="A15808" i="2"/>
  <c r="A15807" i="2"/>
  <c r="A15806" i="2"/>
  <c r="A15805" i="2"/>
  <c r="A15804" i="2"/>
  <c r="A15803" i="2"/>
  <c r="A15802" i="2"/>
  <c r="A15801" i="2"/>
  <c r="A15800" i="2"/>
  <c r="A15799" i="2"/>
  <c r="A15798" i="2"/>
  <c r="A15797" i="2"/>
  <c r="A15796" i="2"/>
  <c r="A15795" i="2"/>
  <c r="A15794" i="2"/>
  <c r="A15793" i="2"/>
  <c r="A15792" i="2"/>
  <c r="A15791" i="2"/>
  <c r="A15790" i="2"/>
  <c r="A15789" i="2"/>
  <c r="A15788" i="2"/>
  <c r="A15787" i="2"/>
  <c r="A15786" i="2"/>
  <c r="A15785" i="2"/>
  <c r="A15784" i="2"/>
  <c r="A15783" i="2"/>
  <c r="A15782" i="2"/>
  <c r="A15781" i="2"/>
  <c r="A15780" i="2"/>
  <c r="A15779" i="2"/>
  <c r="A15778" i="2"/>
  <c r="A15777" i="2"/>
  <c r="A15776" i="2"/>
  <c r="A15775" i="2"/>
  <c r="A15774" i="2"/>
  <c r="A15773" i="2"/>
  <c r="A15772" i="2"/>
  <c r="A15771" i="2"/>
  <c r="A15770" i="2"/>
  <c r="A15769" i="2"/>
  <c r="A15768" i="2"/>
  <c r="A15767" i="2"/>
  <c r="A15766" i="2"/>
  <c r="A15765" i="2"/>
  <c r="A15764" i="2"/>
  <c r="A15763" i="2"/>
  <c r="A15762" i="2"/>
  <c r="A15761" i="2"/>
  <c r="A15760" i="2"/>
  <c r="A15759" i="2"/>
  <c r="A15758" i="2"/>
  <c r="A15757" i="2"/>
  <c r="A15756" i="2"/>
  <c r="A15755" i="2"/>
  <c r="A15754" i="2"/>
  <c r="A15753" i="2"/>
  <c r="A15752" i="2"/>
  <c r="A15751" i="2"/>
  <c r="A15750" i="2"/>
  <c r="A15749" i="2"/>
  <c r="A15748" i="2"/>
  <c r="A15747" i="2"/>
  <c r="A15746" i="2"/>
  <c r="A15745" i="2"/>
  <c r="A15744" i="2"/>
  <c r="A15743" i="2"/>
  <c r="A15742" i="2"/>
  <c r="A15741" i="2"/>
  <c r="A15740" i="2"/>
  <c r="A15739" i="2"/>
  <c r="A15738" i="2"/>
  <c r="A15737" i="2"/>
  <c r="A15736" i="2"/>
  <c r="A15735" i="2"/>
  <c r="A15734" i="2"/>
  <c r="A15733" i="2"/>
  <c r="A15732" i="2"/>
  <c r="A15731" i="2"/>
  <c r="A15730" i="2"/>
  <c r="A15729" i="2"/>
  <c r="A15728" i="2"/>
  <c r="A15727" i="2"/>
  <c r="A15726" i="2"/>
  <c r="A15725" i="2"/>
  <c r="A15724" i="2"/>
  <c r="A15723" i="2"/>
  <c r="A15722" i="2"/>
  <c r="A15721" i="2"/>
  <c r="A15720" i="2"/>
  <c r="A15719" i="2"/>
  <c r="A15718" i="2"/>
  <c r="A15717" i="2"/>
  <c r="A15716" i="2"/>
  <c r="A15715" i="2"/>
  <c r="A15714" i="2"/>
  <c r="A15713" i="2"/>
  <c r="A15712" i="2"/>
  <c r="A15711" i="2"/>
  <c r="A15710" i="2"/>
  <c r="A15709" i="2"/>
  <c r="A15708" i="2"/>
  <c r="A15707" i="2"/>
  <c r="A15706" i="2"/>
  <c r="A15705" i="2"/>
  <c r="A15704" i="2"/>
  <c r="A15703" i="2"/>
  <c r="A15702" i="2"/>
  <c r="A15701" i="2"/>
  <c r="A15700" i="2"/>
  <c r="A15699" i="2"/>
  <c r="A15698" i="2"/>
  <c r="A15697" i="2"/>
  <c r="A15696" i="2"/>
  <c r="A15695" i="2"/>
  <c r="A15694" i="2"/>
  <c r="A15693" i="2"/>
  <c r="A15692" i="2"/>
  <c r="A15691" i="2"/>
  <c r="A15690" i="2"/>
  <c r="A15689" i="2"/>
  <c r="A15688" i="2"/>
  <c r="A15687" i="2"/>
  <c r="A15686" i="2"/>
  <c r="A15685" i="2"/>
  <c r="A15684" i="2"/>
  <c r="A15683" i="2"/>
  <c r="A15682" i="2"/>
  <c r="A15681" i="2"/>
  <c r="A15680" i="2"/>
  <c r="A15679" i="2"/>
  <c r="A15678" i="2"/>
  <c r="A15677" i="2"/>
  <c r="A15676" i="2"/>
  <c r="A15675" i="2"/>
  <c r="A15674" i="2"/>
  <c r="A15673" i="2"/>
  <c r="A15672" i="2"/>
  <c r="A15671" i="2"/>
  <c r="A15670" i="2"/>
  <c r="A15669" i="2"/>
  <c r="A15668" i="2"/>
  <c r="A15667" i="2"/>
  <c r="A15666" i="2"/>
  <c r="A15665" i="2"/>
  <c r="A15664" i="2"/>
  <c r="A15663" i="2"/>
  <c r="A15662" i="2"/>
  <c r="A15661" i="2"/>
  <c r="A15660" i="2"/>
  <c r="A15659" i="2"/>
  <c r="A15658" i="2"/>
  <c r="A15657" i="2"/>
  <c r="A15656" i="2"/>
  <c r="A15655" i="2"/>
  <c r="A15654" i="2"/>
  <c r="A15653" i="2"/>
  <c r="A15652" i="2"/>
  <c r="A15651" i="2"/>
  <c r="A15650" i="2"/>
  <c r="A15649" i="2"/>
  <c r="A15648" i="2"/>
  <c r="A15647" i="2"/>
  <c r="A15646" i="2"/>
  <c r="A15645" i="2"/>
  <c r="A15644" i="2"/>
  <c r="A15643" i="2"/>
  <c r="A15642" i="2"/>
  <c r="A15641" i="2"/>
  <c r="A15640" i="2"/>
  <c r="A15639" i="2"/>
  <c r="A15638" i="2"/>
  <c r="A15637" i="2"/>
  <c r="A15636" i="2"/>
  <c r="A15635" i="2"/>
  <c r="A15634" i="2"/>
  <c r="A15633" i="2"/>
  <c r="A15632" i="2"/>
  <c r="A15631" i="2"/>
  <c r="A15630" i="2"/>
  <c r="A15629" i="2"/>
  <c r="A15628" i="2"/>
  <c r="A15627" i="2"/>
  <c r="A15626" i="2"/>
  <c r="A15625" i="2"/>
  <c r="A15624" i="2"/>
  <c r="A15623" i="2"/>
  <c r="A15622" i="2"/>
  <c r="A15621" i="2"/>
  <c r="A15620" i="2"/>
  <c r="A15619" i="2"/>
  <c r="A15618" i="2"/>
  <c r="A15617" i="2"/>
  <c r="A15616" i="2"/>
  <c r="A15615" i="2"/>
  <c r="A15614" i="2"/>
  <c r="A15613" i="2"/>
  <c r="A15612" i="2"/>
  <c r="A15611" i="2"/>
  <c r="A15610" i="2"/>
  <c r="A15609" i="2"/>
  <c r="A15608" i="2"/>
  <c r="A15607" i="2"/>
  <c r="A15606" i="2"/>
  <c r="A15605" i="2"/>
  <c r="A15604" i="2"/>
  <c r="A15603" i="2"/>
  <c r="A15602" i="2"/>
  <c r="A15601" i="2"/>
  <c r="A15600" i="2"/>
  <c r="A15599" i="2"/>
  <c r="A15598" i="2"/>
  <c r="A15597" i="2"/>
  <c r="A15596" i="2"/>
  <c r="A15595" i="2"/>
  <c r="A15594" i="2"/>
  <c r="A15593" i="2"/>
  <c r="A15592" i="2"/>
  <c r="A15591" i="2"/>
  <c r="A15590" i="2"/>
  <c r="A15589" i="2"/>
  <c r="A15588" i="2"/>
  <c r="A15587" i="2"/>
  <c r="A15586" i="2"/>
  <c r="A15585" i="2"/>
  <c r="A15584" i="2"/>
  <c r="A15583" i="2"/>
  <c r="A15582" i="2"/>
  <c r="A15581" i="2"/>
  <c r="A15580" i="2"/>
  <c r="A15579" i="2"/>
  <c r="A15578" i="2"/>
  <c r="A15577" i="2"/>
  <c r="A15576" i="2"/>
  <c r="A15575" i="2"/>
  <c r="A15574" i="2"/>
  <c r="A15573" i="2"/>
  <c r="A15572" i="2"/>
  <c r="A15571" i="2"/>
  <c r="A15570" i="2"/>
  <c r="A15569" i="2"/>
  <c r="A15568" i="2"/>
  <c r="A15567" i="2"/>
  <c r="A15566" i="2"/>
  <c r="A15565" i="2"/>
  <c r="A15564" i="2"/>
  <c r="A15563" i="2"/>
  <c r="A15562" i="2"/>
  <c r="A15561" i="2"/>
  <c r="A15560" i="2"/>
  <c r="A15559" i="2"/>
  <c r="A15558" i="2"/>
  <c r="A15557" i="2"/>
  <c r="A15556" i="2"/>
  <c r="A15555" i="2"/>
  <c r="A15554" i="2"/>
  <c r="A15553" i="2"/>
  <c r="A15552" i="2"/>
  <c r="A15551" i="2"/>
  <c r="A15550" i="2"/>
  <c r="A15549" i="2"/>
  <c r="A15548" i="2"/>
  <c r="A15547" i="2"/>
  <c r="A15546" i="2"/>
  <c r="A15545" i="2"/>
  <c r="A15544" i="2"/>
  <c r="A15543" i="2"/>
  <c r="A15542" i="2"/>
  <c r="A15541" i="2"/>
  <c r="A15540" i="2"/>
  <c r="A15539" i="2"/>
  <c r="A15538" i="2"/>
  <c r="A15537" i="2"/>
  <c r="A15536" i="2"/>
  <c r="A15535" i="2"/>
  <c r="A15534" i="2"/>
  <c r="A15533" i="2"/>
  <c r="A15532" i="2"/>
  <c r="A15531" i="2"/>
  <c r="A15530" i="2"/>
  <c r="A15529" i="2"/>
  <c r="A15528" i="2"/>
  <c r="A15527" i="2"/>
  <c r="A15526" i="2"/>
  <c r="A15525" i="2"/>
  <c r="A15524" i="2"/>
  <c r="A15523" i="2"/>
  <c r="A15522" i="2"/>
  <c r="A15521" i="2"/>
  <c r="A15520" i="2"/>
  <c r="A15519" i="2"/>
  <c r="A15518" i="2"/>
  <c r="A15517" i="2"/>
  <c r="A15516" i="2"/>
  <c r="A15515" i="2"/>
  <c r="A15514" i="2"/>
  <c r="A15513" i="2"/>
  <c r="A15512" i="2"/>
  <c r="A15511" i="2"/>
  <c r="A15510" i="2"/>
  <c r="A15509" i="2"/>
  <c r="A15508" i="2"/>
  <c r="A15507" i="2"/>
  <c r="A15506" i="2"/>
  <c r="A15505" i="2"/>
  <c r="A15504" i="2"/>
  <c r="A15503" i="2"/>
  <c r="A15502" i="2"/>
  <c r="A15501" i="2"/>
  <c r="A15500" i="2"/>
  <c r="A15499" i="2"/>
  <c r="A15498" i="2"/>
  <c r="A15497" i="2"/>
  <c r="A15496" i="2"/>
  <c r="A15495" i="2"/>
  <c r="A15494" i="2"/>
  <c r="A15493" i="2"/>
  <c r="A15492" i="2"/>
  <c r="A15491" i="2"/>
  <c r="A15490" i="2"/>
  <c r="A15489" i="2"/>
  <c r="A15488" i="2"/>
  <c r="A15487" i="2"/>
  <c r="A15486" i="2"/>
  <c r="A15485" i="2"/>
  <c r="A15484" i="2"/>
  <c r="A15483" i="2"/>
  <c r="A15482" i="2"/>
  <c r="A15481" i="2"/>
  <c r="A15480" i="2"/>
  <c r="A15479" i="2"/>
  <c r="A15478" i="2"/>
  <c r="A15477" i="2"/>
  <c r="A15476" i="2"/>
  <c r="A15475" i="2"/>
  <c r="A15474" i="2"/>
  <c r="A15473" i="2"/>
  <c r="A15472" i="2"/>
  <c r="A15471" i="2"/>
  <c r="A15470" i="2"/>
  <c r="A15469" i="2"/>
  <c r="A15468" i="2"/>
  <c r="A15467" i="2"/>
  <c r="A15466" i="2"/>
  <c r="A15465" i="2"/>
  <c r="A15464" i="2"/>
  <c r="A15463" i="2"/>
  <c r="A15462" i="2"/>
  <c r="A15461" i="2"/>
  <c r="A15460" i="2"/>
  <c r="A15459" i="2"/>
  <c r="A15458" i="2"/>
  <c r="A15457" i="2"/>
  <c r="A15456" i="2"/>
  <c r="A15455" i="2"/>
  <c r="A15454" i="2"/>
  <c r="A15453" i="2"/>
  <c r="A15452" i="2"/>
  <c r="A15451" i="2"/>
  <c r="A15450" i="2"/>
  <c r="A15449" i="2"/>
  <c r="A15448" i="2"/>
  <c r="A15447" i="2"/>
  <c r="A15446" i="2"/>
  <c r="A15445" i="2"/>
  <c r="A15444" i="2"/>
  <c r="A15443" i="2"/>
  <c r="A15442" i="2"/>
  <c r="A15441" i="2"/>
  <c r="A15440" i="2"/>
  <c r="A15439" i="2"/>
  <c r="A15438" i="2"/>
  <c r="A15437" i="2"/>
  <c r="A15436" i="2"/>
  <c r="A15435" i="2"/>
  <c r="A15434" i="2"/>
  <c r="A15433" i="2"/>
  <c r="A15432" i="2"/>
  <c r="A15431" i="2"/>
  <c r="A15430" i="2"/>
  <c r="A15429" i="2"/>
  <c r="A15428" i="2"/>
  <c r="A15427" i="2"/>
  <c r="A15426" i="2"/>
  <c r="A15425" i="2"/>
  <c r="A15424" i="2"/>
  <c r="A15423" i="2"/>
  <c r="A15422" i="2"/>
  <c r="A15421" i="2"/>
  <c r="A15420" i="2"/>
  <c r="A15419" i="2"/>
  <c r="A15418" i="2"/>
  <c r="A15417" i="2"/>
  <c r="A15416" i="2"/>
  <c r="A15415" i="2"/>
  <c r="A15414" i="2"/>
  <c r="A15413" i="2"/>
  <c r="A15412" i="2"/>
  <c r="A15411" i="2"/>
  <c r="A15410" i="2"/>
  <c r="A15409" i="2"/>
  <c r="A15408" i="2"/>
  <c r="A15407" i="2"/>
  <c r="A15406" i="2"/>
  <c r="A15405" i="2"/>
  <c r="A15404" i="2"/>
  <c r="A15403" i="2"/>
  <c r="A15402" i="2"/>
  <c r="A15401" i="2"/>
  <c r="A15400" i="2"/>
  <c r="A15399" i="2"/>
  <c r="A15398" i="2"/>
  <c r="A15397" i="2"/>
  <c r="A15396" i="2"/>
  <c r="A15395" i="2"/>
  <c r="A15394" i="2"/>
  <c r="A15393" i="2"/>
  <c r="A15392" i="2"/>
  <c r="A15391" i="2"/>
  <c r="A15390" i="2"/>
  <c r="A15389" i="2"/>
  <c r="A15388" i="2"/>
  <c r="A15387" i="2"/>
  <c r="A15386" i="2"/>
  <c r="A15385" i="2"/>
  <c r="A15384" i="2"/>
  <c r="A15383" i="2"/>
  <c r="A15382" i="2"/>
  <c r="A15381" i="2"/>
  <c r="A15380" i="2"/>
  <c r="A15379" i="2"/>
  <c r="A15378" i="2"/>
  <c r="A15377" i="2"/>
  <c r="A15376" i="2"/>
  <c r="A15375" i="2"/>
  <c r="A15374" i="2"/>
  <c r="A15373" i="2"/>
  <c r="A15372" i="2"/>
  <c r="A15371" i="2"/>
  <c r="A15370" i="2"/>
  <c r="A15369" i="2"/>
  <c r="A15368" i="2"/>
  <c r="A15367" i="2"/>
  <c r="A15366" i="2"/>
  <c r="A15365" i="2"/>
  <c r="A15364" i="2"/>
  <c r="A15363" i="2"/>
  <c r="A15362" i="2"/>
  <c r="A15361" i="2"/>
  <c r="A15360" i="2"/>
  <c r="A15359" i="2"/>
  <c r="A15358" i="2"/>
  <c r="A15357" i="2"/>
  <c r="A15356" i="2"/>
  <c r="A15355" i="2"/>
  <c r="A15354" i="2"/>
  <c r="A15353" i="2"/>
  <c r="A15352" i="2"/>
  <c r="A15351" i="2"/>
  <c r="A15350" i="2"/>
  <c r="A15349" i="2"/>
  <c r="A15348" i="2"/>
  <c r="A15347" i="2"/>
  <c r="A15346" i="2"/>
  <c r="A15345" i="2"/>
  <c r="A15344" i="2"/>
  <c r="A15343" i="2"/>
  <c r="A15342" i="2"/>
  <c r="A15341" i="2"/>
  <c r="A15340" i="2"/>
  <c r="A15339" i="2"/>
  <c r="A15338" i="2"/>
  <c r="A15337" i="2"/>
  <c r="A15336" i="2"/>
  <c r="A15335" i="2"/>
  <c r="A15334" i="2"/>
  <c r="A15333" i="2"/>
  <c r="A15332" i="2"/>
  <c r="A15331" i="2"/>
  <c r="A15330" i="2"/>
  <c r="A15329" i="2"/>
  <c r="A15328" i="2"/>
  <c r="A15327" i="2"/>
  <c r="A15326" i="2"/>
  <c r="A15325" i="2"/>
  <c r="A15324" i="2"/>
  <c r="A15323" i="2"/>
  <c r="A15322" i="2"/>
  <c r="A15321" i="2"/>
  <c r="A15320" i="2"/>
  <c r="A15319" i="2"/>
  <c r="A15318" i="2"/>
  <c r="A15317" i="2"/>
  <c r="A15316" i="2"/>
  <c r="A15315" i="2"/>
  <c r="A15314" i="2"/>
  <c r="A15313" i="2"/>
  <c r="A15312" i="2"/>
  <c r="A15311" i="2"/>
  <c r="A15310" i="2"/>
  <c r="A15309" i="2"/>
  <c r="A15308" i="2"/>
  <c r="A15307" i="2"/>
  <c r="A15306" i="2"/>
  <c r="A15305" i="2"/>
  <c r="A15304" i="2"/>
  <c r="A15303" i="2"/>
  <c r="A15302" i="2"/>
  <c r="A15301" i="2"/>
  <c r="A15300" i="2"/>
  <c r="A15299" i="2"/>
  <c r="A15298" i="2"/>
  <c r="A15297" i="2"/>
  <c r="A15296" i="2"/>
  <c r="A15295" i="2"/>
  <c r="A15294" i="2"/>
  <c r="A15293" i="2"/>
  <c r="A15292" i="2"/>
  <c r="A15291" i="2"/>
  <c r="A15290" i="2"/>
  <c r="A15289" i="2"/>
  <c r="A15288" i="2"/>
  <c r="A15287" i="2"/>
  <c r="A15286" i="2"/>
  <c r="A15285" i="2"/>
  <c r="A15284" i="2"/>
  <c r="A15283" i="2"/>
  <c r="A15282" i="2"/>
  <c r="A15281" i="2"/>
  <c r="A15280" i="2"/>
  <c r="A15279" i="2"/>
  <c r="A15278" i="2"/>
  <c r="A15277" i="2"/>
  <c r="A15276" i="2"/>
  <c r="A15275" i="2"/>
  <c r="A15274" i="2"/>
  <c r="A15273" i="2"/>
  <c r="A15272" i="2"/>
  <c r="A15271" i="2"/>
  <c r="A15270" i="2"/>
  <c r="A15269" i="2"/>
  <c r="A15268" i="2"/>
  <c r="A15267" i="2"/>
  <c r="A15266" i="2"/>
  <c r="A15265" i="2"/>
  <c r="A15264" i="2"/>
  <c r="A15263" i="2"/>
  <c r="A15262" i="2"/>
  <c r="A15261" i="2"/>
  <c r="A15260" i="2"/>
  <c r="A15259" i="2"/>
  <c r="A15258" i="2"/>
  <c r="A15257" i="2"/>
  <c r="A15256" i="2"/>
  <c r="A15255" i="2"/>
  <c r="A15254" i="2"/>
  <c r="A15253" i="2"/>
  <c r="A15252" i="2"/>
  <c r="A15251" i="2"/>
  <c r="A15250" i="2"/>
  <c r="A15249" i="2"/>
  <c r="A15248" i="2"/>
  <c r="A15247" i="2"/>
  <c r="A15246" i="2"/>
  <c r="A15245" i="2"/>
  <c r="A15244" i="2"/>
  <c r="A15243" i="2"/>
  <c r="A15242" i="2"/>
  <c r="A15241" i="2"/>
  <c r="A15240" i="2"/>
  <c r="A15239" i="2"/>
  <c r="A15238" i="2"/>
  <c r="A15237" i="2"/>
  <c r="A15236" i="2"/>
  <c r="A15235" i="2"/>
  <c r="A15234" i="2"/>
  <c r="A15233" i="2"/>
  <c r="A15232" i="2"/>
  <c r="A15231" i="2"/>
  <c r="A15230" i="2"/>
  <c r="A15229" i="2"/>
  <c r="A15228" i="2"/>
  <c r="A15227" i="2"/>
  <c r="A15226" i="2"/>
  <c r="A15225" i="2"/>
  <c r="A15224" i="2"/>
  <c r="A15223" i="2"/>
  <c r="A15222" i="2"/>
  <c r="A15221" i="2"/>
  <c r="A15220" i="2"/>
  <c r="A15219" i="2"/>
  <c r="A15218" i="2"/>
  <c r="A15217" i="2"/>
  <c r="A15216" i="2"/>
  <c r="A15215" i="2"/>
  <c r="A15214" i="2"/>
  <c r="A15213" i="2"/>
  <c r="A15212" i="2"/>
  <c r="A15211" i="2"/>
  <c r="A15210" i="2"/>
  <c r="A15209" i="2"/>
  <c r="A15208" i="2"/>
  <c r="A15207" i="2"/>
  <c r="A15206" i="2"/>
  <c r="A15205" i="2"/>
  <c r="A15204" i="2"/>
  <c r="A15203" i="2"/>
  <c r="A15202" i="2"/>
  <c r="A15201" i="2"/>
  <c r="A15200" i="2"/>
  <c r="A15199" i="2"/>
  <c r="A15198" i="2"/>
  <c r="A15197" i="2"/>
  <c r="A15196" i="2"/>
  <c r="A15195" i="2"/>
  <c r="A15194" i="2"/>
  <c r="A15193" i="2"/>
  <c r="A15192" i="2"/>
  <c r="A15191" i="2"/>
  <c r="A15190" i="2"/>
  <c r="A15189" i="2"/>
  <c r="A15188" i="2"/>
  <c r="A15187" i="2"/>
  <c r="A15186" i="2"/>
  <c r="A15185" i="2"/>
  <c r="A15184" i="2"/>
  <c r="A15183" i="2"/>
  <c r="A15182" i="2"/>
  <c r="A15181" i="2"/>
  <c r="A15180" i="2"/>
  <c r="A15179" i="2"/>
  <c r="A15178" i="2"/>
  <c r="A15177" i="2"/>
  <c r="A15176" i="2"/>
  <c r="A15175" i="2"/>
  <c r="A15174" i="2"/>
  <c r="A15173" i="2"/>
  <c r="A15172" i="2"/>
  <c r="A15171" i="2"/>
  <c r="A15170" i="2"/>
  <c r="A15169" i="2"/>
  <c r="A15168" i="2"/>
  <c r="A15167" i="2"/>
  <c r="A15166" i="2"/>
  <c r="A15165" i="2"/>
  <c r="A15164" i="2"/>
  <c r="A15163" i="2"/>
  <c r="A15162" i="2"/>
  <c r="A15161" i="2"/>
  <c r="A15160" i="2"/>
  <c r="A15159" i="2"/>
  <c r="A15158" i="2"/>
  <c r="A15157" i="2"/>
  <c r="A15156" i="2"/>
  <c r="A15155" i="2"/>
  <c r="A15154" i="2"/>
  <c r="A15153" i="2"/>
  <c r="A15152" i="2"/>
  <c r="A15151" i="2"/>
  <c r="A15150" i="2"/>
  <c r="A15149" i="2"/>
  <c r="A15148" i="2"/>
  <c r="A15147" i="2"/>
  <c r="A15146" i="2"/>
  <c r="A15145" i="2"/>
  <c r="A15144" i="2"/>
  <c r="A15143" i="2"/>
  <c r="A15142" i="2"/>
  <c r="A15141" i="2"/>
  <c r="A15140" i="2"/>
  <c r="A15139" i="2"/>
  <c r="A15138" i="2"/>
  <c r="A15137" i="2"/>
  <c r="A15136" i="2"/>
  <c r="A15135" i="2"/>
  <c r="A15134" i="2"/>
  <c r="A15133" i="2"/>
  <c r="A15132" i="2"/>
  <c r="A15131" i="2"/>
  <c r="A15130" i="2"/>
  <c r="A15129" i="2"/>
  <c r="A15128" i="2"/>
  <c r="A15127" i="2"/>
  <c r="A15126" i="2"/>
  <c r="A15125" i="2"/>
  <c r="A15124" i="2"/>
  <c r="A15123" i="2"/>
  <c r="A15122" i="2"/>
  <c r="A15121" i="2"/>
  <c r="A15120" i="2"/>
  <c r="A15119" i="2"/>
  <c r="A15118" i="2"/>
  <c r="A15117" i="2"/>
  <c r="A15116" i="2"/>
  <c r="A15115" i="2"/>
  <c r="A15114" i="2"/>
  <c r="A15113" i="2"/>
  <c r="A15112" i="2"/>
  <c r="A15111" i="2"/>
  <c r="A15110" i="2"/>
  <c r="A15109" i="2"/>
  <c r="A15108" i="2"/>
  <c r="A15107" i="2"/>
  <c r="A15106" i="2"/>
  <c r="A15105" i="2"/>
  <c r="A15104" i="2"/>
  <c r="A15103" i="2"/>
  <c r="A15102" i="2"/>
  <c r="A15101" i="2"/>
  <c r="A15100" i="2"/>
  <c r="A15099" i="2"/>
  <c r="A15098" i="2"/>
  <c r="A15097" i="2"/>
  <c r="A15096" i="2"/>
  <c r="A15095" i="2"/>
  <c r="A15094" i="2"/>
  <c r="A15093" i="2"/>
  <c r="A15092" i="2"/>
  <c r="A15091" i="2"/>
  <c r="A15090" i="2"/>
  <c r="A15089" i="2"/>
  <c r="A15088" i="2"/>
  <c r="A15087" i="2"/>
  <c r="A15086" i="2"/>
  <c r="A15085" i="2"/>
  <c r="A15084" i="2"/>
  <c r="A15083" i="2"/>
  <c r="A15082" i="2"/>
  <c r="A15081" i="2"/>
  <c r="A15080" i="2"/>
  <c r="A15079" i="2"/>
  <c r="A15078" i="2"/>
  <c r="A15077" i="2"/>
  <c r="A15076" i="2"/>
  <c r="A15075" i="2"/>
  <c r="A15074" i="2"/>
  <c r="A15073" i="2"/>
  <c r="A15072" i="2"/>
  <c r="A15071" i="2"/>
  <c r="A15070" i="2"/>
  <c r="A15069" i="2"/>
  <c r="A15068" i="2"/>
  <c r="A15067" i="2"/>
  <c r="A15066" i="2"/>
  <c r="A15065" i="2"/>
  <c r="A15064" i="2"/>
  <c r="A15063" i="2"/>
  <c r="A15062" i="2"/>
  <c r="A15061" i="2"/>
  <c r="A15060" i="2"/>
  <c r="A15059" i="2"/>
  <c r="A15058" i="2"/>
  <c r="A15057" i="2"/>
  <c r="A15056" i="2"/>
  <c r="A15055" i="2"/>
  <c r="A15054" i="2"/>
  <c r="A15053" i="2"/>
  <c r="A15052" i="2"/>
  <c r="A15051" i="2"/>
  <c r="A15050" i="2"/>
  <c r="A15049" i="2"/>
  <c r="A15048" i="2"/>
  <c r="A15047" i="2"/>
  <c r="A15046" i="2"/>
  <c r="A15045" i="2"/>
  <c r="A15044" i="2"/>
  <c r="A15043" i="2"/>
  <c r="A15042" i="2"/>
  <c r="A15041" i="2"/>
  <c r="A15040" i="2"/>
  <c r="A15039" i="2"/>
  <c r="A15038" i="2"/>
  <c r="A15037" i="2"/>
  <c r="A15036" i="2"/>
  <c r="A15035" i="2"/>
  <c r="A15034" i="2"/>
  <c r="A15033" i="2"/>
  <c r="A15032" i="2"/>
  <c r="A15031" i="2"/>
  <c r="A15030" i="2"/>
  <c r="A15029" i="2"/>
  <c r="A15028" i="2"/>
  <c r="A15027" i="2"/>
  <c r="A15026" i="2"/>
  <c r="A15025" i="2"/>
  <c r="A15024" i="2"/>
  <c r="A15023" i="2"/>
  <c r="A15022" i="2"/>
  <c r="A15021" i="2"/>
  <c r="A15020" i="2"/>
  <c r="A15019" i="2"/>
  <c r="A15018" i="2"/>
  <c r="A15017" i="2"/>
  <c r="A15016" i="2"/>
  <c r="A15015" i="2"/>
  <c r="A15014" i="2"/>
  <c r="A15013" i="2"/>
  <c r="A15012" i="2"/>
  <c r="A15011" i="2"/>
  <c r="A15010" i="2"/>
  <c r="A15009" i="2"/>
  <c r="A15008" i="2"/>
  <c r="A15007" i="2"/>
  <c r="A15006" i="2"/>
  <c r="A15005" i="2"/>
  <c r="A15004" i="2"/>
  <c r="A15003" i="2"/>
  <c r="A15002" i="2"/>
  <c r="A15001" i="2"/>
  <c r="A15000" i="2"/>
  <c r="A14999" i="2"/>
  <c r="A14998" i="2"/>
  <c r="A14997" i="2"/>
  <c r="A14996" i="2"/>
  <c r="A14995" i="2"/>
  <c r="A14994" i="2"/>
  <c r="A14993" i="2"/>
  <c r="A14992" i="2"/>
  <c r="A14991" i="2"/>
  <c r="A14990" i="2"/>
  <c r="A14989" i="2"/>
  <c r="A14988" i="2"/>
  <c r="A14987" i="2"/>
  <c r="A14986" i="2"/>
  <c r="A14985" i="2"/>
  <c r="A14984" i="2"/>
  <c r="A14983" i="2"/>
  <c r="A14982" i="2"/>
  <c r="A14981" i="2"/>
  <c r="A14980" i="2"/>
  <c r="A14979" i="2"/>
  <c r="A14978" i="2"/>
  <c r="A14977" i="2"/>
  <c r="A14976" i="2"/>
  <c r="A14975" i="2"/>
  <c r="A14974" i="2"/>
  <c r="A14973" i="2"/>
  <c r="A14972" i="2"/>
  <c r="A14971" i="2"/>
  <c r="A14970" i="2"/>
  <c r="A14969" i="2"/>
  <c r="A14968" i="2"/>
  <c r="A14967" i="2"/>
  <c r="A14966" i="2"/>
  <c r="A14965" i="2"/>
  <c r="A14964" i="2"/>
  <c r="A14963" i="2"/>
  <c r="A14962" i="2"/>
  <c r="A14961" i="2"/>
  <c r="A14960" i="2"/>
  <c r="A14959" i="2"/>
  <c r="A14958" i="2"/>
  <c r="A14957" i="2"/>
  <c r="A14956" i="2"/>
  <c r="A14955" i="2"/>
  <c r="A14954" i="2"/>
  <c r="A14953" i="2"/>
  <c r="A14952" i="2"/>
  <c r="A14951" i="2"/>
  <c r="A14950" i="2"/>
  <c r="A14949" i="2"/>
  <c r="A14948" i="2"/>
  <c r="A14947" i="2"/>
  <c r="A14946" i="2"/>
  <c r="A14945" i="2"/>
  <c r="A14944" i="2"/>
  <c r="A14943" i="2"/>
  <c r="A14942" i="2"/>
  <c r="A14941" i="2"/>
  <c r="A14940" i="2"/>
  <c r="A14939" i="2"/>
  <c r="A14938" i="2"/>
  <c r="A14937" i="2"/>
  <c r="A14936" i="2"/>
  <c r="A14935" i="2"/>
  <c r="A14934" i="2"/>
  <c r="A14933" i="2"/>
  <c r="A14932" i="2"/>
  <c r="A14931" i="2"/>
  <c r="A14930" i="2"/>
  <c r="A14929" i="2"/>
  <c r="A14928" i="2"/>
  <c r="A14927" i="2"/>
  <c r="A14926" i="2"/>
  <c r="A14925" i="2"/>
  <c r="A14924" i="2"/>
  <c r="A14923" i="2"/>
  <c r="A14922" i="2"/>
  <c r="A14921" i="2"/>
  <c r="A14920" i="2"/>
  <c r="A14919" i="2"/>
  <c r="A14918" i="2"/>
  <c r="A14917" i="2"/>
  <c r="A14916" i="2"/>
  <c r="A14915" i="2"/>
  <c r="A14914" i="2"/>
  <c r="A14913" i="2"/>
  <c r="A14912" i="2"/>
  <c r="A14911" i="2"/>
  <c r="A14910" i="2"/>
  <c r="A14909" i="2"/>
  <c r="A14908" i="2"/>
  <c r="A14907" i="2"/>
  <c r="A14906" i="2"/>
  <c r="A14905" i="2"/>
  <c r="A14904" i="2"/>
  <c r="A14903" i="2"/>
  <c r="A14902" i="2"/>
  <c r="A14901" i="2"/>
  <c r="A14900" i="2"/>
  <c r="A14899" i="2"/>
  <c r="A14898" i="2"/>
  <c r="A14897" i="2"/>
  <c r="A14896" i="2"/>
  <c r="A14895" i="2"/>
  <c r="A14894" i="2"/>
  <c r="A14893" i="2"/>
  <c r="A14892" i="2"/>
  <c r="A14891" i="2"/>
  <c r="A14890" i="2"/>
  <c r="A14889" i="2"/>
  <c r="A14888" i="2"/>
  <c r="A14887" i="2"/>
  <c r="A14886" i="2"/>
  <c r="A14885" i="2"/>
  <c r="A14884" i="2"/>
  <c r="A14883" i="2"/>
  <c r="A14882" i="2"/>
  <c r="A14881" i="2"/>
  <c r="A14880" i="2"/>
  <c r="A14879" i="2"/>
  <c r="A14878" i="2"/>
  <c r="A14877" i="2"/>
  <c r="A14876" i="2"/>
  <c r="A14875" i="2"/>
  <c r="A14874" i="2"/>
  <c r="A14873" i="2"/>
  <c r="A14872" i="2"/>
  <c r="A14871" i="2"/>
  <c r="A14870" i="2"/>
  <c r="A14869" i="2"/>
  <c r="A14868" i="2"/>
  <c r="A14867" i="2"/>
  <c r="A14866" i="2"/>
  <c r="A14865" i="2"/>
  <c r="A14864" i="2"/>
  <c r="A14863" i="2"/>
  <c r="A14862" i="2"/>
  <c r="A14861" i="2"/>
  <c r="A14860" i="2"/>
  <c r="A14859" i="2"/>
  <c r="A14858" i="2"/>
  <c r="A14857" i="2"/>
  <c r="A14856" i="2"/>
  <c r="A14855" i="2"/>
  <c r="A14854" i="2"/>
  <c r="A14853" i="2"/>
  <c r="A14852" i="2"/>
  <c r="A14851" i="2"/>
  <c r="A14850" i="2"/>
  <c r="A14849" i="2"/>
  <c r="A14848" i="2"/>
  <c r="A14847" i="2"/>
  <c r="A14846" i="2"/>
  <c r="A14845" i="2"/>
  <c r="A14844" i="2"/>
  <c r="A14843" i="2"/>
  <c r="A14842" i="2"/>
  <c r="A14841" i="2"/>
  <c r="A14840" i="2"/>
  <c r="A14839" i="2"/>
  <c r="A14838" i="2"/>
  <c r="A14837" i="2"/>
  <c r="A14836" i="2"/>
  <c r="A14835" i="2"/>
  <c r="A14834" i="2"/>
  <c r="A14833" i="2"/>
  <c r="A14832" i="2"/>
  <c r="A14831" i="2"/>
  <c r="A14830" i="2"/>
  <c r="A14829" i="2"/>
  <c r="A14828" i="2"/>
  <c r="A14827" i="2"/>
  <c r="A14826" i="2"/>
  <c r="A14825" i="2"/>
  <c r="A14824" i="2"/>
  <c r="A14823" i="2"/>
  <c r="A14822" i="2"/>
  <c r="A14821" i="2"/>
  <c r="A14820" i="2"/>
  <c r="A14819" i="2"/>
  <c r="A14818" i="2"/>
  <c r="A14817" i="2"/>
  <c r="A14816" i="2"/>
  <c r="A14815" i="2"/>
  <c r="A14814" i="2"/>
  <c r="A14813" i="2"/>
  <c r="A14812" i="2"/>
  <c r="A14811" i="2"/>
  <c r="A14810" i="2"/>
  <c r="A14809" i="2"/>
  <c r="A14808" i="2"/>
  <c r="A14807" i="2"/>
  <c r="A14806" i="2"/>
  <c r="A14805" i="2"/>
  <c r="A14804" i="2"/>
  <c r="A14803" i="2"/>
  <c r="A14802" i="2"/>
  <c r="A14801" i="2"/>
  <c r="A14800" i="2"/>
  <c r="A14799" i="2"/>
  <c r="A14798" i="2"/>
  <c r="A14797" i="2"/>
  <c r="A14796" i="2"/>
  <c r="A14795" i="2"/>
  <c r="A14794" i="2"/>
  <c r="A14793" i="2"/>
  <c r="A14792" i="2"/>
  <c r="A14791" i="2"/>
  <c r="A14790" i="2"/>
  <c r="A14789" i="2"/>
  <c r="A14788" i="2"/>
  <c r="A14787" i="2"/>
  <c r="A14786" i="2"/>
  <c r="A14785" i="2"/>
  <c r="A14784" i="2"/>
  <c r="A14783" i="2"/>
  <c r="A14782" i="2"/>
  <c r="A14781" i="2"/>
  <c r="A14780" i="2"/>
  <c r="A14779" i="2"/>
  <c r="A14778" i="2"/>
  <c r="A14777" i="2"/>
  <c r="A14776" i="2"/>
  <c r="A14775" i="2"/>
  <c r="A14774" i="2"/>
  <c r="A14773" i="2"/>
  <c r="A14772" i="2"/>
  <c r="A14771" i="2"/>
  <c r="A14770" i="2"/>
  <c r="A14769" i="2"/>
  <c r="A14768" i="2"/>
  <c r="A14767" i="2"/>
  <c r="A14766" i="2"/>
  <c r="A14765" i="2"/>
  <c r="A14764" i="2"/>
  <c r="A14763" i="2"/>
  <c r="A14762" i="2"/>
  <c r="A14761" i="2"/>
  <c r="A14760" i="2"/>
  <c r="A14759" i="2"/>
  <c r="A14758" i="2"/>
  <c r="A14757" i="2"/>
  <c r="A14756" i="2"/>
  <c r="A14755" i="2"/>
  <c r="A14754" i="2"/>
  <c r="A14753" i="2"/>
  <c r="A14752" i="2"/>
  <c r="A14751" i="2"/>
  <c r="A14750" i="2"/>
  <c r="A14749" i="2"/>
  <c r="A14748" i="2"/>
  <c r="A14747" i="2"/>
  <c r="A14746" i="2"/>
  <c r="A14745" i="2"/>
  <c r="A14744" i="2"/>
  <c r="A14743" i="2"/>
  <c r="A14742" i="2"/>
  <c r="A14741" i="2"/>
  <c r="A14740" i="2"/>
  <c r="A14739" i="2"/>
  <c r="A14738" i="2"/>
  <c r="A14737" i="2"/>
  <c r="A14736" i="2"/>
  <c r="A14735" i="2"/>
  <c r="A14734" i="2"/>
  <c r="A14733" i="2"/>
  <c r="A14732" i="2"/>
  <c r="A14731" i="2"/>
  <c r="A14730" i="2"/>
  <c r="A14729" i="2"/>
  <c r="A14728" i="2"/>
  <c r="A14727" i="2"/>
  <c r="A14726" i="2"/>
  <c r="A14725" i="2"/>
  <c r="A14724" i="2"/>
  <c r="A14723" i="2"/>
  <c r="A14722" i="2"/>
  <c r="A14721" i="2"/>
  <c r="A14720" i="2"/>
  <c r="A14719" i="2"/>
  <c r="A14718" i="2"/>
  <c r="A14717" i="2"/>
  <c r="A14716" i="2"/>
  <c r="A14715" i="2"/>
  <c r="A14714" i="2"/>
  <c r="A14713" i="2"/>
  <c r="A14712" i="2"/>
  <c r="A14711" i="2"/>
  <c r="A14710" i="2"/>
  <c r="A14709" i="2"/>
  <c r="A14708" i="2"/>
  <c r="A14707" i="2"/>
  <c r="A14706" i="2"/>
  <c r="A14705" i="2"/>
  <c r="A14704" i="2"/>
  <c r="A14703" i="2"/>
  <c r="A14702" i="2"/>
  <c r="A14701" i="2"/>
  <c r="A14700" i="2"/>
  <c r="A14699" i="2"/>
  <c r="A14698" i="2"/>
  <c r="A14697" i="2"/>
  <c r="A14696" i="2"/>
  <c r="A14695" i="2"/>
  <c r="A14694" i="2"/>
  <c r="A14693" i="2"/>
  <c r="A14692" i="2"/>
  <c r="A14691" i="2"/>
  <c r="A14690" i="2"/>
  <c r="A14689" i="2"/>
  <c r="A14688" i="2"/>
  <c r="A14687" i="2"/>
  <c r="A14686" i="2"/>
  <c r="A14685" i="2"/>
  <c r="A14684" i="2"/>
  <c r="A14683" i="2"/>
  <c r="A14682" i="2"/>
  <c r="A14681" i="2"/>
  <c r="A14680" i="2"/>
  <c r="A14679" i="2"/>
  <c r="A14678" i="2"/>
  <c r="A14677" i="2"/>
  <c r="A14676" i="2"/>
  <c r="A14675" i="2"/>
  <c r="A14674" i="2"/>
  <c r="A14673" i="2"/>
  <c r="A14672" i="2"/>
  <c r="A14671" i="2"/>
  <c r="A14670" i="2"/>
  <c r="A14669" i="2"/>
  <c r="A14668" i="2"/>
  <c r="A14667" i="2"/>
  <c r="A14666" i="2"/>
  <c r="A14665" i="2"/>
  <c r="A14664" i="2"/>
  <c r="A14663" i="2"/>
  <c r="A14662" i="2"/>
  <c r="A14661" i="2"/>
  <c r="A14660" i="2"/>
  <c r="A14659" i="2"/>
  <c r="A14658" i="2"/>
  <c r="A14657" i="2"/>
  <c r="A14656" i="2"/>
  <c r="A14655" i="2"/>
  <c r="A14654" i="2"/>
  <c r="A14653" i="2"/>
  <c r="A14652" i="2"/>
  <c r="A14651" i="2"/>
  <c r="A14650" i="2"/>
  <c r="A14649" i="2"/>
  <c r="A14648" i="2"/>
  <c r="A14647" i="2"/>
  <c r="A14646" i="2"/>
  <c r="A14645" i="2"/>
  <c r="A14644" i="2"/>
  <c r="A14643" i="2"/>
  <c r="A14642" i="2"/>
  <c r="A14641" i="2"/>
  <c r="A14640" i="2"/>
  <c r="A14639" i="2"/>
  <c r="A14638" i="2"/>
  <c r="A14637" i="2"/>
  <c r="A14636" i="2"/>
  <c r="A14635" i="2"/>
  <c r="A14634" i="2"/>
  <c r="A14633" i="2"/>
  <c r="A14632" i="2"/>
  <c r="A14631" i="2"/>
  <c r="A14630" i="2"/>
  <c r="A14629" i="2"/>
  <c r="A14628" i="2"/>
  <c r="A14627" i="2"/>
  <c r="A14626" i="2"/>
  <c r="A14625" i="2"/>
  <c r="A14624" i="2"/>
  <c r="A14623" i="2"/>
  <c r="A14622" i="2"/>
  <c r="A14621" i="2"/>
  <c r="A14620" i="2"/>
  <c r="A14619" i="2"/>
  <c r="A14618" i="2"/>
  <c r="A14617" i="2"/>
  <c r="A14616" i="2"/>
  <c r="A14615" i="2"/>
  <c r="A14614" i="2"/>
  <c r="A14613" i="2"/>
  <c r="A14612" i="2"/>
  <c r="A14611" i="2"/>
  <c r="A14610" i="2"/>
  <c r="A14609" i="2"/>
  <c r="A14608" i="2"/>
  <c r="A14607" i="2"/>
  <c r="A14606" i="2"/>
  <c r="A14605" i="2"/>
  <c r="A14604" i="2"/>
  <c r="A14603" i="2"/>
  <c r="A14602" i="2"/>
  <c r="A14601" i="2"/>
  <c r="A14600" i="2"/>
  <c r="A14599" i="2"/>
  <c r="A14598" i="2"/>
  <c r="A14597" i="2"/>
  <c r="A14596" i="2"/>
  <c r="A14595" i="2"/>
  <c r="A14594" i="2"/>
  <c r="A14593" i="2"/>
  <c r="A14592" i="2"/>
  <c r="A14591" i="2"/>
  <c r="A14590" i="2"/>
  <c r="A14589" i="2"/>
  <c r="A14588" i="2"/>
  <c r="A14587" i="2"/>
  <c r="A14586" i="2"/>
  <c r="A14585" i="2"/>
  <c r="A14584" i="2"/>
  <c r="A14583" i="2"/>
  <c r="A14582" i="2"/>
  <c r="A14581" i="2"/>
  <c r="A14580" i="2"/>
  <c r="A14579" i="2"/>
  <c r="A14578" i="2"/>
  <c r="A14577" i="2"/>
  <c r="A14576" i="2"/>
  <c r="A14575" i="2"/>
  <c r="A14574" i="2"/>
  <c r="A14573" i="2"/>
  <c r="A14572" i="2"/>
  <c r="A14571" i="2"/>
  <c r="A14570" i="2"/>
  <c r="A14569" i="2"/>
  <c r="A14568" i="2"/>
  <c r="A14567" i="2"/>
  <c r="A14566" i="2"/>
  <c r="A14565" i="2"/>
  <c r="A14564" i="2"/>
  <c r="A14563" i="2"/>
  <c r="A14562" i="2"/>
  <c r="A14561" i="2"/>
  <c r="A14560" i="2"/>
  <c r="A14559" i="2"/>
  <c r="A14558" i="2"/>
  <c r="A14557" i="2"/>
  <c r="A14556" i="2"/>
  <c r="A14555" i="2"/>
  <c r="A14554" i="2"/>
  <c r="A14553" i="2"/>
  <c r="A14552" i="2"/>
  <c r="A14551" i="2"/>
  <c r="A14550" i="2"/>
  <c r="A14549" i="2"/>
  <c r="A14548" i="2"/>
  <c r="A14547" i="2"/>
  <c r="A14546" i="2"/>
  <c r="A14545" i="2"/>
  <c r="A14544" i="2"/>
  <c r="A14543" i="2"/>
  <c r="A14542" i="2"/>
  <c r="A14541" i="2"/>
  <c r="A14540" i="2"/>
  <c r="A14539" i="2"/>
  <c r="A14538" i="2"/>
  <c r="A14537" i="2"/>
  <c r="A14536" i="2"/>
  <c r="A14535" i="2"/>
  <c r="A14534" i="2"/>
  <c r="A14533" i="2"/>
  <c r="A14532" i="2"/>
  <c r="A14531" i="2"/>
  <c r="A14530" i="2"/>
  <c r="A14529" i="2"/>
  <c r="A14528" i="2"/>
  <c r="A14527" i="2"/>
  <c r="A14526" i="2"/>
  <c r="A14525" i="2"/>
  <c r="A14524" i="2"/>
  <c r="A14523" i="2"/>
  <c r="A14522" i="2"/>
  <c r="A14521" i="2"/>
  <c r="A14520" i="2"/>
  <c r="A14519" i="2"/>
  <c r="A14518" i="2"/>
  <c r="A14517" i="2"/>
  <c r="A14516" i="2"/>
  <c r="A14515" i="2"/>
  <c r="A14514" i="2"/>
  <c r="A14513" i="2"/>
  <c r="A14512" i="2"/>
  <c r="A14511" i="2"/>
  <c r="A14510" i="2"/>
  <c r="A14509" i="2"/>
  <c r="A14508" i="2"/>
  <c r="A14507" i="2"/>
  <c r="A14506" i="2"/>
  <c r="A14505" i="2"/>
  <c r="A14504" i="2"/>
  <c r="A14503" i="2"/>
  <c r="A14502" i="2"/>
  <c r="A14501" i="2"/>
  <c r="A14500" i="2"/>
  <c r="A14499" i="2"/>
  <c r="A14498" i="2"/>
  <c r="A14497" i="2"/>
  <c r="A14496" i="2"/>
  <c r="A14495" i="2"/>
  <c r="A14494" i="2"/>
  <c r="A14493" i="2"/>
  <c r="A14492" i="2"/>
  <c r="A14491" i="2"/>
  <c r="A14490" i="2"/>
  <c r="A14489" i="2"/>
  <c r="A14488" i="2"/>
  <c r="A14487" i="2"/>
  <c r="A14486" i="2"/>
  <c r="A14485" i="2"/>
  <c r="A14484" i="2"/>
  <c r="A14483" i="2"/>
  <c r="A14482" i="2"/>
  <c r="A14481" i="2"/>
  <c r="A14480" i="2"/>
  <c r="A14479" i="2"/>
  <c r="A14478" i="2"/>
  <c r="A14477" i="2"/>
  <c r="A14476" i="2"/>
  <c r="A14475" i="2"/>
  <c r="A14474" i="2"/>
  <c r="A14473" i="2"/>
  <c r="A14472" i="2"/>
  <c r="A14471" i="2"/>
  <c r="A14470" i="2"/>
  <c r="A14469" i="2"/>
  <c r="A14468" i="2"/>
  <c r="A14467" i="2"/>
  <c r="A14466" i="2"/>
  <c r="A14465" i="2"/>
  <c r="A14464" i="2"/>
  <c r="A14463" i="2"/>
  <c r="A14462" i="2"/>
  <c r="A14461" i="2"/>
  <c r="A14460" i="2"/>
  <c r="A14459" i="2"/>
  <c r="A14458" i="2"/>
  <c r="A14457" i="2"/>
  <c r="A14456" i="2"/>
  <c r="A14455" i="2"/>
  <c r="A14454" i="2"/>
  <c r="A14453" i="2"/>
  <c r="A14452" i="2"/>
  <c r="A14451" i="2"/>
  <c r="A14450" i="2"/>
  <c r="A14449" i="2"/>
  <c r="A14448" i="2"/>
  <c r="A14447" i="2"/>
  <c r="A14446" i="2"/>
  <c r="A14445" i="2"/>
  <c r="A14444" i="2"/>
  <c r="A14443" i="2"/>
  <c r="A14442" i="2"/>
  <c r="A14441" i="2"/>
  <c r="A14440" i="2"/>
  <c r="A14439" i="2"/>
  <c r="A14438" i="2"/>
  <c r="A14437" i="2"/>
  <c r="A14436" i="2"/>
  <c r="A14435" i="2"/>
  <c r="A14434" i="2"/>
  <c r="A14433" i="2"/>
  <c r="A14432" i="2"/>
  <c r="A14431" i="2"/>
  <c r="A14430" i="2"/>
  <c r="A14429" i="2"/>
  <c r="A14428" i="2"/>
  <c r="A14427" i="2"/>
  <c r="A14426" i="2"/>
  <c r="A14425" i="2"/>
  <c r="A14424" i="2"/>
  <c r="A14423" i="2"/>
  <c r="A14422" i="2"/>
  <c r="A14421" i="2"/>
  <c r="A14420" i="2"/>
  <c r="A14419" i="2"/>
  <c r="A14418" i="2"/>
  <c r="A14417" i="2"/>
  <c r="A14416" i="2"/>
  <c r="A14415" i="2"/>
  <c r="A14414" i="2"/>
  <c r="A14413" i="2"/>
  <c r="A14412" i="2"/>
  <c r="A14411" i="2"/>
  <c r="A14410" i="2"/>
  <c r="A14409" i="2"/>
  <c r="A14408" i="2"/>
  <c r="A14407" i="2"/>
  <c r="A14406" i="2"/>
  <c r="A14405" i="2"/>
  <c r="A14404" i="2"/>
  <c r="A14403" i="2"/>
  <c r="A14402" i="2"/>
  <c r="A14401" i="2"/>
  <c r="A14400" i="2"/>
  <c r="A14399" i="2"/>
  <c r="A14398" i="2"/>
  <c r="A14397" i="2"/>
  <c r="A14396" i="2"/>
  <c r="A14395" i="2"/>
  <c r="A14394" i="2"/>
  <c r="A14393" i="2"/>
  <c r="A14392" i="2"/>
  <c r="A14391" i="2"/>
  <c r="A14390" i="2"/>
  <c r="A14389" i="2"/>
  <c r="A14388" i="2"/>
  <c r="A14387" i="2"/>
  <c r="A14386" i="2"/>
  <c r="A14385" i="2"/>
  <c r="A14384" i="2"/>
  <c r="A14383" i="2"/>
  <c r="A14382" i="2"/>
  <c r="A14381" i="2"/>
  <c r="A14380" i="2"/>
  <c r="A14379" i="2"/>
  <c r="A14378" i="2"/>
  <c r="A14377" i="2"/>
  <c r="A14376" i="2"/>
  <c r="A14375" i="2"/>
  <c r="A14374" i="2"/>
  <c r="A14373" i="2"/>
  <c r="A14372" i="2"/>
  <c r="A14371" i="2"/>
  <c r="A14370" i="2"/>
  <c r="A14369" i="2"/>
  <c r="A14368" i="2"/>
  <c r="A14367" i="2"/>
  <c r="A14366" i="2"/>
  <c r="A14365" i="2"/>
  <c r="A14364" i="2"/>
  <c r="A14363" i="2"/>
  <c r="A14362" i="2"/>
  <c r="A14361" i="2"/>
  <c r="A14360" i="2"/>
  <c r="A14359" i="2"/>
  <c r="A14358" i="2"/>
  <c r="A14357" i="2"/>
  <c r="A14356" i="2"/>
  <c r="A14355" i="2"/>
  <c r="A14354" i="2"/>
  <c r="A14353" i="2"/>
  <c r="A14352" i="2"/>
  <c r="A14351" i="2"/>
  <c r="A14350" i="2"/>
  <c r="A14349" i="2"/>
  <c r="A14348" i="2"/>
  <c r="A14347" i="2"/>
  <c r="A14346" i="2"/>
  <c r="A14345" i="2"/>
  <c r="A14344" i="2"/>
  <c r="A14343" i="2"/>
  <c r="A14342" i="2"/>
  <c r="A14341" i="2"/>
  <c r="A14340" i="2"/>
  <c r="A14339" i="2"/>
  <c r="A14338" i="2"/>
  <c r="A14337" i="2"/>
  <c r="A14336" i="2"/>
  <c r="A14335" i="2"/>
  <c r="A14334" i="2"/>
  <c r="A14333" i="2"/>
  <c r="A14332" i="2"/>
  <c r="A14331" i="2"/>
  <c r="A14330" i="2"/>
  <c r="A14329" i="2"/>
  <c r="A14328" i="2"/>
  <c r="A14327" i="2"/>
  <c r="A14326" i="2"/>
  <c r="A14325" i="2"/>
  <c r="A14324" i="2"/>
  <c r="A14323" i="2"/>
  <c r="A14322" i="2"/>
  <c r="A14321" i="2"/>
  <c r="A14320" i="2"/>
  <c r="A14319" i="2"/>
  <c r="A14318" i="2"/>
  <c r="A14317" i="2"/>
  <c r="A14316" i="2"/>
  <c r="A14315" i="2"/>
  <c r="A14314" i="2"/>
  <c r="A14313" i="2"/>
  <c r="A14312" i="2"/>
  <c r="A14311" i="2"/>
  <c r="A14310" i="2"/>
  <c r="A14309" i="2"/>
  <c r="A14308" i="2"/>
  <c r="A14307" i="2"/>
  <c r="A14306" i="2"/>
  <c r="A14305" i="2"/>
  <c r="A14304" i="2"/>
  <c r="A14303" i="2"/>
  <c r="A14302" i="2"/>
  <c r="A14301" i="2"/>
  <c r="A14300" i="2"/>
  <c r="A14299" i="2"/>
  <c r="A14298" i="2"/>
  <c r="A14297" i="2"/>
  <c r="A14296" i="2"/>
  <c r="A14295" i="2"/>
  <c r="A14294" i="2"/>
  <c r="A14293" i="2"/>
  <c r="A14292" i="2"/>
  <c r="A14291" i="2"/>
  <c r="A14290" i="2"/>
  <c r="A14289" i="2"/>
  <c r="A14288" i="2"/>
  <c r="A14287" i="2"/>
  <c r="A14286" i="2"/>
  <c r="A14285" i="2"/>
  <c r="A14284" i="2"/>
  <c r="A14283" i="2"/>
  <c r="A14282" i="2"/>
  <c r="A14281" i="2"/>
  <c r="A14280" i="2"/>
  <c r="A14279" i="2"/>
  <c r="A14278" i="2"/>
  <c r="A14277" i="2"/>
  <c r="A14276" i="2"/>
  <c r="A14275" i="2"/>
  <c r="A14274" i="2"/>
  <c r="A14273" i="2"/>
  <c r="A14272" i="2"/>
  <c r="A14271" i="2"/>
  <c r="A14270" i="2"/>
  <c r="A14269" i="2"/>
  <c r="A14268" i="2"/>
  <c r="A14267" i="2"/>
  <c r="A14266" i="2"/>
  <c r="A14265" i="2"/>
  <c r="A14264" i="2"/>
  <c r="A14263" i="2"/>
  <c r="A14262" i="2"/>
  <c r="A14261" i="2"/>
  <c r="A14260" i="2"/>
  <c r="A14259" i="2"/>
  <c r="A14258" i="2"/>
  <c r="A14257" i="2"/>
  <c r="A14256" i="2"/>
  <c r="A14255" i="2"/>
  <c r="A14254" i="2"/>
  <c r="A14253" i="2"/>
  <c r="A14252" i="2"/>
  <c r="A14251" i="2"/>
  <c r="A14250" i="2"/>
  <c r="A14249" i="2"/>
  <c r="A14248" i="2"/>
  <c r="A14247" i="2"/>
  <c r="A14246" i="2"/>
  <c r="A14245" i="2"/>
  <c r="A14244" i="2"/>
  <c r="A14243" i="2"/>
  <c r="A14242" i="2"/>
  <c r="A14241" i="2"/>
  <c r="A14240" i="2"/>
  <c r="A14239" i="2"/>
  <c r="A14238" i="2"/>
  <c r="A14237" i="2"/>
  <c r="A14236" i="2"/>
  <c r="A14235" i="2"/>
  <c r="A14234" i="2"/>
  <c r="A14233" i="2"/>
  <c r="A14232" i="2"/>
  <c r="A14231" i="2"/>
  <c r="A14230" i="2"/>
  <c r="A14229" i="2"/>
  <c r="A14228" i="2"/>
  <c r="A14227" i="2"/>
  <c r="A14226" i="2"/>
  <c r="A14225" i="2"/>
  <c r="A14224" i="2"/>
  <c r="A14223" i="2"/>
  <c r="A14222" i="2"/>
  <c r="A14221" i="2"/>
  <c r="A14220" i="2"/>
  <c r="A14219" i="2"/>
  <c r="A14218" i="2"/>
  <c r="A14217" i="2"/>
  <c r="A14216" i="2"/>
  <c r="A14215" i="2"/>
  <c r="A14214" i="2"/>
  <c r="A14213" i="2"/>
  <c r="A14212" i="2"/>
  <c r="A14211" i="2"/>
  <c r="A14210" i="2"/>
  <c r="A14209" i="2"/>
  <c r="A14208" i="2"/>
  <c r="A14207" i="2"/>
  <c r="A14206" i="2"/>
  <c r="A14205" i="2"/>
  <c r="A14204" i="2"/>
  <c r="A14203" i="2"/>
  <c r="A14202" i="2"/>
  <c r="A14201" i="2"/>
  <c r="A14200" i="2"/>
  <c r="A14199" i="2"/>
  <c r="A14198" i="2"/>
  <c r="A14197" i="2"/>
  <c r="A14196" i="2"/>
  <c r="A14195" i="2"/>
  <c r="A14194" i="2"/>
  <c r="A14193" i="2"/>
  <c r="A14192" i="2"/>
  <c r="A14191" i="2"/>
  <c r="A14190" i="2"/>
  <c r="A14189" i="2"/>
  <c r="A14188" i="2"/>
  <c r="A14187" i="2"/>
  <c r="A14186" i="2"/>
  <c r="A14185" i="2"/>
  <c r="A14184" i="2"/>
  <c r="A14183" i="2"/>
  <c r="A14182" i="2"/>
  <c r="A14181" i="2"/>
  <c r="A14180" i="2"/>
  <c r="A14179" i="2"/>
  <c r="A14178" i="2"/>
  <c r="A14177" i="2"/>
  <c r="A14176" i="2"/>
  <c r="A14175" i="2"/>
  <c r="A14174" i="2"/>
  <c r="A14173" i="2"/>
  <c r="A14172" i="2"/>
  <c r="A14171" i="2"/>
  <c r="A14170" i="2"/>
  <c r="A14169" i="2"/>
  <c r="A14168" i="2"/>
  <c r="A14167" i="2"/>
  <c r="A14166" i="2"/>
  <c r="A14165" i="2"/>
  <c r="A14164" i="2"/>
  <c r="A14163" i="2"/>
  <c r="A14162" i="2"/>
  <c r="A14161" i="2"/>
  <c r="A14160" i="2"/>
  <c r="A14159" i="2"/>
  <c r="A14158" i="2"/>
  <c r="A14157" i="2"/>
  <c r="A14156" i="2"/>
  <c r="A14155" i="2"/>
  <c r="A14154" i="2"/>
  <c r="A14153" i="2"/>
  <c r="A14152" i="2"/>
  <c r="A14151" i="2"/>
  <c r="A14150" i="2"/>
  <c r="A14149" i="2"/>
  <c r="A14148" i="2"/>
  <c r="A14147" i="2"/>
  <c r="A14146" i="2"/>
  <c r="A14145" i="2"/>
  <c r="A14144" i="2"/>
  <c r="A14143" i="2"/>
  <c r="A14142" i="2"/>
  <c r="A14141" i="2"/>
  <c r="A14140" i="2"/>
  <c r="A14139" i="2"/>
  <c r="A14138" i="2"/>
  <c r="A14137" i="2"/>
  <c r="A14136" i="2"/>
  <c r="A14135" i="2"/>
  <c r="A14134" i="2"/>
  <c r="A14133" i="2"/>
  <c r="A14132" i="2"/>
  <c r="A14131" i="2"/>
  <c r="A14130" i="2"/>
  <c r="A14129" i="2"/>
  <c r="A14128" i="2"/>
  <c r="A14127" i="2"/>
  <c r="A14126" i="2"/>
  <c r="A14125" i="2"/>
  <c r="A14124" i="2"/>
  <c r="A14123" i="2"/>
  <c r="A14122" i="2"/>
  <c r="A14121" i="2"/>
  <c r="A14120" i="2"/>
  <c r="A14119" i="2"/>
  <c r="A14118" i="2"/>
  <c r="A14117" i="2"/>
  <c r="A14116" i="2"/>
  <c r="A14115" i="2"/>
  <c r="A14114" i="2"/>
  <c r="A14113" i="2"/>
  <c r="A14112" i="2"/>
  <c r="A14111" i="2"/>
  <c r="A14110" i="2"/>
  <c r="A14109" i="2"/>
  <c r="A14108" i="2"/>
  <c r="A14107" i="2"/>
  <c r="A14106" i="2"/>
  <c r="A14105" i="2"/>
  <c r="A14104" i="2"/>
  <c r="A14103" i="2"/>
  <c r="A14102" i="2"/>
  <c r="A14101" i="2"/>
  <c r="A14100" i="2"/>
  <c r="A14099" i="2"/>
  <c r="A14098" i="2"/>
  <c r="A14097" i="2"/>
  <c r="A14096" i="2"/>
  <c r="A14095" i="2"/>
  <c r="A14094" i="2"/>
  <c r="A14093" i="2"/>
  <c r="A14092" i="2"/>
  <c r="A14091" i="2"/>
  <c r="A14090" i="2"/>
  <c r="A14089" i="2"/>
  <c r="A14088" i="2"/>
  <c r="A14087" i="2"/>
  <c r="A14086" i="2"/>
  <c r="A14085" i="2"/>
  <c r="A14084" i="2"/>
  <c r="A14083" i="2"/>
  <c r="A14082" i="2"/>
  <c r="A14081" i="2"/>
  <c r="A14080" i="2"/>
  <c r="A14079" i="2"/>
  <c r="A14078" i="2"/>
  <c r="A14077" i="2"/>
  <c r="A14076" i="2"/>
  <c r="A14075" i="2"/>
  <c r="A14074" i="2"/>
  <c r="A14073" i="2"/>
  <c r="A14072" i="2"/>
  <c r="A14071" i="2"/>
  <c r="A14070" i="2"/>
  <c r="A14069" i="2"/>
  <c r="A14068" i="2"/>
  <c r="A14067" i="2"/>
  <c r="A14066" i="2"/>
  <c r="A14065" i="2"/>
  <c r="A14064" i="2"/>
  <c r="A14063" i="2"/>
  <c r="A14062" i="2"/>
  <c r="A14061" i="2"/>
  <c r="A14060" i="2"/>
  <c r="A14059" i="2"/>
  <c r="A14058" i="2"/>
  <c r="A14057" i="2"/>
  <c r="A14056" i="2"/>
  <c r="A14055" i="2"/>
  <c r="A14054" i="2"/>
  <c r="A14053" i="2"/>
  <c r="A14052" i="2"/>
  <c r="A14051" i="2"/>
  <c r="A14050" i="2"/>
  <c r="A14049" i="2"/>
  <c r="A14048" i="2"/>
  <c r="A14047" i="2"/>
  <c r="A14046" i="2"/>
  <c r="A14045" i="2"/>
  <c r="A14044" i="2"/>
  <c r="A14043" i="2"/>
  <c r="A14042" i="2"/>
  <c r="A14041" i="2"/>
  <c r="A14040" i="2"/>
  <c r="A14039" i="2"/>
  <c r="A14038" i="2"/>
  <c r="A14037" i="2"/>
  <c r="A14036" i="2"/>
  <c r="A14035" i="2"/>
  <c r="A14034" i="2"/>
  <c r="A14033" i="2"/>
  <c r="A14032" i="2"/>
  <c r="A14031" i="2"/>
  <c r="A14030" i="2"/>
  <c r="A14029" i="2"/>
  <c r="A14028" i="2"/>
  <c r="A14027" i="2"/>
  <c r="A14026" i="2"/>
  <c r="A14025" i="2"/>
  <c r="A14024" i="2"/>
  <c r="A14023" i="2"/>
  <c r="A14022" i="2"/>
  <c r="A14021" i="2"/>
  <c r="A14020" i="2"/>
  <c r="A14019" i="2"/>
  <c r="A14018" i="2"/>
  <c r="A14017" i="2"/>
  <c r="A14016" i="2"/>
  <c r="A14015" i="2"/>
  <c r="A14014" i="2"/>
  <c r="A14013" i="2"/>
  <c r="A14012" i="2"/>
  <c r="A14011" i="2"/>
  <c r="A14010" i="2"/>
  <c r="A14009" i="2"/>
  <c r="A14008" i="2"/>
  <c r="A14007" i="2"/>
  <c r="A14006" i="2"/>
  <c r="A14005" i="2"/>
  <c r="A14004" i="2"/>
  <c r="A14003" i="2"/>
  <c r="A14002" i="2"/>
  <c r="A14001" i="2"/>
  <c r="A14000" i="2"/>
  <c r="A13999" i="2"/>
  <c r="A13998" i="2"/>
  <c r="A13997" i="2"/>
  <c r="A13996" i="2"/>
  <c r="A13995" i="2"/>
  <c r="A13994" i="2"/>
  <c r="A13993" i="2"/>
  <c r="A13992" i="2"/>
  <c r="A13991" i="2"/>
  <c r="A13990" i="2"/>
  <c r="A13989" i="2"/>
  <c r="A13988" i="2"/>
  <c r="A13987" i="2"/>
  <c r="A13986" i="2"/>
  <c r="A13985" i="2"/>
  <c r="A13984" i="2"/>
  <c r="A13983" i="2"/>
  <c r="A13982" i="2"/>
  <c r="A13981" i="2"/>
  <c r="A13980" i="2"/>
  <c r="A13979" i="2"/>
  <c r="A13978" i="2"/>
  <c r="A13977" i="2"/>
  <c r="A13976" i="2"/>
  <c r="A13975" i="2"/>
  <c r="A13974" i="2"/>
  <c r="A13973" i="2"/>
  <c r="A13972" i="2"/>
  <c r="A13971" i="2"/>
  <c r="A13970" i="2"/>
  <c r="A13969" i="2"/>
  <c r="A13968" i="2"/>
  <c r="A13967" i="2"/>
  <c r="A13966" i="2"/>
  <c r="A13965" i="2"/>
  <c r="A13964" i="2"/>
  <c r="A13963" i="2"/>
  <c r="A13962" i="2"/>
  <c r="A13961" i="2"/>
  <c r="A13960" i="2"/>
  <c r="A13959" i="2"/>
  <c r="A13958" i="2"/>
  <c r="A13957" i="2"/>
  <c r="A13956" i="2"/>
  <c r="A13955" i="2"/>
  <c r="A13954" i="2"/>
  <c r="A13953" i="2"/>
  <c r="A13952" i="2"/>
  <c r="A13951" i="2"/>
  <c r="A13950" i="2"/>
  <c r="A13949" i="2"/>
  <c r="A13948" i="2"/>
  <c r="A13947" i="2"/>
  <c r="A13946" i="2"/>
  <c r="A13945" i="2"/>
  <c r="A13944" i="2"/>
  <c r="A13943" i="2"/>
  <c r="A13942" i="2"/>
  <c r="A13941" i="2"/>
  <c r="A13940" i="2"/>
  <c r="A13939" i="2"/>
  <c r="A13938" i="2"/>
  <c r="A13937" i="2"/>
  <c r="A13936" i="2"/>
  <c r="A13935" i="2"/>
  <c r="A13934" i="2"/>
  <c r="A13933" i="2"/>
  <c r="A13932" i="2"/>
  <c r="A13931" i="2"/>
  <c r="A13930" i="2"/>
  <c r="A13929" i="2"/>
  <c r="A13928" i="2"/>
  <c r="A13927" i="2"/>
  <c r="A13926" i="2"/>
  <c r="A13925" i="2"/>
  <c r="A13924" i="2"/>
  <c r="A13923" i="2"/>
  <c r="A13922" i="2"/>
  <c r="A13921" i="2"/>
  <c r="A13920" i="2"/>
  <c r="A13919" i="2"/>
  <c r="A13918" i="2"/>
  <c r="A13917" i="2"/>
  <c r="A13916" i="2"/>
  <c r="A13915" i="2"/>
  <c r="A13914" i="2"/>
  <c r="A13913" i="2"/>
  <c r="A13912" i="2"/>
  <c r="A13911" i="2"/>
  <c r="A13910" i="2"/>
  <c r="A13909" i="2"/>
  <c r="A13908" i="2"/>
  <c r="A13907" i="2"/>
  <c r="A13906" i="2"/>
  <c r="A13905" i="2"/>
  <c r="A13904" i="2"/>
  <c r="A13903" i="2"/>
  <c r="A13902" i="2"/>
  <c r="A13901" i="2"/>
  <c r="A13900" i="2"/>
  <c r="A13899" i="2"/>
  <c r="A13898" i="2"/>
  <c r="A13897" i="2"/>
  <c r="A13896" i="2"/>
  <c r="A13895" i="2"/>
  <c r="A13894" i="2"/>
  <c r="A13893" i="2"/>
  <c r="A13892" i="2"/>
  <c r="A13891" i="2"/>
  <c r="A13890" i="2"/>
  <c r="A13889" i="2"/>
  <c r="A13888" i="2"/>
  <c r="A13887" i="2"/>
  <c r="A13886" i="2"/>
  <c r="A13885" i="2"/>
  <c r="A13884" i="2"/>
  <c r="A13883" i="2"/>
  <c r="A13882" i="2"/>
  <c r="A13881" i="2"/>
  <c r="A13880" i="2"/>
  <c r="A13879" i="2"/>
  <c r="A13878" i="2"/>
  <c r="A13877" i="2"/>
  <c r="A13876" i="2"/>
  <c r="A13875" i="2"/>
  <c r="A13874" i="2"/>
  <c r="A13873" i="2"/>
  <c r="A13872" i="2"/>
  <c r="A13871" i="2"/>
  <c r="A13870" i="2"/>
  <c r="A13869" i="2"/>
  <c r="A13868" i="2"/>
  <c r="A13867" i="2"/>
  <c r="A13866" i="2"/>
  <c r="A13865" i="2"/>
  <c r="A13864" i="2"/>
  <c r="A13863" i="2"/>
  <c r="A13862" i="2"/>
  <c r="A13861" i="2"/>
  <c r="A13860" i="2"/>
  <c r="A13859" i="2"/>
  <c r="A13858" i="2"/>
  <c r="A13857" i="2"/>
  <c r="A13856" i="2"/>
  <c r="A13855" i="2"/>
  <c r="A13854" i="2"/>
  <c r="A13853" i="2"/>
  <c r="A13852" i="2"/>
  <c r="A13851" i="2"/>
  <c r="A13850" i="2"/>
  <c r="A13849" i="2"/>
  <c r="A13848" i="2"/>
  <c r="A13847" i="2"/>
  <c r="A13846" i="2"/>
  <c r="A13845" i="2"/>
  <c r="A13844" i="2"/>
  <c r="A13843" i="2"/>
  <c r="A13842" i="2"/>
  <c r="A13841" i="2"/>
  <c r="A13840" i="2"/>
  <c r="A13839" i="2"/>
  <c r="A13838" i="2"/>
  <c r="A13837" i="2"/>
  <c r="A13836" i="2"/>
  <c r="A13835" i="2"/>
  <c r="A13834" i="2"/>
  <c r="A13833" i="2"/>
  <c r="A13832" i="2"/>
  <c r="A13831" i="2"/>
  <c r="A13830" i="2"/>
  <c r="A13829" i="2"/>
  <c r="A13828" i="2"/>
  <c r="A13827" i="2"/>
  <c r="A13826" i="2"/>
  <c r="A13825" i="2"/>
  <c r="A13824" i="2"/>
  <c r="A13823" i="2"/>
  <c r="A13822" i="2"/>
  <c r="A13821" i="2"/>
  <c r="A13820" i="2"/>
  <c r="A13819" i="2"/>
  <c r="A13818" i="2"/>
  <c r="A13817" i="2"/>
  <c r="A13816" i="2"/>
  <c r="A13815" i="2"/>
  <c r="A13814" i="2"/>
  <c r="A13813" i="2"/>
  <c r="A13812" i="2"/>
  <c r="A13811" i="2"/>
  <c r="A13810" i="2"/>
  <c r="A13809" i="2"/>
  <c r="A13808" i="2"/>
  <c r="A13807" i="2"/>
  <c r="A13806" i="2"/>
  <c r="A13805" i="2"/>
  <c r="A13804" i="2"/>
  <c r="A13803" i="2"/>
  <c r="A13802" i="2"/>
  <c r="A13801" i="2"/>
  <c r="A13800" i="2"/>
  <c r="A13799" i="2"/>
  <c r="A13798" i="2"/>
  <c r="A13797" i="2"/>
  <c r="A13796" i="2"/>
  <c r="A13795" i="2"/>
  <c r="A13794" i="2"/>
  <c r="A13793" i="2"/>
  <c r="A13792" i="2"/>
  <c r="A13791" i="2"/>
  <c r="A13790" i="2"/>
  <c r="A13789" i="2"/>
  <c r="A13788" i="2"/>
  <c r="A13787" i="2"/>
  <c r="A13786" i="2"/>
  <c r="A13785" i="2"/>
  <c r="A13784" i="2"/>
  <c r="A13783" i="2"/>
  <c r="A13782" i="2"/>
  <c r="A13781" i="2"/>
  <c r="A13780" i="2"/>
  <c r="A13779" i="2"/>
  <c r="A13778" i="2"/>
  <c r="A13777" i="2"/>
  <c r="A13776" i="2"/>
  <c r="A13775" i="2"/>
  <c r="A13774" i="2"/>
  <c r="A13773" i="2"/>
  <c r="A13772" i="2"/>
  <c r="A13771" i="2"/>
  <c r="A13770" i="2"/>
  <c r="A13769" i="2"/>
  <c r="A13768" i="2"/>
  <c r="A13767" i="2"/>
  <c r="A13766" i="2"/>
  <c r="A13765" i="2"/>
  <c r="A13764" i="2"/>
  <c r="A13763" i="2"/>
  <c r="A13762" i="2"/>
  <c r="A13761" i="2"/>
  <c r="A13760" i="2"/>
  <c r="A13759" i="2"/>
  <c r="A13758" i="2"/>
  <c r="A13757" i="2"/>
  <c r="A13756" i="2"/>
  <c r="A13755" i="2"/>
  <c r="A13754" i="2"/>
  <c r="A13753" i="2"/>
  <c r="A13752" i="2"/>
  <c r="A13751" i="2"/>
  <c r="A13750" i="2"/>
  <c r="A13749" i="2"/>
  <c r="A13748" i="2"/>
  <c r="A13747" i="2"/>
  <c r="A13746" i="2"/>
  <c r="A13745" i="2"/>
  <c r="A13744" i="2"/>
  <c r="A13743" i="2"/>
  <c r="A13742" i="2"/>
  <c r="A13741" i="2"/>
  <c r="A13740" i="2"/>
  <c r="A13739" i="2"/>
  <c r="A13738" i="2"/>
  <c r="A13737" i="2"/>
  <c r="A13736" i="2"/>
  <c r="A13735" i="2"/>
  <c r="A13734" i="2"/>
  <c r="A13733" i="2"/>
  <c r="A13732" i="2"/>
  <c r="A13731" i="2"/>
  <c r="A13730" i="2"/>
  <c r="A13729" i="2"/>
  <c r="A13728" i="2"/>
  <c r="A13727" i="2"/>
  <c r="A13726" i="2"/>
  <c r="A13725" i="2"/>
  <c r="A13724" i="2"/>
  <c r="A13723" i="2"/>
  <c r="A13722" i="2"/>
  <c r="A13721" i="2"/>
  <c r="A13720" i="2"/>
  <c r="A13719" i="2"/>
  <c r="A13718" i="2"/>
  <c r="A13717" i="2"/>
  <c r="A13716" i="2"/>
  <c r="A13715" i="2"/>
  <c r="A13714" i="2"/>
  <c r="A13713" i="2"/>
  <c r="A13712" i="2"/>
  <c r="A13711" i="2"/>
  <c r="A13710" i="2"/>
  <c r="A13709" i="2"/>
  <c r="A13708" i="2"/>
  <c r="A13707" i="2"/>
  <c r="A13706" i="2"/>
  <c r="A13705" i="2"/>
  <c r="A13704" i="2"/>
  <c r="A13703" i="2"/>
  <c r="A13702" i="2"/>
  <c r="A13701" i="2"/>
  <c r="A13700" i="2"/>
  <c r="A13699" i="2"/>
  <c r="A13698" i="2"/>
  <c r="A13697" i="2"/>
  <c r="A13696" i="2"/>
  <c r="A13695" i="2"/>
  <c r="A13694" i="2"/>
  <c r="A13693" i="2"/>
  <c r="A13692" i="2"/>
  <c r="A13691" i="2"/>
  <c r="A13690" i="2"/>
  <c r="A13689" i="2"/>
  <c r="A13688" i="2"/>
  <c r="A13687" i="2"/>
  <c r="A13686" i="2"/>
  <c r="A13685" i="2"/>
  <c r="A13684" i="2"/>
  <c r="A13683" i="2"/>
  <c r="A13682" i="2"/>
  <c r="A13681" i="2"/>
  <c r="A13680" i="2"/>
  <c r="A13679" i="2"/>
  <c r="A13678" i="2"/>
  <c r="A13677" i="2"/>
  <c r="A13676" i="2"/>
  <c r="A13675" i="2"/>
  <c r="A13674" i="2"/>
  <c r="A13673" i="2"/>
  <c r="A13672" i="2"/>
  <c r="A13671" i="2"/>
  <c r="A13670" i="2"/>
  <c r="A13669" i="2"/>
  <c r="A13668" i="2"/>
  <c r="A13667" i="2"/>
  <c r="A13666" i="2"/>
  <c r="A13665" i="2"/>
  <c r="A13664" i="2"/>
  <c r="A13663" i="2"/>
  <c r="A13662" i="2"/>
  <c r="A13661" i="2"/>
  <c r="A13660" i="2"/>
  <c r="A13659" i="2"/>
  <c r="A13658" i="2"/>
  <c r="A13657" i="2"/>
  <c r="A13656" i="2"/>
  <c r="A13655" i="2"/>
  <c r="A13654" i="2"/>
  <c r="A13653" i="2"/>
  <c r="A13652" i="2"/>
  <c r="A13651" i="2"/>
  <c r="A13650" i="2"/>
  <c r="A13649" i="2"/>
  <c r="A13648" i="2"/>
  <c r="A13647" i="2"/>
  <c r="A13646" i="2"/>
  <c r="A13645" i="2"/>
  <c r="A13644" i="2"/>
  <c r="A13643" i="2"/>
  <c r="A13642" i="2"/>
  <c r="A13641" i="2"/>
  <c r="A13640" i="2"/>
  <c r="A13639" i="2"/>
  <c r="A13638" i="2"/>
  <c r="A13637" i="2"/>
  <c r="A13636" i="2"/>
  <c r="A13635" i="2"/>
  <c r="A13634" i="2"/>
  <c r="A13633" i="2"/>
  <c r="A13632" i="2"/>
  <c r="A13631" i="2"/>
  <c r="A13630" i="2"/>
  <c r="A13629" i="2"/>
  <c r="A13628" i="2"/>
  <c r="A13627" i="2"/>
  <c r="A13626" i="2"/>
  <c r="A13625" i="2"/>
  <c r="A13624" i="2"/>
  <c r="A13623" i="2"/>
  <c r="A13622" i="2"/>
  <c r="A13621" i="2"/>
  <c r="A13620" i="2"/>
  <c r="A13619" i="2"/>
  <c r="A13618" i="2"/>
  <c r="A13617" i="2"/>
  <c r="A13616" i="2"/>
  <c r="A13615" i="2"/>
  <c r="A13614" i="2"/>
  <c r="A13613" i="2"/>
  <c r="A13612" i="2"/>
  <c r="A13611" i="2"/>
  <c r="A13610" i="2"/>
  <c r="A13609" i="2"/>
  <c r="A13608" i="2"/>
  <c r="A13607" i="2"/>
  <c r="A13606" i="2"/>
  <c r="A13605" i="2"/>
  <c r="A13604" i="2"/>
  <c r="A13603" i="2"/>
  <c r="A13602" i="2"/>
  <c r="A13601" i="2"/>
  <c r="A13600" i="2"/>
  <c r="A13599" i="2"/>
  <c r="A13598" i="2"/>
  <c r="A13597" i="2"/>
  <c r="A13596" i="2"/>
  <c r="A13595" i="2"/>
  <c r="A13594" i="2"/>
  <c r="A13593" i="2"/>
  <c r="A13592" i="2"/>
  <c r="A13591" i="2"/>
  <c r="A13590" i="2"/>
  <c r="A13589" i="2"/>
  <c r="A13588" i="2"/>
  <c r="A13587" i="2"/>
  <c r="A13586" i="2"/>
  <c r="A13585" i="2"/>
  <c r="A13584" i="2"/>
  <c r="A13583" i="2"/>
  <c r="A13582" i="2"/>
  <c r="A13581" i="2"/>
  <c r="A13580" i="2"/>
  <c r="A13579" i="2"/>
  <c r="A13578" i="2"/>
  <c r="A13577" i="2"/>
  <c r="A13576" i="2"/>
  <c r="A13575" i="2"/>
  <c r="A13574" i="2"/>
  <c r="A13573" i="2"/>
  <c r="A13572" i="2"/>
  <c r="A13571" i="2"/>
  <c r="A13570" i="2"/>
  <c r="A13569" i="2"/>
  <c r="A13568" i="2"/>
  <c r="A13567" i="2"/>
  <c r="A13566" i="2"/>
  <c r="A13565" i="2"/>
  <c r="A13564" i="2"/>
  <c r="A13563" i="2"/>
  <c r="A13562" i="2"/>
  <c r="A13561" i="2"/>
  <c r="A13560" i="2"/>
  <c r="A13559" i="2"/>
  <c r="A13558" i="2"/>
  <c r="A13557" i="2"/>
  <c r="A13556" i="2"/>
  <c r="A13555" i="2"/>
  <c r="A13554" i="2"/>
  <c r="A13553" i="2"/>
  <c r="A13552" i="2"/>
  <c r="A13551" i="2"/>
  <c r="A13550" i="2"/>
  <c r="A13549" i="2"/>
  <c r="A13548" i="2"/>
  <c r="A13547" i="2"/>
  <c r="A13546" i="2"/>
  <c r="A13545" i="2"/>
  <c r="A13544" i="2"/>
  <c r="A13543" i="2"/>
  <c r="A13542" i="2"/>
  <c r="A13541" i="2"/>
  <c r="A13540" i="2"/>
  <c r="A13539" i="2"/>
  <c r="A13538" i="2"/>
  <c r="A13537" i="2"/>
  <c r="A13536" i="2"/>
  <c r="A13535" i="2"/>
  <c r="A13534" i="2"/>
  <c r="A13533" i="2"/>
  <c r="A13532" i="2"/>
  <c r="A13531" i="2"/>
  <c r="A13530" i="2"/>
  <c r="A13529" i="2"/>
  <c r="A13528" i="2"/>
  <c r="A13527" i="2"/>
  <c r="A13526" i="2"/>
  <c r="A13525" i="2"/>
  <c r="A13524" i="2"/>
  <c r="A13523" i="2"/>
  <c r="A13522" i="2"/>
  <c r="A13521" i="2"/>
  <c r="A13520" i="2"/>
  <c r="A13519" i="2"/>
  <c r="A13518" i="2"/>
  <c r="A13517" i="2"/>
  <c r="A13516" i="2"/>
  <c r="A13515" i="2"/>
  <c r="A13514" i="2"/>
  <c r="A13513" i="2"/>
  <c r="A13512" i="2"/>
  <c r="A13511" i="2"/>
  <c r="A13510" i="2"/>
  <c r="A13509" i="2"/>
  <c r="A13508" i="2"/>
  <c r="A13507" i="2"/>
  <c r="A13506" i="2"/>
  <c r="A13505" i="2"/>
  <c r="A13504" i="2"/>
  <c r="A13503" i="2"/>
  <c r="A13502" i="2"/>
  <c r="A13501" i="2"/>
  <c r="A13500" i="2"/>
  <c r="A13499" i="2"/>
  <c r="A13498" i="2"/>
  <c r="A13497" i="2"/>
  <c r="A13496" i="2"/>
  <c r="A13495" i="2"/>
  <c r="A13494" i="2"/>
  <c r="A13493" i="2"/>
  <c r="A13492" i="2"/>
  <c r="A13491" i="2"/>
  <c r="A13490" i="2"/>
  <c r="A13489" i="2"/>
  <c r="A13488" i="2"/>
  <c r="A13487" i="2"/>
  <c r="A13486" i="2"/>
  <c r="A13485" i="2"/>
  <c r="A13484" i="2"/>
  <c r="A13483" i="2"/>
  <c r="A13482" i="2"/>
  <c r="A13481" i="2"/>
  <c r="A13480" i="2"/>
  <c r="A13479" i="2"/>
  <c r="A13478" i="2"/>
  <c r="A13477" i="2"/>
  <c r="A13476" i="2"/>
  <c r="A13475" i="2"/>
  <c r="A13474" i="2"/>
  <c r="A13473" i="2"/>
  <c r="A13472" i="2"/>
  <c r="A13471" i="2"/>
  <c r="A13470" i="2"/>
  <c r="A13469" i="2"/>
  <c r="A13468" i="2"/>
  <c r="A13467" i="2"/>
  <c r="A13466" i="2"/>
  <c r="A13465" i="2"/>
  <c r="A13464" i="2"/>
  <c r="A13463" i="2"/>
  <c r="A13462" i="2"/>
  <c r="A13461" i="2"/>
  <c r="A13460" i="2"/>
  <c r="A13459" i="2"/>
  <c r="A13458" i="2"/>
  <c r="A13457" i="2"/>
  <c r="A13456" i="2"/>
  <c r="A13455" i="2"/>
  <c r="A13454" i="2"/>
  <c r="A13453" i="2"/>
  <c r="A13452" i="2"/>
  <c r="A13451" i="2"/>
  <c r="A13450" i="2"/>
  <c r="A13449" i="2"/>
  <c r="A13448" i="2"/>
  <c r="A13447" i="2"/>
  <c r="A13446" i="2"/>
  <c r="A13445" i="2"/>
  <c r="A13444" i="2"/>
  <c r="A13443" i="2"/>
  <c r="A13442" i="2"/>
  <c r="A13441" i="2"/>
  <c r="A13440" i="2"/>
  <c r="A13439" i="2"/>
  <c r="A13438" i="2"/>
  <c r="A13437" i="2"/>
  <c r="A13436" i="2"/>
  <c r="A13435" i="2"/>
  <c r="A13434" i="2"/>
  <c r="A13433" i="2"/>
  <c r="A13432" i="2"/>
  <c r="A13431" i="2"/>
  <c r="A13430" i="2"/>
  <c r="A13429" i="2"/>
  <c r="A13428" i="2"/>
  <c r="A13427" i="2"/>
  <c r="A13426" i="2"/>
  <c r="A13425" i="2"/>
  <c r="A13424" i="2"/>
  <c r="A13423" i="2"/>
  <c r="A13422" i="2"/>
  <c r="A13421" i="2"/>
  <c r="A13420" i="2"/>
  <c r="A13419" i="2"/>
  <c r="A13418" i="2"/>
  <c r="A13417" i="2"/>
  <c r="A13416" i="2"/>
  <c r="A13415" i="2"/>
  <c r="A13414" i="2"/>
  <c r="A13413" i="2"/>
  <c r="A13412" i="2"/>
  <c r="A13411" i="2"/>
  <c r="A13410" i="2"/>
  <c r="A13409" i="2"/>
  <c r="A13408" i="2"/>
  <c r="A13407" i="2"/>
  <c r="A13406" i="2"/>
  <c r="A13405" i="2"/>
  <c r="A13404" i="2"/>
  <c r="A13403" i="2"/>
  <c r="A13402" i="2"/>
  <c r="A13401" i="2"/>
  <c r="A13400" i="2"/>
  <c r="A13399" i="2"/>
  <c r="A13398" i="2"/>
  <c r="A13397" i="2"/>
  <c r="A13396" i="2"/>
  <c r="A13395" i="2"/>
  <c r="A13394" i="2"/>
  <c r="A13393" i="2"/>
  <c r="A13392" i="2"/>
  <c r="A13391" i="2"/>
  <c r="A13390" i="2"/>
  <c r="A13389" i="2"/>
  <c r="A13388" i="2"/>
  <c r="A13387" i="2"/>
  <c r="A13386" i="2"/>
  <c r="A13385" i="2"/>
  <c r="A13384" i="2"/>
  <c r="A13383" i="2"/>
  <c r="A13382" i="2"/>
  <c r="A13381" i="2"/>
  <c r="A13380" i="2"/>
  <c r="A13379" i="2"/>
  <c r="A13378" i="2"/>
  <c r="A13377" i="2"/>
  <c r="A13376" i="2"/>
  <c r="A13375" i="2"/>
  <c r="A13374" i="2"/>
  <c r="A13373" i="2"/>
  <c r="A13372" i="2"/>
  <c r="A13371" i="2"/>
  <c r="A13370" i="2"/>
  <c r="A13369" i="2"/>
  <c r="A13368" i="2"/>
  <c r="A13367" i="2"/>
  <c r="A13366" i="2"/>
  <c r="A13365" i="2"/>
  <c r="A13364" i="2"/>
  <c r="A13363" i="2"/>
  <c r="A13362" i="2"/>
  <c r="A13361" i="2"/>
  <c r="A13360" i="2"/>
  <c r="A13359" i="2"/>
  <c r="A13358" i="2"/>
  <c r="A13357" i="2"/>
  <c r="A13356" i="2"/>
  <c r="A13355" i="2"/>
  <c r="A13354" i="2"/>
  <c r="A13353" i="2"/>
  <c r="A13352" i="2"/>
  <c r="A13351" i="2"/>
  <c r="A13350" i="2"/>
  <c r="A13349" i="2"/>
  <c r="A13348" i="2"/>
  <c r="A13347" i="2"/>
  <c r="A13346" i="2"/>
  <c r="A13345" i="2"/>
  <c r="A13344" i="2"/>
  <c r="A13343" i="2"/>
  <c r="A13342" i="2"/>
  <c r="A13341" i="2"/>
  <c r="A13340" i="2"/>
  <c r="A13339" i="2"/>
  <c r="A13338" i="2"/>
  <c r="A13337" i="2"/>
  <c r="A13336" i="2"/>
  <c r="A13335" i="2"/>
  <c r="A13334" i="2"/>
  <c r="A13333" i="2"/>
  <c r="A13332" i="2"/>
  <c r="A13331" i="2"/>
  <c r="A13330" i="2"/>
  <c r="A13329" i="2"/>
  <c r="A13328" i="2"/>
  <c r="A13327" i="2"/>
  <c r="A13326" i="2"/>
  <c r="A13325" i="2"/>
  <c r="A13324" i="2"/>
  <c r="A13323" i="2"/>
  <c r="A13322" i="2"/>
  <c r="A13321" i="2"/>
  <c r="A13320" i="2"/>
  <c r="A13319" i="2"/>
  <c r="A13318" i="2"/>
  <c r="A13317" i="2"/>
  <c r="A13316" i="2"/>
  <c r="A13315" i="2"/>
  <c r="A13314" i="2"/>
  <c r="A13313" i="2"/>
  <c r="A13312" i="2"/>
  <c r="A13311" i="2"/>
  <c r="A13310" i="2"/>
  <c r="A13309" i="2"/>
  <c r="A13308" i="2"/>
  <c r="A13307" i="2"/>
  <c r="A13306" i="2"/>
  <c r="A13305" i="2"/>
  <c r="A13304" i="2"/>
  <c r="A13303" i="2"/>
  <c r="A13302" i="2"/>
  <c r="A13301" i="2"/>
  <c r="A13300" i="2"/>
  <c r="A13299" i="2"/>
  <c r="A13298" i="2"/>
  <c r="A13297" i="2"/>
  <c r="A13296" i="2"/>
  <c r="A13295" i="2"/>
  <c r="A13294" i="2"/>
  <c r="A13293" i="2"/>
  <c r="A13292" i="2"/>
  <c r="A13291" i="2"/>
  <c r="A13290" i="2"/>
  <c r="A13289" i="2"/>
  <c r="A13288" i="2"/>
  <c r="A13287" i="2"/>
  <c r="A13286" i="2"/>
  <c r="A13285" i="2"/>
  <c r="A13284" i="2"/>
  <c r="A13283" i="2"/>
  <c r="A13282" i="2"/>
  <c r="A13281" i="2"/>
  <c r="A13280" i="2"/>
  <c r="A13279" i="2"/>
  <c r="A13278" i="2"/>
  <c r="A13277" i="2"/>
  <c r="A13276" i="2"/>
  <c r="A13275" i="2"/>
  <c r="A13274" i="2"/>
  <c r="A13273" i="2"/>
  <c r="A13272" i="2"/>
  <c r="A13271" i="2"/>
  <c r="A13270" i="2"/>
  <c r="A13269" i="2"/>
  <c r="A13268" i="2"/>
  <c r="A13267" i="2"/>
  <c r="A13266" i="2"/>
  <c r="A13265" i="2"/>
  <c r="A13264" i="2"/>
  <c r="A13263" i="2"/>
  <c r="A13262" i="2"/>
  <c r="A13261" i="2"/>
  <c r="A13260" i="2"/>
  <c r="A13259" i="2"/>
  <c r="A13258" i="2"/>
  <c r="A13257" i="2"/>
  <c r="A13256" i="2"/>
  <c r="A13255" i="2"/>
  <c r="A13254" i="2"/>
  <c r="A13253" i="2"/>
  <c r="A13252" i="2"/>
  <c r="A13251" i="2"/>
  <c r="A13250" i="2"/>
  <c r="A13249" i="2"/>
  <c r="A13248" i="2"/>
  <c r="A13247" i="2"/>
  <c r="A13246" i="2"/>
  <c r="A13245" i="2"/>
  <c r="A13244" i="2"/>
  <c r="A13243" i="2"/>
  <c r="A13242" i="2"/>
  <c r="A13241" i="2"/>
  <c r="A13240" i="2"/>
  <c r="A13239" i="2"/>
  <c r="A13238" i="2"/>
  <c r="A13237" i="2"/>
  <c r="A13236" i="2"/>
  <c r="A13235" i="2"/>
  <c r="A13234" i="2"/>
  <c r="A13233" i="2"/>
  <c r="A13232" i="2"/>
  <c r="A13231" i="2"/>
  <c r="A13230" i="2"/>
  <c r="A13229" i="2"/>
  <c r="A13228" i="2"/>
  <c r="A13227" i="2"/>
  <c r="A13226" i="2"/>
  <c r="A13225" i="2"/>
  <c r="A13224" i="2"/>
  <c r="A13223" i="2"/>
  <c r="A13222" i="2"/>
  <c r="A13221" i="2"/>
  <c r="A13220" i="2"/>
  <c r="A13219" i="2"/>
  <c r="A13218" i="2"/>
  <c r="A13217" i="2"/>
  <c r="A13216" i="2"/>
  <c r="A13215" i="2"/>
  <c r="A13214" i="2"/>
  <c r="A13213" i="2"/>
  <c r="A13212" i="2"/>
  <c r="A13211" i="2"/>
  <c r="A13210" i="2"/>
  <c r="A13209" i="2"/>
  <c r="A13208" i="2"/>
  <c r="A13207" i="2"/>
  <c r="A13206" i="2"/>
  <c r="A13205" i="2"/>
  <c r="A13204" i="2"/>
  <c r="A13203" i="2"/>
  <c r="A13202" i="2"/>
  <c r="A13201" i="2"/>
  <c r="A13200" i="2"/>
  <c r="A13199" i="2"/>
  <c r="A13198" i="2"/>
  <c r="A13197" i="2"/>
  <c r="A13196" i="2"/>
  <c r="A13195" i="2"/>
  <c r="A13194" i="2"/>
  <c r="A13193" i="2"/>
  <c r="A13192" i="2"/>
  <c r="A13191" i="2"/>
  <c r="A13190" i="2"/>
  <c r="A13189" i="2"/>
  <c r="A13188" i="2"/>
  <c r="A13187" i="2"/>
  <c r="A13186" i="2"/>
  <c r="A13185" i="2"/>
  <c r="A13184" i="2"/>
  <c r="A13183" i="2"/>
  <c r="A13182" i="2"/>
  <c r="A13181" i="2"/>
  <c r="A13180" i="2"/>
  <c r="A13179" i="2"/>
  <c r="A13178" i="2"/>
  <c r="A13177" i="2"/>
  <c r="A13176" i="2"/>
  <c r="A13175" i="2"/>
  <c r="A13174" i="2"/>
  <c r="A13173" i="2"/>
  <c r="A13172" i="2"/>
  <c r="A13171" i="2"/>
  <c r="A13170" i="2"/>
  <c r="A13169" i="2"/>
  <c r="A13168" i="2"/>
  <c r="A13167" i="2"/>
  <c r="A13166" i="2"/>
  <c r="A13165" i="2"/>
  <c r="A13164" i="2"/>
  <c r="A13163" i="2"/>
  <c r="A13162" i="2"/>
  <c r="A13161" i="2"/>
  <c r="A13160" i="2"/>
  <c r="A13159" i="2"/>
  <c r="A13158" i="2"/>
  <c r="A13157" i="2"/>
  <c r="A13156" i="2"/>
  <c r="A13155" i="2"/>
  <c r="A13154" i="2"/>
  <c r="A13153" i="2"/>
  <c r="A13152" i="2"/>
  <c r="A13151" i="2"/>
  <c r="A13150" i="2"/>
  <c r="A13149" i="2"/>
  <c r="A13148" i="2"/>
  <c r="A13147" i="2"/>
  <c r="A13146" i="2"/>
  <c r="A13145" i="2"/>
  <c r="A13144" i="2"/>
  <c r="A13143" i="2"/>
  <c r="A13142" i="2"/>
  <c r="A13141" i="2"/>
  <c r="A13140" i="2"/>
  <c r="A13139" i="2"/>
  <c r="A13138" i="2"/>
  <c r="A13137" i="2"/>
  <c r="A13136" i="2"/>
  <c r="A13135" i="2"/>
  <c r="A13134" i="2"/>
  <c r="A13133" i="2"/>
  <c r="A13132" i="2"/>
  <c r="A13131" i="2"/>
  <c r="A13130" i="2"/>
  <c r="A13129" i="2"/>
  <c r="A13128" i="2"/>
  <c r="A13127" i="2"/>
  <c r="A13126" i="2"/>
  <c r="A13125" i="2"/>
  <c r="A13124" i="2"/>
  <c r="A13123" i="2"/>
  <c r="A13122" i="2"/>
  <c r="A13121" i="2"/>
  <c r="A13120" i="2"/>
  <c r="A13119" i="2"/>
  <c r="A13118" i="2"/>
  <c r="A13117" i="2"/>
  <c r="A13116" i="2"/>
  <c r="A13115" i="2"/>
  <c r="A13114" i="2"/>
  <c r="A13113" i="2"/>
  <c r="A13112" i="2"/>
  <c r="A13111" i="2"/>
  <c r="A13110" i="2"/>
  <c r="A13109" i="2"/>
  <c r="A13108" i="2"/>
  <c r="A13107" i="2"/>
  <c r="A13106" i="2"/>
  <c r="A13105" i="2"/>
  <c r="A13104" i="2"/>
  <c r="A13103" i="2"/>
  <c r="A13102" i="2"/>
  <c r="A13101" i="2"/>
  <c r="A13100" i="2"/>
  <c r="A13099" i="2"/>
  <c r="A13098" i="2"/>
  <c r="A13097" i="2"/>
  <c r="A13096" i="2"/>
  <c r="A13095" i="2"/>
  <c r="A13094" i="2"/>
  <c r="A13093" i="2"/>
  <c r="A13092" i="2"/>
  <c r="A13091" i="2"/>
  <c r="A13090" i="2"/>
  <c r="A13089" i="2"/>
  <c r="A13088" i="2"/>
  <c r="A13087" i="2"/>
  <c r="A13086" i="2"/>
  <c r="A13085" i="2"/>
  <c r="A13084" i="2"/>
  <c r="A13083" i="2"/>
  <c r="A13082" i="2"/>
  <c r="A13081" i="2"/>
  <c r="A13080" i="2"/>
  <c r="A13079" i="2"/>
  <c r="A13078" i="2"/>
  <c r="A13077" i="2"/>
  <c r="A13076" i="2"/>
  <c r="A13075" i="2"/>
  <c r="A13074" i="2"/>
  <c r="A13073" i="2"/>
  <c r="A13072" i="2"/>
  <c r="A13071" i="2"/>
  <c r="A13070" i="2"/>
  <c r="A13069" i="2"/>
  <c r="A13068" i="2"/>
  <c r="A13067" i="2"/>
  <c r="A13066" i="2"/>
  <c r="A13065" i="2"/>
  <c r="A13064" i="2"/>
  <c r="A13063" i="2"/>
  <c r="A13062" i="2"/>
  <c r="A13061" i="2"/>
  <c r="A13060" i="2"/>
  <c r="A13059" i="2"/>
  <c r="A13058" i="2"/>
  <c r="A13057" i="2"/>
  <c r="A13056" i="2"/>
  <c r="A13055" i="2"/>
  <c r="A13054" i="2"/>
  <c r="A13053" i="2"/>
  <c r="A13052" i="2"/>
  <c r="A13051" i="2"/>
  <c r="A13050" i="2"/>
  <c r="A13049" i="2"/>
  <c r="A13048" i="2"/>
  <c r="A13047" i="2"/>
  <c r="A13046" i="2"/>
  <c r="A13045" i="2"/>
  <c r="A13044" i="2"/>
  <c r="A13043" i="2"/>
  <c r="A13042" i="2"/>
  <c r="A13041" i="2"/>
  <c r="A13040" i="2"/>
  <c r="A13039" i="2"/>
  <c r="A13038" i="2"/>
  <c r="A13037" i="2"/>
  <c r="A13036" i="2"/>
  <c r="A13035" i="2"/>
  <c r="A13034" i="2"/>
  <c r="A13033" i="2"/>
  <c r="A13032" i="2"/>
  <c r="A13031" i="2"/>
  <c r="A13030" i="2"/>
  <c r="A13029" i="2"/>
  <c r="A13028" i="2"/>
  <c r="A13027" i="2"/>
  <c r="A13026" i="2"/>
  <c r="A13025" i="2"/>
  <c r="A13024" i="2"/>
  <c r="A13023" i="2"/>
  <c r="A13022" i="2"/>
  <c r="A13021" i="2"/>
  <c r="A13020" i="2"/>
  <c r="A13019" i="2"/>
  <c r="A13018" i="2"/>
  <c r="A13017" i="2"/>
  <c r="A13016" i="2"/>
  <c r="A13015" i="2"/>
  <c r="A13014" i="2"/>
  <c r="A13013" i="2"/>
  <c r="A13012" i="2"/>
  <c r="A13011" i="2"/>
  <c r="A13010" i="2"/>
  <c r="A13009" i="2"/>
  <c r="A13008" i="2"/>
  <c r="A13007" i="2"/>
  <c r="A13006" i="2"/>
  <c r="A13005" i="2"/>
  <c r="A13004" i="2"/>
  <c r="A13003" i="2"/>
  <c r="A13002" i="2"/>
  <c r="A13001" i="2"/>
  <c r="A13000" i="2"/>
  <c r="A12999" i="2"/>
  <c r="A12998" i="2"/>
  <c r="A12997" i="2"/>
  <c r="A12996" i="2"/>
  <c r="A12995" i="2"/>
  <c r="A12994" i="2"/>
  <c r="A12993" i="2"/>
  <c r="A12992" i="2"/>
  <c r="A12991" i="2"/>
  <c r="A12990" i="2"/>
  <c r="A12989" i="2"/>
  <c r="A12988" i="2"/>
  <c r="A12987" i="2"/>
  <c r="A12986" i="2"/>
  <c r="A12985" i="2"/>
  <c r="A12984" i="2"/>
  <c r="A12983" i="2"/>
  <c r="A12982" i="2"/>
  <c r="A12981" i="2"/>
  <c r="A12980" i="2"/>
  <c r="A12979" i="2"/>
  <c r="A12978" i="2"/>
  <c r="A12977" i="2"/>
  <c r="A12976" i="2"/>
  <c r="A12975" i="2"/>
  <c r="A12974" i="2"/>
  <c r="A12973" i="2"/>
  <c r="A12972" i="2"/>
  <c r="A12971" i="2"/>
  <c r="A12970" i="2"/>
  <c r="A12969" i="2"/>
  <c r="A12968" i="2"/>
  <c r="A12967" i="2"/>
  <c r="A12966" i="2"/>
  <c r="A12965" i="2"/>
  <c r="A12964" i="2"/>
  <c r="A12963" i="2"/>
  <c r="A12962" i="2"/>
  <c r="A12961" i="2"/>
  <c r="A12960" i="2"/>
  <c r="A12959" i="2"/>
  <c r="A12958" i="2"/>
  <c r="A12957" i="2"/>
  <c r="A12956" i="2"/>
  <c r="A12955" i="2"/>
  <c r="A12954" i="2"/>
  <c r="A12953" i="2"/>
  <c r="A12952" i="2"/>
  <c r="A12951" i="2"/>
  <c r="A12950" i="2"/>
  <c r="A12949" i="2"/>
  <c r="A12948" i="2"/>
  <c r="A12947" i="2"/>
  <c r="A12946" i="2"/>
  <c r="A12945" i="2"/>
  <c r="A12944" i="2"/>
  <c r="A12943" i="2"/>
  <c r="A12942" i="2"/>
  <c r="A12941" i="2"/>
  <c r="A12940" i="2"/>
  <c r="A12939" i="2"/>
  <c r="A12938" i="2"/>
  <c r="A12937" i="2"/>
  <c r="A12936" i="2"/>
  <c r="A12935" i="2"/>
  <c r="A12934" i="2"/>
  <c r="A12933" i="2"/>
  <c r="A12932" i="2"/>
  <c r="A12931" i="2"/>
  <c r="A12930" i="2"/>
  <c r="A12929" i="2"/>
  <c r="A12928" i="2"/>
  <c r="A12927" i="2"/>
  <c r="A12926" i="2"/>
  <c r="A12925" i="2"/>
  <c r="A12924" i="2"/>
  <c r="A12923" i="2"/>
  <c r="A12922" i="2"/>
  <c r="A12921" i="2"/>
  <c r="A12920" i="2"/>
  <c r="A12919" i="2"/>
  <c r="A12918" i="2"/>
  <c r="A12917" i="2"/>
  <c r="A12916" i="2"/>
  <c r="A12915" i="2"/>
  <c r="A12914" i="2"/>
  <c r="A12913" i="2"/>
  <c r="A12912" i="2"/>
  <c r="A12911" i="2"/>
  <c r="A12910" i="2"/>
  <c r="A12909" i="2"/>
  <c r="A12908" i="2"/>
  <c r="A12907" i="2"/>
  <c r="A12906" i="2"/>
  <c r="A12905" i="2"/>
  <c r="A12904" i="2"/>
  <c r="A12903" i="2"/>
  <c r="A12902" i="2"/>
  <c r="A12901" i="2"/>
  <c r="A12900" i="2"/>
  <c r="A12899" i="2"/>
  <c r="A12898" i="2"/>
  <c r="A12897" i="2"/>
  <c r="A12896" i="2"/>
  <c r="A12895" i="2"/>
  <c r="A12894" i="2"/>
  <c r="A12893" i="2"/>
  <c r="A12892" i="2"/>
  <c r="A12891" i="2"/>
  <c r="A12890" i="2"/>
  <c r="A12889" i="2"/>
  <c r="A12888" i="2"/>
  <c r="A12887" i="2"/>
  <c r="A12886" i="2"/>
  <c r="A12885" i="2"/>
  <c r="A12884" i="2"/>
  <c r="A12883" i="2"/>
  <c r="A12882" i="2"/>
  <c r="A12881" i="2"/>
  <c r="A12880" i="2"/>
  <c r="A12879" i="2"/>
  <c r="A12878" i="2"/>
  <c r="A12877" i="2"/>
  <c r="A12876" i="2"/>
  <c r="A12875" i="2"/>
  <c r="A12874" i="2"/>
  <c r="A12873" i="2"/>
  <c r="A12872" i="2"/>
  <c r="A12871" i="2"/>
  <c r="A12870" i="2"/>
  <c r="A12869" i="2"/>
  <c r="A12868" i="2"/>
  <c r="A12867" i="2"/>
  <c r="A12866" i="2"/>
  <c r="A12865" i="2"/>
  <c r="A12864" i="2"/>
  <c r="A12863" i="2"/>
  <c r="A12862" i="2"/>
  <c r="A12861" i="2"/>
  <c r="A12860" i="2"/>
  <c r="A12859" i="2"/>
  <c r="A12858" i="2"/>
  <c r="A12857" i="2"/>
  <c r="A12856" i="2"/>
  <c r="A12855" i="2"/>
  <c r="A12854" i="2"/>
  <c r="A12853" i="2"/>
  <c r="A12852" i="2"/>
  <c r="A12851" i="2"/>
  <c r="A12850" i="2"/>
  <c r="A12849" i="2"/>
  <c r="A12848" i="2"/>
  <c r="A12847" i="2"/>
  <c r="A12846" i="2"/>
  <c r="A12845" i="2"/>
  <c r="A12844" i="2"/>
  <c r="A12843" i="2"/>
  <c r="A12842" i="2"/>
  <c r="A12841" i="2"/>
  <c r="A12840" i="2"/>
  <c r="A12839" i="2"/>
  <c r="A12838" i="2"/>
  <c r="A12837" i="2"/>
  <c r="A12836" i="2"/>
  <c r="A12835" i="2"/>
  <c r="A12834" i="2"/>
  <c r="A12833" i="2"/>
  <c r="A12832" i="2"/>
  <c r="A12831" i="2"/>
  <c r="A12830" i="2"/>
  <c r="A12829" i="2"/>
  <c r="A12828" i="2"/>
  <c r="A12827" i="2"/>
  <c r="A12826" i="2"/>
  <c r="A12825" i="2"/>
  <c r="A12824" i="2"/>
  <c r="A12823" i="2"/>
  <c r="A12822" i="2"/>
  <c r="A12821" i="2"/>
  <c r="A12820" i="2"/>
  <c r="A12819" i="2"/>
  <c r="A12818" i="2"/>
  <c r="A12817" i="2"/>
  <c r="A12816" i="2"/>
  <c r="A12815" i="2"/>
  <c r="A12814" i="2"/>
  <c r="A12813" i="2"/>
  <c r="A12812" i="2"/>
  <c r="A12811" i="2"/>
  <c r="A12810" i="2"/>
  <c r="A12809" i="2"/>
  <c r="A12808" i="2"/>
  <c r="A12807" i="2"/>
  <c r="A12806" i="2"/>
  <c r="A12805" i="2"/>
  <c r="A12804" i="2"/>
  <c r="A12803" i="2"/>
  <c r="A12802" i="2"/>
  <c r="A12801" i="2"/>
  <c r="A12800" i="2"/>
  <c r="A12799" i="2"/>
  <c r="A12798" i="2"/>
  <c r="A12797" i="2"/>
  <c r="A12796" i="2"/>
  <c r="A12795" i="2"/>
  <c r="A12794" i="2"/>
  <c r="A12793" i="2"/>
  <c r="A12792" i="2"/>
  <c r="A12791" i="2"/>
  <c r="A12790" i="2"/>
  <c r="A12789" i="2"/>
  <c r="A12788" i="2"/>
  <c r="A12787" i="2"/>
  <c r="A12786" i="2"/>
  <c r="A12785" i="2"/>
  <c r="A12784" i="2"/>
  <c r="A12783" i="2"/>
  <c r="A12782" i="2"/>
  <c r="A12781" i="2"/>
  <c r="A12780" i="2"/>
  <c r="A12779" i="2"/>
  <c r="A12778" i="2"/>
  <c r="A12777" i="2"/>
  <c r="A12776" i="2"/>
  <c r="A12775" i="2"/>
  <c r="A12774" i="2"/>
  <c r="A12773" i="2"/>
  <c r="A12772" i="2"/>
  <c r="A12771" i="2"/>
  <c r="A12770" i="2"/>
  <c r="A12769" i="2"/>
  <c r="A12768" i="2"/>
  <c r="A12767" i="2"/>
  <c r="A12766" i="2"/>
  <c r="A12765" i="2"/>
  <c r="A12764" i="2"/>
  <c r="A12763" i="2"/>
  <c r="A12762" i="2"/>
  <c r="A12761" i="2"/>
  <c r="A12760" i="2"/>
  <c r="A12759" i="2"/>
  <c r="A12758" i="2"/>
  <c r="A12757" i="2"/>
  <c r="A12756" i="2"/>
  <c r="A12755" i="2"/>
  <c r="A12754" i="2"/>
  <c r="A12753" i="2"/>
  <c r="A12752" i="2"/>
  <c r="A12751" i="2"/>
  <c r="A12750" i="2"/>
  <c r="A12749" i="2"/>
  <c r="A12748" i="2"/>
  <c r="A12747" i="2"/>
  <c r="A12746" i="2"/>
  <c r="A12745" i="2"/>
  <c r="A12744" i="2"/>
  <c r="A12743" i="2"/>
  <c r="A12742" i="2"/>
  <c r="A12741" i="2"/>
  <c r="A12740" i="2"/>
  <c r="A12739" i="2"/>
  <c r="A12738" i="2"/>
  <c r="A12737" i="2"/>
  <c r="A12736" i="2"/>
  <c r="A12735" i="2"/>
  <c r="A12734" i="2"/>
  <c r="A12733" i="2"/>
  <c r="A12732" i="2"/>
  <c r="A12731" i="2"/>
  <c r="A12730" i="2"/>
  <c r="A12729" i="2"/>
  <c r="A12728" i="2"/>
  <c r="A12727" i="2"/>
  <c r="A12726" i="2"/>
  <c r="A12725" i="2"/>
  <c r="A12724" i="2"/>
  <c r="A12723" i="2"/>
  <c r="A12722" i="2"/>
  <c r="A12721" i="2"/>
  <c r="A12720" i="2"/>
  <c r="A12719" i="2"/>
  <c r="A12718" i="2"/>
  <c r="A12717" i="2"/>
  <c r="A12716" i="2"/>
  <c r="A12715" i="2"/>
  <c r="A12714" i="2"/>
  <c r="A12713" i="2"/>
  <c r="A12712" i="2"/>
  <c r="A12711" i="2"/>
  <c r="A12710" i="2"/>
  <c r="A12709" i="2"/>
  <c r="A12708" i="2"/>
  <c r="A12707" i="2"/>
  <c r="A12706" i="2"/>
  <c r="A12705" i="2"/>
  <c r="A12704" i="2"/>
  <c r="A12703" i="2"/>
  <c r="A12702" i="2"/>
  <c r="A12701" i="2"/>
  <c r="A12700" i="2"/>
  <c r="A12699" i="2"/>
  <c r="A12698" i="2"/>
  <c r="A12697" i="2"/>
  <c r="A12696" i="2"/>
  <c r="A12695" i="2"/>
  <c r="A12694" i="2"/>
  <c r="A12693" i="2"/>
  <c r="A12692" i="2"/>
  <c r="A12691" i="2"/>
  <c r="A12690" i="2"/>
  <c r="A12689" i="2"/>
  <c r="A12688" i="2"/>
  <c r="A12687" i="2"/>
  <c r="A12686" i="2"/>
  <c r="A12685" i="2"/>
  <c r="A12684" i="2"/>
  <c r="A12683" i="2"/>
  <c r="A12682" i="2"/>
  <c r="A12681" i="2"/>
  <c r="A12680" i="2"/>
  <c r="A12679" i="2"/>
  <c r="A12678" i="2"/>
  <c r="A12677" i="2"/>
  <c r="A12676" i="2"/>
  <c r="A12675" i="2"/>
  <c r="A12674" i="2"/>
  <c r="A12673" i="2"/>
  <c r="A12672" i="2"/>
  <c r="A12671" i="2"/>
  <c r="A12670" i="2"/>
  <c r="A12669" i="2"/>
  <c r="A12668" i="2"/>
  <c r="A12667" i="2"/>
  <c r="A12666" i="2"/>
  <c r="A12665" i="2"/>
  <c r="A12664" i="2"/>
  <c r="A12663" i="2"/>
  <c r="A12662" i="2"/>
  <c r="A12661" i="2"/>
  <c r="A12660" i="2"/>
  <c r="A12659" i="2"/>
  <c r="A12658" i="2"/>
  <c r="A12657" i="2"/>
  <c r="A12656" i="2"/>
  <c r="A12655" i="2"/>
  <c r="A12654" i="2"/>
  <c r="A12653" i="2"/>
  <c r="A12652" i="2"/>
  <c r="A12651" i="2"/>
  <c r="A12650" i="2"/>
  <c r="A12649" i="2"/>
  <c r="A12648" i="2"/>
  <c r="A12647" i="2"/>
  <c r="A12646" i="2"/>
  <c r="A12645" i="2"/>
  <c r="A12644" i="2"/>
  <c r="A12643" i="2"/>
  <c r="A12642" i="2"/>
  <c r="A12641" i="2"/>
  <c r="A12640" i="2"/>
  <c r="A12639" i="2"/>
  <c r="A12638" i="2"/>
  <c r="A12637" i="2"/>
  <c r="A12636" i="2"/>
  <c r="A12635" i="2"/>
  <c r="A12634" i="2"/>
  <c r="A12633" i="2"/>
  <c r="A12632" i="2"/>
  <c r="A12631" i="2"/>
  <c r="A12630" i="2"/>
  <c r="A12629" i="2"/>
  <c r="A12628" i="2"/>
  <c r="A12627" i="2"/>
  <c r="A12626" i="2"/>
  <c r="A12625" i="2"/>
  <c r="A12624" i="2"/>
  <c r="A12623" i="2"/>
  <c r="A12622" i="2"/>
  <c r="A12621" i="2"/>
  <c r="A12620" i="2"/>
  <c r="A12619" i="2"/>
  <c r="A12618" i="2"/>
  <c r="A12617" i="2"/>
  <c r="A12616" i="2"/>
  <c r="A12615" i="2"/>
  <c r="A12614" i="2"/>
  <c r="A12613" i="2"/>
  <c r="A12612" i="2"/>
  <c r="A12611" i="2"/>
  <c r="A12610" i="2"/>
  <c r="A12609" i="2"/>
  <c r="A12608" i="2"/>
  <c r="A12607" i="2"/>
  <c r="A12606" i="2"/>
  <c r="A12605" i="2"/>
  <c r="A12604" i="2"/>
  <c r="A12603" i="2"/>
  <c r="A12602" i="2"/>
  <c r="A12601" i="2"/>
  <c r="A12600" i="2"/>
  <c r="A12599" i="2"/>
  <c r="A12598" i="2"/>
  <c r="A12597" i="2"/>
  <c r="A12596" i="2"/>
  <c r="A12595" i="2"/>
  <c r="A12594" i="2"/>
  <c r="A12593" i="2"/>
  <c r="A12592" i="2"/>
  <c r="A12591" i="2"/>
  <c r="A12590" i="2"/>
  <c r="A12589" i="2"/>
  <c r="A12588" i="2"/>
  <c r="A12587" i="2"/>
  <c r="A12586" i="2"/>
  <c r="A12585" i="2"/>
  <c r="A12584" i="2"/>
  <c r="A12583" i="2"/>
  <c r="A12582" i="2"/>
  <c r="A12581" i="2"/>
  <c r="A12580" i="2"/>
  <c r="A12579" i="2"/>
  <c r="A12578" i="2"/>
  <c r="A12577" i="2"/>
  <c r="A12576" i="2"/>
  <c r="A12575" i="2"/>
  <c r="A12574" i="2"/>
  <c r="A12573" i="2"/>
  <c r="A12572" i="2"/>
  <c r="A12571" i="2"/>
  <c r="A12570" i="2"/>
  <c r="A12569" i="2"/>
  <c r="A12568" i="2"/>
  <c r="A12567" i="2"/>
  <c r="A12566" i="2"/>
  <c r="A12565" i="2"/>
  <c r="A12564" i="2"/>
  <c r="A12563" i="2"/>
  <c r="A12562" i="2"/>
  <c r="A12561" i="2"/>
  <c r="A12560" i="2"/>
  <c r="A12559" i="2"/>
  <c r="A12558" i="2"/>
  <c r="A12557" i="2"/>
  <c r="A12556" i="2"/>
  <c r="A12555" i="2"/>
  <c r="A12554" i="2"/>
  <c r="A12553" i="2"/>
  <c r="A12552" i="2"/>
  <c r="A12551" i="2"/>
  <c r="A12550" i="2"/>
  <c r="A12549" i="2"/>
  <c r="A12548" i="2"/>
  <c r="A12547" i="2"/>
  <c r="A12546" i="2"/>
  <c r="A12545" i="2"/>
  <c r="A12544" i="2"/>
  <c r="A12543" i="2"/>
  <c r="A12542" i="2"/>
  <c r="A12541" i="2"/>
  <c r="A12540" i="2"/>
  <c r="A12539" i="2"/>
  <c r="A12538" i="2"/>
  <c r="A12537" i="2"/>
  <c r="A12536" i="2"/>
  <c r="A12535" i="2"/>
  <c r="A12534" i="2"/>
  <c r="A12533" i="2"/>
  <c r="A12532" i="2"/>
  <c r="A12531" i="2"/>
  <c r="A12530" i="2"/>
  <c r="A12529" i="2"/>
  <c r="A12528" i="2"/>
  <c r="A12527" i="2"/>
  <c r="A12526" i="2"/>
  <c r="A12525" i="2"/>
  <c r="A12524" i="2"/>
  <c r="A12523" i="2"/>
  <c r="A12522" i="2"/>
  <c r="A12521" i="2"/>
  <c r="A12520" i="2"/>
  <c r="A12519" i="2"/>
  <c r="A12518" i="2"/>
  <c r="A12517" i="2"/>
  <c r="A12516" i="2"/>
  <c r="A12515" i="2"/>
  <c r="A12514" i="2"/>
  <c r="A12513" i="2"/>
  <c r="A12512" i="2"/>
  <c r="A12511" i="2"/>
  <c r="A12510" i="2"/>
  <c r="A12509" i="2"/>
  <c r="A12508" i="2"/>
  <c r="A12507" i="2"/>
  <c r="A12506" i="2"/>
  <c r="A12505" i="2"/>
  <c r="A12504" i="2"/>
  <c r="A12503" i="2"/>
  <c r="A12502" i="2"/>
  <c r="A12501" i="2"/>
  <c r="A12500" i="2"/>
  <c r="A12499" i="2"/>
  <c r="A12498" i="2"/>
  <c r="A12497" i="2"/>
  <c r="A12496" i="2"/>
  <c r="A12495" i="2"/>
  <c r="A12494" i="2"/>
  <c r="A12493" i="2"/>
  <c r="A12492" i="2"/>
  <c r="A12491" i="2"/>
  <c r="A12490" i="2"/>
  <c r="A12489" i="2"/>
  <c r="A12488" i="2"/>
  <c r="A12487" i="2"/>
  <c r="A12486" i="2"/>
  <c r="A12485" i="2"/>
  <c r="A12484" i="2"/>
  <c r="A12483" i="2"/>
  <c r="A12482" i="2"/>
  <c r="A12481" i="2"/>
  <c r="A12480" i="2"/>
  <c r="A12479" i="2"/>
  <c r="A12478" i="2"/>
  <c r="A12477" i="2"/>
  <c r="A12476" i="2"/>
  <c r="A12475" i="2"/>
  <c r="A12474" i="2"/>
  <c r="A12473" i="2"/>
  <c r="A12472" i="2"/>
  <c r="A12471" i="2"/>
  <c r="A12470" i="2"/>
  <c r="A12469" i="2"/>
  <c r="A12468" i="2"/>
  <c r="A12467" i="2"/>
  <c r="A12466" i="2"/>
  <c r="A12465" i="2"/>
  <c r="A12464" i="2"/>
  <c r="A12463" i="2"/>
  <c r="A12462" i="2"/>
  <c r="A12461" i="2"/>
  <c r="A12460" i="2"/>
  <c r="A12459" i="2"/>
  <c r="A12458" i="2"/>
  <c r="A12457" i="2"/>
  <c r="A12456" i="2"/>
  <c r="A12455" i="2"/>
  <c r="A12454" i="2"/>
  <c r="A12453" i="2"/>
  <c r="A12452" i="2"/>
  <c r="A12451" i="2"/>
  <c r="A12450" i="2"/>
  <c r="A12449" i="2"/>
  <c r="A12448" i="2"/>
  <c r="A12447" i="2"/>
  <c r="A12446" i="2"/>
  <c r="A12445" i="2"/>
  <c r="A12444" i="2"/>
  <c r="A12443" i="2"/>
  <c r="A12442" i="2"/>
  <c r="A12441" i="2"/>
  <c r="A12440" i="2"/>
  <c r="A12439" i="2"/>
  <c r="A12438" i="2"/>
  <c r="A12437" i="2"/>
  <c r="A12436" i="2"/>
  <c r="A12435" i="2"/>
  <c r="A12434" i="2"/>
  <c r="A12433" i="2"/>
  <c r="A12432" i="2"/>
  <c r="A12431" i="2"/>
  <c r="A12430" i="2"/>
  <c r="A12429" i="2"/>
  <c r="A12428" i="2"/>
  <c r="A12427" i="2"/>
  <c r="A12426" i="2"/>
  <c r="A12425" i="2"/>
  <c r="A12424" i="2"/>
  <c r="A12423" i="2"/>
  <c r="A12422" i="2"/>
  <c r="A12421" i="2"/>
  <c r="A12420" i="2"/>
  <c r="A12419" i="2"/>
  <c r="A12418" i="2"/>
  <c r="A12417" i="2"/>
  <c r="A12416" i="2"/>
  <c r="A12415" i="2"/>
  <c r="A12414" i="2"/>
  <c r="A12413" i="2"/>
  <c r="A12412" i="2"/>
  <c r="A12411" i="2"/>
  <c r="A12410" i="2"/>
  <c r="A12409" i="2"/>
  <c r="A12408" i="2"/>
  <c r="A12407" i="2"/>
  <c r="A12406" i="2"/>
  <c r="A12405" i="2"/>
  <c r="A12404" i="2"/>
  <c r="A12403" i="2"/>
  <c r="A12402" i="2"/>
  <c r="A12401" i="2"/>
  <c r="A12400" i="2"/>
  <c r="A12399" i="2"/>
  <c r="A12398" i="2"/>
  <c r="A12397" i="2"/>
  <c r="A12396" i="2"/>
  <c r="A12395" i="2"/>
  <c r="A12394" i="2"/>
  <c r="A12393" i="2"/>
  <c r="A12392" i="2"/>
  <c r="A12391" i="2"/>
  <c r="A12390" i="2"/>
  <c r="A12389" i="2"/>
  <c r="A12388" i="2"/>
  <c r="A12387" i="2"/>
  <c r="A12386" i="2"/>
  <c r="A12385" i="2"/>
  <c r="A12384" i="2"/>
  <c r="A12383" i="2"/>
  <c r="A12382" i="2"/>
  <c r="A12381" i="2"/>
  <c r="A12380" i="2"/>
  <c r="A12379" i="2"/>
  <c r="A12378" i="2"/>
  <c r="A12377" i="2"/>
  <c r="A12376" i="2"/>
  <c r="A12375" i="2"/>
  <c r="A12374" i="2"/>
  <c r="A12373" i="2"/>
  <c r="A12372" i="2"/>
  <c r="A12371" i="2"/>
  <c r="A12370" i="2"/>
  <c r="A12369" i="2"/>
  <c r="A12368" i="2"/>
  <c r="A12367" i="2"/>
  <c r="A12366" i="2"/>
  <c r="A12365" i="2"/>
  <c r="A12364" i="2"/>
  <c r="A12363" i="2"/>
  <c r="A12362" i="2"/>
  <c r="A12361" i="2"/>
  <c r="A12360" i="2"/>
  <c r="A12359" i="2"/>
  <c r="A12358" i="2"/>
  <c r="A12357" i="2"/>
  <c r="A12356" i="2"/>
  <c r="A12355" i="2"/>
  <c r="A12354" i="2"/>
  <c r="A12353" i="2"/>
  <c r="A12352" i="2"/>
  <c r="A12351" i="2"/>
  <c r="A12350" i="2"/>
  <c r="A12349" i="2"/>
  <c r="A12348" i="2"/>
  <c r="A12347" i="2"/>
  <c r="A12346" i="2"/>
  <c r="A12345" i="2"/>
  <c r="A12344" i="2"/>
  <c r="A12343" i="2"/>
  <c r="A12342" i="2"/>
  <c r="A12341" i="2"/>
  <c r="A12340" i="2"/>
  <c r="A12339" i="2"/>
  <c r="A12338" i="2"/>
  <c r="A12337" i="2"/>
  <c r="A12336" i="2"/>
  <c r="A12335" i="2"/>
  <c r="A12334" i="2"/>
  <c r="A12333" i="2"/>
  <c r="A12332" i="2"/>
  <c r="A12331" i="2"/>
  <c r="A12330" i="2"/>
  <c r="A12329" i="2"/>
  <c r="A12328" i="2"/>
  <c r="A12327" i="2"/>
  <c r="A12326" i="2"/>
  <c r="A12325" i="2"/>
  <c r="A12324" i="2"/>
  <c r="A12323" i="2"/>
  <c r="A12322" i="2"/>
  <c r="A12321" i="2"/>
  <c r="A12320" i="2"/>
  <c r="A12319" i="2"/>
  <c r="A12318" i="2"/>
  <c r="A12317" i="2"/>
  <c r="A12316" i="2"/>
  <c r="A12315" i="2"/>
  <c r="A12314" i="2"/>
  <c r="A12313" i="2"/>
  <c r="A12312" i="2"/>
  <c r="A12311" i="2"/>
  <c r="A12310" i="2"/>
  <c r="A12309" i="2"/>
  <c r="A12308" i="2"/>
  <c r="A12307" i="2"/>
  <c r="A12306" i="2"/>
  <c r="A12305" i="2"/>
  <c r="A12304" i="2"/>
  <c r="A12303" i="2"/>
  <c r="A12302" i="2"/>
  <c r="A12301" i="2"/>
  <c r="A12300" i="2"/>
  <c r="A12299" i="2"/>
  <c r="A12298" i="2"/>
  <c r="A12297" i="2"/>
  <c r="A12296" i="2"/>
  <c r="A12295" i="2"/>
  <c r="A12294" i="2"/>
  <c r="A12293" i="2"/>
  <c r="A12292" i="2"/>
  <c r="A12291" i="2"/>
  <c r="A12290" i="2"/>
  <c r="A12289" i="2"/>
  <c r="A12288" i="2"/>
  <c r="A12287" i="2"/>
  <c r="A12286" i="2"/>
  <c r="A12285" i="2"/>
  <c r="A12284" i="2"/>
  <c r="A12283" i="2"/>
  <c r="A12282" i="2"/>
  <c r="A12281" i="2"/>
  <c r="A12280" i="2"/>
  <c r="A12279" i="2"/>
  <c r="A12278" i="2"/>
  <c r="A12277" i="2"/>
  <c r="A12276" i="2"/>
  <c r="A12275" i="2"/>
  <c r="A12274" i="2"/>
  <c r="A12273" i="2"/>
  <c r="A12272" i="2"/>
  <c r="A12271" i="2"/>
  <c r="A12270" i="2"/>
  <c r="A12269" i="2"/>
  <c r="A12268" i="2"/>
  <c r="A12267" i="2"/>
  <c r="A12266" i="2"/>
  <c r="A12265" i="2"/>
  <c r="A12264" i="2"/>
  <c r="A12263" i="2"/>
  <c r="A12262" i="2"/>
  <c r="A12261" i="2"/>
  <c r="A12260" i="2"/>
  <c r="A12259" i="2"/>
  <c r="A12258" i="2"/>
  <c r="A12257" i="2"/>
  <c r="A12256" i="2"/>
  <c r="A12255" i="2"/>
  <c r="A12254" i="2"/>
  <c r="A12253" i="2"/>
  <c r="A12252" i="2"/>
  <c r="A12251" i="2"/>
  <c r="A12250" i="2"/>
  <c r="A12249" i="2"/>
  <c r="A12248" i="2"/>
  <c r="A12247" i="2"/>
  <c r="A12246" i="2"/>
  <c r="A12245" i="2"/>
  <c r="A12244" i="2"/>
  <c r="A12243" i="2"/>
  <c r="A12242" i="2"/>
  <c r="A12241" i="2"/>
  <c r="A12240" i="2"/>
  <c r="A12239" i="2"/>
  <c r="A12238" i="2"/>
  <c r="A12237" i="2"/>
  <c r="A12236" i="2"/>
  <c r="A12235" i="2"/>
  <c r="A12234" i="2"/>
  <c r="A12233" i="2"/>
  <c r="A12232" i="2"/>
  <c r="A12231" i="2"/>
  <c r="A12230" i="2"/>
  <c r="A12229" i="2"/>
  <c r="A12228" i="2"/>
  <c r="A12227" i="2"/>
  <c r="A12226" i="2"/>
  <c r="A12225" i="2"/>
  <c r="A12224" i="2"/>
  <c r="A12223" i="2"/>
  <c r="A12222" i="2"/>
  <c r="A12221" i="2"/>
  <c r="A12220" i="2"/>
  <c r="A12219" i="2"/>
  <c r="A12218" i="2"/>
  <c r="A12217" i="2"/>
  <c r="A12216" i="2"/>
  <c r="A12215" i="2"/>
  <c r="A12214" i="2"/>
  <c r="A12213" i="2"/>
  <c r="A12212" i="2"/>
  <c r="A12211" i="2"/>
  <c r="A12210" i="2"/>
  <c r="A12209" i="2"/>
  <c r="A12208" i="2"/>
  <c r="A12207" i="2"/>
  <c r="A12206" i="2"/>
  <c r="A12205" i="2"/>
  <c r="A12204" i="2"/>
  <c r="A12203" i="2"/>
  <c r="A12202" i="2"/>
  <c r="A12201" i="2"/>
  <c r="A12200" i="2"/>
  <c r="A12199" i="2"/>
  <c r="A12198" i="2"/>
  <c r="A12197" i="2"/>
  <c r="A12196" i="2"/>
  <c r="A12195" i="2"/>
  <c r="A12194" i="2"/>
  <c r="A12193" i="2"/>
  <c r="A12192" i="2"/>
  <c r="A12191" i="2"/>
  <c r="A12190" i="2"/>
  <c r="A12189" i="2"/>
  <c r="A12188" i="2"/>
  <c r="A12187" i="2"/>
  <c r="A12186" i="2"/>
  <c r="A12185" i="2"/>
  <c r="A12184" i="2"/>
  <c r="A12183" i="2"/>
  <c r="A12182" i="2"/>
  <c r="A12181" i="2"/>
  <c r="A12180" i="2"/>
  <c r="A12179" i="2"/>
  <c r="A12178" i="2"/>
  <c r="A12177" i="2"/>
  <c r="A12176" i="2"/>
  <c r="A12175" i="2"/>
  <c r="A12174" i="2"/>
  <c r="A12173" i="2"/>
  <c r="A12172" i="2"/>
  <c r="A12171" i="2"/>
  <c r="A12170" i="2"/>
  <c r="A12169" i="2"/>
  <c r="A12168" i="2"/>
  <c r="A12167" i="2"/>
  <c r="A12166" i="2"/>
  <c r="A12165" i="2"/>
  <c r="A12164" i="2"/>
  <c r="A12163" i="2"/>
  <c r="A12162" i="2"/>
  <c r="A12161" i="2"/>
  <c r="A12160" i="2"/>
  <c r="A12159" i="2"/>
  <c r="A12158" i="2"/>
  <c r="A12157" i="2"/>
  <c r="A12156" i="2"/>
  <c r="A12155" i="2"/>
  <c r="A12154" i="2"/>
  <c r="A12153" i="2"/>
  <c r="A12152" i="2"/>
  <c r="A12151" i="2"/>
  <c r="A12150" i="2"/>
  <c r="A12149" i="2"/>
  <c r="A12148" i="2"/>
  <c r="A12147" i="2"/>
  <c r="A12146" i="2"/>
  <c r="A12145" i="2"/>
  <c r="A12144" i="2"/>
  <c r="A12143" i="2"/>
  <c r="A12142" i="2"/>
  <c r="A12141" i="2"/>
  <c r="A12140" i="2"/>
  <c r="A12139" i="2"/>
  <c r="A12138" i="2"/>
  <c r="A12137" i="2"/>
  <c r="A12136" i="2"/>
  <c r="A12135" i="2"/>
  <c r="A12134" i="2"/>
  <c r="A12133" i="2"/>
  <c r="A12132" i="2"/>
  <c r="A12131" i="2"/>
  <c r="A12130" i="2"/>
  <c r="A12129" i="2"/>
  <c r="A12128" i="2"/>
  <c r="A12127" i="2"/>
  <c r="A12126" i="2"/>
  <c r="A12125" i="2"/>
  <c r="A12124" i="2"/>
  <c r="A12123" i="2"/>
  <c r="A12122" i="2"/>
  <c r="A12121" i="2"/>
  <c r="A12120" i="2"/>
  <c r="A12119" i="2"/>
  <c r="A12118" i="2"/>
  <c r="A12117" i="2"/>
  <c r="A12116" i="2"/>
  <c r="A12115" i="2"/>
  <c r="A12114" i="2"/>
  <c r="A12113" i="2"/>
  <c r="A12112" i="2"/>
  <c r="A12111" i="2"/>
  <c r="A12110" i="2"/>
  <c r="A12109" i="2"/>
  <c r="A12108" i="2"/>
  <c r="A12107" i="2"/>
  <c r="A12106" i="2"/>
  <c r="A12105" i="2"/>
  <c r="A12104" i="2"/>
  <c r="A12103" i="2"/>
  <c r="A12102" i="2"/>
  <c r="A12101" i="2"/>
  <c r="A12100" i="2"/>
  <c r="A12099" i="2"/>
  <c r="A12098" i="2"/>
  <c r="A12097" i="2"/>
  <c r="A12096" i="2"/>
  <c r="A12095" i="2"/>
  <c r="A12094" i="2"/>
  <c r="A12093" i="2"/>
  <c r="A12092" i="2"/>
  <c r="A12091" i="2"/>
  <c r="A12090" i="2"/>
  <c r="A12089" i="2"/>
  <c r="A12088" i="2"/>
  <c r="A12087" i="2"/>
  <c r="A12086" i="2"/>
  <c r="A12085" i="2"/>
  <c r="A12084" i="2"/>
  <c r="A12083" i="2"/>
  <c r="A12082" i="2"/>
  <c r="A12081" i="2"/>
  <c r="A12080" i="2"/>
  <c r="A12079" i="2"/>
  <c r="A12078" i="2"/>
  <c r="A12077" i="2"/>
  <c r="A12076" i="2"/>
  <c r="A12075" i="2"/>
  <c r="A12074" i="2"/>
  <c r="A12073" i="2"/>
  <c r="A12072" i="2"/>
  <c r="A12071" i="2"/>
  <c r="A12070" i="2"/>
  <c r="A12069" i="2"/>
  <c r="A12068" i="2"/>
  <c r="A12067" i="2"/>
  <c r="A12066" i="2"/>
  <c r="A12065" i="2"/>
  <c r="A12064" i="2"/>
  <c r="A12063" i="2"/>
  <c r="A12062" i="2"/>
  <c r="A12061" i="2"/>
  <c r="A12060" i="2"/>
  <c r="A12059" i="2"/>
  <c r="A12058" i="2"/>
  <c r="A12057" i="2"/>
  <c r="A12056" i="2"/>
  <c r="A12055" i="2"/>
  <c r="A12054" i="2"/>
  <c r="A12053" i="2"/>
  <c r="A12052" i="2"/>
  <c r="A12051" i="2"/>
  <c r="A12050" i="2"/>
  <c r="A12049" i="2"/>
  <c r="A12048" i="2"/>
  <c r="A12047" i="2"/>
  <c r="A12046" i="2"/>
  <c r="A12045" i="2"/>
  <c r="A12044" i="2"/>
  <c r="A12043" i="2"/>
  <c r="A12042" i="2"/>
  <c r="A12041" i="2"/>
  <c r="A12040" i="2"/>
  <c r="A12039" i="2"/>
  <c r="A12038" i="2"/>
  <c r="A12037" i="2"/>
  <c r="A12036" i="2"/>
  <c r="A12035" i="2"/>
  <c r="A12034" i="2"/>
  <c r="A12033" i="2"/>
  <c r="A12032" i="2"/>
  <c r="A12031" i="2"/>
  <c r="A12030" i="2"/>
  <c r="A12029" i="2"/>
  <c r="A12028" i="2"/>
  <c r="A12027" i="2"/>
  <c r="A12026" i="2"/>
  <c r="A12025" i="2"/>
  <c r="A12024" i="2"/>
  <c r="A12023" i="2"/>
  <c r="A12022" i="2"/>
  <c r="A12021" i="2"/>
  <c r="A12020" i="2"/>
  <c r="A12019" i="2"/>
  <c r="A12018" i="2"/>
  <c r="A12017" i="2"/>
  <c r="A12016" i="2"/>
  <c r="A12015" i="2"/>
  <c r="A12014" i="2"/>
  <c r="A12013" i="2"/>
  <c r="A12012" i="2"/>
  <c r="A12011" i="2"/>
  <c r="A12010" i="2"/>
  <c r="A12009" i="2"/>
  <c r="A12008" i="2"/>
  <c r="A12007" i="2"/>
  <c r="A12006" i="2"/>
  <c r="A12005" i="2"/>
  <c r="A12004" i="2"/>
  <c r="A12003" i="2"/>
  <c r="A12002" i="2"/>
  <c r="A12001" i="2"/>
  <c r="A12000" i="2"/>
  <c r="A11999" i="2"/>
  <c r="A11998" i="2"/>
  <c r="A11997" i="2"/>
  <c r="A11996" i="2"/>
  <c r="A11995" i="2"/>
  <c r="A11994" i="2"/>
  <c r="A11993" i="2"/>
  <c r="A11992" i="2"/>
  <c r="A11991" i="2"/>
  <c r="A11990" i="2"/>
  <c r="A11989" i="2"/>
  <c r="A11988" i="2"/>
  <c r="A11987" i="2"/>
  <c r="A11986" i="2"/>
  <c r="A11985" i="2"/>
  <c r="A11984" i="2"/>
  <c r="A11983" i="2"/>
  <c r="A11982" i="2"/>
  <c r="A11981" i="2"/>
  <c r="A11980" i="2"/>
  <c r="A11979" i="2"/>
  <c r="A11978" i="2"/>
  <c r="A11977" i="2"/>
  <c r="A11976" i="2"/>
  <c r="A11975" i="2"/>
  <c r="A11974" i="2"/>
  <c r="A11973" i="2"/>
  <c r="A11972" i="2"/>
  <c r="A11971" i="2"/>
  <c r="A11970" i="2"/>
  <c r="A11969" i="2"/>
  <c r="A11968" i="2"/>
  <c r="A11967" i="2"/>
  <c r="A11966" i="2"/>
  <c r="A11965" i="2"/>
  <c r="A11964" i="2"/>
  <c r="A11963" i="2"/>
  <c r="A11962" i="2"/>
  <c r="A11961" i="2"/>
  <c r="A11960" i="2"/>
  <c r="A11959" i="2"/>
  <c r="A11958" i="2"/>
  <c r="A11957" i="2"/>
  <c r="A11956" i="2"/>
  <c r="A11955" i="2"/>
  <c r="A11954" i="2"/>
  <c r="A11953" i="2"/>
  <c r="A11952" i="2"/>
  <c r="A11951" i="2"/>
  <c r="A11950" i="2"/>
  <c r="A11949" i="2"/>
  <c r="A11948" i="2"/>
  <c r="A11947" i="2"/>
  <c r="A11946" i="2"/>
  <c r="A11945" i="2"/>
  <c r="A11944" i="2"/>
  <c r="A11943" i="2"/>
  <c r="A11942" i="2"/>
  <c r="A11941" i="2"/>
  <c r="A11940" i="2"/>
  <c r="A11939" i="2"/>
  <c r="A11938" i="2"/>
  <c r="A11937" i="2"/>
  <c r="A11936" i="2"/>
  <c r="A11935" i="2"/>
  <c r="A11934" i="2"/>
  <c r="A11933" i="2"/>
  <c r="A11932" i="2"/>
  <c r="A11931" i="2"/>
  <c r="A11930" i="2"/>
  <c r="A11929" i="2"/>
  <c r="A11928" i="2"/>
  <c r="A11927" i="2"/>
  <c r="A11926" i="2"/>
  <c r="A11925" i="2"/>
  <c r="A11924" i="2"/>
  <c r="A11923" i="2"/>
  <c r="A11922" i="2"/>
  <c r="A11921" i="2"/>
  <c r="A11920" i="2"/>
  <c r="A11919" i="2"/>
  <c r="A11918" i="2"/>
  <c r="A11917" i="2"/>
  <c r="A11916" i="2"/>
  <c r="A11915" i="2"/>
  <c r="A11914" i="2"/>
  <c r="A11913" i="2"/>
  <c r="A11912" i="2"/>
  <c r="A11911" i="2"/>
  <c r="A11910" i="2"/>
  <c r="A11909" i="2"/>
  <c r="A11908" i="2"/>
  <c r="A11907" i="2"/>
  <c r="A11906" i="2"/>
  <c r="A11905" i="2"/>
  <c r="A11904" i="2"/>
  <c r="A11903" i="2"/>
  <c r="A11902" i="2"/>
  <c r="A11901" i="2"/>
  <c r="A11900" i="2"/>
  <c r="A11899" i="2"/>
  <c r="A11898" i="2"/>
  <c r="A11897" i="2"/>
  <c r="A11896" i="2"/>
  <c r="A11895" i="2"/>
  <c r="A11894" i="2"/>
  <c r="A11893" i="2"/>
  <c r="A11892" i="2"/>
  <c r="A11891" i="2"/>
  <c r="A11890" i="2"/>
  <c r="A11889" i="2"/>
  <c r="A11888" i="2"/>
  <c r="A11887" i="2"/>
  <c r="A11886" i="2"/>
  <c r="A11885" i="2"/>
  <c r="A11884" i="2"/>
  <c r="A11883" i="2"/>
  <c r="A11882" i="2"/>
  <c r="A11881" i="2"/>
  <c r="A11880" i="2"/>
  <c r="A11879" i="2"/>
  <c r="A11878" i="2"/>
  <c r="A11877" i="2"/>
  <c r="A11876" i="2"/>
  <c r="A11875" i="2"/>
  <c r="A11874" i="2"/>
  <c r="A11873" i="2"/>
  <c r="A11872" i="2"/>
  <c r="A11871" i="2"/>
  <c r="A11870" i="2"/>
  <c r="A11869" i="2"/>
  <c r="A11868" i="2"/>
  <c r="A11867" i="2"/>
  <c r="A11866" i="2"/>
  <c r="A11865" i="2"/>
  <c r="A11864" i="2"/>
  <c r="A11863" i="2"/>
  <c r="A11862" i="2"/>
  <c r="A11861" i="2"/>
  <c r="A11860" i="2"/>
  <c r="A11859" i="2"/>
  <c r="A11858" i="2"/>
  <c r="A11857" i="2"/>
  <c r="A11856" i="2"/>
  <c r="A11855" i="2"/>
  <c r="A11854" i="2"/>
  <c r="A11853" i="2"/>
  <c r="A11852" i="2"/>
  <c r="A11851" i="2"/>
  <c r="A11850" i="2"/>
  <c r="A11849" i="2"/>
  <c r="A11848" i="2"/>
  <c r="A11847" i="2"/>
  <c r="A11846" i="2"/>
  <c r="A11845" i="2"/>
  <c r="A11844" i="2"/>
  <c r="A11843" i="2"/>
  <c r="A11842" i="2"/>
  <c r="A11841" i="2"/>
  <c r="A11840" i="2"/>
  <c r="A11839" i="2"/>
  <c r="A11838" i="2"/>
  <c r="A11837" i="2"/>
  <c r="A11836" i="2"/>
  <c r="A11835" i="2"/>
  <c r="A11834" i="2"/>
  <c r="A11833" i="2"/>
  <c r="A11832" i="2"/>
  <c r="A11831" i="2"/>
  <c r="A11830" i="2"/>
  <c r="A11829" i="2"/>
  <c r="A11828" i="2"/>
  <c r="A11827" i="2"/>
  <c r="A11826" i="2"/>
  <c r="A11825" i="2"/>
  <c r="A11824" i="2"/>
  <c r="A11823" i="2"/>
  <c r="A11822" i="2"/>
  <c r="A11821" i="2"/>
  <c r="A11820" i="2"/>
  <c r="A11819" i="2"/>
  <c r="A11818" i="2"/>
  <c r="A11817" i="2"/>
  <c r="A11816" i="2"/>
  <c r="A11815" i="2"/>
  <c r="A11814" i="2"/>
  <c r="A11813" i="2"/>
  <c r="A11812" i="2"/>
  <c r="A11811" i="2"/>
  <c r="A11810" i="2"/>
  <c r="A11809" i="2"/>
  <c r="A11808" i="2"/>
  <c r="A11807" i="2"/>
  <c r="A11806" i="2"/>
  <c r="A11805" i="2"/>
  <c r="A11804" i="2"/>
  <c r="A11803" i="2"/>
  <c r="A11802" i="2"/>
  <c r="A11801" i="2"/>
  <c r="A11800" i="2"/>
  <c r="A11799" i="2"/>
  <c r="A11798" i="2"/>
  <c r="A11797" i="2"/>
  <c r="A11796" i="2"/>
  <c r="A11795" i="2"/>
  <c r="A11794" i="2"/>
  <c r="A11793" i="2"/>
  <c r="A11792" i="2"/>
  <c r="A11791" i="2"/>
  <c r="A11790" i="2"/>
  <c r="A11789" i="2"/>
  <c r="A11788" i="2"/>
  <c r="A11787" i="2"/>
  <c r="A11786" i="2"/>
  <c r="A11785" i="2"/>
  <c r="A11784" i="2"/>
  <c r="A11783" i="2"/>
  <c r="A11782" i="2"/>
  <c r="A11781" i="2"/>
  <c r="A11780" i="2"/>
  <c r="A11779" i="2"/>
  <c r="A11778" i="2"/>
  <c r="A11777" i="2"/>
  <c r="A11776" i="2"/>
  <c r="A11775" i="2"/>
  <c r="A11774" i="2"/>
  <c r="A11773" i="2"/>
  <c r="A11772" i="2"/>
  <c r="A11771" i="2"/>
  <c r="A11770" i="2"/>
  <c r="A11769" i="2"/>
  <c r="A11768" i="2"/>
  <c r="A11767" i="2"/>
  <c r="A11766" i="2"/>
  <c r="A11765" i="2"/>
  <c r="A11764" i="2"/>
  <c r="A11763" i="2"/>
  <c r="A11762" i="2"/>
  <c r="A11761" i="2"/>
  <c r="A11760" i="2"/>
  <c r="A11759" i="2"/>
  <c r="A11758" i="2"/>
  <c r="A11757" i="2"/>
  <c r="A11756" i="2"/>
  <c r="A11755" i="2"/>
  <c r="A11754" i="2"/>
  <c r="A11753" i="2"/>
  <c r="A11752" i="2"/>
  <c r="A11751" i="2"/>
  <c r="A11750" i="2"/>
  <c r="A11749" i="2"/>
  <c r="A11748" i="2"/>
  <c r="A11747" i="2"/>
  <c r="A11746" i="2"/>
  <c r="A11745" i="2"/>
  <c r="A11744" i="2"/>
  <c r="A11743" i="2"/>
  <c r="A11742" i="2"/>
  <c r="A11741" i="2"/>
  <c r="A11740" i="2"/>
  <c r="A11739" i="2"/>
  <c r="A11738" i="2"/>
  <c r="A11737" i="2"/>
  <c r="A11736" i="2"/>
  <c r="A11735" i="2"/>
  <c r="A11734" i="2"/>
  <c r="A11733" i="2"/>
  <c r="A11732" i="2"/>
  <c r="A11731" i="2"/>
  <c r="A11730" i="2"/>
  <c r="A11729" i="2"/>
  <c r="A11728" i="2"/>
  <c r="A11727" i="2"/>
  <c r="A11726" i="2"/>
  <c r="A11725" i="2"/>
  <c r="A11724" i="2"/>
  <c r="A11723" i="2"/>
  <c r="A11722" i="2"/>
  <c r="A11721" i="2"/>
  <c r="A11720" i="2"/>
  <c r="A11719" i="2"/>
  <c r="A11718" i="2"/>
  <c r="A11717" i="2"/>
  <c r="A11716" i="2"/>
  <c r="A11715" i="2"/>
  <c r="A11714" i="2"/>
  <c r="A11713" i="2"/>
  <c r="A11712" i="2"/>
  <c r="A11711" i="2"/>
  <c r="A11710" i="2"/>
  <c r="A11709" i="2"/>
  <c r="A11708" i="2"/>
  <c r="A11707" i="2"/>
  <c r="A11706" i="2"/>
  <c r="A11705" i="2"/>
  <c r="A11704" i="2"/>
  <c r="A11703" i="2"/>
  <c r="A11702" i="2"/>
  <c r="A11701" i="2"/>
  <c r="A11700" i="2"/>
  <c r="A11699" i="2"/>
  <c r="A11698" i="2"/>
  <c r="A11697" i="2"/>
  <c r="A11696" i="2"/>
  <c r="A11695" i="2"/>
  <c r="A11694" i="2"/>
  <c r="A11693" i="2"/>
  <c r="A11692" i="2"/>
  <c r="A11691" i="2"/>
  <c r="A11690" i="2"/>
  <c r="A11689" i="2"/>
  <c r="A11688" i="2"/>
  <c r="A11687" i="2"/>
  <c r="A11686" i="2"/>
  <c r="A11685" i="2"/>
  <c r="A11684" i="2"/>
  <c r="A11683" i="2"/>
  <c r="A11682" i="2"/>
  <c r="A11681" i="2"/>
  <c r="A11680" i="2"/>
  <c r="A11679" i="2"/>
  <c r="A11678" i="2"/>
  <c r="A11677" i="2"/>
  <c r="A11676" i="2"/>
  <c r="A11675" i="2"/>
  <c r="A11674" i="2"/>
  <c r="A11673" i="2"/>
  <c r="A11672" i="2"/>
  <c r="A11671" i="2"/>
  <c r="A11670" i="2"/>
  <c r="A11669" i="2"/>
  <c r="A11668" i="2"/>
  <c r="A11667" i="2"/>
  <c r="A11666" i="2"/>
  <c r="A11665" i="2"/>
  <c r="A11664" i="2"/>
  <c r="A11663" i="2"/>
  <c r="A11662" i="2"/>
  <c r="A11661" i="2"/>
  <c r="A11660" i="2"/>
  <c r="A11659" i="2"/>
  <c r="A11658" i="2"/>
  <c r="A11657" i="2"/>
  <c r="A11656" i="2"/>
  <c r="A11655" i="2"/>
  <c r="A11654" i="2"/>
  <c r="A11653" i="2"/>
  <c r="A11652" i="2"/>
  <c r="A11651" i="2"/>
  <c r="A11650" i="2"/>
  <c r="A11649" i="2"/>
  <c r="A11648" i="2"/>
  <c r="A11647" i="2"/>
  <c r="A11646" i="2"/>
  <c r="A11645" i="2"/>
  <c r="A11644" i="2"/>
  <c r="A11643" i="2"/>
  <c r="A11642" i="2"/>
  <c r="A11641" i="2"/>
  <c r="A11640" i="2"/>
  <c r="A11639" i="2"/>
  <c r="A11638" i="2"/>
  <c r="A11637" i="2"/>
  <c r="A11636" i="2"/>
  <c r="A11635" i="2"/>
  <c r="A11634" i="2"/>
  <c r="A11633" i="2"/>
  <c r="A11632" i="2"/>
  <c r="A11631" i="2"/>
  <c r="A11630" i="2"/>
  <c r="A11629" i="2"/>
  <c r="A11628" i="2"/>
  <c r="A11627" i="2"/>
  <c r="A11626" i="2"/>
  <c r="A11625" i="2"/>
  <c r="A11624" i="2"/>
  <c r="A11623" i="2"/>
  <c r="A11622" i="2"/>
  <c r="A11621" i="2"/>
  <c r="A11620" i="2"/>
  <c r="A11619" i="2"/>
  <c r="A11618" i="2"/>
  <c r="A11617" i="2"/>
  <c r="A11616" i="2"/>
  <c r="A11615" i="2"/>
  <c r="A11614" i="2"/>
  <c r="A11613" i="2"/>
  <c r="A11612" i="2"/>
  <c r="A11611" i="2"/>
  <c r="A11610" i="2"/>
  <c r="A11609" i="2"/>
  <c r="A11608" i="2"/>
  <c r="A11607" i="2"/>
  <c r="A11606" i="2"/>
  <c r="A11605" i="2"/>
  <c r="A11604" i="2"/>
  <c r="A11603" i="2"/>
  <c r="A11602" i="2"/>
  <c r="A11601" i="2"/>
  <c r="A11600" i="2"/>
  <c r="A11599" i="2"/>
  <c r="A11598" i="2"/>
  <c r="A11597" i="2"/>
  <c r="A11596" i="2"/>
  <c r="A11595" i="2"/>
  <c r="A11594" i="2"/>
  <c r="A11593" i="2"/>
  <c r="A11592" i="2"/>
  <c r="A11591" i="2"/>
  <c r="A11590" i="2"/>
  <c r="A11589" i="2"/>
  <c r="A11588" i="2"/>
  <c r="A11587" i="2"/>
  <c r="A11586" i="2"/>
  <c r="A11585" i="2"/>
  <c r="A11584" i="2"/>
  <c r="A11583" i="2"/>
  <c r="A11582" i="2"/>
  <c r="A11581" i="2"/>
  <c r="A11580" i="2"/>
  <c r="A11579" i="2"/>
  <c r="A11578" i="2"/>
  <c r="A11577" i="2"/>
  <c r="A11576" i="2"/>
  <c r="A11575" i="2"/>
  <c r="A11574" i="2"/>
  <c r="A11573" i="2"/>
  <c r="A11572" i="2"/>
  <c r="A11571" i="2"/>
  <c r="A11570" i="2"/>
  <c r="A11569" i="2"/>
  <c r="A11568" i="2"/>
  <c r="A11567" i="2"/>
  <c r="A11566" i="2"/>
  <c r="A11565" i="2"/>
  <c r="A11564" i="2"/>
  <c r="A11563" i="2"/>
  <c r="A11562" i="2"/>
  <c r="A11561" i="2"/>
  <c r="A11560" i="2"/>
  <c r="A11559" i="2"/>
  <c r="A11558" i="2"/>
  <c r="A11557" i="2"/>
  <c r="A11556" i="2"/>
  <c r="A11555" i="2"/>
  <c r="A11554" i="2"/>
  <c r="A11553" i="2"/>
  <c r="A11552" i="2"/>
  <c r="A11551" i="2"/>
  <c r="A11550" i="2"/>
  <c r="A11549" i="2"/>
  <c r="A11548" i="2"/>
  <c r="A11547" i="2"/>
  <c r="A11546" i="2"/>
  <c r="A11545" i="2"/>
  <c r="A11544" i="2"/>
  <c r="A11543" i="2"/>
  <c r="A11542" i="2"/>
  <c r="A11541" i="2"/>
  <c r="A11540" i="2"/>
  <c r="A11539" i="2"/>
  <c r="A11538" i="2"/>
  <c r="A11537" i="2"/>
  <c r="A11536" i="2"/>
  <c r="A11535" i="2"/>
  <c r="A11534" i="2"/>
  <c r="A11533" i="2"/>
  <c r="A11532" i="2"/>
  <c r="A11531" i="2"/>
  <c r="A11530" i="2"/>
  <c r="A11529" i="2"/>
  <c r="A11528" i="2"/>
  <c r="A11527" i="2"/>
  <c r="A11526" i="2"/>
  <c r="A11525" i="2"/>
  <c r="A11524" i="2"/>
  <c r="A11523" i="2"/>
  <c r="A11522" i="2"/>
  <c r="A11521" i="2"/>
  <c r="A11520" i="2"/>
  <c r="A11519" i="2"/>
  <c r="A11518" i="2"/>
  <c r="A11517" i="2"/>
  <c r="A11516" i="2"/>
  <c r="A11515" i="2"/>
  <c r="A11514" i="2"/>
  <c r="A11513" i="2"/>
  <c r="A11512" i="2"/>
  <c r="A11511" i="2"/>
  <c r="A11510" i="2"/>
  <c r="A11509" i="2"/>
  <c r="A11508" i="2"/>
  <c r="A11507" i="2"/>
  <c r="A11506" i="2"/>
  <c r="A11505" i="2"/>
  <c r="A11504" i="2"/>
  <c r="A11503" i="2"/>
  <c r="A11502" i="2"/>
  <c r="A11501" i="2"/>
  <c r="A11500" i="2"/>
  <c r="A11499" i="2"/>
  <c r="A11498" i="2"/>
  <c r="A11497" i="2"/>
  <c r="A11496" i="2"/>
  <c r="A11495" i="2"/>
  <c r="A11494" i="2"/>
  <c r="A11493" i="2"/>
  <c r="A11492" i="2"/>
  <c r="A11491" i="2"/>
  <c r="A11490" i="2"/>
  <c r="A11489" i="2"/>
  <c r="A11488" i="2"/>
  <c r="A11487" i="2"/>
  <c r="A11486" i="2"/>
  <c r="A11485" i="2"/>
  <c r="A11484" i="2"/>
  <c r="A11483" i="2"/>
  <c r="A11482" i="2"/>
  <c r="A11481" i="2"/>
  <c r="A11480" i="2"/>
  <c r="A11479" i="2"/>
  <c r="A11478" i="2"/>
  <c r="A11477" i="2"/>
  <c r="A11476" i="2"/>
  <c r="A11475" i="2"/>
  <c r="A11474" i="2"/>
  <c r="A11473" i="2"/>
  <c r="A11472" i="2"/>
  <c r="A11471" i="2"/>
  <c r="A11470" i="2"/>
  <c r="A11469" i="2"/>
  <c r="A11468" i="2"/>
  <c r="A11467" i="2"/>
  <c r="A11466" i="2"/>
  <c r="A11465" i="2"/>
  <c r="A11464" i="2"/>
  <c r="A11463" i="2"/>
  <c r="A11462" i="2"/>
  <c r="A11461" i="2"/>
  <c r="A11460" i="2"/>
  <c r="A11459" i="2"/>
  <c r="A11458" i="2"/>
  <c r="A11457" i="2"/>
  <c r="A11456" i="2"/>
  <c r="A11455" i="2"/>
  <c r="A11454" i="2"/>
  <c r="A11453" i="2"/>
  <c r="A11452" i="2"/>
  <c r="A11451" i="2"/>
  <c r="A11450" i="2"/>
  <c r="A11449" i="2"/>
  <c r="A11448" i="2"/>
  <c r="A11447" i="2"/>
  <c r="A11446" i="2"/>
  <c r="A11445" i="2"/>
  <c r="A11444" i="2"/>
  <c r="A11443" i="2"/>
  <c r="A11442" i="2"/>
  <c r="A11441" i="2"/>
  <c r="A11440" i="2"/>
  <c r="A11439" i="2"/>
  <c r="A11438" i="2"/>
  <c r="A11437" i="2"/>
  <c r="A11436" i="2"/>
  <c r="A11435" i="2"/>
  <c r="A11434" i="2"/>
  <c r="A11433" i="2"/>
  <c r="A11432" i="2"/>
  <c r="A11431" i="2"/>
  <c r="A11430" i="2"/>
  <c r="A11429" i="2"/>
  <c r="A11428" i="2"/>
  <c r="A11427" i="2"/>
  <c r="A11426" i="2"/>
  <c r="A11425" i="2"/>
  <c r="A11424" i="2"/>
  <c r="A11423" i="2"/>
  <c r="A11422" i="2"/>
  <c r="A11421" i="2"/>
  <c r="A11420" i="2"/>
  <c r="A11419" i="2"/>
  <c r="A11418" i="2"/>
  <c r="A11417" i="2"/>
  <c r="A11416" i="2"/>
  <c r="A11415" i="2"/>
  <c r="A11414" i="2"/>
  <c r="A11413" i="2"/>
  <c r="A11412" i="2"/>
  <c r="A11411" i="2"/>
  <c r="A11410" i="2"/>
  <c r="A11409" i="2"/>
  <c r="A11408" i="2"/>
  <c r="A11407" i="2"/>
  <c r="A11406" i="2"/>
  <c r="A11405" i="2"/>
  <c r="A11404" i="2"/>
  <c r="A11403" i="2"/>
  <c r="A11402" i="2"/>
  <c r="A11401" i="2"/>
  <c r="A11400" i="2"/>
  <c r="A11399" i="2"/>
  <c r="A11398" i="2"/>
  <c r="A11397" i="2"/>
  <c r="A11396" i="2"/>
  <c r="A11395" i="2"/>
  <c r="A11394" i="2"/>
  <c r="A11393" i="2"/>
  <c r="A11392" i="2"/>
  <c r="A11391" i="2"/>
  <c r="A11390" i="2"/>
  <c r="A11389" i="2"/>
  <c r="A11388" i="2"/>
  <c r="A11387" i="2"/>
  <c r="A11386" i="2"/>
  <c r="A11385" i="2"/>
  <c r="A11384" i="2"/>
  <c r="A11383" i="2"/>
  <c r="A11382" i="2"/>
  <c r="A11381" i="2"/>
  <c r="A11380" i="2"/>
  <c r="A11379" i="2"/>
  <c r="A11378" i="2"/>
  <c r="A11377" i="2"/>
  <c r="A11376" i="2"/>
  <c r="A11375" i="2"/>
  <c r="A11374" i="2"/>
  <c r="A11373" i="2"/>
  <c r="A11372" i="2"/>
  <c r="A11371" i="2"/>
  <c r="A11370" i="2"/>
  <c r="A11369" i="2"/>
  <c r="A11368" i="2"/>
  <c r="A11367" i="2"/>
  <c r="A11366" i="2"/>
  <c r="A11365" i="2"/>
  <c r="A11364" i="2"/>
  <c r="A11363" i="2"/>
  <c r="A11362" i="2"/>
  <c r="A11361" i="2"/>
  <c r="A11360" i="2"/>
  <c r="A11359" i="2"/>
  <c r="A11358" i="2"/>
  <c r="A11357" i="2"/>
  <c r="A11356" i="2"/>
  <c r="A11355" i="2"/>
  <c r="A11354" i="2"/>
  <c r="A11353" i="2"/>
  <c r="A11352" i="2"/>
  <c r="A11351" i="2"/>
  <c r="A11350" i="2"/>
  <c r="A11349" i="2"/>
  <c r="A11348" i="2"/>
  <c r="A11347" i="2"/>
  <c r="A11346" i="2"/>
  <c r="A11345" i="2"/>
  <c r="A11344" i="2"/>
  <c r="A11343" i="2"/>
  <c r="A11342" i="2"/>
  <c r="A11341" i="2"/>
  <c r="A11340" i="2"/>
  <c r="A11339" i="2"/>
  <c r="A11338" i="2"/>
  <c r="A11337" i="2"/>
  <c r="A11336" i="2"/>
  <c r="A11335" i="2"/>
  <c r="A11334" i="2"/>
  <c r="A11333" i="2"/>
  <c r="A11332" i="2"/>
  <c r="A11331" i="2"/>
  <c r="A11330" i="2"/>
  <c r="A11329" i="2"/>
  <c r="A11328" i="2"/>
  <c r="A11327" i="2"/>
  <c r="A11326" i="2"/>
  <c r="A11325" i="2"/>
  <c r="A11324" i="2"/>
  <c r="A11323" i="2"/>
  <c r="A11322" i="2"/>
  <c r="A11321" i="2"/>
  <c r="A11320" i="2"/>
  <c r="A11319" i="2"/>
  <c r="A11318" i="2"/>
  <c r="A11317" i="2"/>
  <c r="A11316" i="2"/>
  <c r="A11315" i="2"/>
  <c r="A11314" i="2"/>
  <c r="A11313" i="2"/>
  <c r="A11312" i="2"/>
  <c r="A11311" i="2"/>
  <c r="A11310" i="2"/>
  <c r="A11309" i="2"/>
  <c r="A11308" i="2"/>
  <c r="A11307" i="2"/>
  <c r="A11306" i="2"/>
  <c r="A11305" i="2"/>
  <c r="A11304" i="2"/>
  <c r="A11303" i="2"/>
  <c r="A11302" i="2"/>
  <c r="A11301" i="2"/>
  <c r="A11300" i="2"/>
  <c r="A11299" i="2"/>
  <c r="A11298" i="2"/>
  <c r="A11297" i="2"/>
  <c r="A11296" i="2"/>
  <c r="A11295" i="2"/>
  <c r="A11294" i="2"/>
  <c r="A11293" i="2"/>
  <c r="A11292" i="2"/>
  <c r="A11291" i="2"/>
  <c r="A11290" i="2"/>
  <c r="A11289" i="2"/>
  <c r="A11288" i="2"/>
  <c r="A11287" i="2"/>
  <c r="A11286" i="2"/>
  <c r="A11285" i="2"/>
  <c r="A11284" i="2"/>
  <c r="A11283" i="2"/>
  <c r="A11282" i="2"/>
  <c r="A11281" i="2"/>
  <c r="A11280" i="2"/>
  <c r="A11279" i="2"/>
  <c r="A11278" i="2"/>
  <c r="A11277" i="2"/>
  <c r="A11276" i="2"/>
  <c r="A11275" i="2"/>
  <c r="A11274" i="2"/>
  <c r="A11273" i="2"/>
  <c r="A11272" i="2"/>
  <c r="A11271" i="2"/>
  <c r="A11270" i="2"/>
  <c r="A11269" i="2"/>
  <c r="A11268" i="2"/>
  <c r="A11267" i="2"/>
  <c r="A11266" i="2"/>
  <c r="A11265" i="2"/>
  <c r="A11264" i="2"/>
  <c r="A11263" i="2"/>
  <c r="A11262" i="2"/>
  <c r="A11261" i="2"/>
  <c r="A11260" i="2"/>
  <c r="A11259" i="2"/>
  <c r="A11258" i="2"/>
  <c r="A11257" i="2"/>
  <c r="A11256" i="2"/>
  <c r="A11255" i="2"/>
  <c r="A11254" i="2"/>
  <c r="A11253" i="2"/>
  <c r="A11252" i="2"/>
  <c r="A11251" i="2"/>
  <c r="A11250" i="2"/>
  <c r="A11249" i="2"/>
  <c r="A11248" i="2"/>
  <c r="A11247" i="2"/>
  <c r="A11246" i="2"/>
  <c r="A11245" i="2"/>
  <c r="A11244" i="2"/>
  <c r="A11243" i="2"/>
  <c r="A11242" i="2"/>
  <c r="A11241" i="2"/>
  <c r="A11240" i="2"/>
  <c r="A11239" i="2"/>
  <c r="A11238" i="2"/>
  <c r="A11237" i="2"/>
  <c r="A11236" i="2"/>
  <c r="A11235" i="2"/>
  <c r="A11234" i="2"/>
  <c r="A11233" i="2"/>
  <c r="A11232" i="2"/>
  <c r="A11231" i="2"/>
  <c r="A11230" i="2"/>
  <c r="A11229" i="2"/>
  <c r="A11228" i="2"/>
  <c r="A11227" i="2"/>
  <c r="A11226" i="2"/>
  <c r="A11225" i="2"/>
  <c r="A11224" i="2"/>
  <c r="A11223" i="2"/>
  <c r="A11222" i="2"/>
  <c r="A11221" i="2"/>
  <c r="A11220" i="2"/>
  <c r="A11219" i="2"/>
  <c r="A11218" i="2"/>
  <c r="A11217" i="2"/>
  <c r="A11216" i="2"/>
  <c r="A11215" i="2"/>
  <c r="A11214" i="2"/>
  <c r="A11213" i="2"/>
  <c r="A11212" i="2"/>
  <c r="A11211" i="2"/>
  <c r="A11210" i="2"/>
  <c r="A11209" i="2"/>
  <c r="A11208" i="2"/>
  <c r="A11207" i="2"/>
  <c r="A11206" i="2"/>
  <c r="A11205" i="2"/>
  <c r="A11204" i="2"/>
  <c r="A11203" i="2"/>
  <c r="A11202" i="2"/>
  <c r="A11201" i="2"/>
  <c r="A11200" i="2"/>
  <c r="A11199" i="2"/>
  <c r="A11198" i="2"/>
  <c r="A11197" i="2"/>
  <c r="A11196" i="2"/>
  <c r="A11195" i="2"/>
  <c r="A11194" i="2"/>
  <c r="A11193" i="2"/>
  <c r="A11192" i="2"/>
  <c r="A11191" i="2"/>
  <c r="A11190" i="2"/>
  <c r="A11189" i="2"/>
  <c r="A11188" i="2"/>
  <c r="A11187" i="2"/>
  <c r="A11186" i="2"/>
  <c r="A11185" i="2"/>
  <c r="A11184" i="2"/>
  <c r="A11183" i="2"/>
  <c r="A11182" i="2"/>
  <c r="A11181" i="2"/>
  <c r="A11180" i="2"/>
  <c r="A11179" i="2"/>
  <c r="A11178" i="2"/>
  <c r="A11177" i="2"/>
  <c r="A11176" i="2"/>
  <c r="A11175" i="2"/>
  <c r="A11174" i="2"/>
  <c r="A11173" i="2"/>
  <c r="A11172" i="2"/>
  <c r="A11171" i="2"/>
  <c r="A11170" i="2"/>
  <c r="A11169" i="2"/>
  <c r="A11168" i="2"/>
  <c r="A11167" i="2"/>
  <c r="A11166" i="2"/>
  <c r="A11165" i="2"/>
  <c r="A11164" i="2"/>
  <c r="A11163" i="2"/>
  <c r="A11162" i="2"/>
  <c r="A11161" i="2"/>
  <c r="A11160" i="2"/>
  <c r="A11159" i="2"/>
  <c r="A11158" i="2"/>
  <c r="A11157" i="2"/>
  <c r="A11156" i="2"/>
  <c r="A11155" i="2"/>
  <c r="A11154" i="2"/>
  <c r="A11153" i="2"/>
  <c r="A11152" i="2"/>
  <c r="A11151" i="2"/>
  <c r="A11150" i="2"/>
  <c r="A11149" i="2"/>
  <c r="A11148" i="2"/>
  <c r="A11147" i="2"/>
  <c r="A11146" i="2"/>
  <c r="A11145" i="2"/>
  <c r="A11144" i="2"/>
  <c r="A11143" i="2"/>
  <c r="A11142" i="2"/>
  <c r="A11141" i="2"/>
  <c r="A11140" i="2"/>
  <c r="A11139" i="2"/>
  <c r="A11138" i="2"/>
  <c r="A11137" i="2"/>
  <c r="A11136" i="2"/>
  <c r="A11135" i="2"/>
  <c r="A11134" i="2"/>
  <c r="A11133" i="2"/>
  <c r="A11132" i="2"/>
  <c r="A11131" i="2"/>
  <c r="A11130" i="2"/>
  <c r="A11129" i="2"/>
  <c r="A11128" i="2"/>
  <c r="A11127" i="2"/>
  <c r="A11126" i="2"/>
  <c r="A11125" i="2"/>
  <c r="A11124" i="2"/>
  <c r="A11123" i="2"/>
  <c r="A11122" i="2"/>
  <c r="A11121" i="2"/>
  <c r="A11120" i="2"/>
  <c r="A11119" i="2"/>
  <c r="A11118" i="2"/>
  <c r="A11117" i="2"/>
  <c r="A11116" i="2"/>
  <c r="A11115" i="2"/>
  <c r="A11114" i="2"/>
  <c r="A11113" i="2"/>
  <c r="A11112" i="2"/>
  <c r="A11111" i="2"/>
  <c r="A11110" i="2"/>
  <c r="A11109" i="2"/>
  <c r="A11108" i="2"/>
  <c r="A11107" i="2"/>
  <c r="A11106" i="2"/>
  <c r="A11105" i="2"/>
  <c r="A11104" i="2"/>
  <c r="A11103" i="2"/>
  <c r="A11102" i="2"/>
  <c r="A11101" i="2"/>
  <c r="A11100" i="2"/>
  <c r="A11099" i="2"/>
  <c r="A11098" i="2"/>
  <c r="A11097" i="2"/>
  <c r="A11096" i="2"/>
  <c r="A11095" i="2"/>
  <c r="A11094" i="2"/>
  <c r="A11093" i="2"/>
  <c r="A11092" i="2"/>
  <c r="A11091" i="2"/>
  <c r="A11090" i="2"/>
  <c r="A11089" i="2"/>
  <c r="A11088" i="2"/>
  <c r="A11087" i="2"/>
  <c r="A11086" i="2"/>
  <c r="A11085" i="2"/>
  <c r="A11084" i="2"/>
  <c r="A11083" i="2"/>
  <c r="A11082" i="2"/>
  <c r="A11081" i="2"/>
  <c r="A11080" i="2"/>
  <c r="A11079" i="2"/>
  <c r="A11078" i="2"/>
  <c r="A11077" i="2"/>
  <c r="A11076" i="2"/>
  <c r="A11075" i="2"/>
  <c r="A11074" i="2"/>
  <c r="A11073" i="2"/>
  <c r="A11072" i="2"/>
  <c r="A11071" i="2"/>
  <c r="A11070" i="2"/>
  <c r="A11069" i="2"/>
  <c r="A11068" i="2"/>
  <c r="A11067" i="2"/>
  <c r="A11066" i="2"/>
  <c r="A11065" i="2"/>
  <c r="A11064" i="2"/>
  <c r="A11063" i="2"/>
  <c r="A11062" i="2"/>
  <c r="A11061" i="2"/>
  <c r="A11060" i="2"/>
  <c r="A11059" i="2"/>
  <c r="A11058" i="2"/>
  <c r="A11057" i="2"/>
  <c r="A11056" i="2"/>
  <c r="A11055" i="2"/>
  <c r="A11054" i="2"/>
  <c r="A11053" i="2"/>
  <c r="A11052" i="2"/>
  <c r="A11051" i="2"/>
  <c r="A11050" i="2"/>
  <c r="A11049" i="2"/>
  <c r="A11048" i="2"/>
  <c r="A11047" i="2"/>
  <c r="A11046" i="2"/>
  <c r="A11045" i="2"/>
  <c r="A11044" i="2"/>
  <c r="A11043" i="2"/>
  <c r="A11042" i="2"/>
  <c r="A11041" i="2"/>
  <c r="A11040" i="2"/>
  <c r="A11039" i="2"/>
  <c r="A11038" i="2"/>
  <c r="A11037" i="2"/>
  <c r="A11036" i="2"/>
  <c r="A11035" i="2"/>
  <c r="A11034" i="2"/>
  <c r="A11033" i="2"/>
  <c r="A11032" i="2"/>
  <c r="A11031" i="2"/>
  <c r="A11030" i="2"/>
  <c r="A11029" i="2"/>
  <c r="A11028" i="2"/>
  <c r="A11027" i="2"/>
  <c r="A11026" i="2"/>
  <c r="A11025" i="2"/>
  <c r="A11024" i="2"/>
  <c r="A11023" i="2"/>
  <c r="A11022" i="2"/>
  <c r="A11021" i="2"/>
  <c r="A11020" i="2"/>
  <c r="A11019" i="2"/>
  <c r="A11018" i="2"/>
  <c r="A11017" i="2"/>
  <c r="A11016" i="2"/>
  <c r="A11015" i="2"/>
  <c r="A11014" i="2"/>
  <c r="A11013" i="2"/>
  <c r="A11012" i="2"/>
  <c r="A11011" i="2"/>
  <c r="A11010" i="2"/>
  <c r="A11009" i="2"/>
  <c r="A11008" i="2"/>
  <c r="A11007" i="2"/>
  <c r="A11006" i="2"/>
  <c r="A11005" i="2"/>
  <c r="A11004" i="2"/>
  <c r="A11003" i="2"/>
  <c r="A11002" i="2"/>
  <c r="A11001" i="2"/>
  <c r="A11000" i="2"/>
  <c r="A10999" i="2"/>
  <c r="A10998" i="2"/>
  <c r="A10997" i="2"/>
  <c r="A10996" i="2"/>
  <c r="A10995" i="2"/>
  <c r="A10994" i="2"/>
  <c r="A10993" i="2"/>
  <c r="A10992" i="2"/>
  <c r="A10991" i="2"/>
  <c r="A10990" i="2"/>
  <c r="A10989" i="2"/>
  <c r="A10988" i="2"/>
  <c r="A10987" i="2"/>
  <c r="A10986" i="2"/>
  <c r="A10985" i="2"/>
  <c r="A10984" i="2"/>
  <c r="A10983" i="2"/>
  <c r="A10982" i="2"/>
  <c r="A10981" i="2"/>
  <c r="A10980" i="2"/>
  <c r="A10979" i="2"/>
  <c r="A10978" i="2"/>
  <c r="A10977" i="2"/>
  <c r="A10976" i="2"/>
  <c r="A10975" i="2"/>
  <c r="A10974" i="2"/>
  <c r="A10973" i="2"/>
  <c r="A10972" i="2"/>
  <c r="A10971" i="2"/>
  <c r="A10970" i="2"/>
  <c r="A10969" i="2"/>
  <c r="A10968" i="2"/>
  <c r="A10967" i="2"/>
  <c r="A10966" i="2"/>
  <c r="A10965" i="2"/>
  <c r="A10964" i="2"/>
  <c r="A10963" i="2"/>
  <c r="A10962" i="2"/>
  <c r="A10961" i="2"/>
  <c r="A10960" i="2"/>
  <c r="A10959" i="2"/>
  <c r="A10958" i="2"/>
  <c r="A10957" i="2"/>
  <c r="A10956" i="2"/>
  <c r="A10955" i="2"/>
  <c r="A10954" i="2"/>
  <c r="A10953" i="2"/>
  <c r="A10952" i="2"/>
  <c r="A10951" i="2"/>
  <c r="A10950" i="2"/>
  <c r="A10949" i="2"/>
  <c r="A10948" i="2"/>
  <c r="A10947" i="2"/>
  <c r="A10946" i="2"/>
  <c r="A10945" i="2"/>
  <c r="A10944" i="2"/>
  <c r="A10943" i="2"/>
  <c r="A10942" i="2"/>
  <c r="A10941" i="2"/>
  <c r="A10940" i="2"/>
  <c r="A10939" i="2"/>
  <c r="A10938" i="2"/>
  <c r="A10937" i="2"/>
  <c r="A10936" i="2"/>
  <c r="A10935" i="2"/>
  <c r="A10934" i="2"/>
  <c r="A10933" i="2"/>
  <c r="A10932" i="2"/>
  <c r="A10931" i="2"/>
  <c r="A10930" i="2"/>
  <c r="A10929" i="2"/>
  <c r="A10928" i="2"/>
  <c r="A10927" i="2"/>
  <c r="A10926" i="2"/>
  <c r="A10925" i="2"/>
  <c r="A10924" i="2"/>
  <c r="A10923" i="2"/>
  <c r="A10922" i="2"/>
  <c r="A10921" i="2"/>
  <c r="A10920" i="2"/>
  <c r="A10919" i="2"/>
  <c r="A10918" i="2"/>
  <c r="A10917" i="2"/>
  <c r="A10916" i="2"/>
  <c r="A10915" i="2"/>
  <c r="A10914" i="2"/>
  <c r="A10913" i="2"/>
  <c r="A10912" i="2"/>
  <c r="A10911" i="2"/>
  <c r="A10910" i="2"/>
  <c r="A10909" i="2"/>
  <c r="A10908" i="2"/>
  <c r="A10907" i="2"/>
  <c r="A10906" i="2"/>
  <c r="A10905" i="2"/>
  <c r="A10904" i="2"/>
  <c r="A10903" i="2"/>
  <c r="A10902" i="2"/>
  <c r="A10901" i="2"/>
  <c r="A10900" i="2"/>
  <c r="A10899" i="2"/>
  <c r="A10898" i="2"/>
  <c r="A10897" i="2"/>
  <c r="A10896" i="2"/>
  <c r="A10895" i="2"/>
  <c r="A10894" i="2"/>
  <c r="A10893" i="2"/>
  <c r="A10892" i="2"/>
  <c r="A10891" i="2"/>
  <c r="A10890" i="2"/>
  <c r="A10889" i="2"/>
  <c r="A10888" i="2"/>
  <c r="A10887" i="2"/>
  <c r="A10886" i="2"/>
  <c r="A10885" i="2"/>
  <c r="A10884" i="2"/>
  <c r="A10883" i="2"/>
  <c r="A10882" i="2"/>
  <c r="A10881" i="2"/>
  <c r="A10880" i="2"/>
  <c r="A10879" i="2"/>
  <c r="A10878" i="2"/>
  <c r="A10877" i="2"/>
  <c r="A10876" i="2"/>
  <c r="A10875" i="2"/>
  <c r="A10874" i="2"/>
  <c r="A10873" i="2"/>
  <c r="A10872" i="2"/>
  <c r="A10871" i="2"/>
  <c r="A10870" i="2"/>
  <c r="A10869" i="2"/>
  <c r="A10868" i="2"/>
  <c r="A10867" i="2"/>
  <c r="A10866" i="2"/>
  <c r="A10865" i="2"/>
  <c r="A10864" i="2"/>
  <c r="A10863" i="2"/>
  <c r="A10862" i="2"/>
  <c r="A10861" i="2"/>
  <c r="A10860" i="2"/>
  <c r="A10859" i="2"/>
  <c r="A10858" i="2"/>
  <c r="A10857" i="2"/>
  <c r="A10856" i="2"/>
  <c r="A10855" i="2"/>
  <c r="A10854" i="2"/>
  <c r="A10853" i="2"/>
  <c r="A10852" i="2"/>
  <c r="A10851" i="2"/>
  <c r="A10850" i="2"/>
  <c r="A10849" i="2"/>
  <c r="A10848" i="2"/>
  <c r="A10847" i="2"/>
  <c r="A10846" i="2"/>
  <c r="A10845" i="2"/>
  <c r="A10844" i="2"/>
  <c r="A10843" i="2"/>
  <c r="A10842" i="2"/>
  <c r="A10841" i="2"/>
  <c r="A10840" i="2"/>
  <c r="A10839" i="2"/>
  <c r="A10838" i="2"/>
  <c r="A10837" i="2"/>
  <c r="A10836" i="2"/>
  <c r="A10835" i="2"/>
  <c r="A10834" i="2"/>
  <c r="A10833" i="2"/>
  <c r="A10832" i="2"/>
  <c r="A10831" i="2"/>
  <c r="A10830" i="2"/>
  <c r="A10829" i="2"/>
  <c r="A10828" i="2"/>
  <c r="A10827" i="2"/>
  <c r="A10826" i="2"/>
  <c r="A10825" i="2"/>
  <c r="A10824" i="2"/>
  <c r="A10823" i="2"/>
  <c r="A10822" i="2"/>
  <c r="A10821" i="2"/>
  <c r="A10820" i="2"/>
  <c r="A10819" i="2"/>
  <c r="A10818" i="2"/>
  <c r="A10817" i="2"/>
  <c r="A10816" i="2"/>
  <c r="A10815" i="2"/>
  <c r="A10814" i="2"/>
  <c r="A10813" i="2"/>
  <c r="A10812" i="2"/>
  <c r="A10811" i="2"/>
  <c r="A10810" i="2"/>
  <c r="A10809" i="2"/>
  <c r="A10808" i="2"/>
  <c r="A10807" i="2"/>
  <c r="A10806" i="2"/>
  <c r="A10805" i="2"/>
  <c r="A10804" i="2"/>
  <c r="A10803" i="2"/>
  <c r="A10802" i="2"/>
  <c r="A10801" i="2"/>
  <c r="A10800" i="2"/>
  <c r="A10799" i="2"/>
  <c r="A10798" i="2"/>
  <c r="A10797" i="2"/>
  <c r="A10796" i="2"/>
  <c r="A10795" i="2"/>
  <c r="A10794" i="2"/>
  <c r="A10793" i="2"/>
  <c r="A10792" i="2"/>
  <c r="A10791" i="2"/>
  <c r="A10790" i="2"/>
  <c r="A10789" i="2"/>
  <c r="A10788" i="2"/>
  <c r="A10787" i="2"/>
  <c r="A10786" i="2"/>
  <c r="A10785" i="2"/>
  <c r="A10784" i="2"/>
  <c r="A10783" i="2"/>
  <c r="A10782" i="2"/>
  <c r="A10781" i="2"/>
  <c r="A10780" i="2"/>
  <c r="A10779" i="2"/>
  <c r="A10778" i="2"/>
  <c r="A10777" i="2"/>
  <c r="A10776" i="2"/>
  <c r="A10775" i="2"/>
  <c r="A10774" i="2"/>
  <c r="A10773" i="2"/>
  <c r="A10772" i="2"/>
  <c r="A10771" i="2"/>
  <c r="A10770" i="2"/>
  <c r="A10769" i="2"/>
  <c r="A10768" i="2"/>
  <c r="A10767" i="2"/>
  <c r="A10766" i="2"/>
  <c r="A10765" i="2"/>
  <c r="A10764" i="2"/>
  <c r="A10763" i="2"/>
  <c r="A10762" i="2"/>
  <c r="A10761" i="2"/>
  <c r="A10760" i="2"/>
  <c r="A10759" i="2"/>
  <c r="A10758" i="2"/>
  <c r="A10757" i="2"/>
  <c r="A10756" i="2"/>
  <c r="A10755" i="2"/>
  <c r="A10754" i="2"/>
  <c r="A10753" i="2"/>
  <c r="A10752" i="2"/>
  <c r="A10751" i="2"/>
  <c r="A10750" i="2"/>
  <c r="A10749" i="2"/>
  <c r="A10748" i="2"/>
  <c r="A10747" i="2"/>
  <c r="A10746" i="2"/>
  <c r="A10745" i="2"/>
  <c r="A10744" i="2"/>
  <c r="A10743" i="2"/>
  <c r="A10742" i="2"/>
  <c r="A10741" i="2"/>
  <c r="A10740" i="2"/>
  <c r="A10739" i="2"/>
  <c r="A10738" i="2"/>
  <c r="A10737" i="2"/>
  <c r="A10736" i="2"/>
  <c r="A10735" i="2"/>
  <c r="A10734" i="2"/>
  <c r="A10733" i="2"/>
  <c r="A10732" i="2"/>
  <c r="A10731" i="2"/>
  <c r="A10730" i="2"/>
  <c r="A10729" i="2"/>
  <c r="A10728" i="2"/>
  <c r="A10727" i="2"/>
  <c r="A10726" i="2"/>
  <c r="A10725" i="2"/>
  <c r="A10724" i="2"/>
  <c r="A10723" i="2"/>
  <c r="A10722" i="2"/>
  <c r="A10721" i="2"/>
  <c r="A10720" i="2"/>
  <c r="A10719" i="2"/>
  <c r="A10718" i="2"/>
  <c r="A10717" i="2"/>
  <c r="A10716" i="2"/>
  <c r="A10715" i="2"/>
  <c r="A10714" i="2"/>
  <c r="A10713" i="2"/>
  <c r="A10712" i="2"/>
  <c r="A10711" i="2"/>
  <c r="A10710" i="2"/>
  <c r="A10709" i="2"/>
  <c r="A10708" i="2"/>
  <c r="A10707" i="2"/>
  <c r="A10706" i="2"/>
  <c r="A10705" i="2"/>
  <c r="A10704" i="2"/>
  <c r="A10703" i="2"/>
  <c r="A10702" i="2"/>
  <c r="A10701" i="2"/>
  <c r="A10700" i="2"/>
  <c r="A10699" i="2"/>
  <c r="A10698" i="2"/>
  <c r="A10697" i="2"/>
  <c r="A10696" i="2"/>
  <c r="A10695" i="2"/>
  <c r="A10694" i="2"/>
  <c r="A10693" i="2"/>
  <c r="A10692" i="2"/>
  <c r="A10691" i="2"/>
  <c r="A10690" i="2"/>
  <c r="A10689" i="2"/>
  <c r="A10688" i="2"/>
  <c r="A10687" i="2"/>
  <c r="A10686" i="2"/>
  <c r="A10685" i="2"/>
  <c r="A10684" i="2"/>
  <c r="A10683" i="2"/>
  <c r="A10682" i="2"/>
  <c r="A10681" i="2"/>
  <c r="A10680" i="2"/>
  <c r="A10679" i="2"/>
  <c r="A10678" i="2"/>
  <c r="A10677" i="2"/>
  <c r="A10676" i="2"/>
  <c r="A10675" i="2"/>
  <c r="A10674" i="2"/>
  <c r="A10673" i="2"/>
  <c r="A10672" i="2"/>
  <c r="A10671" i="2"/>
  <c r="A10670" i="2"/>
  <c r="A10669" i="2"/>
  <c r="A10668" i="2"/>
  <c r="A10667" i="2"/>
  <c r="A10666" i="2"/>
  <c r="A10665" i="2"/>
  <c r="A10664" i="2"/>
  <c r="A10663" i="2"/>
  <c r="A10662" i="2"/>
  <c r="A10661" i="2"/>
  <c r="A10660" i="2"/>
  <c r="A10659" i="2"/>
  <c r="A10658" i="2"/>
  <c r="A10657" i="2"/>
  <c r="A10656" i="2"/>
  <c r="A10655" i="2"/>
  <c r="A10654" i="2"/>
  <c r="A10653" i="2"/>
  <c r="A10652" i="2"/>
  <c r="A10651" i="2"/>
  <c r="A10650" i="2"/>
  <c r="A10649" i="2"/>
  <c r="A10648" i="2"/>
  <c r="A10647" i="2"/>
  <c r="A10646" i="2"/>
  <c r="A10645" i="2"/>
  <c r="A10644" i="2"/>
  <c r="A10643" i="2"/>
  <c r="A10642" i="2"/>
  <c r="A10641" i="2"/>
  <c r="A10640" i="2"/>
  <c r="A10639" i="2"/>
  <c r="A10638" i="2"/>
  <c r="A10637" i="2"/>
  <c r="A10636" i="2"/>
  <c r="A10635" i="2"/>
  <c r="A10634" i="2"/>
  <c r="A10633" i="2"/>
  <c r="A10632" i="2"/>
  <c r="A10631" i="2"/>
  <c r="A10630" i="2"/>
  <c r="A10629" i="2"/>
  <c r="A10628" i="2"/>
  <c r="A10627" i="2"/>
  <c r="A10626" i="2"/>
  <c r="A10625" i="2"/>
  <c r="A10624" i="2"/>
  <c r="A10623" i="2"/>
  <c r="A10622" i="2"/>
  <c r="A10621" i="2"/>
  <c r="A10620" i="2"/>
  <c r="A10619" i="2"/>
  <c r="A10618" i="2"/>
  <c r="A10617" i="2"/>
  <c r="A10616" i="2"/>
  <c r="A10615" i="2"/>
  <c r="A10614" i="2"/>
  <c r="A10613" i="2"/>
  <c r="A10612" i="2"/>
  <c r="A10611" i="2"/>
  <c r="A10610" i="2"/>
  <c r="A10609" i="2"/>
  <c r="A10608" i="2"/>
  <c r="A10607" i="2"/>
  <c r="A10606" i="2"/>
  <c r="A10605" i="2"/>
  <c r="A10604" i="2"/>
  <c r="A10603" i="2"/>
  <c r="A10602" i="2"/>
  <c r="A10601" i="2"/>
  <c r="A10600" i="2"/>
  <c r="A10599" i="2"/>
  <c r="A10598" i="2"/>
  <c r="A10597" i="2"/>
  <c r="A10596" i="2"/>
  <c r="A10595" i="2"/>
  <c r="A10594" i="2"/>
  <c r="A10593" i="2"/>
  <c r="A10592" i="2"/>
  <c r="A10591" i="2"/>
  <c r="A10590" i="2"/>
  <c r="A10589" i="2"/>
  <c r="A10588" i="2"/>
  <c r="A10587" i="2"/>
  <c r="A10586" i="2"/>
  <c r="A10585" i="2"/>
  <c r="A10584" i="2"/>
  <c r="A10583" i="2"/>
  <c r="A10582" i="2"/>
  <c r="A10581" i="2"/>
  <c r="A10580" i="2"/>
  <c r="A10579" i="2"/>
  <c r="A10578" i="2"/>
  <c r="A10577" i="2"/>
  <c r="A10576" i="2"/>
  <c r="A10575" i="2"/>
  <c r="A10574" i="2"/>
  <c r="A10573" i="2"/>
  <c r="A10572" i="2"/>
  <c r="A10571" i="2"/>
  <c r="A10570" i="2"/>
  <c r="A10569" i="2"/>
  <c r="A10568" i="2"/>
  <c r="A10567" i="2"/>
  <c r="A10566" i="2"/>
  <c r="A10565" i="2"/>
  <c r="A10564" i="2"/>
  <c r="A10563" i="2"/>
  <c r="A10562" i="2"/>
  <c r="A10561" i="2"/>
  <c r="A10560" i="2"/>
  <c r="A10559" i="2"/>
  <c r="A10558" i="2"/>
  <c r="A10557" i="2"/>
  <c r="A10556" i="2"/>
  <c r="A10555" i="2"/>
  <c r="A10554" i="2"/>
  <c r="A10553" i="2"/>
  <c r="A10552" i="2"/>
  <c r="A10551" i="2"/>
  <c r="A10550" i="2"/>
  <c r="A10549" i="2"/>
  <c r="A10548" i="2"/>
  <c r="A10547" i="2"/>
  <c r="A10546" i="2"/>
  <c r="A10545" i="2"/>
  <c r="A10544" i="2"/>
  <c r="A10543" i="2"/>
  <c r="A10542" i="2"/>
  <c r="A10541" i="2"/>
  <c r="A10540" i="2"/>
  <c r="A10539" i="2"/>
  <c r="A10538" i="2"/>
  <c r="A10537" i="2"/>
  <c r="A10536" i="2"/>
  <c r="A10535" i="2"/>
  <c r="A10534" i="2"/>
  <c r="A10533" i="2"/>
  <c r="A10532" i="2"/>
  <c r="A10531" i="2"/>
  <c r="A10530" i="2"/>
  <c r="A10529" i="2"/>
  <c r="A10528" i="2"/>
  <c r="A10527" i="2"/>
  <c r="A10526" i="2"/>
  <c r="A10525" i="2"/>
  <c r="A10524" i="2"/>
  <c r="A10523" i="2"/>
  <c r="A10522" i="2"/>
  <c r="A10521" i="2"/>
  <c r="A10520" i="2"/>
  <c r="A10519" i="2"/>
  <c r="A10518" i="2"/>
  <c r="A10517" i="2"/>
  <c r="A10516" i="2"/>
  <c r="A10515" i="2"/>
  <c r="A10514" i="2"/>
  <c r="A10513" i="2"/>
  <c r="A10512" i="2"/>
  <c r="A10511" i="2"/>
  <c r="A10510" i="2"/>
  <c r="A10509" i="2"/>
  <c r="A10508" i="2"/>
  <c r="A10507" i="2"/>
  <c r="A10506" i="2"/>
  <c r="A10505" i="2"/>
  <c r="A10504" i="2"/>
  <c r="A10503" i="2"/>
  <c r="A10502" i="2"/>
  <c r="A10501" i="2"/>
  <c r="A10500" i="2"/>
  <c r="A10499" i="2"/>
  <c r="A10498" i="2"/>
  <c r="A10497" i="2"/>
  <c r="A10496" i="2"/>
  <c r="A10495" i="2"/>
  <c r="A10494" i="2"/>
  <c r="A10493" i="2"/>
  <c r="A10492" i="2"/>
  <c r="A10491" i="2"/>
  <c r="A10490" i="2"/>
  <c r="A10489" i="2"/>
  <c r="A10488" i="2"/>
  <c r="A10487" i="2"/>
  <c r="A10486" i="2"/>
  <c r="A10485" i="2"/>
  <c r="A10484" i="2"/>
  <c r="A10483" i="2"/>
  <c r="A10482" i="2"/>
  <c r="A10481" i="2"/>
  <c r="A10480" i="2"/>
  <c r="A10479" i="2"/>
  <c r="A10478" i="2"/>
  <c r="A10477" i="2"/>
  <c r="A10476" i="2"/>
  <c r="A10475" i="2"/>
  <c r="A10474" i="2"/>
  <c r="A10473" i="2"/>
  <c r="A10472" i="2"/>
  <c r="A10471" i="2"/>
  <c r="A10470" i="2"/>
  <c r="A10469" i="2"/>
  <c r="A10468" i="2"/>
  <c r="A10467" i="2"/>
  <c r="A10466" i="2"/>
  <c r="A10465" i="2"/>
  <c r="A10464" i="2"/>
  <c r="A10463" i="2"/>
  <c r="A10462" i="2"/>
  <c r="A10461" i="2"/>
  <c r="A10460" i="2"/>
  <c r="A10459" i="2"/>
  <c r="A10458" i="2"/>
  <c r="A10457" i="2"/>
  <c r="A10456" i="2"/>
  <c r="A10455" i="2"/>
  <c r="A10454" i="2"/>
  <c r="A10453" i="2"/>
  <c r="A10452" i="2"/>
  <c r="A10451" i="2"/>
  <c r="A10450" i="2"/>
  <c r="A10449" i="2"/>
  <c r="A10448" i="2"/>
  <c r="A10447" i="2"/>
  <c r="A10446" i="2"/>
  <c r="A10445" i="2"/>
  <c r="A10444" i="2"/>
  <c r="A10443" i="2"/>
  <c r="A10442" i="2"/>
  <c r="A10441" i="2"/>
  <c r="A10440" i="2"/>
  <c r="A10439" i="2"/>
  <c r="A10438" i="2"/>
  <c r="A10437" i="2"/>
  <c r="A10436" i="2"/>
  <c r="A10435" i="2"/>
  <c r="A10434" i="2"/>
  <c r="A10433" i="2"/>
  <c r="A10432" i="2"/>
  <c r="A10431" i="2"/>
  <c r="A10430" i="2"/>
  <c r="A10429" i="2"/>
  <c r="A10428" i="2"/>
  <c r="A10427" i="2"/>
  <c r="A10426" i="2"/>
  <c r="A10425" i="2"/>
  <c r="A10424" i="2"/>
  <c r="A10423" i="2"/>
  <c r="A10422" i="2"/>
  <c r="A10421" i="2"/>
  <c r="A10420" i="2"/>
  <c r="A10419" i="2"/>
  <c r="A10418" i="2"/>
  <c r="A10417" i="2"/>
  <c r="A10416" i="2"/>
  <c r="A10415" i="2"/>
  <c r="A10414" i="2"/>
  <c r="A10413" i="2"/>
  <c r="A10412" i="2"/>
  <c r="A10411" i="2"/>
  <c r="A10410" i="2"/>
  <c r="A10409" i="2"/>
  <c r="A10408" i="2"/>
  <c r="A10407" i="2"/>
  <c r="A10406" i="2"/>
  <c r="A10405" i="2"/>
  <c r="A10404" i="2"/>
  <c r="A10403" i="2"/>
  <c r="A10402" i="2"/>
  <c r="A10401" i="2"/>
  <c r="A10400" i="2"/>
  <c r="A10399" i="2"/>
  <c r="A10398" i="2"/>
  <c r="A10397" i="2"/>
  <c r="A10396" i="2"/>
  <c r="A10395" i="2"/>
  <c r="A10394" i="2"/>
  <c r="A10393" i="2"/>
  <c r="A10392" i="2"/>
  <c r="A10391" i="2"/>
  <c r="A10390" i="2"/>
  <c r="A10389" i="2"/>
  <c r="A10388" i="2"/>
  <c r="A10387" i="2"/>
  <c r="A10386" i="2"/>
  <c r="A10385" i="2"/>
  <c r="A10384" i="2"/>
  <c r="A10383" i="2"/>
  <c r="A10382" i="2"/>
  <c r="A10381" i="2"/>
  <c r="A10380" i="2"/>
  <c r="A10379" i="2"/>
  <c r="A10378" i="2"/>
  <c r="A10377" i="2"/>
  <c r="A10376" i="2"/>
  <c r="A10375" i="2"/>
  <c r="A10374" i="2"/>
  <c r="A10373" i="2"/>
  <c r="A10372" i="2"/>
  <c r="A10371" i="2"/>
  <c r="A10370" i="2"/>
  <c r="A10369" i="2"/>
  <c r="A10368" i="2"/>
  <c r="A10367" i="2"/>
  <c r="A10366" i="2"/>
  <c r="A10365" i="2"/>
  <c r="A10364" i="2"/>
  <c r="A10363" i="2"/>
  <c r="A10362" i="2"/>
  <c r="A10361" i="2"/>
  <c r="A10360" i="2"/>
  <c r="A10359" i="2"/>
  <c r="A10358" i="2"/>
  <c r="A10357" i="2"/>
  <c r="A10356" i="2"/>
  <c r="A10355" i="2"/>
  <c r="A10354" i="2"/>
  <c r="A10353" i="2"/>
  <c r="A10352" i="2"/>
  <c r="A10351" i="2"/>
  <c r="A10350" i="2"/>
  <c r="A10349" i="2"/>
  <c r="A10348" i="2"/>
  <c r="A10347" i="2"/>
  <c r="A10346" i="2"/>
  <c r="A10345" i="2"/>
  <c r="A10344" i="2"/>
  <c r="A10343" i="2"/>
  <c r="A10342" i="2"/>
  <c r="A10341" i="2"/>
  <c r="A10340" i="2"/>
  <c r="A10339" i="2"/>
  <c r="A10338" i="2"/>
  <c r="A10337" i="2"/>
  <c r="A10336" i="2"/>
  <c r="A10335" i="2"/>
  <c r="A10334" i="2"/>
  <c r="A10333" i="2"/>
  <c r="A10332" i="2"/>
  <c r="A10331" i="2"/>
  <c r="A10330" i="2"/>
  <c r="A10329" i="2"/>
  <c r="A10328" i="2"/>
  <c r="A10327" i="2"/>
  <c r="A10326" i="2"/>
  <c r="A10325" i="2"/>
  <c r="A10324" i="2"/>
  <c r="A10323" i="2"/>
  <c r="A10322" i="2"/>
  <c r="A10321" i="2"/>
  <c r="A10320" i="2"/>
  <c r="A10319" i="2"/>
  <c r="A10318" i="2"/>
  <c r="A10317" i="2"/>
  <c r="A10316" i="2"/>
  <c r="A10315" i="2"/>
  <c r="A10314" i="2"/>
  <c r="A10313" i="2"/>
  <c r="A10312" i="2"/>
  <c r="A10311" i="2"/>
  <c r="A10310" i="2"/>
  <c r="A10309" i="2"/>
  <c r="A10308" i="2"/>
  <c r="A10307" i="2"/>
  <c r="A10306" i="2"/>
  <c r="A10305" i="2"/>
  <c r="A10304" i="2"/>
  <c r="A10303" i="2"/>
  <c r="A10302" i="2"/>
  <c r="A10301" i="2"/>
  <c r="A10300" i="2"/>
  <c r="A10299" i="2"/>
  <c r="A10298" i="2"/>
  <c r="A10297" i="2"/>
  <c r="A10296" i="2"/>
  <c r="A10295" i="2"/>
  <c r="A10294" i="2"/>
  <c r="A10293" i="2"/>
  <c r="A10292" i="2"/>
  <c r="A10291" i="2"/>
  <c r="A10290" i="2"/>
  <c r="A10289" i="2"/>
  <c r="A10288" i="2"/>
  <c r="A10287" i="2"/>
  <c r="A10286" i="2"/>
  <c r="A10285" i="2"/>
  <c r="A10284" i="2"/>
  <c r="A10283" i="2"/>
  <c r="A10282" i="2"/>
  <c r="A10281" i="2"/>
  <c r="A10280" i="2"/>
  <c r="A10279" i="2"/>
  <c r="A10278" i="2"/>
  <c r="A10277" i="2"/>
  <c r="A10276" i="2"/>
  <c r="A10275" i="2"/>
  <c r="A10274" i="2"/>
  <c r="A10273" i="2"/>
  <c r="A10272" i="2"/>
  <c r="A10271" i="2"/>
  <c r="A10270" i="2"/>
  <c r="A10269" i="2"/>
  <c r="A10268" i="2"/>
  <c r="A10267" i="2"/>
  <c r="A10266" i="2"/>
  <c r="A10265" i="2"/>
  <c r="A10264" i="2"/>
  <c r="A10263" i="2"/>
  <c r="A10262" i="2"/>
  <c r="A10261" i="2"/>
  <c r="A10260" i="2"/>
  <c r="A10259" i="2"/>
  <c r="A10258" i="2"/>
  <c r="A10257" i="2"/>
  <c r="A10256" i="2"/>
  <c r="A10255" i="2"/>
  <c r="A10254" i="2"/>
  <c r="A10253" i="2"/>
  <c r="A10252" i="2"/>
  <c r="A10251" i="2"/>
  <c r="A10250" i="2"/>
  <c r="A10249" i="2"/>
  <c r="A10248" i="2"/>
  <c r="A10247" i="2"/>
  <c r="A10246" i="2"/>
  <c r="A10245" i="2"/>
  <c r="A10244" i="2"/>
  <c r="A10243" i="2"/>
  <c r="A10242" i="2"/>
  <c r="A10241" i="2"/>
  <c r="A10240" i="2"/>
  <c r="A10239" i="2"/>
  <c r="A10238" i="2"/>
  <c r="A10237" i="2"/>
  <c r="A10236" i="2"/>
  <c r="A10235" i="2"/>
  <c r="A10234" i="2"/>
  <c r="A10233" i="2"/>
  <c r="A10232" i="2"/>
  <c r="A10231" i="2"/>
  <c r="A10230" i="2"/>
  <c r="A10229" i="2"/>
  <c r="A10228" i="2"/>
  <c r="A10227" i="2"/>
  <c r="A10226" i="2"/>
  <c r="A10225" i="2"/>
  <c r="A10224" i="2"/>
  <c r="A10223" i="2"/>
  <c r="A10222" i="2"/>
  <c r="A10221" i="2"/>
  <c r="A10220" i="2"/>
  <c r="A10219" i="2"/>
  <c r="A10218" i="2"/>
  <c r="A10217" i="2"/>
  <c r="A10216" i="2"/>
  <c r="A10215" i="2"/>
  <c r="A10214" i="2"/>
  <c r="A10213" i="2"/>
  <c r="A10212" i="2"/>
  <c r="A10211" i="2"/>
  <c r="A10210" i="2"/>
  <c r="A10209" i="2"/>
  <c r="A10208" i="2"/>
  <c r="A10207" i="2"/>
  <c r="A10206" i="2"/>
  <c r="A10205" i="2"/>
  <c r="A10204" i="2"/>
  <c r="A10203" i="2"/>
  <c r="A10202" i="2"/>
  <c r="A10201" i="2"/>
  <c r="A10200" i="2"/>
  <c r="A10199" i="2"/>
  <c r="A10198" i="2"/>
  <c r="A10197" i="2"/>
  <c r="A10196" i="2"/>
  <c r="A10195" i="2"/>
  <c r="A10194" i="2"/>
  <c r="A10193" i="2"/>
  <c r="A10192" i="2"/>
  <c r="A10191" i="2"/>
  <c r="A10190" i="2"/>
  <c r="A10189" i="2"/>
  <c r="A10188" i="2"/>
  <c r="A10187" i="2"/>
  <c r="A10186" i="2"/>
  <c r="A10185" i="2"/>
  <c r="A10184" i="2"/>
  <c r="A10183" i="2"/>
  <c r="A10182" i="2"/>
  <c r="A10181" i="2"/>
  <c r="A10180" i="2"/>
  <c r="A10179" i="2"/>
  <c r="A10178" i="2"/>
  <c r="A10177" i="2"/>
  <c r="A10176" i="2"/>
  <c r="A10175" i="2"/>
  <c r="A10174" i="2"/>
  <c r="A10173" i="2"/>
  <c r="A10172" i="2"/>
  <c r="A10171" i="2"/>
  <c r="A10170" i="2"/>
  <c r="A10169" i="2"/>
  <c r="A10168" i="2"/>
  <c r="A10167" i="2"/>
  <c r="A10166" i="2"/>
  <c r="A10165" i="2"/>
  <c r="A10164" i="2"/>
  <c r="A10163" i="2"/>
  <c r="A10162" i="2"/>
  <c r="A10161" i="2"/>
  <c r="A10160" i="2"/>
  <c r="A10159" i="2"/>
  <c r="A10158" i="2"/>
  <c r="A10157" i="2"/>
  <c r="A10156" i="2"/>
  <c r="A10155" i="2"/>
  <c r="A10154" i="2"/>
  <c r="A10153" i="2"/>
  <c r="A10152" i="2"/>
  <c r="A10151" i="2"/>
  <c r="A10150" i="2"/>
  <c r="A10149" i="2"/>
  <c r="A10148" i="2"/>
  <c r="A10147" i="2"/>
  <c r="A10146" i="2"/>
  <c r="A10145" i="2"/>
  <c r="A10144" i="2"/>
  <c r="A10143" i="2"/>
  <c r="A10142" i="2"/>
  <c r="A10141" i="2"/>
  <c r="A10140" i="2"/>
  <c r="A10139" i="2"/>
  <c r="A10138" i="2"/>
  <c r="A10137" i="2"/>
  <c r="A10136" i="2"/>
  <c r="A10135" i="2"/>
  <c r="A10134" i="2"/>
  <c r="A10133" i="2"/>
  <c r="A10132" i="2"/>
  <c r="A10131" i="2"/>
  <c r="A10130" i="2"/>
  <c r="A10129" i="2"/>
  <c r="A10128" i="2"/>
  <c r="A10127" i="2"/>
  <c r="A10126" i="2"/>
  <c r="A10125" i="2"/>
  <c r="A10124" i="2"/>
  <c r="A10123" i="2"/>
  <c r="A10122" i="2"/>
  <c r="A10121" i="2"/>
  <c r="A10120" i="2"/>
  <c r="A10119" i="2"/>
  <c r="A10118" i="2"/>
  <c r="A10117" i="2"/>
  <c r="A10116" i="2"/>
  <c r="A10115" i="2"/>
  <c r="A10114" i="2"/>
  <c r="A10113" i="2"/>
  <c r="A10112" i="2"/>
  <c r="A10111" i="2"/>
  <c r="A10110" i="2"/>
  <c r="A10109" i="2"/>
  <c r="A10108" i="2"/>
  <c r="A10107" i="2"/>
  <c r="A10106" i="2"/>
  <c r="A10105" i="2"/>
  <c r="A10104" i="2"/>
  <c r="A10103" i="2"/>
  <c r="A10102" i="2"/>
  <c r="A10101" i="2"/>
  <c r="A10100" i="2"/>
  <c r="A10099" i="2"/>
  <c r="A10098" i="2"/>
  <c r="A10097" i="2"/>
  <c r="A10096" i="2"/>
  <c r="A10095" i="2"/>
  <c r="A10094" i="2"/>
  <c r="A10093" i="2"/>
  <c r="A10092" i="2"/>
  <c r="A10091" i="2"/>
  <c r="A10090" i="2"/>
  <c r="A10089" i="2"/>
  <c r="A10088" i="2"/>
  <c r="A10087" i="2"/>
  <c r="A10086" i="2"/>
  <c r="A10085" i="2"/>
  <c r="A10084" i="2"/>
  <c r="A10083" i="2"/>
  <c r="A10082" i="2"/>
  <c r="A10081" i="2"/>
  <c r="A10080" i="2"/>
  <c r="A10079" i="2"/>
  <c r="A10078" i="2"/>
  <c r="A10077" i="2"/>
  <c r="A10076" i="2"/>
  <c r="A10075" i="2"/>
  <c r="A10074" i="2"/>
  <c r="A10073" i="2"/>
  <c r="A10072" i="2"/>
  <c r="A10071" i="2"/>
  <c r="A10070" i="2"/>
  <c r="A10069" i="2"/>
  <c r="A10068" i="2"/>
  <c r="A10067" i="2"/>
  <c r="A10066" i="2"/>
  <c r="A10065" i="2"/>
  <c r="A10064" i="2"/>
  <c r="A10063" i="2"/>
  <c r="A10062" i="2"/>
  <c r="A10061" i="2"/>
  <c r="A10060" i="2"/>
  <c r="A10059" i="2"/>
  <c r="A10058" i="2"/>
  <c r="A10057" i="2"/>
  <c r="A10056" i="2"/>
  <c r="A10055" i="2"/>
  <c r="A10054" i="2"/>
  <c r="A10053" i="2"/>
  <c r="A10052" i="2"/>
  <c r="A10051" i="2"/>
  <c r="A10050" i="2"/>
  <c r="A10049" i="2"/>
  <c r="A10048" i="2"/>
  <c r="A10047" i="2"/>
  <c r="A10046" i="2"/>
  <c r="A10045" i="2"/>
  <c r="A10044" i="2"/>
  <c r="A10043" i="2"/>
  <c r="A10042" i="2"/>
  <c r="A10041" i="2"/>
  <c r="A10040" i="2"/>
  <c r="A10039" i="2"/>
  <c r="A10038" i="2"/>
  <c r="A10037" i="2"/>
  <c r="A10036" i="2"/>
  <c r="A10035" i="2"/>
  <c r="A10034" i="2"/>
  <c r="A10033" i="2"/>
  <c r="A10032" i="2"/>
  <c r="A10031" i="2"/>
  <c r="A10030" i="2"/>
  <c r="A10029" i="2"/>
  <c r="A10028" i="2"/>
  <c r="A10027" i="2"/>
  <c r="A10026" i="2"/>
  <c r="A10025" i="2"/>
  <c r="A10024" i="2"/>
  <c r="A10023" i="2"/>
  <c r="A10022" i="2"/>
  <c r="A10021" i="2"/>
  <c r="A10020" i="2"/>
  <c r="A10019" i="2"/>
  <c r="A10018" i="2"/>
  <c r="A10017" i="2"/>
  <c r="A10016" i="2"/>
  <c r="A10015" i="2"/>
  <c r="A10014" i="2"/>
  <c r="A10013" i="2"/>
  <c r="A10012" i="2"/>
  <c r="A10011" i="2"/>
  <c r="A10010" i="2"/>
  <c r="A10009" i="2"/>
  <c r="A10008" i="2"/>
  <c r="A10007" i="2"/>
  <c r="A10006" i="2"/>
  <c r="A10005" i="2"/>
  <c r="A10004" i="2"/>
  <c r="A10003" i="2"/>
  <c r="A10002" i="2"/>
  <c r="A10001" i="2"/>
  <c r="A10000" i="2"/>
  <c r="A9999" i="2"/>
  <c r="A9998" i="2"/>
  <c r="A9997" i="2"/>
  <c r="A9996" i="2"/>
  <c r="A9995" i="2"/>
  <c r="A9994" i="2"/>
  <c r="A9993" i="2"/>
  <c r="A9992" i="2"/>
  <c r="A9991" i="2"/>
  <c r="A9990" i="2"/>
  <c r="A9989" i="2"/>
  <c r="A9988" i="2"/>
  <c r="A9987" i="2"/>
  <c r="A9986" i="2"/>
  <c r="A9985" i="2"/>
  <c r="A9984" i="2"/>
  <c r="A9983" i="2"/>
  <c r="A9982" i="2"/>
  <c r="A9981" i="2"/>
  <c r="A9980" i="2"/>
  <c r="A9979" i="2"/>
  <c r="A9978" i="2"/>
  <c r="A9977" i="2"/>
  <c r="A9976" i="2"/>
  <c r="A9975" i="2"/>
  <c r="A9974" i="2"/>
  <c r="A9973" i="2"/>
  <c r="A9972" i="2"/>
  <c r="A9971" i="2"/>
  <c r="A9970" i="2"/>
  <c r="A9969" i="2"/>
  <c r="A9968" i="2"/>
  <c r="A9967" i="2"/>
  <c r="A9966" i="2"/>
  <c r="A9965" i="2"/>
  <c r="A9964" i="2"/>
  <c r="A9963" i="2"/>
  <c r="A9962" i="2"/>
  <c r="A9961" i="2"/>
  <c r="A9960" i="2"/>
  <c r="A9959" i="2"/>
  <c r="A9958" i="2"/>
  <c r="A9957" i="2"/>
  <c r="A9956" i="2"/>
  <c r="A9955" i="2"/>
  <c r="A9954" i="2"/>
  <c r="A9953" i="2"/>
  <c r="A9952" i="2"/>
  <c r="A9951" i="2"/>
  <c r="A9950" i="2"/>
  <c r="A9949" i="2"/>
  <c r="A9948" i="2"/>
  <c r="A9947" i="2"/>
  <c r="A9946" i="2"/>
  <c r="A9945" i="2"/>
  <c r="A9944" i="2"/>
  <c r="A9943" i="2"/>
  <c r="A9942" i="2"/>
  <c r="A9941" i="2"/>
  <c r="A9940" i="2"/>
  <c r="A9939" i="2"/>
  <c r="A9938" i="2"/>
  <c r="A9937" i="2"/>
  <c r="A9936" i="2"/>
  <c r="A9935" i="2"/>
  <c r="A9934" i="2"/>
  <c r="A9933" i="2"/>
  <c r="A9932" i="2"/>
  <c r="A9931" i="2"/>
  <c r="A9930" i="2"/>
  <c r="A9929" i="2"/>
  <c r="A9928" i="2"/>
  <c r="A9927" i="2"/>
  <c r="A9926" i="2"/>
  <c r="A9925" i="2"/>
  <c r="A9924" i="2"/>
  <c r="A9923" i="2"/>
  <c r="A9922" i="2"/>
  <c r="A9921" i="2"/>
  <c r="A9920" i="2"/>
  <c r="A9919" i="2"/>
  <c r="A9918" i="2"/>
  <c r="A9917" i="2"/>
  <c r="A9916" i="2"/>
  <c r="A9915" i="2"/>
  <c r="A9914" i="2"/>
  <c r="A9913" i="2"/>
  <c r="A9912" i="2"/>
  <c r="A9911" i="2"/>
  <c r="A9910" i="2"/>
  <c r="A9909" i="2"/>
  <c r="A9908" i="2"/>
  <c r="A9907" i="2"/>
  <c r="A9906" i="2"/>
  <c r="A9905" i="2"/>
  <c r="A9904" i="2"/>
  <c r="A9903" i="2"/>
  <c r="A9902" i="2"/>
  <c r="A9901" i="2"/>
  <c r="A9900" i="2"/>
  <c r="A9899" i="2"/>
  <c r="A9898" i="2"/>
  <c r="A9897" i="2"/>
  <c r="A9896" i="2"/>
  <c r="A9895" i="2"/>
  <c r="A9894" i="2"/>
  <c r="A9893" i="2"/>
  <c r="A9892" i="2"/>
  <c r="A9891" i="2"/>
  <c r="A9890" i="2"/>
  <c r="A9889" i="2"/>
  <c r="A9888" i="2"/>
  <c r="A9887" i="2"/>
  <c r="A9886" i="2"/>
  <c r="A9885" i="2"/>
  <c r="A9884" i="2"/>
  <c r="A9883" i="2"/>
  <c r="A9882" i="2"/>
  <c r="A9881" i="2"/>
  <c r="A9880" i="2"/>
  <c r="A9879" i="2"/>
  <c r="A9878" i="2"/>
  <c r="A9877" i="2"/>
  <c r="A9876" i="2"/>
  <c r="A9875" i="2"/>
  <c r="A9874" i="2"/>
  <c r="A9873" i="2"/>
  <c r="A9872" i="2"/>
  <c r="A9871" i="2"/>
  <c r="A9870" i="2"/>
  <c r="A9869" i="2"/>
  <c r="A9868" i="2"/>
  <c r="A9867" i="2"/>
  <c r="A9866" i="2"/>
  <c r="A9865" i="2"/>
  <c r="A9864" i="2"/>
  <c r="A9863" i="2"/>
  <c r="A9862" i="2"/>
  <c r="A9861" i="2"/>
  <c r="A9860" i="2"/>
  <c r="A9859" i="2"/>
  <c r="A9858" i="2"/>
  <c r="A9857" i="2"/>
  <c r="A9856" i="2"/>
  <c r="A9855" i="2"/>
  <c r="A9854" i="2"/>
  <c r="A9853" i="2"/>
  <c r="A9852" i="2"/>
  <c r="A9851" i="2"/>
  <c r="A9850" i="2"/>
  <c r="A9849" i="2"/>
  <c r="A9848" i="2"/>
  <c r="A9847" i="2"/>
  <c r="A9846" i="2"/>
  <c r="A9845" i="2"/>
  <c r="A9844" i="2"/>
  <c r="A9843" i="2"/>
  <c r="A9842" i="2"/>
  <c r="A9841" i="2"/>
  <c r="A9840" i="2"/>
  <c r="A9839" i="2"/>
  <c r="A9838" i="2"/>
  <c r="A9837" i="2"/>
  <c r="A9836" i="2"/>
  <c r="A9835" i="2"/>
  <c r="A9834" i="2"/>
  <c r="A9833" i="2"/>
  <c r="A9832" i="2"/>
  <c r="A9831" i="2"/>
  <c r="A9830" i="2"/>
  <c r="A9829" i="2"/>
  <c r="A9828" i="2"/>
  <c r="A9827" i="2"/>
  <c r="A9826" i="2"/>
  <c r="A9825" i="2"/>
  <c r="A9824" i="2"/>
  <c r="A9823" i="2"/>
  <c r="A9822" i="2"/>
  <c r="A9821" i="2"/>
  <c r="A9820" i="2"/>
  <c r="A9819" i="2"/>
  <c r="A9818" i="2"/>
  <c r="A9817" i="2"/>
  <c r="A9816" i="2"/>
  <c r="A9815" i="2"/>
  <c r="A9814" i="2"/>
  <c r="A9813" i="2"/>
  <c r="A9812" i="2"/>
  <c r="A9811" i="2"/>
  <c r="A9810" i="2"/>
  <c r="A9809" i="2"/>
  <c r="A9808" i="2"/>
  <c r="A9807" i="2"/>
  <c r="A9806" i="2"/>
  <c r="A9805" i="2"/>
  <c r="A9804" i="2"/>
  <c r="A9803" i="2"/>
  <c r="A9802" i="2"/>
  <c r="A9801" i="2"/>
  <c r="A9800" i="2"/>
  <c r="A9799" i="2"/>
  <c r="A9798" i="2"/>
  <c r="A9797" i="2"/>
  <c r="A9796" i="2"/>
  <c r="A9795" i="2"/>
  <c r="A9794" i="2"/>
  <c r="A9793" i="2"/>
  <c r="A9792" i="2"/>
  <c r="A9791" i="2"/>
  <c r="A9790" i="2"/>
  <c r="A9789" i="2"/>
  <c r="A9788" i="2"/>
  <c r="A9787" i="2"/>
  <c r="A9786" i="2"/>
  <c r="A9785" i="2"/>
  <c r="A9784" i="2"/>
  <c r="A9783" i="2"/>
  <c r="A9782" i="2"/>
  <c r="A9781" i="2"/>
  <c r="A9780" i="2"/>
  <c r="A9779" i="2"/>
  <c r="A9778" i="2"/>
  <c r="A9777" i="2"/>
  <c r="A9776" i="2"/>
  <c r="A9775" i="2"/>
  <c r="A9774" i="2"/>
  <c r="A9773" i="2"/>
  <c r="A9772" i="2"/>
  <c r="A9771" i="2"/>
  <c r="A9770" i="2"/>
  <c r="A9769" i="2"/>
  <c r="A9768" i="2"/>
  <c r="A9767" i="2"/>
  <c r="A9766" i="2"/>
  <c r="A9765" i="2"/>
  <c r="A9764" i="2"/>
  <c r="A9763" i="2"/>
  <c r="A9762" i="2"/>
  <c r="A9761" i="2"/>
  <c r="A9760" i="2"/>
  <c r="A9759" i="2"/>
  <c r="A9758" i="2"/>
  <c r="A9757" i="2"/>
  <c r="A9756" i="2"/>
  <c r="A9755" i="2"/>
  <c r="A9754" i="2"/>
  <c r="A9753" i="2"/>
  <c r="A9752" i="2"/>
  <c r="A9751" i="2"/>
  <c r="A9750" i="2"/>
  <c r="A9749" i="2"/>
  <c r="A9748" i="2"/>
  <c r="A9747" i="2"/>
  <c r="A9746" i="2"/>
  <c r="A9745" i="2"/>
  <c r="A9744" i="2"/>
  <c r="A9743" i="2"/>
  <c r="A9742" i="2"/>
  <c r="A9741" i="2"/>
  <c r="A9740" i="2"/>
  <c r="A9739" i="2"/>
  <c r="A9738" i="2"/>
  <c r="A9737" i="2"/>
  <c r="A9736" i="2"/>
  <c r="A9735" i="2"/>
  <c r="A9734" i="2"/>
  <c r="A9733" i="2"/>
  <c r="A9732" i="2"/>
  <c r="A9731" i="2"/>
  <c r="A9730" i="2"/>
  <c r="A9729" i="2"/>
  <c r="A9728" i="2"/>
  <c r="A9727" i="2"/>
  <c r="A9726" i="2"/>
  <c r="A9725" i="2"/>
  <c r="A9724" i="2"/>
  <c r="A9723" i="2"/>
  <c r="A9722" i="2"/>
  <c r="A9721" i="2"/>
  <c r="A9720" i="2"/>
  <c r="A9719" i="2"/>
  <c r="A9718" i="2"/>
  <c r="A9717" i="2"/>
  <c r="A9716" i="2"/>
  <c r="A9715" i="2"/>
  <c r="A9714" i="2"/>
  <c r="A9713" i="2"/>
  <c r="A9712" i="2"/>
  <c r="A9711" i="2"/>
  <c r="A9710" i="2"/>
  <c r="A9709" i="2"/>
  <c r="A9708" i="2"/>
  <c r="A9707" i="2"/>
  <c r="A9706" i="2"/>
  <c r="A9705" i="2"/>
  <c r="A9704" i="2"/>
  <c r="A9703" i="2"/>
  <c r="A9702" i="2"/>
  <c r="A9701" i="2"/>
  <c r="A9700" i="2"/>
  <c r="A9699" i="2"/>
  <c r="A9698" i="2"/>
  <c r="A9697" i="2"/>
  <c r="A9696" i="2"/>
  <c r="A9695" i="2"/>
  <c r="A9694" i="2"/>
  <c r="A9693" i="2"/>
  <c r="A9692" i="2"/>
  <c r="A9691" i="2"/>
  <c r="A9690" i="2"/>
  <c r="A9689" i="2"/>
  <c r="A9688" i="2"/>
  <c r="A9687" i="2"/>
  <c r="A9686" i="2"/>
  <c r="A9685" i="2"/>
  <c r="A9684" i="2"/>
  <c r="A9683" i="2"/>
  <c r="A9682" i="2"/>
  <c r="A9681" i="2"/>
  <c r="A9680" i="2"/>
  <c r="A9679" i="2"/>
  <c r="A9678" i="2"/>
  <c r="A9677" i="2"/>
  <c r="A9676" i="2"/>
  <c r="A9675" i="2"/>
  <c r="A9674" i="2"/>
  <c r="A9673" i="2"/>
  <c r="A9672" i="2"/>
  <c r="A9671" i="2"/>
  <c r="A9670" i="2"/>
  <c r="A9669" i="2"/>
  <c r="A9668" i="2"/>
  <c r="A9667" i="2"/>
  <c r="A9666" i="2"/>
  <c r="A9665" i="2"/>
  <c r="A9664" i="2"/>
  <c r="A9663" i="2"/>
  <c r="A9662" i="2"/>
  <c r="A9661" i="2"/>
  <c r="A9660" i="2"/>
  <c r="A9659" i="2"/>
  <c r="A9658" i="2"/>
  <c r="A9657" i="2"/>
  <c r="A9656" i="2"/>
  <c r="A9655" i="2"/>
  <c r="A9654" i="2"/>
  <c r="A9653" i="2"/>
  <c r="A9652" i="2"/>
  <c r="A9651" i="2"/>
  <c r="A9650" i="2"/>
  <c r="A9649" i="2"/>
  <c r="A9648" i="2"/>
  <c r="A9647" i="2"/>
  <c r="A9646" i="2"/>
  <c r="A9645" i="2"/>
  <c r="A9644" i="2"/>
  <c r="A9643" i="2"/>
  <c r="A9642" i="2"/>
  <c r="A9641" i="2"/>
  <c r="A9640" i="2"/>
  <c r="A9639" i="2"/>
  <c r="A9638" i="2"/>
  <c r="A9637" i="2"/>
  <c r="A9636" i="2"/>
  <c r="A9635" i="2"/>
  <c r="A9634" i="2"/>
  <c r="A9633" i="2"/>
  <c r="A9632" i="2"/>
  <c r="A9631" i="2"/>
  <c r="A9630" i="2"/>
  <c r="A9629" i="2"/>
  <c r="A9628" i="2"/>
  <c r="A9627" i="2"/>
  <c r="A9626" i="2"/>
  <c r="A9625" i="2"/>
  <c r="A9624" i="2"/>
  <c r="A9623" i="2"/>
  <c r="A9622" i="2"/>
  <c r="A9621" i="2"/>
  <c r="A9620" i="2"/>
  <c r="A9619" i="2"/>
  <c r="A9618" i="2"/>
  <c r="A9617" i="2"/>
  <c r="A9616" i="2"/>
  <c r="A9615" i="2"/>
  <c r="A9614" i="2"/>
  <c r="A9613" i="2"/>
  <c r="A9612" i="2"/>
  <c r="A9611" i="2"/>
  <c r="A9610" i="2"/>
  <c r="A9609" i="2"/>
  <c r="A9608" i="2"/>
  <c r="A9607" i="2"/>
  <c r="A9606" i="2"/>
  <c r="A9605" i="2"/>
  <c r="A9604" i="2"/>
  <c r="A9603" i="2"/>
  <c r="A9602" i="2"/>
  <c r="A9601" i="2"/>
  <c r="A9600" i="2"/>
  <c r="A9599" i="2"/>
  <c r="A9598" i="2"/>
  <c r="A9597" i="2"/>
  <c r="A9596" i="2"/>
  <c r="A9595" i="2"/>
  <c r="A9594" i="2"/>
  <c r="A9593" i="2"/>
  <c r="A9592" i="2"/>
  <c r="A9591" i="2"/>
  <c r="A9590" i="2"/>
  <c r="A9589" i="2"/>
  <c r="A9588" i="2"/>
  <c r="A9587" i="2"/>
  <c r="A9586" i="2"/>
  <c r="A9585" i="2"/>
  <c r="A9584" i="2"/>
  <c r="A9583" i="2"/>
  <c r="A9582" i="2"/>
  <c r="A9581" i="2"/>
  <c r="A9580" i="2"/>
  <c r="A9579" i="2"/>
  <c r="A9578" i="2"/>
  <c r="A9577" i="2"/>
  <c r="A9576" i="2"/>
  <c r="A9575" i="2"/>
  <c r="A9574" i="2"/>
  <c r="A9573" i="2"/>
  <c r="A9572" i="2"/>
  <c r="A9571" i="2"/>
  <c r="A9570" i="2"/>
  <c r="A9569" i="2"/>
  <c r="A9568" i="2"/>
  <c r="A9567" i="2"/>
  <c r="A9566" i="2"/>
  <c r="A9565" i="2"/>
  <c r="A9564" i="2"/>
  <c r="A9563" i="2"/>
  <c r="A9562" i="2"/>
  <c r="A9561" i="2"/>
  <c r="A9560" i="2"/>
  <c r="A9559" i="2"/>
  <c r="A9558" i="2"/>
  <c r="A9557" i="2"/>
  <c r="A9556" i="2"/>
  <c r="A9555" i="2"/>
  <c r="A9554" i="2"/>
  <c r="A9553" i="2"/>
  <c r="A9552" i="2"/>
  <c r="A9551" i="2"/>
  <c r="A9550" i="2"/>
  <c r="A9549" i="2"/>
  <c r="A9548" i="2"/>
  <c r="A9547" i="2"/>
  <c r="A9546" i="2"/>
  <c r="A9545" i="2"/>
  <c r="A9544" i="2"/>
  <c r="A9543" i="2"/>
  <c r="A9542" i="2"/>
  <c r="A9541" i="2"/>
  <c r="A9540" i="2"/>
  <c r="A9539" i="2"/>
  <c r="A9538" i="2"/>
  <c r="A9537" i="2"/>
  <c r="A9536" i="2"/>
  <c r="A9535" i="2"/>
  <c r="A9534" i="2"/>
  <c r="A9533" i="2"/>
  <c r="A9532" i="2"/>
  <c r="A9531" i="2"/>
  <c r="A9530" i="2"/>
  <c r="A9529" i="2"/>
  <c r="A9528" i="2"/>
  <c r="A9527" i="2"/>
  <c r="A9526" i="2"/>
  <c r="A9525" i="2"/>
  <c r="A9524" i="2"/>
  <c r="A9523" i="2"/>
  <c r="A9522" i="2"/>
  <c r="A9521" i="2"/>
  <c r="A9520" i="2"/>
  <c r="A9519" i="2"/>
  <c r="A9518" i="2"/>
  <c r="A9517" i="2"/>
  <c r="A9516" i="2"/>
  <c r="A9515" i="2"/>
  <c r="A9514" i="2"/>
  <c r="A9513" i="2"/>
  <c r="A9512" i="2"/>
  <c r="A9511" i="2"/>
  <c r="A9510" i="2"/>
  <c r="A9509" i="2"/>
  <c r="A9508" i="2"/>
  <c r="A9507" i="2"/>
  <c r="A9506" i="2"/>
  <c r="A9505" i="2"/>
  <c r="A9504" i="2"/>
  <c r="A9503" i="2"/>
  <c r="A9502" i="2"/>
  <c r="A9501" i="2"/>
  <c r="A9500" i="2"/>
  <c r="A9499" i="2"/>
  <c r="A9498" i="2"/>
  <c r="A9497" i="2"/>
  <c r="A9496" i="2"/>
  <c r="A9495" i="2"/>
  <c r="A9494" i="2"/>
  <c r="A9493" i="2"/>
  <c r="A9492" i="2"/>
  <c r="A9491" i="2"/>
  <c r="A9490" i="2"/>
  <c r="A9489" i="2"/>
  <c r="A9488" i="2"/>
  <c r="A9487" i="2"/>
  <c r="A9486" i="2"/>
  <c r="A9485" i="2"/>
  <c r="A9484" i="2"/>
  <c r="A9483" i="2"/>
  <c r="A9482" i="2"/>
  <c r="A9481" i="2"/>
  <c r="A9480" i="2"/>
  <c r="A9479" i="2"/>
  <c r="A9478" i="2"/>
  <c r="A9477" i="2"/>
  <c r="A9476" i="2"/>
  <c r="A9475" i="2"/>
  <c r="A9474" i="2"/>
  <c r="A9473" i="2"/>
  <c r="A9472" i="2"/>
  <c r="A9471" i="2"/>
  <c r="A9470" i="2"/>
  <c r="A9469" i="2"/>
  <c r="A9468" i="2"/>
  <c r="A9467" i="2"/>
  <c r="A9466" i="2"/>
  <c r="A9465" i="2"/>
  <c r="A9464" i="2"/>
  <c r="A9463" i="2"/>
  <c r="A9462" i="2"/>
  <c r="A9461" i="2"/>
  <c r="A9460" i="2"/>
  <c r="A9459" i="2"/>
  <c r="A9458" i="2"/>
  <c r="A9457" i="2"/>
  <c r="A9456" i="2"/>
  <c r="A9455" i="2"/>
  <c r="A9454" i="2"/>
  <c r="A9453" i="2"/>
  <c r="A9452" i="2"/>
  <c r="A9451" i="2"/>
  <c r="A9450" i="2"/>
  <c r="A9449" i="2"/>
  <c r="A9448" i="2"/>
  <c r="A9447" i="2"/>
  <c r="A9446" i="2"/>
  <c r="A9445" i="2"/>
  <c r="A9444" i="2"/>
  <c r="A9443" i="2"/>
  <c r="A9442" i="2"/>
  <c r="A9441" i="2"/>
  <c r="A9440" i="2"/>
  <c r="A9439" i="2"/>
  <c r="A9438" i="2"/>
  <c r="A9437" i="2"/>
  <c r="A9436" i="2"/>
  <c r="A9435" i="2"/>
  <c r="A9434" i="2"/>
  <c r="A9433" i="2"/>
  <c r="A9432" i="2"/>
  <c r="A9431" i="2"/>
  <c r="A9430" i="2"/>
  <c r="A9429" i="2"/>
  <c r="A9428" i="2"/>
  <c r="A9427" i="2"/>
  <c r="A9426" i="2"/>
  <c r="A9425" i="2"/>
  <c r="A9424" i="2"/>
  <c r="A9423" i="2"/>
  <c r="A9422" i="2"/>
  <c r="A9421" i="2"/>
  <c r="A9420" i="2"/>
  <c r="A9419" i="2"/>
  <c r="A9418" i="2"/>
  <c r="A9417" i="2"/>
  <c r="A9416" i="2"/>
  <c r="A9415" i="2"/>
  <c r="A9414" i="2"/>
  <c r="A9413" i="2"/>
  <c r="A9412" i="2"/>
  <c r="A9411" i="2"/>
  <c r="A9410" i="2"/>
  <c r="A9409" i="2"/>
  <c r="A9408" i="2"/>
  <c r="A9407" i="2"/>
  <c r="A9406" i="2"/>
  <c r="A9405" i="2"/>
  <c r="A9404" i="2"/>
  <c r="A9403" i="2"/>
  <c r="A9402" i="2"/>
  <c r="A9401" i="2"/>
  <c r="A9400" i="2"/>
  <c r="A9399" i="2"/>
  <c r="A9398" i="2"/>
  <c r="A9397" i="2"/>
  <c r="A9396" i="2"/>
  <c r="A9395" i="2"/>
  <c r="A9394" i="2"/>
  <c r="A9393" i="2"/>
  <c r="A9392" i="2"/>
  <c r="A9391" i="2"/>
  <c r="A9390" i="2"/>
  <c r="A9389" i="2"/>
  <c r="A9388" i="2"/>
  <c r="A9387" i="2"/>
  <c r="A9386" i="2"/>
  <c r="A9385" i="2"/>
  <c r="A9384" i="2"/>
  <c r="A9383" i="2"/>
  <c r="A9382" i="2"/>
  <c r="A9381" i="2"/>
  <c r="A9380" i="2"/>
  <c r="A9379" i="2"/>
  <c r="A9378" i="2"/>
  <c r="A9377" i="2"/>
  <c r="A9376" i="2"/>
  <c r="A9375" i="2"/>
  <c r="A9374" i="2"/>
  <c r="A9373" i="2"/>
  <c r="A9372" i="2"/>
  <c r="A9371" i="2"/>
  <c r="A9370" i="2"/>
  <c r="A9369" i="2"/>
  <c r="A9368" i="2"/>
  <c r="A9367" i="2"/>
  <c r="A9366" i="2"/>
  <c r="A9365" i="2"/>
  <c r="A9364" i="2"/>
  <c r="A9363" i="2"/>
  <c r="A9362" i="2"/>
  <c r="A9361" i="2"/>
  <c r="A9360" i="2"/>
  <c r="A9359" i="2"/>
  <c r="A9358" i="2"/>
  <c r="A9357" i="2"/>
  <c r="A9356" i="2"/>
  <c r="A9355" i="2"/>
  <c r="A9354" i="2"/>
  <c r="A9353" i="2"/>
  <c r="A9352" i="2"/>
  <c r="A9351" i="2"/>
  <c r="A9350" i="2"/>
  <c r="A9349" i="2"/>
  <c r="A9348" i="2"/>
  <c r="A9347" i="2"/>
  <c r="A9346" i="2"/>
  <c r="A9345" i="2"/>
  <c r="A9344" i="2"/>
  <c r="A9343" i="2"/>
  <c r="A9342" i="2"/>
  <c r="A9341" i="2"/>
  <c r="A9340" i="2"/>
  <c r="A9339" i="2"/>
  <c r="A9338" i="2"/>
  <c r="A9337" i="2"/>
  <c r="A9336" i="2"/>
  <c r="A9335" i="2"/>
  <c r="A9334" i="2"/>
  <c r="A9333" i="2"/>
  <c r="A9332" i="2"/>
  <c r="A9331" i="2"/>
  <c r="A9330" i="2"/>
  <c r="A9329" i="2"/>
  <c r="A9328" i="2"/>
  <c r="A9327" i="2"/>
  <c r="A9326" i="2"/>
  <c r="A9325" i="2"/>
  <c r="A9324" i="2"/>
  <c r="A9323" i="2"/>
  <c r="A9322" i="2"/>
  <c r="A9321" i="2"/>
  <c r="A9320" i="2"/>
  <c r="A9319" i="2"/>
  <c r="A9318" i="2"/>
  <c r="A9317" i="2"/>
  <c r="A9316" i="2"/>
  <c r="A9315" i="2"/>
  <c r="A9314" i="2"/>
  <c r="A9313" i="2"/>
  <c r="A9312" i="2"/>
  <c r="A9311" i="2"/>
  <c r="A9310" i="2"/>
  <c r="A9309" i="2"/>
  <c r="A9308" i="2"/>
  <c r="A9307" i="2"/>
  <c r="A9306" i="2"/>
  <c r="A9305" i="2"/>
  <c r="A9304" i="2"/>
  <c r="A9303" i="2"/>
  <c r="A9302" i="2"/>
  <c r="A9301" i="2"/>
  <c r="A9300" i="2"/>
  <c r="A9299" i="2"/>
  <c r="A9298" i="2"/>
  <c r="A9297" i="2"/>
  <c r="A9296" i="2"/>
  <c r="A9295" i="2"/>
  <c r="A9294" i="2"/>
  <c r="A9293" i="2"/>
  <c r="A9292" i="2"/>
  <c r="A9291" i="2"/>
  <c r="A9290" i="2"/>
  <c r="A9289" i="2"/>
  <c r="A9288" i="2"/>
  <c r="A9287" i="2"/>
  <c r="A9286" i="2"/>
  <c r="A9285" i="2"/>
  <c r="A9284" i="2"/>
  <c r="A9283" i="2"/>
  <c r="A9282" i="2"/>
  <c r="A9281" i="2"/>
  <c r="A9280" i="2"/>
  <c r="A9279" i="2"/>
  <c r="A9278" i="2"/>
  <c r="A9277" i="2"/>
  <c r="A9276" i="2"/>
  <c r="A9275" i="2"/>
  <c r="A9274" i="2"/>
  <c r="A9273" i="2"/>
  <c r="A9272" i="2"/>
  <c r="A9271" i="2"/>
  <c r="A9270" i="2"/>
  <c r="A9269" i="2"/>
  <c r="A9268" i="2"/>
  <c r="A9267" i="2"/>
  <c r="A9266" i="2"/>
  <c r="A9265" i="2"/>
  <c r="A9264" i="2"/>
  <c r="A9263" i="2"/>
  <c r="A9262" i="2"/>
  <c r="A9261" i="2"/>
  <c r="A9260" i="2"/>
  <c r="A9259" i="2"/>
  <c r="A9258" i="2"/>
  <c r="A9257" i="2"/>
  <c r="A9256" i="2"/>
  <c r="A9255" i="2"/>
  <c r="A9254" i="2"/>
  <c r="A9253" i="2"/>
  <c r="A9252" i="2"/>
  <c r="A9251" i="2"/>
  <c r="A9250" i="2"/>
  <c r="A9249" i="2"/>
  <c r="A9248" i="2"/>
  <c r="A9247" i="2"/>
  <c r="A9246" i="2"/>
  <c r="A9245" i="2"/>
  <c r="A9244" i="2"/>
  <c r="A9243" i="2"/>
  <c r="A9242" i="2"/>
  <c r="A9241" i="2"/>
  <c r="A9240" i="2"/>
  <c r="A9239" i="2"/>
  <c r="A9238" i="2"/>
  <c r="A9237" i="2"/>
  <c r="A9236" i="2"/>
  <c r="A9235" i="2"/>
  <c r="A9234" i="2"/>
  <c r="A9233" i="2"/>
  <c r="A9232" i="2"/>
  <c r="A9231" i="2"/>
  <c r="A9230" i="2"/>
  <c r="A9229" i="2"/>
  <c r="A9228" i="2"/>
  <c r="A9227" i="2"/>
  <c r="A9226" i="2"/>
  <c r="A9225" i="2"/>
  <c r="A9224" i="2"/>
  <c r="A9223" i="2"/>
  <c r="A9222" i="2"/>
  <c r="A9221" i="2"/>
  <c r="A9220" i="2"/>
  <c r="A9219" i="2"/>
  <c r="A9218" i="2"/>
  <c r="A9217" i="2"/>
  <c r="A9216" i="2"/>
  <c r="A9215" i="2"/>
  <c r="A9214" i="2"/>
  <c r="A9213" i="2"/>
  <c r="A9212" i="2"/>
  <c r="A9211" i="2"/>
  <c r="A9210" i="2"/>
  <c r="A9209" i="2"/>
  <c r="A9208" i="2"/>
  <c r="A9207" i="2"/>
  <c r="A9206" i="2"/>
  <c r="A9205" i="2"/>
  <c r="A9204" i="2"/>
  <c r="A9203" i="2"/>
  <c r="A9202" i="2"/>
  <c r="A9201" i="2"/>
  <c r="A9200" i="2"/>
  <c r="A9199" i="2"/>
  <c r="A9198" i="2"/>
  <c r="A9197" i="2"/>
  <c r="A9196" i="2"/>
  <c r="A9195" i="2"/>
  <c r="A9194" i="2"/>
  <c r="A9193" i="2"/>
  <c r="A9192" i="2"/>
  <c r="A9191" i="2"/>
  <c r="A9190" i="2"/>
  <c r="A9189" i="2"/>
  <c r="A9188" i="2"/>
  <c r="A9187" i="2"/>
  <c r="A9186" i="2"/>
  <c r="A9185" i="2"/>
  <c r="A9184" i="2"/>
  <c r="A9183" i="2"/>
  <c r="A9182" i="2"/>
  <c r="A9181" i="2"/>
  <c r="A9180" i="2"/>
  <c r="A9179" i="2"/>
  <c r="A9178" i="2"/>
  <c r="A9177" i="2"/>
  <c r="A9176" i="2"/>
  <c r="A9175" i="2"/>
  <c r="A9174" i="2"/>
  <c r="A9173" i="2"/>
  <c r="A9172" i="2"/>
  <c r="A9171" i="2"/>
  <c r="A9170" i="2"/>
  <c r="A9169" i="2"/>
  <c r="A9168" i="2"/>
  <c r="A9167" i="2"/>
  <c r="A9166" i="2"/>
  <c r="A9165" i="2"/>
  <c r="A9164" i="2"/>
  <c r="A9163" i="2"/>
  <c r="A9162" i="2"/>
  <c r="A9161" i="2"/>
  <c r="A9160" i="2"/>
  <c r="A9159" i="2"/>
  <c r="A9158" i="2"/>
  <c r="A9157" i="2"/>
  <c r="A9156" i="2"/>
  <c r="A9155" i="2"/>
  <c r="A9154" i="2"/>
  <c r="A9153" i="2"/>
  <c r="A9152" i="2"/>
  <c r="A9151" i="2"/>
  <c r="A9150" i="2"/>
  <c r="A9149" i="2"/>
  <c r="A9148" i="2"/>
  <c r="A9147" i="2"/>
  <c r="A9146" i="2"/>
  <c r="A9145" i="2"/>
  <c r="A9144" i="2"/>
  <c r="A9143" i="2"/>
  <c r="A9142" i="2"/>
  <c r="A9141" i="2"/>
  <c r="A9140" i="2"/>
  <c r="A9139" i="2"/>
  <c r="A9138" i="2"/>
  <c r="A9137" i="2"/>
  <c r="A9136" i="2"/>
  <c r="A9135" i="2"/>
  <c r="A9134" i="2"/>
  <c r="A9133" i="2"/>
  <c r="A9132" i="2"/>
  <c r="A9131" i="2"/>
  <c r="A9130" i="2"/>
  <c r="A9129" i="2"/>
  <c r="A9128" i="2"/>
  <c r="A9127" i="2"/>
  <c r="A9126" i="2"/>
  <c r="A9125" i="2"/>
  <c r="A9124" i="2"/>
  <c r="A9123" i="2"/>
  <c r="A9122" i="2"/>
  <c r="A9121" i="2"/>
  <c r="A9120" i="2"/>
  <c r="A9119" i="2"/>
  <c r="A9118" i="2"/>
  <c r="A9117" i="2"/>
  <c r="A9116" i="2"/>
  <c r="A9115" i="2"/>
  <c r="A9114" i="2"/>
  <c r="A9113" i="2"/>
  <c r="A9112" i="2"/>
  <c r="A9111" i="2"/>
  <c r="A9110" i="2"/>
  <c r="A9109" i="2"/>
  <c r="A9108" i="2"/>
  <c r="A9107" i="2"/>
  <c r="A9106" i="2"/>
  <c r="A9105" i="2"/>
  <c r="A9104" i="2"/>
  <c r="A9103" i="2"/>
  <c r="A9102" i="2"/>
  <c r="A9101" i="2"/>
  <c r="A9100" i="2"/>
  <c r="A9099" i="2"/>
  <c r="A9098" i="2"/>
  <c r="A9097" i="2"/>
  <c r="A9096" i="2"/>
  <c r="A9095" i="2"/>
  <c r="A9094" i="2"/>
  <c r="A9093" i="2"/>
  <c r="A9092" i="2"/>
  <c r="A9091" i="2"/>
  <c r="A9090" i="2"/>
  <c r="A9089" i="2"/>
  <c r="A9088" i="2"/>
  <c r="A9087" i="2"/>
  <c r="A9086" i="2"/>
  <c r="A9085" i="2"/>
  <c r="A9084" i="2"/>
  <c r="A9083" i="2"/>
  <c r="A9082" i="2"/>
  <c r="A9081" i="2"/>
  <c r="A9080" i="2"/>
  <c r="A9079" i="2"/>
  <c r="A9078" i="2"/>
  <c r="A9077" i="2"/>
  <c r="A9076" i="2"/>
  <c r="A9075" i="2"/>
  <c r="A9074" i="2"/>
  <c r="A9073" i="2"/>
  <c r="A9072" i="2"/>
  <c r="A9071" i="2"/>
  <c r="A9070" i="2"/>
  <c r="A9069" i="2"/>
  <c r="A9068" i="2"/>
  <c r="A9067" i="2"/>
  <c r="A9066" i="2"/>
  <c r="A9065" i="2"/>
  <c r="A9064" i="2"/>
  <c r="A9063" i="2"/>
  <c r="A9062" i="2"/>
  <c r="A9061" i="2"/>
  <c r="A9060" i="2"/>
  <c r="A9059" i="2"/>
  <c r="A9058" i="2"/>
  <c r="A9057" i="2"/>
  <c r="A9056" i="2"/>
  <c r="A9055" i="2"/>
  <c r="A9054" i="2"/>
  <c r="A9053" i="2"/>
  <c r="A9052" i="2"/>
  <c r="A9051" i="2"/>
  <c r="A9050" i="2"/>
  <c r="A9049" i="2"/>
  <c r="A9048" i="2"/>
  <c r="A9047" i="2"/>
  <c r="A9046" i="2"/>
  <c r="A9045" i="2"/>
  <c r="A9044" i="2"/>
  <c r="A9043" i="2"/>
  <c r="A9042" i="2"/>
  <c r="A9041" i="2"/>
  <c r="A9040" i="2"/>
  <c r="A9039" i="2"/>
  <c r="A9038" i="2"/>
  <c r="A9037" i="2"/>
  <c r="A9036" i="2"/>
  <c r="A9035" i="2"/>
  <c r="A9034" i="2"/>
  <c r="A9033" i="2"/>
  <c r="A9032" i="2"/>
  <c r="A9031" i="2"/>
  <c r="A9030" i="2"/>
  <c r="A9029" i="2"/>
  <c r="A9028" i="2"/>
  <c r="A9027" i="2"/>
  <c r="A9026" i="2"/>
  <c r="A9025" i="2"/>
  <c r="A9024" i="2"/>
  <c r="A9023" i="2"/>
  <c r="A9022" i="2"/>
  <c r="A9021" i="2"/>
  <c r="A9020" i="2"/>
  <c r="A9019" i="2"/>
  <c r="A9018" i="2"/>
  <c r="A9017" i="2"/>
  <c r="A9016" i="2"/>
  <c r="A9015" i="2"/>
  <c r="A9014" i="2"/>
  <c r="A9013" i="2"/>
  <c r="A9012" i="2"/>
  <c r="A9011" i="2"/>
  <c r="A9010" i="2"/>
  <c r="A9009" i="2"/>
  <c r="A9008" i="2"/>
  <c r="A9007" i="2"/>
  <c r="A9006" i="2"/>
  <c r="A9005" i="2"/>
  <c r="A9004" i="2"/>
  <c r="A9003" i="2"/>
  <c r="A9002" i="2"/>
  <c r="A9001" i="2"/>
  <c r="A9000" i="2"/>
  <c r="A8999" i="2"/>
  <c r="A8998" i="2"/>
  <c r="A8997" i="2"/>
  <c r="A8996" i="2"/>
  <c r="A8995" i="2"/>
  <c r="A8994" i="2"/>
  <c r="A8993" i="2"/>
  <c r="A8992" i="2"/>
  <c r="A8991" i="2"/>
  <c r="A8990" i="2"/>
  <c r="A8989" i="2"/>
  <c r="A8988" i="2"/>
  <c r="A8987" i="2"/>
  <c r="A8986" i="2"/>
  <c r="A8985" i="2"/>
  <c r="A8984" i="2"/>
  <c r="A8983" i="2"/>
  <c r="A8982" i="2"/>
  <c r="A8981" i="2"/>
  <c r="A8980" i="2"/>
  <c r="A8979" i="2"/>
  <c r="A8978" i="2"/>
  <c r="A8977" i="2"/>
  <c r="A8976" i="2"/>
  <c r="A8975" i="2"/>
  <c r="A8974" i="2"/>
  <c r="A8973" i="2"/>
  <c r="A8972" i="2"/>
  <c r="A8971" i="2"/>
  <c r="A8970" i="2"/>
  <c r="A8969" i="2"/>
  <c r="A8968" i="2"/>
  <c r="A8967" i="2"/>
  <c r="A8966" i="2"/>
  <c r="A8965" i="2"/>
  <c r="A8964" i="2"/>
  <c r="A8963" i="2"/>
  <c r="A8962" i="2"/>
  <c r="A8961" i="2"/>
  <c r="A8960" i="2"/>
  <c r="A8959" i="2"/>
  <c r="A8958" i="2"/>
  <c r="A8957" i="2"/>
  <c r="A8956" i="2"/>
  <c r="A8955" i="2"/>
  <c r="A8954" i="2"/>
  <c r="A8953" i="2"/>
  <c r="A8952" i="2"/>
  <c r="A8951" i="2"/>
  <c r="A8950" i="2"/>
  <c r="A8949" i="2"/>
  <c r="A8948" i="2"/>
  <c r="A8947" i="2"/>
  <c r="A8946" i="2"/>
  <c r="A8945" i="2"/>
  <c r="A8944" i="2"/>
  <c r="A8943" i="2"/>
  <c r="A8942" i="2"/>
  <c r="A8941" i="2"/>
  <c r="A8940" i="2"/>
  <c r="A8939" i="2"/>
  <c r="A8938" i="2"/>
  <c r="A8937" i="2"/>
  <c r="A8936" i="2"/>
  <c r="A8935" i="2"/>
  <c r="A8934" i="2"/>
  <c r="A8933" i="2"/>
  <c r="A8932" i="2"/>
  <c r="A8931" i="2"/>
  <c r="A8930" i="2"/>
  <c r="A8929" i="2"/>
  <c r="A8928" i="2"/>
  <c r="A8927" i="2"/>
  <c r="A8926" i="2"/>
  <c r="A8925" i="2"/>
  <c r="A8924" i="2"/>
  <c r="A8923" i="2"/>
  <c r="A8922" i="2"/>
  <c r="A8921" i="2"/>
  <c r="A8920" i="2"/>
  <c r="A8919" i="2"/>
  <c r="A8918" i="2"/>
  <c r="A8917" i="2"/>
  <c r="A8916" i="2"/>
  <c r="A8915" i="2"/>
  <c r="A8914" i="2"/>
  <c r="A8913" i="2"/>
  <c r="A8912" i="2"/>
  <c r="A8911" i="2"/>
  <c r="A8910" i="2"/>
  <c r="A8909" i="2"/>
  <c r="A8908" i="2"/>
  <c r="A8907" i="2"/>
  <c r="A8906" i="2"/>
  <c r="A8905" i="2"/>
  <c r="A8904" i="2"/>
  <c r="A8903" i="2"/>
  <c r="A8902" i="2"/>
  <c r="A8901" i="2"/>
  <c r="A8900" i="2"/>
  <c r="A8899" i="2"/>
  <c r="A8898" i="2"/>
  <c r="A8897" i="2"/>
  <c r="A8896" i="2"/>
  <c r="A8895" i="2"/>
  <c r="A8894" i="2"/>
  <c r="A8893" i="2"/>
  <c r="A8892" i="2"/>
  <c r="A8891" i="2"/>
  <c r="A8890" i="2"/>
  <c r="A8889" i="2"/>
  <c r="A8888" i="2"/>
  <c r="A8887" i="2"/>
  <c r="A8886" i="2"/>
  <c r="A8885" i="2"/>
  <c r="A8884" i="2"/>
  <c r="A8883" i="2"/>
  <c r="A8882" i="2"/>
  <c r="A8881" i="2"/>
  <c r="A8880" i="2"/>
  <c r="A8879" i="2"/>
  <c r="A8878" i="2"/>
  <c r="A8877" i="2"/>
  <c r="A8876" i="2"/>
  <c r="A8875" i="2"/>
  <c r="A8874" i="2"/>
  <c r="A8873" i="2"/>
  <c r="A8872" i="2"/>
  <c r="A8871" i="2"/>
  <c r="A8870" i="2"/>
  <c r="A8869" i="2"/>
  <c r="A8868" i="2"/>
  <c r="A8867" i="2"/>
  <c r="A8866" i="2"/>
  <c r="A8865" i="2"/>
  <c r="A8864" i="2"/>
  <c r="A8863" i="2"/>
  <c r="A8862" i="2"/>
  <c r="A8861" i="2"/>
  <c r="A8860" i="2"/>
  <c r="A8859" i="2"/>
  <c r="A8858" i="2"/>
  <c r="A8857" i="2"/>
  <c r="A8856" i="2"/>
  <c r="A8855" i="2"/>
  <c r="A8854" i="2"/>
  <c r="A8853" i="2"/>
  <c r="A8852" i="2"/>
  <c r="A8851" i="2"/>
  <c r="A8850" i="2"/>
  <c r="A8849" i="2"/>
  <c r="A8848" i="2"/>
  <c r="A8847" i="2"/>
  <c r="A8846" i="2"/>
  <c r="A8845" i="2"/>
  <c r="A8844" i="2"/>
  <c r="A8843" i="2"/>
  <c r="A8842" i="2"/>
  <c r="A8841" i="2"/>
  <c r="A8840" i="2"/>
  <c r="A8839" i="2"/>
  <c r="A8838" i="2"/>
  <c r="A8837" i="2"/>
  <c r="A8836" i="2"/>
  <c r="A8835" i="2"/>
  <c r="A8834" i="2"/>
  <c r="A8833" i="2"/>
  <c r="A8832" i="2"/>
  <c r="A8831" i="2"/>
  <c r="A8830" i="2"/>
  <c r="A8829" i="2"/>
  <c r="A8828" i="2"/>
  <c r="A8827" i="2"/>
  <c r="A8826" i="2"/>
  <c r="A8825" i="2"/>
  <c r="A8824" i="2"/>
  <c r="A8823" i="2"/>
  <c r="A8822" i="2"/>
  <c r="A8821" i="2"/>
  <c r="A8820" i="2"/>
  <c r="A8819" i="2"/>
  <c r="A8818" i="2"/>
  <c r="A8817" i="2"/>
  <c r="A8816" i="2"/>
  <c r="A8815" i="2"/>
  <c r="A8814" i="2"/>
  <c r="A8813" i="2"/>
  <c r="A8812" i="2"/>
  <c r="A8811" i="2"/>
  <c r="A8810" i="2"/>
  <c r="A8809" i="2"/>
  <c r="A8808" i="2"/>
  <c r="A8807" i="2"/>
  <c r="A8806" i="2"/>
  <c r="A8805" i="2"/>
  <c r="A8804" i="2"/>
  <c r="A8803" i="2"/>
  <c r="A8802" i="2"/>
  <c r="A8801" i="2"/>
  <c r="A8800" i="2"/>
  <c r="A8799" i="2"/>
  <c r="A8798" i="2"/>
  <c r="A8797" i="2"/>
  <c r="A8796" i="2"/>
  <c r="A8795" i="2"/>
  <c r="A8794" i="2"/>
  <c r="A8793" i="2"/>
  <c r="A8792" i="2"/>
  <c r="A8791" i="2"/>
  <c r="A8790" i="2"/>
  <c r="A8789" i="2"/>
  <c r="A8788" i="2"/>
  <c r="A8787" i="2"/>
  <c r="A8786" i="2"/>
  <c r="A8785" i="2"/>
  <c r="A8784" i="2"/>
  <c r="A8783" i="2"/>
  <c r="A8782" i="2"/>
  <c r="A8781" i="2"/>
  <c r="A8780" i="2"/>
  <c r="A8779" i="2"/>
  <c r="A8778" i="2"/>
  <c r="A8777" i="2"/>
  <c r="A8776" i="2"/>
  <c r="A8775" i="2"/>
  <c r="A8774" i="2"/>
  <c r="A8773" i="2"/>
  <c r="A8772" i="2"/>
  <c r="A8771" i="2"/>
  <c r="A8770" i="2"/>
  <c r="A8769" i="2"/>
  <c r="A8768" i="2"/>
  <c r="A8767" i="2"/>
  <c r="A8766" i="2"/>
  <c r="A8765" i="2"/>
  <c r="A8764" i="2"/>
  <c r="A8763" i="2"/>
  <c r="A8762" i="2"/>
  <c r="A8761" i="2"/>
  <c r="A8760" i="2"/>
  <c r="A8759" i="2"/>
  <c r="A8758" i="2"/>
  <c r="A8757" i="2"/>
  <c r="A8756" i="2"/>
  <c r="A8755" i="2"/>
  <c r="A8754" i="2"/>
  <c r="A8753" i="2"/>
  <c r="A8752" i="2"/>
  <c r="A8751" i="2"/>
  <c r="A8750" i="2"/>
  <c r="A8749" i="2"/>
  <c r="A8748" i="2"/>
  <c r="A8747" i="2"/>
  <c r="A8746" i="2"/>
  <c r="A8745" i="2"/>
  <c r="A8744" i="2"/>
  <c r="A8743" i="2"/>
  <c r="A8742" i="2"/>
  <c r="A8741" i="2"/>
  <c r="A8740" i="2"/>
  <c r="A8739" i="2"/>
  <c r="A8738" i="2"/>
  <c r="A8737" i="2"/>
  <c r="A8736" i="2"/>
  <c r="A8735" i="2"/>
  <c r="A8734" i="2"/>
  <c r="A8733" i="2"/>
  <c r="A8732" i="2"/>
  <c r="A8731" i="2"/>
  <c r="A8730" i="2"/>
  <c r="A8729" i="2"/>
  <c r="A8728" i="2"/>
  <c r="A8727" i="2"/>
  <c r="A8726" i="2"/>
  <c r="A8725" i="2"/>
  <c r="A8724" i="2"/>
  <c r="A8723" i="2"/>
  <c r="A8722" i="2"/>
  <c r="A8721" i="2"/>
  <c r="A8720" i="2"/>
  <c r="A8719" i="2"/>
  <c r="A8718" i="2"/>
  <c r="A8717" i="2"/>
  <c r="A8716" i="2"/>
  <c r="A8715" i="2"/>
  <c r="A8714" i="2"/>
  <c r="A8713" i="2"/>
  <c r="A8712" i="2"/>
  <c r="A8711" i="2"/>
  <c r="A8710" i="2"/>
  <c r="A8709" i="2"/>
  <c r="A8708" i="2"/>
  <c r="A8707" i="2"/>
  <c r="A8706" i="2"/>
  <c r="A8705" i="2"/>
  <c r="A8704" i="2"/>
  <c r="A8703" i="2"/>
  <c r="A8702" i="2"/>
  <c r="A8701" i="2"/>
  <c r="A8700" i="2"/>
  <c r="A8699" i="2"/>
  <c r="A8698" i="2"/>
  <c r="A8697" i="2"/>
  <c r="A8696" i="2"/>
  <c r="A8695" i="2"/>
  <c r="A8694" i="2"/>
  <c r="A8693" i="2"/>
  <c r="A8692" i="2"/>
  <c r="A8691" i="2"/>
  <c r="A8690" i="2"/>
  <c r="A8689" i="2"/>
  <c r="A8688" i="2"/>
  <c r="A8687" i="2"/>
  <c r="A8686" i="2"/>
  <c r="A8685" i="2"/>
  <c r="A8684" i="2"/>
  <c r="A8683" i="2"/>
  <c r="A8682" i="2"/>
  <c r="A8681" i="2"/>
  <c r="A8680" i="2"/>
  <c r="A8679" i="2"/>
  <c r="A8678" i="2"/>
  <c r="A8677" i="2"/>
  <c r="A8676" i="2"/>
  <c r="A8675" i="2"/>
  <c r="A8674" i="2"/>
  <c r="A8673" i="2"/>
  <c r="A8672" i="2"/>
  <c r="A8671" i="2"/>
  <c r="A8670" i="2"/>
  <c r="A8669" i="2"/>
  <c r="A8668" i="2"/>
  <c r="A8667" i="2"/>
  <c r="A8666" i="2"/>
  <c r="A8665" i="2"/>
  <c r="A8664" i="2"/>
  <c r="A8663" i="2"/>
  <c r="A8662" i="2"/>
  <c r="A8661" i="2"/>
  <c r="A8660" i="2"/>
  <c r="A8659" i="2"/>
  <c r="A8658" i="2"/>
  <c r="A8657" i="2"/>
  <c r="A8656" i="2"/>
  <c r="A8655" i="2"/>
  <c r="A8654" i="2"/>
  <c r="A8653" i="2"/>
  <c r="A8652" i="2"/>
  <c r="A8651" i="2"/>
  <c r="A8650" i="2"/>
  <c r="A8649" i="2"/>
  <c r="A8648" i="2"/>
  <c r="A8647" i="2"/>
  <c r="A8646" i="2"/>
  <c r="A8645" i="2"/>
  <c r="A8644" i="2"/>
  <c r="A8643" i="2"/>
  <c r="A8642" i="2"/>
  <c r="A8641" i="2"/>
  <c r="A8640" i="2"/>
  <c r="A8639" i="2"/>
  <c r="A8638" i="2"/>
  <c r="A8637" i="2"/>
  <c r="A8636" i="2"/>
  <c r="A8635" i="2"/>
  <c r="A8634" i="2"/>
  <c r="A8633" i="2"/>
  <c r="A8632" i="2"/>
  <c r="A8631" i="2"/>
  <c r="A8630" i="2"/>
  <c r="A8629" i="2"/>
  <c r="A8628" i="2"/>
  <c r="A8627" i="2"/>
  <c r="A8626" i="2"/>
  <c r="A8625" i="2"/>
  <c r="A8624" i="2"/>
  <c r="A8623" i="2"/>
  <c r="A8622" i="2"/>
  <c r="A8621" i="2"/>
  <c r="A8620" i="2"/>
  <c r="A8619" i="2"/>
  <c r="A8618" i="2"/>
  <c r="A8617" i="2"/>
  <c r="A8616" i="2"/>
  <c r="A8615" i="2"/>
  <c r="A8614" i="2"/>
  <c r="A8613" i="2"/>
  <c r="A8612" i="2"/>
  <c r="A8611" i="2"/>
  <c r="A8610" i="2"/>
  <c r="A8609" i="2"/>
  <c r="A8608" i="2"/>
  <c r="A8607" i="2"/>
  <c r="A8606" i="2"/>
  <c r="A8605" i="2"/>
  <c r="A8604" i="2"/>
  <c r="A8603" i="2"/>
  <c r="A8602" i="2"/>
  <c r="A8601" i="2"/>
  <c r="A8600" i="2"/>
  <c r="A8599" i="2"/>
  <c r="A8598" i="2"/>
  <c r="A8597" i="2"/>
  <c r="A8596" i="2"/>
  <c r="A8595" i="2"/>
  <c r="A8594" i="2"/>
  <c r="A8593" i="2"/>
  <c r="A8592" i="2"/>
  <c r="A8591" i="2"/>
  <c r="A8590" i="2"/>
  <c r="A8589" i="2"/>
  <c r="A8588" i="2"/>
  <c r="A8587" i="2"/>
  <c r="A8586" i="2"/>
  <c r="A8585" i="2"/>
  <c r="A8584" i="2"/>
  <c r="A8583" i="2"/>
  <c r="A8582" i="2"/>
  <c r="A8581" i="2"/>
  <c r="A8580" i="2"/>
  <c r="A8579" i="2"/>
  <c r="A8578" i="2"/>
  <c r="A8577" i="2"/>
  <c r="A8576" i="2"/>
  <c r="A8575" i="2"/>
  <c r="A8574" i="2"/>
  <c r="A8573" i="2"/>
  <c r="A8572" i="2"/>
  <c r="A8571" i="2"/>
  <c r="A8570" i="2"/>
  <c r="A8569" i="2"/>
  <c r="A8568" i="2"/>
  <c r="A8567" i="2"/>
  <c r="A8566" i="2"/>
  <c r="A8565" i="2"/>
  <c r="A8564" i="2"/>
  <c r="A8563" i="2"/>
  <c r="A8562" i="2"/>
  <c r="A8561" i="2"/>
  <c r="A8560" i="2"/>
  <c r="A8559" i="2"/>
  <c r="A8558" i="2"/>
  <c r="A8557" i="2"/>
  <c r="A8556" i="2"/>
  <c r="A8555" i="2"/>
  <c r="A8554" i="2"/>
  <c r="A8553" i="2"/>
  <c r="A8552" i="2"/>
  <c r="A8551" i="2"/>
  <c r="A8550" i="2"/>
  <c r="A8549" i="2"/>
  <c r="A8548" i="2"/>
  <c r="A8547" i="2"/>
  <c r="A8546" i="2"/>
  <c r="A8545" i="2"/>
  <c r="A8544" i="2"/>
  <c r="A8543" i="2"/>
  <c r="A8542" i="2"/>
  <c r="A8541" i="2"/>
  <c r="A8540" i="2"/>
  <c r="A8539" i="2"/>
  <c r="A8538" i="2"/>
  <c r="A8537" i="2"/>
  <c r="A8536" i="2"/>
  <c r="A8535" i="2"/>
  <c r="A8534" i="2"/>
  <c r="A8533" i="2"/>
  <c r="A8532" i="2"/>
  <c r="A8531" i="2"/>
  <c r="A8530" i="2"/>
  <c r="A8529" i="2"/>
  <c r="A8528" i="2"/>
  <c r="A8527" i="2"/>
  <c r="A8526" i="2"/>
  <c r="A8525" i="2"/>
  <c r="A8524" i="2"/>
  <c r="A8523" i="2"/>
  <c r="A8522" i="2"/>
  <c r="A8521" i="2"/>
  <c r="A8520" i="2"/>
  <c r="A8519" i="2"/>
  <c r="A8518" i="2"/>
  <c r="A8517" i="2"/>
  <c r="A8516" i="2"/>
  <c r="A8515" i="2"/>
  <c r="A8514" i="2"/>
  <c r="A8513" i="2"/>
  <c r="A8512" i="2"/>
  <c r="A8511" i="2"/>
  <c r="A8510" i="2"/>
  <c r="A8509" i="2"/>
  <c r="A8508" i="2"/>
  <c r="A8507" i="2"/>
  <c r="A8506" i="2"/>
  <c r="A8505" i="2"/>
  <c r="A8504" i="2"/>
  <c r="A8503" i="2"/>
  <c r="A8502" i="2"/>
  <c r="A8501" i="2"/>
  <c r="A8500" i="2"/>
  <c r="A8499" i="2"/>
  <c r="A8498" i="2"/>
  <c r="A8497" i="2"/>
  <c r="A8496" i="2"/>
  <c r="A8495" i="2"/>
  <c r="A8494" i="2"/>
  <c r="A8493" i="2"/>
  <c r="A8492" i="2"/>
  <c r="A8491" i="2"/>
  <c r="A8490" i="2"/>
  <c r="A8489" i="2"/>
  <c r="A8488" i="2"/>
  <c r="A8487" i="2"/>
  <c r="A8486" i="2"/>
  <c r="A8485" i="2"/>
  <c r="A8484" i="2"/>
  <c r="A8483" i="2"/>
  <c r="A8482" i="2"/>
  <c r="A8481" i="2"/>
  <c r="A8480" i="2"/>
  <c r="A8479" i="2"/>
  <c r="A8478" i="2"/>
  <c r="A8477" i="2"/>
  <c r="A8476" i="2"/>
  <c r="A8475" i="2"/>
  <c r="A8474" i="2"/>
  <c r="A8473" i="2"/>
  <c r="A8472" i="2"/>
  <c r="A8471" i="2"/>
  <c r="A8470" i="2"/>
  <c r="A8469" i="2"/>
  <c r="A8468" i="2"/>
  <c r="A8467" i="2"/>
  <c r="A8466" i="2"/>
  <c r="A8465" i="2"/>
  <c r="A8464" i="2"/>
  <c r="A8463" i="2"/>
  <c r="A8462" i="2"/>
  <c r="A8461" i="2"/>
  <c r="A8460" i="2"/>
  <c r="A8459" i="2"/>
  <c r="A8458" i="2"/>
  <c r="A8457" i="2"/>
  <c r="A8456" i="2"/>
  <c r="A8455" i="2"/>
  <c r="A8454" i="2"/>
  <c r="A8453" i="2"/>
  <c r="A8452" i="2"/>
  <c r="A8451" i="2"/>
  <c r="A8450" i="2"/>
  <c r="A8449" i="2"/>
  <c r="A8448" i="2"/>
  <c r="A8447" i="2"/>
  <c r="A8446" i="2"/>
  <c r="A8445" i="2"/>
  <c r="A8444" i="2"/>
  <c r="A8443" i="2"/>
  <c r="A8442" i="2"/>
  <c r="A8441" i="2"/>
  <c r="A8440" i="2"/>
  <c r="A8439" i="2"/>
  <c r="A8438" i="2"/>
  <c r="A8437" i="2"/>
  <c r="A8436" i="2"/>
  <c r="A8435" i="2"/>
  <c r="A8434" i="2"/>
  <c r="A8433" i="2"/>
  <c r="A8432" i="2"/>
  <c r="A8431" i="2"/>
  <c r="A8430" i="2"/>
  <c r="A8429" i="2"/>
  <c r="A8428" i="2"/>
  <c r="A8427" i="2"/>
  <c r="A8426" i="2"/>
  <c r="A8425" i="2"/>
  <c r="A8424" i="2"/>
  <c r="A8423" i="2"/>
  <c r="A8422" i="2"/>
  <c r="A8421" i="2"/>
  <c r="A8420" i="2"/>
  <c r="A8419" i="2"/>
  <c r="A8418" i="2"/>
  <c r="A8417" i="2"/>
  <c r="A8416" i="2"/>
  <c r="A8415" i="2"/>
  <c r="A8414" i="2"/>
  <c r="A8413" i="2"/>
  <c r="A8412" i="2"/>
  <c r="A8411" i="2"/>
  <c r="A8410" i="2"/>
  <c r="A8409" i="2"/>
  <c r="A8408" i="2"/>
  <c r="A8407" i="2"/>
  <c r="A8406" i="2"/>
  <c r="A8405" i="2"/>
  <c r="A8404" i="2"/>
  <c r="A8403" i="2"/>
  <c r="A8402" i="2"/>
  <c r="A8401" i="2"/>
  <c r="A8400" i="2"/>
  <c r="A8399" i="2"/>
  <c r="A8398" i="2"/>
  <c r="A8397" i="2"/>
  <c r="A8396" i="2"/>
  <c r="A8395" i="2"/>
  <c r="A8394" i="2"/>
  <c r="A8393" i="2"/>
  <c r="A8392" i="2"/>
  <c r="A8391" i="2"/>
  <c r="A8390" i="2"/>
  <c r="A8389" i="2"/>
  <c r="A8388" i="2"/>
  <c r="A8387" i="2"/>
  <c r="A8386" i="2"/>
  <c r="A8385" i="2"/>
  <c r="A8384" i="2"/>
  <c r="A8383" i="2"/>
  <c r="A8382" i="2"/>
  <c r="A8381" i="2"/>
  <c r="A8380" i="2"/>
  <c r="A8379" i="2"/>
  <c r="A8378" i="2"/>
  <c r="A8377" i="2"/>
  <c r="A8376" i="2"/>
  <c r="A8375" i="2"/>
  <c r="A8374" i="2"/>
  <c r="A8373" i="2"/>
  <c r="A8372" i="2"/>
  <c r="A8371" i="2"/>
  <c r="A8370" i="2"/>
  <c r="A8369" i="2"/>
  <c r="A8368" i="2"/>
  <c r="A8367" i="2"/>
  <c r="A8366" i="2"/>
  <c r="A8365" i="2"/>
  <c r="A8364" i="2"/>
  <c r="A8363" i="2"/>
  <c r="A8362" i="2"/>
  <c r="A8361" i="2"/>
  <c r="A8360" i="2"/>
  <c r="A8359" i="2"/>
  <c r="A8358" i="2"/>
  <c r="A8357" i="2"/>
  <c r="A8356" i="2"/>
  <c r="A8355" i="2"/>
  <c r="A8354" i="2"/>
  <c r="A8353" i="2"/>
  <c r="A8352" i="2"/>
  <c r="A8351" i="2"/>
  <c r="A8350" i="2"/>
  <c r="A8349" i="2"/>
  <c r="A8348" i="2"/>
  <c r="A8347" i="2"/>
  <c r="A8346" i="2"/>
  <c r="A8345" i="2"/>
  <c r="A8344" i="2"/>
  <c r="A8343" i="2"/>
  <c r="A8342" i="2"/>
  <c r="A8341" i="2"/>
  <c r="A8340" i="2"/>
  <c r="A8339" i="2"/>
  <c r="A8338" i="2"/>
  <c r="A8337" i="2"/>
  <c r="A8336" i="2"/>
  <c r="A8335" i="2"/>
  <c r="A8334" i="2"/>
  <c r="A8333" i="2"/>
  <c r="A8332" i="2"/>
  <c r="A8331" i="2"/>
  <c r="A8330" i="2"/>
  <c r="A8329" i="2"/>
  <c r="A8328" i="2"/>
  <c r="A8327" i="2"/>
  <c r="A8326" i="2"/>
  <c r="A8325" i="2"/>
  <c r="A8324" i="2"/>
  <c r="A8323" i="2"/>
  <c r="A8322" i="2"/>
  <c r="A8321" i="2"/>
  <c r="A8320" i="2"/>
  <c r="A8319" i="2"/>
  <c r="A8318" i="2"/>
  <c r="A8317" i="2"/>
  <c r="A8316" i="2"/>
  <c r="A8315" i="2"/>
  <c r="A8314" i="2"/>
  <c r="A8313" i="2"/>
  <c r="A8312" i="2"/>
  <c r="A8311" i="2"/>
  <c r="A8310" i="2"/>
  <c r="A8309" i="2"/>
  <c r="A8308" i="2"/>
  <c r="A8307" i="2"/>
  <c r="A8306" i="2"/>
  <c r="A8305" i="2"/>
  <c r="A8304" i="2"/>
  <c r="A8303" i="2"/>
  <c r="A8302" i="2"/>
  <c r="A8301" i="2"/>
  <c r="A8300" i="2"/>
  <c r="A8299" i="2"/>
  <c r="A8298" i="2"/>
  <c r="A8297" i="2"/>
  <c r="A8296" i="2"/>
  <c r="A8295" i="2"/>
  <c r="A8294" i="2"/>
  <c r="A8293" i="2"/>
  <c r="A8292" i="2"/>
  <c r="A8291" i="2"/>
  <c r="A8290" i="2"/>
  <c r="A8289" i="2"/>
  <c r="A8288" i="2"/>
  <c r="A8287" i="2"/>
  <c r="A8286" i="2"/>
  <c r="A8285" i="2"/>
  <c r="A8284" i="2"/>
  <c r="A8283" i="2"/>
  <c r="A8282" i="2"/>
  <c r="A8281" i="2"/>
  <c r="A8280" i="2"/>
  <c r="A8279" i="2"/>
  <c r="A8278" i="2"/>
  <c r="A8277" i="2"/>
  <c r="A8276" i="2"/>
  <c r="A8275" i="2"/>
  <c r="A8274" i="2"/>
  <c r="A8273" i="2"/>
  <c r="A8272" i="2"/>
  <c r="A8271" i="2"/>
  <c r="A8270" i="2"/>
  <c r="A8269" i="2"/>
  <c r="A8268" i="2"/>
  <c r="A8267" i="2"/>
  <c r="A8266" i="2"/>
  <c r="A8265" i="2"/>
  <c r="A8264" i="2"/>
  <c r="A8263" i="2"/>
  <c r="A8262" i="2"/>
  <c r="A8261" i="2"/>
  <c r="A8260" i="2"/>
  <c r="A8259" i="2"/>
  <c r="A8258" i="2"/>
  <c r="A8257" i="2"/>
  <c r="A8256" i="2"/>
  <c r="A8255" i="2"/>
  <c r="A8254" i="2"/>
  <c r="A8253" i="2"/>
  <c r="A8252" i="2"/>
  <c r="A8251" i="2"/>
  <c r="A8250" i="2"/>
  <c r="A8249" i="2"/>
  <c r="A8248" i="2"/>
  <c r="A8247" i="2"/>
  <c r="A8246" i="2"/>
  <c r="A8245" i="2"/>
  <c r="A8244" i="2"/>
  <c r="A8243" i="2"/>
  <c r="A8242" i="2"/>
  <c r="A8241" i="2"/>
  <c r="A8240" i="2"/>
  <c r="A8239" i="2"/>
  <c r="A8238" i="2"/>
  <c r="A8237" i="2"/>
  <c r="A8236" i="2"/>
  <c r="A8235" i="2"/>
  <c r="A8234" i="2"/>
  <c r="A8233" i="2"/>
  <c r="A8232" i="2"/>
  <c r="A8231" i="2"/>
  <c r="A8230" i="2"/>
  <c r="A8229" i="2"/>
  <c r="A8228" i="2"/>
  <c r="A8227" i="2"/>
  <c r="A8226" i="2"/>
  <c r="A8225" i="2"/>
  <c r="A8224" i="2"/>
  <c r="A8223" i="2"/>
  <c r="A8222" i="2"/>
  <c r="A8221" i="2"/>
  <c r="A8220" i="2"/>
  <c r="A8219" i="2"/>
  <c r="A8218" i="2"/>
  <c r="A8217" i="2"/>
  <c r="A8216" i="2"/>
  <c r="A8215" i="2"/>
  <c r="A8214" i="2"/>
  <c r="A8213" i="2"/>
  <c r="A8212" i="2"/>
  <c r="A8211" i="2"/>
  <c r="A8210" i="2"/>
  <c r="A8209" i="2"/>
  <c r="A8208" i="2"/>
  <c r="A8207" i="2"/>
  <c r="A8206" i="2"/>
  <c r="A8205" i="2"/>
  <c r="A8204" i="2"/>
  <c r="A8203" i="2"/>
  <c r="A8202" i="2"/>
  <c r="A8201" i="2"/>
  <c r="A8200" i="2"/>
  <c r="A8199" i="2"/>
  <c r="A8198" i="2"/>
  <c r="A8197" i="2"/>
  <c r="A8196" i="2"/>
  <c r="A8195" i="2"/>
  <c r="A8194" i="2"/>
  <c r="A8193" i="2"/>
  <c r="A8192" i="2"/>
  <c r="A8191" i="2"/>
  <c r="A8190" i="2"/>
  <c r="A8189" i="2"/>
  <c r="A8188" i="2"/>
  <c r="A8187" i="2"/>
  <c r="A8186" i="2"/>
  <c r="A8185" i="2"/>
  <c r="A8184" i="2"/>
  <c r="A8183" i="2"/>
  <c r="A8182" i="2"/>
  <c r="A8181" i="2"/>
  <c r="A8180" i="2"/>
  <c r="A8179" i="2"/>
  <c r="A8178" i="2"/>
  <c r="A8177" i="2"/>
  <c r="A8176" i="2"/>
  <c r="A8175" i="2"/>
  <c r="A8174" i="2"/>
  <c r="A8173" i="2"/>
  <c r="A8172" i="2"/>
  <c r="A8171" i="2"/>
  <c r="A8170" i="2"/>
  <c r="A8169" i="2"/>
  <c r="A8168" i="2"/>
  <c r="A8167" i="2"/>
  <c r="A8166" i="2"/>
  <c r="A8165" i="2"/>
  <c r="A8164" i="2"/>
  <c r="A8163" i="2"/>
  <c r="A8162" i="2"/>
  <c r="A8161" i="2"/>
  <c r="A8160" i="2"/>
  <c r="A8159" i="2"/>
  <c r="A8158" i="2"/>
  <c r="A8157" i="2"/>
  <c r="A8156" i="2"/>
  <c r="A8155" i="2"/>
  <c r="A8154" i="2"/>
  <c r="A8153" i="2"/>
  <c r="A8152" i="2"/>
  <c r="A8151" i="2"/>
  <c r="A8150" i="2"/>
  <c r="A8149" i="2"/>
  <c r="A8148" i="2"/>
  <c r="A8147" i="2"/>
  <c r="A8146" i="2"/>
  <c r="A8145" i="2"/>
  <c r="A8144" i="2"/>
  <c r="A8143" i="2"/>
  <c r="A8142" i="2"/>
  <c r="A8141" i="2"/>
  <c r="A8140" i="2"/>
  <c r="A8139" i="2"/>
  <c r="A8138" i="2"/>
  <c r="A8137" i="2"/>
  <c r="A8136" i="2"/>
  <c r="A8135" i="2"/>
  <c r="A8134" i="2"/>
  <c r="A8133" i="2"/>
  <c r="A8132" i="2"/>
  <c r="A8131" i="2"/>
  <c r="A8130" i="2"/>
  <c r="A8129" i="2"/>
  <c r="A8128" i="2"/>
  <c r="A8127" i="2"/>
  <c r="A8126" i="2"/>
  <c r="A8125" i="2"/>
  <c r="A8124" i="2"/>
  <c r="A8123" i="2"/>
  <c r="A8122" i="2"/>
  <c r="A8121" i="2"/>
  <c r="A8120" i="2"/>
  <c r="A8119" i="2"/>
  <c r="A8118" i="2"/>
  <c r="A8117" i="2"/>
  <c r="A8116" i="2"/>
  <c r="A8115" i="2"/>
  <c r="A8114" i="2"/>
  <c r="A8113" i="2"/>
  <c r="A8112" i="2"/>
  <c r="A8111" i="2"/>
  <c r="A8110" i="2"/>
  <c r="A8109" i="2"/>
  <c r="A8108" i="2"/>
  <c r="A8107" i="2"/>
  <c r="A8106" i="2"/>
  <c r="A8105" i="2"/>
  <c r="A8104" i="2"/>
  <c r="A8103" i="2"/>
  <c r="A8102" i="2"/>
  <c r="A8101" i="2"/>
  <c r="A8100" i="2"/>
  <c r="A8099" i="2"/>
  <c r="A8098" i="2"/>
  <c r="A8097" i="2"/>
  <c r="A8096" i="2"/>
  <c r="A8095" i="2"/>
  <c r="A8094" i="2"/>
  <c r="A8093" i="2"/>
  <c r="A8092" i="2"/>
  <c r="A8091" i="2"/>
  <c r="A8090" i="2"/>
  <c r="A8089" i="2"/>
  <c r="A8088" i="2"/>
  <c r="A8087" i="2"/>
  <c r="A8086" i="2"/>
  <c r="A8085" i="2"/>
  <c r="A8084" i="2"/>
  <c r="A8083" i="2"/>
  <c r="A8082" i="2"/>
  <c r="A8081" i="2"/>
  <c r="A8080" i="2"/>
  <c r="A8079" i="2"/>
  <c r="A8078" i="2"/>
  <c r="A8077" i="2"/>
  <c r="A8076" i="2"/>
  <c r="A8075" i="2"/>
  <c r="A8074" i="2"/>
  <c r="A8073" i="2"/>
  <c r="A8072" i="2"/>
  <c r="A8071" i="2"/>
  <c r="A8070" i="2"/>
  <c r="A8069" i="2"/>
  <c r="A8068" i="2"/>
  <c r="A8067" i="2"/>
  <c r="A8066" i="2"/>
  <c r="A8065" i="2"/>
  <c r="A8064" i="2"/>
  <c r="A8063" i="2"/>
  <c r="A8062" i="2"/>
  <c r="A8061" i="2"/>
  <c r="A8060" i="2"/>
  <c r="A8059" i="2"/>
  <c r="A8058" i="2"/>
  <c r="A8057" i="2"/>
  <c r="A8056" i="2"/>
  <c r="A8055" i="2"/>
  <c r="A8054" i="2"/>
  <c r="A8053" i="2"/>
  <c r="A8052" i="2"/>
  <c r="A8051" i="2"/>
  <c r="A8050" i="2"/>
  <c r="A8049" i="2"/>
  <c r="A8048" i="2"/>
  <c r="A8047" i="2"/>
  <c r="A8046" i="2"/>
  <c r="A8045" i="2"/>
  <c r="A8044" i="2"/>
  <c r="A8043" i="2"/>
  <c r="A8042" i="2"/>
  <c r="A8041" i="2"/>
  <c r="A8040" i="2"/>
  <c r="A8039" i="2"/>
  <c r="A8038" i="2"/>
  <c r="A8037" i="2"/>
  <c r="A8036" i="2"/>
  <c r="A8035" i="2"/>
  <c r="A8034" i="2"/>
  <c r="A8033" i="2"/>
  <c r="A8032" i="2"/>
  <c r="A8031" i="2"/>
  <c r="A8030" i="2"/>
  <c r="A8029" i="2"/>
  <c r="A8028" i="2"/>
  <c r="A8027" i="2"/>
  <c r="A8026" i="2"/>
  <c r="A8025" i="2"/>
  <c r="A8024" i="2"/>
  <c r="A8023" i="2"/>
  <c r="A8022" i="2"/>
  <c r="A8021" i="2"/>
  <c r="A8020" i="2"/>
  <c r="A8019" i="2"/>
  <c r="A8018" i="2"/>
  <c r="A8017" i="2"/>
  <c r="A8016" i="2"/>
  <c r="A8015" i="2"/>
  <c r="A8014" i="2"/>
  <c r="A8013" i="2"/>
  <c r="A8012" i="2"/>
  <c r="A8011" i="2"/>
  <c r="A8010" i="2"/>
  <c r="A8009" i="2"/>
  <c r="A8008" i="2"/>
  <c r="A8007" i="2"/>
  <c r="A8006" i="2"/>
  <c r="A8005" i="2"/>
  <c r="A8004" i="2"/>
  <c r="A8003" i="2"/>
  <c r="A8002" i="2"/>
  <c r="A8001" i="2"/>
  <c r="A8000" i="2"/>
  <c r="A7999" i="2"/>
  <c r="A7998" i="2"/>
  <c r="A7997" i="2"/>
  <c r="A7996" i="2"/>
  <c r="A7995" i="2"/>
  <c r="A7994" i="2"/>
  <c r="A7993" i="2"/>
  <c r="A7992" i="2"/>
  <c r="A7991" i="2"/>
  <c r="A7990" i="2"/>
  <c r="A7989" i="2"/>
  <c r="A7988" i="2"/>
  <c r="A7987" i="2"/>
  <c r="A7986" i="2"/>
  <c r="A7985" i="2"/>
  <c r="A7984" i="2"/>
  <c r="A7983" i="2"/>
  <c r="A7982" i="2"/>
  <c r="A7981" i="2"/>
  <c r="A7980" i="2"/>
  <c r="A7979" i="2"/>
  <c r="A7978" i="2"/>
  <c r="A7977" i="2"/>
  <c r="A7976" i="2"/>
  <c r="A7975" i="2"/>
  <c r="A7974" i="2"/>
  <c r="A7973" i="2"/>
  <c r="A7972" i="2"/>
  <c r="A7971" i="2"/>
  <c r="A7970" i="2"/>
  <c r="A7969" i="2"/>
  <c r="A7968" i="2"/>
  <c r="A7967" i="2"/>
  <c r="A7966" i="2"/>
  <c r="A7965" i="2"/>
  <c r="A7964" i="2"/>
  <c r="A7963" i="2"/>
  <c r="A7962" i="2"/>
  <c r="A7961" i="2"/>
  <c r="A7960" i="2"/>
  <c r="A7959" i="2"/>
  <c r="A7958" i="2"/>
  <c r="A7957" i="2"/>
  <c r="A7956" i="2"/>
  <c r="A7955" i="2"/>
  <c r="A7954" i="2"/>
  <c r="A7953" i="2"/>
  <c r="A7952" i="2"/>
  <c r="A7951" i="2"/>
  <c r="A7950" i="2"/>
  <c r="A7949" i="2"/>
  <c r="A7948" i="2"/>
  <c r="A7947" i="2"/>
  <c r="A7946" i="2"/>
  <c r="A7945" i="2"/>
  <c r="A7944" i="2"/>
  <c r="A7943" i="2"/>
  <c r="A7942" i="2"/>
  <c r="A7941" i="2"/>
  <c r="A7940" i="2"/>
  <c r="A7939" i="2"/>
  <c r="A7938" i="2"/>
  <c r="A7937" i="2"/>
  <c r="A7936" i="2"/>
  <c r="A7935" i="2"/>
  <c r="A7934" i="2"/>
  <c r="A7933" i="2"/>
  <c r="A7932" i="2"/>
  <c r="A7931" i="2"/>
  <c r="A7930" i="2"/>
  <c r="A7929" i="2"/>
  <c r="A7928" i="2"/>
  <c r="A7927" i="2"/>
  <c r="A7926" i="2"/>
  <c r="A7925" i="2"/>
  <c r="A7924" i="2"/>
  <c r="A7923" i="2"/>
  <c r="A7922" i="2"/>
  <c r="A7921" i="2"/>
  <c r="A7920" i="2"/>
  <c r="A7919" i="2"/>
  <c r="A7918" i="2"/>
  <c r="A7917" i="2"/>
  <c r="A7916" i="2"/>
  <c r="A7915" i="2"/>
  <c r="A7914" i="2"/>
  <c r="A7913" i="2"/>
  <c r="A7912" i="2"/>
  <c r="A7911" i="2"/>
  <c r="A7910" i="2"/>
  <c r="A7909" i="2"/>
  <c r="A7908" i="2"/>
  <c r="A7907" i="2"/>
  <c r="A7906" i="2"/>
  <c r="A7905" i="2"/>
  <c r="A7904" i="2"/>
  <c r="A7903" i="2"/>
  <c r="A7902" i="2"/>
  <c r="A7901" i="2"/>
  <c r="A7900" i="2"/>
  <c r="A7899" i="2"/>
  <c r="A7898" i="2"/>
  <c r="A7897" i="2"/>
  <c r="A7896" i="2"/>
  <c r="A7895" i="2"/>
  <c r="A7894" i="2"/>
  <c r="A7893" i="2"/>
  <c r="A7892" i="2"/>
  <c r="A7891" i="2"/>
  <c r="A7890" i="2"/>
  <c r="A7889" i="2"/>
  <c r="A7888" i="2"/>
  <c r="A7887" i="2"/>
  <c r="A7886" i="2"/>
  <c r="A7885" i="2"/>
  <c r="A7884" i="2"/>
  <c r="A7883" i="2"/>
  <c r="A7882" i="2"/>
  <c r="A7881" i="2"/>
  <c r="A7880" i="2"/>
  <c r="A7879" i="2"/>
  <c r="A7878" i="2"/>
  <c r="A7877" i="2"/>
  <c r="A7876" i="2"/>
  <c r="A7875" i="2"/>
  <c r="A7874" i="2"/>
  <c r="A7873" i="2"/>
  <c r="A7872" i="2"/>
  <c r="A7871" i="2"/>
  <c r="A7870" i="2"/>
  <c r="A7869" i="2"/>
  <c r="A7868" i="2"/>
  <c r="A7867" i="2"/>
  <c r="A7866" i="2"/>
  <c r="A7865" i="2"/>
  <c r="A7864" i="2"/>
  <c r="A7863" i="2"/>
  <c r="A7862" i="2"/>
  <c r="A7861" i="2"/>
  <c r="A7860" i="2"/>
  <c r="A7859" i="2"/>
  <c r="A7858" i="2"/>
  <c r="A7857" i="2"/>
  <c r="A7856" i="2"/>
  <c r="A7855" i="2"/>
  <c r="A7854" i="2"/>
  <c r="A7853" i="2"/>
  <c r="A7852" i="2"/>
  <c r="A7851" i="2"/>
  <c r="A7850" i="2"/>
  <c r="A7849" i="2"/>
  <c r="A7848" i="2"/>
  <c r="A7847" i="2"/>
  <c r="A7846" i="2"/>
  <c r="A7845" i="2"/>
  <c r="A7844" i="2"/>
  <c r="A7843" i="2"/>
  <c r="A7842" i="2"/>
  <c r="A7841" i="2"/>
  <c r="A7840" i="2"/>
  <c r="A7839" i="2"/>
  <c r="A7838" i="2"/>
  <c r="A7837" i="2"/>
  <c r="A7836" i="2"/>
  <c r="A7835" i="2"/>
  <c r="A7834" i="2"/>
  <c r="A7833" i="2"/>
  <c r="A7832" i="2"/>
  <c r="A7831" i="2"/>
  <c r="A7830" i="2"/>
  <c r="A7829" i="2"/>
  <c r="A7828" i="2"/>
  <c r="A7827" i="2"/>
  <c r="A7826" i="2"/>
  <c r="A7825" i="2"/>
  <c r="A7824" i="2"/>
  <c r="A7823" i="2"/>
  <c r="A7822" i="2"/>
  <c r="A7821" i="2"/>
  <c r="A7820" i="2"/>
  <c r="A7819" i="2"/>
  <c r="A7818" i="2"/>
  <c r="A7817" i="2"/>
  <c r="A7816" i="2"/>
  <c r="A7815" i="2"/>
  <c r="A7814" i="2"/>
  <c r="A7813" i="2"/>
  <c r="A7812" i="2"/>
  <c r="A7811" i="2"/>
  <c r="A7810" i="2"/>
  <c r="A7809" i="2"/>
  <c r="A7808" i="2"/>
  <c r="A7807" i="2"/>
  <c r="A7806" i="2"/>
  <c r="A7805" i="2"/>
  <c r="A7804" i="2"/>
  <c r="A7803" i="2"/>
  <c r="A7802" i="2"/>
  <c r="A7801" i="2"/>
  <c r="A7800" i="2"/>
  <c r="A7799" i="2"/>
  <c r="A7798" i="2"/>
  <c r="A7797" i="2"/>
  <c r="A7796" i="2"/>
  <c r="A7795" i="2"/>
  <c r="A7794" i="2"/>
  <c r="A7793" i="2"/>
  <c r="A7792" i="2"/>
  <c r="A7791" i="2"/>
  <c r="A7790" i="2"/>
  <c r="A7789" i="2"/>
  <c r="A7788" i="2"/>
  <c r="A7787" i="2"/>
  <c r="A7786" i="2"/>
  <c r="A7785" i="2"/>
  <c r="A7784" i="2"/>
  <c r="A7783" i="2"/>
  <c r="A7782" i="2"/>
  <c r="A7781" i="2"/>
  <c r="A7780" i="2"/>
  <c r="A7779" i="2"/>
  <c r="A7778" i="2"/>
  <c r="A7777" i="2"/>
  <c r="A7776" i="2"/>
  <c r="A7775" i="2"/>
  <c r="A7774" i="2"/>
  <c r="A7773" i="2"/>
  <c r="A7772" i="2"/>
  <c r="A7771" i="2"/>
  <c r="A7770" i="2"/>
  <c r="A7769" i="2"/>
  <c r="A7768" i="2"/>
  <c r="A7767" i="2"/>
  <c r="A7766" i="2"/>
  <c r="A7765" i="2"/>
  <c r="A7764" i="2"/>
  <c r="A7763" i="2"/>
  <c r="A7762" i="2"/>
  <c r="A7761" i="2"/>
  <c r="A7760" i="2"/>
  <c r="A7759" i="2"/>
  <c r="A7758" i="2"/>
  <c r="A7757" i="2"/>
  <c r="A7756" i="2"/>
  <c r="A7755" i="2"/>
  <c r="A7754" i="2"/>
  <c r="A7753" i="2"/>
  <c r="A7752" i="2"/>
  <c r="A7751" i="2"/>
  <c r="A7750" i="2"/>
  <c r="A7749" i="2"/>
  <c r="A7748" i="2"/>
  <c r="A7747" i="2"/>
  <c r="A7746" i="2"/>
  <c r="A7745" i="2"/>
  <c r="A7744" i="2"/>
  <c r="A7743" i="2"/>
  <c r="A7742" i="2"/>
  <c r="A7741" i="2"/>
  <c r="A7740" i="2"/>
  <c r="A7739" i="2"/>
  <c r="A7738" i="2"/>
  <c r="A7737" i="2"/>
  <c r="A7736" i="2"/>
  <c r="A7735" i="2"/>
  <c r="A7734" i="2"/>
  <c r="A7733" i="2"/>
  <c r="A7732" i="2"/>
  <c r="A7731" i="2"/>
  <c r="A7730" i="2"/>
  <c r="A7729" i="2"/>
  <c r="A7728" i="2"/>
  <c r="A7727" i="2"/>
  <c r="A7726" i="2"/>
  <c r="A7725" i="2"/>
  <c r="A7724" i="2"/>
  <c r="A7723" i="2"/>
  <c r="A7722" i="2"/>
  <c r="A7721" i="2"/>
  <c r="A7720" i="2"/>
  <c r="A7719" i="2"/>
  <c r="A7718" i="2"/>
  <c r="A7717" i="2"/>
  <c r="A7716" i="2"/>
  <c r="A7715" i="2"/>
  <c r="A7714" i="2"/>
  <c r="A7713" i="2"/>
  <c r="A7712" i="2"/>
  <c r="A7711" i="2"/>
  <c r="A7710" i="2"/>
  <c r="A7709" i="2"/>
  <c r="A7708" i="2"/>
  <c r="A7707" i="2"/>
  <c r="A7706" i="2"/>
  <c r="A7705" i="2"/>
  <c r="A7704" i="2"/>
  <c r="A7703" i="2"/>
  <c r="A7702" i="2"/>
  <c r="A7701" i="2"/>
  <c r="A7700" i="2"/>
  <c r="A7699" i="2"/>
  <c r="A7698" i="2"/>
  <c r="A7697" i="2"/>
  <c r="A7696" i="2"/>
  <c r="A7695" i="2"/>
  <c r="A7694" i="2"/>
  <c r="A7693" i="2"/>
  <c r="A7692" i="2"/>
  <c r="A7691" i="2"/>
  <c r="A7690" i="2"/>
  <c r="A7689" i="2"/>
  <c r="A7688" i="2"/>
  <c r="A7687" i="2"/>
  <c r="A7686" i="2"/>
  <c r="A7685" i="2"/>
  <c r="A7684" i="2"/>
  <c r="A7683" i="2"/>
  <c r="A7682" i="2"/>
  <c r="A7681" i="2"/>
  <c r="A7680" i="2"/>
  <c r="A7679" i="2"/>
  <c r="A7678" i="2"/>
  <c r="A7677" i="2"/>
  <c r="A7676" i="2"/>
  <c r="A7675" i="2"/>
  <c r="A7674" i="2"/>
  <c r="A7673" i="2"/>
  <c r="A7672" i="2"/>
  <c r="A7671" i="2"/>
  <c r="A7670" i="2"/>
  <c r="A7669" i="2"/>
  <c r="A7668" i="2"/>
  <c r="A7667" i="2"/>
  <c r="A7666" i="2"/>
  <c r="A7665" i="2"/>
  <c r="A7664" i="2"/>
  <c r="A7663" i="2"/>
  <c r="A7662" i="2"/>
  <c r="A7661" i="2"/>
  <c r="A7660" i="2"/>
  <c r="A7659" i="2"/>
  <c r="A7658" i="2"/>
  <c r="A7657" i="2"/>
  <c r="A7656" i="2"/>
  <c r="A7655" i="2"/>
  <c r="A7654" i="2"/>
  <c r="A7653" i="2"/>
  <c r="A7652" i="2"/>
  <c r="A7651" i="2"/>
  <c r="A7650" i="2"/>
  <c r="A7649" i="2"/>
  <c r="A7648" i="2"/>
  <c r="A7647" i="2"/>
  <c r="A7646" i="2"/>
  <c r="A7645" i="2"/>
  <c r="A7644" i="2"/>
  <c r="A7643" i="2"/>
  <c r="A7642" i="2"/>
  <c r="A7641" i="2"/>
  <c r="A7640" i="2"/>
  <c r="A7639" i="2"/>
  <c r="A7638" i="2"/>
  <c r="A7637" i="2"/>
  <c r="A7636" i="2"/>
  <c r="A7635" i="2"/>
  <c r="A7634" i="2"/>
  <c r="A7633" i="2"/>
  <c r="A7632" i="2"/>
  <c r="A7631" i="2"/>
  <c r="A7630" i="2"/>
  <c r="A7629" i="2"/>
  <c r="A7628" i="2"/>
  <c r="A7627" i="2"/>
  <c r="A7626" i="2"/>
  <c r="A7625" i="2"/>
  <c r="A7624" i="2"/>
  <c r="A7623" i="2"/>
  <c r="A7622" i="2"/>
  <c r="A7621" i="2"/>
  <c r="A7620" i="2"/>
  <c r="A7619" i="2"/>
  <c r="A7618" i="2"/>
  <c r="A7617" i="2"/>
  <c r="A7616" i="2"/>
  <c r="A7615" i="2"/>
  <c r="A7614" i="2"/>
  <c r="A7613" i="2"/>
  <c r="A7612" i="2"/>
  <c r="A7611" i="2"/>
  <c r="A7610" i="2"/>
  <c r="A7609" i="2"/>
  <c r="A7608" i="2"/>
  <c r="A7607" i="2"/>
  <c r="A7606" i="2"/>
  <c r="A7605" i="2"/>
  <c r="A7604" i="2"/>
  <c r="A7603" i="2"/>
  <c r="A7602" i="2"/>
  <c r="A7601" i="2"/>
  <c r="A7600" i="2"/>
  <c r="A7599" i="2"/>
  <c r="A7598" i="2"/>
  <c r="A7597" i="2"/>
  <c r="A7596" i="2"/>
  <c r="A7595" i="2"/>
  <c r="A7594" i="2"/>
  <c r="A7593" i="2"/>
  <c r="A7592" i="2"/>
  <c r="A7591" i="2"/>
  <c r="A7590" i="2"/>
  <c r="A7589" i="2"/>
  <c r="A7588" i="2"/>
  <c r="A7587" i="2"/>
  <c r="A7586" i="2"/>
  <c r="A7585" i="2"/>
  <c r="A7584" i="2"/>
  <c r="A7583" i="2"/>
  <c r="A7582" i="2"/>
  <c r="A7581" i="2"/>
  <c r="A7580" i="2"/>
  <c r="A7579" i="2"/>
  <c r="A7578" i="2"/>
  <c r="A7577" i="2"/>
  <c r="A7576" i="2"/>
  <c r="A7575" i="2"/>
  <c r="A7574" i="2"/>
  <c r="A7573" i="2"/>
  <c r="A7572" i="2"/>
  <c r="A7571" i="2"/>
  <c r="A7570" i="2"/>
  <c r="A7569" i="2"/>
  <c r="A7568" i="2"/>
  <c r="A7567" i="2"/>
  <c r="A7566" i="2"/>
  <c r="A7565" i="2"/>
  <c r="A7564" i="2"/>
  <c r="A7563" i="2"/>
  <c r="A7562" i="2"/>
  <c r="A7561" i="2"/>
  <c r="A7560" i="2"/>
  <c r="A7559" i="2"/>
  <c r="A7558" i="2"/>
  <c r="A7557" i="2"/>
  <c r="A7556" i="2"/>
  <c r="A7555" i="2"/>
  <c r="A7554" i="2"/>
  <c r="A7553" i="2"/>
  <c r="A7552" i="2"/>
  <c r="A7551" i="2"/>
  <c r="A7550" i="2"/>
  <c r="A7549" i="2"/>
  <c r="A7548" i="2"/>
  <c r="A7547" i="2"/>
  <c r="A7546" i="2"/>
  <c r="A7545" i="2"/>
  <c r="A7544" i="2"/>
  <c r="A7543" i="2"/>
  <c r="A7542" i="2"/>
  <c r="A7541" i="2"/>
  <c r="A7540" i="2"/>
  <c r="A7539" i="2"/>
  <c r="A7538" i="2"/>
  <c r="A7537" i="2"/>
  <c r="A7536" i="2"/>
  <c r="A7535" i="2"/>
  <c r="A7534" i="2"/>
  <c r="A7533" i="2"/>
  <c r="A7532" i="2"/>
  <c r="A7531" i="2"/>
  <c r="A7530" i="2"/>
  <c r="A7529" i="2"/>
  <c r="A7528" i="2"/>
  <c r="A7527" i="2"/>
  <c r="A7526" i="2"/>
  <c r="A7525" i="2"/>
  <c r="A7524" i="2"/>
  <c r="A7523" i="2"/>
  <c r="A7522" i="2"/>
  <c r="A7521" i="2"/>
  <c r="A7520" i="2"/>
  <c r="A7519" i="2"/>
  <c r="A7518" i="2"/>
  <c r="A7517" i="2"/>
  <c r="A7516" i="2"/>
  <c r="A7515" i="2"/>
  <c r="A7514" i="2"/>
  <c r="A7513" i="2"/>
  <c r="A7512" i="2"/>
  <c r="A7511" i="2"/>
  <c r="A7510" i="2"/>
  <c r="A7509" i="2"/>
  <c r="A7508" i="2"/>
  <c r="A7507" i="2"/>
  <c r="A7506" i="2"/>
  <c r="A7505" i="2"/>
  <c r="A7504" i="2"/>
  <c r="A7503" i="2"/>
  <c r="A7502" i="2"/>
  <c r="A7501" i="2"/>
  <c r="A7500" i="2"/>
  <c r="A7499" i="2"/>
  <c r="A7498" i="2"/>
  <c r="A7497" i="2"/>
  <c r="A7496" i="2"/>
  <c r="A7495" i="2"/>
  <c r="A7494" i="2"/>
  <c r="A7493" i="2"/>
  <c r="A7492" i="2"/>
  <c r="A7491" i="2"/>
  <c r="A7490" i="2"/>
  <c r="A7489" i="2"/>
  <c r="A7488" i="2"/>
  <c r="A7487" i="2"/>
  <c r="A7486" i="2"/>
  <c r="A7485" i="2"/>
  <c r="A7484" i="2"/>
  <c r="A7483" i="2"/>
  <c r="A7482" i="2"/>
  <c r="A7481" i="2"/>
  <c r="A7480" i="2"/>
  <c r="A7479" i="2"/>
  <c r="A7478" i="2"/>
  <c r="A7477" i="2"/>
  <c r="A7476" i="2"/>
  <c r="A7475" i="2"/>
  <c r="A7474" i="2"/>
  <c r="A7473" i="2"/>
  <c r="A7472" i="2"/>
  <c r="A7471" i="2"/>
  <c r="A7470" i="2"/>
  <c r="A7469" i="2"/>
  <c r="A7468" i="2"/>
  <c r="A7467" i="2"/>
  <c r="A7466" i="2"/>
  <c r="A7465" i="2"/>
  <c r="A7464" i="2"/>
  <c r="A7463" i="2"/>
  <c r="A7462" i="2"/>
  <c r="A7461" i="2"/>
  <c r="A7460" i="2"/>
  <c r="A7459" i="2"/>
  <c r="A7458" i="2"/>
  <c r="A7457" i="2"/>
  <c r="A7456" i="2"/>
  <c r="A7455" i="2"/>
  <c r="A7454" i="2"/>
  <c r="A7453" i="2"/>
  <c r="A7452" i="2"/>
  <c r="A7451" i="2"/>
  <c r="A7450" i="2"/>
  <c r="A7449" i="2"/>
  <c r="A7448" i="2"/>
  <c r="A7447" i="2"/>
  <c r="A7446" i="2"/>
  <c r="A7445" i="2"/>
  <c r="A7444" i="2"/>
  <c r="A7443" i="2"/>
  <c r="A7442" i="2"/>
  <c r="A7441" i="2"/>
  <c r="A7440" i="2"/>
  <c r="A7439" i="2"/>
  <c r="A7438" i="2"/>
  <c r="A7437" i="2"/>
  <c r="A7436" i="2"/>
  <c r="A7435" i="2"/>
  <c r="A7434" i="2"/>
  <c r="A7433" i="2"/>
  <c r="A7432" i="2"/>
  <c r="A7431" i="2"/>
  <c r="A7430" i="2"/>
  <c r="A7429" i="2"/>
  <c r="A7428" i="2"/>
  <c r="A7427" i="2"/>
  <c r="A7426" i="2"/>
  <c r="A7425" i="2"/>
  <c r="A7424" i="2"/>
  <c r="A7423" i="2"/>
  <c r="A7422" i="2"/>
  <c r="A7421" i="2"/>
  <c r="A7420" i="2"/>
  <c r="A7419" i="2"/>
  <c r="A7418" i="2"/>
  <c r="A7417" i="2"/>
  <c r="A7416" i="2"/>
  <c r="A7415" i="2"/>
  <c r="A7414" i="2"/>
  <c r="A7413" i="2"/>
  <c r="A7412" i="2"/>
  <c r="A7411" i="2"/>
  <c r="A7410" i="2"/>
  <c r="A7409" i="2"/>
  <c r="A7408" i="2"/>
  <c r="A7407" i="2"/>
  <c r="A7406" i="2"/>
  <c r="A7405" i="2"/>
  <c r="A7404" i="2"/>
  <c r="A7403" i="2"/>
  <c r="A7402" i="2"/>
  <c r="A7401" i="2"/>
  <c r="A7400" i="2"/>
  <c r="A7399" i="2"/>
  <c r="A7398" i="2"/>
  <c r="A7397" i="2"/>
  <c r="A7396" i="2"/>
  <c r="A7395" i="2"/>
  <c r="A7394" i="2"/>
  <c r="A7393" i="2"/>
  <c r="A7392" i="2"/>
  <c r="A7391" i="2"/>
  <c r="A7390" i="2"/>
  <c r="A7389" i="2"/>
  <c r="A7388" i="2"/>
  <c r="A7387" i="2"/>
  <c r="A7386" i="2"/>
  <c r="A7385" i="2"/>
  <c r="A7384" i="2"/>
  <c r="A7383" i="2"/>
  <c r="A7382" i="2"/>
  <c r="A7381" i="2"/>
  <c r="A7380" i="2"/>
  <c r="A7379" i="2"/>
  <c r="A7378" i="2"/>
  <c r="A7377" i="2"/>
  <c r="A7376" i="2"/>
  <c r="A7375" i="2"/>
  <c r="A7374" i="2"/>
  <c r="A7373" i="2"/>
  <c r="A7372" i="2"/>
  <c r="A7371" i="2"/>
  <c r="A7370" i="2"/>
  <c r="A7369" i="2"/>
  <c r="A7368" i="2"/>
  <c r="A7367" i="2"/>
  <c r="A7366" i="2"/>
  <c r="A7365" i="2"/>
  <c r="A7364" i="2"/>
  <c r="A7363" i="2"/>
  <c r="A7362" i="2"/>
  <c r="A7361" i="2"/>
  <c r="A7360" i="2"/>
  <c r="A7359" i="2"/>
  <c r="A7358" i="2"/>
  <c r="A7357" i="2"/>
  <c r="A7356" i="2"/>
  <c r="A7355" i="2"/>
  <c r="A7354" i="2"/>
  <c r="A7353" i="2"/>
  <c r="A7352" i="2"/>
  <c r="A7351" i="2"/>
  <c r="A7350" i="2"/>
  <c r="A7349" i="2"/>
  <c r="A7348" i="2"/>
  <c r="A7347" i="2"/>
  <c r="A7346" i="2"/>
  <c r="A7345" i="2"/>
  <c r="A7344" i="2"/>
  <c r="A7343" i="2"/>
  <c r="A7342" i="2"/>
  <c r="A7341" i="2"/>
  <c r="A7340" i="2"/>
  <c r="A7339" i="2"/>
  <c r="A7338" i="2"/>
  <c r="A7337" i="2"/>
  <c r="A7336" i="2"/>
  <c r="A7335" i="2"/>
  <c r="A7334" i="2"/>
  <c r="A7333" i="2"/>
  <c r="A7332" i="2"/>
  <c r="A7331" i="2"/>
  <c r="A7330" i="2"/>
  <c r="A7329" i="2"/>
  <c r="A7328" i="2"/>
  <c r="A7327" i="2"/>
  <c r="A7326" i="2"/>
  <c r="A7325" i="2"/>
  <c r="A7324" i="2"/>
  <c r="A7323" i="2"/>
  <c r="A7322" i="2"/>
  <c r="A7321" i="2"/>
  <c r="A7320" i="2"/>
  <c r="A7319" i="2"/>
  <c r="A7318" i="2"/>
  <c r="A7317" i="2"/>
  <c r="A7316" i="2"/>
  <c r="A7315" i="2"/>
  <c r="A7314" i="2"/>
  <c r="A7313" i="2"/>
  <c r="A7312" i="2"/>
  <c r="A7311" i="2"/>
  <c r="A7310" i="2"/>
  <c r="A7309" i="2"/>
  <c r="A7308" i="2"/>
  <c r="A7307" i="2"/>
  <c r="A7306" i="2"/>
  <c r="A7305" i="2"/>
  <c r="A7304" i="2"/>
  <c r="A7303" i="2"/>
  <c r="A7302" i="2"/>
  <c r="A7301" i="2"/>
  <c r="A7300" i="2"/>
  <c r="A7299" i="2"/>
  <c r="A7298" i="2"/>
  <c r="A7297" i="2"/>
  <c r="A7296" i="2"/>
  <c r="A7295" i="2"/>
  <c r="A7294" i="2"/>
  <c r="A7293" i="2"/>
  <c r="A7292" i="2"/>
  <c r="A7291" i="2"/>
  <c r="A7290" i="2"/>
  <c r="A7289" i="2"/>
  <c r="A7288" i="2"/>
  <c r="A7287" i="2"/>
  <c r="A7286" i="2"/>
  <c r="A7285" i="2"/>
  <c r="A7284" i="2"/>
  <c r="A7283" i="2"/>
  <c r="A7282" i="2"/>
  <c r="A7281" i="2"/>
  <c r="A7280" i="2"/>
  <c r="A7279" i="2"/>
  <c r="A7278" i="2"/>
  <c r="A7277" i="2"/>
  <c r="A7276" i="2"/>
  <c r="A7275" i="2"/>
  <c r="A7274" i="2"/>
  <c r="A7273" i="2"/>
  <c r="A7272" i="2"/>
  <c r="A7271" i="2"/>
  <c r="A7270" i="2"/>
  <c r="A7269" i="2"/>
  <c r="A7268" i="2"/>
  <c r="A7267" i="2"/>
  <c r="A7266" i="2"/>
  <c r="A7265" i="2"/>
  <c r="A7264" i="2"/>
  <c r="A7263" i="2"/>
  <c r="A7262" i="2"/>
  <c r="A7261" i="2"/>
  <c r="A7260" i="2"/>
  <c r="A7259" i="2"/>
  <c r="A7258" i="2"/>
  <c r="A7257" i="2"/>
  <c r="A7256" i="2"/>
  <c r="A7255" i="2"/>
  <c r="A7254" i="2"/>
  <c r="A7253" i="2"/>
  <c r="A7252" i="2"/>
  <c r="A7251" i="2"/>
  <c r="A7250" i="2"/>
  <c r="A7249" i="2"/>
  <c r="A7248" i="2"/>
  <c r="A7247" i="2"/>
  <c r="A7246" i="2"/>
  <c r="A7245" i="2"/>
  <c r="A7244" i="2"/>
  <c r="A7243" i="2"/>
  <c r="A7242" i="2"/>
  <c r="A7241" i="2"/>
  <c r="A7240" i="2"/>
  <c r="A7239" i="2"/>
  <c r="A7238" i="2"/>
  <c r="A7237" i="2"/>
  <c r="A7236" i="2"/>
  <c r="A7235" i="2"/>
  <c r="A7234" i="2"/>
  <c r="A7233" i="2"/>
  <c r="A7232" i="2"/>
  <c r="A7231" i="2"/>
  <c r="A7230" i="2"/>
  <c r="A7229" i="2"/>
  <c r="A7228" i="2"/>
  <c r="A7227" i="2"/>
  <c r="A7226" i="2"/>
  <c r="A7225" i="2"/>
  <c r="A7224" i="2"/>
  <c r="A7223" i="2"/>
  <c r="A7222" i="2"/>
  <c r="A7221" i="2"/>
  <c r="A7220" i="2"/>
  <c r="A7219" i="2"/>
  <c r="A7218" i="2"/>
  <c r="A7217" i="2"/>
  <c r="A7216" i="2"/>
  <c r="A7215" i="2"/>
  <c r="A7214" i="2"/>
  <c r="A7213" i="2"/>
  <c r="A7212" i="2"/>
  <c r="A7211" i="2"/>
  <c r="A7210" i="2"/>
  <c r="A7209" i="2"/>
  <c r="A7208" i="2"/>
  <c r="A7207" i="2"/>
  <c r="A7206" i="2"/>
  <c r="A7205" i="2"/>
  <c r="A7204" i="2"/>
  <c r="A7203" i="2"/>
  <c r="A7202" i="2"/>
  <c r="A7201" i="2"/>
  <c r="A7200" i="2"/>
  <c r="A7199" i="2"/>
  <c r="A7198" i="2"/>
  <c r="A7197" i="2"/>
  <c r="A7196" i="2"/>
  <c r="A7195" i="2"/>
  <c r="A7194" i="2"/>
  <c r="A7193" i="2"/>
  <c r="A7192" i="2"/>
  <c r="A7191" i="2"/>
  <c r="A7190" i="2"/>
  <c r="A7189" i="2"/>
  <c r="A7188" i="2"/>
  <c r="A7187" i="2"/>
  <c r="A7186" i="2"/>
  <c r="A7185" i="2"/>
  <c r="A7184" i="2"/>
  <c r="A7183" i="2"/>
  <c r="A7182" i="2"/>
  <c r="A7181" i="2"/>
  <c r="A7180" i="2"/>
  <c r="A7179" i="2"/>
  <c r="A7178" i="2"/>
  <c r="A7177" i="2"/>
  <c r="A7176" i="2"/>
  <c r="A7175" i="2"/>
  <c r="A7174" i="2"/>
  <c r="A7173" i="2"/>
  <c r="A7172" i="2"/>
  <c r="A7171" i="2"/>
  <c r="A7170" i="2"/>
  <c r="A7169" i="2"/>
  <c r="A7168" i="2"/>
  <c r="A7167" i="2"/>
  <c r="A7166" i="2"/>
  <c r="A7165" i="2"/>
  <c r="A7164" i="2"/>
  <c r="A7163" i="2"/>
  <c r="A7162" i="2"/>
  <c r="A7161" i="2"/>
  <c r="A7160" i="2"/>
  <c r="A7159" i="2"/>
  <c r="A7158" i="2"/>
  <c r="A7157" i="2"/>
  <c r="A7156" i="2"/>
  <c r="A7155" i="2"/>
  <c r="A7154" i="2"/>
  <c r="A7153" i="2"/>
  <c r="A7152" i="2"/>
  <c r="A7151" i="2"/>
  <c r="A7150" i="2"/>
  <c r="A7149" i="2"/>
  <c r="A7148" i="2"/>
  <c r="A7147" i="2"/>
  <c r="A7146" i="2"/>
  <c r="A7145" i="2"/>
  <c r="A7144" i="2"/>
  <c r="A7143" i="2"/>
  <c r="A7142" i="2"/>
  <c r="A7141" i="2"/>
  <c r="A7140" i="2"/>
  <c r="A7139" i="2"/>
  <c r="A7138" i="2"/>
  <c r="A7137" i="2"/>
  <c r="A7136" i="2"/>
  <c r="A7135" i="2"/>
  <c r="A7134" i="2"/>
  <c r="A7133" i="2"/>
  <c r="A7132" i="2"/>
  <c r="A7131" i="2"/>
  <c r="A7130" i="2"/>
  <c r="A7129" i="2"/>
  <c r="A7128" i="2"/>
  <c r="A7127" i="2"/>
  <c r="A7126" i="2"/>
  <c r="A7125" i="2"/>
  <c r="A7124" i="2"/>
  <c r="A7123" i="2"/>
  <c r="A7122" i="2"/>
  <c r="A7121" i="2"/>
  <c r="A7120" i="2"/>
  <c r="A7119" i="2"/>
  <c r="A7118" i="2"/>
  <c r="A7117" i="2"/>
  <c r="A7116" i="2"/>
  <c r="A7115" i="2"/>
  <c r="A7114" i="2"/>
  <c r="A7113" i="2"/>
  <c r="A7112" i="2"/>
  <c r="A7111" i="2"/>
  <c r="A7110" i="2"/>
  <c r="A7109" i="2"/>
  <c r="A7108" i="2"/>
  <c r="A7107" i="2"/>
  <c r="A7106" i="2"/>
  <c r="A7105" i="2"/>
  <c r="A7104" i="2"/>
  <c r="A7103" i="2"/>
  <c r="A7102" i="2"/>
  <c r="A7101" i="2"/>
  <c r="A7100" i="2"/>
  <c r="A7099" i="2"/>
  <c r="A7098" i="2"/>
  <c r="A7097" i="2"/>
  <c r="A7096" i="2"/>
  <c r="A7095" i="2"/>
  <c r="A7094" i="2"/>
  <c r="A7093" i="2"/>
  <c r="A7092" i="2"/>
  <c r="A7091" i="2"/>
  <c r="A7090" i="2"/>
  <c r="A7089" i="2"/>
  <c r="A7088" i="2"/>
  <c r="A7087" i="2"/>
  <c r="A7086" i="2"/>
  <c r="A7085" i="2"/>
  <c r="A7084" i="2"/>
  <c r="A7083" i="2"/>
  <c r="A7082" i="2"/>
  <c r="A7081" i="2"/>
  <c r="A7080" i="2"/>
  <c r="A7079" i="2"/>
  <c r="A7078" i="2"/>
  <c r="A7077" i="2"/>
  <c r="A7076" i="2"/>
  <c r="A7075" i="2"/>
  <c r="A7074" i="2"/>
  <c r="A7073" i="2"/>
  <c r="A7072" i="2"/>
  <c r="A7071" i="2"/>
  <c r="A7070" i="2"/>
  <c r="A7069" i="2"/>
  <c r="A7068" i="2"/>
  <c r="A7067" i="2"/>
  <c r="A7066" i="2"/>
  <c r="A7065" i="2"/>
  <c r="A7064" i="2"/>
  <c r="A7063" i="2"/>
  <c r="A7062" i="2"/>
  <c r="A7061" i="2"/>
  <c r="A7060" i="2"/>
  <c r="A7059" i="2"/>
  <c r="A7058" i="2"/>
  <c r="A7057" i="2"/>
  <c r="A7056" i="2"/>
  <c r="A7055" i="2"/>
  <c r="A7054" i="2"/>
  <c r="A7053" i="2"/>
  <c r="A7052" i="2"/>
  <c r="A7051" i="2"/>
  <c r="A7050" i="2"/>
  <c r="A7049" i="2"/>
  <c r="A7048" i="2"/>
  <c r="A7047" i="2"/>
  <c r="A7046" i="2"/>
  <c r="A7045" i="2"/>
  <c r="A7044" i="2"/>
  <c r="A7043" i="2"/>
  <c r="A7042" i="2"/>
  <c r="A7041" i="2"/>
  <c r="A7040" i="2"/>
  <c r="A7039" i="2"/>
  <c r="A7038" i="2"/>
  <c r="A7037" i="2"/>
  <c r="A7036" i="2"/>
  <c r="A7035" i="2"/>
  <c r="A7034" i="2"/>
  <c r="A7033" i="2"/>
  <c r="A7032" i="2"/>
  <c r="A7031" i="2"/>
  <c r="A7030" i="2"/>
  <c r="A7029" i="2"/>
  <c r="A7028" i="2"/>
  <c r="A7027" i="2"/>
  <c r="A7026" i="2"/>
  <c r="A7025" i="2"/>
  <c r="A7024" i="2"/>
  <c r="A7023" i="2"/>
  <c r="A7022" i="2"/>
  <c r="A7021" i="2"/>
  <c r="A7020" i="2"/>
  <c r="A7019" i="2"/>
  <c r="A7018" i="2"/>
  <c r="A7017" i="2"/>
  <c r="A7016" i="2"/>
  <c r="A7015" i="2"/>
  <c r="A7014" i="2"/>
  <c r="A7013" i="2"/>
  <c r="A7012" i="2"/>
  <c r="A7011" i="2"/>
  <c r="A7010" i="2"/>
  <c r="A7009" i="2"/>
  <c r="A7008" i="2"/>
  <c r="A7007" i="2"/>
  <c r="A7006" i="2"/>
  <c r="A7005" i="2"/>
  <c r="A7004" i="2"/>
  <c r="A7003" i="2"/>
  <c r="A7002" i="2"/>
  <c r="A7001" i="2"/>
  <c r="A7000" i="2"/>
  <c r="A6999" i="2"/>
  <c r="A6998" i="2"/>
  <c r="A6997" i="2"/>
  <c r="A6996" i="2"/>
  <c r="A6995" i="2"/>
  <c r="A6994" i="2"/>
  <c r="A6993" i="2"/>
  <c r="A6992" i="2"/>
  <c r="A6991" i="2"/>
  <c r="A6990" i="2"/>
  <c r="A6989" i="2"/>
  <c r="A6988" i="2"/>
  <c r="A6987" i="2"/>
  <c r="A6986" i="2"/>
  <c r="A6985" i="2"/>
  <c r="A6984" i="2"/>
  <c r="A6983" i="2"/>
  <c r="A6982" i="2"/>
  <c r="A6981" i="2"/>
  <c r="A6980" i="2"/>
  <c r="A6979" i="2"/>
  <c r="A6978" i="2"/>
  <c r="A6977" i="2"/>
  <c r="A6976" i="2"/>
  <c r="A6975" i="2"/>
  <c r="A6974" i="2"/>
  <c r="A6973" i="2"/>
  <c r="A6972" i="2"/>
  <c r="A6971" i="2"/>
  <c r="A6970" i="2"/>
  <c r="A6969" i="2"/>
  <c r="A6968" i="2"/>
  <c r="A6967" i="2"/>
  <c r="A6966" i="2"/>
  <c r="A6965" i="2"/>
  <c r="A6964" i="2"/>
  <c r="A6963" i="2"/>
  <c r="A6962" i="2"/>
  <c r="A6961" i="2"/>
  <c r="A6960" i="2"/>
  <c r="A6959" i="2"/>
  <c r="A6958" i="2"/>
  <c r="A6957" i="2"/>
  <c r="A6956" i="2"/>
  <c r="A6955" i="2"/>
  <c r="A6954" i="2"/>
  <c r="A6953" i="2"/>
  <c r="A6952" i="2"/>
  <c r="A6951" i="2"/>
  <c r="A6950" i="2"/>
  <c r="A6949" i="2"/>
  <c r="A6948" i="2"/>
  <c r="A6947" i="2"/>
  <c r="A6946" i="2"/>
  <c r="A6945" i="2"/>
  <c r="A6944" i="2"/>
  <c r="A6943" i="2"/>
  <c r="A6942" i="2"/>
  <c r="A6941" i="2"/>
  <c r="A6940" i="2"/>
  <c r="A6939" i="2"/>
  <c r="A6938" i="2"/>
  <c r="A6937" i="2"/>
  <c r="A6936" i="2"/>
  <c r="A6935" i="2"/>
  <c r="A6934" i="2"/>
  <c r="A6933" i="2"/>
  <c r="A6932" i="2"/>
  <c r="A6931" i="2"/>
  <c r="A6930" i="2"/>
  <c r="A6929" i="2"/>
  <c r="A6928" i="2"/>
  <c r="A6927" i="2"/>
  <c r="A6926" i="2"/>
  <c r="A6925" i="2"/>
  <c r="A6924" i="2"/>
  <c r="A6923" i="2"/>
  <c r="A6922" i="2"/>
  <c r="A6921" i="2"/>
  <c r="A6920" i="2"/>
  <c r="A6919" i="2"/>
  <c r="A6918" i="2"/>
  <c r="A6917" i="2"/>
  <c r="A6916" i="2"/>
  <c r="A6915" i="2"/>
  <c r="A6914" i="2"/>
  <c r="A6913" i="2"/>
  <c r="A6912" i="2"/>
  <c r="A6911" i="2"/>
  <c r="A6910" i="2"/>
  <c r="A6909" i="2"/>
  <c r="A6908" i="2"/>
  <c r="A6907" i="2"/>
  <c r="A6906" i="2"/>
  <c r="A6905" i="2"/>
  <c r="A6904" i="2"/>
  <c r="A6903" i="2"/>
  <c r="A6902" i="2"/>
  <c r="A6901" i="2"/>
  <c r="A6900" i="2"/>
  <c r="A6899" i="2"/>
  <c r="A6898" i="2"/>
  <c r="A6897" i="2"/>
  <c r="A6896" i="2"/>
  <c r="A6895" i="2"/>
  <c r="A6894" i="2"/>
  <c r="A6893" i="2"/>
  <c r="A6892" i="2"/>
  <c r="A6891" i="2"/>
  <c r="A6890" i="2"/>
  <c r="A6889" i="2"/>
  <c r="A6888" i="2"/>
  <c r="A6887" i="2"/>
  <c r="A6886" i="2"/>
  <c r="A6885" i="2"/>
  <c r="A6884" i="2"/>
  <c r="A6883" i="2"/>
  <c r="A6882" i="2"/>
  <c r="A6881" i="2"/>
  <c r="A6880" i="2"/>
  <c r="A6879" i="2"/>
  <c r="A6878" i="2"/>
  <c r="A6877" i="2"/>
  <c r="A6876" i="2"/>
  <c r="A6875" i="2"/>
  <c r="A6874" i="2"/>
  <c r="A6873" i="2"/>
  <c r="A6872" i="2"/>
  <c r="A6871" i="2"/>
  <c r="A6870" i="2"/>
  <c r="A6869" i="2"/>
  <c r="A6868" i="2"/>
  <c r="A6867" i="2"/>
  <c r="A6866" i="2"/>
  <c r="A6865" i="2"/>
  <c r="A6864" i="2"/>
  <c r="A6863" i="2"/>
  <c r="A6862" i="2"/>
  <c r="A6861" i="2"/>
  <c r="A6860" i="2"/>
  <c r="A6859" i="2"/>
  <c r="A6858" i="2"/>
  <c r="A6857" i="2"/>
  <c r="A6856" i="2"/>
  <c r="A6855" i="2"/>
  <c r="A6854" i="2"/>
  <c r="A6853" i="2"/>
  <c r="A6852" i="2"/>
  <c r="A6851" i="2"/>
  <c r="A6850" i="2"/>
  <c r="A6849" i="2"/>
  <c r="A6848" i="2"/>
  <c r="A6847" i="2"/>
  <c r="A6846" i="2"/>
  <c r="A6845" i="2"/>
  <c r="A6844" i="2"/>
  <c r="A6843" i="2"/>
  <c r="A6842" i="2"/>
  <c r="A6841" i="2"/>
  <c r="A6840" i="2"/>
  <c r="A6839" i="2"/>
  <c r="A6838" i="2"/>
  <c r="A6837" i="2"/>
  <c r="A6836" i="2"/>
  <c r="A6835" i="2"/>
  <c r="A6834" i="2"/>
  <c r="A6833" i="2"/>
  <c r="A6832" i="2"/>
  <c r="A6831" i="2"/>
  <c r="A6830" i="2"/>
  <c r="A6829" i="2"/>
  <c r="A6828" i="2"/>
  <c r="A6827" i="2"/>
  <c r="A6826" i="2"/>
  <c r="A6825" i="2"/>
  <c r="A6824" i="2"/>
  <c r="A6823" i="2"/>
  <c r="A6822" i="2"/>
  <c r="A6821" i="2"/>
  <c r="A6820" i="2"/>
  <c r="A6819" i="2"/>
  <c r="A6818" i="2"/>
  <c r="A6817" i="2"/>
  <c r="A6816" i="2"/>
  <c r="A6815" i="2"/>
  <c r="A6814" i="2"/>
  <c r="A6813" i="2"/>
  <c r="A6812" i="2"/>
  <c r="A6811" i="2"/>
  <c r="A6810" i="2"/>
  <c r="A6809" i="2"/>
  <c r="A6808" i="2"/>
  <c r="A6807" i="2"/>
  <c r="A6806" i="2"/>
  <c r="A6805" i="2"/>
  <c r="A6804" i="2"/>
  <c r="A6803" i="2"/>
  <c r="A6802" i="2"/>
  <c r="A6801" i="2"/>
  <c r="A6800" i="2"/>
  <c r="A6799" i="2"/>
  <c r="A6798" i="2"/>
  <c r="A6797" i="2"/>
  <c r="A6796" i="2"/>
  <c r="A6795" i="2"/>
  <c r="A6794" i="2"/>
  <c r="A6793" i="2"/>
  <c r="A6792" i="2"/>
  <c r="A6791" i="2"/>
  <c r="A6790" i="2"/>
  <c r="A6789" i="2"/>
  <c r="A6788" i="2"/>
  <c r="A6787" i="2"/>
  <c r="A6786" i="2"/>
  <c r="A6785" i="2"/>
  <c r="A6784" i="2"/>
  <c r="A6783" i="2"/>
  <c r="A6782" i="2"/>
  <c r="A6781" i="2"/>
  <c r="A6780" i="2"/>
  <c r="A6779" i="2"/>
  <c r="A6778" i="2"/>
  <c r="A6777" i="2"/>
  <c r="A6776" i="2"/>
  <c r="A6775" i="2"/>
  <c r="A6774" i="2"/>
  <c r="A6773" i="2"/>
  <c r="A6772" i="2"/>
  <c r="A6771" i="2"/>
  <c r="A6770" i="2"/>
  <c r="A6769" i="2"/>
  <c r="A6768" i="2"/>
  <c r="A6767" i="2"/>
  <c r="A6766" i="2"/>
  <c r="A6765" i="2"/>
  <c r="A6764" i="2"/>
  <c r="A6763" i="2"/>
  <c r="A6762" i="2"/>
  <c r="A6761" i="2"/>
  <c r="A6760" i="2"/>
  <c r="A6759" i="2"/>
  <c r="A6758" i="2"/>
  <c r="A6757" i="2"/>
  <c r="A6756" i="2"/>
  <c r="A6755" i="2"/>
  <c r="A6754" i="2"/>
  <c r="A6753" i="2"/>
  <c r="A6752" i="2"/>
  <c r="A6751" i="2"/>
  <c r="A6750" i="2"/>
  <c r="A6749" i="2"/>
  <c r="A6748" i="2"/>
  <c r="A6747" i="2"/>
  <c r="A6746" i="2"/>
  <c r="A6745" i="2"/>
  <c r="A6744" i="2"/>
  <c r="A6743" i="2"/>
  <c r="A6742" i="2"/>
  <c r="A6741" i="2"/>
  <c r="A6740" i="2"/>
  <c r="A6739" i="2"/>
  <c r="A6738" i="2"/>
  <c r="A6737" i="2"/>
  <c r="A6736" i="2"/>
  <c r="A6735" i="2"/>
  <c r="A6734" i="2"/>
  <c r="A6733" i="2"/>
  <c r="A6732" i="2"/>
  <c r="A6731" i="2"/>
  <c r="A6730" i="2"/>
  <c r="A6729" i="2"/>
  <c r="A6728" i="2"/>
  <c r="A6727" i="2"/>
  <c r="A6726" i="2"/>
  <c r="A6725" i="2"/>
  <c r="A6724" i="2"/>
  <c r="A6723" i="2"/>
  <c r="A6722" i="2"/>
  <c r="A6721" i="2"/>
  <c r="A6720" i="2"/>
  <c r="A6719" i="2"/>
  <c r="A6718" i="2"/>
  <c r="A6717" i="2"/>
  <c r="A6716" i="2"/>
  <c r="A6715" i="2"/>
  <c r="A6714" i="2"/>
  <c r="A6713" i="2"/>
  <c r="A6712" i="2"/>
  <c r="A6711" i="2"/>
  <c r="A6710" i="2"/>
  <c r="A6709" i="2"/>
  <c r="A6708" i="2"/>
  <c r="A6707" i="2"/>
  <c r="A6706" i="2"/>
  <c r="A6705" i="2"/>
  <c r="A6704" i="2"/>
  <c r="A6703" i="2"/>
  <c r="A6702" i="2"/>
  <c r="A6701" i="2"/>
  <c r="A6700" i="2"/>
  <c r="A6699" i="2"/>
  <c r="A6698" i="2"/>
  <c r="A6697" i="2"/>
  <c r="A6696" i="2"/>
  <c r="A6695" i="2"/>
  <c r="A6694" i="2"/>
  <c r="A6693" i="2"/>
  <c r="A6692" i="2"/>
  <c r="A6691" i="2"/>
  <c r="A6690" i="2"/>
  <c r="A6689" i="2"/>
  <c r="A6688" i="2"/>
  <c r="A6687" i="2"/>
  <c r="A6686" i="2"/>
  <c r="A6685" i="2"/>
  <c r="A6684" i="2"/>
  <c r="A6683" i="2"/>
  <c r="A6682" i="2"/>
  <c r="A6681" i="2"/>
  <c r="A6680" i="2"/>
  <c r="A6679" i="2"/>
  <c r="A6678" i="2"/>
  <c r="A6677" i="2"/>
  <c r="A6676" i="2"/>
  <c r="A6675" i="2"/>
  <c r="A6674" i="2"/>
  <c r="A6673" i="2"/>
  <c r="A6672" i="2"/>
  <c r="A6671" i="2"/>
  <c r="A6670" i="2"/>
  <c r="A6669" i="2"/>
  <c r="A6668" i="2"/>
  <c r="A6667" i="2"/>
  <c r="A6666" i="2"/>
  <c r="A6665" i="2"/>
  <c r="A6664" i="2"/>
  <c r="A6663" i="2"/>
  <c r="A6662" i="2"/>
  <c r="A6661" i="2"/>
  <c r="A6660" i="2"/>
  <c r="A6659" i="2"/>
  <c r="A6658" i="2"/>
  <c r="A6657" i="2"/>
  <c r="A6656" i="2"/>
  <c r="A6655" i="2"/>
  <c r="A6654" i="2"/>
  <c r="A6653" i="2"/>
  <c r="A6652" i="2"/>
  <c r="A6651" i="2"/>
  <c r="A6650" i="2"/>
  <c r="A6649" i="2"/>
  <c r="A6648" i="2"/>
  <c r="A6647" i="2"/>
  <c r="A6646" i="2"/>
  <c r="A6645" i="2"/>
  <c r="A6644" i="2"/>
  <c r="A6643" i="2"/>
  <c r="A6642" i="2"/>
  <c r="A6641" i="2"/>
  <c r="A6640" i="2"/>
  <c r="A6639" i="2"/>
  <c r="A6638" i="2"/>
  <c r="A6637" i="2"/>
  <c r="A6636" i="2"/>
  <c r="A6635" i="2"/>
  <c r="A6634" i="2"/>
  <c r="A6633" i="2"/>
  <c r="A6632" i="2"/>
  <c r="A6631" i="2"/>
  <c r="A6630" i="2"/>
  <c r="A6629" i="2"/>
  <c r="A6628" i="2"/>
  <c r="A6627" i="2"/>
  <c r="A6626" i="2"/>
  <c r="A6625" i="2"/>
  <c r="A6624" i="2"/>
  <c r="A6623" i="2"/>
  <c r="A6622" i="2"/>
  <c r="A6621" i="2"/>
  <c r="A6620" i="2"/>
  <c r="A6619" i="2"/>
  <c r="A6618" i="2"/>
  <c r="A6617" i="2"/>
  <c r="A6616" i="2"/>
  <c r="A6615" i="2"/>
  <c r="A6614" i="2"/>
  <c r="A6613" i="2"/>
  <c r="A6612" i="2"/>
  <c r="A6611" i="2"/>
  <c r="A6610" i="2"/>
  <c r="A6609" i="2"/>
  <c r="A6608" i="2"/>
  <c r="A6607" i="2"/>
  <c r="A6606" i="2"/>
  <c r="A6605" i="2"/>
  <c r="A6604" i="2"/>
  <c r="A6603" i="2"/>
  <c r="A6602" i="2"/>
  <c r="A6601" i="2"/>
  <c r="A6600" i="2"/>
  <c r="A6599" i="2"/>
  <c r="A6598" i="2"/>
  <c r="A6597" i="2"/>
  <c r="A6596" i="2"/>
  <c r="A6595" i="2"/>
  <c r="A6594" i="2"/>
  <c r="A6593" i="2"/>
  <c r="A6592" i="2"/>
  <c r="A6591" i="2"/>
  <c r="A6590" i="2"/>
  <c r="A6589" i="2"/>
  <c r="A6588" i="2"/>
  <c r="A6587" i="2"/>
  <c r="A6586" i="2"/>
  <c r="A6585" i="2"/>
  <c r="A6584" i="2"/>
  <c r="A6583" i="2"/>
  <c r="A6582" i="2"/>
  <c r="A6581" i="2"/>
  <c r="A6580" i="2"/>
  <c r="A6579" i="2"/>
  <c r="A6578" i="2"/>
  <c r="A6577" i="2"/>
  <c r="A6576" i="2"/>
  <c r="A6575" i="2"/>
  <c r="A6574" i="2"/>
  <c r="A6573" i="2"/>
  <c r="A6572" i="2"/>
  <c r="A6571" i="2"/>
  <c r="A6570" i="2"/>
  <c r="A6569" i="2"/>
  <c r="A6568" i="2"/>
  <c r="A6567" i="2"/>
  <c r="A6566" i="2"/>
  <c r="A6565" i="2"/>
  <c r="A6564" i="2"/>
  <c r="A6563" i="2"/>
  <c r="A6562" i="2"/>
  <c r="A6561" i="2"/>
  <c r="A6560" i="2"/>
  <c r="A6559" i="2"/>
  <c r="A6558" i="2"/>
  <c r="A6557" i="2"/>
  <c r="A6556" i="2"/>
  <c r="A6555" i="2"/>
  <c r="A6554" i="2"/>
  <c r="A6553" i="2"/>
  <c r="A6552" i="2"/>
  <c r="A6551" i="2"/>
  <c r="A6550" i="2"/>
  <c r="A6549" i="2"/>
  <c r="A6548" i="2"/>
  <c r="A6547" i="2"/>
  <c r="A6546" i="2"/>
  <c r="A6545" i="2"/>
  <c r="A6544" i="2"/>
  <c r="A6543" i="2"/>
  <c r="A6542" i="2"/>
  <c r="A6541" i="2"/>
  <c r="A6540" i="2"/>
  <c r="A6539" i="2"/>
  <c r="A6538" i="2"/>
  <c r="A6537" i="2"/>
  <c r="A6536" i="2"/>
  <c r="A6535" i="2"/>
  <c r="A6534" i="2"/>
  <c r="A6533" i="2"/>
  <c r="A6532" i="2"/>
  <c r="A6531" i="2"/>
  <c r="A6530" i="2"/>
  <c r="A6529" i="2"/>
  <c r="A6528" i="2"/>
  <c r="A6527" i="2"/>
  <c r="A6526" i="2"/>
  <c r="A6525" i="2"/>
  <c r="A6524" i="2"/>
  <c r="A6523" i="2"/>
  <c r="A6522" i="2"/>
  <c r="A6521" i="2"/>
  <c r="A6520" i="2"/>
  <c r="A6519" i="2"/>
  <c r="A6518" i="2"/>
  <c r="A6517" i="2"/>
  <c r="A6516" i="2"/>
  <c r="A6515" i="2"/>
  <c r="A6514" i="2"/>
  <c r="A6513" i="2"/>
  <c r="A6512" i="2"/>
  <c r="A6511" i="2"/>
  <c r="A6510" i="2"/>
  <c r="A6509" i="2"/>
  <c r="A6508" i="2"/>
  <c r="A6507" i="2"/>
  <c r="A6506" i="2"/>
  <c r="A6505" i="2"/>
  <c r="A6504" i="2"/>
  <c r="A6503" i="2"/>
  <c r="A6502" i="2"/>
  <c r="A6501" i="2"/>
  <c r="A6500" i="2"/>
  <c r="A6499" i="2"/>
  <c r="A6498" i="2"/>
  <c r="A6497" i="2"/>
  <c r="A6496" i="2"/>
  <c r="A6495" i="2"/>
  <c r="A6494" i="2"/>
  <c r="A6493" i="2"/>
  <c r="A6492" i="2"/>
  <c r="A6491" i="2"/>
  <c r="A6490" i="2"/>
  <c r="A6489" i="2"/>
  <c r="A6488" i="2"/>
  <c r="A6487" i="2"/>
  <c r="A6486" i="2"/>
  <c r="A6485" i="2"/>
  <c r="A6484" i="2"/>
  <c r="A6483" i="2"/>
  <c r="A6482" i="2"/>
  <c r="A6481" i="2"/>
  <c r="A6480" i="2"/>
  <c r="A6479" i="2"/>
  <c r="A6478" i="2"/>
  <c r="A6477" i="2"/>
  <c r="A6476" i="2"/>
  <c r="A6475" i="2"/>
  <c r="A6474" i="2"/>
  <c r="A6473" i="2"/>
  <c r="A6472" i="2"/>
  <c r="A6471" i="2"/>
  <c r="A6470" i="2"/>
  <c r="A6469" i="2"/>
  <c r="A6468" i="2"/>
  <c r="A6467" i="2"/>
  <c r="A6466" i="2"/>
  <c r="A6465" i="2"/>
  <c r="A6464" i="2"/>
  <c r="A6463" i="2"/>
  <c r="A6462" i="2"/>
  <c r="A6461" i="2"/>
  <c r="A6460" i="2"/>
  <c r="A6459" i="2"/>
  <c r="A6458" i="2"/>
  <c r="A6457" i="2"/>
  <c r="A6456" i="2"/>
  <c r="A6455" i="2"/>
  <c r="A6454" i="2"/>
  <c r="A6453" i="2"/>
  <c r="A6452" i="2"/>
  <c r="A6451" i="2"/>
  <c r="A6450" i="2"/>
  <c r="A6449" i="2"/>
  <c r="A6448" i="2"/>
  <c r="A6447" i="2"/>
  <c r="A6446" i="2"/>
  <c r="A6445" i="2"/>
  <c r="A6444" i="2"/>
  <c r="A6443" i="2"/>
  <c r="A6442" i="2"/>
  <c r="A6441" i="2"/>
  <c r="A6440" i="2"/>
  <c r="A6439" i="2"/>
  <c r="A6438" i="2"/>
  <c r="A6437" i="2"/>
  <c r="A6436" i="2"/>
  <c r="A6435" i="2"/>
  <c r="A6434" i="2"/>
  <c r="A6433" i="2"/>
  <c r="A6432" i="2"/>
  <c r="A6431" i="2"/>
  <c r="A6430" i="2"/>
  <c r="A6429" i="2"/>
  <c r="A6428" i="2"/>
  <c r="A6427" i="2"/>
  <c r="A6426" i="2"/>
  <c r="A6425" i="2"/>
  <c r="A6424" i="2"/>
  <c r="A6423" i="2"/>
  <c r="A6422" i="2"/>
  <c r="A6421" i="2"/>
  <c r="A6420" i="2"/>
  <c r="A6419" i="2"/>
  <c r="A6418" i="2"/>
  <c r="A6417" i="2"/>
  <c r="A6416" i="2"/>
  <c r="A6415" i="2"/>
  <c r="A6414" i="2"/>
  <c r="A6413" i="2"/>
  <c r="A6412" i="2"/>
  <c r="A6411" i="2"/>
  <c r="A6410" i="2"/>
  <c r="A6409" i="2"/>
  <c r="A6408" i="2"/>
  <c r="A6407" i="2"/>
  <c r="A6406" i="2"/>
  <c r="A6405" i="2"/>
  <c r="A6404" i="2"/>
  <c r="A6403" i="2"/>
  <c r="A6402" i="2"/>
  <c r="A6401" i="2"/>
  <c r="A6400" i="2"/>
  <c r="A6399" i="2"/>
  <c r="A6398" i="2"/>
  <c r="A6397" i="2"/>
  <c r="A6396" i="2"/>
  <c r="A6395" i="2"/>
  <c r="A6394" i="2"/>
  <c r="A6393" i="2"/>
  <c r="A6392" i="2"/>
  <c r="A6391" i="2"/>
  <c r="A6390" i="2"/>
  <c r="A6389" i="2"/>
  <c r="A6388" i="2"/>
  <c r="A6387" i="2"/>
  <c r="A6386" i="2"/>
  <c r="A6385" i="2"/>
  <c r="A6384" i="2"/>
  <c r="A6383" i="2"/>
  <c r="A6382" i="2"/>
  <c r="A6381" i="2"/>
  <c r="A6380" i="2"/>
  <c r="A6379" i="2"/>
  <c r="A6378" i="2"/>
  <c r="A6377" i="2"/>
  <c r="A6376" i="2"/>
  <c r="A6375" i="2"/>
  <c r="A6374" i="2"/>
  <c r="A6373" i="2"/>
  <c r="A6372" i="2"/>
  <c r="A6371" i="2"/>
  <c r="A6370" i="2"/>
  <c r="A6369" i="2"/>
  <c r="A6368" i="2"/>
  <c r="A6367" i="2"/>
  <c r="A6366" i="2"/>
  <c r="A6365" i="2"/>
  <c r="A6364" i="2"/>
  <c r="A6363" i="2"/>
  <c r="A6362" i="2"/>
  <c r="A6361" i="2"/>
  <c r="A6360" i="2"/>
  <c r="A6359" i="2"/>
  <c r="A6358" i="2"/>
  <c r="A6357" i="2"/>
  <c r="A6356" i="2"/>
  <c r="A6355" i="2"/>
  <c r="A6354" i="2"/>
  <c r="A6353" i="2"/>
  <c r="A6352" i="2"/>
  <c r="A6351" i="2"/>
  <c r="A6350" i="2"/>
  <c r="A6349" i="2"/>
  <c r="A6348" i="2"/>
  <c r="A6347" i="2"/>
  <c r="A6346" i="2"/>
  <c r="A6345" i="2"/>
  <c r="A6344" i="2"/>
  <c r="A6343" i="2"/>
  <c r="A6342" i="2"/>
  <c r="A6341" i="2"/>
  <c r="A6340" i="2"/>
  <c r="A6339" i="2"/>
  <c r="A6338" i="2"/>
  <c r="A6337" i="2"/>
  <c r="A6336" i="2"/>
  <c r="A6335" i="2"/>
  <c r="A6334" i="2"/>
  <c r="A6333" i="2"/>
  <c r="A6332" i="2"/>
  <c r="A6331" i="2"/>
  <c r="A6330" i="2"/>
  <c r="A6329" i="2"/>
  <c r="A6328" i="2"/>
  <c r="A6327" i="2"/>
  <c r="A6326" i="2"/>
  <c r="A6325" i="2"/>
  <c r="A6324" i="2"/>
  <c r="A6323" i="2"/>
  <c r="A6322" i="2"/>
  <c r="A6321" i="2"/>
  <c r="A6320" i="2"/>
  <c r="A6319" i="2"/>
  <c r="A6318" i="2"/>
  <c r="A6317" i="2"/>
  <c r="A6316" i="2"/>
  <c r="A6315" i="2"/>
  <c r="A6314" i="2"/>
  <c r="A6313" i="2"/>
  <c r="A6312" i="2"/>
  <c r="A6311" i="2"/>
  <c r="A6310" i="2"/>
  <c r="A6309" i="2"/>
  <c r="A6308" i="2"/>
  <c r="A6307" i="2"/>
  <c r="A6306" i="2"/>
  <c r="A6305" i="2"/>
  <c r="A6304" i="2"/>
  <c r="A6303" i="2"/>
  <c r="A6302" i="2"/>
  <c r="A6301" i="2"/>
  <c r="A6300" i="2"/>
  <c r="A6299" i="2"/>
  <c r="A6298" i="2"/>
  <c r="A6297" i="2"/>
  <c r="A6296" i="2"/>
  <c r="A6295" i="2"/>
  <c r="A6294" i="2"/>
  <c r="A6293" i="2"/>
  <c r="A6292" i="2"/>
  <c r="A6291" i="2"/>
  <c r="A6290" i="2"/>
  <c r="A6289" i="2"/>
  <c r="A6288" i="2"/>
  <c r="A6287" i="2"/>
  <c r="A6286" i="2"/>
  <c r="A6285" i="2"/>
  <c r="A6284" i="2"/>
  <c r="A6283" i="2"/>
  <c r="A6282" i="2"/>
  <c r="A6281" i="2"/>
  <c r="A6280" i="2"/>
  <c r="A6279" i="2"/>
  <c r="A6278" i="2"/>
  <c r="A6277" i="2"/>
  <c r="A6276" i="2"/>
  <c r="A6275" i="2"/>
  <c r="A6274" i="2"/>
  <c r="A6273" i="2"/>
  <c r="A6272" i="2"/>
  <c r="A6271" i="2"/>
  <c r="A6270" i="2"/>
  <c r="A6269" i="2"/>
  <c r="A6268" i="2"/>
  <c r="A6267" i="2"/>
  <c r="A6266" i="2"/>
  <c r="A6265" i="2"/>
  <c r="A6264" i="2"/>
  <c r="A6263" i="2"/>
  <c r="A6262" i="2"/>
  <c r="A6261" i="2"/>
  <c r="A6260" i="2"/>
  <c r="A6259" i="2"/>
  <c r="A6258" i="2"/>
  <c r="A6257" i="2"/>
  <c r="A6256" i="2"/>
  <c r="A6255" i="2"/>
  <c r="A6254" i="2"/>
  <c r="A6253" i="2"/>
  <c r="A6252" i="2"/>
  <c r="A6251" i="2"/>
  <c r="A6250" i="2"/>
  <c r="A6249" i="2"/>
  <c r="A6248" i="2"/>
  <c r="A6247" i="2"/>
  <c r="A6246" i="2"/>
  <c r="A6245" i="2"/>
  <c r="A6244" i="2"/>
  <c r="A6243" i="2"/>
  <c r="A6242" i="2"/>
  <c r="A6241" i="2"/>
  <c r="A6240" i="2"/>
  <c r="A6239" i="2"/>
  <c r="A6238" i="2"/>
  <c r="A6237" i="2"/>
  <c r="A6236" i="2"/>
  <c r="A6235" i="2"/>
  <c r="A6234" i="2"/>
  <c r="A6233" i="2"/>
  <c r="A6232" i="2"/>
  <c r="A6231" i="2"/>
  <c r="A6230" i="2"/>
  <c r="A6229" i="2"/>
  <c r="A6228" i="2"/>
  <c r="A6227" i="2"/>
  <c r="A6226" i="2"/>
  <c r="A6225" i="2"/>
  <c r="A6224" i="2"/>
  <c r="A6223" i="2"/>
  <c r="A6222" i="2"/>
  <c r="A6221" i="2"/>
  <c r="A6220" i="2"/>
  <c r="A6219" i="2"/>
  <c r="A6218" i="2"/>
  <c r="A6217" i="2"/>
  <c r="A6216" i="2"/>
  <c r="A6215" i="2"/>
  <c r="A6214" i="2"/>
  <c r="A6213" i="2"/>
  <c r="A6212" i="2"/>
  <c r="A6211" i="2"/>
  <c r="A6210" i="2"/>
  <c r="A6209" i="2"/>
  <c r="A6208" i="2"/>
  <c r="A6207" i="2"/>
  <c r="A6206" i="2"/>
  <c r="A6205" i="2"/>
  <c r="A6204" i="2"/>
  <c r="A6203" i="2"/>
  <c r="A6202" i="2"/>
  <c r="A6201" i="2"/>
  <c r="A6200" i="2"/>
  <c r="A6199" i="2"/>
  <c r="A6198" i="2"/>
  <c r="A6197" i="2"/>
  <c r="A6196" i="2"/>
  <c r="A6195" i="2"/>
  <c r="A6194" i="2"/>
  <c r="A6193" i="2"/>
  <c r="A6192" i="2"/>
  <c r="A6191" i="2"/>
  <c r="A6190" i="2"/>
  <c r="A6189" i="2"/>
  <c r="A6188" i="2"/>
  <c r="A6187" i="2"/>
  <c r="A6186" i="2"/>
  <c r="A6185" i="2"/>
  <c r="A6184" i="2"/>
  <c r="A6183" i="2"/>
  <c r="A6182" i="2"/>
  <c r="A6181" i="2"/>
  <c r="A6180" i="2"/>
  <c r="A6179" i="2"/>
  <c r="A6178" i="2"/>
  <c r="A6177" i="2"/>
  <c r="A6176" i="2"/>
  <c r="A6175" i="2"/>
  <c r="A6174" i="2"/>
  <c r="A6173" i="2"/>
  <c r="A6172" i="2"/>
  <c r="A6171" i="2"/>
  <c r="A6170" i="2"/>
  <c r="A6169" i="2"/>
  <c r="A6168" i="2"/>
  <c r="A6167" i="2"/>
  <c r="A6166" i="2"/>
  <c r="A6165" i="2"/>
  <c r="A6164" i="2"/>
  <c r="A6163" i="2"/>
  <c r="A6162" i="2"/>
  <c r="A6161" i="2"/>
  <c r="A6160" i="2"/>
  <c r="A6159" i="2"/>
  <c r="A6158" i="2"/>
  <c r="A6157" i="2"/>
  <c r="A6156" i="2"/>
  <c r="A6155" i="2"/>
  <c r="A6154" i="2"/>
  <c r="A6153" i="2"/>
  <c r="A6152" i="2"/>
  <c r="A6151" i="2"/>
  <c r="A6150" i="2"/>
  <c r="A6149" i="2"/>
  <c r="A6148" i="2"/>
  <c r="A6147" i="2"/>
  <c r="A6146" i="2"/>
  <c r="A6145" i="2"/>
  <c r="A6144" i="2"/>
  <c r="A6143" i="2"/>
  <c r="A6142" i="2"/>
  <c r="A6141" i="2"/>
  <c r="A6140" i="2"/>
  <c r="A6139" i="2"/>
  <c r="A6138" i="2"/>
  <c r="A6137" i="2"/>
  <c r="A6136" i="2"/>
  <c r="A6135" i="2"/>
  <c r="A6134" i="2"/>
  <c r="A6133" i="2"/>
  <c r="A6132" i="2"/>
  <c r="A6131" i="2"/>
  <c r="A6130" i="2"/>
  <c r="A6129" i="2"/>
  <c r="A6128" i="2"/>
  <c r="A6127" i="2"/>
  <c r="A6126" i="2"/>
  <c r="A6125" i="2"/>
  <c r="A6124" i="2"/>
  <c r="A6123" i="2"/>
  <c r="A6122" i="2"/>
  <c r="A6121" i="2"/>
  <c r="A6120" i="2"/>
  <c r="A6119" i="2"/>
  <c r="A6118" i="2"/>
  <c r="A6117" i="2"/>
  <c r="A6116" i="2"/>
  <c r="A6115" i="2"/>
  <c r="A6114" i="2"/>
  <c r="A6113" i="2"/>
  <c r="A6112" i="2"/>
  <c r="A6111" i="2"/>
  <c r="A6110" i="2"/>
  <c r="A6109" i="2"/>
  <c r="A6108" i="2"/>
  <c r="A6107" i="2"/>
  <c r="A6106" i="2"/>
  <c r="A6105" i="2"/>
  <c r="A6104" i="2"/>
  <c r="A6103" i="2"/>
  <c r="A6102" i="2"/>
  <c r="A6101" i="2"/>
  <c r="A6100" i="2"/>
  <c r="A6099" i="2"/>
  <c r="A6098" i="2"/>
  <c r="A6097" i="2"/>
  <c r="A6096" i="2"/>
  <c r="A6095" i="2"/>
  <c r="A6094" i="2"/>
  <c r="A6093" i="2"/>
  <c r="A6092" i="2"/>
  <c r="A6091" i="2"/>
  <c r="A6090" i="2"/>
  <c r="A6089" i="2"/>
  <c r="A6088" i="2"/>
  <c r="A6087" i="2"/>
  <c r="A6086" i="2"/>
  <c r="A6085" i="2"/>
  <c r="A6084" i="2"/>
  <c r="A6083" i="2"/>
  <c r="A6082" i="2"/>
  <c r="A6081" i="2"/>
  <c r="A6080" i="2"/>
  <c r="A6079" i="2"/>
  <c r="A6078" i="2"/>
  <c r="A6077" i="2"/>
  <c r="A6076" i="2"/>
  <c r="A6075" i="2"/>
  <c r="A6074" i="2"/>
  <c r="A6073" i="2"/>
  <c r="A6072" i="2"/>
  <c r="A6071" i="2"/>
  <c r="A6070" i="2"/>
  <c r="A6069" i="2"/>
  <c r="A6068" i="2"/>
  <c r="A6067" i="2"/>
  <c r="A6066" i="2"/>
  <c r="A6065" i="2"/>
  <c r="A6064" i="2"/>
  <c r="A6063" i="2"/>
  <c r="A6062" i="2"/>
  <c r="A6061" i="2"/>
  <c r="A6060" i="2"/>
  <c r="A6059" i="2"/>
  <c r="A6058" i="2"/>
  <c r="A6057" i="2"/>
  <c r="A6056" i="2"/>
  <c r="A6055" i="2"/>
  <c r="A6054" i="2"/>
  <c r="A6053" i="2"/>
  <c r="A6052" i="2"/>
  <c r="A6051" i="2"/>
  <c r="A6050" i="2"/>
  <c r="A6049" i="2"/>
  <c r="A6048" i="2"/>
  <c r="A6047" i="2"/>
  <c r="A6046" i="2"/>
  <c r="A6045" i="2"/>
  <c r="A6044" i="2"/>
  <c r="A6043" i="2"/>
  <c r="A6042" i="2"/>
  <c r="A6041" i="2"/>
  <c r="A6040" i="2"/>
  <c r="A6039" i="2"/>
  <c r="A6038" i="2"/>
  <c r="A6037" i="2"/>
  <c r="A6036" i="2"/>
  <c r="A6035" i="2"/>
  <c r="A6034" i="2"/>
  <c r="A6033" i="2"/>
  <c r="A6032" i="2"/>
  <c r="A6031" i="2"/>
  <c r="A6030" i="2"/>
  <c r="A6029" i="2"/>
  <c r="A6028" i="2"/>
  <c r="A6027" i="2"/>
  <c r="A6026" i="2"/>
  <c r="A6025" i="2"/>
  <c r="A6024" i="2"/>
  <c r="A6023" i="2"/>
  <c r="A6022" i="2"/>
  <c r="A6021" i="2"/>
  <c r="A6020" i="2"/>
  <c r="A6019" i="2"/>
  <c r="A6018" i="2"/>
  <c r="A6017" i="2"/>
  <c r="A6016" i="2"/>
  <c r="A6015" i="2"/>
  <c r="A6014" i="2"/>
  <c r="A6013" i="2"/>
  <c r="A6012" i="2"/>
  <c r="A6011" i="2"/>
  <c r="A6010" i="2"/>
  <c r="A6009" i="2"/>
  <c r="A6008" i="2"/>
  <c r="A6007" i="2"/>
  <c r="A6006" i="2"/>
  <c r="A6005" i="2"/>
  <c r="A6004" i="2"/>
  <c r="A6003" i="2"/>
  <c r="A6002" i="2"/>
  <c r="A6001" i="2"/>
  <c r="A6000" i="2"/>
  <c r="A5999" i="2"/>
  <c r="A5998" i="2"/>
  <c r="A5997" i="2"/>
  <c r="A5996" i="2"/>
  <c r="A5995" i="2"/>
  <c r="A5994" i="2"/>
  <c r="A5993" i="2"/>
  <c r="A5992" i="2"/>
  <c r="A5991" i="2"/>
  <c r="A5990" i="2"/>
  <c r="A5989" i="2"/>
  <c r="A5988" i="2"/>
  <c r="A5987" i="2"/>
  <c r="A5986" i="2"/>
  <c r="A5985" i="2"/>
  <c r="A5984" i="2"/>
  <c r="A5983" i="2"/>
  <c r="A5982" i="2"/>
  <c r="A5981" i="2"/>
  <c r="A5980" i="2"/>
  <c r="A5979" i="2"/>
  <c r="A5978" i="2"/>
  <c r="A5977" i="2"/>
  <c r="A5976" i="2"/>
  <c r="A5975" i="2"/>
  <c r="A5974" i="2"/>
  <c r="A5973" i="2"/>
  <c r="A5972" i="2"/>
  <c r="A5971" i="2"/>
  <c r="A5970" i="2"/>
  <c r="A5969" i="2"/>
  <c r="A5968" i="2"/>
  <c r="A5967" i="2"/>
  <c r="A5966" i="2"/>
  <c r="A5965" i="2"/>
  <c r="A5964" i="2"/>
  <c r="A5963" i="2"/>
  <c r="A5962" i="2"/>
  <c r="A5961" i="2"/>
  <c r="A5960" i="2"/>
  <c r="A5959" i="2"/>
  <c r="A5958" i="2"/>
  <c r="A5957" i="2"/>
  <c r="A5956" i="2"/>
  <c r="A5955" i="2"/>
  <c r="A5954" i="2"/>
  <c r="A5953" i="2"/>
  <c r="A5952" i="2"/>
  <c r="A5951" i="2"/>
  <c r="A5950" i="2"/>
  <c r="A5949" i="2"/>
  <c r="A5948" i="2"/>
  <c r="A5947" i="2"/>
  <c r="A5946" i="2"/>
  <c r="A5945" i="2"/>
  <c r="A5944" i="2"/>
  <c r="A5943" i="2"/>
  <c r="A5942" i="2"/>
  <c r="A5941" i="2"/>
  <c r="A5940" i="2"/>
  <c r="A5939" i="2"/>
  <c r="A5938" i="2"/>
  <c r="A5937" i="2"/>
  <c r="A5936" i="2"/>
  <c r="A5935" i="2"/>
  <c r="A5934" i="2"/>
  <c r="A5933" i="2"/>
  <c r="A5932" i="2"/>
  <c r="A5931" i="2"/>
  <c r="A5930" i="2"/>
  <c r="A5929" i="2"/>
  <c r="A5928" i="2"/>
  <c r="A5927" i="2"/>
  <c r="A5926" i="2"/>
  <c r="A5925" i="2"/>
  <c r="A5924" i="2"/>
  <c r="A5923" i="2"/>
  <c r="A5922" i="2"/>
  <c r="A5921" i="2"/>
  <c r="A5920" i="2"/>
  <c r="A5919" i="2"/>
  <c r="A5918" i="2"/>
  <c r="A5917" i="2"/>
  <c r="A5916" i="2"/>
  <c r="A5915" i="2"/>
  <c r="A5914" i="2"/>
  <c r="A5913" i="2"/>
  <c r="A5912" i="2"/>
  <c r="A5911" i="2"/>
  <c r="A5910" i="2"/>
  <c r="A5909" i="2"/>
  <c r="A5908" i="2"/>
  <c r="A5907" i="2"/>
  <c r="A5906" i="2"/>
  <c r="A5905" i="2"/>
  <c r="A5904" i="2"/>
  <c r="A5903" i="2"/>
  <c r="A5902" i="2"/>
  <c r="A5901" i="2"/>
  <c r="A5900" i="2"/>
  <c r="A5899" i="2"/>
  <c r="A5898" i="2"/>
  <c r="A5897" i="2"/>
  <c r="A5896" i="2"/>
  <c r="A5895" i="2"/>
  <c r="A5894" i="2"/>
  <c r="A5893" i="2"/>
  <c r="A5892" i="2"/>
  <c r="A5891" i="2"/>
  <c r="A5890" i="2"/>
  <c r="A5889" i="2"/>
  <c r="A5888" i="2"/>
  <c r="A5887" i="2"/>
  <c r="A5886" i="2"/>
  <c r="A5885" i="2"/>
  <c r="A5884" i="2"/>
  <c r="A5883" i="2"/>
  <c r="A5882" i="2"/>
  <c r="A5881" i="2"/>
  <c r="A5880" i="2"/>
  <c r="A5879" i="2"/>
  <c r="A5878" i="2"/>
  <c r="A5877" i="2"/>
  <c r="A5876" i="2"/>
  <c r="A5875" i="2"/>
  <c r="A5874" i="2"/>
  <c r="A5873" i="2"/>
  <c r="A5872" i="2"/>
  <c r="A5871" i="2"/>
  <c r="A5870" i="2"/>
  <c r="A5869" i="2"/>
  <c r="A5868" i="2"/>
  <c r="A5867" i="2"/>
  <c r="A5866" i="2"/>
  <c r="A5865" i="2"/>
  <c r="A5864" i="2"/>
  <c r="A5863" i="2"/>
  <c r="A5862" i="2"/>
  <c r="A5861" i="2"/>
  <c r="A5860" i="2"/>
  <c r="A5859" i="2"/>
  <c r="A5858" i="2"/>
  <c r="A5857" i="2"/>
  <c r="A5856" i="2"/>
  <c r="A5855" i="2"/>
  <c r="A5854" i="2"/>
  <c r="A5853" i="2"/>
  <c r="A5852" i="2"/>
  <c r="A5851" i="2"/>
  <c r="A5850" i="2"/>
  <c r="A5849" i="2"/>
  <c r="A5848" i="2"/>
  <c r="A5847" i="2"/>
  <c r="A5846" i="2"/>
  <c r="A5845" i="2"/>
  <c r="A5844" i="2"/>
  <c r="A5843" i="2"/>
  <c r="A5842" i="2"/>
  <c r="A5841" i="2"/>
  <c r="A5840" i="2"/>
  <c r="A5839" i="2"/>
  <c r="A5838" i="2"/>
  <c r="A5837" i="2"/>
  <c r="A5836" i="2"/>
  <c r="A5835" i="2"/>
  <c r="A5834" i="2"/>
  <c r="A5833" i="2"/>
  <c r="A5832" i="2"/>
  <c r="A5831" i="2"/>
  <c r="A5830" i="2"/>
  <c r="A5829" i="2"/>
  <c r="A5828" i="2"/>
  <c r="A5827" i="2"/>
  <c r="A5826" i="2"/>
  <c r="A5825" i="2"/>
  <c r="A5824" i="2"/>
  <c r="A5823" i="2"/>
  <c r="A5822" i="2"/>
  <c r="A5821" i="2"/>
  <c r="A5820" i="2"/>
  <c r="A5819" i="2"/>
  <c r="A5818" i="2"/>
  <c r="A5817" i="2"/>
  <c r="A5816" i="2"/>
  <c r="A5815" i="2"/>
  <c r="A5814" i="2"/>
  <c r="A5813" i="2"/>
  <c r="A5812" i="2"/>
  <c r="A5811" i="2"/>
  <c r="A5810" i="2"/>
  <c r="A5809" i="2"/>
  <c r="A5808" i="2"/>
  <c r="A5807" i="2"/>
  <c r="A5806" i="2"/>
  <c r="A5805" i="2"/>
  <c r="A5804" i="2"/>
  <c r="A5803" i="2"/>
  <c r="A5802" i="2"/>
  <c r="A5801" i="2"/>
  <c r="A5800" i="2"/>
  <c r="A5799" i="2"/>
  <c r="A5798" i="2"/>
  <c r="A5797" i="2"/>
  <c r="A5796" i="2"/>
  <c r="A5795" i="2"/>
  <c r="A5794" i="2"/>
  <c r="A5793" i="2"/>
  <c r="A5792" i="2"/>
  <c r="A5791" i="2"/>
  <c r="A5790" i="2"/>
  <c r="A5789" i="2"/>
  <c r="A5788" i="2"/>
  <c r="A5787" i="2"/>
  <c r="A5786" i="2"/>
  <c r="A5785" i="2"/>
  <c r="A5784" i="2"/>
  <c r="A5783" i="2"/>
  <c r="A5782" i="2"/>
  <c r="A5781" i="2"/>
  <c r="A5780" i="2"/>
  <c r="A5779" i="2"/>
  <c r="A5778" i="2"/>
  <c r="A5777" i="2"/>
  <c r="A5776" i="2"/>
  <c r="A5775" i="2"/>
  <c r="A5774" i="2"/>
  <c r="A5773" i="2"/>
  <c r="A5772" i="2"/>
  <c r="A5771" i="2"/>
  <c r="A5770" i="2"/>
  <c r="A5769" i="2"/>
  <c r="A5768" i="2"/>
  <c r="A5767" i="2"/>
  <c r="A5766" i="2"/>
  <c r="A5765" i="2"/>
  <c r="A5764" i="2"/>
  <c r="A5763" i="2"/>
  <c r="A5762" i="2"/>
  <c r="A5761" i="2"/>
  <c r="A5760" i="2"/>
  <c r="A5759" i="2"/>
  <c r="A5758" i="2"/>
  <c r="A5757" i="2"/>
  <c r="A5756" i="2"/>
  <c r="A5755" i="2"/>
  <c r="A5754" i="2"/>
  <c r="A5753" i="2"/>
  <c r="A5752" i="2"/>
  <c r="A5751" i="2"/>
  <c r="A5750" i="2"/>
  <c r="A5749" i="2"/>
  <c r="A5748" i="2"/>
  <c r="A5747" i="2"/>
  <c r="A5746" i="2"/>
  <c r="A5745" i="2"/>
  <c r="A5744" i="2"/>
  <c r="A5743" i="2"/>
  <c r="A5742" i="2"/>
  <c r="A5741" i="2"/>
  <c r="A5740" i="2"/>
  <c r="A5739" i="2"/>
  <c r="A5738" i="2"/>
  <c r="A5737" i="2"/>
  <c r="A5736" i="2"/>
  <c r="A5735" i="2"/>
  <c r="A5734" i="2"/>
  <c r="A5733" i="2"/>
  <c r="A5732" i="2"/>
  <c r="A5731" i="2"/>
  <c r="A5730" i="2"/>
  <c r="A5729" i="2"/>
  <c r="A5728" i="2"/>
  <c r="A5727" i="2"/>
  <c r="A5726" i="2"/>
  <c r="A5725" i="2"/>
  <c r="A5724" i="2"/>
  <c r="A5723" i="2"/>
  <c r="A5722" i="2"/>
  <c r="A5721" i="2"/>
  <c r="A5720" i="2"/>
  <c r="A5719" i="2"/>
  <c r="A5718" i="2"/>
  <c r="A5717" i="2"/>
  <c r="A5716" i="2"/>
  <c r="A5715" i="2"/>
  <c r="A5714" i="2"/>
  <c r="A5713" i="2"/>
  <c r="A5712" i="2"/>
  <c r="A5711" i="2"/>
  <c r="A5710" i="2"/>
  <c r="A5709" i="2"/>
  <c r="A5708" i="2"/>
  <c r="A5707" i="2"/>
  <c r="A5706" i="2"/>
  <c r="A5705" i="2"/>
  <c r="A5704" i="2"/>
  <c r="A5703" i="2"/>
  <c r="A5702" i="2"/>
  <c r="A5701" i="2"/>
  <c r="A5700" i="2"/>
  <c r="A5699" i="2"/>
  <c r="A5698" i="2"/>
  <c r="A5697" i="2"/>
  <c r="A5696" i="2"/>
  <c r="A5695" i="2"/>
  <c r="A5694" i="2"/>
  <c r="A5693" i="2"/>
  <c r="A5692" i="2"/>
  <c r="A5691" i="2"/>
  <c r="A5690" i="2"/>
  <c r="A5689" i="2"/>
  <c r="A5688" i="2"/>
  <c r="A5687" i="2"/>
  <c r="A5686" i="2"/>
  <c r="A5685" i="2"/>
  <c r="A5684" i="2"/>
  <c r="A5683" i="2"/>
  <c r="A5682" i="2"/>
  <c r="A5681" i="2"/>
  <c r="A5680" i="2"/>
  <c r="A5679" i="2"/>
  <c r="A5678" i="2"/>
  <c r="A5677" i="2"/>
  <c r="A5676" i="2"/>
  <c r="A5675" i="2"/>
  <c r="A5674" i="2"/>
  <c r="A5673" i="2"/>
  <c r="A5672" i="2"/>
  <c r="A5671" i="2"/>
  <c r="A5670" i="2"/>
  <c r="A5669" i="2"/>
  <c r="A5668" i="2"/>
  <c r="A5667" i="2"/>
  <c r="A5666" i="2"/>
  <c r="A5665" i="2"/>
  <c r="A5664" i="2"/>
  <c r="A5663" i="2"/>
  <c r="A5662" i="2"/>
  <c r="A5661" i="2"/>
  <c r="A5660" i="2"/>
  <c r="A5659" i="2"/>
  <c r="A5658" i="2"/>
  <c r="A5657" i="2"/>
  <c r="A5656" i="2"/>
  <c r="A5655" i="2"/>
  <c r="A5654" i="2"/>
  <c r="A5653" i="2"/>
  <c r="A5652" i="2"/>
  <c r="A5651" i="2"/>
  <c r="A5650" i="2"/>
  <c r="A5649" i="2"/>
  <c r="A5648" i="2"/>
  <c r="A5647" i="2"/>
  <c r="A5646" i="2"/>
  <c r="A5645" i="2"/>
  <c r="A5644" i="2"/>
  <c r="A5643" i="2"/>
  <c r="A5642" i="2"/>
  <c r="A5641" i="2"/>
  <c r="A5640" i="2"/>
  <c r="A5639" i="2"/>
  <c r="A5638" i="2"/>
  <c r="A5637" i="2"/>
  <c r="A5636" i="2"/>
  <c r="A5635" i="2"/>
  <c r="A5634" i="2"/>
  <c r="A5633" i="2"/>
  <c r="A5632" i="2"/>
  <c r="A5631" i="2"/>
  <c r="A5630" i="2"/>
  <c r="A5629" i="2"/>
  <c r="A5628" i="2"/>
  <c r="A5627" i="2"/>
  <c r="A5626" i="2"/>
  <c r="A5625" i="2"/>
  <c r="A5624" i="2"/>
  <c r="A5623" i="2"/>
  <c r="A5622" i="2"/>
  <c r="A5621" i="2"/>
  <c r="A5620" i="2"/>
  <c r="A5619" i="2"/>
  <c r="A5618" i="2"/>
  <c r="A5617" i="2"/>
  <c r="A5616" i="2"/>
  <c r="A5615" i="2"/>
  <c r="A5614" i="2"/>
  <c r="A5613" i="2"/>
  <c r="A5612" i="2"/>
  <c r="A5611" i="2"/>
  <c r="A5610" i="2"/>
  <c r="A5609" i="2"/>
  <c r="A5608" i="2"/>
  <c r="A5607" i="2"/>
  <c r="A5606" i="2"/>
  <c r="A5605" i="2"/>
  <c r="A5604" i="2"/>
  <c r="A5603" i="2"/>
  <c r="A5602" i="2"/>
  <c r="A5601" i="2"/>
  <c r="A5600" i="2"/>
  <c r="A5599" i="2"/>
  <c r="A5598" i="2"/>
  <c r="A5597" i="2"/>
  <c r="A5596" i="2"/>
  <c r="A5595" i="2"/>
  <c r="A5594" i="2"/>
  <c r="A5593" i="2"/>
  <c r="A5592" i="2"/>
  <c r="A5591" i="2"/>
  <c r="A5590" i="2"/>
  <c r="A5589" i="2"/>
  <c r="A5588" i="2"/>
  <c r="A5587" i="2"/>
  <c r="A5586" i="2"/>
  <c r="A5585" i="2"/>
  <c r="A5584" i="2"/>
  <c r="A5583" i="2"/>
  <c r="A5582" i="2"/>
  <c r="A5581" i="2"/>
  <c r="A5580" i="2"/>
  <c r="A5579" i="2"/>
  <c r="A5578" i="2"/>
  <c r="A5577" i="2"/>
  <c r="A5576" i="2"/>
  <c r="A5575" i="2"/>
  <c r="A5574" i="2"/>
  <c r="A5573" i="2"/>
  <c r="A5572" i="2"/>
  <c r="A5571" i="2"/>
  <c r="A5570" i="2"/>
  <c r="A5569" i="2"/>
  <c r="A5568" i="2"/>
  <c r="A5567" i="2"/>
  <c r="A5566" i="2"/>
  <c r="A5565" i="2"/>
  <c r="A5564" i="2"/>
  <c r="A5563" i="2"/>
  <c r="A5562" i="2"/>
  <c r="A5561" i="2"/>
  <c r="A5560" i="2"/>
  <c r="A5559" i="2"/>
  <c r="A5558" i="2"/>
  <c r="A5557" i="2"/>
  <c r="A5556" i="2"/>
  <c r="A5555" i="2"/>
  <c r="A5554" i="2"/>
  <c r="A5553" i="2"/>
  <c r="A5552" i="2"/>
  <c r="A5551" i="2"/>
  <c r="A5550" i="2"/>
  <c r="A5549" i="2"/>
  <c r="A5548" i="2"/>
  <c r="A5547" i="2"/>
  <c r="A5546" i="2"/>
  <c r="A5545" i="2"/>
  <c r="A5544" i="2"/>
  <c r="A5543" i="2"/>
  <c r="A5542" i="2"/>
  <c r="A5541" i="2"/>
  <c r="A5540" i="2"/>
  <c r="A5539" i="2"/>
  <c r="A5538" i="2"/>
  <c r="A5537" i="2"/>
  <c r="A5536" i="2"/>
  <c r="A5535" i="2"/>
  <c r="A5534" i="2"/>
  <c r="A5533" i="2"/>
  <c r="A5532" i="2"/>
  <c r="A5531" i="2"/>
  <c r="A5530" i="2"/>
  <c r="A5529" i="2"/>
  <c r="A5528" i="2"/>
  <c r="A5527" i="2"/>
  <c r="A5526" i="2"/>
  <c r="A5525" i="2"/>
  <c r="A5524" i="2"/>
  <c r="A5523" i="2"/>
  <c r="A5522" i="2"/>
  <c r="A5521" i="2"/>
  <c r="A5520" i="2"/>
  <c r="A5519" i="2"/>
  <c r="A5518" i="2"/>
  <c r="A5517" i="2"/>
  <c r="A5516" i="2"/>
  <c r="A5515" i="2"/>
  <c r="A5514" i="2"/>
  <c r="A5513" i="2"/>
  <c r="A5512" i="2"/>
  <c r="A5511" i="2"/>
  <c r="A5510" i="2"/>
  <c r="A5509" i="2"/>
  <c r="A5508" i="2"/>
  <c r="A5507" i="2"/>
  <c r="A5506" i="2"/>
  <c r="A5505" i="2"/>
  <c r="A5504" i="2"/>
  <c r="A5503" i="2"/>
  <c r="A5502" i="2"/>
  <c r="A5501" i="2"/>
  <c r="A5500" i="2"/>
  <c r="A5499" i="2"/>
  <c r="A5498" i="2"/>
  <c r="A5497" i="2"/>
  <c r="A5496" i="2"/>
  <c r="A5495" i="2"/>
  <c r="A5494" i="2"/>
  <c r="A5493" i="2"/>
  <c r="A5492" i="2"/>
  <c r="A5491" i="2"/>
  <c r="A5490" i="2"/>
  <c r="A5489" i="2"/>
  <c r="A5488" i="2"/>
  <c r="A5487" i="2"/>
  <c r="A5486" i="2"/>
  <c r="A5485" i="2"/>
  <c r="A5484" i="2"/>
  <c r="A5483" i="2"/>
  <c r="A5482" i="2"/>
  <c r="A5481" i="2"/>
  <c r="A5480" i="2"/>
  <c r="A5479" i="2"/>
  <c r="A5478" i="2"/>
  <c r="A5477" i="2"/>
  <c r="A5476" i="2"/>
  <c r="A5475" i="2"/>
  <c r="A5474" i="2"/>
  <c r="A5473" i="2"/>
  <c r="A5472" i="2"/>
  <c r="A5471" i="2"/>
  <c r="A5470" i="2"/>
  <c r="A5469" i="2"/>
  <c r="A5468" i="2"/>
  <c r="A5467" i="2"/>
  <c r="A5466" i="2"/>
  <c r="A5465" i="2"/>
  <c r="A5464" i="2"/>
  <c r="A5463" i="2"/>
  <c r="A5462" i="2"/>
  <c r="A5461" i="2"/>
  <c r="A5460" i="2"/>
  <c r="A5459" i="2"/>
  <c r="A5458" i="2"/>
  <c r="A5457" i="2"/>
  <c r="A5456" i="2"/>
  <c r="A5455" i="2"/>
  <c r="A5454" i="2"/>
  <c r="A5453" i="2"/>
  <c r="A5452" i="2"/>
  <c r="A5451" i="2"/>
  <c r="A5450" i="2"/>
  <c r="A5449" i="2"/>
  <c r="A5448" i="2"/>
  <c r="A5447" i="2"/>
  <c r="A5446" i="2"/>
  <c r="A5445" i="2"/>
  <c r="A5444" i="2"/>
  <c r="A5443" i="2"/>
  <c r="A5442" i="2"/>
  <c r="A5441" i="2"/>
  <c r="A5440" i="2"/>
  <c r="A5439" i="2"/>
  <c r="A5438" i="2"/>
  <c r="A5437" i="2"/>
  <c r="A5436" i="2"/>
  <c r="A5435" i="2"/>
  <c r="A5434" i="2"/>
  <c r="A5433" i="2"/>
  <c r="A5432" i="2"/>
  <c r="A5431" i="2"/>
  <c r="A5430" i="2"/>
  <c r="A5429" i="2"/>
  <c r="A5428" i="2"/>
  <c r="A5427" i="2"/>
  <c r="A5426" i="2"/>
  <c r="A5425" i="2"/>
  <c r="A5424" i="2"/>
  <c r="A5423" i="2"/>
  <c r="A5422" i="2"/>
  <c r="A5421" i="2"/>
  <c r="A5420" i="2"/>
  <c r="A5419" i="2"/>
  <c r="A5418" i="2"/>
  <c r="A5417" i="2"/>
  <c r="A5416" i="2"/>
  <c r="A5415" i="2"/>
  <c r="A5414" i="2"/>
  <c r="A5413" i="2"/>
  <c r="A5412" i="2"/>
  <c r="A5411" i="2"/>
  <c r="A5410" i="2"/>
  <c r="A5409" i="2"/>
  <c r="A5408" i="2"/>
  <c r="A5407" i="2"/>
  <c r="A5406" i="2"/>
  <c r="A5405" i="2"/>
  <c r="A5404" i="2"/>
  <c r="A5403" i="2"/>
  <c r="A5402" i="2"/>
  <c r="A5401" i="2"/>
  <c r="A5400" i="2"/>
  <c r="A5399" i="2"/>
  <c r="A5398" i="2"/>
  <c r="A5397" i="2"/>
  <c r="A5396" i="2"/>
  <c r="A5395" i="2"/>
  <c r="A5394" i="2"/>
  <c r="A5393" i="2"/>
  <c r="A5392" i="2"/>
  <c r="A5391" i="2"/>
  <c r="A5390" i="2"/>
  <c r="A5389" i="2"/>
  <c r="A5388" i="2"/>
  <c r="A5387" i="2"/>
  <c r="A5386" i="2"/>
  <c r="A5385" i="2"/>
  <c r="A5384" i="2"/>
  <c r="A5383" i="2"/>
  <c r="A5382" i="2"/>
  <c r="A5381" i="2"/>
  <c r="A5380" i="2"/>
  <c r="A5379" i="2"/>
  <c r="A5378" i="2"/>
  <c r="A5377" i="2"/>
  <c r="A5376" i="2"/>
  <c r="A5375" i="2"/>
  <c r="A5374" i="2"/>
  <c r="A5373" i="2"/>
  <c r="A5372" i="2"/>
  <c r="A5371" i="2"/>
  <c r="A5370" i="2"/>
  <c r="A5369" i="2"/>
  <c r="A5368" i="2"/>
  <c r="A5367" i="2"/>
  <c r="A5366" i="2"/>
  <c r="A5365" i="2"/>
  <c r="A5364" i="2"/>
  <c r="A5363" i="2"/>
  <c r="A5362" i="2"/>
  <c r="A5361" i="2"/>
  <c r="A5360" i="2"/>
  <c r="A5359" i="2"/>
  <c r="A5358" i="2"/>
  <c r="A5357" i="2"/>
  <c r="A5356" i="2"/>
  <c r="A5355" i="2"/>
  <c r="A5354" i="2"/>
  <c r="A5353" i="2"/>
  <c r="A5352" i="2"/>
  <c r="A5351" i="2"/>
  <c r="A5350" i="2"/>
  <c r="A5349" i="2"/>
  <c r="A5348" i="2"/>
  <c r="A5347" i="2"/>
  <c r="A5346" i="2"/>
  <c r="A5345" i="2"/>
  <c r="A5344" i="2"/>
  <c r="A5343" i="2"/>
  <c r="A5342" i="2"/>
  <c r="A5341" i="2"/>
  <c r="A5340" i="2"/>
  <c r="A5339" i="2"/>
  <c r="A5338" i="2"/>
  <c r="A5337" i="2"/>
  <c r="A5336" i="2"/>
  <c r="A5335" i="2"/>
  <c r="A5334" i="2"/>
  <c r="A5333" i="2"/>
  <c r="A5332" i="2"/>
  <c r="A5331" i="2"/>
  <c r="A5330" i="2"/>
  <c r="A5329" i="2"/>
  <c r="A5328" i="2"/>
  <c r="A5327" i="2"/>
  <c r="A5326" i="2"/>
  <c r="A5325" i="2"/>
  <c r="A5324" i="2"/>
  <c r="A5323" i="2"/>
  <c r="A5322" i="2"/>
  <c r="A5321" i="2"/>
  <c r="A5320" i="2"/>
  <c r="A5319" i="2"/>
  <c r="A5318" i="2"/>
  <c r="A5317" i="2"/>
  <c r="A5316" i="2"/>
  <c r="A5315" i="2"/>
  <c r="A5314" i="2"/>
  <c r="A5313" i="2"/>
  <c r="A5312" i="2"/>
  <c r="A5311" i="2"/>
  <c r="A5310" i="2"/>
  <c r="A5309" i="2"/>
  <c r="A5308" i="2"/>
  <c r="A5307" i="2"/>
  <c r="A5306" i="2"/>
  <c r="A5305" i="2"/>
  <c r="A5304" i="2"/>
  <c r="A5303" i="2"/>
  <c r="A5302" i="2"/>
  <c r="A5301" i="2"/>
  <c r="A5300" i="2"/>
  <c r="A5299" i="2"/>
  <c r="A5298" i="2"/>
  <c r="A5297" i="2"/>
  <c r="A5296" i="2"/>
  <c r="A5295" i="2"/>
  <c r="A5294" i="2"/>
  <c r="A5293" i="2"/>
  <c r="A5292" i="2"/>
  <c r="A5291" i="2"/>
  <c r="A5290" i="2"/>
  <c r="A5289" i="2"/>
  <c r="A5288" i="2"/>
  <c r="A5287" i="2"/>
  <c r="A5286" i="2"/>
  <c r="A5285" i="2"/>
  <c r="A5284" i="2"/>
  <c r="A5283" i="2"/>
  <c r="A5282" i="2"/>
  <c r="A5281" i="2"/>
  <c r="A5280" i="2"/>
  <c r="A5279" i="2"/>
  <c r="A5278" i="2"/>
  <c r="A5277" i="2"/>
  <c r="A5276" i="2"/>
  <c r="A5275" i="2"/>
  <c r="A5274" i="2"/>
  <c r="A5273" i="2"/>
  <c r="A5272" i="2"/>
  <c r="A5271" i="2"/>
  <c r="A5270" i="2"/>
  <c r="A5269" i="2"/>
  <c r="A5268" i="2"/>
  <c r="A5267" i="2"/>
  <c r="A5266" i="2"/>
  <c r="A5265" i="2"/>
  <c r="A5264" i="2"/>
  <c r="A5263" i="2"/>
  <c r="A5262" i="2"/>
  <c r="A5261" i="2"/>
  <c r="A5260" i="2"/>
  <c r="A5259" i="2"/>
  <c r="A5258" i="2"/>
  <c r="A5257" i="2"/>
  <c r="A5256" i="2"/>
  <c r="A5255" i="2"/>
  <c r="A5254" i="2"/>
  <c r="A5253" i="2"/>
  <c r="A5252" i="2"/>
  <c r="A5251" i="2"/>
  <c r="A5250" i="2"/>
  <c r="A5249" i="2"/>
  <c r="A5248" i="2"/>
  <c r="A5247" i="2"/>
  <c r="A5246" i="2"/>
  <c r="A5245" i="2"/>
  <c r="A5244" i="2"/>
  <c r="A5243" i="2"/>
  <c r="A5242" i="2"/>
  <c r="A5241" i="2"/>
  <c r="A5240" i="2"/>
  <c r="A5239" i="2"/>
  <c r="A5238" i="2"/>
  <c r="A5237" i="2"/>
  <c r="A5236" i="2"/>
  <c r="A5235" i="2"/>
  <c r="A5234" i="2"/>
  <c r="A5233" i="2"/>
  <c r="A5232" i="2"/>
  <c r="A5231" i="2"/>
  <c r="A5230" i="2"/>
  <c r="A5229" i="2"/>
  <c r="A5228" i="2"/>
  <c r="A5227" i="2"/>
  <c r="A5226" i="2"/>
  <c r="A5225" i="2"/>
  <c r="A5224" i="2"/>
  <c r="A5223" i="2"/>
  <c r="A5222" i="2"/>
  <c r="A5221" i="2"/>
  <c r="A5220" i="2"/>
  <c r="A5219" i="2"/>
  <c r="A5218" i="2"/>
  <c r="A5217" i="2"/>
  <c r="A5216" i="2"/>
  <c r="A5215" i="2"/>
  <c r="A5214" i="2"/>
  <c r="A5213" i="2"/>
  <c r="A5212" i="2"/>
  <c r="A5211" i="2"/>
  <c r="A5210" i="2"/>
  <c r="A5209" i="2"/>
  <c r="A5208" i="2"/>
  <c r="A5207" i="2"/>
  <c r="A5206" i="2"/>
  <c r="A5205" i="2"/>
  <c r="A5204" i="2"/>
  <c r="A5203" i="2"/>
  <c r="A5202" i="2"/>
  <c r="A5201" i="2"/>
  <c r="A5200" i="2"/>
  <c r="A5199" i="2"/>
  <c r="A5198" i="2"/>
  <c r="A5197" i="2"/>
  <c r="A5196" i="2"/>
  <c r="A5195" i="2"/>
  <c r="A5194" i="2"/>
  <c r="A5193" i="2"/>
  <c r="A5192" i="2"/>
  <c r="A5191" i="2"/>
  <c r="A5190" i="2"/>
  <c r="A5189" i="2"/>
  <c r="A5188" i="2"/>
  <c r="A5187" i="2"/>
  <c r="A5186" i="2"/>
  <c r="A5185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5161" i="2"/>
  <c r="A5160" i="2"/>
  <c r="A5159" i="2"/>
  <c r="A5158" i="2"/>
  <c r="A5157" i="2"/>
  <c r="A5156" i="2"/>
  <c r="A5155" i="2"/>
  <c r="A5154" i="2"/>
  <c r="A5153" i="2"/>
  <c r="A5152" i="2"/>
  <c r="A5151" i="2"/>
  <c r="A5150" i="2"/>
  <c r="A5149" i="2"/>
  <c r="A5148" i="2"/>
  <c r="A5147" i="2"/>
  <c r="A5146" i="2"/>
  <c r="A5145" i="2"/>
  <c r="A5144" i="2"/>
  <c r="A5143" i="2"/>
  <c r="A5142" i="2"/>
  <c r="A5141" i="2"/>
  <c r="A5140" i="2"/>
  <c r="A5139" i="2"/>
  <c r="A5138" i="2"/>
  <c r="A5137" i="2"/>
  <c r="A5136" i="2"/>
  <c r="A5135" i="2"/>
  <c r="A5134" i="2"/>
  <c r="A5133" i="2"/>
  <c r="A5132" i="2"/>
  <c r="A5131" i="2"/>
  <c r="A5130" i="2"/>
  <c r="A5129" i="2"/>
  <c r="A5128" i="2"/>
  <c r="A5127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5112" i="2"/>
  <c r="A5111" i="2"/>
  <c r="A5110" i="2"/>
  <c r="A5109" i="2"/>
  <c r="A5108" i="2"/>
  <c r="A5107" i="2"/>
  <c r="A5106" i="2"/>
  <c r="A5105" i="2"/>
  <c r="A5104" i="2"/>
  <c r="A5103" i="2"/>
  <c r="A5102" i="2"/>
  <c r="A5101" i="2"/>
  <c r="A5100" i="2"/>
  <c r="A5099" i="2"/>
  <c r="A5098" i="2"/>
  <c r="A5097" i="2"/>
  <c r="A5096" i="2"/>
  <c r="A5095" i="2"/>
  <c r="A5094" i="2"/>
  <c r="A5093" i="2"/>
  <c r="A5092" i="2"/>
  <c r="A5091" i="2"/>
  <c r="A5090" i="2"/>
  <c r="A5089" i="2"/>
  <c r="A5088" i="2"/>
  <c r="A5087" i="2"/>
  <c r="A5086" i="2"/>
  <c r="A5085" i="2"/>
  <c r="A5084" i="2"/>
  <c r="A508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5068" i="2"/>
  <c r="A5067" i="2"/>
  <c r="A5066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5048" i="2"/>
  <c r="A5047" i="2"/>
  <c r="A5046" i="2"/>
  <c r="A5045" i="2"/>
  <c r="A5044" i="2"/>
  <c r="A5043" i="2"/>
  <c r="A5042" i="2"/>
  <c r="A5041" i="2"/>
  <c r="A5040" i="2"/>
  <c r="A5039" i="2"/>
  <c r="A5038" i="2"/>
  <c r="A5037" i="2"/>
  <c r="A5036" i="2"/>
  <c r="A5035" i="2"/>
  <c r="A5034" i="2"/>
  <c r="A5033" i="2"/>
  <c r="A5032" i="2"/>
  <c r="A5031" i="2"/>
  <c r="A5030" i="2"/>
  <c r="A5029" i="2"/>
  <c r="A5028" i="2"/>
  <c r="A5027" i="2"/>
  <c r="A5026" i="2"/>
  <c r="A5025" i="2"/>
  <c r="A5024" i="2"/>
  <c r="A5023" i="2"/>
  <c r="A5022" i="2"/>
  <c r="A5021" i="2"/>
  <c r="A5020" i="2"/>
  <c r="A5019" i="2"/>
  <c r="A5018" i="2"/>
  <c r="A5017" i="2"/>
  <c r="A5016" i="2"/>
  <c r="A5015" i="2"/>
  <c r="A5014" i="2"/>
  <c r="A5013" i="2"/>
  <c r="A5012" i="2"/>
  <c r="A5011" i="2"/>
  <c r="A5010" i="2"/>
  <c r="A5009" i="2"/>
  <c r="A5008" i="2"/>
  <c r="A5007" i="2"/>
  <c r="A5006" i="2"/>
  <c r="A5005" i="2"/>
  <c r="A5004" i="2"/>
  <c r="A5003" i="2"/>
  <c r="A5002" i="2"/>
  <c r="A5001" i="2"/>
  <c r="A5000" i="2"/>
  <c r="A4999" i="2"/>
  <c r="A4998" i="2"/>
  <c r="A4997" i="2"/>
  <c r="A4996" i="2"/>
  <c r="A4995" i="2"/>
  <c r="A4994" i="2"/>
  <c r="A4993" i="2"/>
  <c r="A4992" i="2"/>
  <c r="A4991" i="2"/>
  <c r="A4990" i="2"/>
  <c r="A4989" i="2"/>
  <c r="A4988" i="2"/>
  <c r="A4987" i="2"/>
  <c r="A4986" i="2"/>
  <c r="A4985" i="2"/>
  <c r="A4984" i="2"/>
  <c r="A4983" i="2"/>
  <c r="A4982" i="2"/>
  <c r="A4981" i="2"/>
  <c r="A4980" i="2"/>
  <c r="A4979" i="2"/>
  <c r="A4978" i="2"/>
  <c r="A4977" i="2"/>
  <c r="A4976" i="2"/>
  <c r="A4975" i="2"/>
  <c r="A4974" i="2"/>
  <c r="A4973" i="2"/>
  <c r="A4972" i="2"/>
  <c r="A4971" i="2"/>
  <c r="A4970" i="2"/>
  <c r="A4969" i="2"/>
  <c r="A4968" i="2"/>
  <c r="A4967" i="2"/>
  <c r="A4966" i="2"/>
  <c r="A4965" i="2"/>
  <c r="A4964" i="2"/>
  <c r="A4963" i="2"/>
  <c r="A4962" i="2"/>
  <c r="A4961" i="2"/>
  <c r="A4960" i="2"/>
  <c r="A4959" i="2"/>
  <c r="A4958" i="2"/>
  <c r="A4957" i="2"/>
  <c r="A4956" i="2"/>
  <c r="A4955" i="2"/>
  <c r="A4954" i="2"/>
  <c r="A4953" i="2"/>
  <c r="A4952" i="2"/>
  <c r="A4951" i="2"/>
  <c r="A4950" i="2"/>
  <c r="A4949" i="2"/>
  <c r="A4948" i="2"/>
  <c r="A4947" i="2"/>
  <c r="A4946" i="2"/>
  <c r="A4945" i="2"/>
  <c r="A4944" i="2"/>
  <c r="A4943" i="2"/>
  <c r="A4942" i="2"/>
  <c r="A4941" i="2"/>
  <c r="A4940" i="2"/>
  <c r="A4939" i="2"/>
  <c r="A4938" i="2"/>
  <c r="A4937" i="2"/>
  <c r="A4936" i="2"/>
  <c r="A4935" i="2"/>
  <c r="A4934" i="2"/>
  <c r="A4933" i="2"/>
  <c r="A4932" i="2"/>
  <c r="A4931" i="2"/>
  <c r="A4930" i="2"/>
  <c r="A4929" i="2"/>
  <c r="A4928" i="2"/>
  <c r="A4927" i="2"/>
  <c r="A4926" i="2"/>
  <c r="A4925" i="2"/>
  <c r="A4924" i="2"/>
  <c r="A4923" i="2"/>
  <c r="A4922" i="2"/>
  <c r="A4921" i="2"/>
  <c r="A4920" i="2"/>
  <c r="A4919" i="2"/>
  <c r="A4918" i="2"/>
  <c r="A4917" i="2"/>
  <c r="A4916" i="2"/>
  <c r="A4915" i="2"/>
  <c r="A4914" i="2"/>
  <c r="A4913" i="2"/>
  <c r="A4912" i="2"/>
  <c r="A4911" i="2"/>
  <c r="A4910" i="2"/>
  <c r="A4909" i="2"/>
  <c r="A4908" i="2"/>
  <c r="A4907" i="2"/>
  <c r="A4906" i="2"/>
  <c r="A4905" i="2"/>
  <c r="A4904" i="2"/>
  <c r="A4903" i="2"/>
  <c r="A4902" i="2"/>
  <c r="A4901" i="2"/>
  <c r="A4900" i="2"/>
  <c r="A4899" i="2"/>
  <c r="A4898" i="2"/>
  <c r="A4897" i="2"/>
  <c r="A4896" i="2"/>
  <c r="A4895" i="2"/>
  <c r="A4894" i="2"/>
  <c r="A4893" i="2"/>
  <c r="A4892" i="2"/>
  <c r="A4891" i="2"/>
  <c r="A4890" i="2"/>
  <c r="A4889" i="2"/>
  <c r="A4888" i="2"/>
  <c r="A4887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9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1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4833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5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7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9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4761" i="2"/>
  <c r="A4760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2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4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4706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8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2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4626" i="2"/>
  <c r="A4625" i="2"/>
  <c r="A4624" i="2"/>
  <c r="A4623" i="2"/>
  <c r="A4622" i="2"/>
  <c r="A4621" i="2"/>
  <c r="A4620" i="2"/>
  <c r="A4619" i="2"/>
  <c r="A4618" i="2"/>
  <c r="A4617" i="2"/>
  <c r="A4616" i="2"/>
  <c r="A4615" i="2"/>
  <c r="A4614" i="2"/>
  <c r="A4613" i="2"/>
  <c r="A4612" i="2"/>
  <c r="A4611" i="2"/>
  <c r="A4610" i="2"/>
  <c r="A4609" i="2"/>
  <c r="A4608" i="2"/>
  <c r="A4607" i="2"/>
  <c r="A4606" i="2"/>
  <c r="A4605" i="2"/>
  <c r="A4604" i="2"/>
  <c r="A4603" i="2"/>
  <c r="A4602" i="2"/>
  <c r="A4601" i="2"/>
  <c r="A4600" i="2"/>
  <c r="A4599" i="2"/>
  <c r="A4598" i="2"/>
  <c r="A4597" i="2"/>
  <c r="A4596" i="2"/>
  <c r="A4595" i="2"/>
  <c r="A4594" i="2"/>
  <c r="A4593" i="2"/>
  <c r="A4592" i="2"/>
  <c r="A4591" i="2"/>
  <c r="A4590" i="2"/>
  <c r="A4589" i="2"/>
  <c r="A4588" i="2"/>
  <c r="A4587" i="2"/>
  <c r="A4586" i="2"/>
  <c r="A4585" i="2"/>
  <c r="A4584" i="2"/>
  <c r="A4583" i="2"/>
  <c r="A4582" i="2"/>
  <c r="A4581" i="2"/>
  <c r="A4580" i="2"/>
  <c r="A4579" i="2"/>
  <c r="A4578" i="2"/>
  <c r="A4577" i="2"/>
  <c r="A4576" i="2"/>
  <c r="A4575" i="2"/>
  <c r="A4574" i="2"/>
  <c r="A4573" i="2"/>
  <c r="A4572" i="2"/>
  <c r="A4571" i="2"/>
  <c r="A4570" i="2"/>
  <c r="A4569" i="2"/>
  <c r="A4568" i="2"/>
  <c r="A4567" i="2"/>
  <c r="A4566" i="2"/>
  <c r="A4565" i="2"/>
  <c r="A4564" i="2"/>
  <c r="A4563" i="2"/>
  <c r="A4562" i="2"/>
  <c r="A4561" i="2"/>
  <c r="A4560" i="2"/>
  <c r="A4559" i="2"/>
  <c r="A4558" i="2"/>
  <c r="A4557" i="2"/>
  <c r="A4556" i="2"/>
  <c r="A4555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</calcChain>
</file>

<file path=xl/sharedStrings.xml><?xml version="1.0" encoding="utf-8"?>
<sst xmlns="http://schemas.openxmlformats.org/spreadsheetml/2006/main" count="24918" uniqueCount="4">
  <si>
    <t>Gene</t>
  </si>
  <si>
    <t>NA</t>
  </si>
  <si>
    <t>p-val</t>
  </si>
  <si>
    <t>adj. p-val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</si>
</sst>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 tint="-0.249977111117893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0" fillId="0" borderId="0" xfId="0" applyFill="1"/>
    <xf numFmtId="0" fontId="0" fillId="0" borderId="0" xfId="0" applyFill="1" applyAlignment="1">
      <alignment horizontal="center"/>
    </xf>
    <xf numFmtId="11" fontId="0" fillId="0" borderId="0" xfId="0" applyNumberForma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F1BA4-A7F3-3348-9858-896A3A7DFED7}">
  <dimension ref="A1:C23378"/>
  <sheetViews>
    <sheetView workbookViewId="0">
      <selection activeCell="A806" sqref="A1:A806"/>
    </sheetView>
  </sheetViews>
  <sheetFormatPr baseColWidth="10" defaultRowHeight="16" x14ac:dyDescent="0.2"/>
  <cols>
    <col min="1" max="3" width="14.83203125" style="4" customWidth="1"/>
    <col min="4" max="16384" width="10.83203125" style="3"/>
  </cols>
  <sheetData>
    <row r="1" spans="1:3" ht="17" x14ac:dyDescent="0.2">
      <c r="A1" s="1" t="s">
        <v>0</v>
      </c>
      <c r="B1" s="2" t="s">
        <v>2</v>
      </c>
      <c r="C1" s="2" t="s">
        <v>3</v>
      </c>
    </row>
    <row r="2" spans="1:3" x14ac:dyDescent="0.2">
      <c r="A2" s="4" t="str">
        <f>"CYP4F62P"</f>
        <v>CYP4F62P</v>
      </c>
      <c r="B2" s="4">
        <v>1E-3</v>
      </c>
      <c r="C2" s="4">
        <v>2.90964671311237E-2</v>
      </c>
    </row>
    <row r="3" spans="1:3" x14ac:dyDescent="0.2">
      <c r="A3" s="4" t="str">
        <f>"EGFEM1P"</f>
        <v>EGFEM1P</v>
      </c>
      <c r="B3" s="5">
        <v>9.99000999000999E-4</v>
      </c>
      <c r="C3" s="4">
        <v>2.90964671311237E-2</v>
      </c>
    </row>
    <row r="4" spans="1:3" x14ac:dyDescent="0.2">
      <c r="A4" s="4" t="str">
        <f>"HPYR1"</f>
        <v>HPYR1</v>
      </c>
      <c r="B4" s="4">
        <v>1.0121457489878499E-3</v>
      </c>
      <c r="C4" s="4">
        <v>2.90964671311237E-2</v>
      </c>
    </row>
    <row r="5" spans="1:3" x14ac:dyDescent="0.2">
      <c r="A5" s="4" t="str">
        <f>"OLIG2"</f>
        <v>OLIG2</v>
      </c>
      <c r="B5" s="5">
        <v>9.99000999000999E-4</v>
      </c>
      <c r="C5" s="4">
        <v>2.90964671311237E-2</v>
      </c>
    </row>
    <row r="6" spans="1:3" x14ac:dyDescent="0.2">
      <c r="A6" s="4" t="str">
        <f>"THCAT155"</f>
        <v>THCAT155</v>
      </c>
      <c r="B6" s="4">
        <v>1.0070493454179201E-3</v>
      </c>
      <c r="C6" s="4">
        <v>2.90964671311237E-2</v>
      </c>
    </row>
    <row r="7" spans="1:3" x14ac:dyDescent="0.2">
      <c r="A7" s="4" t="str">
        <f>"STAB2"</f>
        <v>STAB2</v>
      </c>
      <c r="B7" s="5">
        <v>9.99000999000999E-4</v>
      </c>
      <c r="C7" s="4">
        <v>2.90964671311237E-2</v>
      </c>
    </row>
    <row r="8" spans="1:3" x14ac:dyDescent="0.2">
      <c r="A8" s="4" t="str">
        <f>"AC010327.4"</f>
        <v>AC010327.4</v>
      </c>
      <c r="B8" s="4">
        <v>1E-3</v>
      </c>
      <c r="C8" s="4">
        <v>2.90964671311237E-2</v>
      </c>
    </row>
    <row r="9" spans="1:3" x14ac:dyDescent="0.2">
      <c r="A9" s="4" t="str">
        <f>"AC025475.1"</f>
        <v>AC025475.1</v>
      </c>
      <c r="B9" s="5">
        <v>9.99000999000999E-4</v>
      </c>
      <c r="C9" s="4">
        <v>2.90964671311237E-2</v>
      </c>
    </row>
    <row r="10" spans="1:3" x14ac:dyDescent="0.2">
      <c r="A10" s="4" t="str">
        <f>"AC020928.1"</f>
        <v>AC020928.1</v>
      </c>
      <c r="B10" s="4">
        <v>1.0070493454179201E-3</v>
      </c>
      <c r="C10" s="4">
        <v>2.90964671311237E-2</v>
      </c>
    </row>
    <row r="11" spans="1:3" x14ac:dyDescent="0.2">
      <c r="A11" s="4" t="str">
        <f>"AC112491.1"</f>
        <v>AC112491.1</v>
      </c>
      <c r="B11" s="4">
        <v>1.0010010010009999E-3</v>
      </c>
      <c r="C11" s="4">
        <v>2.90964671311237E-2</v>
      </c>
    </row>
    <row r="12" spans="1:3" x14ac:dyDescent="0.2">
      <c r="A12" s="4" t="str">
        <f>"CD79B"</f>
        <v>CD79B</v>
      </c>
      <c r="B12" s="5">
        <v>9.99000999000999E-4</v>
      </c>
      <c r="C12" s="4">
        <v>2.90964671311237E-2</v>
      </c>
    </row>
    <row r="13" spans="1:3" x14ac:dyDescent="0.2">
      <c r="A13" s="4" t="str">
        <f>"CAGE1"</f>
        <v>CAGE1</v>
      </c>
      <c r="B13" s="4">
        <v>1E-3</v>
      </c>
      <c r="C13" s="4">
        <v>2.90964671311237E-2</v>
      </c>
    </row>
    <row r="14" spans="1:3" x14ac:dyDescent="0.2">
      <c r="A14" s="4" t="str">
        <f>"SDR9C7"</f>
        <v>SDR9C7</v>
      </c>
      <c r="B14" s="5">
        <v>9.99000999000999E-4</v>
      </c>
      <c r="C14" s="4">
        <v>2.90964671311237E-2</v>
      </c>
    </row>
    <row r="15" spans="1:3" x14ac:dyDescent="0.2">
      <c r="A15" s="4" t="str">
        <f>"LINC02436"</f>
        <v>LINC02436</v>
      </c>
      <c r="B15" s="5">
        <v>9.99000999000999E-4</v>
      </c>
      <c r="C15" s="4">
        <v>2.90964671311237E-2</v>
      </c>
    </row>
    <row r="16" spans="1:3" x14ac:dyDescent="0.2">
      <c r="A16" s="4" t="str">
        <f>"AC005523.1"</f>
        <v>AC005523.1</v>
      </c>
      <c r="B16" s="4">
        <v>1.0121457489878499E-3</v>
      </c>
      <c r="C16" s="4">
        <v>2.90964671311237E-2</v>
      </c>
    </row>
    <row r="17" spans="1:3" x14ac:dyDescent="0.2">
      <c r="A17" s="4" t="str">
        <f>"AC010745.2"</f>
        <v>AC010745.2</v>
      </c>
      <c r="B17" s="5">
        <v>9.99000999000999E-4</v>
      </c>
      <c r="C17" s="4">
        <v>2.90964671311237E-2</v>
      </c>
    </row>
    <row r="18" spans="1:3" x14ac:dyDescent="0.2">
      <c r="A18" s="4" t="str">
        <f>"MT-TF"</f>
        <v>MT-TF</v>
      </c>
      <c r="B18" s="5">
        <v>9.99000999000999E-4</v>
      </c>
      <c r="C18" s="4">
        <v>2.90964671311237E-2</v>
      </c>
    </row>
    <row r="19" spans="1:3" x14ac:dyDescent="0.2">
      <c r="A19" s="4" t="str">
        <f>"RPS3AP5"</f>
        <v>RPS3AP5</v>
      </c>
      <c r="B19" s="4">
        <v>1.01317122593718E-3</v>
      </c>
      <c r="C19" s="4">
        <v>2.90964671311237E-2</v>
      </c>
    </row>
    <row r="20" spans="1:3" x14ac:dyDescent="0.2">
      <c r="A20" s="4" t="str">
        <f>"H2AC17"</f>
        <v>H2AC17</v>
      </c>
      <c r="B20" s="5">
        <v>9.99000999000999E-4</v>
      </c>
      <c r="C20" s="4">
        <v>2.90964671311237E-2</v>
      </c>
    </row>
    <row r="21" spans="1:3" x14ac:dyDescent="0.2">
      <c r="A21" s="4" t="str">
        <f>"DHDH"</f>
        <v>DHDH</v>
      </c>
      <c r="B21" s="4">
        <v>1.0050251256281399E-3</v>
      </c>
      <c r="C21" s="4">
        <v>2.90964671311237E-2</v>
      </c>
    </row>
    <row r="22" spans="1:3" x14ac:dyDescent="0.2">
      <c r="A22" s="4" t="str">
        <f>"LINC00513"</f>
        <v>LINC00513</v>
      </c>
      <c r="B22" s="5">
        <v>9.99000999000999E-4</v>
      </c>
      <c r="C22" s="4">
        <v>2.90964671311237E-2</v>
      </c>
    </row>
    <row r="23" spans="1:3" x14ac:dyDescent="0.2">
      <c r="A23" s="4" t="str">
        <f>"Z69706.1"</f>
        <v>Z69706.1</v>
      </c>
      <c r="B23" s="5">
        <v>9.99000999000999E-4</v>
      </c>
      <c r="C23" s="4">
        <v>2.90964671311237E-2</v>
      </c>
    </row>
    <row r="24" spans="1:3" x14ac:dyDescent="0.2">
      <c r="A24" s="4" t="str">
        <f>"AC135050.1"</f>
        <v>AC135050.1</v>
      </c>
      <c r="B24" s="5">
        <v>9.99000999000999E-4</v>
      </c>
      <c r="C24" s="4">
        <v>2.90964671311237E-2</v>
      </c>
    </row>
    <row r="25" spans="1:3" x14ac:dyDescent="0.2">
      <c r="A25" s="4" t="str">
        <f>"AD000864.1"</f>
        <v>AD000864.1</v>
      </c>
      <c r="B25" s="5">
        <v>9.99000999000999E-4</v>
      </c>
      <c r="C25" s="4">
        <v>2.90964671311237E-2</v>
      </c>
    </row>
    <row r="26" spans="1:3" x14ac:dyDescent="0.2">
      <c r="A26" s="4" t="str">
        <f>"NCR1"</f>
        <v>NCR1</v>
      </c>
      <c r="B26" s="4">
        <v>1E-3</v>
      </c>
      <c r="C26" s="4">
        <v>2.90964671311237E-2</v>
      </c>
    </row>
    <row r="27" spans="1:3" x14ac:dyDescent="0.2">
      <c r="A27" s="4" t="str">
        <f>"HOXA1"</f>
        <v>HOXA1</v>
      </c>
      <c r="B27" s="5">
        <v>9.99000999000999E-4</v>
      </c>
      <c r="C27" s="4">
        <v>2.90964671311237E-2</v>
      </c>
    </row>
    <row r="28" spans="1:3" x14ac:dyDescent="0.2">
      <c r="A28" s="4" t="str">
        <f>"AC026333.3"</f>
        <v>AC026333.3</v>
      </c>
      <c r="B28" s="5">
        <v>9.99000999000999E-4</v>
      </c>
      <c r="C28" s="4">
        <v>2.90964671311237E-2</v>
      </c>
    </row>
    <row r="29" spans="1:3" x14ac:dyDescent="0.2">
      <c r="A29" s="4" t="str">
        <f>"AC034199.1"</f>
        <v>AC034199.1</v>
      </c>
      <c r="B29" s="5">
        <v>9.99000999000999E-4</v>
      </c>
      <c r="C29" s="4">
        <v>2.90964671311237E-2</v>
      </c>
    </row>
    <row r="30" spans="1:3" x14ac:dyDescent="0.2">
      <c r="A30" s="4" t="str">
        <f>"AC079142.1"</f>
        <v>AC079142.1</v>
      </c>
      <c r="B30" s="5">
        <v>9.99000999000999E-4</v>
      </c>
      <c r="C30" s="4">
        <v>2.90964671311237E-2</v>
      </c>
    </row>
    <row r="31" spans="1:3" x14ac:dyDescent="0.2">
      <c r="A31" s="4" t="str">
        <f>"LINC00528"</f>
        <v>LINC00528</v>
      </c>
      <c r="B31" s="5">
        <v>9.99000999000999E-4</v>
      </c>
      <c r="C31" s="4">
        <v>2.90964671311237E-2</v>
      </c>
    </row>
    <row r="32" spans="1:3" x14ac:dyDescent="0.2">
      <c r="A32" s="4" t="str">
        <f>"CFAP58-DT"</f>
        <v>CFAP58-DT</v>
      </c>
      <c r="B32" s="5">
        <v>9.99000999000999E-4</v>
      </c>
      <c r="C32" s="4">
        <v>2.90964671311237E-2</v>
      </c>
    </row>
    <row r="33" spans="1:3" x14ac:dyDescent="0.2">
      <c r="A33" s="4" t="str">
        <f>"AC020922.1"</f>
        <v>AC020922.1</v>
      </c>
      <c r="B33" s="5">
        <v>9.99000999000999E-4</v>
      </c>
      <c r="C33" s="4">
        <v>2.90964671311237E-2</v>
      </c>
    </row>
    <row r="34" spans="1:3" x14ac:dyDescent="0.2">
      <c r="A34" s="4" t="str">
        <f>"CTRC"</f>
        <v>CTRC</v>
      </c>
      <c r="B34" s="5">
        <v>9.99000999000999E-4</v>
      </c>
      <c r="C34" s="4">
        <v>2.90964671311237E-2</v>
      </c>
    </row>
    <row r="35" spans="1:3" x14ac:dyDescent="0.2">
      <c r="A35" s="4" t="str">
        <f>"AC142381.3"</f>
        <v>AC142381.3</v>
      </c>
      <c r="B35" s="4">
        <v>1E-3</v>
      </c>
      <c r="C35" s="4">
        <v>2.90964671311237E-2</v>
      </c>
    </row>
    <row r="36" spans="1:3" x14ac:dyDescent="0.2">
      <c r="A36" s="4" t="str">
        <f>"SLC6A13"</f>
        <v>SLC6A13</v>
      </c>
      <c r="B36" s="5">
        <v>9.99000999000999E-4</v>
      </c>
      <c r="C36" s="4">
        <v>2.90964671311237E-2</v>
      </c>
    </row>
    <row r="37" spans="1:3" x14ac:dyDescent="0.2">
      <c r="A37" s="4" t="str">
        <f>"CPP"</f>
        <v>CPP</v>
      </c>
      <c r="B37" s="5">
        <v>9.99000999000999E-4</v>
      </c>
      <c r="C37" s="4">
        <v>2.90964671311237E-2</v>
      </c>
    </row>
    <row r="38" spans="1:3" x14ac:dyDescent="0.2">
      <c r="A38" s="4" t="str">
        <f>"LINC00535"</f>
        <v>LINC00535</v>
      </c>
      <c r="B38" s="5">
        <v>9.99000999000999E-4</v>
      </c>
      <c r="C38" s="4">
        <v>2.90964671311237E-2</v>
      </c>
    </row>
    <row r="39" spans="1:3" x14ac:dyDescent="0.2">
      <c r="A39" s="4" t="str">
        <f>"EHMT2-AS1"</f>
        <v>EHMT2-AS1</v>
      </c>
      <c r="B39" s="5">
        <v>9.99000999000999E-4</v>
      </c>
      <c r="C39" s="4">
        <v>2.90964671311237E-2</v>
      </c>
    </row>
    <row r="40" spans="1:3" x14ac:dyDescent="0.2">
      <c r="A40" s="4" t="str">
        <f>"SCUBE3"</f>
        <v>SCUBE3</v>
      </c>
      <c r="B40" s="5">
        <v>9.99000999000999E-4</v>
      </c>
      <c r="C40" s="4">
        <v>2.90964671311237E-2</v>
      </c>
    </row>
    <row r="41" spans="1:3" x14ac:dyDescent="0.2">
      <c r="A41" s="4" t="str">
        <f>"SERPINA6"</f>
        <v>SERPINA6</v>
      </c>
      <c r="B41" s="5">
        <v>9.99000999000999E-4</v>
      </c>
      <c r="C41" s="4">
        <v>2.90964671311237E-2</v>
      </c>
    </row>
    <row r="42" spans="1:3" x14ac:dyDescent="0.2">
      <c r="A42" s="4" t="str">
        <f>"AC139795.2"</f>
        <v>AC139795.2</v>
      </c>
      <c r="B42" s="4">
        <v>1.0080645161290301E-3</v>
      </c>
      <c r="C42" s="4">
        <v>2.90964671311237E-2</v>
      </c>
    </row>
    <row r="43" spans="1:3" x14ac:dyDescent="0.2">
      <c r="A43" s="4" t="str">
        <f>"AL365181.2"</f>
        <v>AL365181.2</v>
      </c>
      <c r="B43" s="5">
        <v>9.99000999000999E-4</v>
      </c>
      <c r="C43" s="4">
        <v>2.90964671311237E-2</v>
      </c>
    </row>
    <row r="44" spans="1:3" x14ac:dyDescent="0.2">
      <c r="A44" s="4" t="str">
        <f>"DHRS2"</f>
        <v>DHRS2</v>
      </c>
      <c r="B44" s="5">
        <v>9.99000999000999E-4</v>
      </c>
      <c r="C44" s="4">
        <v>2.90964671311237E-2</v>
      </c>
    </row>
    <row r="45" spans="1:3" x14ac:dyDescent="0.2">
      <c r="A45" s="4" t="str">
        <f>"AC025279.1"</f>
        <v>AC025279.1</v>
      </c>
      <c r="B45" s="5">
        <v>9.99000999000999E-4</v>
      </c>
      <c r="C45" s="4">
        <v>2.90964671311237E-2</v>
      </c>
    </row>
    <row r="46" spans="1:3" x14ac:dyDescent="0.2">
      <c r="A46" s="4" t="str">
        <f>"AL671277.1"</f>
        <v>AL671277.1</v>
      </c>
      <c r="B46" s="5">
        <v>9.99000999000999E-4</v>
      </c>
      <c r="C46" s="4">
        <v>2.90964671311237E-2</v>
      </c>
    </row>
    <row r="47" spans="1:3" x14ac:dyDescent="0.2">
      <c r="A47" s="4" t="str">
        <f>"KRTDAP"</f>
        <v>KRTDAP</v>
      </c>
      <c r="B47" s="5">
        <v>9.99000999000999E-4</v>
      </c>
      <c r="C47" s="4">
        <v>2.90964671311237E-2</v>
      </c>
    </row>
    <row r="48" spans="1:3" x14ac:dyDescent="0.2">
      <c r="A48" s="4" t="str">
        <f>"TMEM202-AS1"</f>
        <v>TMEM202-AS1</v>
      </c>
      <c r="B48" s="5">
        <v>9.99000999000999E-4</v>
      </c>
      <c r="C48" s="4">
        <v>2.90964671311237E-2</v>
      </c>
    </row>
    <row r="49" spans="1:3" x14ac:dyDescent="0.2">
      <c r="A49" s="4" t="str">
        <f>"AC008736.1"</f>
        <v>AC008736.1</v>
      </c>
      <c r="B49" s="5">
        <v>9.99000999000999E-4</v>
      </c>
      <c r="C49" s="4">
        <v>2.90964671311237E-2</v>
      </c>
    </row>
    <row r="50" spans="1:3" x14ac:dyDescent="0.2">
      <c r="A50" s="4" t="str">
        <f>"AC015912.3"</f>
        <v>AC015912.3</v>
      </c>
      <c r="B50" s="5">
        <v>9.99000999000999E-4</v>
      </c>
      <c r="C50" s="4">
        <v>2.90964671311237E-2</v>
      </c>
    </row>
    <row r="51" spans="1:3" x14ac:dyDescent="0.2">
      <c r="A51" s="4" t="str">
        <f>"ZNF385D"</f>
        <v>ZNF385D</v>
      </c>
      <c r="B51" s="5">
        <v>9.99000999000999E-4</v>
      </c>
      <c r="C51" s="4">
        <v>2.90964671311237E-2</v>
      </c>
    </row>
    <row r="52" spans="1:3" x14ac:dyDescent="0.2">
      <c r="A52" s="4" t="str">
        <f>"AL671883.2"</f>
        <v>AL671883.2</v>
      </c>
      <c r="B52" s="5">
        <v>9.99000999000999E-4</v>
      </c>
      <c r="C52" s="4">
        <v>2.90964671311237E-2</v>
      </c>
    </row>
    <row r="53" spans="1:3" x14ac:dyDescent="0.2">
      <c r="A53" s="4" t="str">
        <f>"EIF3FP3"</f>
        <v>EIF3FP3</v>
      </c>
      <c r="B53" s="5">
        <v>9.99000999000999E-4</v>
      </c>
      <c r="C53" s="4">
        <v>2.90964671311237E-2</v>
      </c>
    </row>
    <row r="54" spans="1:3" x14ac:dyDescent="0.2">
      <c r="A54" s="4" t="str">
        <f>"PEAK3"</f>
        <v>PEAK3</v>
      </c>
      <c r="B54" s="5">
        <v>9.99000999000999E-4</v>
      </c>
      <c r="C54" s="4">
        <v>2.90964671311237E-2</v>
      </c>
    </row>
    <row r="55" spans="1:3" x14ac:dyDescent="0.2">
      <c r="A55" s="4" t="str">
        <f>"SPIB"</f>
        <v>SPIB</v>
      </c>
      <c r="B55" s="5">
        <v>9.99000999000999E-4</v>
      </c>
      <c r="C55" s="4">
        <v>2.90964671311237E-2</v>
      </c>
    </row>
    <row r="56" spans="1:3" x14ac:dyDescent="0.2">
      <c r="A56" s="4" t="str">
        <f>"LINC01465"</f>
        <v>LINC01465</v>
      </c>
      <c r="B56" s="5">
        <v>9.99000999000999E-4</v>
      </c>
      <c r="C56" s="4">
        <v>2.90964671311237E-2</v>
      </c>
    </row>
    <row r="57" spans="1:3" x14ac:dyDescent="0.2">
      <c r="A57" s="4" t="str">
        <f>"BMP6"</f>
        <v>BMP6</v>
      </c>
      <c r="B57" s="5">
        <v>9.99000999000999E-4</v>
      </c>
      <c r="C57" s="4">
        <v>2.90964671311237E-2</v>
      </c>
    </row>
    <row r="58" spans="1:3" x14ac:dyDescent="0.2">
      <c r="A58" s="4" t="str">
        <f>"AL604028.1"</f>
        <v>AL604028.1</v>
      </c>
      <c r="B58" s="5">
        <v>9.99000999000999E-4</v>
      </c>
      <c r="C58" s="4">
        <v>2.90964671311237E-2</v>
      </c>
    </row>
    <row r="59" spans="1:3" x14ac:dyDescent="0.2">
      <c r="A59" s="4" t="str">
        <f>"HOTAIRM1"</f>
        <v>HOTAIRM1</v>
      </c>
      <c r="B59" s="5">
        <v>9.99000999000999E-4</v>
      </c>
      <c r="C59" s="4">
        <v>2.90964671311237E-2</v>
      </c>
    </row>
    <row r="60" spans="1:3" x14ac:dyDescent="0.2">
      <c r="A60" s="4" t="str">
        <f>"IRX6"</f>
        <v>IRX6</v>
      </c>
      <c r="B60" s="5">
        <v>9.99000999000999E-4</v>
      </c>
      <c r="C60" s="4">
        <v>2.90964671311237E-2</v>
      </c>
    </row>
    <row r="61" spans="1:3" x14ac:dyDescent="0.2">
      <c r="A61" s="4" t="str">
        <f>"C19orf57"</f>
        <v>C19orf57</v>
      </c>
      <c r="B61" s="5">
        <v>9.99000999000999E-4</v>
      </c>
      <c r="C61" s="4">
        <v>2.90964671311237E-2</v>
      </c>
    </row>
    <row r="62" spans="1:3" x14ac:dyDescent="0.2">
      <c r="A62" s="4" t="str">
        <f>"GUCA1B"</f>
        <v>GUCA1B</v>
      </c>
      <c r="B62" s="5">
        <v>9.99000999000999E-4</v>
      </c>
      <c r="C62" s="4">
        <v>2.90964671311237E-2</v>
      </c>
    </row>
    <row r="63" spans="1:3" x14ac:dyDescent="0.2">
      <c r="A63" s="4" t="str">
        <f>"AC020763.4"</f>
        <v>AC020763.4</v>
      </c>
      <c r="B63" s="5">
        <v>9.99000999000999E-4</v>
      </c>
      <c r="C63" s="4">
        <v>2.90964671311237E-2</v>
      </c>
    </row>
    <row r="64" spans="1:3" x14ac:dyDescent="0.2">
      <c r="A64" s="4" t="str">
        <f>"ADAMTS1"</f>
        <v>ADAMTS1</v>
      </c>
      <c r="B64" s="5">
        <v>9.99000999000999E-4</v>
      </c>
      <c r="C64" s="4">
        <v>2.90964671311237E-2</v>
      </c>
    </row>
    <row r="65" spans="1:3" x14ac:dyDescent="0.2">
      <c r="A65" s="4" t="str">
        <f>"KHDC1"</f>
        <v>KHDC1</v>
      </c>
      <c r="B65" s="5">
        <v>9.99000999000999E-4</v>
      </c>
      <c r="C65" s="4">
        <v>2.90964671311237E-2</v>
      </c>
    </row>
    <row r="66" spans="1:3" x14ac:dyDescent="0.2">
      <c r="A66" s="4" t="str">
        <f>"AL356273.3"</f>
        <v>AL356273.3</v>
      </c>
      <c r="B66" s="5">
        <v>9.99000999000999E-4</v>
      </c>
      <c r="C66" s="4">
        <v>2.90964671311237E-2</v>
      </c>
    </row>
    <row r="67" spans="1:3" x14ac:dyDescent="0.2">
      <c r="A67" s="4" t="str">
        <f>"LINC00877"</f>
        <v>LINC00877</v>
      </c>
      <c r="B67" s="5">
        <v>9.99000999000999E-4</v>
      </c>
      <c r="C67" s="4">
        <v>2.90964671311237E-2</v>
      </c>
    </row>
    <row r="68" spans="1:3" x14ac:dyDescent="0.2">
      <c r="A68" s="4" t="str">
        <f>"ST20"</f>
        <v>ST20</v>
      </c>
      <c r="B68" s="5">
        <v>9.99000999000999E-4</v>
      </c>
      <c r="C68" s="4">
        <v>2.90964671311237E-2</v>
      </c>
    </row>
    <row r="69" spans="1:3" x14ac:dyDescent="0.2">
      <c r="A69" s="4" t="str">
        <f>"AF274858.1"</f>
        <v>AF274858.1</v>
      </c>
      <c r="B69" s="5">
        <v>9.99000999000999E-4</v>
      </c>
      <c r="C69" s="4">
        <v>2.90964671311237E-2</v>
      </c>
    </row>
    <row r="70" spans="1:3" x14ac:dyDescent="0.2">
      <c r="A70" s="4" t="str">
        <f>"LINC00392"</f>
        <v>LINC00392</v>
      </c>
      <c r="B70" s="5">
        <v>9.99000999000999E-4</v>
      </c>
      <c r="C70" s="4">
        <v>2.90964671311237E-2</v>
      </c>
    </row>
    <row r="71" spans="1:3" x14ac:dyDescent="0.2">
      <c r="A71" s="4" t="str">
        <f>"ZNF630"</f>
        <v>ZNF630</v>
      </c>
      <c r="B71" s="5">
        <v>9.99000999000999E-4</v>
      </c>
      <c r="C71" s="4">
        <v>2.90964671311237E-2</v>
      </c>
    </row>
    <row r="72" spans="1:3" x14ac:dyDescent="0.2">
      <c r="A72" s="4" t="str">
        <f>"TNFSF15"</f>
        <v>TNFSF15</v>
      </c>
      <c r="B72" s="5">
        <v>9.99000999000999E-4</v>
      </c>
      <c r="C72" s="4">
        <v>2.90964671311237E-2</v>
      </c>
    </row>
    <row r="73" spans="1:3" x14ac:dyDescent="0.2">
      <c r="A73" s="4" t="str">
        <f>"RPL37P6"</f>
        <v>RPL37P6</v>
      </c>
      <c r="B73" s="5">
        <v>9.99000999000999E-4</v>
      </c>
      <c r="C73" s="4">
        <v>2.90964671311237E-2</v>
      </c>
    </row>
    <row r="74" spans="1:3" x14ac:dyDescent="0.2">
      <c r="A74" s="4" t="str">
        <f>"FAM25A"</f>
        <v>FAM25A</v>
      </c>
      <c r="B74" s="5">
        <v>9.99000999000999E-4</v>
      </c>
      <c r="C74" s="4">
        <v>2.90964671311237E-2</v>
      </c>
    </row>
    <row r="75" spans="1:3" x14ac:dyDescent="0.2">
      <c r="A75" s="4" t="str">
        <f>"GPR143"</f>
        <v>GPR143</v>
      </c>
      <c r="B75" s="5">
        <v>9.99000999000999E-4</v>
      </c>
      <c r="C75" s="4">
        <v>2.90964671311237E-2</v>
      </c>
    </row>
    <row r="76" spans="1:3" x14ac:dyDescent="0.2">
      <c r="A76" s="4" t="str">
        <f>"FBXL22"</f>
        <v>FBXL22</v>
      </c>
      <c r="B76" s="5">
        <v>9.99000999000999E-4</v>
      </c>
      <c r="C76" s="4">
        <v>2.90964671311237E-2</v>
      </c>
    </row>
    <row r="77" spans="1:3" x14ac:dyDescent="0.2">
      <c r="A77" s="4" t="str">
        <f>"FCGR1B"</f>
        <v>FCGR1B</v>
      </c>
      <c r="B77" s="5">
        <v>9.99000999000999E-4</v>
      </c>
      <c r="C77" s="4">
        <v>2.90964671311237E-2</v>
      </c>
    </row>
    <row r="78" spans="1:3" x14ac:dyDescent="0.2">
      <c r="A78" s="4" t="str">
        <f>"PYCARD-AS1"</f>
        <v>PYCARD-AS1</v>
      </c>
      <c r="B78" s="5">
        <v>9.99000999000999E-4</v>
      </c>
      <c r="C78" s="4">
        <v>2.90964671311237E-2</v>
      </c>
    </row>
    <row r="79" spans="1:3" x14ac:dyDescent="0.2">
      <c r="A79" s="4" t="str">
        <f>"LINC01270"</f>
        <v>LINC01270</v>
      </c>
      <c r="B79" s="5">
        <v>9.99000999000999E-4</v>
      </c>
      <c r="C79" s="4">
        <v>2.90964671311237E-2</v>
      </c>
    </row>
    <row r="80" spans="1:3" x14ac:dyDescent="0.2">
      <c r="A80" s="4" t="str">
        <f>"DNAH14"</f>
        <v>DNAH14</v>
      </c>
      <c r="B80" s="5">
        <v>9.99000999000999E-4</v>
      </c>
      <c r="C80" s="4">
        <v>2.90964671311237E-2</v>
      </c>
    </row>
    <row r="81" spans="1:3" x14ac:dyDescent="0.2">
      <c r="A81" s="4" t="str">
        <f>"AC102953.2"</f>
        <v>AC102953.2</v>
      </c>
      <c r="B81" s="5">
        <v>9.99000999000999E-4</v>
      </c>
      <c r="C81" s="4">
        <v>2.90964671311237E-2</v>
      </c>
    </row>
    <row r="82" spans="1:3" x14ac:dyDescent="0.2">
      <c r="A82" s="4" t="str">
        <f>"GUSBP1"</f>
        <v>GUSBP1</v>
      </c>
      <c r="B82" s="5">
        <v>9.99000999000999E-4</v>
      </c>
      <c r="C82" s="4">
        <v>2.90964671311237E-2</v>
      </c>
    </row>
    <row r="83" spans="1:3" x14ac:dyDescent="0.2">
      <c r="A83" s="4" t="str">
        <f>"LIPN"</f>
        <v>LIPN</v>
      </c>
      <c r="B83" s="4">
        <v>1E-3</v>
      </c>
      <c r="C83" s="4">
        <v>2.90964671311237E-2</v>
      </c>
    </row>
    <row r="84" spans="1:3" x14ac:dyDescent="0.2">
      <c r="A84" s="4" t="str">
        <f>"KIF9-AS1"</f>
        <v>KIF9-AS1</v>
      </c>
      <c r="B84" s="5">
        <v>9.99000999000999E-4</v>
      </c>
      <c r="C84" s="4">
        <v>2.90964671311237E-2</v>
      </c>
    </row>
    <row r="85" spans="1:3" x14ac:dyDescent="0.2">
      <c r="A85" s="4" t="str">
        <f>"AATBC"</f>
        <v>AATBC</v>
      </c>
      <c r="B85" s="5">
        <v>9.99000999000999E-4</v>
      </c>
      <c r="C85" s="4">
        <v>2.90964671311237E-2</v>
      </c>
    </row>
    <row r="86" spans="1:3" x14ac:dyDescent="0.2">
      <c r="A86" s="4" t="str">
        <f>"FAM216A"</f>
        <v>FAM216A</v>
      </c>
      <c r="B86" s="5">
        <v>9.99000999000999E-4</v>
      </c>
      <c r="C86" s="4">
        <v>2.90964671311237E-2</v>
      </c>
    </row>
    <row r="87" spans="1:3" x14ac:dyDescent="0.2">
      <c r="A87" s="4" t="str">
        <f>"COX10-AS1"</f>
        <v>COX10-AS1</v>
      </c>
      <c r="B87" s="5">
        <v>9.99000999000999E-4</v>
      </c>
      <c r="C87" s="4">
        <v>2.90964671311237E-2</v>
      </c>
    </row>
    <row r="88" spans="1:3" x14ac:dyDescent="0.2">
      <c r="A88" s="4" t="str">
        <f>"SDAD1P1"</f>
        <v>SDAD1P1</v>
      </c>
      <c r="B88" s="5">
        <v>9.99000999000999E-4</v>
      </c>
      <c r="C88" s="4">
        <v>2.90964671311237E-2</v>
      </c>
    </row>
    <row r="89" spans="1:3" x14ac:dyDescent="0.2">
      <c r="A89" s="4" t="str">
        <f>"AC074212.1"</f>
        <v>AC074212.1</v>
      </c>
      <c r="B89" s="5">
        <v>9.99000999000999E-4</v>
      </c>
      <c r="C89" s="4">
        <v>2.90964671311237E-2</v>
      </c>
    </row>
    <row r="90" spans="1:3" x14ac:dyDescent="0.2">
      <c r="A90" s="4" t="str">
        <f>"AC000068.1"</f>
        <v>AC000068.1</v>
      </c>
      <c r="B90" s="5">
        <v>9.99000999000999E-4</v>
      </c>
      <c r="C90" s="4">
        <v>2.90964671311237E-2</v>
      </c>
    </row>
    <row r="91" spans="1:3" x14ac:dyDescent="0.2">
      <c r="A91" s="4" t="str">
        <f>"IRAG1"</f>
        <v>IRAG1</v>
      </c>
      <c r="B91" s="5">
        <v>9.99000999000999E-4</v>
      </c>
      <c r="C91" s="4">
        <v>2.90964671311237E-2</v>
      </c>
    </row>
    <row r="92" spans="1:3" x14ac:dyDescent="0.2">
      <c r="A92" s="4" t="str">
        <f>"C19orf38"</f>
        <v>C19orf38</v>
      </c>
      <c r="B92" s="5">
        <v>9.99000999000999E-4</v>
      </c>
      <c r="C92" s="4">
        <v>2.90964671311237E-2</v>
      </c>
    </row>
    <row r="93" spans="1:3" x14ac:dyDescent="0.2">
      <c r="A93" s="4" t="str">
        <f>"ARHGAP15"</f>
        <v>ARHGAP15</v>
      </c>
      <c r="B93" s="5">
        <v>9.99000999000999E-4</v>
      </c>
      <c r="C93" s="4">
        <v>2.90964671311237E-2</v>
      </c>
    </row>
    <row r="94" spans="1:3" x14ac:dyDescent="0.2">
      <c r="A94" s="4" t="str">
        <f>"SENP8"</f>
        <v>SENP8</v>
      </c>
      <c r="B94" s="5">
        <v>9.99000999000999E-4</v>
      </c>
      <c r="C94" s="4">
        <v>2.90964671311237E-2</v>
      </c>
    </row>
    <row r="95" spans="1:3" x14ac:dyDescent="0.2">
      <c r="A95" s="4" t="str">
        <f>"AC009055.2"</f>
        <v>AC009055.2</v>
      </c>
      <c r="B95" s="5">
        <v>9.99000999000999E-4</v>
      </c>
      <c r="C95" s="4">
        <v>2.90964671311237E-2</v>
      </c>
    </row>
    <row r="96" spans="1:3" x14ac:dyDescent="0.2">
      <c r="A96" s="4" t="str">
        <f>"TRIM73"</f>
        <v>TRIM73</v>
      </c>
      <c r="B96" s="5">
        <v>9.99000999000999E-4</v>
      </c>
      <c r="C96" s="4">
        <v>2.90964671311237E-2</v>
      </c>
    </row>
    <row r="97" spans="1:3" x14ac:dyDescent="0.2">
      <c r="A97" s="4" t="str">
        <f>"AC008014.1"</f>
        <v>AC008014.1</v>
      </c>
      <c r="B97" s="5">
        <v>9.99000999000999E-4</v>
      </c>
      <c r="C97" s="4">
        <v>2.90964671311237E-2</v>
      </c>
    </row>
    <row r="98" spans="1:3" x14ac:dyDescent="0.2">
      <c r="A98" s="4" t="str">
        <f>"CDA"</f>
        <v>CDA</v>
      </c>
      <c r="B98" s="5">
        <v>9.99000999000999E-4</v>
      </c>
      <c r="C98" s="4">
        <v>2.90964671311237E-2</v>
      </c>
    </row>
    <row r="99" spans="1:3" x14ac:dyDescent="0.2">
      <c r="A99" s="4" t="str">
        <f>"ZNF782"</f>
        <v>ZNF782</v>
      </c>
      <c r="B99" s="5">
        <v>9.99000999000999E-4</v>
      </c>
      <c r="C99" s="4">
        <v>2.90964671311237E-2</v>
      </c>
    </row>
    <row r="100" spans="1:3" x14ac:dyDescent="0.2">
      <c r="A100" s="4" t="str">
        <f>"ABCB9"</f>
        <v>ABCB9</v>
      </c>
      <c r="B100" s="5">
        <v>9.99000999000999E-4</v>
      </c>
      <c r="C100" s="4">
        <v>2.90964671311237E-2</v>
      </c>
    </row>
    <row r="101" spans="1:3" x14ac:dyDescent="0.2">
      <c r="A101" s="4" t="str">
        <f>"SLC44A5"</f>
        <v>SLC44A5</v>
      </c>
      <c r="B101" s="5">
        <v>9.99000999000999E-4</v>
      </c>
      <c r="C101" s="4">
        <v>2.90964671311237E-2</v>
      </c>
    </row>
    <row r="102" spans="1:3" x14ac:dyDescent="0.2">
      <c r="A102" s="4" t="str">
        <f>"TRAF3IP3"</f>
        <v>TRAF3IP3</v>
      </c>
      <c r="B102" s="5">
        <v>9.99000999000999E-4</v>
      </c>
      <c r="C102" s="4">
        <v>2.90964671311237E-2</v>
      </c>
    </row>
    <row r="103" spans="1:3" x14ac:dyDescent="0.2">
      <c r="A103" s="4" t="str">
        <f>"ZNF14"</f>
        <v>ZNF14</v>
      </c>
      <c r="B103" s="5">
        <v>9.99000999000999E-4</v>
      </c>
      <c r="C103" s="4">
        <v>2.90964671311237E-2</v>
      </c>
    </row>
    <row r="104" spans="1:3" x14ac:dyDescent="0.2">
      <c r="A104" s="4" t="str">
        <f>"SNX10"</f>
        <v>SNX10</v>
      </c>
      <c r="B104" s="5">
        <v>9.99000999000999E-4</v>
      </c>
      <c r="C104" s="4">
        <v>2.90964671311237E-2</v>
      </c>
    </row>
    <row r="105" spans="1:3" x14ac:dyDescent="0.2">
      <c r="A105" s="4" t="str">
        <f>"TMEM44-AS1"</f>
        <v>TMEM44-AS1</v>
      </c>
      <c r="B105" s="5">
        <v>9.99000999000999E-4</v>
      </c>
      <c r="C105" s="4">
        <v>2.90964671311237E-2</v>
      </c>
    </row>
    <row r="106" spans="1:3" x14ac:dyDescent="0.2">
      <c r="A106" s="4" t="str">
        <f>"SIGLEC14"</f>
        <v>SIGLEC14</v>
      </c>
      <c r="B106" s="5">
        <v>9.99000999000999E-4</v>
      </c>
      <c r="C106" s="4">
        <v>2.90964671311237E-2</v>
      </c>
    </row>
    <row r="107" spans="1:3" x14ac:dyDescent="0.2">
      <c r="A107" s="4" t="str">
        <f>"NFE2"</f>
        <v>NFE2</v>
      </c>
      <c r="B107" s="5">
        <v>9.99000999000999E-4</v>
      </c>
      <c r="C107" s="4">
        <v>2.90964671311237E-2</v>
      </c>
    </row>
    <row r="108" spans="1:3" x14ac:dyDescent="0.2">
      <c r="A108" s="4" t="str">
        <f>"AC090559.1"</f>
        <v>AC090559.1</v>
      </c>
      <c r="B108" s="5">
        <v>9.99000999000999E-4</v>
      </c>
      <c r="C108" s="4">
        <v>2.90964671311237E-2</v>
      </c>
    </row>
    <row r="109" spans="1:3" x14ac:dyDescent="0.2">
      <c r="A109" s="4" t="str">
        <f>"PPP3CB-AS1"</f>
        <v>PPP3CB-AS1</v>
      </c>
      <c r="B109" s="5">
        <v>9.99000999000999E-4</v>
      </c>
      <c r="C109" s="4">
        <v>2.90964671311237E-2</v>
      </c>
    </row>
    <row r="110" spans="1:3" x14ac:dyDescent="0.2">
      <c r="A110" s="4" t="str">
        <f>"CST7"</f>
        <v>CST7</v>
      </c>
      <c r="B110" s="5">
        <v>9.99000999000999E-4</v>
      </c>
      <c r="C110" s="4">
        <v>2.90964671311237E-2</v>
      </c>
    </row>
    <row r="111" spans="1:3" x14ac:dyDescent="0.2">
      <c r="A111" s="4" t="str">
        <f>"RNF227"</f>
        <v>RNF227</v>
      </c>
      <c r="B111" s="5">
        <v>9.99000999000999E-4</v>
      </c>
      <c r="C111" s="4">
        <v>2.90964671311237E-2</v>
      </c>
    </row>
    <row r="112" spans="1:3" x14ac:dyDescent="0.2">
      <c r="A112" s="4" t="str">
        <f>"ZNF181"</f>
        <v>ZNF181</v>
      </c>
      <c r="B112" s="5">
        <v>9.99000999000999E-4</v>
      </c>
      <c r="C112" s="4">
        <v>2.90964671311237E-2</v>
      </c>
    </row>
    <row r="113" spans="1:3" x14ac:dyDescent="0.2">
      <c r="A113" s="4" t="str">
        <f>"RBM26-AS1"</f>
        <v>RBM26-AS1</v>
      </c>
      <c r="B113" s="5">
        <v>9.99000999000999E-4</v>
      </c>
      <c r="C113" s="4">
        <v>2.90964671311237E-2</v>
      </c>
    </row>
    <row r="114" spans="1:3" x14ac:dyDescent="0.2">
      <c r="A114" s="4" t="str">
        <f>"BEST1"</f>
        <v>BEST1</v>
      </c>
      <c r="B114" s="5">
        <v>9.99000999000999E-4</v>
      </c>
      <c r="C114" s="4">
        <v>2.90964671311237E-2</v>
      </c>
    </row>
    <row r="115" spans="1:3" x14ac:dyDescent="0.2">
      <c r="A115" s="4" t="str">
        <f>"CALB1"</f>
        <v>CALB1</v>
      </c>
      <c r="B115" s="5">
        <v>9.99000999000999E-4</v>
      </c>
      <c r="C115" s="4">
        <v>2.90964671311237E-2</v>
      </c>
    </row>
    <row r="116" spans="1:3" x14ac:dyDescent="0.2">
      <c r="A116" s="4" t="str">
        <f>"CAMK1"</f>
        <v>CAMK1</v>
      </c>
      <c r="B116" s="5">
        <v>9.99000999000999E-4</v>
      </c>
      <c r="C116" s="4">
        <v>2.90964671311237E-2</v>
      </c>
    </row>
    <row r="117" spans="1:3" x14ac:dyDescent="0.2">
      <c r="A117" s="4" t="str">
        <f>"KNL1"</f>
        <v>KNL1</v>
      </c>
      <c r="B117" s="5">
        <v>9.99000999000999E-4</v>
      </c>
      <c r="C117" s="4">
        <v>2.90964671311237E-2</v>
      </c>
    </row>
    <row r="118" spans="1:3" x14ac:dyDescent="0.2">
      <c r="A118" s="4" t="str">
        <f>"ZNF772"</f>
        <v>ZNF772</v>
      </c>
      <c r="B118" s="5">
        <v>9.99000999000999E-4</v>
      </c>
      <c r="C118" s="4">
        <v>2.90964671311237E-2</v>
      </c>
    </row>
    <row r="119" spans="1:3" x14ac:dyDescent="0.2">
      <c r="A119" s="4" t="str">
        <f>"TNFSF14"</f>
        <v>TNFSF14</v>
      </c>
      <c r="B119" s="5">
        <v>9.99000999000999E-4</v>
      </c>
      <c r="C119" s="4">
        <v>2.90964671311237E-2</v>
      </c>
    </row>
    <row r="120" spans="1:3" x14ac:dyDescent="0.2">
      <c r="A120" s="4" t="str">
        <f>"ZNF525"</f>
        <v>ZNF525</v>
      </c>
      <c r="B120" s="5">
        <v>9.99000999000999E-4</v>
      </c>
      <c r="C120" s="4">
        <v>2.90964671311237E-2</v>
      </c>
    </row>
    <row r="121" spans="1:3" x14ac:dyDescent="0.2">
      <c r="A121" s="4" t="str">
        <f>"NCF1B"</f>
        <v>NCF1B</v>
      </c>
      <c r="B121" s="5">
        <v>9.99000999000999E-4</v>
      </c>
      <c r="C121" s="4">
        <v>2.90964671311237E-2</v>
      </c>
    </row>
    <row r="122" spans="1:3" x14ac:dyDescent="0.2">
      <c r="A122" s="4" t="str">
        <f>"XRCC3"</f>
        <v>XRCC3</v>
      </c>
      <c r="B122" s="5">
        <v>9.99000999000999E-4</v>
      </c>
      <c r="C122" s="4">
        <v>2.90964671311237E-2</v>
      </c>
    </row>
    <row r="123" spans="1:3" x14ac:dyDescent="0.2">
      <c r="A123" s="4" t="str">
        <f>"AC138035.1"</f>
        <v>AC138035.1</v>
      </c>
      <c r="B123" s="5">
        <v>9.99000999000999E-4</v>
      </c>
      <c r="C123" s="4">
        <v>2.90964671311237E-2</v>
      </c>
    </row>
    <row r="124" spans="1:3" x14ac:dyDescent="0.2">
      <c r="A124" s="4" t="str">
        <f>"AC008966.1"</f>
        <v>AC008966.1</v>
      </c>
      <c r="B124" s="5">
        <v>9.99000999000999E-4</v>
      </c>
      <c r="C124" s="4">
        <v>2.90964671311237E-2</v>
      </c>
    </row>
    <row r="125" spans="1:3" x14ac:dyDescent="0.2">
      <c r="A125" s="4" t="str">
        <f>"SPTSSB"</f>
        <v>SPTSSB</v>
      </c>
      <c r="B125" s="5">
        <v>9.99000999000999E-4</v>
      </c>
      <c r="C125" s="4">
        <v>2.90964671311237E-2</v>
      </c>
    </row>
    <row r="126" spans="1:3" x14ac:dyDescent="0.2">
      <c r="A126" s="4" t="str">
        <f>"MTARC2"</f>
        <v>MTARC2</v>
      </c>
      <c r="B126" s="5">
        <v>9.99000999000999E-4</v>
      </c>
      <c r="C126" s="4">
        <v>2.90964671311237E-2</v>
      </c>
    </row>
    <row r="127" spans="1:3" x14ac:dyDescent="0.2">
      <c r="A127" s="4" t="str">
        <f>"MST1"</f>
        <v>MST1</v>
      </c>
      <c r="B127" s="5">
        <v>9.99000999000999E-4</v>
      </c>
      <c r="C127" s="4">
        <v>2.90964671311237E-2</v>
      </c>
    </row>
    <row r="128" spans="1:3" x14ac:dyDescent="0.2">
      <c r="A128" s="4" t="str">
        <f>"HRH2"</f>
        <v>HRH2</v>
      </c>
      <c r="B128" s="5">
        <v>9.99000999000999E-4</v>
      </c>
      <c r="C128" s="4">
        <v>2.90964671311237E-2</v>
      </c>
    </row>
    <row r="129" spans="1:3" x14ac:dyDescent="0.2">
      <c r="A129" s="4" t="str">
        <f>"GNG2"</f>
        <v>GNG2</v>
      </c>
      <c r="B129" s="5">
        <v>9.99000999000999E-4</v>
      </c>
      <c r="C129" s="4">
        <v>2.90964671311237E-2</v>
      </c>
    </row>
    <row r="130" spans="1:3" x14ac:dyDescent="0.2">
      <c r="A130" s="4" t="str">
        <f>"LILRA5"</f>
        <v>LILRA5</v>
      </c>
      <c r="B130" s="5">
        <v>9.99000999000999E-4</v>
      </c>
      <c r="C130" s="4">
        <v>2.90964671311237E-2</v>
      </c>
    </row>
    <row r="131" spans="1:3" x14ac:dyDescent="0.2">
      <c r="A131" s="4" t="str">
        <f>"FAM189A2"</f>
        <v>FAM189A2</v>
      </c>
      <c r="B131" s="5">
        <v>9.99000999000999E-4</v>
      </c>
      <c r="C131" s="4">
        <v>2.90964671311237E-2</v>
      </c>
    </row>
    <row r="132" spans="1:3" x14ac:dyDescent="0.2">
      <c r="A132" s="4" t="str">
        <f>"MPP1"</f>
        <v>MPP1</v>
      </c>
      <c r="B132" s="5">
        <v>9.99000999000999E-4</v>
      </c>
      <c r="C132" s="4">
        <v>2.90964671311237E-2</v>
      </c>
    </row>
    <row r="133" spans="1:3" x14ac:dyDescent="0.2">
      <c r="A133" s="4" t="str">
        <f>"ZEB2"</f>
        <v>ZEB2</v>
      </c>
      <c r="B133" s="5">
        <v>9.99000999000999E-4</v>
      </c>
      <c r="C133" s="4">
        <v>2.90964671311237E-2</v>
      </c>
    </row>
    <row r="134" spans="1:3" x14ac:dyDescent="0.2">
      <c r="A134" s="4" t="str">
        <f>"LTB4R2"</f>
        <v>LTB4R2</v>
      </c>
      <c r="B134" s="5">
        <v>9.99000999000999E-4</v>
      </c>
      <c r="C134" s="4">
        <v>2.90964671311237E-2</v>
      </c>
    </row>
    <row r="135" spans="1:3" x14ac:dyDescent="0.2">
      <c r="A135" s="4" t="str">
        <f>"TUBE1"</f>
        <v>TUBE1</v>
      </c>
      <c r="B135" s="5">
        <v>9.99000999000999E-4</v>
      </c>
      <c r="C135" s="4">
        <v>2.90964671311237E-2</v>
      </c>
    </row>
    <row r="136" spans="1:3" x14ac:dyDescent="0.2">
      <c r="A136" s="4" t="str">
        <f>"NRG4"</f>
        <v>NRG4</v>
      </c>
      <c r="B136" s="5">
        <v>9.99000999000999E-4</v>
      </c>
      <c r="C136" s="4">
        <v>2.90964671311237E-2</v>
      </c>
    </row>
    <row r="137" spans="1:3" x14ac:dyDescent="0.2">
      <c r="A137" s="4" t="str">
        <f>"PMS1"</f>
        <v>PMS1</v>
      </c>
      <c r="B137" s="5">
        <v>9.99000999000999E-4</v>
      </c>
      <c r="C137" s="4">
        <v>2.90964671311237E-2</v>
      </c>
    </row>
    <row r="138" spans="1:3" x14ac:dyDescent="0.2">
      <c r="A138" s="4" t="str">
        <f>"ACTR3B"</f>
        <v>ACTR3B</v>
      </c>
      <c r="B138" s="5">
        <v>9.99000999000999E-4</v>
      </c>
      <c r="C138" s="4">
        <v>2.90964671311237E-2</v>
      </c>
    </row>
    <row r="139" spans="1:3" x14ac:dyDescent="0.2">
      <c r="A139" s="4" t="str">
        <f>"IVL"</f>
        <v>IVL</v>
      </c>
      <c r="B139" s="5">
        <v>9.99000999000999E-4</v>
      </c>
      <c r="C139" s="4">
        <v>2.90964671311237E-2</v>
      </c>
    </row>
    <row r="140" spans="1:3" x14ac:dyDescent="0.2">
      <c r="A140" s="4" t="str">
        <f>"ARL6IP6"</f>
        <v>ARL6IP6</v>
      </c>
      <c r="B140" s="5">
        <v>9.99000999000999E-4</v>
      </c>
      <c r="C140" s="4">
        <v>2.90964671311237E-2</v>
      </c>
    </row>
    <row r="141" spans="1:3" x14ac:dyDescent="0.2">
      <c r="A141" s="4" t="str">
        <f>"PELATON"</f>
        <v>PELATON</v>
      </c>
      <c r="B141" s="4">
        <v>1E-3</v>
      </c>
      <c r="C141" s="4">
        <v>2.90964671311237E-2</v>
      </c>
    </row>
    <row r="142" spans="1:3" x14ac:dyDescent="0.2">
      <c r="A142" s="4" t="str">
        <f>"NRG2"</f>
        <v>NRG2</v>
      </c>
      <c r="B142" s="5">
        <v>9.99000999000999E-4</v>
      </c>
      <c r="C142" s="4">
        <v>2.90964671311237E-2</v>
      </c>
    </row>
    <row r="143" spans="1:3" x14ac:dyDescent="0.2">
      <c r="A143" s="4" t="str">
        <f>"PILRA"</f>
        <v>PILRA</v>
      </c>
      <c r="B143" s="5">
        <v>9.99000999000999E-4</v>
      </c>
      <c r="C143" s="4">
        <v>2.90964671311237E-2</v>
      </c>
    </row>
    <row r="144" spans="1:3" x14ac:dyDescent="0.2">
      <c r="A144" s="4" t="str">
        <f>"NCF1C"</f>
        <v>NCF1C</v>
      </c>
      <c r="B144" s="5">
        <v>9.99000999000999E-4</v>
      </c>
      <c r="C144" s="4">
        <v>2.90964671311237E-2</v>
      </c>
    </row>
    <row r="145" spans="1:3" x14ac:dyDescent="0.2">
      <c r="A145" s="4" t="str">
        <f>"HSPA6"</f>
        <v>HSPA6</v>
      </c>
      <c r="B145" s="5">
        <v>9.99000999000999E-4</v>
      </c>
      <c r="C145" s="4">
        <v>2.90964671311237E-2</v>
      </c>
    </row>
    <row r="146" spans="1:3" x14ac:dyDescent="0.2">
      <c r="A146" s="4" t="str">
        <f>"AC118553.2"</f>
        <v>AC118553.2</v>
      </c>
      <c r="B146" s="5">
        <v>9.99000999000999E-4</v>
      </c>
      <c r="C146" s="4">
        <v>2.90964671311237E-2</v>
      </c>
    </row>
    <row r="147" spans="1:3" x14ac:dyDescent="0.2">
      <c r="A147" s="4" t="str">
        <f>"GTF2E1"</f>
        <v>GTF2E1</v>
      </c>
      <c r="B147" s="5">
        <v>9.99000999000999E-4</v>
      </c>
      <c r="C147" s="4">
        <v>2.90964671311237E-2</v>
      </c>
    </row>
    <row r="148" spans="1:3" x14ac:dyDescent="0.2">
      <c r="A148" s="4" t="str">
        <f>"NDN"</f>
        <v>NDN</v>
      </c>
      <c r="B148" s="5">
        <v>9.99000999000999E-4</v>
      </c>
      <c r="C148" s="4">
        <v>2.90964671311237E-2</v>
      </c>
    </row>
    <row r="149" spans="1:3" x14ac:dyDescent="0.2">
      <c r="A149" s="4" t="str">
        <f>"NRBP2"</f>
        <v>NRBP2</v>
      </c>
      <c r="B149" s="5">
        <v>9.99000999000999E-4</v>
      </c>
      <c r="C149" s="4">
        <v>2.90964671311237E-2</v>
      </c>
    </row>
    <row r="150" spans="1:3" x14ac:dyDescent="0.2">
      <c r="A150" s="4" t="str">
        <f>"LST1"</f>
        <v>LST1</v>
      </c>
      <c r="B150" s="5">
        <v>9.99000999000999E-4</v>
      </c>
      <c r="C150" s="4">
        <v>2.90964671311237E-2</v>
      </c>
    </row>
    <row r="151" spans="1:3" x14ac:dyDescent="0.2">
      <c r="A151" s="4" t="str">
        <f>"NPNT"</f>
        <v>NPNT</v>
      </c>
      <c r="B151" s="5">
        <v>9.99000999000999E-4</v>
      </c>
      <c r="C151" s="4">
        <v>2.90964671311237E-2</v>
      </c>
    </row>
    <row r="152" spans="1:3" x14ac:dyDescent="0.2">
      <c r="A152" s="4" t="str">
        <f>"DCUN1D4"</f>
        <v>DCUN1D4</v>
      </c>
      <c r="B152" s="5">
        <v>9.99000999000999E-4</v>
      </c>
      <c r="C152" s="4">
        <v>2.90964671311237E-2</v>
      </c>
    </row>
    <row r="153" spans="1:3" x14ac:dyDescent="0.2">
      <c r="A153" s="4" t="str">
        <f>"ZFAND4"</f>
        <v>ZFAND4</v>
      </c>
      <c r="B153" s="5">
        <v>9.99000999000999E-4</v>
      </c>
      <c r="C153" s="4">
        <v>2.90964671311237E-2</v>
      </c>
    </row>
    <row r="154" spans="1:3" x14ac:dyDescent="0.2">
      <c r="A154" s="4" t="str">
        <f>"MEFV"</f>
        <v>MEFV</v>
      </c>
      <c r="B154" s="5">
        <v>9.99000999000999E-4</v>
      </c>
      <c r="C154" s="4">
        <v>2.90964671311237E-2</v>
      </c>
    </row>
    <row r="155" spans="1:3" x14ac:dyDescent="0.2">
      <c r="A155" s="4" t="str">
        <f>"BEST4"</f>
        <v>BEST4</v>
      </c>
      <c r="B155" s="5">
        <v>9.99000999000999E-4</v>
      </c>
      <c r="C155" s="4">
        <v>2.90964671311237E-2</v>
      </c>
    </row>
    <row r="156" spans="1:3" x14ac:dyDescent="0.2">
      <c r="A156" s="4" t="str">
        <f>"AL157935.2"</f>
        <v>AL157935.2</v>
      </c>
      <c r="B156" s="5">
        <v>9.99000999000999E-4</v>
      </c>
      <c r="C156" s="4">
        <v>2.90964671311237E-2</v>
      </c>
    </row>
    <row r="157" spans="1:3" x14ac:dyDescent="0.2">
      <c r="A157" s="4" t="str">
        <f>"RAB8B"</f>
        <v>RAB8B</v>
      </c>
      <c r="B157" s="5">
        <v>9.99000999000999E-4</v>
      </c>
      <c r="C157" s="4">
        <v>2.90964671311237E-2</v>
      </c>
    </row>
    <row r="158" spans="1:3" x14ac:dyDescent="0.2">
      <c r="A158" s="4" t="str">
        <f>"PIK3R5"</f>
        <v>PIK3R5</v>
      </c>
      <c r="B158" s="5">
        <v>9.99000999000999E-4</v>
      </c>
      <c r="C158" s="4">
        <v>2.90964671311237E-2</v>
      </c>
    </row>
    <row r="159" spans="1:3" x14ac:dyDescent="0.2">
      <c r="A159" s="4" t="str">
        <f>"HSD17B8"</f>
        <v>HSD17B8</v>
      </c>
      <c r="B159" s="5">
        <v>9.99000999000999E-4</v>
      </c>
      <c r="C159" s="4">
        <v>2.90964671311237E-2</v>
      </c>
    </row>
    <row r="160" spans="1:3" x14ac:dyDescent="0.2">
      <c r="A160" s="4" t="str">
        <f>"ZNF319"</f>
        <v>ZNF319</v>
      </c>
      <c r="B160" s="5">
        <v>9.99000999000999E-4</v>
      </c>
      <c r="C160" s="4">
        <v>2.90964671311237E-2</v>
      </c>
    </row>
    <row r="161" spans="1:3" x14ac:dyDescent="0.2">
      <c r="A161" s="4" t="str">
        <f>"CETN3"</f>
        <v>CETN3</v>
      </c>
      <c r="B161" s="5">
        <v>9.99000999000999E-4</v>
      </c>
      <c r="C161" s="4">
        <v>2.90964671311237E-2</v>
      </c>
    </row>
    <row r="162" spans="1:3" x14ac:dyDescent="0.2">
      <c r="A162" s="4" t="str">
        <f>"MESP1"</f>
        <v>MESP1</v>
      </c>
      <c r="B162" s="5">
        <v>9.99000999000999E-4</v>
      </c>
      <c r="C162" s="4">
        <v>2.90964671311237E-2</v>
      </c>
    </row>
    <row r="163" spans="1:3" x14ac:dyDescent="0.2">
      <c r="A163" s="4" t="str">
        <f>"AL137800.1"</f>
        <v>AL137800.1</v>
      </c>
      <c r="B163" s="5">
        <v>9.99000999000999E-4</v>
      </c>
      <c r="C163" s="4">
        <v>2.90964671311237E-2</v>
      </c>
    </row>
    <row r="164" spans="1:3" x14ac:dyDescent="0.2">
      <c r="A164" s="4" t="str">
        <f>"FAM161B"</f>
        <v>FAM161B</v>
      </c>
      <c r="B164" s="5">
        <v>9.99000999000999E-4</v>
      </c>
      <c r="C164" s="4">
        <v>2.90964671311237E-2</v>
      </c>
    </row>
    <row r="165" spans="1:3" x14ac:dyDescent="0.2">
      <c r="A165" s="4" t="str">
        <f>"FGGY"</f>
        <v>FGGY</v>
      </c>
      <c r="B165" s="5">
        <v>9.99000999000999E-4</v>
      </c>
      <c r="C165" s="4">
        <v>2.90964671311237E-2</v>
      </c>
    </row>
    <row r="166" spans="1:3" x14ac:dyDescent="0.2">
      <c r="A166" s="4" t="str">
        <f>"CEP44"</f>
        <v>CEP44</v>
      </c>
      <c r="B166" s="5">
        <v>9.99000999000999E-4</v>
      </c>
      <c r="C166" s="4">
        <v>2.90964671311237E-2</v>
      </c>
    </row>
    <row r="167" spans="1:3" x14ac:dyDescent="0.2">
      <c r="A167" s="4" t="str">
        <f>"TACC3"</f>
        <v>TACC3</v>
      </c>
      <c r="B167" s="5">
        <v>9.99000999000999E-4</v>
      </c>
      <c r="C167" s="4">
        <v>2.90964671311237E-2</v>
      </c>
    </row>
    <row r="168" spans="1:3" x14ac:dyDescent="0.2">
      <c r="A168" s="4" t="str">
        <f>"TMCC3"</f>
        <v>TMCC3</v>
      </c>
      <c r="B168" s="5">
        <v>9.99000999000999E-4</v>
      </c>
      <c r="C168" s="4">
        <v>2.90964671311237E-2</v>
      </c>
    </row>
    <row r="169" spans="1:3" x14ac:dyDescent="0.2">
      <c r="A169" s="4" t="str">
        <f>"RBM12B"</f>
        <v>RBM12B</v>
      </c>
      <c r="B169" s="5">
        <v>9.99000999000999E-4</v>
      </c>
      <c r="C169" s="4">
        <v>2.90964671311237E-2</v>
      </c>
    </row>
    <row r="170" spans="1:3" x14ac:dyDescent="0.2">
      <c r="A170" s="4" t="str">
        <f>"GULP1"</f>
        <v>GULP1</v>
      </c>
      <c r="B170" s="5">
        <v>9.99000999000999E-4</v>
      </c>
      <c r="C170" s="4">
        <v>2.90964671311237E-2</v>
      </c>
    </row>
    <row r="171" spans="1:3" x14ac:dyDescent="0.2">
      <c r="A171" s="4" t="str">
        <f>"HILPDA"</f>
        <v>HILPDA</v>
      </c>
      <c r="B171" s="5">
        <v>9.99000999000999E-4</v>
      </c>
      <c r="C171" s="4">
        <v>2.90964671311237E-2</v>
      </c>
    </row>
    <row r="172" spans="1:3" x14ac:dyDescent="0.2">
      <c r="A172" s="4" t="str">
        <f>"FAM122C"</f>
        <v>FAM122C</v>
      </c>
      <c r="B172" s="5">
        <v>9.99000999000999E-4</v>
      </c>
      <c r="C172" s="4">
        <v>2.90964671311237E-2</v>
      </c>
    </row>
    <row r="173" spans="1:3" x14ac:dyDescent="0.2">
      <c r="A173" s="4" t="str">
        <f>"CENPF"</f>
        <v>CENPF</v>
      </c>
      <c r="B173" s="5">
        <v>9.99000999000999E-4</v>
      </c>
      <c r="C173" s="4">
        <v>2.90964671311237E-2</v>
      </c>
    </row>
    <row r="174" spans="1:3" x14ac:dyDescent="0.2">
      <c r="A174" s="4" t="str">
        <f>"RPL32P3"</f>
        <v>RPL32P3</v>
      </c>
      <c r="B174" s="5">
        <v>9.99000999000999E-4</v>
      </c>
      <c r="C174" s="4">
        <v>2.90964671311237E-2</v>
      </c>
    </row>
    <row r="175" spans="1:3" x14ac:dyDescent="0.2">
      <c r="A175" s="4" t="str">
        <f>"IL2RG"</f>
        <v>IL2RG</v>
      </c>
      <c r="B175" s="5">
        <v>9.99000999000999E-4</v>
      </c>
      <c r="C175" s="4">
        <v>2.90964671311237E-2</v>
      </c>
    </row>
    <row r="176" spans="1:3" x14ac:dyDescent="0.2">
      <c r="A176" s="4" t="str">
        <f>"THRB"</f>
        <v>THRB</v>
      </c>
      <c r="B176" s="5">
        <v>9.99000999000999E-4</v>
      </c>
      <c r="C176" s="4">
        <v>2.90964671311237E-2</v>
      </c>
    </row>
    <row r="177" spans="1:3" x14ac:dyDescent="0.2">
      <c r="A177" s="4" t="str">
        <f>"HIRIP3"</f>
        <v>HIRIP3</v>
      </c>
      <c r="B177" s="5">
        <v>9.99000999000999E-4</v>
      </c>
      <c r="C177" s="4">
        <v>2.90964671311237E-2</v>
      </c>
    </row>
    <row r="178" spans="1:3" x14ac:dyDescent="0.2">
      <c r="A178" s="4" t="str">
        <f>"C8orf82"</f>
        <v>C8orf82</v>
      </c>
      <c r="B178" s="5">
        <v>9.99000999000999E-4</v>
      </c>
      <c r="C178" s="4">
        <v>2.90964671311237E-2</v>
      </c>
    </row>
    <row r="179" spans="1:3" x14ac:dyDescent="0.2">
      <c r="A179" s="4" t="str">
        <f>"DOK3"</f>
        <v>DOK3</v>
      </c>
      <c r="B179" s="5">
        <v>9.99000999000999E-4</v>
      </c>
      <c r="C179" s="4">
        <v>2.90964671311237E-2</v>
      </c>
    </row>
    <row r="180" spans="1:3" x14ac:dyDescent="0.2">
      <c r="A180" s="4" t="str">
        <f>"VWA8"</f>
        <v>VWA8</v>
      </c>
      <c r="B180" s="5">
        <v>9.99000999000999E-4</v>
      </c>
      <c r="C180" s="4">
        <v>2.90964671311237E-2</v>
      </c>
    </row>
    <row r="181" spans="1:3" x14ac:dyDescent="0.2">
      <c r="A181" s="4" t="str">
        <f>"KHDC4"</f>
        <v>KHDC4</v>
      </c>
      <c r="B181" s="5">
        <v>9.99000999000999E-4</v>
      </c>
      <c r="C181" s="4">
        <v>2.90964671311237E-2</v>
      </c>
    </row>
    <row r="182" spans="1:3" x14ac:dyDescent="0.2">
      <c r="A182" s="4" t="str">
        <f>"SNRPE"</f>
        <v>SNRPE</v>
      </c>
      <c r="B182" s="5">
        <v>9.99000999000999E-4</v>
      </c>
      <c r="C182" s="4">
        <v>2.90964671311237E-2</v>
      </c>
    </row>
    <row r="183" spans="1:3" x14ac:dyDescent="0.2">
      <c r="A183" s="4" t="str">
        <f>"POLR2M"</f>
        <v>POLR2M</v>
      </c>
      <c r="B183" s="5">
        <v>9.99000999000999E-4</v>
      </c>
      <c r="C183" s="4">
        <v>2.90964671311237E-2</v>
      </c>
    </row>
    <row r="184" spans="1:3" x14ac:dyDescent="0.2">
      <c r="A184" s="4" t="str">
        <f>"DYSF"</f>
        <v>DYSF</v>
      </c>
      <c r="B184" s="5">
        <v>9.99000999000999E-4</v>
      </c>
      <c r="C184" s="4">
        <v>2.90964671311237E-2</v>
      </c>
    </row>
    <row r="185" spans="1:3" x14ac:dyDescent="0.2">
      <c r="A185" s="4" t="str">
        <f>"TMEM237"</f>
        <v>TMEM237</v>
      </c>
      <c r="B185" s="5">
        <v>9.99000999000999E-4</v>
      </c>
      <c r="C185" s="4">
        <v>2.90964671311237E-2</v>
      </c>
    </row>
    <row r="186" spans="1:3" x14ac:dyDescent="0.2">
      <c r="A186" s="4" t="str">
        <f>"FCAR"</f>
        <v>FCAR</v>
      </c>
      <c r="B186" s="5">
        <v>9.99000999000999E-4</v>
      </c>
      <c r="C186" s="4">
        <v>2.90964671311237E-2</v>
      </c>
    </row>
    <row r="187" spans="1:3" x14ac:dyDescent="0.2">
      <c r="A187" s="4" t="str">
        <f>"ABT1"</f>
        <v>ABT1</v>
      </c>
      <c r="B187" s="5">
        <v>9.99000999000999E-4</v>
      </c>
      <c r="C187" s="4">
        <v>2.90964671311237E-2</v>
      </c>
    </row>
    <row r="188" spans="1:3" x14ac:dyDescent="0.2">
      <c r="A188" s="4" t="str">
        <f>"MAOB"</f>
        <v>MAOB</v>
      </c>
      <c r="B188" s="5">
        <v>9.99000999000999E-4</v>
      </c>
      <c r="C188" s="4">
        <v>2.90964671311237E-2</v>
      </c>
    </row>
    <row r="189" spans="1:3" x14ac:dyDescent="0.2">
      <c r="A189" s="4" t="str">
        <f>"SIRT5"</f>
        <v>SIRT5</v>
      </c>
      <c r="B189" s="5">
        <v>9.99000999000999E-4</v>
      </c>
      <c r="C189" s="4">
        <v>2.90964671311237E-2</v>
      </c>
    </row>
    <row r="190" spans="1:3" x14ac:dyDescent="0.2">
      <c r="A190" s="4" t="str">
        <f>"ITGB1BP1"</f>
        <v>ITGB1BP1</v>
      </c>
      <c r="B190" s="5">
        <v>9.99000999000999E-4</v>
      </c>
      <c r="C190" s="4">
        <v>2.90964671311237E-2</v>
      </c>
    </row>
    <row r="191" spans="1:3" x14ac:dyDescent="0.2">
      <c r="A191" s="4" t="str">
        <f>"TAGAP"</f>
        <v>TAGAP</v>
      </c>
      <c r="B191" s="5">
        <v>9.99000999000999E-4</v>
      </c>
      <c r="C191" s="4">
        <v>2.90964671311237E-2</v>
      </c>
    </row>
    <row r="192" spans="1:3" x14ac:dyDescent="0.2">
      <c r="A192" s="4" t="str">
        <f>"MAP1LC3A"</f>
        <v>MAP1LC3A</v>
      </c>
      <c r="B192" s="5">
        <v>9.99000999000999E-4</v>
      </c>
      <c r="C192" s="4">
        <v>2.90964671311237E-2</v>
      </c>
    </row>
    <row r="193" spans="1:3" x14ac:dyDescent="0.2">
      <c r="A193" s="4" t="str">
        <f>"TRIP4"</f>
        <v>TRIP4</v>
      </c>
      <c r="B193" s="5">
        <v>9.99000999000999E-4</v>
      </c>
      <c r="C193" s="4">
        <v>2.90964671311237E-2</v>
      </c>
    </row>
    <row r="194" spans="1:3" x14ac:dyDescent="0.2">
      <c r="A194" s="4" t="str">
        <f>"UXT"</f>
        <v>UXT</v>
      </c>
      <c r="B194" s="5">
        <v>9.99000999000999E-4</v>
      </c>
      <c r="C194" s="4">
        <v>2.90964671311237E-2</v>
      </c>
    </row>
    <row r="195" spans="1:3" x14ac:dyDescent="0.2">
      <c r="A195" s="4" t="str">
        <f>"DHRS4-AS1"</f>
        <v>DHRS4-AS1</v>
      </c>
      <c r="B195" s="5">
        <v>9.99000999000999E-4</v>
      </c>
      <c r="C195" s="4">
        <v>2.90964671311237E-2</v>
      </c>
    </row>
    <row r="196" spans="1:3" x14ac:dyDescent="0.2">
      <c r="A196" s="4" t="str">
        <f>"TIA1"</f>
        <v>TIA1</v>
      </c>
      <c r="B196" s="5">
        <v>9.99000999000999E-4</v>
      </c>
      <c r="C196" s="4">
        <v>2.90964671311237E-2</v>
      </c>
    </row>
    <row r="197" spans="1:3" x14ac:dyDescent="0.2">
      <c r="A197" s="4" t="str">
        <f>"COMMD7"</f>
        <v>COMMD7</v>
      </c>
      <c r="B197" s="5">
        <v>9.99000999000999E-4</v>
      </c>
      <c r="C197" s="4">
        <v>2.90964671311237E-2</v>
      </c>
    </row>
    <row r="198" spans="1:3" x14ac:dyDescent="0.2">
      <c r="A198" s="4" t="str">
        <f>"HDGFL3"</f>
        <v>HDGFL3</v>
      </c>
      <c r="B198" s="5">
        <v>9.99000999000999E-4</v>
      </c>
      <c r="C198" s="4">
        <v>2.90964671311237E-2</v>
      </c>
    </row>
    <row r="199" spans="1:3" x14ac:dyDescent="0.2">
      <c r="A199" s="4" t="str">
        <f>"FOXG1"</f>
        <v>FOXG1</v>
      </c>
      <c r="B199" s="5">
        <v>9.99000999000999E-4</v>
      </c>
      <c r="C199" s="4">
        <v>2.90964671311237E-2</v>
      </c>
    </row>
    <row r="200" spans="1:3" x14ac:dyDescent="0.2">
      <c r="A200" s="4" t="str">
        <f>"NUBP1"</f>
        <v>NUBP1</v>
      </c>
      <c r="B200" s="5">
        <v>9.99000999000999E-4</v>
      </c>
      <c r="C200" s="4">
        <v>2.90964671311237E-2</v>
      </c>
    </row>
    <row r="201" spans="1:3" x14ac:dyDescent="0.2">
      <c r="A201" s="4" t="str">
        <f>"RBM27"</f>
        <v>RBM27</v>
      </c>
      <c r="B201" s="5">
        <v>9.99000999000999E-4</v>
      </c>
      <c r="C201" s="4">
        <v>2.90964671311237E-2</v>
      </c>
    </row>
    <row r="202" spans="1:3" x14ac:dyDescent="0.2">
      <c r="A202" s="4" t="str">
        <f>"SLA"</f>
        <v>SLA</v>
      </c>
      <c r="B202" s="5">
        <v>9.99000999000999E-4</v>
      </c>
      <c r="C202" s="4">
        <v>2.90964671311237E-2</v>
      </c>
    </row>
    <row r="203" spans="1:3" x14ac:dyDescent="0.2">
      <c r="A203" s="4" t="str">
        <f>"PRPS1"</f>
        <v>PRPS1</v>
      </c>
      <c r="B203" s="5">
        <v>9.99000999000999E-4</v>
      </c>
      <c r="C203" s="4">
        <v>2.90964671311237E-2</v>
      </c>
    </row>
    <row r="204" spans="1:3" x14ac:dyDescent="0.2">
      <c r="A204" s="4" t="str">
        <f>"DSC3"</f>
        <v>DSC3</v>
      </c>
      <c r="B204" s="5">
        <v>9.99000999000999E-4</v>
      </c>
      <c r="C204" s="4">
        <v>2.90964671311237E-2</v>
      </c>
    </row>
    <row r="205" spans="1:3" x14ac:dyDescent="0.2">
      <c r="A205" s="4" t="str">
        <f>"CUL5"</f>
        <v>CUL5</v>
      </c>
      <c r="B205" s="5">
        <v>9.99000999000999E-4</v>
      </c>
      <c r="C205" s="4">
        <v>2.90964671311237E-2</v>
      </c>
    </row>
    <row r="206" spans="1:3" x14ac:dyDescent="0.2">
      <c r="A206" s="4" t="str">
        <f>"RRM2B"</f>
        <v>RRM2B</v>
      </c>
      <c r="B206" s="5">
        <v>9.99000999000999E-4</v>
      </c>
      <c r="C206" s="4">
        <v>2.90964671311237E-2</v>
      </c>
    </row>
    <row r="207" spans="1:3" x14ac:dyDescent="0.2">
      <c r="A207" s="4" t="str">
        <f>"NAT1"</f>
        <v>NAT1</v>
      </c>
      <c r="B207" s="5">
        <v>9.99000999000999E-4</v>
      </c>
      <c r="C207" s="4">
        <v>2.90964671311237E-2</v>
      </c>
    </row>
    <row r="208" spans="1:3" x14ac:dyDescent="0.2">
      <c r="A208" s="4" t="str">
        <f>"PPP1R18"</f>
        <v>PPP1R18</v>
      </c>
      <c r="B208" s="5">
        <v>9.99000999000999E-4</v>
      </c>
      <c r="C208" s="4">
        <v>2.90964671311237E-2</v>
      </c>
    </row>
    <row r="209" spans="1:3" x14ac:dyDescent="0.2">
      <c r="A209" s="4" t="str">
        <f>"ALYREF"</f>
        <v>ALYREF</v>
      </c>
      <c r="B209" s="5">
        <v>9.99000999000999E-4</v>
      </c>
      <c r="C209" s="4">
        <v>2.90964671311237E-2</v>
      </c>
    </row>
    <row r="210" spans="1:3" x14ac:dyDescent="0.2">
      <c r="A210" s="4" t="str">
        <f>"DCTN3"</f>
        <v>DCTN3</v>
      </c>
      <c r="B210" s="5">
        <v>9.99000999000999E-4</v>
      </c>
      <c r="C210" s="4">
        <v>2.90964671311237E-2</v>
      </c>
    </row>
    <row r="211" spans="1:3" x14ac:dyDescent="0.2">
      <c r="A211" s="4" t="str">
        <f>"USP25"</f>
        <v>USP25</v>
      </c>
      <c r="B211" s="5">
        <v>9.99000999000999E-4</v>
      </c>
      <c r="C211" s="4">
        <v>2.90964671311237E-2</v>
      </c>
    </row>
    <row r="212" spans="1:3" x14ac:dyDescent="0.2">
      <c r="A212" s="4" t="str">
        <f>"UPK3BL1"</f>
        <v>UPK3BL1</v>
      </c>
      <c r="B212" s="5">
        <v>9.99000999000999E-4</v>
      </c>
      <c r="C212" s="4">
        <v>2.90964671311237E-2</v>
      </c>
    </row>
    <row r="213" spans="1:3" x14ac:dyDescent="0.2">
      <c r="A213" s="4" t="str">
        <f>"ISOC2"</f>
        <v>ISOC2</v>
      </c>
      <c r="B213" s="5">
        <v>9.99000999000999E-4</v>
      </c>
      <c r="C213" s="4">
        <v>2.90964671311237E-2</v>
      </c>
    </row>
    <row r="214" spans="1:3" x14ac:dyDescent="0.2">
      <c r="A214" s="4" t="str">
        <f>"USP33"</f>
        <v>USP33</v>
      </c>
      <c r="B214" s="5">
        <v>9.99000999000999E-4</v>
      </c>
      <c r="C214" s="4">
        <v>2.90964671311237E-2</v>
      </c>
    </row>
    <row r="215" spans="1:3" x14ac:dyDescent="0.2">
      <c r="A215" s="4" t="str">
        <f>"ETNK1"</f>
        <v>ETNK1</v>
      </c>
      <c r="B215" s="5">
        <v>9.99000999000999E-4</v>
      </c>
      <c r="C215" s="4">
        <v>2.90964671311237E-2</v>
      </c>
    </row>
    <row r="216" spans="1:3" x14ac:dyDescent="0.2">
      <c r="A216" s="4" t="str">
        <f>"AL669831.1"</f>
        <v>AL669831.1</v>
      </c>
      <c r="B216" s="5">
        <v>9.99000999000999E-4</v>
      </c>
      <c r="C216" s="4">
        <v>2.90964671311237E-2</v>
      </c>
    </row>
    <row r="217" spans="1:3" x14ac:dyDescent="0.2">
      <c r="A217" s="4" t="str">
        <f>"RNASE4"</f>
        <v>RNASE4</v>
      </c>
      <c r="B217" s="5">
        <v>9.99000999000999E-4</v>
      </c>
      <c r="C217" s="4">
        <v>2.90964671311237E-2</v>
      </c>
    </row>
    <row r="218" spans="1:3" x14ac:dyDescent="0.2">
      <c r="A218" s="4" t="str">
        <f>"ACBD5"</f>
        <v>ACBD5</v>
      </c>
      <c r="B218" s="5">
        <v>9.99000999000999E-4</v>
      </c>
      <c r="C218" s="4">
        <v>2.90964671311237E-2</v>
      </c>
    </row>
    <row r="219" spans="1:3" x14ac:dyDescent="0.2">
      <c r="A219" s="4" t="str">
        <f>"LSM14B"</f>
        <v>LSM14B</v>
      </c>
      <c r="B219" s="5">
        <v>9.99000999000999E-4</v>
      </c>
      <c r="C219" s="4">
        <v>2.90964671311237E-2</v>
      </c>
    </row>
    <row r="220" spans="1:3" x14ac:dyDescent="0.2">
      <c r="A220" s="4" t="str">
        <f>"CLCA4"</f>
        <v>CLCA4</v>
      </c>
      <c r="B220" s="5">
        <v>9.99000999000999E-4</v>
      </c>
      <c r="C220" s="4">
        <v>2.90964671311237E-2</v>
      </c>
    </row>
    <row r="221" spans="1:3" x14ac:dyDescent="0.2">
      <c r="A221" s="4" t="str">
        <f>"ANKZF1"</f>
        <v>ANKZF1</v>
      </c>
      <c r="B221" s="5">
        <v>9.99000999000999E-4</v>
      </c>
      <c r="C221" s="4">
        <v>2.90964671311237E-2</v>
      </c>
    </row>
    <row r="222" spans="1:3" x14ac:dyDescent="0.2">
      <c r="A222" s="4" t="str">
        <f>"SSBP2"</f>
        <v>SSBP2</v>
      </c>
      <c r="B222" s="5">
        <v>9.99000999000999E-4</v>
      </c>
      <c r="C222" s="4">
        <v>2.90964671311237E-2</v>
      </c>
    </row>
    <row r="223" spans="1:3" x14ac:dyDescent="0.2">
      <c r="A223" s="4" t="str">
        <f>"SLC25A11"</f>
        <v>SLC25A11</v>
      </c>
      <c r="B223" s="5">
        <v>9.99000999000999E-4</v>
      </c>
      <c r="C223" s="4">
        <v>2.90964671311237E-2</v>
      </c>
    </row>
    <row r="224" spans="1:3" x14ac:dyDescent="0.2">
      <c r="A224" s="4" t="str">
        <f>"GTF2IRD2B"</f>
        <v>GTF2IRD2B</v>
      </c>
      <c r="B224" s="5">
        <v>9.99000999000999E-4</v>
      </c>
      <c r="C224" s="4">
        <v>2.90964671311237E-2</v>
      </c>
    </row>
    <row r="225" spans="1:3" x14ac:dyDescent="0.2">
      <c r="A225" s="4" t="str">
        <f>"RING1"</f>
        <v>RING1</v>
      </c>
      <c r="B225" s="5">
        <v>9.99000999000999E-4</v>
      </c>
      <c r="C225" s="4">
        <v>2.90964671311237E-2</v>
      </c>
    </row>
    <row r="226" spans="1:3" x14ac:dyDescent="0.2">
      <c r="A226" s="4" t="str">
        <f>"PEX2"</f>
        <v>PEX2</v>
      </c>
      <c r="B226" s="5">
        <v>9.99000999000999E-4</v>
      </c>
      <c r="C226" s="4">
        <v>2.90964671311237E-2</v>
      </c>
    </row>
    <row r="227" spans="1:3" x14ac:dyDescent="0.2">
      <c r="A227" s="4" t="str">
        <f>"USP53"</f>
        <v>USP53</v>
      </c>
      <c r="B227" s="5">
        <v>9.99000999000999E-4</v>
      </c>
      <c r="C227" s="4">
        <v>2.90964671311237E-2</v>
      </c>
    </row>
    <row r="228" spans="1:3" x14ac:dyDescent="0.2">
      <c r="A228" s="4" t="str">
        <f>"POLR2C"</f>
        <v>POLR2C</v>
      </c>
      <c r="B228" s="5">
        <v>9.99000999000999E-4</v>
      </c>
      <c r="C228" s="4">
        <v>2.90964671311237E-2</v>
      </c>
    </row>
    <row r="229" spans="1:3" x14ac:dyDescent="0.2">
      <c r="A229" s="4" t="str">
        <f>"SLC25A24"</f>
        <v>SLC25A24</v>
      </c>
      <c r="B229" s="5">
        <v>9.99000999000999E-4</v>
      </c>
      <c r="C229" s="4">
        <v>2.90964671311237E-2</v>
      </c>
    </row>
    <row r="230" spans="1:3" x14ac:dyDescent="0.2">
      <c r="A230" s="4" t="str">
        <f>"SPI1"</f>
        <v>SPI1</v>
      </c>
      <c r="B230" s="5">
        <v>9.99000999000999E-4</v>
      </c>
      <c r="C230" s="4">
        <v>2.90964671311237E-2</v>
      </c>
    </row>
    <row r="231" spans="1:3" x14ac:dyDescent="0.2">
      <c r="A231" s="4" t="str">
        <f>"SPART"</f>
        <v>SPART</v>
      </c>
      <c r="B231" s="5">
        <v>9.99000999000999E-4</v>
      </c>
      <c r="C231" s="4">
        <v>2.90964671311237E-2</v>
      </c>
    </row>
    <row r="232" spans="1:3" x14ac:dyDescent="0.2">
      <c r="A232" s="4" t="str">
        <f>"ZNF33B"</f>
        <v>ZNF33B</v>
      </c>
      <c r="B232" s="5">
        <v>9.99000999000999E-4</v>
      </c>
      <c r="C232" s="4">
        <v>2.90964671311237E-2</v>
      </c>
    </row>
    <row r="233" spans="1:3" x14ac:dyDescent="0.2">
      <c r="A233" s="4" t="str">
        <f>"CFAP410"</f>
        <v>CFAP410</v>
      </c>
      <c r="B233" s="5">
        <v>9.99000999000999E-4</v>
      </c>
      <c r="C233" s="4">
        <v>2.90964671311237E-2</v>
      </c>
    </row>
    <row r="234" spans="1:3" x14ac:dyDescent="0.2">
      <c r="A234" s="4" t="str">
        <f>"TSTD1"</f>
        <v>TSTD1</v>
      </c>
      <c r="B234" s="5">
        <v>9.99000999000999E-4</v>
      </c>
      <c r="C234" s="4">
        <v>2.90964671311237E-2</v>
      </c>
    </row>
    <row r="235" spans="1:3" x14ac:dyDescent="0.2">
      <c r="A235" s="4" t="str">
        <f>"TMEM9"</f>
        <v>TMEM9</v>
      </c>
      <c r="B235" s="5">
        <v>9.99000999000999E-4</v>
      </c>
      <c r="C235" s="4">
        <v>2.90964671311237E-2</v>
      </c>
    </row>
    <row r="236" spans="1:3" x14ac:dyDescent="0.2">
      <c r="A236" s="4" t="str">
        <f>"XPO7"</f>
        <v>XPO7</v>
      </c>
      <c r="B236" s="5">
        <v>9.99000999000999E-4</v>
      </c>
      <c r="C236" s="4">
        <v>2.90964671311237E-2</v>
      </c>
    </row>
    <row r="237" spans="1:3" x14ac:dyDescent="0.2">
      <c r="A237" s="4" t="str">
        <f>"ZFAND6"</f>
        <v>ZFAND6</v>
      </c>
      <c r="B237" s="5">
        <v>9.99000999000999E-4</v>
      </c>
      <c r="C237" s="4">
        <v>2.90964671311237E-2</v>
      </c>
    </row>
    <row r="238" spans="1:3" x14ac:dyDescent="0.2">
      <c r="A238" s="4" t="str">
        <f>"UBE2N"</f>
        <v>UBE2N</v>
      </c>
      <c r="B238" s="5">
        <v>9.99000999000999E-4</v>
      </c>
      <c r="C238" s="4">
        <v>2.90964671311237E-2</v>
      </c>
    </row>
    <row r="239" spans="1:3" x14ac:dyDescent="0.2">
      <c r="A239" s="4" t="str">
        <f>"EHMT1"</f>
        <v>EHMT1</v>
      </c>
      <c r="B239" s="5">
        <v>9.99000999000999E-4</v>
      </c>
      <c r="C239" s="4">
        <v>2.90964671311237E-2</v>
      </c>
    </row>
    <row r="240" spans="1:3" x14ac:dyDescent="0.2">
      <c r="A240" s="4" t="str">
        <f>"EVA1C"</f>
        <v>EVA1C</v>
      </c>
      <c r="B240" s="5">
        <v>9.99000999000999E-4</v>
      </c>
      <c r="C240" s="4">
        <v>2.90964671311237E-2</v>
      </c>
    </row>
    <row r="241" spans="1:3" x14ac:dyDescent="0.2">
      <c r="A241" s="4" t="str">
        <f>"TMEM230"</f>
        <v>TMEM230</v>
      </c>
      <c r="B241" s="5">
        <v>9.99000999000999E-4</v>
      </c>
      <c r="C241" s="4">
        <v>2.90964671311237E-2</v>
      </c>
    </row>
    <row r="242" spans="1:3" x14ac:dyDescent="0.2">
      <c r="A242" s="4" t="str">
        <f>"PRPS2"</f>
        <v>PRPS2</v>
      </c>
      <c r="B242" s="5">
        <v>9.99000999000999E-4</v>
      </c>
      <c r="C242" s="4">
        <v>2.90964671311237E-2</v>
      </c>
    </row>
    <row r="243" spans="1:3" x14ac:dyDescent="0.2">
      <c r="A243" s="4" t="str">
        <f>"BCL2A1"</f>
        <v>BCL2A1</v>
      </c>
      <c r="B243" s="5">
        <v>9.99000999000999E-4</v>
      </c>
      <c r="C243" s="4">
        <v>2.90964671311237E-2</v>
      </c>
    </row>
    <row r="244" spans="1:3" x14ac:dyDescent="0.2">
      <c r="A244" s="4" t="str">
        <f>"GSK3A"</f>
        <v>GSK3A</v>
      </c>
      <c r="B244" s="5">
        <v>9.99000999000999E-4</v>
      </c>
      <c r="C244" s="4">
        <v>2.90964671311237E-2</v>
      </c>
    </row>
    <row r="245" spans="1:3" x14ac:dyDescent="0.2">
      <c r="A245" s="4" t="str">
        <f>"HSD17B13"</f>
        <v>HSD17B13</v>
      </c>
      <c r="B245" s="5">
        <v>9.99000999000999E-4</v>
      </c>
      <c r="C245" s="4">
        <v>2.90964671311237E-2</v>
      </c>
    </row>
    <row r="246" spans="1:3" x14ac:dyDescent="0.2">
      <c r="A246" s="4" t="str">
        <f>"VPS39"</f>
        <v>VPS39</v>
      </c>
      <c r="B246" s="5">
        <v>9.99000999000999E-4</v>
      </c>
      <c r="C246" s="4">
        <v>2.90964671311237E-2</v>
      </c>
    </row>
    <row r="247" spans="1:3" x14ac:dyDescent="0.2">
      <c r="A247" s="4" t="str">
        <f>"UPF3A"</f>
        <v>UPF3A</v>
      </c>
      <c r="B247" s="5">
        <v>9.99000999000999E-4</v>
      </c>
      <c r="C247" s="4">
        <v>2.90964671311237E-2</v>
      </c>
    </row>
    <row r="248" spans="1:3" x14ac:dyDescent="0.2">
      <c r="A248" s="4" t="str">
        <f>"GTF3A"</f>
        <v>GTF3A</v>
      </c>
      <c r="B248" s="5">
        <v>9.99000999000999E-4</v>
      </c>
      <c r="C248" s="4">
        <v>2.90964671311237E-2</v>
      </c>
    </row>
    <row r="249" spans="1:3" x14ac:dyDescent="0.2">
      <c r="A249" s="4" t="str">
        <f>"PITPNM3"</f>
        <v>PITPNM3</v>
      </c>
      <c r="B249" s="5">
        <v>9.99000999000999E-4</v>
      </c>
      <c r="C249" s="4">
        <v>2.90964671311237E-2</v>
      </c>
    </row>
    <row r="250" spans="1:3" x14ac:dyDescent="0.2">
      <c r="A250" s="4" t="str">
        <f>"ATRAID"</f>
        <v>ATRAID</v>
      </c>
      <c r="B250" s="5">
        <v>9.99000999000999E-4</v>
      </c>
      <c r="C250" s="4">
        <v>2.90964671311237E-2</v>
      </c>
    </row>
    <row r="251" spans="1:3" x14ac:dyDescent="0.2">
      <c r="A251" s="4" t="str">
        <f>"PSME3IP1"</f>
        <v>PSME3IP1</v>
      </c>
      <c r="B251" s="5">
        <v>9.99000999000999E-4</v>
      </c>
      <c r="C251" s="4">
        <v>2.90964671311237E-2</v>
      </c>
    </row>
    <row r="252" spans="1:3" x14ac:dyDescent="0.2">
      <c r="A252" s="4" t="str">
        <f>"ACP1"</f>
        <v>ACP1</v>
      </c>
      <c r="B252" s="5">
        <v>9.99000999000999E-4</v>
      </c>
      <c r="C252" s="4">
        <v>2.90964671311237E-2</v>
      </c>
    </row>
    <row r="253" spans="1:3" x14ac:dyDescent="0.2">
      <c r="A253" s="4" t="str">
        <f>"DMTN"</f>
        <v>DMTN</v>
      </c>
      <c r="B253" s="5">
        <v>9.99000999000999E-4</v>
      </c>
      <c r="C253" s="4">
        <v>2.90964671311237E-2</v>
      </c>
    </row>
    <row r="254" spans="1:3" x14ac:dyDescent="0.2">
      <c r="A254" s="4" t="str">
        <f>"SAMD9"</f>
        <v>SAMD9</v>
      </c>
      <c r="B254" s="5">
        <v>9.99000999000999E-4</v>
      </c>
      <c r="C254" s="4">
        <v>2.90964671311237E-2</v>
      </c>
    </row>
    <row r="255" spans="1:3" x14ac:dyDescent="0.2">
      <c r="A255" s="4" t="str">
        <f>"PPP5C"</f>
        <v>PPP5C</v>
      </c>
      <c r="B255" s="5">
        <v>9.99000999000999E-4</v>
      </c>
      <c r="C255" s="4">
        <v>2.90964671311237E-2</v>
      </c>
    </row>
    <row r="256" spans="1:3" x14ac:dyDescent="0.2">
      <c r="A256" s="4" t="str">
        <f>"PSMC4"</f>
        <v>PSMC4</v>
      </c>
      <c r="B256" s="5">
        <v>9.99000999000999E-4</v>
      </c>
      <c r="C256" s="4">
        <v>2.90964671311237E-2</v>
      </c>
    </row>
    <row r="257" spans="1:3" x14ac:dyDescent="0.2">
      <c r="A257" s="4" t="str">
        <f>"PLP2"</f>
        <v>PLP2</v>
      </c>
      <c r="B257" s="5">
        <v>9.99000999000999E-4</v>
      </c>
      <c r="C257" s="4">
        <v>2.90964671311237E-2</v>
      </c>
    </row>
    <row r="258" spans="1:3" x14ac:dyDescent="0.2">
      <c r="A258" s="4" t="str">
        <f>"NFIA"</f>
        <v>NFIA</v>
      </c>
      <c r="B258" s="5">
        <v>9.99000999000999E-4</v>
      </c>
      <c r="C258" s="4">
        <v>2.90964671311237E-2</v>
      </c>
    </row>
    <row r="259" spans="1:3" x14ac:dyDescent="0.2">
      <c r="A259" s="4" t="str">
        <f>"RPA1"</f>
        <v>RPA1</v>
      </c>
      <c r="B259" s="5">
        <v>9.99000999000999E-4</v>
      </c>
      <c r="C259" s="4">
        <v>2.90964671311237E-2</v>
      </c>
    </row>
    <row r="260" spans="1:3" x14ac:dyDescent="0.2">
      <c r="A260" s="4" t="str">
        <f>"BDH1"</f>
        <v>BDH1</v>
      </c>
      <c r="B260" s="5">
        <v>9.99000999000999E-4</v>
      </c>
      <c r="C260" s="4">
        <v>2.90964671311237E-2</v>
      </c>
    </row>
    <row r="261" spans="1:3" x14ac:dyDescent="0.2">
      <c r="A261" s="4" t="str">
        <f>"IARS1"</f>
        <v>IARS1</v>
      </c>
      <c r="B261" s="5">
        <v>9.99000999000999E-4</v>
      </c>
      <c r="C261" s="4">
        <v>2.90964671311237E-2</v>
      </c>
    </row>
    <row r="262" spans="1:3" x14ac:dyDescent="0.2">
      <c r="A262" s="4" t="str">
        <f>"DCAF8"</f>
        <v>DCAF8</v>
      </c>
      <c r="B262" s="5">
        <v>9.99000999000999E-4</v>
      </c>
      <c r="C262" s="4">
        <v>2.90964671311237E-2</v>
      </c>
    </row>
    <row r="263" spans="1:3" x14ac:dyDescent="0.2">
      <c r="A263" s="4" t="str">
        <f>"GPBP1"</f>
        <v>GPBP1</v>
      </c>
      <c r="B263" s="5">
        <v>9.99000999000999E-4</v>
      </c>
      <c r="C263" s="4">
        <v>2.90964671311237E-2</v>
      </c>
    </row>
    <row r="264" spans="1:3" x14ac:dyDescent="0.2">
      <c r="A264" s="4" t="str">
        <f>"ZMAT2"</f>
        <v>ZMAT2</v>
      </c>
      <c r="B264" s="5">
        <v>9.99000999000999E-4</v>
      </c>
      <c r="C264" s="4">
        <v>2.90964671311237E-2</v>
      </c>
    </row>
    <row r="265" spans="1:3" x14ac:dyDescent="0.2">
      <c r="A265" s="4" t="str">
        <f>"EHD1"</f>
        <v>EHD1</v>
      </c>
      <c r="B265" s="5">
        <v>9.99000999000999E-4</v>
      </c>
      <c r="C265" s="4">
        <v>2.90964671311237E-2</v>
      </c>
    </row>
    <row r="266" spans="1:3" x14ac:dyDescent="0.2">
      <c r="A266" s="4" t="str">
        <f>"PPIF"</f>
        <v>PPIF</v>
      </c>
      <c r="B266" s="4">
        <v>1E-3</v>
      </c>
      <c r="C266" s="4">
        <v>2.90964671311237E-2</v>
      </c>
    </row>
    <row r="267" spans="1:3" x14ac:dyDescent="0.2">
      <c r="A267" s="4" t="str">
        <f>"CIR1"</f>
        <v>CIR1</v>
      </c>
      <c r="B267" s="5">
        <v>9.99000999000999E-4</v>
      </c>
      <c r="C267" s="4">
        <v>2.90964671311237E-2</v>
      </c>
    </row>
    <row r="268" spans="1:3" x14ac:dyDescent="0.2">
      <c r="A268" s="4" t="str">
        <f>"LSM14A"</f>
        <v>LSM14A</v>
      </c>
      <c r="B268" s="5">
        <v>9.99000999000999E-4</v>
      </c>
      <c r="C268" s="4">
        <v>2.90964671311237E-2</v>
      </c>
    </row>
    <row r="269" spans="1:3" x14ac:dyDescent="0.2">
      <c r="A269" s="4" t="str">
        <f>"GNG5"</f>
        <v>GNG5</v>
      </c>
      <c r="B269" s="5">
        <v>9.99000999000999E-4</v>
      </c>
      <c r="C269" s="4">
        <v>2.90964671311237E-2</v>
      </c>
    </row>
    <row r="270" spans="1:3" x14ac:dyDescent="0.2">
      <c r="A270" s="4" t="str">
        <f>"MFSD1"</f>
        <v>MFSD1</v>
      </c>
      <c r="B270" s="5">
        <v>9.99000999000999E-4</v>
      </c>
      <c r="C270" s="4">
        <v>2.90964671311237E-2</v>
      </c>
    </row>
    <row r="271" spans="1:3" x14ac:dyDescent="0.2">
      <c r="A271" s="4" t="str">
        <f>"TAF7"</f>
        <v>TAF7</v>
      </c>
      <c r="B271" s="5">
        <v>9.99000999000999E-4</v>
      </c>
      <c r="C271" s="4">
        <v>2.90964671311237E-2</v>
      </c>
    </row>
    <row r="272" spans="1:3" x14ac:dyDescent="0.2">
      <c r="A272" s="4" t="str">
        <f>"AGPAT2"</f>
        <v>AGPAT2</v>
      </c>
      <c r="B272" s="5">
        <v>9.99000999000999E-4</v>
      </c>
      <c r="C272" s="4">
        <v>2.90964671311237E-2</v>
      </c>
    </row>
    <row r="273" spans="1:3" x14ac:dyDescent="0.2">
      <c r="A273" s="4" t="str">
        <f>"PSMC3"</f>
        <v>PSMC3</v>
      </c>
      <c r="B273" s="5">
        <v>9.99000999000999E-4</v>
      </c>
      <c r="C273" s="4">
        <v>2.90964671311237E-2</v>
      </c>
    </row>
    <row r="274" spans="1:3" x14ac:dyDescent="0.2">
      <c r="A274" s="4" t="str">
        <f>"C5AR1"</f>
        <v>C5AR1</v>
      </c>
      <c r="B274" s="5">
        <v>9.99000999000999E-4</v>
      </c>
      <c r="C274" s="4">
        <v>2.90964671311237E-2</v>
      </c>
    </row>
    <row r="275" spans="1:3" x14ac:dyDescent="0.2">
      <c r="A275" s="4" t="str">
        <f>"SAMD4B"</f>
        <v>SAMD4B</v>
      </c>
      <c r="B275" s="5">
        <v>9.99000999000999E-4</v>
      </c>
      <c r="C275" s="4">
        <v>2.90964671311237E-2</v>
      </c>
    </row>
    <row r="276" spans="1:3" x14ac:dyDescent="0.2">
      <c r="A276" s="4" t="str">
        <f>"TPRG1L"</f>
        <v>TPRG1L</v>
      </c>
      <c r="B276" s="5">
        <v>9.99000999000999E-4</v>
      </c>
      <c r="C276" s="4">
        <v>2.90964671311237E-2</v>
      </c>
    </row>
    <row r="277" spans="1:3" x14ac:dyDescent="0.2">
      <c r="A277" s="4" t="str">
        <f>"RB1CC1"</f>
        <v>RB1CC1</v>
      </c>
      <c r="B277" s="5">
        <v>9.99000999000999E-4</v>
      </c>
      <c r="C277" s="4">
        <v>2.90964671311237E-2</v>
      </c>
    </row>
    <row r="278" spans="1:3" x14ac:dyDescent="0.2">
      <c r="A278" s="4" t="str">
        <f>"TMEM50A"</f>
        <v>TMEM50A</v>
      </c>
      <c r="B278" s="5">
        <v>9.99000999000999E-4</v>
      </c>
      <c r="C278" s="4">
        <v>2.90964671311237E-2</v>
      </c>
    </row>
    <row r="279" spans="1:3" x14ac:dyDescent="0.2">
      <c r="A279" s="4" t="str">
        <f>"ERLIN2"</f>
        <v>ERLIN2</v>
      </c>
      <c r="B279" s="5">
        <v>9.99000999000999E-4</v>
      </c>
      <c r="C279" s="4">
        <v>2.90964671311237E-2</v>
      </c>
    </row>
    <row r="280" spans="1:3" x14ac:dyDescent="0.2">
      <c r="A280" s="4" t="str">
        <f>"GCC2"</f>
        <v>GCC2</v>
      </c>
      <c r="B280" s="5">
        <v>9.99000999000999E-4</v>
      </c>
      <c r="C280" s="4">
        <v>2.90964671311237E-2</v>
      </c>
    </row>
    <row r="281" spans="1:3" x14ac:dyDescent="0.2">
      <c r="A281" s="4" t="str">
        <f>"CCT8"</f>
        <v>CCT8</v>
      </c>
      <c r="B281" s="5">
        <v>9.99000999000999E-4</v>
      </c>
      <c r="C281" s="4">
        <v>2.90964671311237E-2</v>
      </c>
    </row>
    <row r="282" spans="1:3" x14ac:dyDescent="0.2">
      <c r="A282" s="4" t="str">
        <f>"EIF2S2"</f>
        <v>EIF2S2</v>
      </c>
      <c r="B282" s="5">
        <v>9.99000999000999E-4</v>
      </c>
      <c r="C282" s="4">
        <v>2.90964671311237E-2</v>
      </c>
    </row>
    <row r="283" spans="1:3" x14ac:dyDescent="0.2">
      <c r="A283" s="4" t="str">
        <f>"TOP1"</f>
        <v>TOP1</v>
      </c>
      <c r="B283" s="5">
        <v>9.99000999000999E-4</v>
      </c>
      <c r="C283" s="4">
        <v>2.90964671311237E-2</v>
      </c>
    </row>
    <row r="284" spans="1:3" x14ac:dyDescent="0.2">
      <c r="A284" s="4" t="str">
        <f>"PIAS3"</f>
        <v>PIAS3</v>
      </c>
      <c r="B284" s="5">
        <v>9.99000999000999E-4</v>
      </c>
      <c r="C284" s="4">
        <v>2.90964671311237E-2</v>
      </c>
    </row>
    <row r="285" spans="1:3" x14ac:dyDescent="0.2">
      <c r="A285" s="4" t="str">
        <f>"PSMD3"</f>
        <v>PSMD3</v>
      </c>
      <c r="B285" s="5">
        <v>9.99000999000999E-4</v>
      </c>
      <c r="C285" s="4">
        <v>2.90964671311237E-2</v>
      </c>
    </row>
    <row r="286" spans="1:3" x14ac:dyDescent="0.2">
      <c r="A286" s="4" t="str">
        <f>"PRKAR2A"</f>
        <v>PRKAR2A</v>
      </c>
      <c r="B286" s="5">
        <v>9.99000999000999E-4</v>
      </c>
      <c r="C286" s="4">
        <v>2.90964671311237E-2</v>
      </c>
    </row>
    <row r="287" spans="1:3" x14ac:dyDescent="0.2">
      <c r="A287" s="4" t="str">
        <f>"OPTN"</f>
        <v>OPTN</v>
      </c>
      <c r="B287" s="5">
        <v>9.99000999000999E-4</v>
      </c>
      <c r="C287" s="4">
        <v>2.90964671311237E-2</v>
      </c>
    </row>
    <row r="288" spans="1:3" x14ac:dyDescent="0.2">
      <c r="A288" s="4" t="str">
        <f>"CTBP2"</f>
        <v>CTBP2</v>
      </c>
      <c r="B288" s="5">
        <v>9.99000999000999E-4</v>
      </c>
      <c r="C288" s="4">
        <v>2.90964671311237E-2</v>
      </c>
    </row>
    <row r="289" spans="1:3" x14ac:dyDescent="0.2">
      <c r="A289" s="4" t="str">
        <f>"STIP1"</f>
        <v>STIP1</v>
      </c>
      <c r="B289" s="5">
        <v>9.99000999000999E-4</v>
      </c>
      <c r="C289" s="4">
        <v>2.90964671311237E-2</v>
      </c>
    </row>
    <row r="290" spans="1:3" x14ac:dyDescent="0.2">
      <c r="A290" s="4" t="str">
        <f>"SRSF1"</f>
        <v>SRSF1</v>
      </c>
      <c r="B290" s="5">
        <v>9.99000999000999E-4</v>
      </c>
      <c r="C290" s="4">
        <v>2.90964671311237E-2</v>
      </c>
    </row>
    <row r="291" spans="1:3" x14ac:dyDescent="0.2">
      <c r="A291" s="4" t="str">
        <f>"PSMD8"</f>
        <v>PSMD8</v>
      </c>
      <c r="B291" s="5">
        <v>9.99000999000999E-4</v>
      </c>
      <c r="C291" s="4">
        <v>2.90964671311237E-2</v>
      </c>
    </row>
    <row r="292" spans="1:3" x14ac:dyDescent="0.2">
      <c r="A292" s="4" t="str">
        <f>"RNH1"</f>
        <v>RNH1</v>
      </c>
      <c r="B292" s="5">
        <v>9.99000999000999E-4</v>
      </c>
      <c r="C292" s="4">
        <v>2.90964671311237E-2</v>
      </c>
    </row>
    <row r="293" spans="1:3" x14ac:dyDescent="0.2">
      <c r="A293" s="4" t="str">
        <f>"NAP1L4"</f>
        <v>NAP1L4</v>
      </c>
      <c r="B293" s="5">
        <v>9.99000999000999E-4</v>
      </c>
      <c r="C293" s="4">
        <v>2.90964671311237E-2</v>
      </c>
    </row>
    <row r="294" spans="1:3" x14ac:dyDescent="0.2">
      <c r="A294" s="4" t="str">
        <f>"PPM1G"</f>
        <v>PPM1G</v>
      </c>
      <c r="B294" s="5">
        <v>9.99000999000999E-4</v>
      </c>
      <c r="C294" s="4">
        <v>2.90964671311237E-2</v>
      </c>
    </row>
    <row r="295" spans="1:3" x14ac:dyDescent="0.2">
      <c r="A295" s="4" t="str">
        <f>"EIF3D"</f>
        <v>EIF3D</v>
      </c>
      <c r="B295" s="5">
        <v>9.99000999000999E-4</v>
      </c>
      <c r="C295" s="4">
        <v>2.90964671311237E-2</v>
      </c>
    </row>
    <row r="296" spans="1:3" x14ac:dyDescent="0.2">
      <c r="A296" s="4" t="str">
        <f>"RAB5C"</f>
        <v>RAB5C</v>
      </c>
      <c r="B296" s="5">
        <v>9.99000999000999E-4</v>
      </c>
      <c r="C296" s="4">
        <v>2.90964671311237E-2</v>
      </c>
    </row>
    <row r="297" spans="1:3" x14ac:dyDescent="0.2">
      <c r="A297" s="4" t="str">
        <f>"KHSRP"</f>
        <v>KHSRP</v>
      </c>
      <c r="B297" s="5">
        <v>9.99000999000999E-4</v>
      </c>
      <c r="C297" s="4">
        <v>2.90964671311237E-2</v>
      </c>
    </row>
    <row r="298" spans="1:3" x14ac:dyDescent="0.2">
      <c r="A298" s="4" t="str">
        <f>"YME1L1"</f>
        <v>YME1L1</v>
      </c>
      <c r="B298" s="5">
        <v>9.99000999000999E-4</v>
      </c>
      <c r="C298" s="4">
        <v>2.90964671311237E-2</v>
      </c>
    </row>
    <row r="299" spans="1:3" x14ac:dyDescent="0.2">
      <c r="A299" s="4" t="str">
        <f>"TRIR"</f>
        <v>TRIR</v>
      </c>
      <c r="B299" s="5">
        <v>9.99000999000999E-4</v>
      </c>
      <c r="C299" s="4">
        <v>2.90964671311237E-2</v>
      </c>
    </row>
    <row r="300" spans="1:3" x14ac:dyDescent="0.2">
      <c r="A300" s="4" t="str">
        <f>"STING1"</f>
        <v>STING1</v>
      </c>
      <c r="B300" s="5">
        <v>9.99000999000999E-4</v>
      </c>
      <c r="C300" s="4">
        <v>2.90964671311237E-2</v>
      </c>
    </row>
    <row r="301" spans="1:3" x14ac:dyDescent="0.2">
      <c r="A301" s="4" t="str">
        <f>"CCT7"</f>
        <v>CCT7</v>
      </c>
      <c r="B301" s="5">
        <v>9.99000999000999E-4</v>
      </c>
      <c r="C301" s="4">
        <v>2.90964671311237E-2</v>
      </c>
    </row>
    <row r="302" spans="1:3" x14ac:dyDescent="0.2">
      <c r="A302" s="4" t="str">
        <f>"GTF2I"</f>
        <v>GTF2I</v>
      </c>
      <c r="B302" s="5">
        <v>9.99000999000999E-4</v>
      </c>
      <c r="C302" s="4">
        <v>2.90964671311237E-2</v>
      </c>
    </row>
    <row r="303" spans="1:3" x14ac:dyDescent="0.2">
      <c r="A303" s="4" t="str">
        <f>"TRIM28"</f>
        <v>TRIM28</v>
      </c>
      <c r="B303" s="5">
        <v>9.99000999000999E-4</v>
      </c>
      <c r="C303" s="4">
        <v>2.90964671311237E-2</v>
      </c>
    </row>
    <row r="304" spans="1:3" x14ac:dyDescent="0.2">
      <c r="A304" s="4" t="str">
        <f>"GNA11"</f>
        <v>GNA11</v>
      </c>
      <c r="B304" s="5">
        <v>9.99000999000999E-4</v>
      </c>
      <c r="C304" s="4">
        <v>2.90964671311237E-2</v>
      </c>
    </row>
    <row r="305" spans="1:3" x14ac:dyDescent="0.2">
      <c r="A305" s="4" t="str">
        <f>"STAU1"</f>
        <v>STAU1</v>
      </c>
      <c r="B305" s="5">
        <v>9.99000999000999E-4</v>
      </c>
      <c r="C305" s="4">
        <v>2.90964671311237E-2</v>
      </c>
    </row>
    <row r="306" spans="1:3" x14ac:dyDescent="0.2">
      <c r="A306" s="4" t="str">
        <f>"VAPA"</f>
        <v>VAPA</v>
      </c>
      <c r="B306" s="5">
        <v>9.99000999000999E-4</v>
      </c>
      <c r="C306" s="4">
        <v>2.90964671311237E-2</v>
      </c>
    </row>
    <row r="307" spans="1:3" x14ac:dyDescent="0.2">
      <c r="A307" s="4" t="str">
        <f>"EPB41L1"</f>
        <v>EPB41L1</v>
      </c>
      <c r="B307" s="5">
        <v>9.99000999000999E-4</v>
      </c>
      <c r="C307" s="4">
        <v>2.90964671311237E-2</v>
      </c>
    </row>
    <row r="308" spans="1:3" x14ac:dyDescent="0.2">
      <c r="A308" s="4" t="str">
        <f>"PRRC2A"</f>
        <v>PRRC2A</v>
      </c>
      <c r="B308" s="5">
        <v>9.99000999000999E-4</v>
      </c>
      <c r="C308" s="4">
        <v>2.90964671311237E-2</v>
      </c>
    </row>
    <row r="309" spans="1:3" x14ac:dyDescent="0.2">
      <c r="A309" s="4" t="str">
        <f>"ATP6V0C"</f>
        <v>ATP6V0C</v>
      </c>
      <c r="B309" s="5">
        <v>9.99000999000999E-4</v>
      </c>
      <c r="C309" s="4">
        <v>2.90964671311237E-2</v>
      </c>
    </row>
    <row r="310" spans="1:3" x14ac:dyDescent="0.2">
      <c r="A310" s="4" t="str">
        <f>"ATP5F1A"</f>
        <v>ATP5F1A</v>
      </c>
      <c r="B310" s="5">
        <v>9.99000999000999E-4</v>
      </c>
      <c r="C310" s="4">
        <v>2.90964671311237E-2</v>
      </c>
    </row>
    <row r="311" spans="1:3" x14ac:dyDescent="0.2">
      <c r="A311" s="4" t="str">
        <f>"RPL15P3"</f>
        <v>RPL15P3</v>
      </c>
      <c r="B311" s="5">
        <v>9.99000999000999E-4</v>
      </c>
      <c r="C311" s="4">
        <v>2.90964671311237E-2</v>
      </c>
    </row>
    <row r="312" spans="1:3" x14ac:dyDescent="0.2">
      <c r="A312" s="4" t="str">
        <f>"AL137803.1"</f>
        <v>AL137803.1</v>
      </c>
      <c r="B312" s="5">
        <v>9.99000999000999E-4</v>
      </c>
      <c r="C312" s="4">
        <v>2.90964671311237E-2</v>
      </c>
    </row>
    <row r="313" spans="1:3" x14ac:dyDescent="0.2">
      <c r="A313" s="4" t="str">
        <f>"NR2F1"</f>
        <v>NR2F1</v>
      </c>
      <c r="B313" s="5">
        <v>9.99000999000999E-4</v>
      </c>
      <c r="C313" s="4">
        <v>2.90964671311237E-2</v>
      </c>
    </row>
    <row r="314" spans="1:3" x14ac:dyDescent="0.2">
      <c r="A314" s="4" t="str">
        <f>"AP002008.2"</f>
        <v>AP002008.2</v>
      </c>
      <c r="B314" s="5">
        <v>9.99000999000999E-4</v>
      </c>
      <c r="C314" s="4">
        <v>2.90964671311237E-2</v>
      </c>
    </row>
    <row r="315" spans="1:3" x14ac:dyDescent="0.2">
      <c r="A315" s="4" t="str">
        <f>"PTGER4P2-CDK2AP2P2"</f>
        <v>PTGER4P2-CDK2AP2P2</v>
      </c>
      <c r="B315" s="4">
        <v>1E-3</v>
      </c>
      <c r="C315" s="4">
        <v>2.90964671311237E-2</v>
      </c>
    </row>
    <row r="316" spans="1:3" x14ac:dyDescent="0.2">
      <c r="A316" s="4" t="str">
        <f>"AC092053.1"</f>
        <v>AC092053.1</v>
      </c>
      <c r="B316" s="5">
        <v>9.99000999000999E-4</v>
      </c>
      <c r="C316" s="4">
        <v>2.90964671311237E-2</v>
      </c>
    </row>
    <row r="317" spans="1:3" x14ac:dyDescent="0.2">
      <c r="A317" s="4" t="str">
        <f>"CCDC150"</f>
        <v>CCDC150</v>
      </c>
      <c r="B317" s="5">
        <v>9.99000999000999E-4</v>
      </c>
      <c r="C317" s="4">
        <v>2.90964671311237E-2</v>
      </c>
    </row>
    <row r="318" spans="1:3" x14ac:dyDescent="0.2">
      <c r="A318" s="4" t="str">
        <f>"AC016590.4"</f>
        <v>AC016590.4</v>
      </c>
      <c r="B318" s="5">
        <v>9.99000999000999E-4</v>
      </c>
      <c r="C318" s="4">
        <v>2.90964671311237E-2</v>
      </c>
    </row>
    <row r="319" spans="1:3" x14ac:dyDescent="0.2">
      <c r="A319" s="4" t="str">
        <f>"C12orf54"</f>
        <v>C12orf54</v>
      </c>
      <c r="B319" s="5">
        <v>9.99000999000999E-4</v>
      </c>
      <c r="C319" s="4">
        <v>2.90964671311237E-2</v>
      </c>
    </row>
    <row r="320" spans="1:3" x14ac:dyDescent="0.2">
      <c r="A320" s="4" t="str">
        <f>"NLRC4"</f>
        <v>NLRC4</v>
      </c>
      <c r="B320" s="5">
        <v>9.99000999000999E-4</v>
      </c>
      <c r="C320" s="4">
        <v>2.90964671311237E-2</v>
      </c>
    </row>
    <row r="321" spans="1:3" x14ac:dyDescent="0.2">
      <c r="A321" s="4" t="str">
        <f>"RNF222"</f>
        <v>RNF222</v>
      </c>
      <c r="B321" s="5">
        <v>9.99000999000999E-4</v>
      </c>
      <c r="C321" s="4">
        <v>2.90964671311237E-2</v>
      </c>
    </row>
    <row r="322" spans="1:3" x14ac:dyDescent="0.2">
      <c r="A322" s="4" t="str">
        <f>"HK3"</f>
        <v>HK3</v>
      </c>
      <c r="B322" s="5">
        <v>9.99000999000999E-4</v>
      </c>
      <c r="C322" s="4">
        <v>2.90964671311237E-2</v>
      </c>
    </row>
    <row r="323" spans="1:3" x14ac:dyDescent="0.2">
      <c r="A323" s="4" t="str">
        <f>"SIGLEC5"</f>
        <v>SIGLEC5</v>
      </c>
      <c r="B323" s="5">
        <v>9.99000999000999E-4</v>
      </c>
      <c r="C323" s="4">
        <v>2.90964671311237E-2</v>
      </c>
    </row>
    <row r="324" spans="1:3" x14ac:dyDescent="0.2">
      <c r="A324" s="4" t="str">
        <f>"RGS18"</f>
        <v>RGS18</v>
      </c>
      <c r="B324" s="5">
        <v>9.99000999000999E-4</v>
      </c>
      <c r="C324" s="4">
        <v>2.90964671311237E-2</v>
      </c>
    </row>
    <row r="325" spans="1:3" x14ac:dyDescent="0.2">
      <c r="A325" s="4" t="str">
        <f>"EREG"</f>
        <v>EREG</v>
      </c>
      <c r="B325" s="5">
        <v>9.99000999000999E-4</v>
      </c>
      <c r="C325" s="4">
        <v>2.90964671311237E-2</v>
      </c>
    </row>
    <row r="326" spans="1:3" x14ac:dyDescent="0.2">
      <c r="A326" s="4" t="str">
        <f>"DTX2P1"</f>
        <v>DTX2P1</v>
      </c>
      <c r="B326" s="5">
        <v>9.99000999000999E-4</v>
      </c>
      <c r="C326" s="4">
        <v>2.90964671311237E-2</v>
      </c>
    </row>
    <row r="327" spans="1:3" x14ac:dyDescent="0.2">
      <c r="A327" s="4" t="str">
        <f>"FCN1"</f>
        <v>FCN1</v>
      </c>
      <c r="B327" s="5">
        <v>9.99000999000999E-4</v>
      </c>
      <c r="C327" s="4">
        <v>2.90964671311237E-2</v>
      </c>
    </row>
    <row r="328" spans="1:3" x14ac:dyDescent="0.2">
      <c r="A328" s="4" t="str">
        <f>"ITGAM"</f>
        <v>ITGAM</v>
      </c>
      <c r="B328" s="5">
        <v>9.99000999000999E-4</v>
      </c>
      <c r="C328" s="4">
        <v>2.90964671311237E-2</v>
      </c>
    </row>
    <row r="329" spans="1:3" x14ac:dyDescent="0.2">
      <c r="A329" s="4" t="str">
        <f>"SIGLEC10"</f>
        <v>SIGLEC10</v>
      </c>
      <c r="B329" s="5">
        <v>9.99000999000999E-4</v>
      </c>
      <c r="C329" s="4">
        <v>2.90964671311237E-2</v>
      </c>
    </row>
    <row r="330" spans="1:3" x14ac:dyDescent="0.2">
      <c r="A330" s="4" t="str">
        <f>"JAK3"</f>
        <v>JAK3</v>
      </c>
      <c r="B330" s="5">
        <v>9.99000999000999E-4</v>
      </c>
      <c r="C330" s="4">
        <v>2.90964671311237E-2</v>
      </c>
    </row>
    <row r="331" spans="1:3" x14ac:dyDescent="0.2">
      <c r="A331" s="4" t="str">
        <f>"PGGHG"</f>
        <v>PGGHG</v>
      </c>
      <c r="B331" s="5">
        <v>9.99000999000999E-4</v>
      </c>
      <c r="C331" s="4">
        <v>2.90964671311237E-2</v>
      </c>
    </row>
    <row r="332" spans="1:3" x14ac:dyDescent="0.2">
      <c r="A332" s="4" t="str">
        <f>"NCF4"</f>
        <v>NCF4</v>
      </c>
      <c r="B332" s="5">
        <v>9.99000999000999E-4</v>
      </c>
      <c r="C332" s="4">
        <v>2.90964671311237E-2</v>
      </c>
    </row>
    <row r="333" spans="1:3" x14ac:dyDescent="0.2">
      <c r="A333" s="4" t="str">
        <f>"SAMSN1"</f>
        <v>SAMSN1</v>
      </c>
      <c r="B333" s="4">
        <v>1E-3</v>
      </c>
      <c r="C333" s="4">
        <v>2.90964671311237E-2</v>
      </c>
    </row>
    <row r="334" spans="1:3" x14ac:dyDescent="0.2">
      <c r="A334" s="4" t="str">
        <f>"CD53"</f>
        <v>CD53</v>
      </c>
      <c r="B334" s="5">
        <v>9.99000999000999E-4</v>
      </c>
      <c r="C334" s="4">
        <v>2.90964671311237E-2</v>
      </c>
    </row>
    <row r="335" spans="1:3" x14ac:dyDescent="0.2">
      <c r="A335" s="4" t="str">
        <f>"TLR4"</f>
        <v>TLR4</v>
      </c>
      <c r="B335" s="5">
        <v>9.99000999000999E-4</v>
      </c>
      <c r="C335" s="4">
        <v>2.90964671311237E-2</v>
      </c>
    </row>
    <row r="336" spans="1:3" x14ac:dyDescent="0.2">
      <c r="A336" s="4" t="str">
        <f>"HCK"</f>
        <v>HCK</v>
      </c>
      <c r="B336" s="5">
        <v>9.99000999000999E-4</v>
      </c>
      <c r="C336" s="4">
        <v>2.90964671311237E-2</v>
      </c>
    </row>
    <row r="337" spans="1:3" x14ac:dyDescent="0.2">
      <c r="A337" s="4" t="str">
        <f>"FSCN1"</f>
        <v>FSCN1</v>
      </c>
      <c r="B337" s="5">
        <v>9.99000999000999E-4</v>
      </c>
      <c r="C337" s="4">
        <v>2.90964671311237E-2</v>
      </c>
    </row>
    <row r="338" spans="1:3" x14ac:dyDescent="0.2">
      <c r="A338" s="4" t="str">
        <f>"KIAA2013"</f>
        <v>KIAA2013</v>
      </c>
      <c r="B338" s="5">
        <v>9.99000999000999E-4</v>
      </c>
      <c r="C338" s="4">
        <v>2.90964671311237E-2</v>
      </c>
    </row>
    <row r="339" spans="1:3" x14ac:dyDescent="0.2">
      <c r="A339" s="4" t="str">
        <f>"DGKZ"</f>
        <v>DGKZ</v>
      </c>
      <c r="B339" s="5">
        <v>9.99000999000999E-4</v>
      </c>
      <c r="C339" s="4">
        <v>2.90964671311237E-2</v>
      </c>
    </row>
    <row r="340" spans="1:3" x14ac:dyDescent="0.2">
      <c r="A340" s="4" t="str">
        <f>"LRPAP1"</f>
        <v>LRPAP1</v>
      </c>
      <c r="B340" s="5">
        <v>9.99000999000999E-4</v>
      </c>
      <c r="C340" s="4">
        <v>2.90964671311237E-2</v>
      </c>
    </row>
    <row r="341" spans="1:3" x14ac:dyDescent="0.2">
      <c r="A341" s="4" t="str">
        <f>"KDM6B"</f>
        <v>KDM6B</v>
      </c>
      <c r="B341" s="5">
        <v>9.99000999000999E-4</v>
      </c>
      <c r="C341" s="4">
        <v>2.90964671311237E-2</v>
      </c>
    </row>
    <row r="342" spans="1:3" x14ac:dyDescent="0.2">
      <c r="A342" s="4" t="str">
        <f>"AP2M1"</f>
        <v>AP2M1</v>
      </c>
      <c r="B342" s="5">
        <v>9.99000999000999E-4</v>
      </c>
      <c r="C342" s="4">
        <v>2.90964671311237E-2</v>
      </c>
    </row>
    <row r="343" spans="1:3" x14ac:dyDescent="0.2">
      <c r="A343" s="4" t="str">
        <f>"AL121820.3"</f>
        <v>AL121820.3</v>
      </c>
      <c r="B343" s="4">
        <v>1E-3</v>
      </c>
      <c r="C343" s="4">
        <v>2.90964671311237E-2</v>
      </c>
    </row>
    <row r="344" spans="1:3" x14ac:dyDescent="0.2">
      <c r="A344" s="4" t="str">
        <f>"BX255923.2"</f>
        <v>BX255923.2</v>
      </c>
      <c r="B344" s="5">
        <v>9.99000999000999E-4</v>
      </c>
      <c r="C344" s="4">
        <v>2.90964671311237E-2</v>
      </c>
    </row>
    <row r="345" spans="1:3" x14ac:dyDescent="0.2">
      <c r="A345" s="4" t="str">
        <f>"RFX5-AS1"</f>
        <v>RFX5-AS1</v>
      </c>
      <c r="B345" s="5">
        <v>9.99000999000999E-4</v>
      </c>
      <c r="C345" s="4">
        <v>2.90964671311237E-2</v>
      </c>
    </row>
    <row r="346" spans="1:3" x14ac:dyDescent="0.2">
      <c r="A346" s="4" t="str">
        <f>"KIF26B-AS1"</f>
        <v>KIF26B-AS1</v>
      </c>
      <c r="B346" s="5">
        <v>9.99000999000999E-4</v>
      </c>
      <c r="C346" s="4">
        <v>2.90964671311237E-2</v>
      </c>
    </row>
    <row r="347" spans="1:3" x14ac:dyDescent="0.2">
      <c r="A347" s="4" t="str">
        <f>"ITLN1"</f>
        <v>ITLN1</v>
      </c>
      <c r="B347" s="5">
        <v>9.99000999000999E-4</v>
      </c>
      <c r="C347" s="4">
        <v>2.90964671311237E-2</v>
      </c>
    </row>
    <row r="348" spans="1:3" x14ac:dyDescent="0.2">
      <c r="A348" s="4" t="str">
        <f>"LINC01671"</f>
        <v>LINC01671</v>
      </c>
      <c r="B348" s="5">
        <v>9.99000999000999E-4</v>
      </c>
      <c r="C348" s="4">
        <v>2.90964671311237E-2</v>
      </c>
    </row>
    <row r="349" spans="1:3" x14ac:dyDescent="0.2">
      <c r="A349" s="4" t="str">
        <f>"SLC24A4"</f>
        <v>SLC24A4</v>
      </c>
      <c r="B349" s="5">
        <v>9.99000999000999E-4</v>
      </c>
      <c r="C349" s="4">
        <v>2.90964671311237E-2</v>
      </c>
    </row>
    <row r="350" spans="1:3" x14ac:dyDescent="0.2">
      <c r="A350" s="4" t="str">
        <f>"SDR42E2"</f>
        <v>SDR42E2</v>
      </c>
      <c r="B350" s="5">
        <v>9.99000999000999E-4</v>
      </c>
      <c r="C350" s="4">
        <v>2.90964671311237E-2</v>
      </c>
    </row>
    <row r="351" spans="1:3" x14ac:dyDescent="0.2">
      <c r="A351" s="4" t="str">
        <f>"AC008517.1"</f>
        <v>AC008517.1</v>
      </c>
      <c r="B351" s="5">
        <v>9.99000999000999E-4</v>
      </c>
      <c r="C351" s="4">
        <v>2.90964671311237E-2</v>
      </c>
    </row>
    <row r="352" spans="1:3" x14ac:dyDescent="0.2">
      <c r="A352" s="4" t="str">
        <f>"PIEZO2"</f>
        <v>PIEZO2</v>
      </c>
      <c r="B352" s="5">
        <v>9.99000999000999E-4</v>
      </c>
      <c r="C352" s="4">
        <v>2.90964671311237E-2</v>
      </c>
    </row>
    <row r="353" spans="1:3" x14ac:dyDescent="0.2">
      <c r="A353" s="4" t="str">
        <f>"CAMK2N1"</f>
        <v>CAMK2N1</v>
      </c>
      <c r="B353" s="5">
        <v>9.99000999000999E-4</v>
      </c>
      <c r="C353" s="4">
        <v>2.90964671311237E-2</v>
      </c>
    </row>
    <row r="354" spans="1:3" x14ac:dyDescent="0.2">
      <c r="A354" s="4" t="str">
        <f>"AC005192.1"</f>
        <v>AC005192.1</v>
      </c>
      <c r="B354" s="5">
        <v>9.99000999000999E-4</v>
      </c>
      <c r="C354" s="4">
        <v>2.90964671311237E-2</v>
      </c>
    </row>
    <row r="355" spans="1:3" x14ac:dyDescent="0.2">
      <c r="A355" s="4" t="str">
        <f>"SCN4B"</f>
        <v>SCN4B</v>
      </c>
      <c r="B355" s="5">
        <v>9.99000999000999E-4</v>
      </c>
      <c r="C355" s="4">
        <v>2.90964671311237E-2</v>
      </c>
    </row>
    <row r="356" spans="1:3" x14ac:dyDescent="0.2">
      <c r="A356" s="4" t="str">
        <f>"HPSE"</f>
        <v>HPSE</v>
      </c>
      <c r="B356" s="5">
        <v>9.99000999000999E-4</v>
      </c>
      <c r="C356" s="4">
        <v>2.90964671311237E-2</v>
      </c>
    </row>
    <row r="357" spans="1:3" x14ac:dyDescent="0.2">
      <c r="A357" s="4" t="str">
        <f>"PDLIM7"</f>
        <v>PDLIM7</v>
      </c>
      <c r="B357" s="5">
        <v>9.99000999000999E-4</v>
      </c>
      <c r="C357" s="4">
        <v>2.90964671311237E-2</v>
      </c>
    </row>
    <row r="358" spans="1:3" x14ac:dyDescent="0.2">
      <c r="A358" s="4" t="str">
        <f>"COL28A1"</f>
        <v>COL28A1</v>
      </c>
      <c r="B358" s="5">
        <v>9.99000999000999E-4</v>
      </c>
      <c r="C358" s="4">
        <v>2.90964671311237E-2</v>
      </c>
    </row>
    <row r="359" spans="1:3" x14ac:dyDescent="0.2">
      <c r="A359" s="4" t="str">
        <f>"ARHGAP30"</f>
        <v>ARHGAP30</v>
      </c>
      <c r="B359" s="5">
        <v>9.99000999000999E-4</v>
      </c>
      <c r="C359" s="4">
        <v>2.90964671311237E-2</v>
      </c>
    </row>
    <row r="360" spans="1:3" x14ac:dyDescent="0.2">
      <c r="A360" s="4" t="str">
        <f>"EVI2B"</f>
        <v>EVI2B</v>
      </c>
      <c r="B360" s="5">
        <v>9.99000999000999E-4</v>
      </c>
      <c r="C360" s="4">
        <v>2.90964671311237E-2</v>
      </c>
    </row>
    <row r="361" spans="1:3" x14ac:dyDescent="0.2">
      <c r="A361" s="4" t="str">
        <f>"GGA1"</f>
        <v>GGA1</v>
      </c>
      <c r="B361" s="5">
        <v>9.99000999000999E-4</v>
      </c>
      <c r="C361" s="4">
        <v>2.90964671311237E-2</v>
      </c>
    </row>
    <row r="362" spans="1:3" x14ac:dyDescent="0.2">
      <c r="A362" s="4" t="str">
        <f>"IST1"</f>
        <v>IST1</v>
      </c>
      <c r="B362" s="5">
        <v>9.99000999000999E-4</v>
      </c>
      <c r="C362" s="4">
        <v>2.90964671311237E-2</v>
      </c>
    </row>
    <row r="363" spans="1:3" x14ac:dyDescent="0.2">
      <c r="A363" s="4" t="str">
        <f>"CLTA"</f>
        <v>CLTA</v>
      </c>
      <c r="B363" s="5">
        <v>9.99000999000999E-4</v>
      </c>
      <c r="C363" s="4">
        <v>2.90964671311237E-2</v>
      </c>
    </row>
    <row r="364" spans="1:3" x14ac:dyDescent="0.2">
      <c r="A364" s="4" t="str">
        <f>"NPTN"</f>
        <v>NPTN</v>
      </c>
      <c r="B364" s="5">
        <v>9.99000999000999E-4</v>
      </c>
      <c r="C364" s="4">
        <v>2.90964671311237E-2</v>
      </c>
    </row>
    <row r="365" spans="1:3" x14ac:dyDescent="0.2">
      <c r="A365" s="4" t="str">
        <f>"MGAT4C"</f>
        <v>MGAT4C</v>
      </c>
      <c r="B365" s="5">
        <v>9.99000999000999E-4</v>
      </c>
      <c r="C365" s="4">
        <v>2.90964671311237E-2</v>
      </c>
    </row>
    <row r="366" spans="1:3" x14ac:dyDescent="0.2">
      <c r="A366" s="4" t="str">
        <f>"DSC2"</f>
        <v>DSC2</v>
      </c>
      <c r="B366" s="5">
        <v>9.99000999000999E-4</v>
      </c>
      <c r="C366" s="4">
        <v>2.90964671311237E-2</v>
      </c>
    </row>
    <row r="367" spans="1:3" x14ac:dyDescent="0.2">
      <c r="A367" s="4" t="str">
        <f>"SLC15A3"</f>
        <v>SLC15A3</v>
      </c>
      <c r="B367" s="5">
        <v>9.99000999000999E-4</v>
      </c>
      <c r="C367" s="4">
        <v>2.90964671311237E-2</v>
      </c>
    </row>
    <row r="368" spans="1:3" x14ac:dyDescent="0.2">
      <c r="A368" s="4" t="str">
        <f>"PIGU"</f>
        <v>PIGU</v>
      </c>
      <c r="B368" s="5">
        <v>9.99000999000999E-4</v>
      </c>
      <c r="C368" s="4">
        <v>2.90964671311237E-2</v>
      </c>
    </row>
    <row r="369" spans="1:3" x14ac:dyDescent="0.2">
      <c r="A369" s="4" t="str">
        <f>"ITPRIP"</f>
        <v>ITPRIP</v>
      </c>
      <c r="B369" s="4">
        <v>1E-3</v>
      </c>
      <c r="C369" s="4">
        <v>2.90964671311237E-2</v>
      </c>
    </row>
    <row r="370" spans="1:3" x14ac:dyDescent="0.2">
      <c r="A370" s="4" t="str">
        <f>"LRRK2"</f>
        <v>LRRK2</v>
      </c>
      <c r="B370" s="5">
        <v>9.99000999000999E-4</v>
      </c>
      <c r="C370" s="4">
        <v>2.90964671311237E-2</v>
      </c>
    </row>
    <row r="371" spans="1:3" x14ac:dyDescent="0.2">
      <c r="A371" s="4" t="str">
        <f>"SCP2"</f>
        <v>SCP2</v>
      </c>
      <c r="B371" s="5">
        <v>9.99000999000999E-4</v>
      </c>
      <c r="C371" s="4">
        <v>2.90964671311237E-2</v>
      </c>
    </row>
    <row r="372" spans="1:3" x14ac:dyDescent="0.2">
      <c r="A372" s="4" t="str">
        <f>"MTCH1"</f>
        <v>MTCH1</v>
      </c>
      <c r="B372" s="5">
        <v>9.99000999000999E-4</v>
      </c>
      <c r="C372" s="4">
        <v>2.90964671311237E-2</v>
      </c>
    </row>
    <row r="373" spans="1:3" x14ac:dyDescent="0.2">
      <c r="A373" s="4" t="str">
        <f>"FBRS"</f>
        <v>FBRS</v>
      </c>
      <c r="B373" s="5">
        <v>9.99000999000999E-4</v>
      </c>
      <c r="C373" s="4">
        <v>2.90964671311237E-2</v>
      </c>
    </row>
    <row r="374" spans="1:3" x14ac:dyDescent="0.2">
      <c r="A374" s="4" t="str">
        <f>"LINC00514"</f>
        <v>LINC00514</v>
      </c>
      <c r="B374" s="5">
        <v>9.99000999000999E-4</v>
      </c>
      <c r="C374" s="4">
        <v>2.90964671311237E-2</v>
      </c>
    </row>
    <row r="375" spans="1:3" x14ac:dyDescent="0.2">
      <c r="A375" s="4" t="str">
        <f>"TMEM272"</f>
        <v>TMEM272</v>
      </c>
      <c r="B375" s="5">
        <v>9.99000999000999E-4</v>
      </c>
      <c r="C375" s="4">
        <v>2.90964671311237E-2</v>
      </c>
    </row>
    <row r="376" spans="1:3" x14ac:dyDescent="0.2">
      <c r="A376" s="4" t="str">
        <f>"CSPG5"</f>
        <v>CSPG5</v>
      </c>
      <c r="B376" s="5">
        <v>9.99000999000999E-4</v>
      </c>
      <c r="C376" s="4">
        <v>2.90964671311237E-2</v>
      </c>
    </row>
    <row r="377" spans="1:3" x14ac:dyDescent="0.2">
      <c r="A377" s="4" t="str">
        <f>"NPIPB7"</f>
        <v>NPIPB7</v>
      </c>
      <c r="B377" s="5">
        <v>9.99000999000999E-4</v>
      </c>
      <c r="C377" s="4">
        <v>2.90964671311237E-2</v>
      </c>
    </row>
    <row r="378" spans="1:3" x14ac:dyDescent="0.2">
      <c r="A378" s="4" t="str">
        <f>"FCGR1A"</f>
        <v>FCGR1A</v>
      </c>
      <c r="B378" s="5">
        <v>9.99000999000999E-4</v>
      </c>
      <c r="C378" s="4">
        <v>2.90964671311237E-2</v>
      </c>
    </row>
    <row r="379" spans="1:3" x14ac:dyDescent="0.2">
      <c r="A379" s="4" t="str">
        <f>"CATSPERD"</f>
        <v>CATSPERD</v>
      </c>
      <c r="B379" s="5">
        <v>9.99000999000999E-4</v>
      </c>
      <c r="C379" s="4">
        <v>2.90964671311237E-2</v>
      </c>
    </row>
    <row r="380" spans="1:3" x14ac:dyDescent="0.2">
      <c r="A380" s="4" t="str">
        <f>"MAP3K13"</f>
        <v>MAP3K13</v>
      </c>
      <c r="B380" s="5">
        <v>9.99000999000999E-4</v>
      </c>
      <c r="C380" s="4">
        <v>2.90964671311237E-2</v>
      </c>
    </row>
    <row r="381" spans="1:3" x14ac:dyDescent="0.2">
      <c r="A381" s="4" t="str">
        <f>"KIF26A"</f>
        <v>KIF26A</v>
      </c>
      <c r="B381" s="4">
        <v>1E-3</v>
      </c>
      <c r="C381" s="4">
        <v>2.90964671311237E-2</v>
      </c>
    </row>
    <row r="382" spans="1:3" x14ac:dyDescent="0.2">
      <c r="A382" s="4" t="str">
        <f>"AC138207.8"</f>
        <v>AC138207.8</v>
      </c>
      <c r="B382" s="4">
        <v>1.0010010010009999E-3</v>
      </c>
      <c r="C382" s="4">
        <v>2.90964671311237E-2</v>
      </c>
    </row>
    <row r="383" spans="1:3" x14ac:dyDescent="0.2">
      <c r="A383" s="4" t="str">
        <f>"RASSF3"</f>
        <v>RASSF3</v>
      </c>
      <c r="B383" s="4">
        <v>1E-3</v>
      </c>
      <c r="C383" s="4">
        <v>2.90964671311237E-2</v>
      </c>
    </row>
    <row r="384" spans="1:3" x14ac:dyDescent="0.2">
      <c r="A384" s="4" t="str">
        <f>"AC117395.1"</f>
        <v>AC117395.1</v>
      </c>
      <c r="B384" s="5">
        <v>9.99000999000999E-4</v>
      </c>
      <c r="C384" s="4">
        <v>2.90964671311237E-2</v>
      </c>
    </row>
    <row r="385" spans="1:3" x14ac:dyDescent="0.2">
      <c r="A385" s="4" t="str">
        <f>"C11orf96"</f>
        <v>C11orf96</v>
      </c>
      <c r="B385" s="5">
        <v>9.99000999000999E-4</v>
      </c>
      <c r="C385" s="4">
        <v>2.90964671311237E-2</v>
      </c>
    </row>
    <row r="386" spans="1:3" x14ac:dyDescent="0.2">
      <c r="A386" s="4" t="str">
        <f>"TMPRSS11E"</f>
        <v>TMPRSS11E</v>
      </c>
      <c r="B386" s="5">
        <v>9.99000999000999E-4</v>
      </c>
      <c r="C386" s="4">
        <v>2.90964671311237E-2</v>
      </c>
    </row>
    <row r="387" spans="1:3" x14ac:dyDescent="0.2">
      <c r="A387" s="4" t="str">
        <f>"FGL2"</f>
        <v>FGL2</v>
      </c>
      <c r="B387" s="5">
        <v>9.99000999000999E-4</v>
      </c>
      <c r="C387" s="4">
        <v>2.90964671311237E-2</v>
      </c>
    </row>
    <row r="388" spans="1:3" x14ac:dyDescent="0.2">
      <c r="A388" s="4" t="str">
        <f>"TYMS"</f>
        <v>TYMS</v>
      </c>
      <c r="B388" s="5">
        <v>9.99000999000999E-4</v>
      </c>
      <c r="C388" s="4">
        <v>2.90964671311237E-2</v>
      </c>
    </row>
    <row r="389" spans="1:3" x14ac:dyDescent="0.2">
      <c r="A389" s="4" t="str">
        <f>"WBP1"</f>
        <v>WBP1</v>
      </c>
      <c r="B389" s="5">
        <v>9.99000999000999E-4</v>
      </c>
      <c r="C389" s="4">
        <v>2.90964671311237E-2</v>
      </c>
    </row>
    <row r="390" spans="1:3" x14ac:dyDescent="0.2">
      <c r="A390" s="4" t="str">
        <f>"IL20RA"</f>
        <v>IL20RA</v>
      </c>
      <c r="B390" s="5">
        <v>9.99000999000999E-4</v>
      </c>
      <c r="C390" s="4">
        <v>2.90964671311237E-2</v>
      </c>
    </row>
    <row r="391" spans="1:3" x14ac:dyDescent="0.2">
      <c r="A391" s="4" t="str">
        <f>"AC008532.1"</f>
        <v>AC008532.1</v>
      </c>
      <c r="B391" s="4">
        <v>1.0010010010009999E-3</v>
      </c>
      <c r="C391" s="4">
        <v>2.90964671311237E-2</v>
      </c>
    </row>
    <row r="392" spans="1:3" x14ac:dyDescent="0.2">
      <c r="A392" s="4" t="str">
        <f>"TCF7"</f>
        <v>TCF7</v>
      </c>
      <c r="B392" s="5">
        <v>9.99000999000999E-4</v>
      </c>
      <c r="C392" s="4">
        <v>2.90964671311237E-2</v>
      </c>
    </row>
    <row r="393" spans="1:3" x14ac:dyDescent="0.2">
      <c r="A393" s="4" t="str">
        <f>"ELF3"</f>
        <v>ELF3</v>
      </c>
      <c r="B393" s="5">
        <v>9.99000999000999E-4</v>
      </c>
      <c r="C393" s="4">
        <v>2.90964671311237E-2</v>
      </c>
    </row>
    <row r="394" spans="1:3" x14ac:dyDescent="0.2">
      <c r="A394" s="4" t="str">
        <f>"HYPK"</f>
        <v>HYPK</v>
      </c>
      <c r="B394" s="5">
        <v>9.99000999000999E-4</v>
      </c>
      <c r="C394" s="4">
        <v>2.90964671311237E-2</v>
      </c>
    </row>
    <row r="395" spans="1:3" x14ac:dyDescent="0.2">
      <c r="A395" s="4" t="str">
        <f>"HERPUD1"</f>
        <v>HERPUD1</v>
      </c>
      <c r="B395" s="5">
        <v>9.99000999000999E-4</v>
      </c>
      <c r="C395" s="4">
        <v>2.90964671311237E-2</v>
      </c>
    </row>
    <row r="396" spans="1:3" x14ac:dyDescent="0.2">
      <c r="A396" s="4" t="str">
        <f>"CERS6-AS1"</f>
        <v>CERS6-AS1</v>
      </c>
      <c r="B396" s="4">
        <v>1E-3</v>
      </c>
      <c r="C396" s="4">
        <v>2.90964671311237E-2</v>
      </c>
    </row>
    <row r="397" spans="1:3" x14ac:dyDescent="0.2">
      <c r="A397" s="4" t="str">
        <f>"SLC35A1"</f>
        <v>SLC35A1</v>
      </c>
      <c r="B397" s="5">
        <v>9.99000999000999E-4</v>
      </c>
      <c r="C397" s="4">
        <v>2.90964671311237E-2</v>
      </c>
    </row>
    <row r="398" spans="1:3" x14ac:dyDescent="0.2">
      <c r="A398" s="4" t="str">
        <f>"EIF2D"</f>
        <v>EIF2D</v>
      </c>
      <c r="B398" s="5">
        <v>9.99000999000999E-4</v>
      </c>
      <c r="C398" s="4">
        <v>2.90964671311237E-2</v>
      </c>
    </row>
    <row r="399" spans="1:3" x14ac:dyDescent="0.2">
      <c r="A399" s="4" t="str">
        <f>"CCDC32"</f>
        <v>CCDC32</v>
      </c>
      <c r="B399" s="5">
        <v>9.99000999000999E-4</v>
      </c>
      <c r="C399" s="4">
        <v>2.90964671311237E-2</v>
      </c>
    </row>
    <row r="400" spans="1:3" x14ac:dyDescent="0.2">
      <c r="A400" s="4" t="str">
        <f>"ABHD14A"</f>
        <v>ABHD14A</v>
      </c>
      <c r="B400" s="5">
        <v>9.99000999000999E-4</v>
      </c>
      <c r="C400" s="4">
        <v>2.90964671311237E-2</v>
      </c>
    </row>
    <row r="401" spans="1:3" x14ac:dyDescent="0.2">
      <c r="A401" s="4" t="str">
        <f>"TMEM30B"</f>
        <v>TMEM30B</v>
      </c>
      <c r="B401" s="5">
        <v>9.99000999000999E-4</v>
      </c>
      <c r="C401" s="4">
        <v>2.90964671311237E-2</v>
      </c>
    </row>
    <row r="402" spans="1:3" x14ac:dyDescent="0.2">
      <c r="A402" s="4" t="str">
        <f>"CALM3"</f>
        <v>CALM3</v>
      </c>
      <c r="B402" s="5">
        <v>9.99000999000999E-4</v>
      </c>
      <c r="C402" s="4">
        <v>2.90964671311237E-2</v>
      </c>
    </row>
    <row r="403" spans="1:3" x14ac:dyDescent="0.2">
      <c r="A403" s="4" t="str">
        <f>"PREP"</f>
        <v>PREP</v>
      </c>
      <c r="B403" s="5">
        <v>9.99000999000999E-4</v>
      </c>
      <c r="C403" s="4">
        <v>2.90964671311237E-2</v>
      </c>
    </row>
    <row r="404" spans="1:3" x14ac:dyDescent="0.2">
      <c r="A404" s="4" t="str">
        <f>"USP49"</f>
        <v>USP49</v>
      </c>
      <c r="B404" s="5">
        <v>9.99000999000999E-4</v>
      </c>
      <c r="C404" s="4">
        <v>2.90964671311237E-2</v>
      </c>
    </row>
    <row r="405" spans="1:3" x14ac:dyDescent="0.2">
      <c r="A405" s="4" t="str">
        <f>"FTH1P11"</f>
        <v>FTH1P11</v>
      </c>
      <c r="B405" s="5">
        <v>9.99000999000999E-4</v>
      </c>
      <c r="C405" s="4">
        <v>2.90964671311237E-2</v>
      </c>
    </row>
    <row r="406" spans="1:3" x14ac:dyDescent="0.2">
      <c r="A406" s="4" t="str">
        <f>"ZNF69"</f>
        <v>ZNF69</v>
      </c>
      <c r="B406" s="5">
        <v>9.99000999000999E-4</v>
      </c>
      <c r="C406" s="4">
        <v>2.90964671311237E-2</v>
      </c>
    </row>
    <row r="407" spans="1:3" x14ac:dyDescent="0.2">
      <c r="A407" s="4" t="str">
        <f>"RNA5-8SN2"</f>
        <v>RNA5-8SN2</v>
      </c>
      <c r="B407" s="5">
        <v>9.99000999000999E-4</v>
      </c>
      <c r="C407" s="4">
        <v>2.90964671311237E-2</v>
      </c>
    </row>
    <row r="408" spans="1:3" x14ac:dyDescent="0.2">
      <c r="A408" s="4" t="str">
        <f>"SPAG4"</f>
        <v>SPAG4</v>
      </c>
      <c r="B408" s="5">
        <v>9.99000999000999E-4</v>
      </c>
      <c r="C408" s="4">
        <v>2.90964671311237E-2</v>
      </c>
    </row>
    <row r="409" spans="1:3" x14ac:dyDescent="0.2">
      <c r="A409" s="4" t="str">
        <f>"AC092329.4"</f>
        <v>AC092329.4</v>
      </c>
      <c r="B409" s="5">
        <v>9.99000999000999E-4</v>
      </c>
      <c r="C409" s="4">
        <v>2.90964671311237E-2</v>
      </c>
    </row>
    <row r="410" spans="1:3" x14ac:dyDescent="0.2">
      <c r="A410" s="4" t="str">
        <f>"ABCC4"</f>
        <v>ABCC4</v>
      </c>
      <c r="B410" s="5">
        <v>9.99000999000999E-4</v>
      </c>
      <c r="C410" s="4">
        <v>2.90964671311237E-2</v>
      </c>
    </row>
    <row r="411" spans="1:3" x14ac:dyDescent="0.2">
      <c r="A411" s="4" t="str">
        <f>"LRP5"</f>
        <v>LRP5</v>
      </c>
      <c r="B411" s="5">
        <v>9.99000999000999E-4</v>
      </c>
      <c r="C411" s="4">
        <v>2.90964671311237E-2</v>
      </c>
    </row>
    <row r="412" spans="1:3" x14ac:dyDescent="0.2">
      <c r="A412" s="4" t="str">
        <f>"ATP5MG"</f>
        <v>ATP5MG</v>
      </c>
      <c r="B412" s="5">
        <v>9.99000999000999E-4</v>
      </c>
      <c r="C412" s="4">
        <v>2.90964671311237E-2</v>
      </c>
    </row>
    <row r="413" spans="1:3" x14ac:dyDescent="0.2">
      <c r="A413" s="4" t="str">
        <f>"OPHN1"</f>
        <v>OPHN1</v>
      </c>
      <c r="B413" s="5">
        <v>9.99000999000999E-4</v>
      </c>
      <c r="C413" s="4">
        <v>2.90964671311237E-2</v>
      </c>
    </row>
    <row r="414" spans="1:3" x14ac:dyDescent="0.2">
      <c r="A414" s="4" t="str">
        <f>"ESCO2"</f>
        <v>ESCO2</v>
      </c>
      <c r="B414" s="5">
        <v>9.99000999000999E-4</v>
      </c>
      <c r="C414" s="4">
        <v>2.90964671311237E-2</v>
      </c>
    </row>
    <row r="415" spans="1:3" x14ac:dyDescent="0.2">
      <c r="A415" s="4" t="str">
        <f>"MARK3"</f>
        <v>MARK3</v>
      </c>
      <c r="B415" s="5">
        <v>9.99000999000999E-4</v>
      </c>
      <c r="C415" s="4">
        <v>2.90964671311237E-2</v>
      </c>
    </row>
    <row r="416" spans="1:3" x14ac:dyDescent="0.2">
      <c r="A416" s="4" t="str">
        <f>"FAM210A"</f>
        <v>FAM210A</v>
      </c>
      <c r="B416" s="5">
        <v>9.99000999000999E-4</v>
      </c>
      <c r="C416" s="4">
        <v>2.90964671311237E-2</v>
      </c>
    </row>
    <row r="417" spans="1:3" x14ac:dyDescent="0.2">
      <c r="A417" s="4" t="str">
        <f>"PHB2"</f>
        <v>PHB2</v>
      </c>
      <c r="B417" s="5">
        <v>9.99000999000999E-4</v>
      </c>
      <c r="C417" s="4">
        <v>2.90964671311237E-2</v>
      </c>
    </row>
    <row r="418" spans="1:3" x14ac:dyDescent="0.2">
      <c r="A418" s="4" t="str">
        <f>"POLR2A"</f>
        <v>POLR2A</v>
      </c>
      <c r="B418" s="5">
        <v>9.99000999000999E-4</v>
      </c>
      <c r="C418" s="4">
        <v>2.90964671311237E-2</v>
      </c>
    </row>
    <row r="419" spans="1:3" x14ac:dyDescent="0.2">
      <c r="A419" s="4" t="str">
        <f>"PRKAB2"</f>
        <v>PRKAB2</v>
      </c>
      <c r="B419" s="5">
        <v>9.99000999000999E-4</v>
      </c>
      <c r="C419" s="4">
        <v>2.90964671311237E-2</v>
      </c>
    </row>
    <row r="420" spans="1:3" x14ac:dyDescent="0.2">
      <c r="A420" s="4" t="str">
        <f>"SDCCAG8"</f>
        <v>SDCCAG8</v>
      </c>
      <c r="B420" s="5">
        <v>9.99000999000999E-4</v>
      </c>
      <c r="C420" s="4">
        <v>2.90964671311237E-2</v>
      </c>
    </row>
    <row r="421" spans="1:3" x14ac:dyDescent="0.2">
      <c r="A421" s="4" t="str">
        <f>"ZFR"</f>
        <v>ZFR</v>
      </c>
      <c r="B421" s="5">
        <v>9.99000999000999E-4</v>
      </c>
      <c r="C421" s="4">
        <v>2.90964671311237E-2</v>
      </c>
    </row>
    <row r="422" spans="1:3" x14ac:dyDescent="0.2">
      <c r="A422" s="4" t="str">
        <f>"RAB28"</f>
        <v>RAB28</v>
      </c>
      <c r="B422" s="5">
        <v>9.99000999000999E-4</v>
      </c>
      <c r="C422" s="4">
        <v>2.90964671311237E-2</v>
      </c>
    </row>
    <row r="423" spans="1:3" x14ac:dyDescent="0.2">
      <c r="A423" s="4" t="str">
        <f>"LRP6"</f>
        <v>LRP6</v>
      </c>
      <c r="B423" s="5">
        <v>9.99000999000999E-4</v>
      </c>
      <c r="C423" s="4">
        <v>2.90964671311237E-2</v>
      </c>
    </row>
    <row r="424" spans="1:3" x14ac:dyDescent="0.2">
      <c r="A424" s="4" t="str">
        <f>"SLC25A29"</f>
        <v>SLC25A29</v>
      </c>
      <c r="B424" s="5">
        <v>9.99000999000999E-4</v>
      </c>
      <c r="C424" s="4">
        <v>2.90964671311237E-2</v>
      </c>
    </row>
    <row r="425" spans="1:3" x14ac:dyDescent="0.2">
      <c r="A425" s="4" t="str">
        <f>"TSNAX"</f>
        <v>TSNAX</v>
      </c>
      <c r="B425" s="5">
        <v>9.99000999000999E-4</v>
      </c>
      <c r="C425" s="4">
        <v>2.90964671311237E-2</v>
      </c>
    </row>
    <row r="426" spans="1:3" x14ac:dyDescent="0.2">
      <c r="A426" s="4" t="str">
        <f>"XPNPEP3"</f>
        <v>XPNPEP3</v>
      </c>
      <c r="B426" s="5">
        <v>9.99000999000999E-4</v>
      </c>
      <c r="C426" s="4">
        <v>2.90964671311237E-2</v>
      </c>
    </row>
    <row r="427" spans="1:3" x14ac:dyDescent="0.2">
      <c r="A427" s="4" t="str">
        <f>"TLE4"</f>
        <v>TLE4</v>
      </c>
      <c r="B427" s="5">
        <v>9.99000999000999E-4</v>
      </c>
      <c r="C427" s="4">
        <v>2.90964671311237E-2</v>
      </c>
    </row>
    <row r="428" spans="1:3" x14ac:dyDescent="0.2">
      <c r="A428" s="4" t="str">
        <f>"PRDX6-AS1"</f>
        <v>PRDX6-AS1</v>
      </c>
      <c r="B428" s="5">
        <v>9.99000999000999E-4</v>
      </c>
      <c r="C428" s="4">
        <v>2.90964671311237E-2</v>
      </c>
    </row>
    <row r="429" spans="1:3" x14ac:dyDescent="0.2">
      <c r="A429" s="4" t="str">
        <f>"TMIGD3"</f>
        <v>TMIGD3</v>
      </c>
      <c r="B429" s="5">
        <v>9.99000999000999E-4</v>
      </c>
      <c r="C429" s="4">
        <v>2.90964671311237E-2</v>
      </c>
    </row>
    <row r="430" spans="1:3" x14ac:dyDescent="0.2">
      <c r="A430" s="4" t="str">
        <f>"MOB1B"</f>
        <v>MOB1B</v>
      </c>
      <c r="B430" s="5">
        <v>9.99000999000999E-4</v>
      </c>
      <c r="C430" s="4">
        <v>2.90964671311237E-2</v>
      </c>
    </row>
    <row r="431" spans="1:3" x14ac:dyDescent="0.2">
      <c r="A431" s="4" t="str">
        <f>"IQCN"</f>
        <v>IQCN</v>
      </c>
      <c r="B431" s="5">
        <v>9.99000999000999E-4</v>
      </c>
      <c r="C431" s="4">
        <v>2.90964671311237E-2</v>
      </c>
    </row>
    <row r="432" spans="1:3" x14ac:dyDescent="0.2">
      <c r="A432" s="4" t="str">
        <f>"BCL9"</f>
        <v>BCL9</v>
      </c>
      <c r="B432" s="5">
        <v>9.99000999000999E-4</v>
      </c>
      <c r="C432" s="4">
        <v>2.90964671311237E-2</v>
      </c>
    </row>
    <row r="433" spans="1:3" x14ac:dyDescent="0.2">
      <c r="A433" s="4" t="str">
        <f>"SETD9"</f>
        <v>SETD9</v>
      </c>
      <c r="B433" s="5">
        <v>9.99000999000999E-4</v>
      </c>
      <c r="C433" s="4">
        <v>2.90964671311237E-2</v>
      </c>
    </row>
    <row r="434" spans="1:3" x14ac:dyDescent="0.2">
      <c r="A434" s="4" t="str">
        <f>"NRM"</f>
        <v>NRM</v>
      </c>
      <c r="B434" s="5">
        <v>9.99000999000999E-4</v>
      </c>
      <c r="C434" s="4">
        <v>2.90964671311237E-2</v>
      </c>
    </row>
    <row r="435" spans="1:3" x14ac:dyDescent="0.2">
      <c r="A435" s="4" t="str">
        <f>"NKIRAS1"</f>
        <v>NKIRAS1</v>
      </c>
      <c r="B435" s="5">
        <v>9.99000999000999E-4</v>
      </c>
      <c r="C435" s="4">
        <v>2.90964671311237E-2</v>
      </c>
    </row>
    <row r="436" spans="1:3" x14ac:dyDescent="0.2">
      <c r="A436" s="4" t="str">
        <f>"SLC25A21-AS1"</f>
        <v>SLC25A21-AS1</v>
      </c>
      <c r="B436" s="5">
        <v>9.99000999000999E-4</v>
      </c>
      <c r="C436" s="4">
        <v>2.90964671311237E-2</v>
      </c>
    </row>
    <row r="437" spans="1:3" x14ac:dyDescent="0.2">
      <c r="A437" s="4" t="str">
        <f>"NMI"</f>
        <v>NMI</v>
      </c>
      <c r="B437" s="5">
        <v>9.99000999000999E-4</v>
      </c>
      <c r="C437" s="4">
        <v>2.90964671311237E-2</v>
      </c>
    </row>
    <row r="438" spans="1:3" x14ac:dyDescent="0.2">
      <c r="A438" s="4" t="str">
        <f>"BUD31"</f>
        <v>BUD31</v>
      </c>
      <c r="B438" s="5">
        <v>9.99000999000999E-4</v>
      </c>
      <c r="C438" s="4">
        <v>2.90964671311237E-2</v>
      </c>
    </row>
    <row r="439" spans="1:3" x14ac:dyDescent="0.2">
      <c r="A439" s="4" t="str">
        <f>"TAF1B"</f>
        <v>TAF1B</v>
      </c>
      <c r="B439" s="5">
        <v>9.99000999000999E-4</v>
      </c>
      <c r="C439" s="4">
        <v>2.90964671311237E-2</v>
      </c>
    </row>
    <row r="440" spans="1:3" x14ac:dyDescent="0.2">
      <c r="A440" s="4" t="str">
        <f>"SDHA"</f>
        <v>SDHA</v>
      </c>
      <c r="B440" s="5">
        <v>9.99000999000999E-4</v>
      </c>
      <c r="C440" s="4">
        <v>2.90964671311237E-2</v>
      </c>
    </row>
    <row r="441" spans="1:3" x14ac:dyDescent="0.2">
      <c r="A441" s="4" t="str">
        <f>"LIPE-AS1"</f>
        <v>LIPE-AS1</v>
      </c>
      <c r="B441" s="5">
        <v>9.99000999000999E-4</v>
      </c>
      <c r="C441" s="4">
        <v>2.90964671311237E-2</v>
      </c>
    </row>
    <row r="442" spans="1:3" x14ac:dyDescent="0.2">
      <c r="A442" s="4" t="str">
        <f>"TSPAN9"</f>
        <v>TSPAN9</v>
      </c>
      <c r="B442" s="5">
        <v>9.99000999000999E-4</v>
      </c>
      <c r="C442" s="4">
        <v>2.90964671311237E-2</v>
      </c>
    </row>
    <row r="443" spans="1:3" x14ac:dyDescent="0.2">
      <c r="A443" s="4" t="str">
        <f>"USP21"</f>
        <v>USP21</v>
      </c>
      <c r="B443" s="5">
        <v>9.99000999000999E-4</v>
      </c>
      <c r="C443" s="4">
        <v>2.90964671311237E-2</v>
      </c>
    </row>
    <row r="444" spans="1:3" x14ac:dyDescent="0.2">
      <c r="A444" s="4" t="str">
        <f>"MRFAP1"</f>
        <v>MRFAP1</v>
      </c>
      <c r="B444" s="5">
        <v>9.99000999000999E-4</v>
      </c>
      <c r="C444" s="4">
        <v>2.90964671311237E-2</v>
      </c>
    </row>
    <row r="445" spans="1:3" x14ac:dyDescent="0.2">
      <c r="A445" s="4" t="str">
        <f>"C12orf57"</f>
        <v>C12orf57</v>
      </c>
      <c r="B445" s="5">
        <v>9.99000999000999E-4</v>
      </c>
      <c r="C445" s="4">
        <v>2.90964671311237E-2</v>
      </c>
    </row>
    <row r="446" spans="1:3" x14ac:dyDescent="0.2">
      <c r="A446" s="4" t="str">
        <f>"ZIK1"</f>
        <v>ZIK1</v>
      </c>
      <c r="B446" s="5">
        <v>9.99000999000999E-4</v>
      </c>
      <c r="C446" s="4">
        <v>2.90964671311237E-2</v>
      </c>
    </row>
    <row r="447" spans="1:3" x14ac:dyDescent="0.2">
      <c r="A447" s="4" t="str">
        <f>"RTCA-AS1"</f>
        <v>RTCA-AS1</v>
      </c>
      <c r="B447" s="5">
        <v>9.99000999000999E-4</v>
      </c>
      <c r="C447" s="4">
        <v>2.90964671311237E-2</v>
      </c>
    </row>
    <row r="448" spans="1:3" x14ac:dyDescent="0.2">
      <c r="A448" s="4" t="str">
        <f>"ARHGAP24"</f>
        <v>ARHGAP24</v>
      </c>
      <c r="B448" s="5">
        <v>9.99000999000999E-4</v>
      </c>
      <c r="C448" s="4">
        <v>2.90964671311237E-2</v>
      </c>
    </row>
    <row r="449" spans="1:3" x14ac:dyDescent="0.2">
      <c r="A449" s="4" t="str">
        <f>"UBE2V1"</f>
        <v>UBE2V1</v>
      </c>
      <c r="B449" s="5">
        <v>9.99000999000999E-4</v>
      </c>
      <c r="C449" s="4">
        <v>2.90964671311237E-2</v>
      </c>
    </row>
    <row r="450" spans="1:3" x14ac:dyDescent="0.2">
      <c r="A450" s="4" t="str">
        <f>"QRICH2"</f>
        <v>QRICH2</v>
      </c>
      <c r="B450" s="5">
        <v>9.99000999000999E-4</v>
      </c>
      <c r="C450" s="4">
        <v>2.90964671311237E-2</v>
      </c>
    </row>
    <row r="451" spans="1:3" x14ac:dyDescent="0.2">
      <c r="A451" s="4" t="str">
        <f>"TOLLIP-AS1"</f>
        <v>TOLLIP-AS1</v>
      </c>
      <c r="B451" s="5">
        <v>9.99000999000999E-4</v>
      </c>
      <c r="C451" s="4">
        <v>2.90964671311237E-2</v>
      </c>
    </row>
    <row r="452" spans="1:3" x14ac:dyDescent="0.2">
      <c r="A452" s="4" t="str">
        <f>"BMPR1B"</f>
        <v>BMPR1B</v>
      </c>
      <c r="B452" s="5">
        <v>9.99000999000999E-4</v>
      </c>
      <c r="C452" s="4">
        <v>2.90964671311237E-2</v>
      </c>
    </row>
    <row r="453" spans="1:3" x14ac:dyDescent="0.2">
      <c r="A453" s="4" t="str">
        <f>"AC020741.1"</f>
        <v>AC020741.1</v>
      </c>
      <c r="B453" s="5">
        <v>9.99000999000999E-4</v>
      </c>
      <c r="C453" s="4">
        <v>2.90964671311237E-2</v>
      </c>
    </row>
    <row r="454" spans="1:3" x14ac:dyDescent="0.2">
      <c r="A454" s="4" t="str">
        <f>"HTD2"</f>
        <v>HTD2</v>
      </c>
      <c r="B454" s="5">
        <v>9.99000999000999E-4</v>
      </c>
      <c r="C454" s="4">
        <v>2.90964671311237E-2</v>
      </c>
    </row>
    <row r="455" spans="1:3" x14ac:dyDescent="0.2">
      <c r="A455" s="4" t="str">
        <f>"AKAP10"</f>
        <v>AKAP10</v>
      </c>
      <c r="B455" s="5">
        <v>9.99000999000999E-4</v>
      </c>
      <c r="C455" s="4">
        <v>2.90964671311237E-2</v>
      </c>
    </row>
    <row r="456" spans="1:3" x14ac:dyDescent="0.2">
      <c r="A456" s="4" t="str">
        <f>"CYTH2"</f>
        <v>CYTH2</v>
      </c>
      <c r="B456" s="5">
        <v>9.99000999000999E-4</v>
      </c>
      <c r="C456" s="4">
        <v>2.90964671311237E-2</v>
      </c>
    </row>
    <row r="457" spans="1:3" x14ac:dyDescent="0.2">
      <c r="A457" s="4" t="str">
        <f>"KIAA0825"</f>
        <v>KIAA0825</v>
      </c>
      <c r="B457" s="5">
        <v>9.99000999000999E-4</v>
      </c>
      <c r="C457" s="4">
        <v>2.90964671311237E-2</v>
      </c>
    </row>
    <row r="458" spans="1:3" x14ac:dyDescent="0.2">
      <c r="A458" s="4" t="str">
        <f>"MEIS2"</f>
        <v>MEIS2</v>
      </c>
      <c r="B458" s="5">
        <v>9.99000999000999E-4</v>
      </c>
      <c r="C458" s="4">
        <v>2.90964671311237E-2</v>
      </c>
    </row>
    <row r="459" spans="1:3" x14ac:dyDescent="0.2">
      <c r="A459" s="4" t="str">
        <f>"OIP5-AS1"</f>
        <v>OIP5-AS1</v>
      </c>
      <c r="B459" s="5">
        <v>9.99000999000999E-4</v>
      </c>
      <c r="C459" s="4">
        <v>2.90964671311237E-2</v>
      </c>
    </row>
    <row r="460" spans="1:3" x14ac:dyDescent="0.2">
      <c r="A460" s="4" t="str">
        <f>"NINL"</f>
        <v>NINL</v>
      </c>
      <c r="B460" s="5">
        <v>9.99000999000999E-4</v>
      </c>
      <c r="C460" s="4">
        <v>2.90964671311237E-2</v>
      </c>
    </row>
    <row r="461" spans="1:3" x14ac:dyDescent="0.2">
      <c r="A461" s="4" t="str">
        <f>"AASDHPPT"</f>
        <v>AASDHPPT</v>
      </c>
      <c r="B461" s="5">
        <v>9.99000999000999E-4</v>
      </c>
      <c r="C461" s="4">
        <v>2.90964671311237E-2</v>
      </c>
    </row>
    <row r="462" spans="1:3" x14ac:dyDescent="0.2">
      <c r="A462" s="4" t="str">
        <f>"DDX19A"</f>
        <v>DDX19A</v>
      </c>
      <c r="B462" s="5">
        <v>9.99000999000999E-4</v>
      </c>
      <c r="C462" s="4">
        <v>2.90964671311237E-2</v>
      </c>
    </row>
    <row r="463" spans="1:3" x14ac:dyDescent="0.2">
      <c r="A463" s="4" t="str">
        <f>"C12orf76"</f>
        <v>C12orf76</v>
      </c>
      <c r="B463" s="5">
        <v>9.99000999000999E-4</v>
      </c>
      <c r="C463" s="4">
        <v>2.90964671311237E-2</v>
      </c>
    </row>
    <row r="464" spans="1:3" x14ac:dyDescent="0.2">
      <c r="A464" s="4" t="str">
        <f>"PLXNB1"</f>
        <v>PLXNB1</v>
      </c>
      <c r="B464" s="5">
        <v>9.99000999000999E-4</v>
      </c>
      <c r="C464" s="4">
        <v>2.90964671311237E-2</v>
      </c>
    </row>
    <row r="465" spans="1:3" x14ac:dyDescent="0.2">
      <c r="A465" s="4" t="str">
        <f>"IKZF4"</f>
        <v>IKZF4</v>
      </c>
      <c r="B465" s="5">
        <v>9.99000999000999E-4</v>
      </c>
      <c r="C465" s="4">
        <v>2.90964671311237E-2</v>
      </c>
    </row>
    <row r="466" spans="1:3" x14ac:dyDescent="0.2">
      <c r="A466" s="4" t="str">
        <f>"AC025171.2"</f>
        <v>AC025171.2</v>
      </c>
      <c r="B466" s="5">
        <v>9.99000999000999E-4</v>
      </c>
      <c r="C466" s="4">
        <v>2.90964671311237E-2</v>
      </c>
    </row>
    <row r="467" spans="1:3" x14ac:dyDescent="0.2">
      <c r="A467" s="4" t="str">
        <f>"C16orf74"</f>
        <v>C16orf74</v>
      </c>
      <c r="B467" s="5">
        <v>9.99000999000999E-4</v>
      </c>
      <c r="C467" s="4">
        <v>2.90964671311237E-2</v>
      </c>
    </row>
    <row r="468" spans="1:3" x14ac:dyDescent="0.2">
      <c r="A468" s="4" t="str">
        <f>"AMOT"</f>
        <v>AMOT</v>
      </c>
      <c r="B468" s="5">
        <v>9.99000999000999E-4</v>
      </c>
      <c r="C468" s="4">
        <v>2.90964671311237E-2</v>
      </c>
    </row>
    <row r="469" spans="1:3" x14ac:dyDescent="0.2">
      <c r="A469" s="4" t="str">
        <f>"PTS"</f>
        <v>PTS</v>
      </c>
      <c r="B469" s="5">
        <v>9.99000999000999E-4</v>
      </c>
      <c r="C469" s="4">
        <v>2.90964671311237E-2</v>
      </c>
    </row>
    <row r="470" spans="1:3" x14ac:dyDescent="0.2">
      <c r="A470" s="4" t="str">
        <f>"RNASEK"</f>
        <v>RNASEK</v>
      </c>
      <c r="B470" s="5">
        <v>9.99000999000999E-4</v>
      </c>
      <c r="C470" s="4">
        <v>2.90964671311237E-2</v>
      </c>
    </row>
    <row r="471" spans="1:3" x14ac:dyDescent="0.2">
      <c r="A471" s="4" t="str">
        <f>"EIF3G"</f>
        <v>EIF3G</v>
      </c>
      <c r="B471" s="5">
        <v>9.99000999000999E-4</v>
      </c>
      <c r="C471" s="4">
        <v>2.90964671311237E-2</v>
      </c>
    </row>
    <row r="472" spans="1:3" x14ac:dyDescent="0.2">
      <c r="A472" s="4" t="str">
        <f>"CLBA1"</f>
        <v>CLBA1</v>
      </c>
      <c r="B472" s="5">
        <v>9.99000999000999E-4</v>
      </c>
      <c r="C472" s="4">
        <v>2.90964671311237E-2</v>
      </c>
    </row>
    <row r="473" spans="1:3" x14ac:dyDescent="0.2">
      <c r="A473" s="4" t="str">
        <f>"SGCB"</f>
        <v>SGCB</v>
      </c>
      <c r="B473" s="5">
        <v>9.99000999000999E-4</v>
      </c>
      <c r="C473" s="4">
        <v>2.90964671311237E-2</v>
      </c>
    </row>
    <row r="474" spans="1:3" x14ac:dyDescent="0.2">
      <c r="A474" s="4" t="str">
        <f>"PHC3"</f>
        <v>PHC3</v>
      </c>
      <c r="B474" s="5">
        <v>9.99000999000999E-4</v>
      </c>
      <c r="C474" s="4">
        <v>2.90964671311237E-2</v>
      </c>
    </row>
    <row r="475" spans="1:3" x14ac:dyDescent="0.2">
      <c r="A475" s="4" t="str">
        <f>"STAT5A"</f>
        <v>STAT5A</v>
      </c>
      <c r="B475" s="5">
        <v>9.99000999000999E-4</v>
      </c>
      <c r="C475" s="4">
        <v>2.90964671311237E-2</v>
      </c>
    </row>
    <row r="476" spans="1:3" x14ac:dyDescent="0.2">
      <c r="A476" s="4" t="str">
        <f>"ZNHIT2"</f>
        <v>ZNHIT2</v>
      </c>
      <c r="B476" s="5">
        <v>9.99000999000999E-4</v>
      </c>
      <c r="C476" s="4">
        <v>2.90964671311237E-2</v>
      </c>
    </row>
    <row r="477" spans="1:3" x14ac:dyDescent="0.2">
      <c r="A477" s="4" t="str">
        <f>"POLA2"</f>
        <v>POLA2</v>
      </c>
      <c r="B477" s="5">
        <v>9.99000999000999E-4</v>
      </c>
      <c r="C477" s="4">
        <v>2.90964671311237E-2</v>
      </c>
    </row>
    <row r="478" spans="1:3" x14ac:dyDescent="0.2">
      <c r="A478" s="4" t="str">
        <f>"UROD"</f>
        <v>UROD</v>
      </c>
      <c r="B478" s="5">
        <v>9.99000999000999E-4</v>
      </c>
      <c r="C478" s="4">
        <v>2.90964671311237E-2</v>
      </c>
    </row>
    <row r="479" spans="1:3" x14ac:dyDescent="0.2">
      <c r="A479" s="4" t="str">
        <f>"PYURF"</f>
        <v>PYURF</v>
      </c>
      <c r="B479" s="5">
        <v>9.99000999000999E-4</v>
      </c>
      <c r="C479" s="4">
        <v>2.90964671311237E-2</v>
      </c>
    </row>
    <row r="480" spans="1:3" x14ac:dyDescent="0.2">
      <c r="A480" s="4" t="str">
        <f>"EIF4ENIF1"</f>
        <v>EIF4ENIF1</v>
      </c>
      <c r="B480" s="5">
        <v>9.99000999000999E-4</v>
      </c>
      <c r="C480" s="4">
        <v>2.90964671311237E-2</v>
      </c>
    </row>
    <row r="481" spans="1:3" x14ac:dyDescent="0.2">
      <c r="A481" s="4" t="str">
        <f>"ZNF3"</f>
        <v>ZNF3</v>
      </c>
      <c r="B481" s="5">
        <v>9.99000999000999E-4</v>
      </c>
      <c r="C481" s="4">
        <v>2.90964671311237E-2</v>
      </c>
    </row>
    <row r="482" spans="1:3" x14ac:dyDescent="0.2">
      <c r="A482" s="4" t="str">
        <f>"SIK3"</f>
        <v>SIK3</v>
      </c>
      <c r="B482" s="5">
        <v>9.99000999000999E-4</v>
      </c>
      <c r="C482" s="4">
        <v>2.90964671311237E-2</v>
      </c>
    </row>
    <row r="483" spans="1:3" x14ac:dyDescent="0.2">
      <c r="A483" s="4" t="str">
        <f>"PCCA"</f>
        <v>PCCA</v>
      </c>
      <c r="B483" s="5">
        <v>9.99000999000999E-4</v>
      </c>
      <c r="C483" s="4">
        <v>2.90964671311237E-2</v>
      </c>
    </row>
    <row r="484" spans="1:3" x14ac:dyDescent="0.2">
      <c r="A484" s="4" t="str">
        <f>"TRAPPC4"</f>
        <v>TRAPPC4</v>
      </c>
      <c r="B484" s="5">
        <v>9.99000999000999E-4</v>
      </c>
      <c r="C484" s="4">
        <v>2.90964671311237E-2</v>
      </c>
    </row>
    <row r="485" spans="1:3" x14ac:dyDescent="0.2">
      <c r="A485" s="4" t="str">
        <f>"ITPA"</f>
        <v>ITPA</v>
      </c>
      <c r="B485" s="5">
        <v>9.99000999000999E-4</v>
      </c>
      <c r="C485" s="4">
        <v>2.90964671311237E-2</v>
      </c>
    </row>
    <row r="486" spans="1:3" x14ac:dyDescent="0.2">
      <c r="A486" s="4" t="str">
        <f>"GPR137"</f>
        <v>GPR137</v>
      </c>
      <c r="B486" s="5">
        <v>9.99000999000999E-4</v>
      </c>
      <c r="C486" s="4">
        <v>2.90964671311237E-2</v>
      </c>
    </row>
    <row r="487" spans="1:3" x14ac:dyDescent="0.2">
      <c r="A487" s="4" t="str">
        <f>"TAF5L"</f>
        <v>TAF5L</v>
      </c>
      <c r="B487" s="5">
        <v>9.99000999000999E-4</v>
      </c>
      <c r="C487" s="4">
        <v>2.90964671311237E-2</v>
      </c>
    </row>
    <row r="488" spans="1:3" x14ac:dyDescent="0.2">
      <c r="A488" s="4" t="str">
        <f>"SEC22C"</f>
        <v>SEC22C</v>
      </c>
      <c r="B488" s="5">
        <v>9.99000999000999E-4</v>
      </c>
      <c r="C488" s="4">
        <v>2.90964671311237E-2</v>
      </c>
    </row>
    <row r="489" spans="1:3" x14ac:dyDescent="0.2">
      <c r="A489" s="4" t="str">
        <f>"UBE2L3"</f>
        <v>UBE2L3</v>
      </c>
      <c r="B489" s="5">
        <v>9.99000999000999E-4</v>
      </c>
      <c r="C489" s="4">
        <v>2.90964671311237E-2</v>
      </c>
    </row>
    <row r="490" spans="1:3" x14ac:dyDescent="0.2">
      <c r="A490" s="4" t="str">
        <f>"NFX1"</f>
        <v>NFX1</v>
      </c>
      <c r="B490" s="5">
        <v>9.99000999000999E-4</v>
      </c>
      <c r="C490" s="4">
        <v>2.90964671311237E-2</v>
      </c>
    </row>
    <row r="491" spans="1:3" x14ac:dyDescent="0.2">
      <c r="A491" s="4" t="str">
        <f>"DICER1-AS1"</f>
        <v>DICER1-AS1</v>
      </c>
      <c r="B491" s="5">
        <v>9.99000999000999E-4</v>
      </c>
      <c r="C491" s="4">
        <v>2.90964671311237E-2</v>
      </c>
    </row>
    <row r="492" spans="1:3" x14ac:dyDescent="0.2">
      <c r="A492" s="4" t="str">
        <f>"PRKAG1"</f>
        <v>PRKAG1</v>
      </c>
      <c r="B492" s="5">
        <v>9.99000999000999E-4</v>
      </c>
      <c r="C492" s="4">
        <v>2.90964671311237E-2</v>
      </c>
    </row>
    <row r="493" spans="1:3" x14ac:dyDescent="0.2">
      <c r="A493" s="4" t="str">
        <f>"TMBIM4"</f>
        <v>TMBIM4</v>
      </c>
      <c r="B493" s="5">
        <v>9.99000999000999E-4</v>
      </c>
      <c r="C493" s="4">
        <v>2.90964671311237E-2</v>
      </c>
    </row>
    <row r="494" spans="1:3" x14ac:dyDescent="0.2">
      <c r="A494" s="4" t="str">
        <f>"SMKR1"</f>
        <v>SMKR1</v>
      </c>
      <c r="B494" s="5">
        <v>9.99000999000999E-4</v>
      </c>
      <c r="C494" s="4">
        <v>2.90964671311237E-2</v>
      </c>
    </row>
    <row r="495" spans="1:3" x14ac:dyDescent="0.2">
      <c r="A495" s="4" t="str">
        <f>"ELF2"</f>
        <v>ELF2</v>
      </c>
      <c r="B495" s="5">
        <v>9.99000999000999E-4</v>
      </c>
      <c r="C495" s="4">
        <v>2.90964671311237E-2</v>
      </c>
    </row>
    <row r="496" spans="1:3" x14ac:dyDescent="0.2">
      <c r="A496" s="4" t="str">
        <f>"AP3D1"</f>
        <v>AP3D1</v>
      </c>
      <c r="B496" s="5">
        <v>9.99000999000999E-4</v>
      </c>
      <c r="C496" s="4">
        <v>2.90964671311237E-2</v>
      </c>
    </row>
    <row r="497" spans="1:3" x14ac:dyDescent="0.2">
      <c r="A497" s="4" t="str">
        <f>"LINC00265"</f>
        <v>LINC00265</v>
      </c>
      <c r="B497" s="5">
        <v>9.99000999000999E-4</v>
      </c>
      <c r="C497" s="4">
        <v>2.90964671311237E-2</v>
      </c>
    </row>
    <row r="498" spans="1:3" x14ac:dyDescent="0.2">
      <c r="A498" s="4" t="str">
        <f>"AC092171.3"</f>
        <v>AC092171.3</v>
      </c>
      <c r="B498" s="5">
        <v>9.99000999000999E-4</v>
      </c>
      <c r="C498" s="4">
        <v>2.90964671311237E-2</v>
      </c>
    </row>
    <row r="499" spans="1:3" x14ac:dyDescent="0.2">
      <c r="A499" s="4" t="str">
        <f>"H2AZ1"</f>
        <v>H2AZ1</v>
      </c>
      <c r="B499" s="5">
        <v>9.99000999000999E-4</v>
      </c>
      <c r="C499" s="4">
        <v>2.90964671311237E-2</v>
      </c>
    </row>
    <row r="500" spans="1:3" x14ac:dyDescent="0.2">
      <c r="A500" s="4" t="str">
        <f>"RBCK1"</f>
        <v>RBCK1</v>
      </c>
      <c r="B500" s="5">
        <v>9.99000999000999E-4</v>
      </c>
      <c r="C500" s="4">
        <v>2.90964671311237E-2</v>
      </c>
    </row>
    <row r="501" spans="1:3" x14ac:dyDescent="0.2">
      <c r="A501" s="4" t="str">
        <f>"CUL3"</f>
        <v>CUL3</v>
      </c>
      <c r="B501" s="5">
        <v>9.99000999000999E-4</v>
      </c>
      <c r="C501" s="4">
        <v>2.90964671311237E-2</v>
      </c>
    </row>
    <row r="502" spans="1:3" x14ac:dyDescent="0.2">
      <c r="A502" s="4" t="str">
        <f>"GNPTG"</f>
        <v>GNPTG</v>
      </c>
      <c r="B502" s="5">
        <v>9.99000999000999E-4</v>
      </c>
      <c r="C502" s="4">
        <v>2.90964671311237E-2</v>
      </c>
    </row>
    <row r="503" spans="1:3" x14ac:dyDescent="0.2">
      <c r="A503" s="4" t="str">
        <f>"AC009061.2"</f>
        <v>AC009061.2</v>
      </c>
      <c r="B503" s="5">
        <v>9.99000999000999E-4</v>
      </c>
      <c r="C503" s="4">
        <v>2.90964671311237E-2</v>
      </c>
    </row>
    <row r="504" spans="1:3" x14ac:dyDescent="0.2">
      <c r="A504" s="4" t="str">
        <f>"YWHAG"</f>
        <v>YWHAG</v>
      </c>
      <c r="B504" s="5">
        <v>9.99000999000999E-4</v>
      </c>
      <c r="C504" s="4">
        <v>2.90964671311237E-2</v>
      </c>
    </row>
    <row r="505" spans="1:3" x14ac:dyDescent="0.2">
      <c r="A505" s="4" t="str">
        <f>"NAALADL2"</f>
        <v>NAALADL2</v>
      </c>
      <c r="B505" s="5">
        <v>9.99000999000999E-4</v>
      </c>
      <c r="C505" s="4">
        <v>2.90964671311237E-2</v>
      </c>
    </row>
    <row r="506" spans="1:3" x14ac:dyDescent="0.2">
      <c r="A506" s="4" t="str">
        <f>"PRKACA"</f>
        <v>PRKACA</v>
      </c>
      <c r="B506" s="5">
        <v>9.99000999000999E-4</v>
      </c>
      <c r="C506" s="4">
        <v>2.90964671311237E-2</v>
      </c>
    </row>
    <row r="507" spans="1:3" x14ac:dyDescent="0.2">
      <c r="A507" s="4" t="str">
        <f>"C17orf49"</f>
        <v>C17orf49</v>
      </c>
      <c r="B507" s="5">
        <v>9.99000999000999E-4</v>
      </c>
      <c r="C507" s="4">
        <v>2.90964671311237E-2</v>
      </c>
    </row>
    <row r="508" spans="1:3" x14ac:dyDescent="0.2">
      <c r="A508" s="4" t="str">
        <f>"TCF7L1"</f>
        <v>TCF7L1</v>
      </c>
      <c r="B508" s="5">
        <v>9.99000999000999E-4</v>
      </c>
      <c r="C508" s="4">
        <v>2.90964671311237E-2</v>
      </c>
    </row>
    <row r="509" spans="1:3" x14ac:dyDescent="0.2">
      <c r="A509" s="4" t="str">
        <f>"ARL6IP1"</f>
        <v>ARL6IP1</v>
      </c>
      <c r="B509" s="5">
        <v>9.99000999000999E-4</v>
      </c>
      <c r="C509" s="4">
        <v>2.90964671311237E-2</v>
      </c>
    </row>
    <row r="510" spans="1:3" x14ac:dyDescent="0.2">
      <c r="A510" s="4" t="str">
        <f>"USP47"</f>
        <v>USP47</v>
      </c>
      <c r="B510" s="5">
        <v>9.99000999000999E-4</v>
      </c>
      <c r="C510" s="4">
        <v>2.90964671311237E-2</v>
      </c>
    </row>
    <row r="511" spans="1:3" x14ac:dyDescent="0.2">
      <c r="A511" s="4" t="str">
        <f>"HDAC1"</f>
        <v>HDAC1</v>
      </c>
      <c r="B511" s="5">
        <v>9.99000999000999E-4</v>
      </c>
      <c r="C511" s="4">
        <v>2.90964671311237E-2</v>
      </c>
    </row>
    <row r="512" spans="1:3" x14ac:dyDescent="0.2">
      <c r="A512" s="4" t="str">
        <f>"TPRA1"</f>
        <v>TPRA1</v>
      </c>
      <c r="B512" s="5">
        <v>9.99000999000999E-4</v>
      </c>
      <c r="C512" s="4">
        <v>2.90964671311237E-2</v>
      </c>
    </row>
    <row r="513" spans="1:3" x14ac:dyDescent="0.2">
      <c r="A513" s="4" t="str">
        <f>"MAT2B"</f>
        <v>MAT2B</v>
      </c>
      <c r="B513" s="5">
        <v>9.99000999000999E-4</v>
      </c>
      <c r="C513" s="4">
        <v>2.90964671311237E-2</v>
      </c>
    </row>
    <row r="514" spans="1:3" x14ac:dyDescent="0.2">
      <c r="A514" s="4" t="str">
        <f>"TXNDC16"</f>
        <v>TXNDC16</v>
      </c>
      <c r="B514" s="5">
        <v>9.99000999000999E-4</v>
      </c>
      <c r="C514" s="4">
        <v>2.90964671311237E-2</v>
      </c>
    </row>
    <row r="515" spans="1:3" x14ac:dyDescent="0.2">
      <c r="A515" s="4" t="str">
        <f>"PIK3CD-AS2"</f>
        <v>PIK3CD-AS2</v>
      </c>
      <c r="B515" s="5">
        <v>9.99000999000999E-4</v>
      </c>
      <c r="C515" s="4">
        <v>2.90964671311237E-2</v>
      </c>
    </row>
    <row r="516" spans="1:3" x14ac:dyDescent="0.2">
      <c r="A516" s="4" t="str">
        <f>"RAB4B"</f>
        <v>RAB4B</v>
      </c>
      <c r="B516" s="5">
        <v>9.99000999000999E-4</v>
      </c>
      <c r="C516" s="4">
        <v>2.90964671311237E-2</v>
      </c>
    </row>
    <row r="517" spans="1:3" x14ac:dyDescent="0.2">
      <c r="A517" s="4" t="str">
        <f>"POLR2E"</f>
        <v>POLR2E</v>
      </c>
      <c r="B517" s="5">
        <v>9.99000999000999E-4</v>
      </c>
      <c r="C517" s="4">
        <v>2.90964671311237E-2</v>
      </c>
    </row>
    <row r="518" spans="1:3" x14ac:dyDescent="0.2">
      <c r="A518" s="4" t="str">
        <f>"ZFHX3"</f>
        <v>ZFHX3</v>
      </c>
      <c r="B518" s="5">
        <v>9.99000999000999E-4</v>
      </c>
      <c r="C518" s="4">
        <v>2.90964671311237E-2</v>
      </c>
    </row>
    <row r="519" spans="1:3" x14ac:dyDescent="0.2">
      <c r="A519" s="4" t="str">
        <f>"SENP3"</f>
        <v>SENP3</v>
      </c>
      <c r="B519" s="5">
        <v>9.99000999000999E-4</v>
      </c>
      <c r="C519" s="4">
        <v>2.90964671311237E-2</v>
      </c>
    </row>
    <row r="520" spans="1:3" x14ac:dyDescent="0.2">
      <c r="A520" s="4" t="str">
        <f>"FUS"</f>
        <v>FUS</v>
      </c>
      <c r="B520" s="5">
        <v>9.99000999000999E-4</v>
      </c>
      <c r="C520" s="4">
        <v>2.90964671311237E-2</v>
      </c>
    </row>
    <row r="521" spans="1:3" x14ac:dyDescent="0.2">
      <c r="A521" s="4" t="str">
        <f>"NFIB"</f>
        <v>NFIB</v>
      </c>
      <c r="B521" s="5">
        <v>9.99000999000999E-4</v>
      </c>
      <c r="C521" s="4">
        <v>2.90964671311237E-2</v>
      </c>
    </row>
    <row r="522" spans="1:3" x14ac:dyDescent="0.2">
      <c r="A522" s="4" t="str">
        <f>"SF3B6"</f>
        <v>SF3B6</v>
      </c>
      <c r="B522" s="5">
        <v>9.99000999000999E-4</v>
      </c>
      <c r="C522" s="4">
        <v>2.90964671311237E-2</v>
      </c>
    </row>
    <row r="523" spans="1:3" x14ac:dyDescent="0.2">
      <c r="A523" s="4" t="str">
        <f>"PPP2CA"</f>
        <v>PPP2CA</v>
      </c>
      <c r="B523" s="5">
        <v>9.99000999000999E-4</v>
      </c>
      <c r="C523" s="4">
        <v>2.90964671311237E-2</v>
      </c>
    </row>
    <row r="524" spans="1:3" x14ac:dyDescent="0.2">
      <c r="A524" s="4" t="str">
        <f>"WASF2"</f>
        <v>WASF2</v>
      </c>
      <c r="B524" s="5">
        <v>9.99000999000999E-4</v>
      </c>
      <c r="C524" s="4">
        <v>2.90964671311237E-2</v>
      </c>
    </row>
    <row r="525" spans="1:3" x14ac:dyDescent="0.2">
      <c r="A525" s="4" t="str">
        <f>"SIPA1L3"</f>
        <v>SIPA1L3</v>
      </c>
      <c r="B525" s="5">
        <v>9.99000999000999E-4</v>
      </c>
      <c r="C525" s="4">
        <v>2.90964671311237E-2</v>
      </c>
    </row>
    <row r="526" spans="1:3" x14ac:dyDescent="0.2">
      <c r="A526" s="4" t="str">
        <f>"TAF1"</f>
        <v>TAF1</v>
      </c>
      <c r="B526" s="5">
        <v>9.99000999000999E-4</v>
      </c>
      <c r="C526" s="4">
        <v>2.90964671311237E-2</v>
      </c>
    </row>
    <row r="527" spans="1:3" x14ac:dyDescent="0.2">
      <c r="A527" s="4" t="str">
        <f>"EFCAB11"</f>
        <v>EFCAB11</v>
      </c>
      <c r="B527" s="5">
        <v>9.99000999000999E-4</v>
      </c>
      <c r="C527" s="4">
        <v>2.90964671311237E-2</v>
      </c>
    </row>
    <row r="528" spans="1:3" x14ac:dyDescent="0.2">
      <c r="A528" s="4" t="str">
        <f>"ATF5"</f>
        <v>ATF5</v>
      </c>
      <c r="B528" s="5">
        <v>9.99000999000999E-4</v>
      </c>
      <c r="C528" s="4">
        <v>2.90964671311237E-2</v>
      </c>
    </row>
    <row r="529" spans="1:3" x14ac:dyDescent="0.2">
      <c r="A529" s="4" t="str">
        <f>"NCOR1"</f>
        <v>NCOR1</v>
      </c>
      <c r="B529" s="5">
        <v>9.99000999000999E-4</v>
      </c>
      <c r="C529" s="4">
        <v>2.90964671311237E-2</v>
      </c>
    </row>
    <row r="530" spans="1:3" x14ac:dyDescent="0.2">
      <c r="A530" s="4" t="str">
        <f>"CFAP47"</f>
        <v>CFAP47</v>
      </c>
      <c r="B530" s="5">
        <v>9.99000999000999E-4</v>
      </c>
      <c r="C530" s="4">
        <v>2.90964671311237E-2</v>
      </c>
    </row>
    <row r="531" spans="1:3" x14ac:dyDescent="0.2">
      <c r="A531" s="4" t="str">
        <f>"TRIM26"</f>
        <v>TRIM26</v>
      </c>
      <c r="B531" s="5">
        <v>9.99000999000999E-4</v>
      </c>
      <c r="C531" s="4">
        <v>2.90964671311237E-2</v>
      </c>
    </row>
    <row r="532" spans="1:3" x14ac:dyDescent="0.2">
      <c r="A532" s="4" t="str">
        <f>"GTF3C5"</f>
        <v>GTF3C5</v>
      </c>
      <c r="B532" s="5">
        <v>9.99000999000999E-4</v>
      </c>
      <c r="C532" s="4">
        <v>2.90964671311237E-2</v>
      </c>
    </row>
    <row r="533" spans="1:3" x14ac:dyDescent="0.2">
      <c r="A533" s="4" t="str">
        <f>"DHX57"</f>
        <v>DHX57</v>
      </c>
      <c r="B533" s="5">
        <v>9.99000999000999E-4</v>
      </c>
      <c r="C533" s="4">
        <v>2.90964671311237E-2</v>
      </c>
    </row>
    <row r="534" spans="1:3" x14ac:dyDescent="0.2">
      <c r="A534" s="4" t="str">
        <f>"KPNB1"</f>
        <v>KPNB1</v>
      </c>
      <c r="B534" s="5">
        <v>9.99000999000999E-4</v>
      </c>
      <c r="C534" s="4">
        <v>2.90964671311237E-2</v>
      </c>
    </row>
    <row r="535" spans="1:3" x14ac:dyDescent="0.2">
      <c r="A535" s="4" t="str">
        <f>"SNW1"</f>
        <v>SNW1</v>
      </c>
      <c r="B535" s="5">
        <v>9.99000999000999E-4</v>
      </c>
      <c r="C535" s="4">
        <v>2.90964671311237E-2</v>
      </c>
    </row>
    <row r="536" spans="1:3" x14ac:dyDescent="0.2">
      <c r="A536" s="4" t="str">
        <f>"NMNAT3"</f>
        <v>NMNAT3</v>
      </c>
      <c r="B536" s="5">
        <v>9.99000999000999E-4</v>
      </c>
      <c r="C536" s="4">
        <v>2.90964671311237E-2</v>
      </c>
    </row>
    <row r="537" spans="1:3" x14ac:dyDescent="0.2">
      <c r="A537" s="4" t="str">
        <f>"PDIA5"</f>
        <v>PDIA5</v>
      </c>
      <c r="B537" s="5">
        <v>9.99000999000999E-4</v>
      </c>
      <c r="C537" s="4">
        <v>2.90964671311237E-2</v>
      </c>
    </row>
    <row r="538" spans="1:3" x14ac:dyDescent="0.2">
      <c r="A538" s="4" t="str">
        <f>"AC138356.2"</f>
        <v>AC138356.2</v>
      </c>
      <c r="B538" s="5">
        <v>9.99000999000999E-4</v>
      </c>
      <c r="C538" s="4">
        <v>2.90964671311237E-2</v>
      </c>
    </row>
    <row r="539" spans="1:3" x14ac:dyDescent="0.2">
      <c r="A539" s="4" t="str">
        <f>"EIF3H"</f>
        <v>EIF3H</v>
      </c>
      <c r="B539" s="5">
        <v>9.99000999000999E-4</v>
      </c>
      <c r="C539" s="4">
        <v>2.90964671311237E-2</v>
      </c>
    </row>
    <row r="540" spans="1:3" x14ac:dyDescent="0.2">
      <c r="A540" s="4" t="str">
        <f>"CLCN3"</f>
        <v>CLCN3</v>
      </c>
      <c r="B540" s="5">
        <v>9.99000999000999E-4</v>
      </c>
      <c r="C540" s="4">
        <v>2.90964671311237E-2</v>
      </c>
    </row>
    <row r="541" spans="1:3" x14ac:dyDescent="0.2">
      <c r="A541" s="4" t="str">
        <f>"CCDC58"</f>
        <v>CCDC58</v>
      </c>
      <c r="B541" s="5">
        <v>9.99000999000999E-4</v>
      </c>
      <c r="C541" s="4">
        <v>2.90964671311237E-2</v>
      </c>
    </row>
    <row r="542" spans="1:3" x14ac:dyDescent="0.2">
      <c r="A542" s="4" t="str">
        <f>"H2AJ"</f>
        <v>H2AJ</v>
      </c>
      <c r="B542" s="5">
        <v>9.99000999000999E-4</v>
      </c>
      <c r="C542" s="4">
        <v>2.90964671311237E-2</v>
      </c>
    </row>
    <row r="543" spans="1:3" x14ac:dyDescent="0.2">
      <c r="A543" s="4" t="str">
        <f>"GANAB"</f>
        <v>GANAB</v>
      </c>
      <c r="B543" s="5">
        <v>9.99000999000999E-4</v>
      </c>
      <c r="C543" s="4">
        <v>2.90964671311237E-2</v>
      </c>
    </row>
    <row r="544" spans="1:3" x14ac:dyDescent="0.2">
      <c r="A544" s="4" t="str">
        <f>"METTL4"</f>
        <v>METTL4</v>
      </c>
      <c r="B544" s="5">
        <v>9.99000999000999E-4</v>
      </c>
      <c r="C544" s="4">
        <v>2.90964671311237E-2</v>
      </c>
    </row>
    <row r="545" spans="1:3" x14ac:dyDescent="0.2">
      <c r="A545" s="4" t="str">
        <f>"STK32C"</f>
        <v>STK32C</v>
      </c>
      <c r="B545" s="5">
        <v>9.99000999000999E-4</v>
      </c>
      <c r="C545" s="4">
        <v>2.90964671311237E-2</v>
      </c>
    </row>
    <row r="546" spans="1:3" x14ac:dyDescent="0.2">
      <c r="A546" s="4" t="str">
        <f>"RBM42"</f>
        <v>RBM42</v>
      </c>
      <c r="B546" s="5">
        <v>9.99000999000999E-4</v>
      </c>
      <c r="C546" s="4">
        <v>2.90964671311237E-2</v>
      </c>
    </row>
    <row r="547" spans="1:3" x14ac:dyDescent="0.2">
      <c r="A547" s="4" t="str">
        <f>"PHB"</f>
        <v>PHB</v>
      </c>
      <c r="B547" s="5">
        <v>9.99000999000999E-4</v>
      </c>
      <c r="C547" s="4">
        <v>2.90964671311237E-2</v>
      </c>
    </row>
    <row r="548" spans="1:3" x14ac:dyDescent="0.2">
      <c r="A548" s="4" t="str">
        <f>"MICU1"</f>
        <v>MICU1</v>
      </c>
      <c r="B548" s="5">
        <v>9.99000999000999E-4</v>
      </c>
      <c r="C548" s="4">
        <v>2.90964671311237E-2</v>
      </c>
    </row>
    <row r="549" spans="1:3" x14ac:dyDescent="0.2">
      <c r="A549" s="4" t="str">
        <f>"FAM3C"</f>
        <v>FAM3C</v>
      </c>
      <c r="B549" s="5">
        <v>9.99000999000999E-4</v>
      </c>
      <c r="C549" s="4">
        <v>2.90964671311237E-2</v>
      </c>
    </row>
    <row r="550" spans="1:3" x14ac:dyDescent="0.2">
      <c r="A550" s="4" t="str">
        <f>"NBR1"</f>
        <v>NBR1</v>
      </c>
      <c r="B550" s="5">
        <v>9.99000999000999E-4</v>
      </c>
      <c r="C550" s="4">
        <v>2.90964671311237E-2</v>
      </c>
    </row>
    <row r="551" spans="1:3" x14ac:dyDescent="0.2">
      <c r="A551" s="4" t="str">
        <f>"ACKR4"</f>
        <v>ACKR4</v>
      </c>
      <c r="B551" s="5">
        <v>9.99000999000999E-4</v>
      </c>
      <c r="C551" s="4">
        <v>2.90964671311237E-2</v>
      </c>
    </row>
    <row r="552" spans="1:3" x14ac:dyDescent="0.2">
      <c r="A552" s="4" t="str">
        <f>"SERBP1"</f>
        <v>SERBP1</v>
      </c>
      <c r="B552" s="5">
        <v>9.99000999000999E-4</v>
      </c>
      <c r="C552" s="4">
        <v>2.90964671311237E-2</v>
      </c>
    </row>
    <row r="553" spans="1:3" x14ac:dyDescent="0.2">
      <c r="A553" s="4" t="str">
        <f>"UBE2J2"</f>
        <v>UBE2J2</v>
      </c>
      <c r="B553" s="5">
        <v>9.99000999000999E-4</v>
      </c>
      <c r="C553" s="4">
        <v>2.90964671311237E-2</v>
      </c>
    </row>
    <row r="554" spans="1:3" x14ac:dyDescent="0.2">
      <c r="A554" s="4" t="str">
        <f>"ERAL1"</f>
        <v>ERAL1</v>
      </c>
      <c r="B554" s="5">
        <v>9.99000999000999E-4</v>
      </c>
      <c r="C554" s="4">
        <v>2.90964671311237E-2</v>
      </c>
    </row>
    <row r="555" spans="1:3" x14ac:dyDescent="0.2">
      <c r="A555" s="4" t="str">
        <f>"GOLGA2"</f>
        <v>GOLGA2</v>
      </c>
      <c r="B555" s="5">
        <v>9.99000999000999E-4</v>
      </c>
      <c r="C555" s="4">
        <v>2.90964671311237E-2</v>
      </c>
    </row>
    <row r="556" spans="1:3" x14ac:dyDescent="0.2">
      <c r="A556" s="4" t="str">
        <f>"EIF4A1"</f>
        <v>EIF4A1</v>
      </c>
      <c r="B556" s="5">
        <v>9.99000999000999E-4</v>
      </c>
      <c r="C556" s="4">
        <v>2.90964671311237E-2</v>
      </c>
    </row>
    <row r="557" spans="1:3" x14ac:dyDescent="0.2">
      <c r="A557" s="4" t="str">
        <f>"LYVE1"</f>
        <v>LYVE1</v>
      </c>
      <c r="B557" s="5">
        <v>9.99000999000999E-4</v>
      </c>
      <c r="C557" s="4">
        <v>2.90964671311237E-2</v>
      </c>
    </row>
    <row r="558" spans="1:3" x14ac:dyDescent="0.2">
      <c r="A558" s="4" t="str">
        <f>"EXOC3L1"</f>
        <v>EXOC3L1</v>
      </c>
      <c r="B558" s="5">
        <v>9.99000999000999E-4</v>
      </c>
      <c r="C558" s="4">
        <v>2.90964671311237E-2</v>
      </c>
    </row>
    <row r="559" spans="1:3" x14ac:dyDescent="0.2">
      <c r="A559" s="4" t="str">
        <f>"FAM74A4"</f>
        <v>FAM74A4</v>
      </c>
      <c r="B559" s="5">
        <v>9.99000999000999E-4</v>
      </c>
      <c r="C559" s="4">
        <v>2.90964671311237E-2</v>
      </c>
    </row>
    <row r="560" spans="1:3" x14ac:dyDescent="0.2">
      <c r="A560" s="4" t="str">
        <f>"FAM72A"</f>
        <v>FAM72A</v>
      </c>
      <c r="B560" s="5">
        <v>9.99000999000999E-4</v>
      </c>
      <c r="C560" s="4">
        <v>2.90964671311237E-2</v>
      </c>
    </row>
    <row r="561" spans="1:3" x14ac:dyDescent="0.2">
      <c r="A561" s="4" t="str">
        <f>"E2F2"</f>
        <v>E2F2</v>
      </c>
      <c r="B561" s="5">
        <v>9.99000999000999E-4</v>
      </c>
      <c r="C561" s="4">
        <v>2.90964671311237E-2</v>
      </c>
    </row>
    <row r="562" spans="1:3" x14ac:dyDescent="0.2">
      <c r="A562" s="4" t="str">
        <f>"H2BC8"</f>
        <v>H2BC8</v>
      </c>
      <c r="B562" s="5">
        <v>9.99000999000999E-4</v>
      </c>
      <c r="C562" s="4">
        <v>2.90964671311237E-2</v>
      </c>
    </row>
    <row r="563" spans="1:3" x14ac:dyDescent="0.2">
      <c r="A563" s="4" t="str">
        <f>"LINC01948"</f>
        <v>LINC01948</v>
      </c>
      <c r="B563" s="5">
        <v>9.99000999000999E-4</v>
      </c>
      <c r="C563" s="4">
        <v>2.90964671311237E-2</v>
      </c>
    </row>
    <row r="564" spans="1:3" x14ac:dyDescent="0.2">
      <c r="A564" s="4" t="str">
        <f>"LMNTD2-AS1"</f>
        <v>LMNTD2-AS1</v>
      </c>
      <c r="B564" s="5">
        <v>9.99000999000999E-4</v>
      </c>
      <c r="C564" s="4">
        <v>2.90964671311237E-2</v>
      </c>
    </row>
    <row r="565" spans="1:3" x14ac:dyDescent="0.2">
      <c r="A565" s="4" t="str">
        <f>"NDUFA6-DT"</f>
        <v>NDUFA6-DT</v>
      </c>
      <c r="B565" s="5">
        <v>9.99000999000999E-4</v>
      </c>
      <c r="C565" s="4">
        <v>2.90964671311237E-2</v>
      </c>
    </row>
    <row r="566" spans="1:3" x14ac:dyDescent="0.2">
      <c r="A566" s="4" t="str">
        <f>"GPR39"</f>
        <v>GPR39</v>
      </c>
      <c r="B566" s="5">
        <v>9.99000999000999E-4</v>
      </c>
      <c r="C566" s="4">
        <v>2.90964671311237E-2</v>
      </c>
    </row>
    <row r="567" spans="1:3" x14ac:dyDescent="0.2">
      <c r="A567" s="4" t="str">
        <f>"MCEMP1"</f>
        <v>MCEMP1</v>
      </c>
      <c r="B567" s="5">
        <v>9.99000999000999E-4</v>
      </c>
      <c r="C567" s="4">
        <v>2.90964671311237E-2</v>
      </c>
    </row>
    <row r="568" spans="1:3" x14ac:dyDescent="0.2">
      <c r="A568" s="4" t="str">
        <f>"LYPLAL1"</f>
        <v>LYPLAL1</v>
      </c>
      <c r="B568" s="5">
        <v>9.99000999000999E-4</v>
      </c>
      <c r="C568" s="4">
        <v>2.90964671311237E-2</v>
      </c>
    </row>
    <row r="569" spans="1:3" x14ac:dyDescent="0.2">
      <c r="A569" s="4" t="str">
        <f>"GMFG"</f>
        <v>GMFG</v>
      </c>
      <c r="B569" s="5">
        <v>9.99000999000999E-4</v>
      </c>
      <c r="C569" s="4">
        <v>2.90964671311237E-2</v>
      </c>
    </row>
    <row r="570" spans="1:3" x14ac:dyDescent="0.2">
      <c r="A570" s="4" t="str">
        <f>"KIZ"</f>
        <v>KIZ</v>
      </c>
      <c r="B570" s="5">
        <v>9.99000999000999E-4</v>
      </c>
      <c r="C570" s="4">
        <v>2.90964671311237E-2</v>
      </c>
    </row>
    <row r="571" spans="1:3" x14ac:dyDescent="0.2">
      <c r="A571" s="4" t="str">
        <f>"MRPL55"</f>
        <v>MRPL55</v>
      </c>
      <c r="B571" s="5">
        <v>9.99000999000999E-4</v>
      </c>
      <c r="C571" s="4">
        <v>2.90964671311237E-2</v>
      </c>
    </row>
    <row r="572" spans="1:3" x14ac:dyDescent="0.2">
      <c r="A572" s="4" t="str">
        <f>"E4F1"</f>
        <v>E4F1</v>
      </c>
      <c r="B572" s="5">
        <v>9.99000999000999E-4</v>
      </c>
      <c r="C572" s="4">
        <v>2.90964671311237E-2</v>
      </c>
    </row>
    <row r="573" spans="1:3" x14ac:dyDescent="0.2">
      <c r="A573" s="4" t="str">
        <f>"GIPR"</f>
        <v>GIPR</v>
      </c>
      <c r="B573" s="5">
        <v>9.99000999000999E-4</v>
      </c>
      <c r="C573" s="4">
        <v>2.90964671311237E-2</v>
      </c>
    </row>
    <row r="574" spans="1:3" x14ac:dyDescent="0.2">
      <c r="A574" s="4" t="str">
        <f>"MRPL44"</f>
        <v>MRPL44</v>
      </c>
      <c r="B574" s="5">
        <v>9.99000999000999E-4</v>
      </c>
      <c r="C574" s="4">
        <v>2.90964671311237E-2</v>
      </c>
    </row>
    <row r="575" spans="1:3" x14ac:dyDescent="0.2">
      <c r="A575" s="4" t="str">
        <f>"ELP2"</f>
        <v>ELP2</v>
      </c>
      <c r="B575" s="5">
        <v>9.99000999000999E-4</v>
      </c>
      <c r="C575" s="4">
        <v>2.90964671311237E-2</v>
      </c>
    </row>
    <row r="576" spans="1:3" x14ac:dyDescent="0.2">
      <c r="A576" s="4" t="str">
        <f>"ELP1"</f>
        <v>ELP1</v>
      </c>
      <c r="B576" s="5">
        <v>9.99000999000999E-4</v>
      </c>
      <c r="C576" s="4">
        <v>2.90964671311237E-2</v>
      </c>
    </row>
    <row r="577" spans="1:3" x14ac:dyDescent="0.2">
      <c r="A577" s="4" t="str">
        <f>"EAPP"</f>
        <v>EAPP</v>
      </c>
      <c r="B577" s="5">
        <v>9.99000999000999E-4</v>
      </c>
      <c r="C577" s="4">
        <v>2.90964671311237E-2</v>
      </c>
    </row>
    <row r="578" spans="1:3" x14ac:dyDescent="0.2">
      <c r="A578" s="4" t="str">
        <f>"IDH3G"</f>
        <v>IDH3G</v>
      </c>
      <c r="B578" s="5">
        <v>9.99000999000999E-4</v>
      </c>
      <c r="C578" s="4">
        <v>2.90964671311237E-2</v>
      </c>
    </row>
    <row r="579" spans="1:3" x14ac:dyDescent="0.2">
      <c r="A579" s="4" t="str">
        <f>"EXOC1"</f>
        <v>EXOC1</v>
      </c>
      <c r="B579" s="5">
        <v>9.99000999000999E-4</v>
      </c>
      <c r="C579" s="4">
        <v>2.90964671311237E-2</v>
      </c>
    </row>
    <row r="580" spans="1:3" x14ac:dyDescent="0.2">
      <c r="A580" s="4" t="str">
        <f>"NDUFA5"</f>
        <v>NDUFA5</v>
      </c>
      <c r="B580" s="5">
        <v>9.99000999000999E-4</v>
      </c>
      <c r="C580" s="4">
        <v>2.90964671311237E-2</v>
      </c>
    </row>
    <row r="581" spans="1:3" x14ac:dyDescent="0.2">
      <c r="A581" s="4" t="str">
        <f>"NUMB"</f>
        <v>NUMB</v>
      </c>
      <c r="B581" s="5">
        <v>9.99000999000999E-4</v>
      </c>
      <c r="C581" s="4">
        <v>2.90964671311237E-2</v>
      </c>
    </row>
    <row r="582" spans="1:3" x14ac:dyDescent="0.2">
      <c r="A582" s="4" t="str">
        <f>"DNAJB6"</f>
        <v>DNAJB6</v>
      </c>
      <c r="B582" s="5">
        <v>9.99000999000999E-4</v>
      </c>
      <c r="C582" s="4">
        <v>2.90964671311237E-2</v>
      </c>
    </row>
    <row r="583" spans="1:3" x14ac:dyDescent="0.2">
      <c r="A583" s="4" t="str">
        <f>"LCP1"</f>
        <v>LCP1</v>
      </c>
      <c r="B583" s="5">
        <v>9.99000999000999E-4</v>
      </c>
      <c r="C583" s="4">
        <v>2.90964671311237E-2</v>
      </c>
    </row>
    <row r="584" spans="1:3" x14ac:dyDescent="0.2">
      <c r="A584" s="4" t="str">
        <f>"AC025165.2"</f>
        <v>AC025165.2</v>
      </c>
      <c r="B584" s="4">
        <v>1.02669404517453E-3</v>
      </c>
      <c r="C584" s="4">
        <v>2.9434244032670798E-2</v>
      </c>
    </row>
    <row r="585" spans="1:3" x14ac:dyDescent="0.2">
      <c r="A585" s="4" t="str">
        <f>"AL513210.2"</f>
        <v>AL513210.2</v>
      </c>
      <c r="B585" s="4">
        <v>1.0351966873706001E-3</v>
      </c>
      <c r="C585" s="4">
        <v>2.9607191886984501E-2</v>
      </c>
    </row>
    <row r="586" spans="1:3" x14ac:dyDescent="0.2">
      <c r="A586" s="4" t="str">
        <f>"AP001107.2"</f>
        <v>AP001107.2</v>
      </c>
      <c r="B586" s="4">
        <v>1.03626943005181E-3</v>
      </c>
      <c r="C586" s="4">
        <v>2.9607191886984501E-2</v>
      </c>
    </row>
    <row r="587" spans="1:3" x14ac:dyDescent="0.2">
      <c r="A587" s="4" t="str">
        <f>"XIAPP2"</f>
        <v>XIAPP2</v>
      </c>
      <c r="B587" s="4">
        <v>1.0449320794148299E-3</v>
      </c>
      <c r="C587" s="4">
        <v>2.97529723600331E-2</v>
      </c>
    </row>
    <row r="588" spans="1:3" x14ac:dyDescent="0.2">
      <c r="A588" s="4" t="str">
        <f>"OR2M3"</f>
        <v>OR2M3</v>
      </c>
      <c r="B588" s="4">
        <v>1.0449320794148299E-3</v>
      </c>
      <c r="C588" s="4">
        <v>2.97529723600331E-2</v>
      </c>
    </row>
    <row r="589" spans="1:3" x14ac:dyDescent="0.2">
      <c r="A589" s="4" t="str">
        <f>"AC005394.2"</f>
        <v>AC005394.2</v>
      </c>
      <c r="B589" s="4">
        <v>1.0672358591248599E-3</v>
      </c>
      <c r="C589" s="4">
        <v>3.0336360798321201E-2</v>
      </c>
    </row>
    <row r="590" spans="1:3" x14ac:dyDescent="0.2">
      <c r="A590" s="4" t="str">
        <f>"AC136469.2"</f>
        <v>AC136469.2</v>
      </c>
      <c r="B590" s="4">
        <v>1.07642626480086E-3</v>
      </c>
      <c r="C590" s="4">
        <v>3.0526738749269301E-2</v>
      </c>
    </row>
    <row r="591" spans="1:3" x14ac:dyDescent="0.2">
      <c r="A591" s="4" t="str">
        <f>"AC005726.2"</f>
        <v>AC005726.2</v>
      </c>
      <c r="B591" s="4">
        <v>1.07758620689655E-3</v>
      </c>
      <c r="C591" s="4">
        <v>3.0526738749269301E-2</v>
      </c>
    </row>
    <row r="592" spans="1:3" x14ac:dyDescent="0.2">
      <c r="A592" s="4" t="str">
        <f>"C9orf106"</f>
        <v>C9orf106</v>
      </c>
      <c r="B592" s="4">
        <v>1.0834236186348799E-3</v>
      </c>
      <c r="C592" s="4">
        <v>3.0588416151796201E-2</v>
      </c>
    </row>
    <row r="593" spans="1:3" x14ac:dyDescent="0.2">
      <c r="A593" s="4" t="str">
        <f>"AL160314.2"</f>
        <v>AL160314.2</v>
      </c>
      <c r="B593" s="4">
        <v>1.0834236186348799E-3</v>
      </c>
      <c r="C593" s="4">
        <v>3.0588416151796201E-2</v>
      </c>
    </row>
    <row r="594" spans="1:3" x14ac:dyDescent="0.2">
      <c r="A594" s="4" t="str">
        <f>"C10orf82"</f>
        <v>C10orf82</v>
      </c>
      <c r="B594" s="4">
        <v>1.1013215859030799E-3</v>
      </c>
      <c r="C594" s="4">
        <v>3.10412967736662E-2</v>
      </c>
    </row>
    <row r="595" spans="1:3" x14ac:dyDescent="0.2">
      <c r="A595" s="4" t="str">
        <f>"AC113137.1"</f>
        <v>AC113137.1</v>
      </c>
      <c r="B595" s="4">
        <v>1.1402508551881399E-3</v>
      </c>
      <c r="C595" s="4">
        <v>3.2084432312482397E-2</v>
      </c>
    </row>
    <row r="596" spans="1:3" x14ac:dyDescent="0.2">
      <c r="A596" s="4" t="str">
        <f>"RPL21P28"</f>
        <v>RPL21P28</v>
      </c>
      <c r="B596" s="4">
        <v>1.24843945068664E-3</v>
      </c>
      <c r="C596" s="4">
        <v>3.5069608367691497E-2</v>
      </c>
    </row>
    <row r="597" spans="1:3" x14ac:dyDescent="0.2">
      <c r="A597" s="4" t="str">
        <f>"AL662907.3"</f>
        <v>AL662907.3</v>
      </c>
      <c r="B597" s="4">
        <v>1.37551581843191E-3</v>
      </c>
      <c r="C597" s="4">
        <v>3.8574448639716298E-2</v>
      </c>
    </row>
    <row r="598" spans="1:3" x14ac:dyDescent="0.2">
      <c r="A598" s="4" t="str">
        <f>"AC097382.2"</f>
        <v>AC097382.2</v>
      </c>
      <c r="B598" s="4">
        <v>1.46198830409356E-3</v>
      </c>
      <c r="C598" s="4">
        <v>4.0930774731356298E-2</v>
      </c>
    </row>
    <row r="599" spans="1:3" x14ac:dyDescent="0.2">
      <c r="A599" s="4" t="str">
        <f>"JSRP1"</f>
        <v>JSRP1</v>
      </c>
      <c r="B599" s="4">
        <v>1.4814814814814801E-3</v>
      </c>
      <c r="C599" s="4">
        <v>4.1407159668029103E-2</v>
      </c>
    </row>
    <row r="600" spans="1:3" x14ac:dyDescent="0.2">
      <c r="A600" s="4" t="str">
        <f>"AC097713.2"</f>
        <v>AC097713.2</v>
      </c>
      <c r="B600" s="4">
        <v>1.52439024390243E-3</v>
      </c>
      <c r="C600" s="4">
        <v>4.2535323099474401E-2</v>
      </c>
    </row>
    <row r="601" spans="1:3" x14ac:dyDescent="0.2">
      <c r="A601" s="4" t="str">
        <f>"AC104809.1"</f>
        <v>AC104809.1</v>
      </c>
      <c r="B601" s="4">
        <v>2.01207243460764E-3</v>
      </c>
      <c r="C601" s="4">
        <v>4.2569340091179797E-2</v>
      </c>
    </row>
    <row r="602" spans="1:3" x14ac:dyDescent="0.2">
      <c r="A602" s="4" t="str">
        <f>"FCRL4"</f>
        <v>FCRL4</v>
      </c>
      <c r="B602" s="4">
        <v>1.9980019980019902E-3</v>
      </c>
      <c r="C602" s="4">
        <v>4.2569340091179797E-2</v>
      </c>
    </row>
    <row r="603" spans="1:3" x14ac:dyDescent="0.2">
      <c r="A603" s="4" t="str">
        <f>"RPH3A"</f>
        <v>RPH3A</v>
      </c>
      <c r="B603" s="4">
        <v>1.9980019980019902E-3</v>
      </c>
      <c r="C603" s="4">
        <v>4.2569340091179797E-2</v>
      </c>
    </row>
    <row r="604" spans="1:3" x14ac:dyDescent="0.2">
      <c r="A604" s="4" t="str">
        <f>"AP003392.3"</f>
        <v>AP003392.3</v>
      </c>
      <c r="B604" s="4">
        <v>2.0040080160320601E-3</v>
      </c>
      <c r="C604" s="4">
        <v>4.2569340091179797E-2</v>
      </c>
    </row>
    <row r="605" spans="1:3" x14ac:dyDescent="0.2">
      <c r="A605" s="4" t="str">
        <f>"RN7SL121P"</f>
        <v>RN7SL121P</v>
      </c>
      <c r="B605" s="4">
        <v>2.0060180541624801E-3</v>
      </c>
      <c r="C605" s="4">
        <v>4.2569340091179797E-2</v>
      </c>
    </row>
    <row r="606" spans="1:3" x14ac:dyDescent="0.2">
      <c r="A606" s="4" t="str">
        <f>"AC019131.2"</f>
        <v>AC019131.2</v>
      </c>
      <c r="B606" s="4">
        <v>2.0040080160320601E-3</v>
      </c>
      <c r="C606" s="4">
        <v>4.2569340091179797E-2</v>
      </c>
    </row>
    <row r="607" spans="1:3" x14ac:dyDescent="0.2">
      <c r="A607" s="4" t="str">
        <f>"IL1A"</f>
        <v>IL1A</v>
      </c>
      <c r="B607" s="4">
        <v>1.9980019980019902E-3</v>
      </c>
      <c r="C607" s="4">
        <v>4.2569340091179797E-2</v>
      </c>
    </row>
    <row r="608" spans="1:3" x14ac:dyDescent="0.2">
      <c r="A608" s="4" t="str">
        <f>"LRRC7"</f>
        <v>LRRC7</v>
      </c>
      <c r="B608" s="4">
        <v>2E-3</v>
      </c>
      <c r="C608" s="4">
        <v>4.2569340091179797E-2</v>
      </c>
    </row>
    <row r="609" spans="1:3" x14ac:dyDescent="0.2">
      <c r="A609" s="4" t="str">
        <f>"TNFSF8"</f>
        <v>TNFSF8</v>
      </c>
      <c r="B609" s="4">
        <v>1.9980019980019902E-3</v>
      </c>
      <c r="C609" s="4">
        <v>4.2569340091179797E-2</v>
      </c>
    </row>
    <row r="610" spans="1:3" x14ac:dyDescent="0.2">
      <c r="A610" s="4" t="str">
        <f>"FUT7"</f>
        <v>FUT7</v>
      </c>
      <c r="B610" s="4">
        <v>1.9980019980019902E-3</v>
      </c>
      <c r="C610" s="4">
        <v>4.2569340091179797E-2</v>
      </c>
    </row>
    <row r="611" spans="1:3" x14ac:dyDescent="0.2">
      <c r="A611" s="4" t="str">
        <f>"CLEC4D"</f>
        <v>CLEC4D</v>
      </c>
      <c r="B611" s="4">
        <v>1.9980019980019902E-3</v>
      </c>
      <c r="C611" s="4">
        <v>4.2569340091179797E-2</v>
      </c>
    </row>
    <row r="612" spans="1:3" x14ac:dyDescent="0.2">
      <c r="A612" s="4" t="str">
        <f>"IL12RB2"</f>
        <v>IL12RB2</v>
      </c>
      <c r="B612" s="4">
        <v>1.9980019980019902E-3</v>
      </c>
      <c r="C612" s="4">
        <v>4.2569340091179797E-2</v>
      </c>
    </row>
    <row r="613" spans="1:3" x14ac:dyDescent="0.2">
      <c r="A613" s="4" t="str">
        <f>"AP002490.1"</f>
        <v>AP002490.1</v>
      </c>
      <c r="B613" s="4">
        <v>1.9980019980019902E-3</v>
      </c>
      <c r="C613" s="4">
        <v>4.2569340091179797E-2</v>
      </c>
    </row>
    <row r="614" spans="1:3" x14ac:dyDescent="0.2">
      <c r="A614" s="4" t="str">
        <f>"CA4"</f>
        <v>CA4</v>
      </c>
      <c r="B614" s="4">
        <v>1.9980019980019902E-3</v>
      </c>
      <c r="C614" s="4">
        <v>4.2569340091179797E-2</v>
      </c>
    </row>
    <row r="615" spans="1:3" x14ac:dyDescent="0.2">
      <c r="A615" s="4" t="str">
        <f>"GTSE1"</f>
        <v>GTSE1</v>
      </c>
      <c r="B615" s="4">
        <v>1.9980019980019902E-3</v>
      </c>
      <c r="C615" s="4">
        <v>4.2569340091179797E-2</v>
      </c>
    </row>
    <row r="616" spans="1:3" x14ac:dyDescent="0.2">
      <c r="A616" s="4" t="str">
        <f>"SAP25"</f>
        <v>SAP25</v>
      </c>
      <c r="B616" s="4">
        <v>1.9980019980019902E-3</v>
      </c>
      <c r="C616" s="4">
        <v>4.2569340091179797E-2</v>
      </c>
    </row>
    <row r="617" spans="1:3" x14ac:dyDescent="0.2">
      <c r="A617" s="4" t="str">
        <f>"PKIA"</f>
        <v>PKIA</v>
      </c>
      <c r="B617" s="4">
        <v>1.9980019980019902E-3</v>
      </c>
      <c r="C617" s="4">
        <v>4.2569340091179797E-2</v>
      </c>
    </row>
    <row r="618" spans="1:3" x14ac:dyDescent="0.2">
      <c r="A618" s="4" t="str">
        <f>"TCHH"</f>
        <v>TCHH</v>
      </c>
      <c r="B618" s="4">
        <v>1.9980019980019902E-3</v>
      </c>
      <c r="C618" s="4">
        <v>4.2569340091179797E-2</v>
      </c>
    </row>
    <row r="619" spans="1:3" x14ac:dyDescent="0.2">
      <c r="A619" s="4" t="str">
        <f>"AL109809.4"</f>
        <v>AL109809.4</v>
      </c>
      <c r="B619" s="4">
        <v>1.9980019980019902E-3</v>
      </c>
      <c r="C619" s="4">
        <v>4.2569340091179797E-2</v>
      </c>
    </row>
    <row r="620" spans="1:3" x14ac:dyDescent="0.2">
      <c r="A620" s="4" t="str">
        <f>"LINC00707"</f>
        <v>LINC00707</v>
      </c>
      <c r="B620" s="4">
        <v>1.9980019980019902E-3</v>
      </c>
      <c r="C620" s="4">
        <v>4.2569340091179797E-2</v>
      </c>
    </row>
    <row r="621" spans="1:3" x14ac:dyDescent="0.2">
      <c r="A621" s="4" t="str">
        <f>"NLRP6"</f>
        <v>NLRP6</v>
      </c>
      <c r="B621" s="4">
        <v>1.9980019980019902E-3</v>
      </c>
      <c r="C621" s="4">
        <v>4.2569340091179797E-2</v>
      </c>
    </row>
    <row r="622" spans="1:3" x14ac:dyDescent="0.2">
      <c r="A622" s="4" t="str">
        <f>"SIGLEC9"</f>
        <v>SIGLEC9</v>
      </c>
      <c r="B622" s="4">
        <v>1.9980019980019902E-3</v>
      </c>
      <c r="C622" s="4">
        <v>4.2569340091179797E-2</v>
      </c>
    </row>
    <row r="623" spans="1:3" x14ac:dyDescent="0.2">
      <c r="A623" s="4" t="str">
        <f>"FAM157B"</f>
        <v>FAM157B</v>
      </c>
      <c r="B623" s="4">
        <v>1.9980019980019902E-3</v>
      </c>
      <c r="C623" s="4">
        <v>4.2569340091179797E-2</v>
      </c>
    </row>
    <row r="624" spans="1:3" x14ac:dyDescent="0.2">
      <c r="A624" s="4" t="str">
        <f>"AC069368.1"</f>
        <v>AC069368.1</v>
      </c>
      <c r="B624" s="4">
        <v>1.9980019980019902E-3</v>
      </c>
      <c r="C624" s="4">
        <v>4.2569340091179797E-2</v>
      </c>
    </row>
    <row r="625" spans="1:3" x14ac:dyDescent="0.2">
      <c r="A625" s="4" t="str">
        <f>"RGL4"</f>
        <v>RGL4</v>
      </c>
      <c r="B625" s="4">
        <v>1.9980019980019902E-3</v>
      </c>
      <c r="C625" s="4">
        <v>4.2569340091179797E-2</v>
      </c>
    </row>
    <row r="626" spans="1:3" x14ac:dyDescent="0.2">
      <c r="A626" s="4" t="str">
        <f>"SCNN1D"</f>
        <v>SCNN1D</v>
      </c>
      <c r="B626" s="4">
        <v>1.9980019980019902E-3</v>
      </c>
      <c r="C626" s="4">
        <v>4.2569340091179797E-2</v>
      </c>
    </row>
    <row r="627" spans="1:3" x14ac:dyDescent="0.2">
      <c r="A627" s="4" t="str">
        <f>"SKAP1"</f>
        <v>SKAP1</v>
      </c>
      <c r="B627" s="4">
        <v>1.9980019980019902E-3</v>
      </c>
      <c r="C627" s="4">
        <v>4.2569340091179797E-2</v>
      </c>
    </row>
    <row r="628" spans="1:3" x14ac:dyDescent="0.2">
      <c r="A628" s="4" t="str">
        <f>"USP46-DT"</f>
        <v>USP46-DT</v>
      </c>
      <c r="B628" s="4">
        <v>1.9980019980019902E-3</v>
      </c>
      <c r="C628" s="4">
        <v>4.2569340091179797E-2</v>
      </c>
    </row>
    <row r="629" spans="1:3" x14ac:dyDescent="0.2">
      <c r="A629" s="4" t="str">
        <f>"VSIG10L"</f>
        <v>VSIG10L</v>
      </c>
      <c r="B629" s="4">
        <v>1.9980019980019902E-3</v>
      </c>
      <c r="C629" s="4">
        <v>4.2569340091179797E-2</v>
      </c>
    </row>
    <row r="630" spans="1:3" x14ac:dyDescent="0.2">
      <c r="A630" s="4" t="str">
        <f>"NFKBID"</f>
        <v>NFKBID</v>
      </c>
      <c r="B630" s="4">
        <v>1.9980019980019902E-3</v>
      </c>
      <c r="C630" s="4">
        <v>4.2569340091179797E-2</v>
      </c>
    </row>
    <row r="631" spans="1:3" x14ac:dyDescent="0.2">
      <c r="A631" s="4" t="str">
        <f>"DPEP2"</f>
        <v>DPEP2</v>
      </c>
      <c r="B631" s="4">
        <v>1.9980019980019902E-3</v>
      </c>
      <c r="C631" s="4">
        <v>4.2569340091179797E-2</v>
      </c>
    </row>
    <row r="632" spans="1:3" x14ac:dyDescent="0.2">
      <c r="A632" s="4" t="str">
        <f>"CD83"</f>
        <v>CD83</v>
      </c>
      <c r="B632" s="4">
        <v>1.9980019980019902E-3</v>
      </c>
      <c r="C632" s="4">
        <v>4.2569340091179797E-2</v>
      </c>
    </row>
    <row r="633" spans="1:3" x14ac:dyDescent="0.2">
      <c r="A633" s="4" t="str">
        <f>"SCARF1"</f>
        <v>SCARF1</v>
      </c>
      <c r="B633" s="4">
        <v>1.9980019980019902E-3</v>
      </c>
      <c r="C633" s="4">
        <v>4.2569340091179797E-2</v>
      </c>
    </row>
    <row r="634" spans="1:3" x14ac:dyDescent="0.2">
      <c r="A634" s="4" t="str">
        <f>"CLDN22"</f>
        <v>CLDN22</v>
      </c>
      <c r="B634" s="4">
        <v>1.9980019980019902E-3</v>
      </c>
      <c r="C634" s="4">
        <v>4.2569340091179797E-2</v>
      </c>
    </row>
    <row r="635" spans="1:3" x14ac:dyDescent="0.2">
      <c r="A635" s="4" t="str">
        <f>"RASGRP4"</f>
        <v>RASGRP4</v>
      </c>
      <c r="B635" s="4">
        <v>1.9980019980019902E-3</v>
      </c>
      <c r="C635" s="4">
        <v>4.2569340091179797E-2</v>
      </c>
    </row>
    <row r="636" spans="1:3" x14ac:dyDescent="0.2">
      <c r="A636" s="4" t="str">
        <f>"IL18RAP"</f>
        <v>IL18RAP</v>
      </c>
      <c r="B636" s="4">
        <v>1.9980019980019902E-3</v>
      </c>
      <c r="C636" s="4">
        <v>4.2569340091179797E-2</v>
      </c>
    </row>
    <row r="637" spans="1:3" x14ac:dyDescent="0.2">
      <c r="A637" s="4" t="str">
        <f>"SBSN"</f>
        <v>SBSN</v>
      </c>
      <c r="B637" s="4">
        <v>1.9980019980019902E-3</v>
      </c>
      <c r="C637" s="4">
        <v>4.2569340091179797E-2</v>
      </c>
    </row>
    <row r="638" spans="1:3" x14ac:dyDescent="0.2">
      <c r="A638" s="4" t="str">
        <f>"ITGA5"</f>
        <v>ITGA5</v>
      </c>
      <c r="B638" s="4">
        <v>1.9980019980019902E-3</v>
      </c>
      <c r="C638" s="4">
        <v>4.2569340091179797E-2</v>
      </c>
    </row>
    <row r="639" spans="1:3" x14ac:dyDescent="0.2">
      <c r="A639" s="4" t="str">
        <f>"CD109"</f>
        <v>CD109</v>
      </c>
      <c r="B639" s="4">
        <v>1.9980019980019902E-3</v>
      </c>
      <c r="C639" s="4">
        <v>4.2569340091179797E-2</v>
      </c>
    </row>
    <row r="640" spans="1:3" x14ac:dyDescent="0.2">
      <c r="A640" s="4" t="str">
        <f>"CD37"</f>
        <v>CD37</v>
      </c>
      <c r="B640" s="4">
        <v>1.9980019980019902E-3</v>
      </c>
      <c r="C640" s="4">
        <v>4.2569340091179797E-2</v>
      </c>
    </row>
    <row r="641" spans="1:3" x14ac:dyDescent="0.2">
      <c r="A641" s="4" t="str">
        <f>"RGS19"</f>
        <v>RGS19</v>
      </c>
      <c r="B641" s="4">
        <v>1.9980019980019902E-3</v>
      </c>
      <c r="C641" s="4">
        <v>4.2569340091179797E-2</v>
      </c>
    </row>
    <row r="642" spans="1:3" x14ac:dyDescent="0.2">
      <c r="A642" s="4" t="str">
        <f>"PHACTR1"</f>
        <v>PHACTR1</v>
      </c>
      <c r="B642" s="4">
        <v>1.9980019980019902E-3</v>
      </c>
      <c r="C642" s="4">
        <v>4.2569340091179797E-2</v>
      </c>
    </row>
    <row r="643" spans="1:3" x14ac:dyDescent="0.2">
      <c r="A643" s="4" t="str">
        <f>"LIMD2"</f>
        <v>LIMD2</v>
      </c>
      <c r="B643" s="4">
        <v>1.9980019980019902E-3</v>
      </c>
      <c r="C643" s="4">
        <v>4.2569340091179797E-2</v>
      </c>
    </row>
    <row r="644" spans="1:3" x14ac:dyDescent="0.2">
      <c r="A644" s="4" t="str">
        <f>"WAS"</f>
        <v>WAS</v>
      </c>
      <c r="B644" s="4">
        <v>1.9980019980019902E-3</v>
      </c>
      <c r="C644" s="4">
        <v>4.2569340091179797E-2</v>
      </c>
    </row>
    <row r="645" spans="1:3" x14ac:dyDescent="0.2">
      <c r="A645" s="4" t="str">
        <f>"CYTIP"</f>
        <v>CYTIP</v>
      </c>
      <c r="B645" s="4">
        <v>2E-3</v>
      </c>
      <c r="C645" s="4">
        <v>4.2569340091179797E-2</v>
      </c>
    </row>
    <row r="646" spans="1:3" x14ac:dyDescent="0.2">
      <c r="A646" s="4" t="str">
        <f>"EGR3"</f>
        <v>EGR3</v>
      </c>
      <c r="B646" s="4">
        <v>1.9980019980019902E-3</v>
      </c>
      <c r="C646" s="4">
        <v>4.2569340091179797E-2</v>
      </c>
    </row>
    <row r="647" spans="1:3" x14ac:dyDescent="0.2">
      <c r="A647" s="4" t="str">
        <f>"DBP"</f>
        <v>DBP</v>
      </c>
      <c r="B647" s="4">
        <v>2.0020020020019998E-3</v>
      </c>
      <c r="C647" s="4">
        <v>4.2569340091179797E-2</v>
      </c>
    </row>
    <row r="648" spans="1:3" x14ac:dyDescent="0.2">
      <c r="A648" s="4" t="str">
        <f>"TYROBP"</f>
        <v>TYROBP</v>
      </c>
      <c r="B648" s="4">
        <v>1.9980019980019902E-3</v>
      </c>
      <c r="C648" s="4">
        <v>4.2569340091179797E-2</v>
      </c>
    </row>
    <row r="649" spans="1:3" x14ac:dyDescent="0.2">
      <c r="A649" s="4" t="str">
        <f>"GMIP"</f>
        <v>GMIP</v>
      </c>
      <c r="B649" s="4">
        <v>2E-3</v>
      </c>
      <c r="C649" s="4">
        <v>4.2569340091179797E-2</v>
      </c>
    </row>
    <row r="650" spans="1:3" x14ac:dyDescent="0.2">
      <c r="A650" s="4" t="str">
        <f>"PTPRE"</f>
        <v>PTPRE</v>
      </c>
      <c r="B650" s="4">
        <v>1.9980019980019902E-3</v>
      </c>
      <c r="C650" s="4">
        <v>4.2569340091179797E-2</v>
      </c>
    </row>
    <row r="651" spans="1:3" x14ac:dyDescent="0.2">
      <c r="A651" s="4" t="str">
        <f>"SIRPA"</f>
        <v>SIRPA</v>
      </c>
      <c r="B651" s="4">
        <v>1.9980019980019902E-3</v>
      </c>
      <c r="C651" s="4">
        <v>4.2569340091179797E-2</v>
      </c>
    </row>
    <row r="652" spans="1:3" x14ac:dyDescent="0.2">
      <c r="A652" s="4" t="str">
        <f>"MOB3A"</f>
        <v>MOB3A</v>
      </c>
      <c r="B652" s="4">
        <v>1.9980019980019902E-3</v>
      </c>
      <c r="C652" s="4">
        <v>4.2569340091179797E-2</v>
      </c>
    </row>
    <row r="653" spans="1:3" x14ac:dyDescent="0.2">
      <c r="A653" s="4" t="str">
        <f>"PIAS1"</f>
        <v>PIAS1</v>
      </c>
      <c r="B653" s="4">
        <v>1.9980019980019902E-3</v>
      </c>
      <c r="C653" s="4">
        <v>4.2569340091179797E-2</v>
      </c>
    </row>
    <row r="654" spans="1:3" x14ac:dyDescent="0.2">
      <c r="A654" s="4" t="str">
        <f>"STK10"</f>
        <v>STK10</v>
      </c>
      <c r="B654" s="4">
        <v>1.9980019980019902E-3</v>
      </c>
      <c r="C654" s="4">
        <v>4.2569340091179797E-2</v>
      </c>
    </row>
    <row r="655" spans="1:3" x14ac:dyDescent="0.2">
      <c r="A655" s="4" t="str">
        <f>"ADAM8"</f>
        <v>ADAM8</v>
      </c>
      <c r="B655" s="4">
        <v>1.9980019980019902E-3</v>
      </c>
      <c r="C655" s="4">
        <v>4.2569340091179797E-2</v>
      </c>
    </row>
    <row r="656" spans="1:3" x14ac:dyDescent="0.2">
      <c r="A656" s="4" t="str">
        <f>"TMPRSS11D"</f>
        <v>TMPRSS11D</v>
      </c>
      <c r="B656" s="4">
        <v>1.9980019980019902E-3</v>
      </c>
      <c r="C656" s="4">
        <v>4.2569340091179797E-2</v>
      </c>
    </row>
    <row r="657" spans="1:3" x14ac:dyDescent="0.2">
      <c r="A657" s="4" t="str">
        <f>"MT-ND6"</f>
        <v>MT-ND6</v>
      </c>
      <c r="B657" s="4">
        <v>1.9980019980019902E-3</v>
      </c>
      <c r="C657" s="4">
        <v>4.2569340091179797E-2</v>
      </c>
    </row>
    <row r="658" spans="1:3" x14ac:dyDescent="0.2">
      <c r="A658" s="4" t="str">
        <f>"PREX1"</f>
        <v>PREX1</v>
      </c>
      <c r="B658" s="4">
        <v>2E-3</v>
      </c>
      <c r="C658" s="4">
        <v>4.2569340091179797E-2</v>
      </c>
    </row>
    <row r="659" spans="1:3" x14ac:dyDescent="0.2">
      <c r="A659" s="4" t="str">
        <f>"FCGR2A"</f>
        <v>FCGR2A</v>
      </c>
      <c r="B659" s="4">
        <v>1.9980019980019902E-3</v>
      </c>
      <c r="C659" s="4">
        <v>4.2569340091179797E-2</v>
      </c>
    </row>
    <row r="660" spans="1:3" x14ac:dyDescent="0.2">
      <c r="A660" s="4" t="str">
        <f>"COTL1"</f>
        <v>COTL1</v>
      </c>
      <c r="B660" s="4">
        <v>1.9980019980019902E-3</v>
      </c>
      <c r="C660" s="4">
        <v>4.2569340091179797E-2</v>
      </c>
    </row>
    <row r="661" spans="1:3" x14ac:dyDescent="0.2">
      <c r="A661" s="4" t="str">
        <f>"TMEM219"</f>
        <v>TMEM219</v>
      </c>
      <c r="B661" s="4">
        <v>1.9980019980019902E-3</v>
      </c>
      <c r="C661" s="4">
        <v>4.2569340091179797E-2</v>
      </c>
    </row>
    <row r="662" spans="1:3" x14ac:dyDescent="0.2">
      <c r="A662" s="4" t="str">
        <f>"IL1RN"</f>
        <v>IL1RN</v>
      </c>
      <c r="B662" s="4">
        <v>1.9980019980019902E-3</v>
      </c>
      <c r="C662" s="4">
        <v>4.2569340091179797E-2</v>
      </c>
    </row>
    <row r="663" spans="1:3" x14ac:dyDescent="0.2">
      <c r="A663" s="4" t="str">
        <f>"MAPK15"</f>
        <v>MAPK15</v>
      </c>
      <c r="B663" s="4">
        <v>1.9980019980019902E-3</v>
      </c>
      <c r="C663" s="4">
        <v>4.2569340091179797E-2</v>
      </c>
    </row>
    <row r="664" spans="1:3" x14ac:dyDescent="0.2">
      <c r="A664" s="4" t="str">
        <f>"LAPTM5"</f>
        <v>LAPTM5</v>
      </c>
      <c r="B664" s="4">
        <v>1.9980019980019902E-3</v>
      </c>
      <c r="C664" s="4">
        <v>4.2569340091179797E-2</v>
      </c>
    </row>
    <row r="665" spans="1:3" x14ac:dyDescent="0.2">
      <c r="A665" s="4" t="str">
        <f>"MXD1"</f>
        <v>MXD1</v>
      </c>
      <c r="B665" s="4">
        <v>1.9980019980019902E-3</v>
      </c>
      <c r="C665" s="4">
        <v>4.2569340091179797E-2</v>
      </c>
    </row>
    <row r="666" spans="1:3" x14ac:dyDescent="0.2">
      <c r="A666" s="4" t="str">
        <f>"GPBP1L1"</f>
        <v>GPBP1L1</v>
      </c>
      <c r="B666" s="4">
        <v>1.9980019980019902E-3</v>
      </c>
      <c r="C666" s="4">
        <v>4.2569340091179797E-2</v>
      </c>
    </row>
    <row r="667" spans="1:3" x14ac:dyDescent="0.2">
      <c r="A667" s="4" t="str">
        <f>"CSF3R"</f>
        <v>CSF3R</v>
      </c>
      <c r="B667" s="4">
        <v>1.9980019980019902E-3</v>
      </c>
      <c r="C667" s="4">
        <v>4.2569340091179797E-2</v>
      </c>
    </row>
    <row r="668" spans="1:3" x14ac:dyDescent="0.2">
      <c r="A668" s="4" t="str">
        <f>"LITAF"</f>
        <v>LITAF</v>
      </c>
      <c r="B668" s="4">
        <v>1.9980019980019902E-3</v>
      </c>
      <c r="C668" s="4">
        <v>4.2569340091179797E-2</v>
      </c>
    </row>
    <row r="669" spans="1:3" x14ac:dyDescent="0.2">
      <c r="A669" s="4" t="str">
        <f>"MTATP6P1"</f>
        <v>MTATP6P1</v>
      </c>
      <c r="B669" s="4">
        <v>1.9980019980019902E-3</v>
      </c>
      <c r="C669" s="4">
        <v>4.2569340091179797E-2</v>
      </c>
    </row>
    <row r="670" spans="1:3" x14ac:dyDescent="0.2">
      <c r="A670" s="4" t="str">
        <f>"AC073861.1"</f>
        <v>AC073861.1</v>
      </c>
      <c r="B670" s="4">
        <v>1.5923566878980799E-3</v>
      </c>
      <c r="C670" s="4">
        <v>4.2569340091179797E-2</v>
      </c>
    </row>
    <row r="671" spans="1:3" x14ac:dyDescent="0.2">
      <c r="A671" s="4" t="str">
        <f>"AC005050.3"</f>
        <v>AC005050.3</v>
      </c>
      <c r="B671" s="4">
        <v>1.9980019980019902E-3</v>
      </c>
      <c r="C671" s="4">
        <v>4.2569340091179797E-2</v>
      </c>
    </row>
    <row r="672" spans="1:3" x14ac:dyDescent="0.2">
      <c r="A672" s="4" t="str">
        <f>"AC005622.1"</f>
        <v>AC005622.1</v>
      </c>
      <c r="B672" s="4">
        <v>2E-3</v>
      </c>
      <c r="C672" s="4">
        <v>4.2569340091179797E-2</v>
      </c>
    </row>
    <row r="673" spans="1:3" x14ac:dyDescent="0.2">
      <c r="A673" s="4" t="str">
        <f>"CD8B2"</f>
        <v>CD8B2</v>
      </c>
      <c r="B673" s="4">
        <v>1.9980019980019902E-3</v>
      </c>
      <c r="C673" s="4">
        <v>4.2569340091179797E-2</v>
      </c>
    </row>
    <row r="674" spans="1:3" x14ac:dyDescent="0.2">
      <c r="A674" s="4" t="str">
        <f>"VWDE"</f>
        <v>VWDE</v>
      </c>
      <c r="B674" s="4">
        <v>1.9980019980019902E-3</v>
      </c>
      <c r="C674" s="4">
        <v>4.2569340091179797E-2</v>
      </c>
    </row>
    <row r="675" spans="1:3" x14ac:dyDescent="0.2">
      <c r="A675" s="4" t="str">
        <f>"AC092691.1"</f>
        <v>AC092691.1</v>
      </c>
      <c r="B675" s="4">
        <v>1.9980019980019902E-3</v>
      </c>
      <c r="C675" s="4">
        <v>4.2569340091179797E-2</v>
      </c>
    </row>
    <row r="676" spans="1:3" x14ac:dyDescent="0.2">
      <c r="A676" s="4" t="str">
        <f>"LINC02560"</f>
        <v>LINC02560</v>
      </c>
      <c r="B676" s="4">
        <v>1.9980019980019902E-3</v>
      </c>
      <c r="C676" s="4">
        <v>4.2569340091179797E-2</v>
      </c>
    </row>
    <row r="677" spans="1:3" x14ac:dyDescent="0.2">
      <c r="A677" s="4" t="str">
        <f>"POM121B"</f>
        <v>POM121B</v>
      </c>
      <c r="B677" s="4">
        <v>1.9980019980019902E-3</v>
      </c>
      <c r="C677" s="4">
        <v>4.2569340091179797E-2</v>
      </c>
    </row>
    <row r="678" spans="1:3" x14ac:dyDescent="0.2">
      <c r="A678" s="4" t="str">
        <f>"UBE2C"</f>
        <v>UBE2C</v>
      </c>
      <c r="B678" s="4">
        <v>1.9980019980019902E-3</v>
      </c>
      <c r="C678" s="4">
        <v>4.2569340091179797E-2</v>
      </c>
    </row>
    <row r="679" spans="1:3" x14ac:dyDescent="0.2">
      <c r="A679" s="4" t="str">
        <f>"LINC02887"</f>
        <v>LINC02887</v>
      </c>
      <c r="B679" s="4">
        <v>1.9980019980019902E-3</v>
      </c>
      <c r="C679" s="4">
        <v>4.2569340091179797E-2</v>
      </c>
    </row>
    <row r="680" spans="1:3" x14ac:dyDescent="0.2">
      <c r="A680" s="4" t="str">
        <f>"MYBL2"</f>
        <v>MYBL2</v>
      </c>
      <c r="B680" s="4">
        <v>1.9980019980019902E-3</v>
      </c>
      <c r="C680" s="4">
        <v>4.2569340091179797E-2</v>
      </c>
    </row>
    <row r="681" spans="1:3" x14ac:dyDescent="0.2">
      <c r="A681" s="4" t="str">
        <f>"ELMO1"</f>
        <v>ELMO1</v>
      </c>
      <c r="B681" s="4">
        <v>2E-3</v>
      </c>
      <c r="C681" s="4">
        <v>4.2569340091179797E-2</v>
      </c>
    </row>
    <row r="682" spans="1:3" x14ac:dyDescent="0.2">
      <c r="A682" s="4" t="str">
        <f>"NLRP3"</f>
        <v>NLRP3</v>
      </c>
      <c r="B682" s="4">
        <v>1.9980019980019902E-3</v>
      </c>
      <c r="C682" s="4">
        <v>4.2569340091179797E-2</v>
      </c>
    </row>
    <row r="683" spans="1:3" x14ac:dyDescent="0.2">
      <c r="A683" s="4" t="str">
        <f>"SH2B2"</f>
        <v>SH2B2</v>
      </c>
      <c r="B683" s="4">
        <v>1.9980019980019902E-3</v>
      </c>
      <c r="C683" s="4">
        <v>4.2569340091179797E-2</v>
      </c>
    </row>
    <row r="684" spans="1:3" x14ac:dyDescent="0.2">
      <c r="A684" s="4" t="str">
        <f>"ARID3A"</f>
        <v>ARID3A</v>
      </c>
      <c r="B684" s="4">
        <v>1.9980019980019902E-3</v>
      </c>
      <c r="C684" s="4">
        <v>4.2569340091179797E-2</v>
      </c>
    </row>
    <row r="685" spans="1:3" x14ac:dyDescent="0.2">
      <c r="A685" s="4" t="str">
        <f>"EVI2A"</f>
        <v>EVI2A</v>
      </c>
      <c r="B685" s="4">
        <v>1.9980019980019902E-3</v>
      </c>
      <c r="C685" s="4">
        <v>4.2569340091179797E-2</v>
      </c>
    </row>
    <row r="686" spans="1:3" x14ac:dyDescent="0.2">
      <c r="A686" s="4" t="str">
        <f>"KIF21B"</f>
        <v>KIF21B</v>
      </c>
      <c r="B686" s="4">
        <v>1.9980019980019902E-3</v>
      </c>
      <c r="C686" s="4">
        <v>4.2569340091179797E-2</v>
      </c>
    </row>
    <row r="687" spans="1:3" x14ac:dyDescent="0.2">
      <c r="A687" s="4" t="str">
        <f>"AIF1"</f>
        <v>AIF1</v>
      </c>
      <c r="B687" s="4">
        <v>1.9980019980019902E-3</v>
      </c>
      <c r="C687" s="4">
        <v>4.2569340091179797E-2</v>
      </c>
    </row>
    <row r="688" spans="1:3" x14ac:dyDescent="0.2">
      <c r="A688" s="4" t="str">
        <f>"RUBCNL"</f>
        <v>RUBCNL</v>
      </c>
      <c r="B688" s="4">
        <v>1.9980019980019902E-3</v>
      </c>
      <c r="C688" s="4">
        <v>4.2569340091179797E-2</v>
      </c>
    </row>
    <row r="689" spans="1:3" x14ac:dyDescent="0.2">
      <c r="A689" s="4" t="str">
        <f>"C16orf89"</f>
        <v>C16orf89</v>
      </c>
      <c r="B689" s="4">
        <v>1.9980019980019902E-3</v>
      </c>
      <c r="C689" s="4">
        <v>4.2569340091179797E-2</v>
      </c>
    </row>
    <row r="690" spans="1:3" x14ac:dyDescent="0.2">
      <c r="A690" s="4" t="str">
        <f>"GCSH"</f>
        <v>GCSH</v>
      </c>
      <c r="B690" s="4">
        <v>1.9980019980019902E-3</v>
      </c>
      <c r="C690" s="4">
        <v>4.2569340091179797E-2</v>
      </c>
    </row>
    <row r="691" spans="1:3" x14ac:dyDescent="0.2">
      <c r="A691" s="4" t="str">
        <f>"SNCA"</f>
        <v>SNCA</v>
      </c>
      <c r="B691" s="4">
        <v>2E-3</v>
      </c>
      <c r="C691" s="4">
        <v>4.2569340091179797E-2</v>
      </c>
    </row>
    <row r="692" spans="1:3" x14ac:dyDescent="0.2">
      <c r="A692" s="4" t="str">
        <f>"SIRPB1"</f>
        <v>SIRPB1</v>
      </c>
      <c r="B692" s="4">
        <v>1.9980019980019902E-3</v>
      </c>
      <c r="C692" s="4">
        <v>4.2569340091179797E-2</v>
      </c>
    </row>
    <row r="693" spans="1:3" x14ac:dyDescent="0.2">
      <c r="A693" s="4" t="str">
        <f>"ARHGAP9"</f>
        <v>ARHGAP9</v>
      </c>
      <c r="B693" s="4">
        <v>1.9980019980019902E-3</v>
      </c>
      <c r="C693" s="4">
        <v>4.2569340091179797E-2</v>
      </c>
    </row>
    <row r="694" spans="1:3" x14ac:dyDescent="0.2">
      <c r="A694" s="4" t="str">
        <f>"RIN3"</f>
        <v>RIN3</v>
      </c>
      <c r="B694" s="4">
        <v>1.9980019980019902E-3</v>
      </c>
      <c r="C694" s="4">
        <v>4.2569340091179797E-2</v>
      </c>
    </row>
    <row r="695" spans="1:3" x14ac:dyDescent="0.2">
      <c r="A695" s="4" t="str">
        <f>"DGUOK"</f>
        <v>DGUOK</v>
      </c>
      <c r="B695" s="4">
        <v>1.9980019980019902E-3</v>
      </c>
      <c r="C695" s="4">
        <v>4.2569340091179797E-2</v>
      </c>
    </row>
    <row r="696" spans="1:3" x14ac:dyDescent="0.2">
      <c r="A696" s="4" t="str">
        <f>"PECAM1"</f>
        <v>PECAM1</v>
      </c>
      <c r="B696" s="4">
        <v>1.9980019980019902E-3</v>
      </c>
      <c r="C696" s="4">
        <v>4.2569340091179797E-2</v>
      </c>
    </row>
    <row r="697" spans="1:3" x14ac:dyDescent="0.2">
      <c r="A697" s="4" t="str">
        <f>"AMPD2"</f>
        <v>AMPD2</v>
      </c>
      <c r="B697" s="4">
        <v>1.9980019980019902E-3</v>
      </c>
      <c r="C697" s="4">
        <v>4.2569340091179797E-2</v>
      </c>
    </row>
    <row r="698" spans="1:3" x14ac:dyDescent="0.2">
      <c r="A698" s="4" t="str">
        <f>"SLC11A1"</f>
        <v>SLC11A1</v>
      </c>
      <c r="B698" s="4">
        <v>1.9980019980019902E-3</v>
      </c>
      <c r="C698" s="4">
        <v>4.2569340091179797E-2</v>
      </c>
    </row>
    <row r="699" spans="1:3" x14ac:dyDescent="0.2">
      <c r="A699" s="4" t="str">
        <f>"AL161431.1"</f>
        <v>AL161431.1</v>
      </c>
      <c r="B699" s="4">
        <v>1.9980019980019902E-3</v>
      </c>
      <c r="C699" s="4">
        <v>4.2569340091179797E-2</v>
      </c>
    </row>
    <row r="700" spans="1:3" x14ac:dyDescent="0.2">
      <c r="A700" s="4" t="str">
        <f>"ITGB2"</f>
        <v>ITGB2</v>
      </c>
      <c r="B700" s="4">
        <v>1.9980019980019902E-3</v>
      </c>
      <c r="C700" s="4">
        <v>4.2569340091179797E-2</v>
      </c>
    </row>
    <row r="701" spans="1:3" x14ac:dyDescent="0.2">
      <c r="A701" s="4" t="str">
        <f>"GNG12"</f>
        <v>GNG12</v>
      </c>
      <c r="B701" s="4">
        <v>1.9980019980019902E-3</v>
      </c>
      <c r="C701" s="4">
        <v>4.2569340091179797E-2</v>
      </c>
    </row>
    <row r="702" spans="1:3" x14ac:dyDescent="0.2">
      <c r="A702" s="4" t="str">
        <f>"SERPINA1"</f>
        <v>SERPINA1</v>
      </c>
      <c r="B702" s="4">
        <v>1.9980019980019902E-3</v>
      </c>
      <c r="C702" s="4">
        <v>4.2569340091179797E-2</v>
      </c>
    </row>
    <row r="703" spans="1:3" x14ac:dyDescent="0.2">
      <c r="A703" s="4" t="str">
        <f>"KDM2A"</f>
        <v>KDM2A</v>
      </c>
      <c r="B703" s="4">
        <v>1.9980019980019902E-3</v>
      </c>
      <c r="C703" s="4">
        <v>4.2569340091179797E-2</v>
      </c>
    </row>
    <row r="704" spans="1:3" x14ac:dyDescent="0.2">
      <c r="A704" s="4" t="str">
        <f>"AL049840.4"</f>
        <v>AL049840.4</v>
      </c>
      <c r="B704" s="4">
        <v>2.0100502512562799E-3</v>
      </c>
      <c r="C704" s="4">
        <v>4.2569340091179797E-2</v>
      </c>
    </row>
    <row r="705" spans="1:3" x14ac:dyDescent="0.2">
      <c r="A705" s="4" t="str">
        <f>"SLC39A2"</f>
        <v>SLC39A2</v>
      </c>
      <c r="B705" s="4">
        <v>1.9980019980019902E-3</v>
      </c>
      <c r="C705" s="4">
        <v>4.2569340091179797E-2</v>
      </c>
    </row>
    <row r="706" spans="1:3" x14ac:dyDescent="0.2">
      <c r="A706" s="4" t="str">
        <f>"ORM1"</f>
        <v>ORM1</v>
      </c>
      <c r="B706" s="4">
        <v>1.9980019980019902E-3</v>
      </c>
      <c r="C706" s="4">
        <v>4.2569340091179797E-2</v>
      </c>
    </row>
    <row r="707" spans="1:3" x14ac:dyDescent="0.2">
      <c r="A707" s="4" t="str">
        <f>"ZNF114"</f>
        <v>ZNF114</v>
      </c>
      <c r="B707" s="4">
        <v>1.9980019980019902E-3</v>
      </c>
      <c r="C707" s="4">
        <v>4.2569340091179797E-2</v>
      </c>
    </row>
    <row r="708" spans="1:3" x14ac:dyDescent="0.2">
      <c r="A708" s="4" t="str">
        <f>"AL117378.1"</f>
        <v>AL117378.1</v>
      </c>
      <c r="B708" s="4">
        <v>1.9980019980019902E-3</v>
      </c>
      <c r="C708" s="4">
        <v>4.2569340091179797E-2</v>
      </c>
    </row>
    <row r="709" spans="1:3" x14ac:dyDescent="0.2">
      <c r="A709" s="4" t="str">
        <f>"AURKB"</f>
        <v>AURKB</v>
      </c>
      <c r="B709" s="4">
        <v>1.9980019980019902E-3</v>
      </c>
      <c r="C709" s="4">
        <v>4.2569340091179797E-2</v>
      </c>
    </row>
    <row r="710" spans="1:3" x14ac:dyDescent="0.2">
      <c r="A710" s="4" t="str">
        <f>"SH2D3C"</f>
        <v>SH2D3C</v>
      </c>
      <c r="B710" s="4">
        <v>1.9980019980019902E-3</v>
      </c>
      <c r="C710" s="4">
        <v>4.2569340091179797E-2</v>
      </c>
    </row>
    <row r="711" spans="1:3" x14ac:dyDescent="0.2">
      <c r="A711" s="4" t="str">
        <f>"TLR8"</f>
        <v>TLR8</v>
      </c>
      <c r="B711" s="4">
        <v>1.9980019980019902E-3</v>
      </c>
      <c r="C711" s="4">
        <v>4.2569340091179797E-2</v>
      </c>
    </row>
    <row r="712" spans="1:3" x14ac:dyDescent="0.2">
      <c r="A712" s="4" t="str">
        <f>"TOP2A"</f>
        <v>TOP2A</v>
      </c>
      <c r="B712" s="4">
        <v>1.9980019980019902E-3</v>
      </c>
      <c r="C712" s="4">
        <v>4.2569340091179797E-2</v>
      </c>
    </row>
    <row r="713" spans="1:3" x14ac:dyDescent="0.2">
      <c r="A713" s="4" t="str">
        <f>"FEN1"</f>
        <v>FEN1</v>
      </c>
      <c r="B713" s="4">
        <v>1.9980019980019902E-3</v>
      </c>
      <c r="C713" s="4">
        <v>4.2569340091179797E-2</v>
      </c>
    </row>
    <row r="714" spans="1:3" x14ac:dyDescent="0.2">
      <c r="A714" s="4" t="str">
        <f>"PIK3AP1"</f>
        <v>PIK3AP1</v>
      </c>
      <c r="B714" s="4">
        <v>1.9980019980019902E-3</v>
      </c>
      <c r="C714" s="4">
        <v>4.2569340091179797E-2</v>
      </c>
    </row>
    <row r="715" spans="1:3" x14ac:dyDescent="0.2">
      <c r="A715" s="4" t="str">
        <f>"ARHGAP45"</f>
        <v>ARHGAP45</v>
      </c>
      <c r="B715" s="4">
        <v>1.9980019980019902E-3</v>
      </c>
      <c r="C715" s="4">
        <v>4.2569340091179797E-2</v>
      </c>
    </row>
    <row r="716" spans="1:3" x14ac:dyDescent="0.2">
      <c r="A716" s="4" t="str">
        <f>"LYPD3"</f>
        <v>LYPD3</v>
      </c>
      <c r="B716" s="4">
        <v>1.9980019980019902E-3</v>
      </c>
      <c r="C716" s="4">
        <v>4.2569340091179797E-2</v>
      </c>
    </row>
    <row r="717" spans="1:3" x14ac:dyDescent="0.2">
      <c r="A717" s="4" t="str">
        <f>"SPRR3"</f>
        <v>SPRR3</v>
      </c>
      <c r="B717" s="4">
        <v>1.9980019980019902E-3</v>
      </c>
      <c r="C717" s="4">
        <v>4.2569340091179797E-2</v>
      </c>
    </row>
    <row r="718" spans="1:3" x14ac:dyDescent="0.2">
      <c r="A718" s="4" t="str">
        <f>"AL160408.3"</f>
        <v>AL160408.3</v>
      </c>
      <c r="B718" s="4">
        <v>1.9980019980019902E-3</v>
      </c>
      <c r="C718" s="4">
        <v>4.2569340091179797E-2</v>
      </c>
    </row>
    <row r="719" spans="1:3" x14ac:dyDescent="0.2">
      <c r="A719" s="4" t="str">
        <f>"AL035409.2"</f>
        <v>AL035409.2</v>
      </c>
      <c r="B719" s="4">
        <v>1.9980019980019902E-3</v>
      </c>
      <c r="C719" s="4">
        <v>4.2569340091179797E-2</v>
      </c>
    </row>
    <row r="720" spans="1:3" x14ac:dyDescent="0.2">
      <c r="A720" s="4" t="str">
        <f>"RPL14P1"</f>
        <v>RPL14P1</v>
      </c>
      <c r="B720" s="4">
        <v>1.9980019980019902E-3</v>
      </c>
      <c r="C720" s="4">
        <v>4.2569340091179797E-2</v>
      </c>
    </row>
    <row r="721" spans="1:3" x14ac:dyDescent="0.2">
      <c r="A721" s="4" t="str">
        <f>"NPR3"</f>
        <v>NPR3</v>
      </c>
      <c r="B721" s="4">
        <v>1.9980019980019902E-3</v>
      </c>
      <c r="C721" s="4">
        <v>4.2569340091179797E-2</v>
      </c>
    </row>
    <row r="722" spans="1:3" x14ac:dyDescent="0.2">
      <c r="A722" s="4" t="str">
        <f>"SLC5A9"</f>
        <v>SLC5A9</v>
      </c>
      <c r="B722" s="4">
        <v>1.9980019980019902E-3</v>
      </c>
      <c r="C722" s="4">
        <v>4.2569340091179797E-2</v>
      </c>
    </row>
    <row r="723" spans="1:3" x14ac:dyDescent="0.2">
      <c r="A723" s="4" t="str">
        <f>"SPC24"</f>
        <v>SPC24</v>
      </c>
      <c r="B723" s="4">
        <v>1.9980019980019902E-3</v>
      </c>
      <c r="C723" s="4">
        <v>4.2569340091179797E-2</v>
      </c>
    </row>
    <row r="724" spans="1:3" x14ac:dyDescent="0.2">
      <c r="A724" s="4" t="str">
        <f>"CD209"</f>
        <v>CD209</v>
      </c>
      <c r="B724" s="4">
        <v>1.9980019980019902E-3</v>
      </c>
      <c r="C724" s="4">
        <v>4.2569340091179797E-2</v>
      </c>
    </row>
    <row r="725" spans="1:3" x14ac:dyDescent="0.2">
      <c r="A725" s="4" t="str">
        <f>"SIGLEC1"</f>
        <v>SIGLEC1</v>
      </c>
      <c r="B725" s="4">
        <v>1.9980019980019902E-3</v>
      </c>
      <c r="C725" s="4">
        <v>4.2569340091179797E-2</v>
      </c>
    </row>
    <row r="726" spans="1:3" x14ac:dyDescent="0.2">
      <c r="A726" s="4" t="str">
        <f>"GAPT"</f>
        <v>GAPT</v>
      </c>
      <c r="B726" s="4">
        <v>1.9980019980019902E-3</v>
      </c>
      <c r="C726" s="4">
        <v>4.2569340091179797E-2</v>
      </c>
    </row>
    <row r="727" spans="1:3" x14ac:dyDescent="0.2">
      <c r="A727" s="4" t="str">
        <f>"CLEC4E"</f>
        <v>CLEC4E</v>
      </c>
      <c r="B727" s="4">
        <v>1.9980019980019902E-3</v>
      </c>
      <c r="C727" s="4">
        <v>4.2569340091179797E-2</v>
      </c>
    </row>
    <row r="728" spans="1:3" x14ac:dyDescent="0.2">
      <c r="A728" s="4" t="str">
        <f>"LILRB2"</f>
        <v>LILRB2</v>
      </c>
      <c r="B728" s="4">
        <v>1.9980019980019902E-3</v>
      </c>
      <c r="C728" s="4">
        <v>4.2569340091179797E-2</v>
      </c>
    </row>
    <row r="729" spans="1:3" x14ac:dyDescent="0.2">
      <c r="A729" s="4" t="str">
        <f>"PLXNC1"</f>
        <v>PLXNC1</v>
      </c>
      <c r="B729" s="4">
        <v>1.9980019980019902E-3</v>
      </c>
      <c r="C729" s="4">
        <v>4.2569340091179797E-2</v>
      </c>
    </row>
    <row r="730" spans="1:3" x14ac:dyDescent="0.2">
      <c r="A730" s="4" t="str">
        <f>"GCA"</f>
        <v>GCA</v>
      </c>
      <c r="B730" s="4">
        <v>1.9980019980019902E-3</v>
      </c>
      <c r="C730" s="4">
        <v>4.2569340091179797E-2</v>
      </c>
    </row>
    <row r="731" spans="1:3" x14ac:dyDescent="0.2">
      <c r="A731" s="4" t="str">
        <f>"MNDA"</f>
        <v>MNDA</v>
      </c>
      <c r="B731" s="4">
        <v>1.9980019980019902E-3</v>
      </c>
      <c r="C731" s="4">
        <v>4.2569340091179797E-2</v>
      </c>
    </row>
    <row r="732" spans="1:3" x14ac:dyDescent="0.2">
      <c r="A732" s="4" t="str">
        <f>"LSP1"</f>
        <v>LSP1</v>
      </c>
      <c r="B732" s="4">
        <v>1.9980019980019902E-3</v>
      </c>
      <c r="C732" s="4">
        <v>4.2569340091179797E-2</v>
      </c>
    </row>
    <row r="733" spans="1:3" x14ac:dyDescent="0.2">
      <c r="A733" s="4" t="str">
        <f>"AC010655.2"</f>
        <v>AC010655.2</v>
      </c>
      <c r="B733" s="4">
        <v>1.9980019980019902E-3</v>
      </c>
      <c r="C733" s="4">
        <v>4.2569340091179797E-2</v>
      </c>
    </row>
    <row r="734" spans="1:3" x14ac:dyDescent="0.2">
      <c r="A734" s="4" t="str">
        <f>"AC025171.3"</f>
        <v>AC025171.3</v>
      </c>
      <c r="B734" s="4">
        <v>1.9980019980019902E-3</v>
      </c>
      <c r="C734" s="4">
        <v>4.2569340091179797E-2</v>
      </c>
    </row>
    <row r="735" spans="1:3" x14ac:dyDescent="0.2">
      <c r="A735" s="4" t="str">
        <f>"AL035420.3"</f>
        <v>AL035420.3</v>
      </c>
      <c r="B735" s="4">
        <v>1.9980019980019902E-3</v>
      </c>
      <c r="C735" s="4">
        <v>4.2569340091179797E-2</v>
      </c>
    </row>
    <row r="736" spans="1:3" x14ac:dyDescent="0.2">
      <c r="A736" s="4" t="str">
        <f>"U62317.3"</f>
        <v>U62317.3</v>
      </c>
      <c r="B736" s="4">
        <v>1.9980019980019902E-3</v>
      </c>
      <c r="C736" s="4">
        <v>4.2569340091179797E-2</v>
      </c>
    </row>
    <row r="737" spans="1:3" x14ac:dyDescent="0.2">
      <c r="A737" s="4" t="str">
        <f>"ADAMDEC1"</f>
        <v>ADAMDEC1</v>
      </c>
      <c r="B737" s="4">
        <v>1.9980019980019902E-3</v>
      </c>
      <c r="C737" s="4">
        <v>4.2569340091179797E-2</v>
      </c>
    </row>
    <row r="738" spans="1:3" x14ac:dyDescent="0.2">
      <c r="A738" s="4" t="str">
        <f>"CENPP"</f>
        <v>CENPP</v>
      </c>
      <c r="B738" s="4">
        <v>1.9980019980019902E-3</v>
      </c>
      <c r="C738" s="4">
        <v>4.2569340091179797E-2</v>
      </c>
    </row>
    <row r="739" spans="1:3" x14ac:dyDescent="0.2">
      <c r="A739" s="4" t="str">
        <f>"FER1L5"</f>
        <v>FER1L5</v>
      </c>
      <c r="B739" s="4">
        <v>1.9980019980019902E-3</v>
      </c>
      <c r="C739" s="4">
        <v>4.2569340091179797E-2</v>
      </c>
    </row>
    <row r="740" spans="1:3" x14ac:dyDescent="0.2">
      <c r="A740" s="4" t="str">
        <f>"FOXM1"</f>
        <v>FOXM1</v>
      </c>
      <c r="B740" s="4">
        <v>1.9980019980019902E-3</v>
      </c>
      <c r="C740" s="4">
        <v>4.2569340091179797E-2</v>
      </c>
    </row>
    <row r="741" spans="1:3" x14ac:dyDescent="0.2">
      <c r="A741" s="4" t="str">
        <f>"WASH7P"</f>
        <v>WASH7P</v>
      </c>
      <c r="B741" s="4">
        <v>1.9980019980019902E-3</v>
      </c>
      <c r="C741" s="4">
        <v>4.2569340091179797E-2</v>
      </c>
    </row>
    <row r="742" spans="1:3" x14ac:dyDescent="0.2">
      <c r="A742" s="4" t="str">
        <f>"ARHGAP25"</f>
        <v>ARHGAP25</v>
      </c>
      <c r="B742" s="4">
        <v>1.9980019980019902E-3</v>
      </c>
      <c r="C742" s="4">
        <v>4.2569340091179797E-2</v>
      </c>
    </row>
    <row r="743" spans="1:3" x14ac:dyDescent="0.2">
      <c r="A743" s="4" t="str">
        <f>"MT-ATP8"</f>
        <v>MT-ATP8</v>
      </c>
      <c r="B743" s="4">
        <v>1.9980019980019902E-3</v>
      </c>
      <c r="C743" s="4">
        <v>4.2569340091179797E-2</v>
      </c>
    </row>
    <row r="744" spans="1:3" x14ac:dyDescent="0.2">
      <c r="A744" s="4" t="str">
        <f>"CENPI"</f>
        <v>CENPI</v>
      </c>
      <c r="B744" s="4">
        <v>1.9980019980019902E-3</v>
      </c>
      <c r="C744" s="4">
        <v>4.2569340091179797E-2</v>
      </c>
    </row>
    <row r="745" spans="1:3" x14ac:dyDescent="0.2">
      <c r="A745" s="4" t="str">
        <f>"DAB1"</f>
        <v>DAB1</v>
      </c>
      <c r="B745" s="4">
        <v>1.9980019980019902E-3</v>
      </c>
      <c r="C745" s="4">
        <v>4.2569340091179797E-2</v>
      </c>
    </row>
    <row r="746" spans="1:3" x14ac:dyDescent="0.2">
      <c r="A746" s="4" t="str">
        <f>"AC020911.2"</f>
        <v>AC020911.2</v>
      </c>
      <c r="B746" s="4">
        <v>1.9980019980019902E-3</v>
      </c>
      <c r="C746" s="4">
        <v>4.2569340091179797E-2</v>
      </c>
    </row>
    <row r="747" spans="1:3" x14ac:dyDescent="0.2">
      <c r="A747" s="4" t="str">
        <f>"ESPL1"</f>
        <v>ESPL1</v>
      </c>
      <c r="B747" s="4">
        <v>1.9980019980019902E-3</v>
      </c>
      <c r="C747" s="4">
        <v>4.2569340091179797E-2</v>
      </c>
    </row>
    <row r="748" spans="1:3" x14ac:dyDescent="0.2">
      <c r="A748" s="4" t="str">
        <f>"STAP1"</f>
        <v>STAP1</v>
      </c>
      <c r="B748" s="4">
        <v>1.9980019980019902E-3</v>
      </c>
      <c r="C748" s="4">
        <v>4.2569340091179797E-2</v>
      </c>
    </row>
    <row r="749" spans="1:3" x14ac:dyDescent="0.2">
      <c r="A749" s="4" t="str">
        <f>"SYT5"</f>
        <v>SYT5</v>
      </c>
      <c r="B749" s="4">
        <v>1.9980019980019902E-3</v>
      </c>
      <c r="C749" s="4">
        <v>4.2569340091179797E-2</v>
      </c>
    </row>
    <row r="750" spans="1:3" x14ac:dyDescent="0.2">
      <c r="A750" s="4" t="str">
        <f>"ABHD16B"</f>
        <v>ABHD16B</v>
      </c>
      <c r="B750" s="4">
        <v>2E-3</v>
      </c>
      <c r="C750" s="4">
        <v>4.2569340091179797E-2</v>
      </c>
    </row>
    <row r="751" spans="1:3" x14ac:dyDescent="0.2">
      <c r="A751" s="4" t="str">
        <f>"CMKLR1"</f>
        <v>CMKLR1</v>
      </c>
      <c r="B751" s="4">
        <v>1.9980019980019902E-3</v>
      </c>
      <c r="C751" s="4">
        <v>4.2569340091179797E-2</v>
      </c>
    </row>
    <row r="752" spans="1:3" x14ac:dyDescent="0.2">
      <c r="A752" s="4" t="str">
        <f>"RCSD1"</f>
        <v>RCSD1</v>
      </c>
      <c r="B752" s="4">
        <v>1.9980019980019902E-3</v>
      </c>
      <c r="C752" s="4">
        <v>4.2569340091179797E-2</v>
      </c>
    </row>
    <row r="753" spans="1:3" x14ac:dyDescent="0.2">
      <c r="A753" s="4" t="str">
        <f>"NIBAN2"</f>
        <v>NIBAN2</v>
      </c>
      <c r="B753" s="4">
        <v>1.9980019980019902E-3</v>
      </c>
      <c r="C753" s="4">
        <v>4.2569340091179797E-2</v>
      </c>
    </row>
    <row r="754" spans="1:3" x14ac:dyDescent="0.2">
      <c r="A754" s="4" t="str">
        <f>"NTN5"</f>
        <v>NTN5</v>
      </c>
      <c r="B754" s="4">
        <v>1.9980019980019902E-3</v>
      </c>
      <c r="C754" s="4">
        <v>4.2569340091179797E-2</v>
      </c>
    </row>
    <row r="755" spans="1:3" x14ac:dyDescent="0.2">
      <c r="A755" s="4" t="str">
        <f>"MTRNR2L12"</f>
        <v>MTRNR2L12</v>
      </c>
      <c r="B755" s="4">
        <v>1.9980019980019902E-3</v>
      </c>
      <c r="C755" s="4">
        <v>4.2569340091179797E-2</v>
      </c>
    </row>
    <row r="756" spans="1:3" x14ac:dyDescent="0.2">
      <c r="A756" s="4" t="str">
        <f>"AC003991.1"</f>
        <v>AC003991.1</v>
      </c>
      <c r="B756" s="4">
        <v>1.89753320683111E-3</v>
      </c>
      <c r="C756" s="4">
        <v>4.2569340091179797E-2</v>
      </c>
    </row>
    <row r="757" spans="1:3" x14ac:dyDescent="0.2">
      <c r="A757" s="4" t="str">
        <f>"RNF225"</f>
        <v>RNF225</v>
      </c>
      <c r="B757" s="4">
        <v>1.9980019980019902E-3</v>
      </c>
      <c r="C757" s="4">
        <v>4.2569340091179797E-2</v>
      </c>
    </row>
    <row r="758" spans="1:3" x14ac:dyDescent="0.2">
      <c r="A758" s="4" t="str">
        <f>"AC104530.1"</f>
        <v>AC104530.1</v>
      </c>
      <c r="B758" s="4">
        <v>1.9980019980019902E-3</v>
      </c>
      <c r="C758" s="4">
        <v>4.2569340091179797E-2</v>
      </c>
    </row>
    <row r="759" spans="1:3" x14ac:dyDescent="0.2">
      <c r="A759" s="4" t="str">
        <f>"KRT78"</f>
        <v>KRT78</v>
      </c>
      <c r="B759" s="4">
        <v>1.9980019980019902E-3</v>
      </c>
      <c r="C759" s="4">
        <v>4.2569340091179797E-2</v>
      </c>
    </row>
    <row r="760" spans="1:3" x14ac:dyDescent="0.2">
      <c r="A760" s="4" t="str">
        <f>"GSTA2"</f>
        <v>GSTA2</v>
      </c>
      <c r="B760" s="4">
        <v>1.9980019980019902E-3</v>
      </c>
      <c r="C760" s="4">
        <v>4.2569340091179797E-2</v>
      </c>
    </row>
    <row r="761" spans="1:3" x14ac:dyDescent="0.2">
      <c r="A761" s="4" t="str">
        <f>"Z69720.2"</f>
        <v>Z69720.2</v>
      </c>
      <c r="B761" s="4">
        <v>2.00803212851405E-3</v>
      </c>
      <c r="C761" s="4">
        <v>4.2569340091179797E-2</v>
      </c>
    </row>
    <row r="762" spans="1:3" x14ac:dyDescent="0.2">
      <c r="A762" s="4" t="str">
        <f>"GAPDH"</f>
        <v>GAPDH</v>
      </c>
      <c r="B762" s="4">
        <v>1.9980019980019902E-3</v>
      </c>
      <c r="C762" s="4">
        <v>4.2569340091179797E-2</v>
      </c>
    </row>
    <row r="763" spans="1:3" x14ac:dyDescent="0.2">
      <c r="A763" s="4" t="str">
        <f>"OLFML3"</f>
        <v>OLFML3</v>
      </c>
      <c r="B763" s="4">
        <v>1.9980019980019902E-3</v>
      </c>
      <c r="C763" s="4">
        <v>4.2569340091179797E-2</v>
      </c>
    </row>
    <row r="764" spans="1:3" x14ac:dyDescent="0.2">
      <c r="A764" s="4" t="str">
        <f>"KRT13"</f>
        <v>KRT13</v>
      </c>
      <c r="B764" s="4">
        <v>1.9980019980019902E-3</v>
      </c>
      <c r="C764" s="4">
        <v>4.2569340091179797E-2</v>
      </c>
    </row>
    <row r="765" spans="1:3" x14ac:dyDescent="0.2">
      <c r="A765" s="4" t="str">
        <f>"EPHX1"</f>
        <v>EPHX1</v>
      </c>
      <c r="B765" s="4">
        <v>1.9980019980019902E-3</v>
      </c>
      <c r="C765" s="4">
        <v>4.2569340091179797E-2</v>
      </c>
    </row>
    <row r="766" spans="1:3" x14ac:dyDescent="0.2">
      <c r="A766" s="4" t="str">
        <f>"CEP55"</f>
        <v>CEP55</v>
      </c>
      <c r="B766" s="4">
        <v>1.9980019980019902E-3</v>
      </c>
      <c r="C766" s="4">
        <v>4.2569340091179797E-2</v>
      </c>
    </row>
    <row r="767" spans="1:3" x14ac:dyDescent="0.2">
      <c r="A767" s="4" t="str">
        <f>"STAB1"</f>
        <v>STAB1</v>
      </c>
      <c r="B767" s="4">
        <v>1.9980019980019902E-3</v>
      </c>
      <c r="C767" s="4">
        <v>4.2569340091179797E-2</v>
      </c>
    </row>
    <row r="768" spans="1:3" x14ac:dyDescent="0.2">
      <c r="A768" s="4" t="str">
        <f>"AC135977.1"</f>
        <v>AC135977.1</v>
      </c>
      <c r="B768" s="4">
        <v>1.9980019980019902E-3</v>
      </c>
      <c r="C768" s="4">
        <v>4.2569340091179797E-2</v>
      </c>
    </row>
    <row r="769" spans="1:3" x14ac:dyDescent="0.2">
      <c r="A769" s="4" t="str">
        <f>"VWA3A"</f>
        <v>VWA3A</v>
      </c>
      <c r="B769" s="4">
        <v>1.9980019980019902E-3</v>
      </c>
      <c r="C769" s="4">
        <v>4.2569340091179797E-2</v>
      </c>
    </row>
    <row r="770" spans="1:3" x14ac:dyDescent="0.2">
      <c r="A770" s="4" t="str">
        <f>"PRDM1"</f>
        <v>PRDM1</v>
      </c>
      <c r="B770" s="4">
        <v>1.9980019980019902E-3</v>
      </c>
      <c r="C770" s="4">
        <v>4.2569340091179797E-2</v>
      </c>
    </row>
    <row r="771" spans="1:3" x14ac:dyDescent="0.2">
      <c r="A771" s="4" t="str">
        <f>"NAIP"</f>
        <v>NAIP</v>
      </c>
      <c r="B771" s="4">
        <v>1.9980019980019902E-3</v>
      </c>
      <c r="C771" s="4">
        <v>4.2569340091179797E-2</v>
      </c>
    </row>
    <row r="772" spans="1:3" x14ac:dyDescent="0.2">
      <c r="A772" s="4" t="str">
        <f>"UBAP2L"</f>
        <v>UBAP2L</v>
      </c>
      <c r="B772" s="4">
        <v>1.9980019980019902E-3</v>
      </c>
      <c r="C772" s="4">
        <v>4.2569340091179797E-2</v>
      </c>
    </row>
    <row r="773" spans="1:3" x14ac:dyDescent="0.2">
      <c r="A773" s="4" t="str">
        <f>"CALM1"</f>
        <v>CALM1</v>
      </c>
      <c r="B773" s="4">
        <v>1.9980019980019902E-3</v>
      </c>
      <c r="C773" s="4">
        <v>4.2569340091179797E-2</v>
      </c>
    </row>
    <row r="774" spans="1:3" x14ac:dyDescent="0.2">
      <c r="A774" s="4" t="str">
        <f>"CSF1R"</f>
        <v>CSF1R</v>
      </c>
      <c r="B774" s="4">
        <v>1.9980019980019902E-3</v>
      </c>
      <c r="C774" s="4">
        <v>4.2569340091179797E-2</v>
      </c>
    </row>
    <row r="775" spans="1:3" x14ac:dyDescent="0.2">
      <c r="A775" s="4" t="str">
        <f>"DAPK2"</f>
        <v>DAPK2</v>
      </c>
      <c r="B775" s="4">
        <v>1.9980019980019902E-3</v>
      </c>
      <c r="C775" s="4">
        <v>4.2569340091179797E-2</v>
      </c>
    </row>
    <row r="776" spans="1:3" x14ac:dyDescent="0.2">
      <c r="A776" s="4" t="str">
        <f>"ZNF815P"</f>
        <v>ZNF815P</v>
      </c>
      <c r="B776" s="4">
        <v>1.9980019980019902E-3</v>
      </c>
      <c r="C776" s="4">
        <v>4.2569340091179797E-2</v>
      </c>
    </row>
    <row r="777" spans="1:3" x14ac:dyDescent="0.2">
      <c r="A777" s="4" t="str">
        <f>"PDHB"</f>
        <v>PDHB</v>
      </c>
      <c r="B777" s="4">
        <v>1.9980019980019902E-3</v>
      </c>
      <c r="C777" s="4">
        <v>4.2569340091179797E-2</v>
      </c>
    </row>
    <row r="778" spans="1:3" x14ac:dyDescent="0.2">
      <c r="A778" s="4" t="str">
        <f>"ACTN4"</f>
        <v>ACTN4</v>
      </c>
      <c r="B778" s="4">
        <v>1.9980019980019902E-3</v>
      </c>
      <c r="C778" s="4">
        <v>4.2569340091179797E-2</v>
      </c>
    </row>
    <row r="779" spans="1:3" x14ac:dyDescent="0.2">
      <c r="A779" s="4" t="str">
        <f>"GNB1"</f>
        <v>GNB1</v>
      </c>
      <c r="B779" s="4">
        <v>1.9980019980019902E-3</v>
      </c>
      <c r="C779" s="4">
        <v>4.2569340091179797E-2</v>
      </c>
    </row>
    <row r="780" spans="1:3" x14ac:dyDescent="0.2">
      <c r="A780" s="4" t="str">
        <f>"UBA1"</f>
        <v>UBA1</v>
      </c>
      <c r="B780" s="4">
        <v>1.9980019980019902E-3</v>
      </c>
      <c r="C780" s="4">
        <v>4.2569340091179797E-2</v>
      </c>
    </row>
    <row r="781" spans="1:3" x14ac:dyDescent="0.2">
      <c r="A781" s="4" t="str">
        <f>"ZMPSTE24"</f>
        <v>ZMPSTE24</v>
      </c>
      <c r="B781" s="4">
        <v>1.9980019980019902E-3</v>
      </c>
      <c r="C781" s="4">
        <v>4.2569340091179797E-2</v>
      </c>
    </row>
    <row r="782" spans="1:3" x14ac:dyDescent="0.2">
      <c r="A782" s="4" t="str">
        <f>"SLC25A3"</f>
        <v>SLC25A3</v>
      </c>
      <c r="B782" s="4">
        <v>1.9980019980019902E-3</v>
      </c>
      <c r="C782" s="4">
        <v>4.2569340091179797E-2</v>
      </c>
    </row>
    <row r="783" spans="1:3" x14ac:dyDescent="0.2">
      <c r="A783" s="4" t="str">
        <f>"TXNDC12"</f>
        <v>TXNDC12</v>
      </c>
      <c r="B783" s="4">
        <v>1.9980019980019902E-3</v>
      </c>
      <c r="C783" s="4">
        <v>4.2569340091179797E-2</v>
      </c>
    </row>
    <row r="784" spans="1:3" x14ac:dyDescent="0.2">
      <c r="A784" s="4" t="str">
        <f>"LINC01978"</f>
        <v>LINC01978</v>
      </c>
      <c r="B784" s="4">
        <v>1.9980019980019902E-3</v>
      </c>
      <c r="C784" s="4">
        <v>4.2569340091179797E-2</v>
      </c>
    </row>
    <row r="785" spans="1:3" x14ac:dyDescent="0.2">
      <c r="A785" s="4" t="str">
        <f>"INA"</f>
        <v>INA</v>
      </c>
      <c r="B785" s="4">
        <v>1.9980019980019902E-3</v>
      </c>
      <c r="C785" s="4">
        <v>4.2569340091179797E-2</v>
      </c>
    </row>
    <row r="786" spans="1:3" x14ac:dyDescent="0.2">
      <c r="A786" s="4" t="str">
        <f>"H2BC4"</f>
        <v>H2BC4</v>
      </c>
      <c r="B786" s="4">
        <v>1.9980019980019902E-3</v>
      </c>
      <c r="C786" s="4">
        <v>4.2569340091179797E-2</v>
      </c>
    </row>
    <row r="787" spans="1:3" x14ac:dyDescent="0.2">
      <c r="A787" s="4" t="str">
        <f>"FYB2"</f>
        <v>FYB2</v>
      </c>
      <c r="B787" s="4">
        <v>1.9980019980019902E-3</v>
      </c>
      <c r="C787" s="4">
        <v>4.2569340091179797E-2</v>
      </c>
    </row>
    <row r="788" spans="1:3" x14ac:dyDescent="0.2">
      <c r="A788" s="4" t="str">
        <f>"MYCBPAP"</f>
        <v>MYCBPAP</v>
      </c>
      <c r="B788" s="4">
        <v>1.9980019980019902E-3</v>
      </c>
      <c r="C788" s="4">
        <v>4.2569340091179797E-2</v>
      </c>
    </row>
    <row r="789" spans="1:3" x14ac:dyDescent="0.2">
      <c r="A789" s="4" t="str">
        <f>"FGR"</f>
        <v>FGR</v>
      </c>
      <c r="B789" s="4">
        <v>1.9980019980019902E-3</v>
      </c>
      <c r="C789" s="4">
        <v>4.2569340091179797E-2</v>
      </c>
    </row>
    <row r="790" spans="1:3" x14ac:dyDescent="0.2">
      <c r="A790" s="4" t="str">
        <f>"LMNB1"</f>
        <v>LMNB1</v>
      </c>
      <c r="B790" s="4">
        <v>1.9980019980019902E-3</v>
      </c>
      <c r="C790" s="4">
        <v>4.2569340091179797E-2</v>
      </c>
    </row>
    <row r="791" spans="1:3" x14ac:dyDescent="0.2">
      <c r="A791" s="4" t="str">
        <f>"LCP2"</f>
        <v>LCP2</v>
      </c>
      <c r="B791" s="4">
        <v>1.9980019980019902E-3</v>
      </c>
      <c r="C791" s="4">
        <v>4.2569340091179797E-2</v>
      </c>
    </row>
    <row r="792" spans="1:3" x14ac:dyDescent="0.2">
      <c r="A792" s="4" t="str">
        <f>"SCGB1B2P"</f>
        <v>SCGB1B2P</v>
      </c>
      <c r="B792" s="4">
        <v>2.0181634712411701E-3</v>
      </c>
      <c r="C792" s="4">
        <v>4.2579642579642502E-2</v>
      </c>
    </row>
    <row r="793" spans="1:3" x14ac:dyDescent="0.2">
      <c r="A793" s="4" t="str">
        <f>"AL645939.1"</f>
        <v>AL645939.1</v>
      </c>
      <c r="B793" s="4">
        <v>2.0202020202020202E-3</v>
      </c>
      <c r="C793" s="4">
        <v>4.2579642579642502E-2</v>
      </c>
    </row>
    <row r="794" spans="1:3" x14ac:dyDescent="0.2">
      <c r="A794" s="4" t="str">
        <f>"AC124068.1"</f>
        <v>AC124068.1</v>
      </c>
      <c r="B794" s="4">
        <v>2.0202020202020202E-3</v>
      </c>
      <c r="C794" s="4">
        <v>4.2579642579642502E-2</v>
      </c>
    </row>
    <row r="795" spans="1:3" x14ac:dyDescent="0.2">
      <c r="A795" s="4" t="str">
        <f>"CLDN25"</f>
        <v>CLDN25</v>
      </c>
      <c r="B795" s="4">
        <v>2.02634245187436E-3</v>
      </c>
      <c r="C795" s="4">
        <v>4.2601619799532101E-2</v>
      </c>
    </row>
    <row r="796" spans="1:3" x14ac:dyDescent="0.2">
      <c r="A796" s="4" t="str">
        <f>"AC011479.4"</f>
        <v>AC011479.4</v>
      </c>
      <c r="B796" s="4">
        <v>2.0242914979756998E-3</v>
      </c>
      <c r="C796" s="4">
        <v>4.2601619799532101E-2</v>
      </c>
    </row>
    <row r="797" spans="1:3" x14ac:dyDescent="0.2">
      <c r="A797" s="4" t="str">
        <f>"AC017104.2"</f>
        <v>AC017104.2</v>
      </c>
      <c r="B797" s="4">
        <v>2.0408163265306098E-3</v>
      </c>
      <c r="C797" s="4">
        <v>4.2798248534043397E-2</v>
      </c>
    </row>
    <row r="798" spans="1:3" x14ac:dyDescent="0.2">
      <c r="A798" s="4" t="str">
        <f>"AL157712.1"</f>
        <v>AL157712.1</v>
      </c>
      <c r="B798" s="4">
        <v>2.0408163265306098E-3</v>
      </c>
      <c r="C798" s="4">
        <v>4.2798248534043397E-2</v>
      </c>
    </row>
    <row r="799" spans="1:3" x14ac:dyDescent="0.2">
      <c r="A799" s="4" t="str">
        <f>"AC011773.4"</f>
        <v>AC011773.4</v>
      </c>
      <c r="B799" s="4">
        <v>2.04708290685772E-3</v>
      </c>
      <c r="C799" s="4">
        <v>4.2875869304786797E-2</v>
      </c>
    </row>
    <row r="800" spans="1:3" x14ac:dyDescent="0.2">
      <c r="A800" s="4" t="str">
        <f>"UNC93B3"</f>
        <v>UNC93B3</v>
      </c>
      <c r="B800" s="4">
        <v>2.0661157024793298E-3</v>
      </c>
      <c r="C800" s="4">
        <v>4.3220347748735302E-2</v>
      </c>
    </row>
    <row r="801" spans="1:3" x14ac:dyDescent="0.2">
      <c r="A801" s="4" t="str">
        <f>"USP12-AS2"</f>
        <v>USP12-AS2</v>
      </c>
      <c r="B801" s="4">
        <v>2.0920502092050199E-3</v>
      </c>
      <c r="C801" s="4">
        <v>4.3708158995815802E-2</v>
      </c>
    </row>
    <row r="802" spans="1:3" x14ac:dyDescent="0.2">
      <c r="A802" s="4" t="str">
        <f>"AP003717.1"</f>
        <v>AP003717.1</v>
      </c>
      <c r="B802" s="4">
        <v>2.09863588667366E-3</v>
      </c>
      <c r="C802" s="4">
        <v>4.3791011497957E-2</v>
      </c>
    </row>
    <row r="803" spans="1:3" x14ac:dyDescent="0.2">
      <c r="A803" s="4" t="str">
        <f>"UBBP4"</f>
        <v>UBBP4</v>
      </c>
      <c r="B803" s="4">
        <v>2.20750551876379E-3</v>
      </c>
      <c r="C803" s="4">
        <v>4.6005295811244303E-2</v>
      </c>
    </row>
    <row r="804" spans="1:3" x14ac:dyDescent="0.2">
      <c r="A804" s="4" t="str">
        <f>"TCF23"</f>
        <v>TCF23</v>
      </c>
      <c r="B804" s="4">
        <v>2.3041474654377802E-3</v>
      </c>
      <c r="C804" s="4">
        <v>4.7959552599411003E-2</v>
      </c>
    </row>
    <row r="805" spans="1:3" x14ac:dyDescent="0.2">
      <c r="A805" s="4" t="str">
        <f>"LINC00485"</f>
        <v>LINC00485</v>
      </c>
      <c r="B805" s="4">
        <v>2.3612750885478101E-3</v>
      </c>
      <c r="C805" s="4">
        <v>4.9087502276104603E-2</v>
      </c>
    </row>
    <row r="806" spans="1:3" x14ac:dyDescent="0.2">
      <c r="A806" s="4" t="str">
        <f>"NACA2"</f>
        <v>NACA2</v>
      </c>
      <c r="B806" s="4">
        <v>2.4038461538461501E-3</v>
      </c>
      <c r="C806" s="4">
        <v>4.9910415671285097E-2</v>
      </c>
    </row>
    <row r="807" spans="1:3" s="7" customFormat="1" x14ac:dyDescent="0.2">
      <c r="A807" s="6" t="str">
        <f>"AC113348.3"</f>
        <v>AC113348.3</v>
      </c>
      <c r="B807" s="6">
        <v>2.4875621890547198E-3</v>
      </c>
      <c r="C807" s="6">
        <v>5.1584509215707897E-2</v>
      </c>
    </row>
    <row r="808" spans="1:3" s="7" customFormat="1" x14ac:dyDescent="0.2">
      <c r="A808" s="6" t="str">
        <f>"NACA4P"</f>
        <v>NACA4P</v>
      </c>
      <c r="B808" s="6">
        <v>2.5125628140703501E-3</v>
      </c>
      <c r="C808" s="6">
        <v>5.20383827439551E-2</v>
      </c>
    </row>
    <row r="809" spans="1:3" s="7" customFormat="1" x14ac:dyDescent="0.2">
      <c r="A809" s="6" t="str">
        <f>"CTSE"</f>
        <v>CTSE</v>
      </c>
      <c r="B809" s="6">
        <v>2.9970029970029901E-3</v>
      </c>
      <c r="C809" s="6">
        <v>5.24430434159621E-2</v>
      </c>
    </row>
    <row r="810" spans="1:3" s="7" customFormat="1" x14ac:dyDescent="0.2">
      <c r="A810" s="6" t="str">
        <f>"AL137857.1"</f>
        <v>AL137857.1</v>
      </c>
      <c r="B810" s="6">
        <v>2.9970029970029901E-3</v>
      </c>
      <c r="C810" s="6">
        <v>5.24430434159621E-2</v>
      </c>
    </row>
    <row r="811" spans="1:3" s="7" customFormat="1" x14ac:dyDescent="0.2">
      <c r="A811" s="6" t="str">
        <f>"SSTR3"</f>
        <v>SSTR3</v>
      </c>
      <c r="B811" s="6">
        <v>2.9970029970029901E-3</v>
      </c>
      <c r="C811" s="6">
        <v>5.24430434159621E-2</v>
      </c>
    </row>
    <row r="812" spans="1:3" s="7" customFormat="1" x14ac:dyDescent="0.2">
      <c r="A812" s="6" t="str">
        <f>"OR52K3P"</f>
        <v>OR52K3P</v>
      </c>
      <c r="B812" s="6">
        <v>2.9970029970029901E-3</v>
      </c>
      <c r="C812" s="6">
        <v>5.24430434159621E-2</v>
      </c>
    </row>
    <row r="813" spans="1:3" s="7" customFormat="1" x14ac:dyDescent="0.2">
      <c r="A813" s="6" t="str">
        <f>"MT-TL1"</f>
        <v>MT-TL1</v>
      </c>
      <c r="B813" s="6">
        <v>2.9970029970029901E-3</v>
      </c>
      <c r="C813" s="6">
        <v>5.24430434159621E-2</v>
      </c>
    </row>
    <row r="814" spans="1:3" s="7" customFormat="1" x14ac:dyDescent="0.2">
      <c r="A814" s="6" t="str">
        <f>"LIMD1-AS1"</f>
        <v>LIMD1-AS1</v>
      </c>
      <c r="B814" s="6">
        <v>3.0060120240480901E-3</v>
      </c>
      <c r="C814" s="6">
        <v>5.24430434159621E-2</v>
      </c>
    </row>
    <row r="815" spans="1:3" s="7" customFormat="1" x14ac:dyDescent="0.2">
      <c r="A815" s="6" t="str">
        <f>"LINC01506"</f>
        <v>LINC01506</v>
      </c>
      <c r="B815" s="6">
        <v>2.9970029970029901E-3</v>
      </c>
      <c r="C815" s="6">
        <v>5.24430434159621E-2</v>
      </c>
    </row>
    <row r="816" spans="1:3" s="7" customFormat="1" x14ac:dyDescent="0.2">
      <c r="A816" s="6" t="str">
        <f>"AC105046.1"</f>
        <v>AC105046.1</v>
      </c>
      <c r="B816" s="6">
        <v>2.9970029970029901E-3</v>
      </c>
      <c r="C816" s="6">
        <v>5.24430434159621E-2</v>
      </c>
    </row>
    <row r="817" spans="1:3" s="7" customFormat="1" x14ac:dyDescent="0.2">
      <c r="A817" s="6" t="str">
        <f>"UQCRFS1P1"</f>
        <v>UQCRFS1P1</v>
      </c>
      <c r="B817" s="6">
        <v>2.9970029970029901E-3</v>
      </c>
      <c r="C817" s="6">
        <v>5.24430434159621E-2</v>
      </c>
    </row>
    <row r="818" spans="1:3" s="7" customFormat="1" x14ac:dyDescent="0.2">
      <c r="A818" s="6" t="str">
        <f>"DKK1"</f>
        <v>DKK1</v>
      </c>
      <c r="B818" s="6">
        <v>2.9970029970029901E-3</v>
      </c>
      <c r="C818" s="6">
        <v>5.24430434159621E-2</v>
      </c>
    </row>
    <row r="819" spans="1:3" s="7" customFormat="1" x14ac:dyDescent="0.2">
      <c r="A819" s="6" t="str">
        <f>"QPCT"</f>
        <v>QPCT</v>
      </c>
      <c r="B819" s="6">
        <v>2.9970029970029901E-3</v>
      </c>
      <c r="C819" s="6">
        <v>5.24430434159621E-2</v>
      </c>
    </row>
    <row r="820" spans="1:3" s="7" customFormat="1" x14ac:dyDescent="0.2">
      <c r="A820" s="6" t="str">
        <f>"LUCAT1"</f>
        <v>LUCAT1</v>
      </c>
      <c r="B820" s="6">
        <v>2.9970029970029901E-3</v>
      </c>
      <c r="C820" s="6">
        <v>5.24430434159621E-2</v>
      </c>
    </row>
    <row r="821" spans="1:3" s="7" customFormat="1" x14ac:dyDescent="0.2">
      <c r="A821" s="6" t="str">
        <f>"SYNJ1"</f>
        <v>SYNJ1</v>
      </c>
      <c r="B821" s="6">
        <v>3.0000000000000001E-3</v>
      </c>
      <c r="C821" s="6">
        <v>5.24430434159621E-2</v>
      </c>
    </row>
    <row r="822" spans="1:3" s="7" customFormat="1" x14ac:dyDescent="0.2">
      <c r="A822" s="6" t="str">
        <f>"LSAMP"</f>
        <v>LSAMP</v>
      </c>
      <c r="B822" s="6">
        <v>2.9970029970029901E-3</v>
      </c>
      <c r="C822" s="6">
        <v>5.24430434159621E-2</v>
      </c>
    </row>
    <row r="823" spans="1:3" s="7" customFormat="1" x14ac:dyDescent="0.2">
      <c r="A823" s="6" t="str">
        <f>"FCER1G"</f>
        <v>FCER1G</v>
      </c>
      <c r="B823" s="6">
        <v>2.9970029970029901E-3</v>
      </c>
      <c r="C823" s="6">
        <v>5.24430434159621E-2</v>
      </c>
    </row>
    <row r="824" spans="1:3" s="7" customFormat="1" x14ac:dyDescent="0.2">
      <c r="A824" s="6" t="str">
        <f>"SPRR1A"</f>
        <v>SPRR1A</v>
      </c>
      <c r="B824" s="6">
        <v>2.9970029970029901E-3</v>
      </c>
      <c r="C824" s="6">
        <v>5.24430434159621E-2</v>
      </c>
    </row>
    <row r="825" spans="1:3" s="7" customFormat="1" x14ac:dyDescent="0.2">
      <c r="A825" s="6" t="str">
        <f>"ATG16L2"</f>
        <v>ATG16L2</v>
      </c>
      <c r="B825" s="6">
        <v>3.0000000000000001E-3</v>
      </c>
      <c r="C825" s="6">
        <v>5.24430434159621E-2</v>
      </c>
    </row>
    <row r="826" spans="1:3" s="7" customFormat="1" x14ac:dyDescent="0.2">
      <c r="A826" s="6" t="str">
        <f>"RHOG"</f>
        <v>RHOG</v>
      </c>
      <c r="B826" s="6">
        <v>2.9970029970029901E-3</v>
      </c>
      <c r="C826" s="6">
        <v>5.24430434159621E-2</v>
      </c>
    </row>
    <row r="827" spans="1:3" s="7" customFormat="1" x14ac:dyDescent="0.2">
      <c r="A827" s="6" t="str">
        <f>"RAC2"</f>
        <v>RAC2</v>
      </c>
      <c r="B827" s="6">
        <v>2.9970029970029901E-3</v>
      </c>
      <c r="C827" s="6">
        <v>5.24430434159621E-2</v>
      </c>
    </row>
    <row r="828" spans="1:3" s="7" customFormat="1" x14ac:dyDescent="0.2">
      <c r="A828" s="6" t="str">
        <f>"JAML"</f>
        <v>JAML</v>
      </c>
      <c r="B828" s="6">
        <v>2.9970029970029901E-3</v>
      </c>
      <c r="C828" s="6">
        <v>5.24430434159621E-2</v>
      </c>
    </row>
    <row r="829" spans="1:3" s="7" customFormat="1" x14ac:dyDescent="0.2">
      <c r="A829" s="6" t="str">
        <f>"PIK3CD"</f>
        <v>PIK3CD</v>
      </c>
      <c r="B829" s="6">
        <v>2.9970029970029901E-3</v>
      </c>
      <c r="C829" s="6">
        <v>5.24430434159621E-2</v>
      </c>
    </row>
    <row r="830" spans="1:3" s="7" customFormat="1" x14ac:dyDescent="0.2">
      <c r="A830" s="6" t="str">
        <f>"DAAM1"</f>
        <v>DAAM1</v>
      </c>
      <c r="B830" s="6">
        <v>2.9970029970029901E-3</v>
      </c>
      <c r="C830" s="6">
        <v>5.24430434159621E-2</v>
      </c>
    </row>
    <row r="831" spans="1:3" s="7" customFormat="1" x14ac:dyDescent="0.2">
      <c r="A831" s="6" t="str">
        <f>"CSF2RB"</f>
        <v>CSF2RB</v>
      </c>
      <c r="B831" s="6">
        <v>2.9970029970029901E-3</v>
      </c>
      <c r="C831" s="6">
        <v>5.24430434159621E-2</v>
      </c>
    </row>
    <row r="832" spans="1:3" s="7" customFormat="1" x14ac:dyDescent="0.2">
      <c r="A832" s="6" t="str">
        <f>"PTAFR"</f>
        <v>PTAFR</v>
      </c>
      <c r="B832" s="6">
        <v>2.9970029970029901E-3</v>
      </c>
      <c r="C832" s="6">
        <v>5.24430434159621E-2</v>
      </c>
    </row>
    <row r="833" spans="1:3" s="7" customFormat="1" x14ac:dyDescent="0.2">
      <c r="A833" s="6" t="str">
        <f>"MUC21"</f>
        <v>MUC21</v>
      </c>
      <c r="B833" s="6">
        <v>2.9970029970029901E-3</v>
      </c>
      <c r="C833" s="6">
        <v>5.24430434159621E-2</v>
      </c>
    </row>
    <row r="834" spans="1:3" s="7" customFormat="1" x14ac:dyDescent="0.2">
      <c r="A834" s="6" t="str">
        <f>"MX2"</f>
        <v>MX2</v>
      </c>
      <c r="B834" s="6">
        <v>2.9970029970029901E-3</v>
      </c>
      <c r="C834" s="6">
        <v>5.24430434159621E-2</v>
      </c>
    </row>
    <row r="835" spans="1:3" s="7" customFormat="1" x14ac:dyDescent="0.2">
      <c r="A835" s="6" t="str">
        <f>"PLAUR"</f>
        <v>PLAUR</v>
      </c>
      <c r="B835" s="6">
        <v>2.9970029970029901E-3</v>
      </c>
      <c r="C835" s="6">
        <v>5.24430434159621E-2</v>
      </c>
    </row>
    <row r="836" spans="1:3" s="7" customFormat="1" x14ac:dyDescent="0.2">
      <c r="A836" s="6" t="str">
        <f>"PFKFB3"</f>
        <v>PFKFB3</v>
      </c>
      <c r="B836" s="6">
        <v>2.9970029970029901E-3</v>
      </c>
      <c r="C836" s="6">
        <v>5.24430434159621E-2</v>
      </c>
    </row>
    <row r="837" spans="1:3" s="7" customFormat="1" x14ac:dyDescent="0.2">
      <c r="A837" s="6" t="str">
        <f>"SLC25A37"</f>
        <v>SLC25A37</v>
      </c>
      <c r="B837" s="6">
        <v>2.9970029970029901E-3</v>
      </c>
      <c r="C837" s="6">
        <v>5.24430434159621E-2</v>
      </c>
    </row>
    <row r="838" spans="1:3" s="7" customFormat="1" x14ac:dyDescent="0.2">
      <c r="A838" s="6" t="str">
        <f>"BCL3"</f>
        <v>BCL3</v>
      </c>
      <c r="B838" s="6">
        <v>2.9970029970029901E-3</v>
      </c>
      <c r="C838" s="6">
        <v>5.24430434159621E-2</v>
      </c>
    </row>
    <row r="839" spans="1:3" s="7" customFormat="1" x14ac:dyDescent="0.2">
      <c r="A839" s="6" t="str">
        <f>"MBOAT7"</f>
        <v>MBOAT7</v>
      </c>
      <c r="B839" s="6">
        <v>3.0000000000000001E-3</v>
      </c>
      <c r="C839" s="6">
        <v>5.24430434159621E-2</v>
      </c>
    </row>
    <row r="840" spans="1:3" s="7" customFormat="1" x14ac:dyDescent="0.2">
      <c r="A840" s="6" t="str">
        <f>"MUC5B"</f>
        <v>MUC5B</v>
      </c>
      <c r="B840" s="6">
        <v>2.9970029970029901E-3</v>
      </c>
      <c r="C840" s="6">
        <v>5.24430434159621E-2</v>
      </c>
    </row>
    <row r="841" spans="1:3" s="7" customFormat="1" x14ac:dyDescent="0.2">
      <c r="A841" s="6" t="str">
        <f>"KRT6A"</f>
        <v>KRT6A</v>
      </c>
      <c r="B841" s="6">
        <v>2.9970029970029901E-3</v>
      </c>
      <c r="C841" s="6">
        <v>5.24430434159621E-2</v>
      </c>
    </row>
    <row r="842" spans="1:3" s="7" customFormat="1" x14ac:dyDescent="0.2">
      <c r="A842" s="6" t="str">
        <f>"ZFP36L1"</f>
        <v>ZFP36L1</v>
      </c>
      <c r="B842" s="6">
        <v>2.9970029970029901E-3</v>
      </c>
      <c r="C842" s="6">
        <v>5.24430434159621E-2</v>
      </c>
    </row>
    <row r="843" spans="1:3" s="7" customFormat="1" x14ac:dyDescent="0.2">
      <c r="A843" s="6" t="str">
        <f>"NAMPT"</f>
        <v>NAMPT</v>
      </c>
      <c r="B843" s="6">
        <v>2.9970029970029901E-3</v>
      </c>
      <c r="C843" s="6">
        <v>5.24430434159621E-2</v>
      </c>
    </row>
    <row r="844" spans="1:3" s="7" customFormat="1" x14ac:dyDescent="0.2">
      <c r="A844" s="6" t="str">
        <f>"MUC1"</f>
        <v>MUC1</v>
      </c>
      <c r="B844" s="6">
        <v>2.9970029970029901E-3</v>
      </c>
      <c r="C844" s="6">
        <v>5.24430434159621E-2</v>
      </c>
    </row>
    <row r="845" spans="1:3" s="7" customFormat="1" x14ac:dyDescent="0.2">
      <c r="A845" s="6" t="str">
        <f>"AC002091.2"</f>
        <v>AC002091.2</v>
      </c>
      <c r="B845" s="6">
        <v>2.9970029970029901E-3</v>
      </c>
      <c r="C845" s="6">
        <v>5.24430434159621E-2</v>
      </c>
    </row>
    <row r="846" spans="1:3" s="7" customFormat="1" x14ac:dyDescent="0.2">
      <c r="A846" s="6" t="str">
        <f>"SOX9-AS1"</f>
        <v>SOX9-AS1</v>
      </c>
      <c r="B846" s="6">
        <v>2.9970029970029901E-3</v>
      </c>
      <c r="C846" s="6">
        <v>5.24430434159621E-2</v>
      </c>
    </row>
    <row r="847" spans="1:3" s="7" customFormat="1" x14ac:dyDescent="0.2">
      <c r="A847" s="6" t="str">
        <f>"SCART1"</f>
        <v>SCART1</v>
      </c>
      <c r="B847" s="6">
        <v>2.9970029970029901E-3</v>
      </c>
      <c r="C847" s="6">
        <v>5.24430434159621E-2</v>
      </c>
    </row>
    <row r="848" spans="1:3" s="7" customFormat="1" x14ac:dyDescent="0.2">
      <c r="A848" s="6" t="str">
        <f>"H2BC11"</f>
        <v>H2BC11</v>
      </c>
      <c r="B848" s="6">
        <v>2.9970029970029901E-3</v>
      </c>
      <c r="C848" s="6">
        <v>5.24430434159621E-2</v>
      </c>
    </row>
    <row r="849" spans="1:3" s="7" customFormat="1" x14ac:dyDescent="0.2">
      <c r="A849" s="6" t="str">
        <f>"AC099521.2"</f>
        <v>AC099521.2</v>
      </c>
      <c r="B849" s="6">
        <v>2.9970029970029901E-3</v>
      </c>
      <c r="C849" s="6">
        <v>5.24430434159621E-2</v>
      </c>
    </row>
    <row r="850" spans="1:3" s="7" customFormat="1" x14ac:dyDescent="0.2">
      <c r="A850" s="6" t="str">
        <f>"MEX3A"</f>
        <v>MEX3A</v>
      </c>
      <c r="B850" s="6">
        <v>2.9970029970029901E-3</v>
      </c>
      <c r="C850" s="6">
        <v>5.24430434159621E-2</v>
      </c>
    </row>
    <row r="851" spans="1:3" s="7" customFormat="1" x14ac:dyDescent="0.2">
      <c r="A851" s="6" t="str">
        <f>"EPHB1"</f>
        <v>EPHB1</v>
      </c>
      <c r="B851" s="6">
        <v>2.9970029970029901E-3</v>
      </c>
      <c r="C851" s="6">
        <v>5.24430434159621E-2</v>
      </c>
    </row>
    <row r="852" spans="1:3" s="7" customFormat="1" x14ac:dyDescent="0.2">
      <c r="A852" s="6" t="str">
        <f>"AL627309.6"</f>
        <v>AL627309.6</v>
      </c>
      <c r="B852" s="6">
        <v>2.9970029970029901E-3</v>
      </c>
      <c r="C852" s="6">
        <v>5.24430434159621E-2</v>
      </c>
    </row>
    <row r="853" spans="1:3" s="7" customFormat="1" x14ac:dyDescent="0.2">
      <c r="A853" s="6" t="str">
        <f>"RHCG"</f>
        <v>RHCG</v>
      </c>
      <c r="B853" s="6">
        <v>2.9970029970029901E-3</v>
      </c>
      <c r="C853" s="6">
        <v>5.24430434159621E-2</v>
      </c>
    </row>
    <row r="854" spans="1:3" s="7" customFormat="1" x14ac:dyDescent="0.2">
      <c r="A854" s="6" t="str">
        <f>"PLK3"</f>
        <v>PLK3</v>
      </c>
      <c r="B854" s="6">
        <v>3.0000000000000001E-3</v>
      </c>
      <c r="C854" s="6">
        <v>5.24430434159621E-2</v>
      </c>
    </row>
    <row r="855" spans="1:3" s="7" customFormat="1" x14ac:dyDescent="0.2">
      <c r="A855" s="6" t="str">
        <f>"ANLN"</f>
        <v>ANLN</v>
      </c>
      <c r="B855" s="6">
        <v>2.9970029970029901E-3</v>
      </c>
      <c r="C855" s="6">
        <v>5.24430434159621E-2</v>
      </c>
    </row>
    <row r="856" spans="1:3" s="7" customFormat="1" x14ac:dyDescent="0.2">
      <c r="A856" s="6" t="str">
        <f>"TSPAN11"</f>
        <v>TSPAN11</v>
      </c>
      <c r="B856" s="6">
        <v>2.9970029970029901E-3</v>
      </c>
      <c r="C856" s="6">
        <v>5.24430434159621E-2</v>
      </c>
    </row>
    <row r="857" spans="1:3" s="7" customFormat="1" x14ac:dyDescent="0.2">
      <c r="A857" s="6" t="str">
        <f>"CD93"</f>
        <v>CD93</v>
      </c>
      <c r="B857" s="6">
        <v>2.9970029970029901E-3</v>
      </c>
      <c r="C857" s="6">
        <v>5.24430434159621E-2</v>
      </c>
    </row>
    <row r="858" spans="1:3" s="7" customFormat="1" x14ac:dyDescent="0.2">
      <c r="A858" s="6" t="str">
        <f>"KRT16"</f>
        <v>KRT16</v>
      </c>
      <c r="B858" s="6">
        <v>2.9970029970029901E-3</v>
      </c>
      <c r="C858" s="6">
        <v>5.24430434159621E-2</v>
      </c>
    </row>
    <row r="859" spans="1:3" s="7" customFormat="1" x14ac:dyDescent="0.2">
      <c r="A859" s="6" t="str">
        <f>"NCF1"</f>
        <v>NCF1</v>
      </c>
      <c r="B859" s="6">
        <v>2.9970029970029901E-3</v>
      </c>
      <c r="C859" s="6">
        <v>5.24430434159621E-2</v>
      </c>
    </row>
    <row r="860" spans="1:3" s="7" customFormat="1" x14ac:dyDescent="0.2">
      <c r="A860" s="6" t="str">
        <f>"HHLA1"</f>
        <v>HHLA1</v>
      </c>
      <c r="B860" s="6">
        <v>2.9970029970029901E-3</v>
      </c>
      <c r="C860" s="6">
        <v>5.24430434159621E-2</v>
      </c>
    </row>
    <row r="861" spans="1:3" s="7" customFormat="1" x14ac:dyDescent="0.2">
      <c r="A861" s="6" t="str">
        <f>"FCGR3A"</f>
        <v>FCGR3A</v>
      </c>
      <c r="B861" s="6">
        <v>2.9970029970029901E-3</v>
      </c>
      <c r="C861" s="6">
        <v>5.24430434159621E-2</v>
      </c>
    </row>
    <row r="862" spans="1:3" s="7" customFormat="1" x14ac:dyDescent="0.2">
      <c r="A862" s="6" t="str">
        <f>"CYTH4"</f>
        <v>CYTH4</v>
      </c>
      <c r="B862" s="6">
        <v>2.9970029970029901E-3</v>
      </c>
      <c r="C862" s="6">
        <v>5.24430434159621E-2</v>
      </c>
    </row>
    <row r="863" spans="1:3" s="7" customFormat="1" x14ac:dyDescent="0.2">
      <c r="A863" s="6" t="str">
        <f>"ICAM3"</f>
        <v>ICAM3</v>
      </c>
      <c r="B863" s="6">
        <v>2.9970029970029901E-3</v>
      </c>
      <c r="C863" s="6">
        <v>5.24430434159621E-2</v>
      </c>
    </row>
    <row r="864" spans="1:3" s="7" customFormat="1" x14ac:dyDescent="0.2">
      <c r="A864" s="6" t="str">
        <f>"SPRR1B"</f>
        <v>SPRR1B</v>
      </c>
      <c r="B864" s="6">
        <v>2.9970029970029901E-3</v>
      </c>
      <c r="C864" s="6">
        <v>5.24430434159621E-2</v>
      </c>
    </row>
    <row r="865" spans="1:3" s="7" customFormat="1" x14ac:dyDescent="0.2">
      <c r="A865" s="6" t="str">
        <f>"SBNO2"</f>
        <v>SBNO2</v>
      </c>
      <c r="B865" s="6">
        <v>2.9970029970029901E-3</v>
      </c>
      <c r="C865" s="6">
        <v>5.24430434159621E-2</v>
      </c>
    </row>
    <row r="866" spans="1:3" s="7" customFormat="1" x14ac:dyDescent="0.2">
      <c r="A866" s="6" t="str">
        <f>"RGS2"</f>
        <v>RGS2</v>
      </c>
      <c r="B866" s="6">
        <v>2.9970029970029901E-3</v>
      </c>
      <c r="C866" s="6">
        <v>5.24430434159621E-2</v>
      </c>
    </row>
    <row r="867" spans="1:3" s="7" customFormat="1" x14ac:dyDescent="0.2">
      <c r="A867" s="6" t="str">
        <f>"PPL"</f>
        <v>PPL</v>
      </c>
      <c r="B867" s="6">
        <v>2.9970029970029901E-3</v>
      </c>
      <c r="C867" s="6">
        <v>5.24430434159621E-2</v>
      </c>
    </row>
    <row r="868" spans="1:3" s="7" customFormat="1" x14ac:dyDescent="0.2">
      <c r="A868" s="6" t="str">
        <f>"MT-ND4L"</f>
        <v>MT-ND4L</v>
      </c>
      <c r="B868" s="6">
        <v>2.9970029970029901E-3</v>
      </c>
      <c r="C868" s="6">
        <v>5.24430434159621E-2</v>
      </c>
    </row>
    <row r="869" spans="1:3" s="7" customFormat="1" x14ac:dyDescent="0.2">
      <c r="A869" s="6" t="str">
        <f>"ELAVL2"</f>
        <v>ELAVL2</v>
      </c>
      <c r="B869" s="6">
        <v>2.9970029970029901E-3</v>
      </c>
      <c r="C869" s="6">
        <v>5.24430434159621E-2</v>
      </c>
    </row>
    <row r="870" spans="1:3" s="7" customFormat="1" x14ac:dyDescent="0.2">
      <c r="A870" s="6" t="str">
        <f>"AC123912.2"</f>
        <v>AC123912.2</v>
      </c>
      <c r="B870" s="6">
        <v>2.9970029970029901E-3</v>
      </c>
      <c r="C870" s="6">
        <v>5.24430434159621E-2</v>
      </c>
    </row>
    <row r="871" spans="1:3" s="7" customFormat="1" x14ac:dyDescent="0.2">
      <c r="A871" s="6" t="str">
        <f>"LINC02617"</f>
        <v>LINC02617</v>
      </c>
      <c r="B871" s="6">
        <v>2.9970029970029901E-3</v>
      </c>
      <c r="C871" s="6">
        <v>5.24430434159621E-2</v>
      </c>
    </row>
    <row r="872" spans="1:3" s="7" customFormat="1" x14ac:dyDescent="0.2">
      <c r="A872" s="6" t="str">
        <f>"SPDYA"</f>
        <v>SPDYA</v>
      </c>
      <c r="B872" s="6">
        <v>2.9970029970029901E-3</v>
      </c>
      <c r="C872" s="6">
        <v>5.24430434159621E-2</v>
      </c>
    </row>
    <row r="873" spans="1:3" s="7" customFormat="1" x14ac:dyDescent="0.2">
      <c r="A873" s="6" t="str">
        <f>"DNA2"</f>
        <v>DNA2</v>
      </c>
      <c r="B873" s="6">
        <v>2.9970029970029901E-3</v>
      </c>
      <c r="C873" s="6">
        <v>5.24430434159621E-2</v>
      </c>
    </row>
    <row r="874" spans="1:3" s="7" customFormat="1" x14ac:dyDescent="0.2">
      <c r="A874" s="6" t="str">
        <f>"AP001267.3"</f>
        <v>AP001267.3</v>
      </c>
      <c r="B874" s="6">
        <v>2.9970029970029901E-3</v>
      </c>
      <c r="C874" s="6">
        <v>5.24430434159621E-2</v>
      </c>
    </row>
    <row r="875" spans="1:3" s="7" customFormat="1" x14ac:dyDescent="0.2">
      <c r="A875" s="6" t="str">
        <f>"FGD5"</f>
        <v>FGD5</v>
      </c>
      <c r="B875" s="6">
        <v>2.9970029970029901E-3</v>
      </c>
      <c r="C875" s="6">
        <v>5.24430434159621E-2</v>
      </c>
    </row>
    <row r="876" spans="1:3" s="7" customFormat="1" x14ac:dyDescent="0.2">
      <c r="A876" s="6" t="str">
        <f>"IL36G"</f>
        <v>IL36G</v>
      </c>
      <c r="B876" s="6">
        <v>2.9970029970029901E-3</v>
      </c>
      <c r="C876" s="6">
        <v>5.24430434159621E-2</v>
      </c>
    </row>
    <row r="877" spans="1:3" s="7" customFormat="1" x14ac:dyDescent="0.2">
      <c r="A877" s="6" t="str">
        <f>"LIN7A"</f>
        <v>LIN7A</v>
      </c>
      <c r="B877" s="6">
        <v>2.9970029970029901E-3</v>
      </c>
      <c r="C877" s="6">
        <v>5.24430434159621E-2</v>
      </c>
    </row>
    <row r="878" spans="1:3" s="7" customFormat="1" x14ac:dyDescent="0.2">
      <c r="A878" s="6" t="str">
        <f>"OLR1"</f>
        <v>OLR1</v>
      </c>
      <c r="B878" s="6">
        <v>2.9970029970029901E-3</v>
      </c>
      <c r="C878" s="6">
        <v>5.24430434159621E-2</v>
      </c>
    </row>
    <row r="879" spans="1:3" s="7" customFormat="1" x14ac:dyDescent="0.2">
      <c r="A879" s="6" t="str">
        <f>"IL1R2"</f>
        <v>IL1R2</v>
      </c>
      <c r="B879" s="6">
        <v>2.9970029970029901E-3</v>
      </c>
      <c r="C879" s="6">
        <v>5.24430434159621E-2</v>
      </c>
    </row>
    <row r="880" spans="1:3" s="7" customFormat="1" x14ac:dyDescent="0.2">
      <c r="A880" s="6" t="str">
        <f>"SLC9A6"</f>
        <v>SLC9A6</v>
      </c>
      <c r="B880" s="6">
        <v>3.0000000000000001E-3</v>
      </c>
      <c r="C880" s="6">
        <v>5.24430434159621E-2</v>
      </c>
    </row>
    <row r="881" spans="1:3" s="7" customFormat="1" x14ac:dyDescent="0.2">
      <c r="A881" s="6" t="str">
        <f>"A2M"</f>
        <v>A2M</v>
      </c>
      <c r="B881" s="6">
        <v>2.9970029970029901E-3</v>
      </c>
      <c r="C881" s="6">
        <v>5.24430434159621E-2</v>
      </c>
    </row>
    <row r="882" spans="1:3" s="7" customFormat="1" x14ac:dyDescent="0.2">
      <c r="A882" s="6" t="str">
        <f>"MAST3"</f>
        <v>MAST3</v>
      </c>
      <c r="B882" s="6">
        <v>2.9970029970029901E-3</v>
      </c>
      <c r="C882" s="6">
        <v>5.24430434159621E-2</v>
      </c>
    </row>
    <row r="883" spans="1:3" s="7" customFormat="1" x14ac:dyDescent="0.2">
      <c r="A883" s="6" t="str">
        <f>"LAD1"</f>
        <v>LAD1</v>
      </c>
      <c r="B883" s="6">
        <v>2.9970029970029901E-3</v>
      </c>
      <c r="C883" s="6">
        <v>5.24430434159621E-2</v>
      </c>
    </row>
    <row r="884" spans="1:3" s="7" customFormat="1" x14ac:dyDescent="0.2">
      <c r="A884" s="6" t="str">
        <f>"H2AC19"</f>
        <v>H2AC19</v>
      </c>
      <c r="B884" s="6">
        <v>2.9970029970029901E-3</v>
      </c>
      <c r="C884" s="6">
        <v>5.24430434159621E-2</v>
      </c>
    </row>
    <row r="885" spans="1:3" s="7" customFormat="1" x14ac:dyDescent="0.2">
      <c r="A885" s="6" t="str">
        <f>"ITGA6"</f>
        <v>ITGA6</v>
      </c>
      <c r="B885" s="6">
        <v>2.9970029970029901E-3</v>
      </c>
      <c r="C885" s="6">
        <v>5.24430434159621E-2</v>
      </c>
    </row>
    <row r="886" spans="1:3" s="7" customFormat="1" x14ac:dyDescent="0.2">
      <c r="A886" s="6" t="str">
        <f>"SMCHD1"</f>
        <v>SMCHD1</v>
      </c>
      <c r="B886" s="6">
        <v>2.9970029970029901E-3</v>
      </c>
      <c r="C886" s="6">
        <v>5.24430434159621E-2</v>
      </c>
    </row>
    <row r="887" spans="1:3" s="7" customFormat="1" x14ac:dyDescent="0.2">
      <c r="A887" s="6" t="str">
        <f>"MAPK3"</f>
        <v>MAPK3</v>
      </c>
      <c r="B887" s="6">
        <v>2.9970029970029901E-3</v>
      </c>
      <c r="C887" s="6">
        <v>5.24430434159621E-2</v>
      </c>
    </row>
    <row r="888" spans="1:3" s="7" customFormat="1" x14ac:dyDescent="0.2">
      <c r="A888" s="6" t="str">
        <f>"FOS"</f>
        <v>FOS</v>
      </c>
      <c r="B888" s="6">
        <v>2.9970029970029901E-3</v>
      </c>
      <c r="C888" s="6">
        <v>5.24430434159621E-2</v>
      </c>
    </row>
    <row r="889" spans="1:3" s="7" customFormat="1" x14ac:dyDescent="0.2">
      <c r="A889" s="6" t="str">
        <f>"RNF213"</f>
        <v>RNF213</v>
      </c>
      <c r="B889" s="6">
        <v>2.9970029970029901E-3</v>
      </c>
      <c r="C889" s="6">
        <v>5.24430434159621E-2</v>
      </c>
    </row>
    <row r="890" spans="1:3" s="7" customFormat="1" x14ac:dyDescent="0.2">
      <c r="A890" s="6" t="str">
        <f>"TXN"</f>
        <v>TXN</v>
      </c>
      <c r="B890" s="6">
        <v>2.9970029970029901E-3</v>
      </c>
      <c r="C890" s="6">
        <v>5.24430434159621E-2</v>
      </c>
    </row>
    <row r="891" spans="1:3" s="7" customFormat="1" x14ac:dyDescent="0.2">
      <c r="A891" s="6" t="str">
        <f>"CA12"</f>
        <v>CA12</v>
      </c>
      <c r="B891" s="6">
        <v>2.9970029970029901E-3</v>
      </c>
      <c r="C891" s="6">
        <v>5.24430434159621E-2</v>
      </c>
    </row>
    <row r="892" spans="1:3" s="7" customFormat="1" x14ac:dyDescent="0.2">
      <c r="A892" s="6" t="str">
        <f>"AC140481.3"</f>
        <v>AC140481.3</v>
      </c>
      <c r="B892" s="6">
        <v>2.9970029970029901E-3</v>
      </c>
      <c r="C892" s="6">
        <v>5.24430434159621E-2</v>
      </c>
    </row>
    <row r="893" spans="1:3" s="7" customFormat="1" x14ac:dyDescent="0.2">
      <c r="A893" s="6" t="str">
        <f>"AC000123.2"</f>
        <v>AC000123.2</v>
      </c>
      <c r="B893" s="6">
        <v>2.9970029970029901E-3</v>
      </c>
      <c r="C893" s="6">
        <v>5.24430434159621E-2</v>
      </c>
    </row>
    <row r="894" spans="1:3" s="7" customFormat="1" x14ac:dyDescent="0.2">
      <c r="A894" s="6" t="str">
        <f>"KHDRBS2"</f>
        <v>KHDRBS2</v>
      </c>
      <c r="B894" s="6">
        <v>2.9970029970029901E-3</v>
      </c>
      <c r="C894" s="6">
        <v>5.24430434159621E-2</v>
      </c>
    </row>
    <row r="895" spans="1:3" s="7" customFormat="1" x14ac:dyDescent="0.2">
      <c r="A895" s="6" t="str">
        <f>"ZNF135"</f>
        <v>ZNF135</v>
      </c>
      <c r="B895" s="6">
        <v>2.9970029970029901E-3</v>
      </c>
      <c r="C895" s="6">
        <v>5.24430434159621E-2</v>
      </c>
    </row>
    <row r="896" spans="1:3" s="7" customFormat="1" x14ac:dyDescent="0.2">
      <c r="A896" s="6" t="str">
        <f>"MELK"</f>
        <v>MELK</v>
      </c>
      <c r="B896" s="6">
        <v>2.9970029970029901E-3</v>
      </c>
      <c r="C896" s="6">
        <v>5.24430434159621E-2</v>
      </c>
    </row>
    <row r="897" spans="1:3" s="7" customFormat="1" x14ac:dyDescent="0.2">
      <c r="A897" s="6" t="str">
        <f>"TAGLN3"</f>
        <v>TAGLN3</v>
      </c>
      <c r="B897" s="6">
        <v>2.9970029970029901E-3</v>
      </c>
      <c r="C897" s="6">
        <v>5.24430434159621E-2</v>
      </c>
    </row>
    <row r="898" spans="1:3" s="7" customFormat="1" x14ac:dyDescent="0.2">
      <c r="A898" s="6" t="str">
        <f>"KRT6B"</f>
        <v>KRT6B</v>
      </c>
      <c r="B898" s="6">
        <v>2.9970029970029901E-3</v>
      </c>
      <c r="C898" s="6">
        <v>5.24430434159621E-2</v>
      </c>
    </row>
    <row r="899" spans="1:3" s="7" customFormat="1" x14ac:dyDescent="0.2">
      <c r="A899" s="6" t="str">
        <f>"TFAM"</f>
        <v>TFAM</v>
      </c>
      <c r="B899" s="6">
        <v>2.9970029970029901E-3</v>
      </c>
      <c r="C899" s="6">
        <v>5.24430434159621E-2</v>
      </c>
    </row>
    <row r="900" spans="1:3" s="7" customFormat="1" x14ac:dyDescent="0.2">
      <c r="A900" s="6" t="str">
        <f>"ABTB1"</f>
        <v>ABTB1</v>
      </c>
      <c r="B900" s="6">
        <v>2.9970029970029901E-3</v>
      </c>
      <c r="C900" s="6">
        <v>5.24430434159621E-2</v>
      </c>
    </row>
    <row r="901" spans="1:3" s="7" customFormat="1" x14ac:dyDescent="0.2">
      <c r="A901" s="6" t="str">
        <f>"CORO1A"</f>
        <v>CORO1A</v>
      </c>
      <c r="B901" s="6">
        <v>2.9970029970029901E-3</v>
      </c>
      <c r="C901" s="6">
        <v>5.24430434159621E-2</v>
      </c>
    </row>
    <row r="902" spans="1:3" s="7" customFormat="1" x14ac:dyDescent="0.2">
      <c r="A902" s="6" t="str">
        <f>"XPO6"</f>
        <v>XPO6</v>
      </c>
      <c r="B902" s="6">
        <v>2.9970029970029901E-3</v>
      </c>
      <c r="C902" s="6">
        <v>5.24430434159621E-2</v>
      </c>
    </row>
    <row r="903" spans="1:3" s="7" customFormat="1" x14ac:dyDescent="0.2">
      <c r="A903" s="6" t="str">
        <f>"LRRK1"</f>
        <v>LRRK1</v>
      </c>
      <c r="B903" s="6">
        <v>2.9970029970029901E-3</v>
      </c>
      <c r="C903" s="6">
        <v>5.24430434159621E-2</v>
      </c>
    </row>
    <row r="904" spans="1:3" s="7" customFormat="1" x14ac:dyDescent="0.2">
      <c r="A904" s="6" t="str">
        <f>"AC040162.3"</f>
        <v>AC040162.3</v>
      </c>
      <c r="B904" s="6">
        <v>3.0060120240480901E-3</v>
      </c>
      <c r="C904" s="6">
        <v>5.24430434159621E-2</v>
      </c>
    </row>
    <row r="905" spans="1:3" s="7" customFormat="1" x14ac:dyDescent="0.2">
      <c r="A905" s="6" t="str">
        <f>"AC025682.1"</f>
        <v>AC025682.1</v>
      </c>
      <c r="B905" s="6">
        <v>2.58064516129032E-3</v>
      </c>
      <c r="C905" s="6">
        <v>5.24430434159621E-2</v>
      </c>
    </row>
    <row r="906" spans="1:3" s="7" customFormat="1" x14ac:dyDescent="0.2">
      <c r="A906" s="6" t="str">
        <f>"COL23A1"</f>
        <v>COL23A1</v>
      </c>
      <c r="B906" s="6">
        <v>2.9970029970029901E-3</v>
      </c>
      <c r="C906" s="6">
        <v>5.24430434159621E-2</v>
      </c>
    </row>
    <row r="907" spans="1:3" s="7" customFormat="1" x14ac:dyDescent="0.2">
      <c r="A907" s="6" t="str">
        <f>"NEURL1"</f>
        <v>NEURL1</v>
      </c>
      <c r="B907" s="6">
        <v>2.9970029970029901E-3</v>
      </c>
      <c r="C907" s="6">
        <v>5.24430434159621E-2</v>
      </c>
    </row>
    <row r="908" spans="1:3" s="7" customFormat="1" x14ac:dyDescent="0.2">
      <c r="A908" s="6" t="str">
        <f>"CENPW"</f>
        <v>CENPW</v>
      </c>
      <c r="B908" s="6">
        <v>2.9970029970029901E-3</v>
      </c>
      <c r="C908" s="6">
        <v>5.24430434159621E-2</v>
      </c>
    </row>
    <row r="909" spans="1:3" s="7" customFormat="1" x14ac:dyDescent="0.2">
      <c r="A909" s="6" t="str">
        <f>"AL365181.3"</f>
        <v>AL365181.3</v>
      </c>
      <c r="B909" s="6">
        <v>2.9970029970029901E-3</v>
      </c>
      <c r="C909" s="6">
        <v>5.24430434159621E-2</v>
      </c>
    </row>
    <row r="910" spans="1:3" s="7" customFormat="1" x14ac:dyDescent="0.2">
      <c r="A910" s="6" t="str">
        <f>"MXD3"</f>
        <v>MXD3</v>
      </c>
      <c r="B910" s="6">
        <v>2.9970029970029901E-3</v>
      </c>
      <c r="C910" s="6">
        <v>5.24430434159621E-2</v>
      </c>
    </row>
    <row r="911" spans="1:3" s="7" customFormat="1" x14ac:dyDescent="0.2">
      <c r="A911" s="6" t="str">
        <f>"PLA2G4F"</f>
        <v>PLA2G4F</v>
      </c>
      <c r="B911" s="6">
        <v>2.9970029970029901E-3</v>
      </c>
      <c r="C911" s="6">
        <v>5.24430434159621E-2</v>
      </c>
    </row>
    <row r="912" spans="1:3" s="7" customFormat="1" x14ac:dyDescent="0.2">
      <c r="A912" s="6" t="str">
        <f>"LRRC25"</f>
        <v>LRRC25</v>
      </c>
      <c r="B912" s="6">
        <v>2.9970029970029901E-3</v>
      </c>
      <c r="C912" s="6">
        <v>5.24430434159621E-2</v>
      </c>
    </row>
    <row r="913" spans="1:3" s="7" customFormat="1" x14ac:dyDescent="0.2">
      <c r="A913" s="6" t="str">
        <f>"FGF14"</f>
        <v>FGF14</v>
      </c>
      <c r="B913" s="6">
        <v>2.9970029970029901E-3</v>
      </c>
      <c r="C913" s="6">
        <v>5.24430434159621E-2</v>
      </c>
    </row>
    <row r="914" spans="1:3" s="7" customFormat="1" x14ac:dyDescent="0.2">
      <c r="A914" s="6" t="str">
        <f>"ANKRD44-AS1"</f>
        <v>ANKRD44-AS1</v>
      </c>
      <c r="B914" s="6">
        <v>2.9970029970029901E-3</v>
      </c>
      <c r="C914" s="6">
        <v>5.24430434159621E-2</v>
      </c>
    </row>
    <row r="915" spans="1:3" s="7" customFormat="1" x14ac:dyDescent="0.2">
      <c r="A915" s="6" t="str">
        <f>"SEC14L3"</f>
        <v>SEC14L3</v>
      </c>
      <c r="B915" s="6">
        <v>2.9970029970029901E-3</v>
      </c>
      <c r="C915" s="6">
        <v>5.24430434159621E-2</v>
      </c>
    </row>
    <row r="916" spans="1:3" s="7" customFormat="1" x14ac:dyDescent="0.2">
      <c r="A916" s="6" t="str">
        <f>"GDI1"</f>
        <v>GDI1</v>
      </c>
      <c r="B916" s="6">
        <v>2.9970029970029901E-3</v>
      </c>
      <c r="C916" s="6">
        <v>5.24430434159621E-2</v>
      </c>
    </row>
    <row r="917" spans="1:3" s="7" customFormat="1" x14ac:dyDescent="0.2">
      <c r="A917" s="6" t="str">
        <f>"AC079781.2"</f>
        <v>AC079781.2</v>
      </c>
      <c r="B917" s="6">
        <v>2.9970029970029901E-3</v>
      </c>
      <c r="C917" s="6">
        <v>5.24430434159621E-2</v>
      </c>
    </row>
    <row r="918" spans="1:3" s="7" customFormat="1" x14ac:dyDescent="0.2">
      <c r="A918" s="6" t="str">
        <f>"PCDHGA5"</f>
        <v>PCDHGA5</v>
      </c>
      <c r="B918" s="6">
        <v>3.0000000000000001E-3</v>
      </c>
      <c r="C918" s="6">
        <v>5.24430434159621E-2</v>
      </c>
    </row>
    <row r="919" spans="1:3" s="7" customFormat="1" x14ac:dyDescent="0.2">
      <c r="A919" s="6" t="str">
        <f>"IL18R1"</f>
        <v>IL18R1</v>
      </c>
      <c r="B919" s="6">
        <v>3.0000000000000001E-3</v>
      </c>
      <c r="C919" s="6">
        <v>5.24430434159621E-2</v>
      </c>
    </row>
    <row r="920" spans="1:3" s="7" customFormat="1" x14ac:dyDescent="0.2">
      <c r="A920" s="6" t="str">
        <f>"DYNLRB1"</f>
        <v>DYNLRB1</v>
      </c>
      <c r="B920" s="6">
        <v>3.0000000000000001E-3</v>
      </c>
      <c r="C920" s="6">
        <v>5.24430434159621E-2</v>
      </c>
    </row>
    <row r="921" spans="1:3" s="7" customFormat="1" x14ac:dyDescent="0.2">
      <c r="A921" s="6" t="str">
        <f>"CFAP157"</f>
        <v>CFAP157</v>
      </c>
      <c r="B921" s="6">
        <v>2.9970029970029901E-3</v>
      </c>
      <c r="C921" s="6">
        <v>5.24430434159621E-2</v>
      </c>
    </row>
    <row r="922" spans="1:3" s="7" customFormat="1" x14ac:dyDescent="0.2">
      <c r="A922" s="6" t="str">
        <f>"AL034376.1"</f>
        <v>AL034376.1</v>
      </c>
      <c r="B922" s="6">
        <v>2.9970029970029901E-3</v>
      </c>
      <c r="C922" s="6">
        <v>5.24430434159621E-2</v>
      </c>
    </row>
    <row r="923" spans="1:3" s="7" customFormat="1" x14ac:dyDescent="0.2">
      <c r="A923" s="6" t="str">
        <f>"AC026523.2"</f>
        <v>AC026523.2</v>
      </c>
      <c r="B923" s="6">
        <v>3.0000000000000001E-3</v>
      </c>
      <c r="C923" s="6">
        <v>5.24430434159621E-2</v>
      </c>
    </row>
    <row r="924" spans="1:3" s="7" customFormat="1" x14ac:dyDescent="0.2">
      <c r="A924" s="6" t="str">
        <f>"PRAM1"</f>
        <v>PRAM1</v>
      </c>
      <c r="B924" s="6">
        <v>2.9970029970029901E-3</v>
      </c>
      <c r="C924" s="6">
        <v>5.24430434159621E-2</v>
      </c>
    </row>
    <row r="925" spans="1:3" s="7" customFormat="1" x14ac:dyDescent="0.2">
      <c r="A925" s="6" t="str">
        <f>"TYRO3"</f>
        <v>TYRO3</v>
      </c>
      <c r="B925" s="6">
        <v>2.9970029970029901E-3</v>
      </c>
      <c r="C925" s="6">
        <v>5.24430434159621E-2</v>
      </c>
    </row>
    <row r="926" spans="1:3" s="7" customFormat="1" x14ac:dyDescent="0.2">
      <c r="A926" s="6" t="str">
        <f>"PRSS27"</f>
        <v>PRSS27</v>
      </c>
      <c r="B926" s="6">
        <v>2.9970029970029901E-3</v>
      </c>
      <c r="C926" s="6">
        <v>5.24430434159621E-2</v>
      </c>
    </row>
    <row r="927" spans="1:3" s="7" customFormat="1" x14ac:dyDescent="0.2">
      <c r="A927" s="6" t="str">
        <f>"CFAP100"</f>
        <v>CFAP100</v>
      </c>
      <c r="B927" s="6">
        <v>2.9970029970029901E-3</v>
      </c>
      <c r="C927" s="6">
        <v>5.24430434159621E-2</v>
      </c>
    </row>
    <row r="928" spans="1:3" s="7" customFormat="1" x14ac:dyDescent="0.2">
      <c r="A928" s="6" t="str">
        <f>"MUC16"</f>
        <v>MUC16</v>
      </c>
      <c r="B928" s="6">
        <v>2.9970029970029901E-3</v>
      </c>
      <c r="C928" s="6">
        <v>5.24430434159621E-2</v>
      </c>
    </row>
    <row r="929" spans="1:3" s="7" customFormat="1" x14ac:dyDescent="0.2">
      <c r="A929" s="6" t="str">
        <f>"LINC00894"</f>
        <v>LINC00894</v>
      </c>
      <c r="B929" s="6">
        <v>2.9970029970029901E-3</v>
      </c>
      <c r="C929" s="6">
        <v>5.24430434159621E-2</v>
      </c>
    </row>
    <row r="930" spans="1:3" s="7" customFormat="1" x14ac:dyDescent="0.2">
      <c r="A930" s="6" t="str">
        <f>"AC002064.1"</f>
        <v>AC002064.1</v>
      </c>
      <c r="B930" s="6">
        <v>2.9970029970029901E-3</v>
      </c>
      <c r="C930" s="6">
        <v>5.24430434159621E-2</v>
      </c>
    </row>
    <row r="931" spans="1:3" s="7" customFormat="1" x14ac:dyDescent="0.2">
      <c r="A931" s="6" t="str">
        <f>"NRGN"</f>
        <v>NRGN</v>
      </c>
      <c r="B931" s="6">
        <v>2.9970029970029901E-3</v>
      </c>
      <c r="C931" s="6">
        <v>5.24430434159621E-2</v>
      </c>
    </row>
    <row r="932" spans="1:3" s="7" customFormat="1" x14ac:dyDescent="0.2">
      <c r="A932" s="6" t="str">
        <f>"Z97653.2"</f>
        <v>Z97653.2</v>
      </c>
      <c r="B932" s="6">
        <v>3.0000000000000001E-3</v>
      </c>
      <c r="C932" s="6">
        <v>5.24430434159621E-2</v>
      </c>
    </row>
    <row r="933" spans="1:3" s="7" customFormat="1" x14ac:dyDescent="0.2">
      <c r="A933" s="6" t="str">
        <f>"KCNS1"</f>
        <v>KCNS1</v>
      </c>
      <c r="B933" s="6">
        <v>2.9970029970029901E-3</v>
      </c>
      <c r="C933" s="6">
        <v>5.24430434159621E-2</v>
      </c>
    </row>
    <row r="934" spans="1:3" s="7" customFormat="1" x14ac:dyDescent="0.2">
      <c r="A934" s="6" t="str">
        <f>"NLRP12"</f>
        <v>NLRP12</v>
      </c>
      <c r="B934" s="6">
        <v>2.9970029970029901E-3</v>
      </c>
      <c r="C934" s="6">
        <v>5.24430434159621E-2</v>
      </c>
    </row>
    <row r="935" spans="1:3" s="7" customFormat="1" x14ac:dyDescent="0.2">
      <c r="A935" s="6" t="str">
        <f>"FBXW10"</f>
        <v>FBXW10</v>
      </c>
      <c r="B935" s="6">
        <v>2.9970029970029901E-3</v>
      </c>
      <c r="C935" s="6">
        <v>5.24430434159621E-2</v>
      </c>
    </row>
    <row r="936" spans="1:3" s="7" customFormat="1" x14ac:dyDescent="0.2">
      <c r="A936" s="6" t="str">
        <f>"TK1"</f>
        <v>TK1</v>
      </c>
      <c r="B936" s="6">
        <v>2.9970029970029901E-3</v>
      </c>
      <c r="C936" s="6">
        <v>5.24430434159621E-2</v>
      </c>
    </row>
    <row r="937" spans="1:3" s="7" customFormat="1" x14ac:dyDescent="0.2">
      <c r="A937" s="6" t="str">
        <f>"RRM2"</f>
        <v>RRM2</v>
      </c>
      <c r="B937" s="6">
        <v>2.9970029970029901E-3</v>
      </c>
      <c r="C937" s="6">
        <v>5.24430434159621E-2</v>
      </c>
    </row>
    <row r="938" spans="1:3" s="7" customFormat="1" x14ac:dyDescent="0.2">
      <c r="A938" s="6" t="str">
        <f>"BIN2"</f>
        <v>BIN2</v>
      </c>
      <c r="B938" s="6">
        <v>2.9970029970029901E-3</v>
      </c>
      <c r="C938" s="6">
        <v>5.24430434159621E-2</v>
      </c>
    </row>
    <row r="939" spans="1:3" s="7" customFormat="1" x14ac:dyDescent="0.2">
      <c r="A939" s="6" t="str">
        <f>"C8orf34"</f>
        <v>C8orf34</v>
      </c>
      <c r="B939" s="6">
        <v>2.9970029970029901E-3</v>
      </c>
      <c r="C939" s="6">
        <v>5.24430434159621E-2</v>
      </c>
    </row>
    <row r="940" spans="1:3" s="7" customFormat="1" x14ac:dyDescent="0.2">
      <c r="A940" s="6" t="str">
        <f>"ABCA1"</f>
        <v>ABCA1</v>
      </c>
      <c r="B940" s="6">
        <v>2.9970029970029901E-3</v>
      </c>
      <c r="C940" s="6">
        <v>5.24430434159621E-2</v>
      </c>
    </row>
    <row r="941" spans="1:3" s="7" customFormat="1" x14ac:dyDescent="0.2">
      <c r="A941" s="6" t="str">
        <f>"MRPL28"</f>
        <v>MRPL28</v>
      </c>
      <c r="B941" s="6">
        <v>2.9970029970029901E-3</v>
      </c>
      <c r="C941" s="6">
        <v>5.24430434159621E-2</v>
      </c>
    </row>
    <row r="942" spans="1:3" s="7" customFormat="1" x14ac:dyDescent="0.2">
      <c r="A942" s="6" t="str">
        <f>"CACNA1C-AS1"</f>
        <v>CACNA1C-AS1</v>
      </c>
      <c r="B942" s="6">
        <v>3.0090270812437301E-3</v>
      </c>
      <c r="C942" s="6">
        <v>5.24430434159621E-2</v>
      </c>
    </row>
    <row r="943" spans="1:3" s="7" customFormat="1" x14ac:dyDescent="0.2">
      <c r="A943" s="6" t="str">
        <f>"AL158071.2"</f>
        <v>AL158071.2</v>
      </c>
      <c r="B943" s="6">
        <v>2.9970029970029901E-3</v>
      </c>
      <c r="C943" s="6">
        <v>5.24430434159621E-2</v>
      </c>
    </row>
    <row r="944" spans="1:3" s="7" customFormat="1" x14ac:dyDescent="0.2">
      <c r="A944" s="6" t="str">
        <f>"SEMA4D"</f>
        <v>SEMA4D</v>
      </c>
      <c r="B944" s="6">
        <v>2.9970029970029901E-3</v>
      </c>
      <c r="C944" s="6">
        <v>5.24430434159621E-2</v>
      </c>
    </row>
    <row r="945" spans="1:3" s="7" customFormat="1" x14ac:dyDescent="0.2">
      <c r="A945" s="6" t="str">
        <f>"SCAND1"</f>
        <v>SCAND1</v>
      </c>
      <c r="B945" s="6">
        <v>2.9970029970029901E-3</v>
      </c>
      <c r="C945" s="6">
        <v>5.24430434159621E-2</v>
      </c>
    </row>
    <row r="946" spans="1:3" s="7" customFormat="1" x14ac:dyDescent="0.2">
      <c r="A946" s="6" t="str">
        <f>"SIAH3"</f>
        <v>SIAH3</v>
      </c>
      <c r="B946" s="6">
        <v>2.9970029970029901E-3</v>
      </c>
      <c r="C946" s="6">
        <v>5.24430434159621E-2</v>
      </c>
    </row>
    <row r="947" spans="1:3" s="7" customFormat="1" x14ac:dyDescent="0.2">
      <c r="A947" s="6" t="str">
        <f>"COMP"</f>
        <v>COMP</v>
      </c>
      <c r="B947" s="6">
        <v>2.9970029970029901E-3</v>
      </c>
      <c r="C947" s="6">
        <v>5.24430434159621E-2</v>
      </c>
    </row>
    <row r="948" spans="1:3" s="7" customFormat="1" x14ac:dyDescent="0.2">
      <c r="A948" s="6" t="str">
        <f>"HELZ2"</f>
        <v>HELZ2</v>
      </c>
      <c r="B948" s="6">
        <v>3.0000000000000001E-3</v>
      </c>
      <c r="C948" s="6">
        <v>5.24430434159621E-2</v>
      </c>
    </row>
    <row r="949" spans="1:3" s="7" customFormat="1" x14ac:dyDescent="0.2">
      <c r="A949" s="6" t="str">
        <f>"OR7E47P"</f>
        <v>OR7E47P</v>
      </c>
      <c r="B949" s="6">
        <v>2.9970029970029901E-3</v>
      </c>
      <c r="C949" s="6">
        <v>5.24430434159621E-2</v>
      </c>
    </row>
    <row r="950" spans="1:3" s="7" customFormat="1" x14ac:dyDescent="0.2">
      <c r="A950" s="6" t="str">
        <f>"AC018557.3"</f>
        <v>AC018557.3</v>
      </c>
      <c r="B950" s="6">
        <v>2.9970029970029901E-3</v>
      </c>
      <c r="C950" s="6">
        <v>5.24430434159621E-2</v>
      </c>
    </row>
    <row r="951" spans="1:3" s="7" customFormat="1" x14ac:dyDescent="0.2">
      <c r="A951" s="6" t="str">
        <f>"ADAMTSL4"</f>
        <v>ADAMTSL4</v>
      </c>
      <c r="B951" s="6">
        <v>2.9970029970029901E-3</v>
      </c>
      <c r="C951" s="6">
        <v>5.24430434159621E-2</v>
      </c>
    </row>
    <row r="952" spans="1:3" s="7" customFormat="1" x14ac:dyDescent="0.2">
      <c r="A952" s="6" t="str">
        <f>"MAN1A1"</f>
        <v>MAN1A1</v>
      </c>
      <c r="B952" s="6">
        <v>2.9970029970029901E-3</v>
      </c>
      <c r="C952" s="6">
        <v>5.24430434159621E-2</v>
      </c>
    </row>
    <row r="953" spans="1:3" s="7" customFormat="1" x14ac:dyDescent="0.2">
      <c r="A953" s="6" t="str">
        <f>"RNASE6"</f>
        <v>RNASE6</v>
      </c>
      <c r="B953" s="6">
        <v>2.9970029970029901E-3</v>
      </c>
      <c r="C953" s="6">
        <v>5.24430434159621E-2</v>
      </c>
    </row>
    <row r="954" spans="1:3" s="7" customFormat="1" x14ac:dyDescent="0.2">
      <c r="A954" s="6" t="str">
        <f>"HHIP"</f>
        <v>HHIP</v>
      </c>
      <c r="B954" s="6">
        <v>2.9970029970029901E-3</v>
      </c>
      <c r="C954" s="6">
        <v>5.24430434159621E-2</v>
      </c>
    </row>
    <row r="955" spans="1:3" s="7" customFormat="1" x14ac:dyDescent="0.2">
      <c r="A955" s="6" t="str">
        <f>"TNRC18"</f>
        <v>TNRC18</v>
      </c>
      <c r="B955" s="6">
        <v>2.9970029970029901E-3</v>
      </c>
      <c r="C955" s="6">
        <v>5.24430434159621E-2</v>
      </c>
    </row>
    <row r="956" spans="1:3" s="7" customFormat="1" x14ac:dyDescent="0.2">
      <c r="A956" s="6" t="str">
        <f>"PTBP1"</f>
        <v>PTBP1</v>
      </c>
      <c r="B956" s="6">
        <v>2.9970029970029901E-3</v>
      </c>
      <c r="C956" s="6">
        <v>5.24430434159621E-2</v>
      </c>
    </row>
    <row r="957" spans="1:3" s="7" customFormat="1" x14ac:dyDescent="0.2">
      <c r="A957" s="6" t="str">
        <f>"FUCA1"</f>
        <v>FUCA1</v>
      </c>
      <c r="B957" s="6">
        <v>2.9970029970029901E-3</v>
      </c>
      <c r="C957" s="6">
        <v>5.24430434159621E-2</v>
      </c>
    </row>
    <row r="958" spans="1:3" s="7" customFormat="1" x14ac:dyDescent="0.2">
      <c r="A958" s="6" t="str">
        <f>"HLX"</f>
        <v>HLX</v>
      </c>
      <c r="B958" s="6">
        <v>2.9970029970029901E-3</v>
      </c>
      <c r="C958" s="6">
        <v>5.24430434159621E-2</v>
      </c>
    </row>
    <row r="959" spans="1:3" s="7" customFormat="1" x14ac:dyDescent="0.2">
      <c r="A959" s="6" t="str">
        <f>"TRIM25"</f>
        <v>TRIM25</v>
      </c>
      <c r="B959" s="6">
        <v>3.0000000000000001E-3</v>
      </c>
      <c r="C959" s="6">
        <v>5.24430434159621E-2</v>
      </c>
    </row>
    <row r="960" spans="1:3" s="7" customFormat="1" x14ac:dyDescent="0.2">
      <c r="A960" s="6" t="str">
        <f>"MYH9"</f>
        <v>MYH9</v>
      </c>
      <c r="B960" s="6">
        <v>2.9970029970029901E-3</v>
      </c>
      <c r="C960" s="6">
        <v>5.24430434159621E-2</v>
      </c>
    </row>
    <row r="961" spans="1:3" s="7" customFormat="1" x14ac:dyDescent="0.2">
      <c r="A961" s="6" t="str">
        <f>"AL049795.1"</f>
        <v>AL049795.1</v>
      </c>
      <c r="B961" s="6">
        <v>3.0150753768844198E-3</v>
      </c>
      <c r="C961" s="6">
        <v>5.24937185929647E-2</v>
      </c>
    </row>
    <row r="962" spans="1:3" s="7" customFormat="1" x14ac:dyDescent="0.2">
      <c r="A962" s="6" t="str">
        <f>"AC079841.2"</f>
        <v>AC079841.2</v>
      </c>
      <c r="B962" s="6">
        <v>3.0549898167006101E-3</v>
      </c>
      <c r="C962" s="6">
        <v>5.3133298435311102E-2</v>
      </c>
    </row>
    <row r="963" spans="1:3" s="7" customFormat="1" x14ac:dyDescent="0.2">
      <c r="A963" s="6" t="str">
        <f>"PLA2G1B"</f>
        <v>PLA2G1B</v>
      </c>
      <c r="B963" s="6">
        <v>3.0674846625766798E-3</v>
      </c>
      <c r="C963" s="6">
        <v>5.3295154522148197E-2</v>
      </c>
    </row>
    <row r="964" spans="1:3" s="7" customFormat="1" x14ac:dyDescent="0.2">
      <c r="A964" s="6" t="str">
        <f>"AC009084.2"</f>
        <v>AC009084.2</v>
      </c>
      <c r="B964" s="6">
        <v>3.07692307692307E-3</v>
      </c>
      <c r="C964" s="6">
        <v>5.3403626487738498E-2</v>
      </c>
    </row>
    <row r="965" spans="1:3" s="7" customFormat="1" x14ac:dyDescent="0.2">
      <c r="A965" s="6" t="str">
        <f>"AC073195.1"</f>
        <v>AC073195.1</v>
      </c>
      <c r="B965" s="6">
        <v>3.44234079173838E-3</v>
      </c>
      <c r="C965" s="6">
        <v>5.9683904557173498E-2</v>
      </c>
    </row>
    <row r="966" spans="1:3" s="7" customFormat="1" x14ac:dyDescent="0.2">
      <c r="A966" s="6" t="str">
        <f>"AC002091.1"</f>
        <v>AC002091.1</v>
      </c>
      <c r="B966" s="6">
        <v>3.9960039960039899E-3</v>
      </c>
      <c r="C966" s="6">
        <v>6.1566626424032003E-2</v>
      </c>
    </row>
    <row r="967" spans="1:3" s="7" customFormat="1" x14ac:dyDescent="0.2">
      <c r="A967" s="6" t="str">
        <f>"LINC02649"</f>
        <v>LINC02649</v>
      </c>
      <c r="B967" s="6">
        <v>3.9960039960039899E-3</v>
      </c>
      <c r="C967" s="6">
        <v>6.1566626424032003E-2</v>
      </c>
    </row>
    <row r="968" spans="1:3" s="7" customFormat="1" x14ac:dyDescent="0.2">
      <c r="A968" s="6" t="str">
        <f>"AC011446.2"</f>
        <v>AC011446.2</v>
      </c>
      <c r="B968" s="6">
        <v>4.0000000000000001E-3</v>
      </c>
      <c r="C968" s="6">
        <v>6.1566626424032003E-2</v>
      </c>
    </row>
    <row r="969" spans="1:3" s="7" customFormat="1" x14ac:dyDescent="0.2">
      <c r="A969" s="6" t="str">
        <f>"PYGM"</f>
        <v>PYGM</v>
      </c>
      <c r="B969" s="6">
        <v>3.9960039960039899E-3</v>
      </c>
      <c r="C969" s="6">
        <v>6.1566626424032003E-2</v>
      </c>
    </row>
    <row r="970" spans="1:3" s="7" customFormat="1" x14ac:dyDescent="0.2">
      <c r="A970" s="6" t="str">
        <f>"AL049629.2"</f>
        <v>AL049629.2</v>
      </c>
      <c r="B970" s="6">
        <v>3.9960039960039899E-3</v>
      </c>
      <c r="C970" s="6">
        <v>6.1566626424032003E-2</v>
      </c>
    </row>
    <row r="971" spans="1:3" s="7" customFormat="1" x14ac:dyDescent="0.2">
      <c r="A971" s="6" t="str">
        <f>"IGHM"</f>
        <v>IGHM</v>
      </c>
      <c r="B971" s="6">
        <v>3.9960039960039899E-3</v>
      </c>
      <c r="C971" s="6">
        <v>6.1566626424032003E-2</v>
      </c>
    </row>
    <row r="972" spans="1:3" s="7" customFormat="1" x14ac:dyDescent="0.2">
      <c r="A972" s="6" t="str">
        <f>"C1orf162"</f>
        <v>C1orf162</v>
      </c>
      <c r="B972" s="6">
        <v>3.9960039960039899E-3</v>
      </c>
      <c r="C972" s="6">
        <v>6.1566626424032003E-2</v>
      </c>
    </row>
    <row r="973" spans="1:3" s="7" customFormat="1" x14ac:dyDescent="0.2">
      <c r="A973" s="6" t="str">
        <f>"LAT2"</f>
        <v>LAT2</v>
      </c>
      <c r="B973" s="6">
        <v>4.0000000000000001E-3</v>
      </c>
      <c r="C973" s="6">
        <v>6.1566626424032003E-2</v>
      </c>
    </row>
    <row r="974" spans="1:3" s="7" customFormat="1" x14ac:dyDescent="0.2">
      <c r="A974" s="6" t="str">
        <f>"CSGALNACT2"</f>
        <v>CSGALNACT2</v>
      </c>
      <c r="B974" s="6">
        <v>3.9960039960039899E-3</v>
      </c>
      <c r="C974" s="6">
        <v>6.1566626424032003E-2</v>
      </c>
    </row>
    <row r="975" spans="1:3" s="7" customFormat="1" x14ac:dyDescent="0.2">
      <c r="A975" s="6" t="str">
        <f>"CD300A"</f>
        <v>CD300A</v>
      </c>
      <c r="B975" s="6">
        <v>3.9960039960039899E-3</v>
      </c>
      <c r="C975" s="6">
        <v>6.1566626424032003E-2</v>
      </c>
    </row>
    <row r="976" spans="1:3" s="7" customFormat="1" x14ac:dyDescent="0.2">
      <c r="A976" s="6" t="str">
        <f>"FERMT3"</f>
        <v>FERMT3</v>
      </c>
      <c r="B976" s="6">
        <v>4.0040040040039996E-3</v>
      </c>
      <c r="C976" s="6">
        <v>6.1566626424032003E-2</v>
      </c>
    </row>
    <row r="977" spans="1:3" s="7" customFormat="1" x14ac:dyDescent="0.2">
      <c r="A977" s="6" t="str">
        <f>"NFAM1"</f>
        <v>NFAM1</v>
      </c>
      <c r="B977" s="6">
        <v>3.9960039960039899E-3</v>
      </c>
      <c r="C977" s="6">
        <v>6.1566626424032003E-2</v>
      </c>
    </row>
    <row r="978" spans="1:3" s="7" customFormat="1" x14ac:dyDescent="0.2">
      <c r="A978" s="6" t="str">
        <f>"ELL"</f>
        <v>ELL</v>
      </c>
      <c r="B978" s="6">
        <v>3.9960039960039899E-3</v>
      </c>
      <c r="C978" s="6">
        <v>6.1566626424032003E-2</v>
      </c>
    </row>
    <row r="979" spans="1:3" s="7" customFormat="1" x14ac:dyDescent="0.2">
      <c r="A979" s="6" t="str">
        <f>"FPR2"</f>
        <v>FPR2</v>
      </c>
      <c r="B979" s="6">
        <v>3.9960039960039899E-3</v>
      </c>
      <c r="C979" s="6">
        <v>6.1566626424032003E-2</v>
      </c>
    </row>
    <row r="980" spans="1:3" s="7" customFormat="1" x14ac:dyDescent="0.2">
      <c r="A980" s="6" t="str">
        <f>"TLR2"</f>
        <v>TLR2</v>
      </c>
      <c r="B980" s="6">
        <v>3.9960039960039899E-3</v>
      </c>
      <c r="C980" s="6">
        <v>6.1566626424032003E-2</v>
      </c>
    </row>
    <row r="981" spans="1:3" s="7" customFormat="1" x14ac:dyDescent="0.2">
      <c r="A981" s="6" t="str">
        <f>"PIM2"</f>
        <v>PIM2</v>
      </c>
      <c r="B981" s="6">
        <v>3.9960039960039899E-3</v>
      </c>
      <c r="C981" s="6">
        <v>6.1566626424032003E-2</v>
      </c>
    </row>
    <row r="982" spans="1:3" s="7" customFormat="1" x14ac:dyDescent="0.2">
      <c r="A982" s="6" t="str">
        <f>"MOCOS"</f>
        <v>MOCOS</v>
      </c>
      <c r="B982" s="6">
        <v>3.9960039960039899E-3</v>
      </c>
      <c r="C982" s="6">
        <v>6.1566626424032003E-2</v>
      </c>
    </row>
    <row r="983" spans="1:3" s="7" customFormat="1" x14ac:dyDescent="0.2">
      <c r="A983" s="6" t="str">
        <f>"CD14"</f>
        <v>CD14</v>
      </c>
      <c r="B983" s="6">
        <v>3.9960039960039899E-3</v>
      </c>
      <c r="C983" s="6">
        <v>6.1566626424032003E-2</v>
      </c>
    </row>
    <row r="984" spans="1:3" s="7" customFormat="1" x14ac:dyDescent="0.2">
      <c r="A984" s="6" t="str">
        <f>"RASSF2"</f>
        <v>RASSF2</v>
      </c>
      <c r="B984" s="6">
        <v>3.9960039960039899E-3</v>
      </c>
      <c r="C984" s="6">
        <v>6.1566626424032003E-2</v>
      </c>
    </row>
    <row r="985" spans="1:3" s="7" customFormat="1" x14ac:dyDescent="0.2">
      <c r="A985" s="6" t="str">
        <f>"MMP25"</f>
        <v>MMP25</v>
      </c>
      <c r="B985" s="6">
        <v>3.9960039960039899E-3</v>
      </c>
      <c r="C985" s="6">
        <v>6.1566626424032003E-2</v>
      </c>
    </row>
    <row r="986" spans="1:3" s="7" customFormat="1" x14ac:dyDescent="0.2">
      <c r="A986" s="6" t="str">
        <f>"FAM157A"</f>
        <v>FAM157A</v>
      </c>
      <c r="B986" s="6">
        <v>3.9960039960039899E-3</v>
      </c>
      <c r="C986" s="6">
        <v>6.1566626424032003E-2</v>
      </c>
    </row>
    <row r="987" spans="1:3" s="7" customFormat="1" x14ac:dyDescent="0.2">
      <c r="A987" s="6" t="str">
        <f>"NINJ1"</f>
        <v>NINJ1</v>
      </c>
      <c r="B987" s="6">
        <v>3.9960039960039899E-3</v>
      </c>
      <c r="C987" s="6">
        <v>6.1566626424032003E-2</v>
      </c>
    </row>
    <row r="988" spans="1:3" s="7" customFormat="1" x14ac:dyDescent="0.2">
      <c r="A988" s="6" t="str">
        <f>"CD200R1"</f>
        <v>CD200R1</v>
      </c>
      <c r="B988" s="6">
        <v>3.9960039960039899E-3</v>
      </c>
      <c r="C988" s="6">
        <v>6.1566626424032003E-2</v>
      </c>
    </row>
    <row r="989" spans="1:3" s="7" customFormat="1" x14ac:dyDescent="0.2">
      <c r="A989" s="6" t="str">
        <f>"RARA"</f>
        <v>RARA</v>
      </c>
      <c r="B989" s="6">
        <v>4.0000000000000001E-3</v>
      </c>
      <c r="C989" s="6">
        <v>6.1566626424032003E-2</v>
      </c>
    </row>
    <row r="990" spans="1:3" s="7" customFormat="1" x14ac:dyDescent="0.2">
      <c r="A990" s="6" t="str">
        <f>"PDE4DIP"</f>
        <v>PDE4DIP</v>
      </c>
      <c r="B990" s="6">
        <v>3.9960039960039899E-3</v>
      </c>
      <c r="C990" s="6">
        <v>6.1566626424032003E-2</v>
      </c>
    </row>
    <row r="991" spans="1:3" s="7" customFormat="1" x14ac:dyDescent="0.2">
      <c r="A991" s="6" t="str">
        <f>"ITGAX"</f>
        <v>ITGAX</v>
      </c>
      <c r="B991" s="6">
        <v>3.9960039960039899E-3</v>
      </c>
      <c r="C991" s="6">
        <v>6.1566626424032003E-2</v>
      </c>
    </row>
    <row r="992" spans="1:3" s="7" customFormat="1" x14ac:dyDescent="0.2">
      <c r="A992" s="6" t="str">
        <f>"MYADM"</f>
        <v>MYADM</v>
      </c>
      <c r="B992" s="6">
        <v>3.9960039960039899E-3</v>
      </c>
      <c r="C992" s="6">
        <v>6.1566626424032003E-2</v>
      </c>
    </row>
    <row r="993" spans="1:3" s="7" customFormat="1" x14ac:dyDescent="0.2">
      <c r="A993" s="6" t="str">
        <f>"SH3BGRL3"</f>
        <v>SH3BGRL3</v>
      </c>
      <c r="B993" s="6">
        <v>3.9960039960039899E-3</v>
      </c>
      <c r="C993" s="6">
        <v>6.1566626424032003E-2</v>
      </c>
    </row>
    <row r="994" spans="1:3" s="7" customFormat="1" x14ac:dyDescent="0.2">
      <c r="A994" s="6" t="str">
        <f>"TRIOBP"</f>
        <v>TRIOBP</v>
      </c>
      <c r="B994" s="6">
        <v>3.9960039960039899E-3</v>
      </c>
      <c r="C994" s="6">
        <v>6.1566626424032003E-2</v>
      </c>
    </row>
    <row r="995" spans="1:3" s="7" customFormat="1" x14ac:dyDescent="0.2">
      <c r="A995" s="6" t="str">
        <f>"KHDRBS1"</f>
        <v>KHDRBS1</v>
      </c>
      <c r="B995" s="6">
        <v>3.9960039960039899E-3</v>
      </c>
      <c r="C995" s="6">
        <v>6.1566626424032003E-2</v>
      </c>
    </row>
    <row r="996" spans="1:3" s="7" customFormat="1" x14ac:dyDescent="0.2">
      <c r="A996" s="6" t="str">
        <f>"TLN1"</f>
        <v>TLN1</v>
      </c>
      <c r="B996" s="6">
        <v>4.0000000000000001E-3</v>
      </c>
      <c r="C996" s="6">
        <v>6.1566626424032003E-2</v>
      </c>
    </row>
    <row r="997" spans="1:3" s="7" customFormat="1" x14ac:dyDescent="0.2">
      <c r="A997" s="6" t="str">
        <f>"ZFP36"</f>
        <v>ZFP36</v>
      </c>
      <c r="B997" s="6">
        <v>3.9960039960039899E-3</v>
      </c>
      <c r="C997" s="6">
        <v>6.1566626424032003E-2</v>
      </c>
    </row>
    <row r="998" spans="1:3" s="7" customFormat="1" x14ac:dyDescent="0.2">
      <c r="A998" s="6" t="str">
        <f>"RFX3-AS1"</f>
        <v>RFX3-AS1</v>
      </c>
      <c r="B998" s="6">
        <v>4.0000000000000001E-3</v>
      </c>
      <c r="C998" s="6">
        <v>6.1566626424032003E-2</v>
      </c>
    </row>
    <row r="999" spans="1:3" s="7" customFormat="1" x14ac:dyDescent="0.2">
      <c r="A999" s="6" t="str">
        <f>"NFE4"</f>
        <v>NFE4</v>
      </c>
      <c r="B999" s="6">
        <v>3.9960039960039899E-3</v>
      </c>
      <c r="C999" s="6">
        <v>6.1566626424032003E-2</v>
      </c>
    </row>
    <row r="1000" spans="1:3" s="7" customFormat="1" x14ac:dyDescent="0.2">
      <c r="A1000" s="6" t="str">
        <f>"PIMREG"</f>
        <v>PIMREG</v>
      </c>
      <c r="B1000" s="6">
        <v>3.9960039960039899E-3</v>
      </c>
      <c r="C1000" s="6">
        <v>6.1566626424032003E-2</v>
      </c>
    </row>
    <row r="1001" spans="1:3" s="7" customFormat="1" x14ac:dyDescent="0.2">
      <c r="A1001" s="6" t="str">
        <f>"TMEM88"</f>
        <v>TMEM88</v>
      </c>
      <c r="B1001" s="6">
        <v>4.0000000000000001E-3</v>
      </c>
      <c r="C1001" s="6">
        <v>6.1566626424032003E-2</v>
      </c>
    </row>
    <row r="1002" spans="1:3" s="7" customFormat="1" x14ac:dyDescent="0.2">
      <c r="A1002" s="6" t="str">
        <f>"DNAH17"</f>
        <v>DNAH17</v>
      </c>
      <c r="B1002" s="6">
        <v>3.9960039960039899E-3</v>
      </c>
      <c r="C1002" s="6">
        <v>6.1566626424032003E-2</v>
      </c>
    </row>
    <row r="1003" spans="1:3" s="7" customFormat="1" x14ac:dyDescent="0.2">
      <c r="A1003" s="6" t="str">
        <f>"CD48"</f>
        <v>CD48</v>
      </c>
      <c r="B1003" s="6">
        <v>3.9960039960039899E-3</v>
      </c>
      <c r="C1003" s="6">
        <v>6.1566626424032003E-2</v>
      </c>
    </row>
    <row r="1004" spans="1:3" s="7" customFormat="1" x14ac:dyDescent="0.2">
      <c r="A1004" s="6" t="str">
        <f>"LILRA6"</f>
        <v>LILRA6</v>
      </c>
      <c r="B1004" s="6">
        <v>3.9960039960039899E-3</v>
      </c>
      <c r="C1004" s="6">
        <v>6.1566626424032003E-2</v>
      </c>
    </row>
    <row r="1005" spans="1:3" s="7" customFormat="1" x14ac:dyDescent="0.2">
      <c r="A1005" s="6" t="str">
        <f>"TBXAS1"</f>
        <v>TBXAS1</v>
      </c>
      <c r="B1005" s="6">
        <v>3.9960039960039899E-3</v>
      </c>
      <c r="C1005" s="6">
        <v>6.1566626424032003E-2</v>
      </c>
    </row>
    <row r="1006" spans="1:3" s="7" customFormat="1" x14ac:dyDescent="0.2">
      <c r="A1006" s="6" t="str">
        <f>"SULF1"</f>
        <v>SULF1</v>
      </c>
      <c r="B1006" s="6">
        <v>3.9960039960039899E-3</v>
      </c>
      <c r="C1006" s="6">
        <v>6.1566626424032003E-2</v>
      </c>
    </row>
    <row r="1007" spans="1:3" s="7" customFormat="1" x14ac:dyDescent="0.2">
      <c r="A1007" s="6" t="str">
        <f>"GATM"</f>
        <v>GATM</v>
      </c>
      <c r="B1007" s="6">
        <v>3.9960039960039899E-3</v>
      </c>
      <c r="C1007" s="6">
        <v>6.1566626424032003E-2</v>
      </c>
    </row>
    <row r="1008" spans="1:3" s="7" customFormat="1" x14ac:dyDescent="0.2">
      <c r="A1008" s="6" t="str">
        <f>"THEMIS2"</f>
        <v>THEMIS2</v>
      </c>
      <c r="B1008" s="6">
        <v>3.9960039960039899E-3</v>
      </c>
      <c r="C1008" s="6">
        <v>6.1566626424032003E-2</v>
      </c>
    </row>
    <row r="1009" spans="1:3" s="7" customFormat="1" x14ac:dyDescent="0.2">
      <c r="A1009" s="6" t="str">
        <f>"PLCB2"</f>
        <v>PLCB2</v>
      </c>
      <c r="B1009" s="6">
        <v>3.9960039960039899E-3</v>
      </c>
      <c r="C1009" s="6">
        <v>6.1566626424032003E-2</v>
      </c>
    </row>
    <row r="1010" spans="1:3" s="7" customFormat="1" x14ac:dyDescent="0.2">
      <c r="A1010" s="6" t="str">
        <f>"RASSF5"</f>
        <v>RASSF5</v>
      </c>
      <c r="B1010" s="6">
        <v>3.9960039960039899E-3</v>
      </c>
      <c r="C1010" s="6">
        <v>6.1566626424032003E-2</v>
      </c>
    </row>
    <row r="1011" spans="1:3" s="7" customFormat="1" x14ac:dyDescent="0.2">
      <c r="A1011" s="6" t="str">
        <f>"PPP1R15A"</f>
        <v>PPP1R15A</v>
      </c>
      <c r="B1011" s="6">
        <v>3.9960039960039899E-3</v>
      </c>
      <c r="C1011" s="6">
        <v>6.1566626424032003E-2</v>
      </c>
    </row>
    <row r="1012" spans="1:3" s="7" customFormat="1" x14ac:dyDescent="0.2">
      <c r="A1012" s="6" t="str">
        <f>"THEG"</f>
        <v>THEG</v>
      </c>
      <c r="B1012" s="6">
        <v>4.0000000000000001E-3</v>
      </c>
      <c r="C1012" s="6">
        <v>6.1566626424032003E-2</v>
      </c>
    </row>
    <row r="1013" spans="1:3" s="7" customFormat="1" x14ac:dyDescent="0.2">
      <c r="A1013" s="6" t="str">
        <f>"ITM2A"</f>
        <v>ITM2A</v>
      </c>
      <c r="B1013" s="6">
        <v>3.9960039960039899E-3</v>
      </c>
      <c r="C1013" s="6">
        <v>6.1566626424032003E-2</v>
      </c>
    </row>
    <row r="1014" spans="1:3" s="7" customFormat="1" x14ac:dyDescent="0.2">
      <c r="A1014" s="6" t="str">
        <f>"RNASE7"</f>
        <v>RNASE7</v>
      </c>
      <c r="B1014" s="6">
        <v>3.9960039960039899E-3</v>
      </c>
      <c r="C1014" s="6">
        <v>6.1566626424032003E-2</v>
      </c>
    </row>
    <row r="1015" spans="1:3" s="7" customFormat="1" x14ac:dyDescent="0.2">
      <c r="A1015" s="6" t="str">
        <f>"NMU"</f>
        <v>NMU</v>
      </c>
      <c r="B1015" s="6">
        <v>3.9960039960039899E-3</v>
      </c>
      <c r="C1015" s="6">
        <v>6.1566626424032003E-2</v>
      </c>
    </row>
    <row r="1016" spans="1:3" s="7" customFormat="1" x14ac:dyDescent="0.2">
      <c r="A1016" s="6" t="str">
        <f>"C5AR2"</f>
        <v>C5AR2</v>
      </c>
      <c r="B1016" s="6">
        <v>3.9960039960039899E-3</v>
      </c>
      <c r="C1016" s="6">
        <v>6.1566626424032003E-2</v>
      </c>
    </row>
    <row r="1017" spans="1:3" s="7" customFormat="1" x14ac:dyDescent="0.2">
      <c r="A1017" s="6" t="str">
        <f>"LACC1"</f>
        <v>LACC1</v>
      </c>
      <c r="B1017" s="6">
        <v>3.9960039960039899E-3</v>
      </c>
      <c r="C1017" s="6">
        <v>6.1566626424032003E-2</v>
      </c>
    </row>
    <row r="1018" spans="1:3" s="7" customFormat="1" x14ac:dyDescent="0.2">
      <c r="A1018" s="6" t="str">
        <f>"LILRB3"</f>
        <v>LILRB3</v>
      </c>
      <c r="B1018" s="6">
        <v>3.9960039960039899E-3</v>
      </c>
      <c r="C1018" s="6">
        <v>6.1566626424032003E-2</v>
      </c>
    </row>
    <row r="1019" spans="1:3" s="7" customFormat="1" x14ac:dyDescent="0.2">
      <c r="A1019" s="6" t="str">
        <f>"CLDN17"</f>
        <v>CLDN17</v>
      </c>
      <c r="B1019" s="6">
        <v>3.9960039960039899E-3</v>
      </c>
      <c r="C1019" s="6">
        <v>6.1566626424032003E-2</v>
      </c>
    </row>
    <row r="1020" spans="1:3" s="7" customFormat="1" x14ac:dyDescent="0.2">
      <c r="A1020" s="6" t="str">
        <f>"AC009005.1"</f>
        <v>AC009005.1</v>
      </c>
      <c r="B1020" s="6">
        <v>3.9960039960039899E-3</v>
      </c>
      <c r="C1020" s="6">
        <v>6.1566626424032003E-2</v>
      </c>
    </row>
    <row r="1021" spans="1:3" s="7" customFormat="1" x14ac:dyDescent="0.2">
      <c r="A1021" s="6" t="str">
        <f>"MFAP2"</f>
        <v>MFAP2</v>
      </c>
      <c r="B1021" s="6">
        <v>3.9960039960039899E-3</v>
      </c>
      <c r="C1021" s="6">
        <v>6.1566626424032003E-2</v>
      </c>
    </row>
    <row r="1022" spans="1:3" s="7" customFormat="1" x14ac:dyDescent="0.2">
      <c r="A1022" s="6" t="str">
        <f>"ITGB2-AS1"</f>
        <v>ITGB2-AS1</v>
      </c>
      <c r="B1022" s="6">
        <v>3.9960039960039899E-3</v>
      </c>
      <c r="C1022" s="6">
        <v>6.1566626424032003E-2</v>
      </c>
    </row>
    <row r="1023" spans="1:3" s="7" customFormat="1" x14ac:dyDescent="0.2">
      <c r="A1023" s="6" t="str">
        <f>"LTB"</f>
        <v>LTB</v>
      </c>
      <c r="B1023" s="6">
        <v>3.9960039960039899E-3</v>
      </c>
      <c r="C1023" s="6">
        <v>6.1566626424032003E-2</v>
      </c>
    </row>
    <row r="1024" spans="1:3" s="7" customFormat="1" x14ac:dyDescent="0.2">
      <c r="A1024" s="6" t="str">
        <f>"WASL-DT"</f>
        <v>WASL-DT</v>
      </c>
      <c r="B1024" s="6">
        <v>3.9960039960039899E-3</v>
      </c>
      <c r="C1024" s="6">
        <v>6.1566626424032003E-2</v>
      </c>
    </row>
    <row r="1025" spans="1:3" s="7" customFormat="1" x14ac:dyDescent="0.2">
      <c r="A1025" s="6" t="str">
        <f>"UNC13D"</f>
        <v>UNC13D</v>
      </c>
      <c r="B1025" s="6">
        <v>3.9960039960039899E-3</v>
      </c>
      <c r="C1025" s="6">
        <v>6.1566626424032003E-2</v>
      </c>
    </row>
    <row r="1026" spans="1:3" s="7" customFormat="1" x14ac:dyDescent="0.2">
      <c r="A1026" s="6" t="str">
        <f>"SNED1"</f>
        <v>SNED1</v>
      </c>
      <c r="B1026" s="6">
        <v>3.9960039960039899E-3</v>
      </c>
      <c r="C1026" s="6">
        <v>6.1566626424032003E-2</v>
      </c>
    </row>
    <row r="1027" spans="1:3" s="7" customFormat="1" x14ac:dyDescent="0.2">
      <c r="A1027" s="6" t="str">
        <f>"H1-2"</f>
        <v>H1-2</v>
      </c>
      <c r="B1027" s="6">
        <v>3.9960039960039899E-3</v>
      </c>
      <c r="C1027" s="6">
        <v>6.1566626424032003E-2</v>
      </c>
    </row>
    <row r="1028" spans="1:3" s="7" customFormat="1" x14ac:dyDescent="0.2">
      <c r="A1028" s="6" t="str">
        <f>"ZDHHC18"</f>
        <v>ZDHHC18</v>
      </c>
      <c r="B1028" s="6">
        <v>3.9960039960039899E-3</v>
      </c>
      <c r="C1028" s="6">
        <v>6.1566626424032003E-2</v>
      </c>
    </row>
    <row r="1029" spans="1:3" s="7" customFormat="1" x14ac:dyDescent="0.2">
      <c r="A1029" s="6" t="str">
        <f>"CTNNAL1"</f>
        <v>CTNNAL1</v>
      </c>
      <c r="B1029" s="6">
        <v>3.9960039960039899E-3</v>
      </c>
      <c r="C1029" s="6">
        <v>6.1566626424032003E-2</v>
      </c>
    </row>
    <row r="1030" spans="1:3" s="7" customFormat="1" x14ac:dyDescent="0.2">
      <c r="A1030" s="6" t="str">
        <f>"TCIRG1"</f>
        <v>TCIRG1</v>
      </c>
      <c r="B1030" s="6">
        <v>3.9960039960039899E-3</v>
      </c>
      <c r="C1030" s="6">
        <v>6.1566626424032003E-2</v>
      </c>
    </row>
    <row r="1031" spans="1:3" s="7" customFormat="1" x14ac:dyDescent="0.2">
      <c r="A1031" s="6" t="str">
        <f>"METTL15P1"</f>
        <v>METTL15P1</v>
      </c>
      <c r="B1031" s="6">
        <v>4.0040040040039996E-3</v>
      </c>
      <c r="C1031" s="6">
        <v>6.1566626424032003E-2</v>
      </c>
    </row>
    <row r="1032" spans="1:3" s="7" customFormat="1" x14ac:dyDescent="0.2">
      <c r="A1032" s="6" t="str">
        <f>"PBK"</f>
        <v>PBK</v>
      </c>
      <c r="B1032" s="6">
        <v>3.9960039960039899E-3</v>
      </c>
      <c r="C1032" s="6">
        <v>6.1566626424032003E-2</v>
      </c>
    </row>
    <row r="1033" spans="1:3" s="7" customFormat="1" x14ac:dyDescent="0.2">
      <c r="A1033" s="6" t="str">
        <f>"NDNF"</f>
        <v>NDNF</v>
      </c>
      <c r="B1033" s="6">
        <v>3.9960039960039899E-3</v>
      </c>
      <c r="C1033" s="6">
        <v>6.1566626424032003E-2</v>
      </c>
    </row>
    <row r="1034" spans="1:3" s="7" customFormat="1" x14ac:dyDescent="0.2">
      <c r="A1034" s="6" t="str">
        <f>"LINC00240"</f>
        <v>LINC00240</v>
      </c>
      <c r="B1034" s="6">
        <v>3.9960039960039899E-3</v>
      </c>
      <c r="C1034" s="6">
        <v>6.1566626424032003E-2</v>
      </c>
    </row>
    <row r="1035" spans="1:3" s="7" customFormat="1" x14ac:dyDescent="0.2">
      <c r="A1035" s="6" t="str">
        <f>"ABTB2"</f>
        <v>ABTB2</v>
      </c>
      <c r="B1035" s="6">
        <v>3.9960039960039899E-3</v>
      </c>
      <c r="C1035" s="6">
        <v>6.1566626424032003E-2</v>
      </c>
    </row>
    <row r="1036" spans="1:3" s="7" customFormat="1" x14ac:dyDescent="0.2">
      <c r="A1036" s="6" t="str">
        <f>"ARL4C"</f>
        <v>ARL4C</v>
      </c>
      <c r="B1036" s="6">
        <v>3.9960039960039899E-3</v>
      </c>
      <c r="C1036" s="6">
        <v>6.1566626424032003E-2</v>
      </c>
    </row>
    <row r="1037" spans="1:3" s="7" customFormat="1" x14ac:dyDescent="0.2">
      <c r="A1037" s="6" t="str">
        <f>"ANOS1"</f>
        <v>ANOS1</v>
      </c>
      <c r="B1037" s="6">
        <v>3.9960039960039899E-3</v>
      </c>
      <c r="C1037" s="6">
        <v>6.1566626424032003E-2</v>
      </c>
    </row>
    <row r="1038" spans="1:3" s="7" customFormat="1" x14ac:dyDescent="0.2">
      <c r="A1038" s="6" t="str">
        <f>"FBXW4"</f>
        <v>FBXW4</v>
      </c>
      <c r="B1038" s="6">
        <v>3.9960039960039899E-3</v>
      </c>
      <c r="C1038" s="6">
        <v>6.1566626424032003E-2</v>
      </c>
    </row>
    <row r="1039" spans="1:3" s="7" customFormat="1" x14ac:dyDescent="0.2">
      <c r="A1039" s="6" t="str">
        <f>"DUSP1"</f>
        <v>DUSP1</v>
      </c>
      <c r="B1039" s="6">
        <v>3.9960039960039899E-3</v>
      </c>
      <c r="C1039" s="6">
        <v>6.1566626424032003E-2</v>
      </c>
    </row>
    <row r="1040" spans="1:3" s="7" customFormat="1" x14ac:dyDescent="0.2">
      <c r="A1040" s="6" t="str">
        <f>"SCG3"</f>
        <v>SCG3</v>
      </c>
      <c r="B1040" s="6">
        <v>3.9960039960039899E-3</v>
      </c>
      <c r="C1040" s="6">
        <v>6.1566626424032003E-2</v>
      </c>
    </row>
    <row r="1041" spans="1:3" s="7" customFormat="1" x14ac:dyDescent="0.2">
      <c r="A1041" s="6" t="str">
        <f>"THBS4"</f>
        <v>THBS4</v>
      </c>
      <c r="B1041" s="6">
        <v>3.9960039960039899E-3</v>
      </c>
      <c r="C1041" s="6">
        <v>6.1566626424032003E-2</v>
      </c>
    </row>
    <row r="1042" spans="1:3" s="7" customFormat="1" x14ac:dyDescent="0.2">
      <c r="A1042" s="6" t="str">
        <f>"KIF18B"</f>
        <v>KIF18B</v>
      </c>
      <c r="B1042" s="6">
        <v>3.9960039960039899E-3</v>
      </c>
      <c r="C1042" s="6">
        <v>6.1566626424032003E-2</v>
      </c>
    </row>
    <row r="1043" spans="1:3" s="7" customFormat="1" x14ac:dyDescent="0.2">
      <c r="A1043" s="6" t="str">
        <f>"IL1RL1"</f>
        <v>IL1RL1</v>
      </c>
      <c r="B1043" s="6">
        <v>3.9960039960039899E-3</v>
      </c>
      <c r="C1043" s="6">
        <v>6.1566626424032003E-2</v>
      </c>
    </row>
    <row r="1044" spans="1:3" s="7" customFormat="1" x14ac:dyDescent="0.2">
      <c r="A1044" s="6" t="str">
        <f>"BTNL9"</f>
        <v>BTNL9</v>
      </c>
      <c r="B1044" s="6">
        <v>3.9960039960039899E-3</v>
      </c>
      <c r="C1044" s="6">
        <v>6.1566626424032003E-2</v>
      </c>
    </row>
    <row r="1045" spans="1:3" s="7" customFormat="1" x14ac:dyDescent="0.2">
      <c r="A1045" s="6" t="str">
        <f>"PPP1R1A"</f>
        <v>PPP1R1A</v>
      </c>
      <c r="B1045" s="6">
        <v>3.9960039960039899E-3</v>
      </c>
      <c r="C1045" s="6">
        <v>6.1566626424032003E-2</v>
      </c>
    </row>
    <row r="1046" spans="1:3" s="7" customFormat="1" x14ac:dyDescent="0.2">
      <c r="A1046" s="6" t="str">
        <f>"SFTPB"</f>
        <v>SFTPB</v>
      </c>
      <c r="B1046" s="6">
        <v>3.9960039960039899E-3</v>
      </c>
      <c r="C1046" s="6">
        <v>6.1566626424032003E-2</v>
      </c>
    </row>
    <row r="1047" spans="1:3" s="7" customFormat="1" x14ac:dyDescent="0.2">
      <c r="A1047" s="6" t="str">
        <f>"ARHGEF26"</f>
        <v>ARHGEF26</v>
      </c>
      <c r="B1047" s="6">
        <v>3.9960039960039899E-3</v>
      </c>
      <c r="C1047" s="6">
        <v>6.1566626424032003E-2</v>
      </c>
    </row>
    <row r="1048" spans="1:3" s="7" customFormat="1" x14ac:dyDescent="0.2">
      <c r="A1048" s="6" t="str">
        <f>"TAPBP"</f>
        <v>TAPBP</v>
      </c>
      <c r="B1048" s="6">
        <v>3.9960039960039899E-3</v>
      </c>
      <c r="C1048" s="6">
        <v>6.1566626424032003E-2</v>
      </c>
    </row>
    <row r="1049" spans="1:3" s="7" customFormat="1" x14ac:dyDescent="0.2">
      <c r="A1049" s="6" t="str">
        <f>"AL358472.5"</f>
        <v>AL358472.5</v>
      </c>
      <c r="B1049" s="6">
        <v>3.9960039960039899E-3</v>
      </c>
      <c r="C1049" s="6">
        <v>6.1566626424032003E-2</v>
      </c>
    </row>
    <row r="1050" spans="1:3" s="7" customFormat="1" x14ac:dyDescent="0.2">
      <c r="A1050" s="6" t="str">
        <f>"SLC38A4"</f>
        <v>SLC38A4</v>
      </c>
      <c r="B1050" s="6">
        <v>3.9960039960039899E-3</v>
      </c>
      <c r="C1050" s="6">
        <v>6.1566626424032003E-2</v>
      </c>
    </row>
    <row r="1051" spans="1:3" s="7" customFormat="1" x14ac:dyDescent="0.2">
      <c r="A1051" s="6" t="str">
        <f>"NANOS1"</f>
        <v>NANOS1</v>
      </c>
      <c r="B1051" s="6">
        <v>3.9960039960039899E-3</v>
      </c>
      <c r="C1051" s="6">
        <v>6.1566626424032003E-2</v>
      </c>
    </row>
    <row r="1052" spans="1:3" s="7" customFormat="1" x14ac:dyDescent="0.2">
      <c r="A1052" s="6" t="str">
        <f>"FAM222A"</f>
        <v>FAM222A</v>
      </c>
      <c r="B1052" s="6">
        <v>3.9960039960039899E-3</v>
      </c>
      <c r="C1052" s="6">
        <v>6.1566626424032003E-2</v>
      </c>
    </row>
    <row r="1053" spans="1:3" s="7" customFormat="1" x14ac:dyDescent="0.2">
      <c r="A1053" s="6" t="str">
        <f>"C9orf24"</f>
        <v>C9orf24</v>
      </c>
      <c r="B1053" s="6">
        <v>3.9960039960039899E-3</v>
      </c>
      <c r="C1053" s="6">
        <v>6.1566626424032003E-2</v>
      </c>
    </row>
    <row r="1054" spans="1:3" s="7" customFormat="1" x14ac:dyDescent="0.2">
      <c r="A1054" s="6" t="str">
        <f>"FAM160A1-DT"</f>
        <v>FAM160A1-DT</v>
      </c>
      <c r="B1054" s="6">
        <v>4.0040040040039996E-3</v>
      </c>
      <c r="C1054" s="6">
        <v>6.1566626424032003E-2</v>
      </c>
    </row>
    <row r="1055" spans="1:3" s="7" customFormat="1" x14ac:dyDescent="0.2">
      <c r="A1055" s="6" t="str">
        <f>"AC002472.2"</f>
        <v>AC002472.2</v>
      </c>
      <c r="B1055" s="6">
        <v>3.9960039960039899E-3</v>
      </c>
      <c r="C1055" s="6">
        <v>6.1566626424032003E-2</v>
      </c>
    </row>
    <row r="1056" spans="1:3" s="7" customFormat="1" x14ac:dyDescent="0.2">
      <c r="A1056" s="6" t="str">
        <f>"NABP1"</f>
        <v>NABP1</v>
      </c>
      <c r="B1056" s="6">
        <v>3.9960039960039899E-3</v>
      </c>
      <c r="C1056" s="6">
        <v>6.1566626424032003E-2</v>
      </c>
    </row>
    <row r="1057" spans="1:3" s="7" customFormat="1" x14ac:dyDescent="0.2">
      <c r="A1057" s="6" t="str">
        <f>"ISG15"</f>
        <v>ISG15</v>
      </c>
      <c r="B1057" s="6">
        <v>3.9960039960039899E-3</v>
      </c>
      <c r="C1057" s="6">
        <v>6.1566626424032003E-2</v>
      </c>
    </row>
    <row r="1058" spans="1:3" s="7" customFormat="1" x14ac:dyDescent="0.2">
      <c r="A1058" s="6" t="str">
        <f>"ACSL1"</f>
        <v>ACSL1</v>
      </c>
      <c r="B1058" s="6">
        <v>3.9960039960039899E-3</v>
      </c>
      <c r="C1058" s="6">
        <v>6.1566626424032003E-2</v>
      </c>
    </row>
    <row r="1059" spans="1:3" s="7" customFormat="1" x14ac:dyDescent="0.2">
      <c r="A1059" s="6" t="str">
        <f>"QARS1"</f>
        <v>QARS1</v>
      </c>
      <c r="B1059" s="6">
        <v>3.9960039960039899E-3</v>
      </c>
      <c r="C1059" s="6">
        <v>6.1566626424032003E-2</v>
      </c>
    </row>
    <row r="1060" spans="1:3" s="7" customFormat="1" x14ac:dyDescent="0.2">
      <c r="A1060" s="6" t="str">
        <f>"SPRED3"</f>
        <v>SPRED3</v>
      </c>
      <c r="B1060" s="6">
        <v>3.9960039960039899E-3</v>
      </c>
      <c r="C1060" s="6">
        <v>6.1566626424032003E-2</v>
      </c>
    </row>
    <row r="1061" spans="1:3" s="7" customFormat="1" x14ac:dyDescent="0.2">
      <c r="A1061" s="6" t="str">
        <f>"KIF1C"</f>
        <v>KIF1C</v>
      </c>
      <c r="B1061" s="6">
        <v>3.9960039960039899E-3</v>
      </c>
      <c r="C1061" s="6">
        <v>6.1566626424032003E-2</v>
      </c>
    </row>
    <row r="1062" spans="1:3" s="7" customFormat="1" x14ac:dyDescent="0.2">
      <c r="A1062" s="6" t="str">
        <f>"AC024592.2"</f>
        <v>AC024592.2</v>
      </c>
      <c r="B1062" s="6">
        <v>3.9960039960039899E-3</v>
      </c>
      <c r="C1062" s="6">
        <v>6.1566626424032003E-2</v>
      </c>
    </row>
    <row r="1063" spans="1:3" s="7" customFormat="1" x14ac:dyDescent="0.2">
      <c r="A1063" s="6" t="str">
        <f>"CD200R1L"</f>
        <v>CD200R1L</v>
      </c>
      <c r="B1063" s="6">
        <v>3.9960039960039899E-3</v>
      </c>
      <c r="C1063" s="6">
        <v>6.1566626424032003E-2</v>
      </c>
    </row>
    <row r="1064" spans="1:3" s="7" customFormat="1" x14ac:dyDescent="0.2">
      <c r="A1064" s="6" t="str">
        <f>"AL356737.1"</f>
        <v>AL356737.1</v>
      </c>
      <c r="B1064" s="6">
        <v>3.9960039960039899E-3</v>
      </c>
      <c r="C1064" s="6">
        <v>6.1566626424032003E-2</v>
      </c>
    </row>
    <row r="1065" spans="1:3" s="7" customFormat="1" x14ac:dyDescent="0.2">
      <c r="A1065" s="6" t="str">
        <f>"LINC00479"</f>
        <v>LINC00479</v>
      </c>
      <c r="B1065" s="6">
        <v>4.0000000000000001E-3</v>
      </c>
      <c r="C1065" s="6">
        <v>6.1566626424032003E-2</v>
      </c>
    </row>
    <row r="1066" spans="1:3" s="7" customFormat="1" x14ac:dyDescent="0.2">
      <c r="A1066" s="6" t="str">
        <f>"LINC00893"</f>
        <v>LINC00893</v>
      </c>
      <c r="B1066" s="6">
        <v>3.9960039960039899E-3</v>
      </c>
      <c r="C1066" s="6">
        <v>6.1566626424032003E-2</v>
      </c>
    </row>
    <row r="1067" spans="1:3" s="7" customFormat="1" x14ac:dyDescent="0.2">
      <c r="A1067" s="6" t="str">
        <f>"LINC01239"</f>
        <v>LINC01239</v>
      </c>
      <c r="B1067" s="6">
        <v>3.9960039960039899E-3</v>
      </c>
      <c r="C1067" s="6">
        <v>6.1566626424032003E-2</v>
      </c>
    </row>
    <row r="1068" spans="1:3" s="7" customFormat="1" x14ac:dyDescent="0.2">
      <c r="A1068" s="6" t="str">
        <f>"SLC23A1"</f>
        <v>SLC23A1</v>
      </c>
      <c r="B1068" s="6">
        <v>3.9960039960039899E-3</v>
      </c>
      <c r="C1068" s="6">
        <v>6.1566626424032003E-2</v>
      </c>
    </row>
    <row r="1069" spans="1:3" s="7" customFormat="1" x14ac:dyDescent="0.2">
      <c r="A1069" s="6" t="str">
        <f>"C19orf53"</f>
        <v>C19orf53</v>
      </c>
      <c r="B1069" s="6">
        <v>3.9960039960039899E-3</v>
      </c>
      <c r="C1069" s="6">
        <v>6.1566626424032003E-2</v>
      </c>
    </row>
    <row r="1070" spans="1:3" s="7" customFormat="1" x14ac:dyDescent="0.2">
      <c r="A1070" s="6" t="str">
        <f>"TBX1"</f>
        <v>TBX1</v>
      </c>
      <c r="B1070" s="6">
        <v>3.9960039960039899E-3</v>
      </c>
      <c r="C1070" s="6">
        <v>6.1566626424032003E-2</v>
      </c>
    </row>
    <row r="1071" spans="1:3" s="7" customFormat="1" x14ac:dyDescent="0.2">
      <c r="A1071" s="6" t="str">
        <f>"MAPK8IP1"</f>
        <v>MAPK8IP1</v>
      </c>
      <c r="B1071" s="6">
        <v>3.9960039960039899E-3</v>
      </c>
      <c r="C1071" s="6">
        <v>6.1566626424032003E-2</v>
      </c>
    </row>
    <row r="1072" spans="1:3" s="7" customFormat="1" x14ac:dyDescent="0.2">
      <c r="A1072" s="6" t="str">
        <f>"UPP1"</f>
        <v>UPP1</v>
      </c>
      <c r="B1072" s="6">
        <v>3.9960039960039899E-3</v>
      </c>
      <c r="C1072" s="6">
        <v>6.1566626424032003E-2</v>
      </c>
    </row>
    <row r="1073" spans="1:3" s="7" customFormat="1" x14ac:dyDescent="0.2">
      <c r="A1073" s="6" t="str">
        <f>"LRRC74B"</f>
        <v>LRRC74B</v>
      </c>
      <c r="B1073" s="6">
        <v>3.9960039960039899E-3</v>
      </c>
      <c r="C1073" s="6">
        <v>6.1566626424032003E-2</v>
      </c>
    </row>
    <row r="1074" spans="1:3" s="7" customFormat="1" x14ac:dyDescent="0.2">
      <c r="A1074" s="6" t="str">
        <f>"HIPK1"</f>
        <v>HIPK1</v>
      </c>
      <c r="B1074" s="6">
        <v>3.9960039960039899E-3</v>
      </c>
      <c r="C1074" s="6">
        <v>6.1566626424032003E-2</v>
      </c>
    </row>
    <row r="1075" spans="1:3" s="7" customFormat="1" x14ac:dyDescent="0.2">
      <c r="A1075" s="6" t="str">
        <f>"ZNF84-DT"</f>
        <v>ZNF84-DT</v>
      </c>
      <c r="B1075" s="6">
        <v>3.9960039960039899E-3</v>
      </c>
      <c r="C1075" s="6">
        <v>6.1566626424032003E-2</v>
      </c>
    </row>
    <row r="1076" spans="1:3" s="7" customFormat="1" x14ac:dyDescent="0.2">
      <c r="A1076" s="6" t="str">
        <f>"H2AC6"</f>
        <v>H2AC6</v>
      </c>
      <c r="B1076" s="6">
        <v>3.9960039960039899E-3</v>
      </c>
      <c r="C1076" s="6">
        <v>6.1566626424032003E-2</v>
      </c>
    </row>
    <row r="1077" spans="1:3" s="7" customFormat="1" x14ac:dyDescent="0.2">
      <c r="A1077" s="6" t="str">
        <f>"PLXNB3"</f>
        <v>PLXNB3</v>
      </c>
      <c r="B1077" s="6">
        <v>3.9960039960039899E-3</v>
      </c>
      <c r="C1077" s="6">
        <v>6.1566626424032003E-2</v>
      </c>
    </row>
    <row r="1078" spans="1:3" s="7" customFormat="1" x14ac:dyDescent="0.2">
      <c r="A1078" s="6" t="str">
        <f>"SULT1B1"</f>
        <v>SULT1B1</v>
      </c>
      <c r="B1078" s="6">
        <v>3.9960039960039899E-3</v>
      </c>
      <c r="C1078" s="6">
        <v>6.1566626424032003E-2</v>
      </c>
    </row>
    <row r="1079" spans="1:3" s="7" customFormat="1" x14ac:dyDescent="0.2">
      <c r="A1079" s="6" t="str">
        <f>"HLA-L"</f>
        <v>HLA-L</v>
      </c>
      <c r="B1079" s="6">
        <v>3.9960039960039899E-3</v>
      </c>
      <c r="C1079" s="6">
        <v>6.1566626424032003E-2</v>
      </c>
    </row>
    <row r="1080" spans="1:3" s="7" customFormat="1" x14ac:dyDescent="0.2">
      <c r="A1080" s="6" t="str">
        <f>"BHLHE40"</f>
        <v>BHLHE40</v>
      </c>
      <c r="B1080" s="6">
        <v>3.9960039960039899E-3</v>
      </c>
      <c r="C1080" s="6">
        <v>6.1566626424032003E-2</v>
      </c>
    </row>
    <row r="1081" spans="1:3" s="7" customFormat="1" x14ac:dyDescent="0.2">
      <c r="A1081" s="6" t="str">
        <f>"DLEU7"</f>
        <v>DLEU7</v>
      </c>
      <c r="B1081" s="6">
        <v>3.9960039960039899E-3</v>
      </c>
      <c r="C1081" s="6">
        <v>6.1566626424032003E-2</v>
      </c>
    </row>
    <row r="1082" spans="1:3" s="7" customFormat="1" x14ac:dyDescent="0.2">
      <c r="A1082" s="6" t="str">
        <f>"PXN"</f>
        <v>PXN</v>
      </c>
      <c r="B1082" s="6">
        <v>3.9960039960039899E-3</v>
      </c>
      <c r="C1082" s="6">
        <v>6.1566626424032003E-2</v>
      </c>
    </row>
    <row r="1083" spans="1:3" s="7" customFormat="1" x14ac:dyDescent="0.2">
      <c r="A1083" s="6" t="str">
        <f>"FTH1P8"</f>
        <v>FTH1P8</v>
      </c>
      <c r="B1083" s="6">
        <v>3.9960039960039899E-3</v>
      </c>
      <c r="C1083" s="6">
        <v>6.1566626424032003E-2</v>
      </c>
    </row>
    <row r="1084" spans="1:3" s="7" customFormat="1" x14ac:dyDescent="0.2">
      <c r="A1084" s="6" t="str">
        <f>"CLINT1"</f>
        <v>CLINT1</v>
      </c>
      <c r="B1084" s="6">
        <v>3.9960039960039899E-3</v>
      </c>
      <c r="C1084" s="6">
        <v>6.1566626424032003E-2</v>
      </c>
    </row>
    <row r="1085" spans="1:3" s="7" customFormat="1" x14ac:dyDescent="0.2">
      <c r="A1085" s="6" t="str">
        <f>"GPR37"</f>
        <v>GPR37</v>
      </c>
      <c r="B1085" s="6">
        <v>3.9960039960039899E-3</v>
      </c>
      <c r="C1085" s="6">
        <v>6.1566626424032003E-2</v>
      </c>
    </row>
    <row r="1086" spans="1:3" s="7" customFormat="1" x14ac:dyDescent="0.2">
      <c r="A1086" s="6" t="str">
        <f>"OTULINL"</f>
        <v>OTULINL</v>
      </c>
      <c r="B1086" s="6">
        <v>3.9960039960039899E-3</v>
      </c>
      <c r="C1086" s="6">
        <v>6.1566626424032003E-2</v>
      </c>
    </row>
    <row r="1087" spans="1:3" s="7" customFormat="1" x14ac:dyDescent="0.2">
      <c r="A1087" s="6" t="str">
        <f>"OVOL1"</f>
        <v>OVOL1</v>
      </c>
      <c r="B1087" s="6">
        <v>3.9960039960039899E-3</v>
      </c>
      <c r="C1087" s="6">
        <v>6.1566626424032003E-2</v>
      </c>
    </row>
    <row r="1088" spans="1:3" s="7" customFormat="1" x14ac:dyDescent="0.2">
      <c r="A1088" s="6" t="str">
        <f>"FYB1"</f>
        <v>FYB1</v>
      </c>
      <c r="B1088" s="6">
        <v>3.9960039960039899E-3</v>
      </c>
      <c r="C1088" s="6">
        <v>6.1566626424032003E-2</v>
      </c>
    </row>
    <row r="1089" spans="1:3" s="7" customFormat="1" x14ac:dyDescent="0.2">
      <c r="A1089" s="6" t="str">
        <f>"LINC02540"</f>
        <v>LINC02540</v>
      </c>
      <c r="B1089" s="6">
        <v>4.0080160320641201E-3</v>
      </c>
      <c r="C1089" s="6">
        <v>6.1571672757279101E-2</v>
      </c>
    </row>
    <row r="1090" spans="1:3" s="7" customFormat="1" x14ac:dyDescent="0.2">
      <c r="A1090" s="6" t="str">
        <f>"AC006213.6"</f>
        <v>AC006213.6</v>
      </c>
      <c r="B1090" s="6">
        <v>4.0120361083249697E-3</v>
      </c>
      <c r="C1090" s="6">
        <v>6.1576833346688203E-2</v>
      </c>
    </row>
    <row r="1091" spans="1:3" s="7" customFormat="1" x14ac:dyDescent="0.2">
      <c r="A1091" s="6" t="str">
        <f>"AL139099.1"</f>
        <v>AL139099.1</v>
      </c>
      <c r="B1091" s="6">
        <v>4.1436464088397702E-3</v>
      </c>
      <c r="C1091" s="6">
        <v>6.3538445942521005E-2</v>
      </c>
    </row>
    <row r="1092" spans="1:3" s="7" customFormat="1" x14ac:dyDescent="0.2">
      <c r="A1092" s="6" t="str">
        <f>"LINC01816"</f>
        <v>LINC01816</v>
      </c>
      <c r="B1092" s="6">
        <v>4.1666666666666597E-3</v>
      </c>
      <c r="C1092" s="6">
        <v>6.38328750381911E-2</v>
      </c>
    </row>
    <row r="1093" spans="1:3" s="7" customFormat="1" x14ac:dyDescent="0.2">
      <c r="A1093" s="6" t="str">
        <f>"AC104971.1"</f>
        <v>AC104971.1</v>
      </c>
      <c r="B1093" s="6">
        <v>4.2149631190727E-3</v>
      </c>
      <c r="C1093" s="6">
        <v>6.4513638802363604E-2</v>
      </c>
    </row>
    <row r="1094" spans="1:3" s="7" customFormat="1" x14ac:dyDescent="0.2">
      <c r="A1094" s="6" t="str">
        <f>"UPF3AP2"</f>
        <v>UPF3AP2</v>
      </c>
      <c r="B1094" s="6">
        <v>4.3010752688172E-3</v>
      </c>
      <c r="C1094" s="6">
        <v>6.5771429133586995E-2</v>
      </c>
    </row>
    <row r="1095" spans="1:3" s="7" customFormat="1" x14ac:dyDescent="0.2">
      <c r="A1095" s="6" t="str">
        <f>"AL356417.3"</f>
        <v>AL356417.3</v>
      </c>
      <c r="B1095" s="6">
        <v>4.9950049950049898E-3</v>
      </c>
      <c r="C1095" s="6">
        <v>6.8737595442607699E-2</v>
      </c>
    </row>
    <row r="1096" spans="1:3" s="7" customFormat="1" x14ac:dyDescent="0.2">
      <c r="A1096" s="6" t="str">
        <f>"MTDHP3"</f>
        <v>MTDHP3</v>
      </c>
      <c r="B1096" s="6">
        <v>4.9950049950049898E-3</v>
      </c>
      <c r="C1096" s="6">
        <v>6.8737595442607699E-2</v>
      </c>
    </row>
    <row r="1097" spans="1:3" s="7" customFormat="1" x14ac:dyDescent="0.2">
      <c r="A1097" s="6" t="str">
        <f>"SEMG1"</f>
        <v>SEMG1</v>
      </c>
      <c r="B1097" s="6">
        <v>4.9950049950049898E-3</v>
      </c>
      <c r="C1097" s="6">
        <v>6.8737595442607699E-2</v>
      </c>
    </row>
    <row r="1098" spans="1:3" s="7" customFormat="1" x14ac:dyDescent="0.2">
      <c r="A1098" s="6" t="str">
        <f>"AC136475.5"</f>
        <v>AC136475.5</v>
      </c>
      <c r="B1098" s="6">
        <v>4.9950049950049898E-3</v>
      </c>
      <c r="C1098" s="6">
        <v>6.8737595442607699E-2</v>
      </c>
    </row>
    <row r="1099" spans="1:3" s="7" customFormat="1" x14ac:dyDescent="0.2">
      <c r="A1099" s="6" t="str">
        <f>"CD79A"</f>
        <v>CD79A</v>
      </c>
      <c r="B1099" s="6">
        <v>4.9950049950049898E-3</v>
      </c>
      <c r="C1099" s="6">
        <v>6.8737595442607699E-2</v>
      </c>
    </row>
    <row r="1100" spans="1:3" s="7" customFormat="1" x14ac:dyDescent="0.2">
      <c r="A1100" s="6" t="str">
        <f>"SLC10A6"</f>
        <v>SLC10A6</v>
      </c>
      <c r="B1100" s="6">
        <v>4.9950049950049898E-3</v>
      </c>
      <c r="C1100" s="6">
        <v>6.8737595442607699E-2</v>
      </c>
    </row>
    <row r="1101" spans="1:3" s="7" customFormat="1" x14ac:dyDescent="0.2">
      <c r="A1101" s="6" t="str">
        <f>"AC116366.1"</f>
        <v>AC116366.1</v>
      </c>
      <c r="B1101" s="6">
        <v>4.9950049950049898E-3</v>
      </c>
      <c r="C1101" s="6">
        <v>6.8737595442607699E-2</v>
      </c>
    </row>
    <row r="1102" spans="1:3" s="7" customFormat="1" x14ac:dyDescent="0.2">
      <c r="A1102" s="6" t="str">
        <f>"AC215522.2"</f>
        <v>AC215522.2</v>
      </c>
      <c r="B1102" s="6">
        <v>4.9950049950049898E-3</v>
      </c>
      <c r="C1102" s="6">
        <v>6.8737595442607699E-2</v>
      </c>
    </row>
    <row r="1103" spans="1:3" s="7" customFormat="1" x14ac:dyDescent="0.2">
      <c r="A1103" s="6" t="str">
        <f>"AC074143.1"</f>
        <v>AC074143.1</v>
      </c>
      <c r="B1103" s="6">
        <v>4.9950049950049898E-3</v>
      </c>
      <c r="C1103" s="6">
        <v>6.8737595442607699E-2</v>
      </c>
    </row>
    <row r="1104" spans="1:3" s="7" customFormat="1" x14ac:dyDescent="0.2">
      <c r="A1104" s="6" t="str">
        <f>"ARL10"</f>
        <v>ARL10</v>
      </c>
      <c r="B1104" s="6">
        <v>4.9950049950049898E-3</v>
      </c>
      <c r="C1104" s="6">
        <v>6.8737595442607699E-2</v>
      </c>
    </row>
    <row r="1105" spans="1:3" s="7" customFormat="1" x14ac:dyDescent="0.2">
      <c r="A1105" s="6" t="str">
        <f>"MUC12"</f>
        <v>MUC12</v>
      </c>
      <c r="B1105" s="6">
        <v>4.9950049950049898E-3</v>
      </c>
      <c r="C1105" s="6">
        <v>6.8737595442607699E-2</v>
      </c>
    </row>
    <row r="1106" spans="1:3" s="7" customFormat="1" x14ac:dyDescent="0.2">
      <c r="A1106" s="6" t="str">
        <f>"CSGALNACT1"</f>
        <v>CSGALNACT1</v>
      </c>
      <c r="B1106" s="6">
        <v>4.9950049950049898E-3</v>
      </c>
      <c r="C1106" s="6">
        <v>6.8737595442607699E-2</v>
      </c>
    </row>
    <row r="1107" spans="1:3" s="7" customFormat="1" x14ac:dyDescent="0.2">
      <c r="A1107" s="6" t="str">
        <f>"ARHGAP33"</f>
        <v>ARHGAP33</v>
      </c>
      <c r="B1107" s="6">
        <v>4.9950049950049898E-3</v>
      </c>
      <c r="C1107" s="6">
        <v>6.8737595442607699E-2</v>
      </c>
    </row>
    <row r="1108" spans="1:3" s="7" customFormat="1" x14ac:dyDescent="0.2">
      <c r="A1108" s="6" t="str">
        <f>"LINC02582"</f>
        <v>LINC02582</v>
      </c>
      <c r="B1108" s="6">
        <v>4.9950049950049898E-3</v>
      </c>
      <c r="C1108" s="6">
        <v>6.8737595442607699E-2</v>
      </c>
    </row>
    <row r="1109" spans="1:3" s="7" customFormat="1" x14ac:dyDescent="0.2">
      <c r="A1109" s="6" t="str">
        <f>"ZNF438"</f>
        <v>ZNF438</v>
      </c>
      <c r="B1109" s="6">
        <v>5.0000000000000001E-3</v>
      </c>
      <c r="C1109" s="6">
        <v>6.8737595442607699E-2</v>
      </c>
    </row>
    <row r="1110" spans="1:3" s="7" customFormat="1" x14ac:dyDescent="0.2">
      <c r="A1110" s="6" t="str">
        <f>"IL10RA"</f>
        <v>IL10RA</v>
      </c>
      <c r="B1110" s="6">
        <v>4.9950049950049898E-3</v>
      </c>
      <c r="C1110" s="6">
        <v>6.8737595442607699E-2</v>
      </c>
    </row>
    <row r="1111" spans="1:3" s="7" customFormat="1" x14ac:dyDescent="0.2">
      <c r="A1111" s="6" t="str">
        <f>"AC099489.1"</f>
        <v>AC099489.1</v>
      </c>
      <c r="B1111" s="6">
        <v>4.9950049950049898E-3</v>
      </c>
      <c r="C1111" s="6">
        <v>6.8737595442607699E-2</v>
      </c>
    </row>
    <row r="1112" spans="1:3" s="7" customFormat="1" x14ac:dyDescent="0.2">
      <c r="A1112" s="6" t="str">
        <f>"SASH3"</f>
        <v>SASH3</v>
      </c>
      <c r="B1112" s="6">
        <v>4.9950049950049898E-3</v>
      </c>
      <c r="C1112" s="6">
        <v>6.8737595442607699E-2</v>
      </c>
    </row>
    <row r="1113" spans="1:3" s="7" customFormat="1" x14ac:dyDescent="0.2">
      <c r="A1113" s="6" t="str">
        <f>"MME"</f>
        <v>MME</v>
      </c>
      <c r="B1113" s="6">
        <v>4.9950049950049898E-3</v>
      </c>
      <c r="C1113" s="6">
        <v>6.8737595442607699E-2</v>
      </c>
    </row>
    <row r="1114" spans="1:3" s="7" customFormat="1" x14ac:dyDescent="0.2">
      <c r="A1114" s="6" t="str">
        <f>"CFD"</f>
        <v>CFD</v>
      </c>
      <c r="B1114" s="6">
        <v>4.9950049950049898E-3</v>
      </c>
      <c r="C1114" s="6">
        <v>6.8737595442607699E-2</v>
      </c>
    </row>
    <row r="1115" spans="1:3" s="7" customFormat="1" x14ac:dyDescent="0.2">
      <c r="A1115" s="6" t="str">
        <f>"OSM"</f>
        <v>OSM</v>
      </c>
      <c r="B1115" s="6">
        <v>4.9950049950049898E-3</v>
      </c>
      <c r="C1115" s="6">
        <v>6.8737595442607699E-2</v>
      </c>
    </row>
    <row r="1116" spans="1:3" s="7" customFormat="1" x14ac:dyDescent="0.2">
      <c r="A1116" s="6" t="str">
        <f>"ICAM1"</f>
        <v>ICAM1</v>
      </c>
      <c r="B1116" s="6">
        <v>4.9950049950049898E-3</v>
      </c>
      <c r="C1116" s="6">
        <v>6.8737595442607699E-2</v>
      </c>
    </row>
    <row r="1117" spans="1:3" s="7" customFormat="1" x14ac:dyDescent="0.2">
      <c r="A1117" s="6" t="str">
        <f>"FPR1"</f>
        <v>FPR1</v>
      </c>
      <c r="B1117" s="6">
        <v>4.9950049950049898E-3</v>
      </c>
      <c r="C1117" s="6">
        <v>6.8737595442607699E-2</v>
      </c>
    </row>
    <row r="1118" spans="1:3" s="7" customFormat="1" x14ac:dyDescent="0.2">
      <c r="A1118" s="6" t="str">
        <f>"AC092053.2"</f>
        <v>AC092053.2</v>
      </c>
      <c r="B1118" s="6">
        <v>4.9950049950049898E-3</v>
      </c>
      <c r="C1118" s="6">
        <v>6.8737595442607699E-2</v>
      </c>
    </row>
    <row r="1119" spans="1:3" s="7" customFormat="1" x14ac:dyDescent="0.2">
      <c r="A1119" s="6" t="str">
        <f>"AC097374.1"</f>
        <v>AC097374.1</v>
      </c>
      <c r="B1119" s="6">
        <v>4.9950049950049898E-3</v>
      </c>
      <c r="C1119" s="6">
        <v>6.8737595442607699E-2</v>
      </c>
    </row>
    <row r="1120" spans="1:3" s="7" customFormat="1" x14ac:dyDescent="0.2">
      <c r="A1120" s="6" t="str">
        <f>"TLR7"</f>
        <v>TLR7</v>
      </c>
      <c r="B1120" s="6">
        <v>4.9950049950049898E-3</v>
      </c>
      <c r="C1120" s="6">
        <v>6.8737595442607699E-2</v>
      </c>
    </row>
    <row r="1121" spans="1:3" s="7" customFormat="1" x14ac:dyDescent="0.2">
      <c r="A1121" s="6" t="str">
        <f>"CAV1"</f>
        <v>CAV1</v>
      </c>
      <c r="B1121" s="6">
        <v>4.9950049950049898E-3</v>
      </c>
      <c r="C1121" s="6">
        <v>6.8737595442607699E-2</v>
      </c>
    </row>
    <row r="1122" spans="1:3" s="7" customFormat="1" x14ac:dyDescent="0.2">
      <c r="A1122" s="6" t="str">
        <f>"PARVG"</f>
        <v>PARVG</v>
      </c>
      <c r="B1122" s="6">
        <v>5.0000000000000001E-3</v>
      </c>
      <c r="C1122" s="6">
        <v>6.8737595442607699E-2</v>
      </c>
    </row>
    <row r="1123" spans="1:3" s="7" customFormat="1" x14ac:dyDescent="0.2">
      <c r="A1123" s="6" t="str">
        <f>"H1-0"</f>
        <v>H1-0</v>
      </c>
      <c r="B1123" s="6">
        <v>4.9950049950049898E-3</v>
      </c>
      <c r="C1123" s="6">
        <v>6.8737595442607699E-2</v>
      </c>
    </row>
    <row r="1124" spans="1:3" s="7" customFormat="1" x14ac:dyDescent="0.2">
      <c r="A1124" s="6" t="str">
        <f>"RCCD1-AS1"</f>
        <v>RCCD1-AS1</v>
      </c>
      <c r="B1124" s="6">
        <v>5.0000000000000001E-3</v>
      </c>
      <c r="C1124" s="6">
        <v>6.8737595442607699E-2</v>
      </c>
    </row>
    <row r="1125" spans="1:3" s="7" customFormat="1" x14ac:dyDescent="0.2">
      <c r="A1125" s="6" t="str">
        <f>"ARG1"</f>
        <v>ARG1</v>
      </c>
      <c r="B1125" s="6">
        <v>4.9950049950049898E-3</v>
      </c>
      <c r="C1125" s="6">
        <v>6.8737595442607699E-2</v>
      </c>
    </row>
    <row r="1126" spans="1:3" s="7" customFormat="1" x14ac:dyDescent="0.2">
      <c r="A1126" s="6" t="str">
        <f>"AC096667.1"</f>
        <v>AC096667.1</v>
      </c>
      <c r="B1126" s="6">
        <v>4.9950049950049898E-3</v>
      </c>
      <c r="C1126" s="6">
        <v>6.8737595442607699E-2</v>
      </c>
    </row>
    <row r="1127" spans="1:3" s="7" customFormat="1" x14ac:dyDescent="0.2">
      <c r="A1127" s="6" t="str">
        <f>"SIRPB2"</f>
        <v>SIRPB2</v>
      </c>
      <c r="B1127" s="6">
        <v>4.9950049950049898E-3</v>
      </c>
      <c r="C1127" s="6">
        <v>6.8737595442607699E-2</v>
      </c>
    </row>
    <row r="1128" spans="1:3" s="7" customFormat="1" x14ac:dyDescent="0.2">
      <c r="A1128" s="6" t="str">
        <f>"LARP6"</f>
        <v>LARP6</v>
      </c>
      <c r="B1128" s="6">
        <v>4.9950049950049898E-3</v>
      </c>
      <c r="C1128" s="6">
        <v>6.8737595442607699E-2</v>
      </c>
    </row>
    <row r="1129" spans="1:3" s="7" customFormat="1" x14ac:dyDescent="0.2">
      <c r="A1129" s="6" t="str">
        <f>"C6orf120"</f>
        <v>C6orf120</v>
      </c>
      <c r="B1129" s="6">
        <v>4.9950049950049898E-3</v>
      </c>
      <c r="C1129" s="6">
        <v>6.8737595442607699E-2</v>
      </c>
    </row>
    <row r="1130" spans="1:3" s="7" customFormat="1" x14ac:dyDescent="0.2">
      <c r="A1130" s="6" t="str">
        <f>"MAP7D1"</f>
        <v>MAP7D1</v>
      </c>
      <c r="B1130" s="6">
        <v>4.9950049950049898E-3</v>
      </c>
      <c r="C1130" s="6">
        <v>6.8737595442607699E-2</v>
      </c>
    </row>
    <row r="1131" spans="1:3" s="7" customFormat="1" x14ac:dyDescent="0.2">
      <c r="A1131" s="6" t="str">
        <f>"LINC00540"</f>
        <v>LINC00540</v>
      </c>
      <c r="B1131" s="6">
        <v>4.9950049950049898E-3</v>
      </c>
      <c r="C1131" s="6">
        <v>6.8737595442607699E-2</v>
      </c>
    </row>
    <row r="1132" spans="1:3" s="7" customFormat="1" x14ac:dyDescent="0.2">
      <c r="A1132" s="6" t="str">
        <f>"PCDH18"</f>
        <v>PCDH18</v>
      </c>
      <c r="B1132" s="6">
        <v>4.9950049950049898E-3</v>
      </c>
      <c r="C1132" s="6">
        <v>6.8737595442607699E-2</v>
      </c>
    </row>
    <row r="1133" spans="1:3" s="7" customFormat="1" x14ac:dyDescent="0.2">
      <c r="A1133" s="6" t="str">
        <f>"SEZ6"</f>
        <v>SEZ6</v>
      </c>
      <c r="B1133" s="6">
        <v>4.9950049950049898E-3</v>
      </c>
      <c r="C1133" s="6">
        <v>6.8737595442607699E-2</v>
      </c>
    </row>
    <row r="1134" spans="1:3" s="7" customFormat="1" x14ac:dyDescent="0.2">
      <c r="A1134" s="6" t="str">
        <f>"AJ003147.2"</f>
        <v>AJ003147.2</v>
      </c>
      <c r="B1134" s="6">
        <v>5.0000000000000001E-3</v>
      </c>
      <c r="C1134" s="6">
        <v>6.8737595442607699E-2</v>
      </c>
    </row>
    <row r="1135" spans="1:3" s="7" customFormat="1" x14ac:dyDescent="0.2">
      <c r="A1135" s="6" t="str">
        <f>"OGDHL"</f>
        <v>OGDHL</v>
      </c>
      <c r="B1135" s="6">
        <v>4.9950049950049898E-3</v>
      </c>
      <c r="C1135" s="6">
        <v>6.8737595442607699E-2</v>
      </c>
    </row>
    <row r="1136" spans="1:3" s="7" customFormat="1" x14ac:dyDescent="0.2">
      <c r="A1136" s="6" t="str">
        <f>"TMEM26"</f>
        <v>TMEM26</v>
      </c>
      <c r="B1136" s="6">
        <v>4.9950049950049898E-3</v>
      </c>
      <c r="C1136" s="6">
        <v>6.8737595442607699E-2</v>
      </c>
    </row>
    <row r="1137" spans="1:3" s="7" customFormat="1" x14ac:dyDescent="0.2">
      <c r="A1137" s="6" t="str">
        <f>"AC010624.3"</f>
        <v>AC010624.3</v>
      </c>
      <c r="B1137" s="6">
        <v>4.9950049950049898E-3</v>
      </c>
      <c r="C1137" s="6">
        <v>6.8737595442607699E-2</v>
      </c>
    </row>
    <row r="1138" spans="1:3" s="7" customFormat="1" x14ac:dyDescent="0.2">
      <c r="A1138" s="6" t="str">
        <f>"ETV4"</f>
        <v>ETV4</v>
      </c>
      <c r="B1138" s="6">
        <v>4.9950049950049898E-3</v>
      </c>
      <c r="C1138" s="6">
        <v>6.8737595442607699E-2</v>
      </c>
    </row>
    <row r="1139" spans="1:3" s="7" customFormat="1" x14ac:dyDescent="0.2">
      <c r="A1139" s="6" t="str">
        <f>"RASGRP2"</f>
        <v>RASGRP2</v>
      </c>
      <c r="B1139" s="6">
        <v>4.9950049950049898E-3</v>
      </c>
      <c r="C1139" s="6">
        <v>6.8737595442607699E-2</v>
      </c>
    </row>
    <row r="1140" spans="1:3" s="7" customFormat="1" x14ac:dyDescent="0.2">
      <c r="A1140" s="6" t="str">
        <f>"GPR132"</f>
        <v>GPR132</v>
      </c>
      <c r="B1140" s="6">
        <v>4.9950049950049898E-3</v>
      </c>
      <c r="C1140" s="6">
        <v>6.8737595442607699E-2</v>
      </c>
    </row>
    <row r="1141" spans="1:3" s="7" customFormat="1" x14ac:dyDescent="0.2">
      <c r="A1141" s="6" t="str">
        <f>"TMEM178B"</f>
        <v>TMEM178B</v>
      </c>
      <c r="B1141" s="6">
        <v>4.9950049950049898E-3</v>
      </c>
      <c r="C1141" s="6">
        <v>6.8737595442607699E-2</v>
      </c>
    </row>
    <row r="1142" spans="1:3" s="7" customFormat="1" x14ac:dyDescent="0.2">
      <c r="A1142" s="6" t="str">
        <f>"IWS1"</f>
        <v>IWS1</v>
      </c>
      <c r="B1142" s="6">
        <v>4.9950049950049898E-3</v>
      </c>
      <c r="C1142" s="6">
        <v>6.8737595442607699E-2</v>
      </c>
    </row>
    <row r="1143" spans="1:3" s="7" customFormat="1" x14ac:dyDescent="0.2">
      <c r="A1143" s="6" t="str">
        <f>"CD68"</f>
        <v>CD68</v>
      </c>
      <c r="B1143" s="6">
        <v>4.9950049950049898E-3</v>
      </c>
      <c r="C1143" s="6">
        <v>6.8737595442607699E-2</v>
      </c>
    </row>
    <row r="1144" spans="1:3" s="7" customFormat="1" x14ac:dyDescent="0.2">
      <c r="A1144" s="6" t="str">
        <f>"LINC01471"</f>
        <v>LINC01471</v>
      </c>
      <c r="B1144" s="6">
        <v>4.9950049950049898E-3</v>
      </c>
      <c r="C1144" s="6">
        <v>6.8737595442607699E-2</v>
      </c>
    </row>
    <row r="1145" spans="1:3" s="7" customFormat="1" x14ac:dyDescent="0.2">
      <c r="A1145" s="6" t="str">
        <f>"OR7E37P"</f>
        <v>OR7E37P</v>
      </c>
      <c r="B1145" s="6">
        <v>5.0000000000000001E-3</v>
      </c>
      <c r="C1145" s="6">
        <v>6.8737595442607699E-2</v>
      </c>
    </row>
    <row r="1146" spans="1:3" s="7" customFormat="1" x14ac:dyDescent="0.2">
      <c r="A1146" s="6" t="str">
        <f>"C9orf139"</f>
        <v>C9orf139</v>
      </c>
      <c r="B1146" s="6">
        <v>4.9950049950049898E-3</v>
      </c>
      <c r="C1146" s="6">
        <v>6.8737595442607699E-2</v>
      </c>
    </row>
    <row r="1147" spans="1:3" s="7" customFormat="1" x14ac:dyDescent="0.2">
      <c r="A1147" s="6" t="str">
        <f>"CKLF-CMTM1"</f>
        <v>CKLF-CMTM1</v>
      </c>
      <c r="B1147" s="6">
        <v>4.9950049950049898E-3</v>
      </c>
      <c r="C1147" s="6">
        <v>6.8737595442607699E-2</v>
      </c>
    </row>
    <row r="1148" spans="1:3" s="7" customFormat="1" x14ac:dyDescent="0.2">
      <c r="A1148" s="6" t="str">
        <f>"CENPE"</f>
        <v>CENPE</v>
      </c>
      <c r="B1148" s="6">
        <v>4.9950049950049898E-3</v>
      </c>
      <c r="C1148" s="6">
        <v>6.8737595442607699E-2</v>
      </c>
    </row>
    <row r="1149" spans="1:3" s="7" customFormat="1" x14ac:dyDescent="0.2">
      <c r="A1149" s="6" t="str">
        <f>"SLC16A7"</f>
        <v>SLC16A7</v>
      </c>
      <c r="B1149" s="6">
        <v>4.9950049950049898E-3</v>
      </c>
      <c r="C1149" s="6">
        <v>6.8737595442607699E-2</v>
      </c>
    </row>
    <row r="1150" spans="1:3" s="7" customFormat="1" x14ac:dyDescent="0.2">
      <c r="A1150" s="6" t="str">
        <f>"SMN2"</f>
        <v>SMN2</v>
      </c>
      <c r="B1150" s="6">
        <v>4.9950049950049898E-3</v>
      </c>
      <c r="C1150" s="6">
        <v>6.8737595442607699E-2</v>
      </c>
    </row>
    <row r="1151" spans="1:3" s="7" customFormat="1" x14ac:dyDescent="0.2">
      <c r="A1151" s="6" t="str">
        <f>"ZNF185"</f>
        <v>ZNF185</v>
      </c>
      <c r="B1151" s="6">
        <v>4.9950049950049898E-3</v>
      </c>
      <c r="C1151" s="6">
        <v>6.8737595442607699E-2</v>
      </c>
    </row>
    <row r="1152" spans="1:3" s="7" customFormat="1" x14ac:dyDescent="0.2">
      <c r="A1152" s="6" t="str">
        <f>"PERP"</f>
        <v>PERP</v>
      </c>
      <c r="B1152" s="6">
        <v>4.9950049950049898E-3</v>
      </c>
      <c r="C1152" s="6">
        <v>6.8737595442607699E-2</v>
      </c>
    </row>
    <row r="1153" spans="1:3" s="7" customFormat="1" x14ac:dyDescent="0.2">
      <c r="A1153" s="6" t="str">
        <f>"ZDHHC19"</f>
        <v>ZDHHC19</v>
      </c>
      <c r="B1153" s="6">
        <v>4.9950049950049898E-3</v>
      </c>
      <c r="C1153" s="6">
        <v>6.8737595442607699E-2</v>
      </c>
    </row>
    <row r="1154" spans="1:3" s="7" customFormat="1" x14ac:dyDescent="0.2">
      <c r="A1154" s="6" t="str">
        <f>"PGAM1P8"</f>
        <v>PGAM1P8</v>
      </c>
      <c r="B1154" s="6">
        <v>4.9950049950049898E-3</v>
      </c>
      <c r="C1154" s="6">
        <v>6.8737595442607699E-2</v>
      </c>
    </row>
    <row r="1155" spans="1:3" s="7" customFormat="1" x14ac:dyDescent="0.2">
      <c r="A1155" s="6" t="str">
        <f>"KIF14"</f>
        <v>KIF14</v>
      </c>
      <c r="B1155" s="6">
        <v>4.9950049950049898E-3</v>
      </c>
      <c r="C1155" s="6">
        <v>6.8737595442607699E-2</v>
      </c>
    </row>
    <row r="1156" spans="1:3" s="7" customFormat="1" x14ac:dyDescent="0.2">
      <c r="A1156" s="6" t="str">
        <f>"TM6SF1"</f>
        <v>TM6SF1</v>
      </c>
      <c r="B1156" s="6">
        <v>4.9950049950049898E-3</v>
      </c>
      <c r="C1156" s="6">
        <v>6.8737595442607699E-2</v>
      </c>
    </row>
    <row r="1157" spans="1:3" s="7" customFormat="1" x14ac:dyDescent="0.2">
      <c r="A1157" s="6" t="str">
        <f>"CENPN"</f>
        <v>CENPN</v>
      </c>
      <c r="B1157" s="6">
        <v>4.9950049950049898E-3</v>
      </c>
      <c r="C1157" s="6">
        <v>6.8737595442607699E-2</v>
      </c>
    </row>
    <row r="1158" spans="1:3" s="7" customFormat="1" x14ac:dyDescent="0.2">
      <c r="A1158" s="6" t="str">
        <f>"AC011603.2"</f>
        <v>AC011603.2</v>
      </c>
      <c r="B1158" s="6">
        <v>4.9950049950049898E-3</v>
      </c>
      <c r="C1158" s="6">
        <v>6.8737595442607699E-2</v>
      </c>
    </row>
    <row r="1159" spans="1:3" s="7" customFormat="1" x14ac:dyDescent="0.2">
      <c r="A1159" s="6" t="str">
        <f>"DLL1"</f>
        <v>DLL1</v>
      </c>
      <c r="B1159" s="6">
        <v>4.9950049950049898E-3</v>
      </c>
      <c r="C1159" s="6">
        <v>6.8737595442607699E-2</v>
      </c>
    </row>
    <row r="1160" spans="1:3" s="7" customFormat="1" x14ac:dyDescent="0.2">
      <c r="A1160" s="6" t="str">
        <f>"CDC20"</f>
        <v>CDC20</v>
      </c>
      <c r="B1160" s="6">
        <v>4.9950049950049898E-3</v>
      </c>
      <c r="C1160" s="6">
        <v>6.8737595442607699E-2</v>
      </c>
    </row>
    <row r="1161" spans="1:3" s="7" customFormat="1" x14ac:dyDescent="0.2">
      <c r="A1161" s="6" t="str">
        <f>"SLC9A3-AS1"</f>
        <v>SLC9A3-AS1</v>
      </c>
      <c r="B1161" s="6">
        <v>4.9950049950049898E-3</v>
      </c>
      <c r="C1161" s="6">
        <v>6.8737595442607699E-2</v>
      </c>
    </row>
    <row r="1162" spans="1:3" s="7" customFormat="1" x14ac:dyDescent="0.2">
      <c r="A1162" s="6" t="str">
        <f>"TRIM7"</f>
        <v>TRIM7</v>
      </c>
      <c r="B1162" s="6">
        <v>4.9950049950049898E-3</v>
      </c>
      <c r="C1162" s="6">
        <v>6.8737595442607699E-2</v>
      </c>
    </row>
    <row r="1163" spans="1:3" s="7" customFormat="1" x14ac:dyDescent="0.2">
      <c r="A1163" s="6" t="str">
        <f>"PNKD"</f>
        <v>PNKD</v>
      </c>
      <c r="B1163" s="6">
        <v>4.9950049950049898E-3</v>
      </c>
      <c r="C1163" s="6">
        <v>6.8737595442607699E-2</v>
      </c>
    </row>
    <row r="1164" spans="1:3" s="7" customFormat="1" x14ac:dyDescent="0.2">
      <c r="A1164" s="6" t="str">
        <f>"SPRR2A"</f>
        <v>SPRR2A</v>
      </c>
      <c r="B1164" s="6">
        <v>4.9950049950049898E-3</v>
      </c>
      <c r="C1164" s="6">
        <v>6.8737595442607699E-2</v>
      </c>
    </row>
    <row r="1165" spans="1:3" s="7" customFormat="1" x14ac:dyDescent="0.2">
      <c r="A1165" s="6" t="str">
        <f>"RBM14-RBM4"</f>
        <v>RBM14-RBM4</v>
      </c>
      <c r="B1165" s="6">
        <v>4.9950049950049898E-3</v>
      </c>
      <c r="C1165" s="6">
        <v>6.8737595442607699E-2</v>
      </c>
    </row>
    <row r="1166" spans="1:3" s="7" customFormat="1" x14ac:dyDescent="0.2">
      <c r="A1166" s="6" t="str">
        <f>"RPS6KA6"</f>
        <v>RPS6KA6</v>
      </c>
      <c r="B1166" s="6">
        <v>4.9950049950049898E-3</v>
      </c>
      <c r="C1166" s="6">
        <v>6.8737595442607699E-2</v>
      </c>
    </row>
    <row r="1167" spans="1:3" s="7" customFormat="1" x14ac:dyDescent="0.2">
      <c r="A1167" s="6" t="str">
        <f>"MB"</f>
        <v>MB</v>
      </c>
      <c r="B1167" s="6">
        <v>4.9950049950049898E-3</v>
      </c>
      <c r="C1167" s="6">
        <v>6.8737595442607699E-2</v>
      </c>
    </row>
    <row r="1168" spans="1:3" s="7" customFormat="1" x14ac:dyDescent="0.2">
      <c r="A1168" s="6" t="str">
        <f>"ARHGEF1"</f>
        <v>ARHGEF1</v>
      </c>
      <c r="B1168" s="6">
        <v>4.9950049950049898E-3</v>
      </c>
      <c r="C1168" s="6">
        <v>6.8737595442607699E-2</v>
      </c>
    </row>
    <row r="1169" spans="1:3" s="7" customFormat="1" x14ac:dyDescent="0.2">
      <c r="A1169" s="6" t="str">
        <f>"AL592148.3"</f>
        <v>AL592148.3</v>
      </c>
      <c r="B1169" s="6">
        <v>4.9950049950049898E-3</v>
      </c>
      <c r="C1169" s="6">
        <v>6.8737595442607699E-2</v>
      </c>
    </row>
    <row r="1170" spans="1:3" s="7" customFormat="1" x14ac:dyDescent="0.2">
      <c r="A1170" s="6" t="str">
        <f>"AL033519.5"</f>
        <v>AL033519.5</v>
      </c>
      <c r="B1170" s="6">
        <v>5.0050050050049998E-3</v>
      </c>
      <c r="C1170" s="6">
        <v>6.8737595442607699E-2</v>
      </c>
    </row>
    <row r="1171" spans="1:3" s="7" customFormat="1" x14ac:dyDescent="0.2">
      <c r="A1171" s="6" t="str">
        <f>"PPP4R4"</f>
        <v>PPP4R4</v>
      </c>
      <c r="B1171" s="6">
        <v>4.9950049950049898E-3</v>
      </c>
      <c r="C1171" s="6">
        <v>6.8737595442607699E-2</v>
      </c>
    </row>
    <row r="1172" spans="1:3" s="7" customFormat="1" x14ac:dyDescent="0.2">
      <c r="A1172" s="6" t="str">
        <f>"MT1F"</f>
        <v>MT1F</v>
      </c>
      <c r="B1172" s="6">
        <v>4.9950049950049898E-3</v>
      </c>
      <c r="C1172" s="6">
        <v>6.8737595442607699E-2</v>
      </c>
    </row>
    <row r="1173" spans="1:3" s="7" customFormat="1" x14ac:dyDescent="0.2">
      <c r="A1173" s="6" t="str">
        <f>"ACBD3-AS1"</f>
        <v>ACBD3-AS1</v>
      </c>
      <c r="B1173" s="6">
        <v>4.9950049950049898E-3</v>
      </c>
      <c r="C1173" s="6">
        <v>6.8737595442607699E-2</v>
      </c>
    </row>
    <row r="1174" spans="1:3" s="7" customFormat="1" x14ac:dyDescent="0.2">
      <c r="A1174" s="6" t="str">
        <f>"GOLGA8B"</f>
        <v>GOLGA8B</v>
      </c>
      <c r="B1174" s="6">
        <v>4.9950049950049898E-3</v>
      </c>
      <c r="C1174" s="6">
        <v>6.8737595442607699E-2</v>
      </c>
    </row>
    <row r="1175" spans="1:3" s="7" customFormat="1" x14ac:dyDescent="0.2">
      <c r="A1175" s="6" t="str">
        <f>"STK11"</f>
        <v>STK11</v>
      </c>
      <c r="B1175" s="6">
        <v>4.9950049950049898E-3</v>
      </c>
      <c r="C1175" s="6">
        <v>6.8737595442607699E-2</v>
      </c>
    </row>
    <row r="1176" spans="1:3" s="7" customFormat="1" x14ac:dyDescent="0.2">
      <c r="A1176" s="6" t="str">
        <f>"CD164"</f>
        <v>CD164</v>
      </c>
      <c r="B1176" s="6">
        <v>4.9950049950049898E-3</v>
      </c>
      <c r="C1176" s="6">
        <v>6.8737595442607699E-2</v>
      </c>
    </row>
    <row r="1177" spans="1:3" s="7" customFormat="1" x14ac:dyDescent="0.2">
      <c r="A1177" s="6" t="str">
        <f>"RNASE2"</f>
        <v>RNASE2</v>
      </c>
      <c r="B1177" s="6">
        <v>4.9950049950049898E-3</v>
      </c>
      <c r="C1177" s="6">
        <v>6.8737595442607699E-2</v>
      </c>
    </row>
    <row r="1178" spans="1:3" s="7" customFormat="1" x14ac:dyDescent="0.2">
      <c r="A1178" s="6" t="str">
        <f>"RGL3"</f>
        <v>RGL3</v>
      </c>
      <c r="B1178" s="6">
        <v>4.9950049950049898E-3</v>
      </c>
      <c r="C1178" s="6">
        <v>6.8737595442607699E-2</v>
      </c>
    </row>
    <row r="1179" spans="1:3" s="7" customFormat="1" x14ac:dyDescent="0.2">
      <c r="A1179" s="6" t="str">
        <f>"BCYRN1"</f>
        <v>BCYRN1</v>
      </c>
      <c r="B1179" s="6">
        <v>4.9950049950049898E-3</v>
      </c>
      <c r="C1179" s="6">
        <v>6.8737595442607699E-2</v>
      </c>
    </row>
    <row r="1180" spans="1:3" s="7" customFormat="1" x14ac:dyDescent="0.2">
      <c r="A1180" s="6" t="str">
        <f>"CCZ1"</f>
        <v>CCZ1</v>
      </c>
      <c r="B1180" s="6">
        <v>4.9950049950049898E-3</v>
      </c>
      <c r="C1180" s="6">
        <v>6.8737595442607699E-2</v>
      </c>
    </row>
    <row r="1181" spans="1:3" s="7" customFormat="1" x14ac:dyDescent="0.2">
      <c r="A1181" s="6" t="str">
        <f>"TRANK1"</f>
        <v>TRANK1</v>
      </c>
      <c r="B1181" s="6">
        <v>4.9950049950049898E-3</v>
      </c>
      <c r="C1181" s="6">
        <v>6.8737595442607699E-2</v>
      </c>
    </row>
    <row r="1182" spans="1:3" s="7" customFormat="1" x14ac:dyDescent="0.2">
      <c r="A1182" s="6" t="str">
        <f>"RPL34-DT"</f>
        <v>RPL34-DT</v>
      </c>
      <c r="B1182" s="6">
        <v>5.0050050050049998E-3</v>
      </c>
      <c r="C1182" s="6">
        <v>6.8737595442607699E-2</v>
      </c>
    </row>
    <row r="1183" spans="1:3" s="7" customFormat="1" x14ac:dyDescent="0.2">
      <c r="A1183" s="6" t="str">
        <f>"MFAP4"</f>
        <v>MFAP4</v>
      </c>
      <c r="B1183" s="6">
        <v>4.9950049950049898E-3</v>
      </c>
      <c r="C1183" s="6">
        <v>6.8737595442607699E-2</v>
      </c>
    </row>
    <row r="1184" spans="1:3" s="7" customFormat="1" x14ac:dyDescent="0.2">
      <c r="A1184" s="6" t="str">
        <f>"RPL10P9"</f>
        <v>RPL10P9</v>
      </c>
      <c r="B1184" s="6">
        <v>4.9950049950049898E-3</v>
      </c>
      <c r="C1184" s="6">
        <v>6.8737595442607699E-2</v>
      </c>
    </row>
    <row r="1185" spans="1:3" s="7" customFormat="1" x14ac:dyDescent="0.2">
      <c r="A1185" s="6" t="str">
        <f>"TRIM36"</f>
        <v>TRIM36</v>
      </c>
      <c r="B1185" s="6">
        <v>4.9950049950049898E-3</v>
      </c>
      <c r="C1185" s="6">
        <v>6.8737595442607699E-2</v>
      </c>
    </row>
    <row r="1186" spans="1:3" s="7" customFormat="1" x14ac:dyDescent="0.2">
      <c r="A1186" s="6" t="str">
        <f>"BNIP3"</f>
        <v>BNIP3</v>
      </c>
      <c r="B1186" s="6">
        <v>4.9950049950049898E-3</v>
      </c>
      <c r="C1186" s="6">
        <v>6.8737595442607699E-2</v>
      </c>
    </row>
    <row r="1187" spans="1:3" s="7" customFormat="1" x14ac:dyDescent="0.2">
      <c r="A1187" s="6" t="str">
        <f>"CACNA1F"</f>
        <v>CACNA1F</v>
      </c>
      <c r="B1187" s="6">
        <v>4.9950049950049898E-3</v>
      </c>
      <c r="C1187" s="6">
        <v>6.8737595442607699E-2</v>
      </c>
    </row>
    <row r="1188" spans="1:3" s="7" customFormat="1" x14ac:dyDescent="0.2">
      <c r="A1188" s="6" t="str">
        <f>"LBR"</f>
        <v>LBR</v>
      </c>
      <c r="B1188" s="6">
        <v>4.9950049950049898E-3</v>
      </c>
      <c r="C1188" s="6">
        <v>6.8737595442607699E-2</v>
      </c>
    </row>
    <row r="1189" spans="1:3" s="7" customFormat="1" x14ac:dyDescent="0.2">
      <c r="A1189" s="6" t="str">
        <f>"TSG101"</f>
        <v>TSG101</v>
      </c>
      <c r="B1189" s="6">
        <v>4.9950049950049898E-3</v>
      </c>
      <c r="C1189" s="6">
        <v>6.8737595442607699E-2</v>
      </c>
    </row>
    <row r="1190" spans="1:3" s="7" customFormat="1" x14ac:dyDescent="0.2">
      <c r="A1190" s="6" t="str">
        <f>"ATP5IF1"</f>
        <v>ATP5IF1</v>
      </c>
      <c r="B1190" s="6">
        <v>4.9950049950049898E-3</v>
      </c>
      <c r="C1190" s="6">
        <v>6.8737595442607699E-2</v>
      </c>
    </row>
    <row r="1191" spans="1:3" s="7" customFormat="1" x14ac:dyDescent="0.2">
      <c r="A1191" s="6" t="str">
        <f>"MUC20"</f>
        <v>MUC20</v>
      </c>
      <c r="B1191" s="6">
        <v>4.9950049950049898E-3</v>
      </c>
      <c r="C1191" s="6">
        <v>6.8737595442607699E-2</v>
      </c>
    </row>
    <row r="1192" spans="1:3" s="7" customFormat="1" x14ac:dyDescent="0.2">
      <c r="A1192" s="6" t="str">
        <f>"CLSTN2"</f>
        <v>CLSTN2</v>
      </c>
      <c r="B1192" s="6">
        <v>4.9950049950049898E-3</v>
      </c>
      <c r="C1192" s="6">
        <v>6.8737595442607699E-2</v>
      </c>
    </row>
    <row r="1193" spans="1:3" s="7" customFormat="1" x14ac:dyDescent="0.2">
      <c r="A1193" s="6" t="str">
        <f>"LINC01908"</f>
        <v>LINC01908</v>
      </c>
      <c r="B1193" s="6">
        <v>4.9950049950049898E-3</v>
      </c>
      <c r="C1193" s="6">
        <v>6.8737595442607699E-2</v>
      </c>
    </row>
    <row r="1194" spans="1:3" s="7" customFormat="1" x14ac:dyDescent="0.2">
      <c r="A1194" s="6" t="str">
        <f>"VSIG4"</f>
        <v>VSIG4</v>
      </c>
      <c r="B1194" s="6">
        <v>4.9950049950049898E-3</v>
      </c>
      <c r="C1194" s="6">
        <v>6.8737595442607699E-2</v>
      </c>
    </row>
    <row r="1195" spans="1:3" s="7" customFormat="1" x14ac:dyDescent="0.2">
      <c r="A1195" s="6" t="str">
        <f>"SPTAN1"</f>
        <v>SPTAN1</v>
      </c>
      <c r="B1195" s="6">
        <v>4.9950049950049898E-3</v>
      </c>
      <c r="C1195" s="6">
        <v>6.8737595442607699E-2</v>
      </c>
    </row>
    <row r="1196" spans="1:3" s="7" customFormat="1" x14ac:dyDescent="0.2">
      <c r="A1196" s="6" t="str">
        <f>"CLNK"</f>
        <v>CLNK</v>
      </c>
      <c r="B1196" s="6">
        <v>4.9950049950049898E-3</v>
      </c>
      <c r="C1196" s="6">
        <v>6.8737595442607699E-2</v>
      </c>
    </row>
    <row r="1197" spans="1:3" s="7" customFormat="1" x14ac:dyDescent="0.2">
      <c r="A1197" s="6" t="str">
        <f>"EPHX3"</f>
        <v>EPHX3</v>
      </c>
      <c r="B1197" s="6">
        <v>4.9950049950049898E-3</v>
      </c>
      <c r="C1197" s="6">
        <v>6.8737595442607699E-2</v>
      </c>
    </row>
    <row r="1198" spans="1:3" s="7" customFormat="1" x14ac:dyDescent="0.2">
      <c r="A1198" s="6" t="str">
        <f>"TBKBP1"</f>
        <v>TBKBP1</v>
      </c>
      <c r="B1198" s="6">
        <v>4.9950049950049898E-3</v>
      </c>
      <c r="C1198" s="6">
        <v>6.8737595442607699E-2</v>
      </c>
    </row>
    <row r="1199" spans="1:3" s="7" customFormat="1" x14ac:dyDescent="0.2">
      <c r="A1199" s="6" t="str">
        <f>"LINC00467"</f>
        <v>LINC00467</v>
      </c>
      <c r="B1199" s="6">
        <v>4.9950049950049898E-3</v>
      </c>
      <c r="C1199" s="6">
        <v>6.8737595442607699E-2</v>
      </c>
    </row>
    <row r="1200" spans="1:3" s="7" customFormat="1" x14ac:dyDescent="0.2">
      <c r="A1200" s="6" t="str">
        <f>"MBD1"</f>
        <v>MBD1</v>
      </c>
      <c r="B1200" s="6">
        <v>4.9950049950049898E-3</v>
      </c>
      <c r="C1200" s="6">
        <v>6.8737595442607699E-2</v>
      </c>
    </row>
    <row r="1201" spans="1:3" s="7" customFormat="1" x14ac:dyDescent="0.2">
      <c r="A1201" s="6" t="str">
        <f>"CTXN1"</f>
        <v>CTXN1</v>
      </c>
      <c r="B1201" s="6">
        <v>4.9950049950049898E-3</v>
      </c>
      <c r="C1201" s="6">
        <v>6.8737595442607699E-2</v>
      </c>
    </row>
    <row r="1202" spans="1:3" s="7" customFormat="1" x14ac:dyDescent="0.2">
      <c r="A1202" s="6" t="str">
        <f>"AUH"</f>
        <v>AUH</v>
      </c>
      <c r="B1202" s="6">
        <v>4.9950049950049898E-3</v>
      </c>
      <c r="C1202" s="6">
        <v>6.8737595442607699E-2</v>
      </c>
    </row>
    <row r="1203" spans="1:3" s="7" customFormat="1" x14ac:dyDescent="0.2">
      <c r="A1203" s="6" t="str">
        <f>"PPP1R12B"</f>
        <v>PPP1R12B</v>
      </c>
      <c r="B1203" s="6">
        <v>4.9950049950049898E-3</v>
      </c>
      <c r="C1203" s="6">
        <v>6.8737595442607699E-2</v>
      </c>
    </row>
    <row r="1204" spans="1:3" s="7" customFormat="1" x14ac:dyDescent="0.2">
      <c r="A1204" s="6" t="str">
        <f>"FAM166B"</f>
        <v>FAM166B</v>
      </c>
      <c r="B1204" s="6">
        <v>4.9950049950049898E-3</v>
      </c>
      <c r="C1204" s="6">
        <v>6.8737595442607699E-2</v>
      </c>
    </row>
    <row r="1205" spans="1:3" s="7" customFormat="1" x14ac:dyDescent="0.2">
      <c r="A1205" s="6" t="str">
        <f>"THRSP"</f>
        <v>THRSP</v>
      </c>
      <c r="B1205" s="6">
        <v>4.9950049950049898E-3</v>
      </c>
      <c r="C1205" s="6">
        <v>6.8737595442607699E-2</v>
      </c>
    </row>
    <row r="1206" spans="1:3" s="7" customFormat="1" x14ac:dyDescent="0.2">
      <c r="A1206" s="6" t="str">
        <f>"KPNA6"</f>
        <v>KPNA6</v>
      </c>
      <c r="B1206" s="6">
        <v>4.9950049950049898E-3</v>
      </c>
      <c r="C1206" s="6">
        <v>6.8737595442607699E-2</v>
      </c>
    </row>
    <row r="1207" spans="1:3" s="7" customFormat="1" x14ac:dyDescent="0.2">
      <c r="A1207" s="6" t="str">
        <f>"MIF"</f>
        <v>MIF</v>
      </c>
      <c r="B1207" s="6">
        <v>4.9950049950049898E-3</v>
      </c>
      <c r="C1207" s="6">
        <v>6.8737595442607699E-2</v>
      </c>
    </row>
    <row r="1208" spans="1:3" s="7" customFormat="1" x14ac:dyDescent="0.2">
      <c r="A1208" s="6" t="str">
        <f>"PLAT"</f>
        <v>PLAT</v>
      </c>
      <c r="B1208" s="6">
        <v>4.9950049950049898E-3</v>
      </c>
      <c r="C1208" s="6">
        <v>6.8737595442607699E-2</v>
      </c>
    </row>
    <row r="1209" spans="1:3" s="7" customFormat="1" x14ac:dyDescent="0.2">
      <c r="A1209" s="6" t="str">
        <f>"RNPS1"</f>
        <v>RNPS1</v>
      </c>
      <c r="B1209" s="6">
        <v>4.9950049950049898E-3</v>
      </c>
      <c r="C1209" s="6">
        <v>6.8737595442607699E-2</v>
      </c>
    </row>
    <row r="1210" spans="1:3" s="7" customFormat="1" x14ac:dyDescent="0.2">
      <c r="A1210" s="6" t="str">
        <f>"PKIG"</f>
        <v>PKIG</v>
      </c>
      <c r="B1210" s="6">
        <v>4.9950049950049898E-3</v>
      </c>
      <c r="C1210" s="6">
        <v>6.8737595442607699E-2</v>
      </c>
    </row>
    <row r="1211" spans="1:3" s="7" customFormat="1" x14ac:dyDescent="0.2">
      <c r="A1211" s="6" t="str">
        <f>"ACTG1P1"</f>
        <v>ACTG1P1</v>
      </c>
      <c r="B1211" s="6">
        <v>5.0000000000000001E-3</v>
      </c>
      <c r="C1211" s="6">
        <v>6.8737595442607699E-2</v>
      </c>
    </row>
    <row r="1212" spans="1:3" s="7" customFormat="1" x14ac:dyDescent="0.2">
      <c r="A1212" s="6" t="str">
        <f>"AC105020.6"</f>
        <v>AC105020.6</v>
      </c>
      <c r="B1212" s="6">
        <v>4.5112781954887203E-3</v>
      </c>
      <c r="C1212" s="6">
        <v>6.8737595442607699E-2</v>
      </c>
    </row>
    <row r="1213" spans="1:3" s="7" customFormat="1" x14ac:dyDescent="0.2">
      <c r="A1213" s="6" t="str">
        <f>"RABL2A"</f>
        <v>RABL2A</v>
      </c>
      <c r="B1213" s="6">
        <v>4.9950049950049898E-3</v>
      </c>
      <c r="C1213" s="6">
        <v>6.8737595442607699E-2</v>
      </c>
    </row>
    <row r="1214" spans="1:3" s="7" customFormat="1" x14ac:dyDescent="0.2">
      <c r="A1214" s="6" t="str">
        <f>"SNRNP70"</f>
        <v>SNRNP70</v>
      </c>
      <c r="B1214" s="6">
        <v>4.9950049950049898E-3</v>
      </c>
      <c r="C1214" s="6">
        <v>6.8737595442607699E-2</v>
      </c>
    </row>
    <row r="1215" spans="1:3" s="7" customFormat="1" x14ac:dyDescent="0.2">
      <c r="A1215" s="6" t="str">
        <f>"GRN"</f>
        <v>GRN</v>
      </c>
      <c r="B1215" s="6">
        <v>4.9950049950049898E-3</v>
      </c>
      <c r="C1215" s="6">
        <v>6.8737595442607699E-2</v>
      </c>
    </row>
    <row r="1216" spans="1:3" s="7" customFormat="1" x14ac:dyDescent="0.2">
      <c r="A1216" s="6" t="str">
        <f>"GPR27"</f>
        <v>GPR27</v>
      </c>
      <c r="B1216" s="6">
        <v>4.9950049950049898E-3</v>
      </c>
      <c r="C1216" s="6">
        <v>6.8737595442607699E-2</v>
      </c>
    </row>
    <row r="1217" spans="1:3" s="7" customFormat="1" x14ac:dyDescent="0.2">
      <c r="A1217" s="6" t="str">
        <f>"DDX60"</f>
        <v>DDX60</v>
      </c>
      <c r="B1217" s="6">
        <v>4.9950049950049898E-3</v>
      </c>
      <c r="C1217" s="6">
        <v>6.8737595442607699E-2</v>
      </c>
    </row>
    <row r="1218" spans="1:3" s="7" customFormat="1" x14ac:dyDescent="0.2">
      <c r="A1218" s="6" t="str">
        <f>"IER2"</f>
        <v>IER2</v>
      </c>
      <c r="B1218" s="6">
        <v>4.9950049950049898E-3</v>
      </c>
      <c r="C1218" s="6">
        <v>6.8737595442607699E-2</v>
      </c>
    </row>
    <row r="1219" spans="1:3" s="7" customFormat="1" x14ac:dyDescent="0.2">
      <c r="A1219" s="6" t="str">
        <f>"MAPRE3-AS1"</f>
        <v>MAPRE3-AS1</v>
      </c>
      <c r="B1219" s="6">
        <v>5.0150451354062098E-3</v>
      </c>
      <c r="C1219" s="6">
        <v>6.8818936283398496E-2</v>
      </c>
    </row>
    <row r="1220" spans="1:3" s="7" customFormat="1" x14ac:dyDescent="0.2">
      <c r="A1220" s="6" t="str">
        <f>"SFTPD"</f>
        <v>SFTPD</v>
      </c>
      <c r="B1220" s="6">
        <v>5.0454086781029197E-3</v>
      </c>
      <c r="C1220" s="6">
        <v>6.9178802826753205E-2</v>
      </c>
    </row>
    <row r="1221" spans="1:3" s="7" customFormat="1" x14ac:dyDescent="0.2">
      <c r="A1221" s="6" t="str">
        <f>"AC024581.1"</f>
        <v>AC024581.1</v>
      </c>
      <c r="B1221" s="6">
        <v>5.2410901467505201E-3</v>
      </c>
      <c r="C1221" s="6">
        <v>7.18029350104821E-2</v>
      </c>
    </row>
    <row r="1222" spans="1:3" s="7" customFormat="1" x14ac:dyDescent="0.2">
      <c r="A1222" s="6" t="str">
        <f>"MTATP8P1"</f>
        <v>MTATP8P1</v>
      </c>
      <c r="B1222" s="6">
        <v>5.4112554112554102E-3</v>
      </c>
      <c r="C1222" s="6">
        <v>7.4073483164392204E-2</v>
      </c>
    </row>
    <row r="1223" spans="1:3" s="7" customFormat="1" x14ac:dyDescent="0.2">
      <c r="A1223" s="6" t="str">
        <f>"AL138694.1"</f>
        <v>AL138694.1</v>
      </c>
      <c r="B1223" s="6">
        <v>5.9940059940059897E-3</v>
      </c>
      <c r="C1223" s="6">
        <v>7.7278201989518305E-2</v>
      </c>
    </row>
    <row r="1224" spans="1:3" s="7" customFormat="1" x14ac:dyDescent="0.2">
      <c r="A1224" s="6" t="str">
        <f>"AGAP2"</f>
        <v>AGAP2</v>
      </c>
      <c r="B1224" s="6">
        <v>5.9940059940059897E-3</v>
      </c>
      <c r="C1224" s="6">
        <v>7.7278201989518305E-2</v>
      </c>
    </row>
    <row r="1225" spans="1:3" s="7" customFormat="1" x14ac:dyDescent="0.2">
      <c r="A1225" s="6" t="str">
        <f>"PSMF1"</f>
        <v>PSMF1</v>
      </c>
      <c r="B1225" s="6">
        <v>5.9940059940059897E-3</v>
      </c>
      <c r="C1225" s="6">
        <v>7.7278201989518305E-2</v>
      </c>
    </row>
    <row r="1226" spans="1:3" s="7" customFormat="1" x14ac:dyDescent="0.2">
      <c r="A1226" s="6" t="str">
        <f>"AAMP"</f>
        <v>AAMP</v>
      </c>
      <c r="B1226" s="6">
        <v>5.9940059940059897E-3</v>
      </c>
      <c r="C1226" s="6">
        <v>7.7278201989518305E-2</v>
      </c>
    </row>
    <row r="1227" spans="1:3" s="7" customFormat="1" x14ac:dyDescent="0.2">
      <c r="A1227" s="6" t="str">
        <f>"CLEC17A"</f>
        <v>CLEC17A</v>
      </c>
      <c r="B1227" s="6">
        <v>5.9940059940059897E-3</v>
      </c>
      <c r="C1227" s="6">
        <v>7.7278201989518305E-2</v>
      </c>
    </row>
    <row r="1228" spans="1:3" s="7" customFormat="1" x14ac:dyDescent="0.2">
      <c r="A1228" s="6" t="str">
        <f>"LILRA1"</f>
        <v>LILRA1</v>
      </c>
      <c r="B1228" s="6">
        <v>5.9940059940059897E-3</v>
      </c>
      <c r="C1228" s="6">
        <v>7.7278201989518305E-2</v>
      </c>
    </row>
    <row r="1229" spans="1:3" s="7" customFormat="1" x14ac:dyDescent="0.2">
      <c r="A1229" s="6" t="str">
        <f>"NHSL2"</f>
        <v>NHSL2</v>
      </c>
      <c r="B1229" s="6">
        <v>5.9940059940059897E-3</v>
      </c>
      <c r="C1229" s="6">
        <v>7.7278201989518305E-2</v>
      </c>
    </row>
    <row r="1230" spans="1:3" s="7" customFormat="1" x14ac:dyDescent="0.2">
      <c r="A1230" s="6" t="str">
        <f>"LILRA2"</f>
        <v>LILRA2</v>
      </c>
      <c r="B1230" s="6">
        <v>5.9940059940059897E-3</v>
      </c>
      <c r="C1230" s="6">
        <v>7.7278201989518305E-2</v>
      </c>
    </row>
    <row r="1231" spans="1:3" s="7" customFormat="1" x14ac:dyDescent="0.2">
      <c r="A1231" s="6" t="str">
        <f>"PLPPR2"</f>
        <v>PLPPR2</v>
      </c>
      <c r="B1231" s="6">
        <v>5.9940059940059897E-3</v>
      </c>
      <c r="C1231" s="6">
        <v>7.7278201989518305E-2</v>
      </c>
    </row>
    <row r="1232" spans="1:3" s="7" customFormat="1" x14ac:dyDescent="0.2">
      <c r="A1232" s="6" t="str">
        <f>"DSG3"</f>
        <v>DSG3</v>
      </c>
      <c r="B1232" s="6">
        <v>5.9940059940059897E-3</v>
      </c>
      <c r="C1232" s="6">
        <v>7.7278201989518305E-2</v>
      </c>
    </row>
    <row r="1233" spans="1:3" s="7" customFormat="1" x14ac:dyDescent="0.2">
      <c r="A1233" s="6" t="str">
        <f>"PKIB"</f>
        <v>PKIB</v>
      </c>
      <c r="B1233" s="6">
        <v>5.9940059940059897E-3</v>
      </c>
      <c r="C1233" s="6">
        <v>7.7278201989518305E-2</v>
      </c>
    </row>
    <row r="1234" spans="1:3" s="7" customFormat="1" x14ac:dyDescent="0.2">
      <c r="A1234" s="6" t="str">
        <f>"LUC7L2"</f>
        <v>LUC7L2</v>
      </c>
      <c r="B1234" s="6">
        <v>5.9940059940059897E-3</v>
      </c>
      <c r="C1234" s="6">
        <v>7.7278201989518305E-2</v>
      </c>
    </row>
    <row r="1235" spans="1:3" s="7" customFormat="1" x14ac:dyDescent="0.2">
      <c r="A1235" s="6" t="str">
        <f>"MAPK1IP1L"</f>
        <v>MAPK1IP1L</v>
      </c>
      <c r="B1235" s="6">
        <v>5.9940059940059897E-3</v>
      </c>
      <c r="C1235" s="6">
        <v>7.7278201989518305E-2</v>
      </c>
    </row>
    <row r="1236" spans="1:3" s="7" customFormat="1" x14ac:dyDescent="0.2">
      <c r="A1236" s="6" t="str">
        <f>"DRAXIN"</f>
        <v>DRAXIN</v>
      </c>
      <c r="B1236" s="6">
        <v>5.7339449541284398E-3</v>
      </c>
      <c r="C1236" s="6">
        <v>7.7278201989518305E-2</v>
      </c>
    </row>
    <row r="1237" spans="1:3" s="7" customFormat="1" x14ac:dyDescent="0.2">
      <c r="A1237" s="6" t="str">
        <f>"GFI1B"</f>
        <v>GFI1B</v>
      </c>
      <c r="B1237" s="6">
        <v>5.9940059940059897E-3</v>
      </c>
      <c r="C1237" s="6">
        <v>7.7278201989518305E-2</v>
      </c>
    </row>
    <row r="1238" spans="1:3" s="7" customFormat="1" x14ac:dyDescent="0.2">
      <c r="A1238" s="6" t="str">
        <f>"AL592429.1"</f>
        <v>AL592429.1</v>
      </c>
      <c r="B1238" s="6">
        <v>5.9940059940059897E-3</v>
      </c>
      <c r="C1238" s="6">
        <v>7.7278201989518305E-2</v>
      </c>
    </row>
    <row r="1239" spans="1:3" s="7" customFormat="1" x14ac:dyDescent="0.2">
      <c r="A1239" s="6" t="str">
        <f>"AL365259.1"</f>
        <v>AL365259.1</v>
      </c>
      <c r="B1239" s="6">
        <v>6.0000000000000001E-3</v>
      </c>
      <c r="C1239" s="6">
        <v>7.7278201989518305E-2</v>
      </c>
    </row>
    <row r="1240" spans="1:3" s="7" customFormat="1" x14ac:dyDescent="0.2">
      <c r="A1240" s="6" t="str">
        <f>"MTND2P28"</f>
        <v>MTND2P28</v>
      </c>
      <c r="B1240" s="6">
        <v>5.9940059940059897E-3</v>
      </c>
      <c r="C1240" s="6">
        <v>7.7278201989518305E-2</v>
      </c>
    </row>
    <row r="1241" spans="1:3" s="7" customFormat="1" x14ac:dyDescent="0.2">
      <c r="A1241" s="6" t="str">
        <f>"MT-ND3"</f>
        <v>MT-ND3</v>
      </c>
      <c r="B1241" s="6">
        <v>5.9940059940059897E-3</v>
      </c>
      <c r="C1241" s="6">
        <v>7.7278201989518305E-2</v>
      </c>
    </row>
    <row r="1242" spans="1:3" s="7" customFormat="1" x14ac:dyDescent="0.2">
      <c r="A1242" s="6" t="str">
        <f>"JAM2"</f>
        <v>JAM2</v>
      </c>
      <c r="B1242" s="6">
        <v>6.0060060060059999E-3</v>
      </c>
      <c r="C1242" s="6">
        <v>7.7278201989518305E-2</v>
      </c>
    </row>
    <row r="1243" spans="1:3" s="7" customFormat="1" x14ac:dyDescent="0.2">
      <c r="A1243" s="6" t="str">
        <f>"AC019155.2"</f>
        <v>AC019155.2</v>
      </c>
      <c r="B1243" s="6">
        <v>5.9940059940059897E-3</v>
      </c>
      <c r="C1243" s="6">
        <v>7.7278201989518305E-2</v>
      </c>
    </row>
    <row r="1244" spans="1:3" s="7" customFormat="1" x14ac:dyDescent="0.2">
      <c r="A1244" s="6" t="str">
        <f>"MESP2"</f>
        <v>MESP2</v>
      </c>
      <c r="B1244" s="6">
        <v>5.9940059940059897E-3</v>
      </c>
      <c r="C1244" s="6">
        <v>7.7278201989518305E-2</v>
      </c>
    </row>
    <row r="1245" spans="1:3" s="7" customFormat="1" x14ac:dyDescent="0.2">
      <c r="A1245" s="6" t="str">
        <f>"SPINK7"</f>
        <v>SPINK7</v>
      </c>
      <c r="B1245" s="6">
        <v>5.9940059940059897E-3</v>
      </c>
      <c r="C1245" s="6">
        <v>7.7278201989518305E-2</v>
      </c>
    </row>
    <row r="1246" spans="1:3" s="7" customFormat="1" x14ac:dyDescent="0.2">
      <c r="A1246" s="6" t="str">
        <f>"GNG4"</f>
        <v>GNG4</v>
      </c>
      <c r="B1246" s="6">
        <v>5.9940059940059897E-3</v>
      </c>
      <c r="C1246" s="6">
        <v>7.7278201989518305E-2</v>
      </c>
    </row>
    <row r="1247" spans="1:3" s="7" customFormat="1" x14ac:dyDescent="0.2">
      <c r="A1247" s="6" t="str">
        <f>"GEN1"</f>
        <v>GEN1</v>
      </c>
      <c r="B1247" s="6">
        <v>5.9940059940059897E-3</v>
      </c>
      <c r="C1247" s="6">
        <v>7.7278201989518305E-2</v>
      </c>
    </row>
    <row r="1248" spans="1:3" s="7" customFormat="1" x14ac:dyDescent="0.2">
      <c r="A1248" s="6" t="str">
        <f>"NCF2"</f>
        <v>NCF2</v>
      </c>
      <c r="B1248" s="6">
        <v>5.9940059940059897E-3</v>
      </c>
      <c r="C1248" s="6">
        <v>7.7278201989518305E-2</v>
      </c>
    </row>
    <row r="1249" spans="1:3" s="7" customFormat="1" x14ac:dyDescent="0.2">
      <c r="A1249" s="6" t="str">
        <f>"PDE2A"</f>
        <v>PDE2A</v>
      </c>
      <c r="B1249" s="6">
        <v>5.9940059940059897E-3</v>
      </c>
      <c r="C1249" s="6">
        <v>7.7278201989518305E-2</v>
      </c>
    </row>
    <row r="1250" spans="1:3" s="7" customFormat="1" x14ac:dyDescent="0.2">
      <c r="A1250" s="6" t="str">
        <f>"CENPK"</f>
        <v>CENPK</v>
      </c>
      <c r="B1250" s="6">
        <v>5.9940059940059897E-3</v>
      </c>
      <c r="C1250" s="6">
        <v>7.7278201989518305E-2</v>
      </c>
    </row>
    <row r="1251" spans="1:3" s="7" customFormat="1" x14ac:dyDescent="0.2">
      <c r="A1251" s="6" t="str">
        <f>"TPX2"</f>
        <v>TPX2</v>
      </c>
      <c r="B1251" s="6">
        <v>5.9940059940059897E-3</v>
      </c>
      <c r="C1251" s="6">
        <v>7.7278201989518305E-2</v>
      </c>
    </row>
    <row r="1252" spans="1:3" s="7" customFormat="1" x14ac:dyDescent="0.2">
      <c r="A1252" s="6" t="str">
        <f>"MPP4"</f>
        <v>MPP4</v>
      </c>
      <c r="B1252" s="6">
        <v>6.0060060060059999E-3</v>
      </c>
      <c r="C1252" s="6">
        <v>7.7278201989518305E-2</v>
      </c>
    </row>
    <row r="1253" spans="1:3" s="7" customFormat="1" x14ac:dyDescent="0.2">
      <c r="A1253" s="6" t="str">
        <f>"LINC02484"</f>
        <v>LINC02484</v>
      </c>
      <c r="B1253" s="6">
        <v>5.9940059940059897E-3</v>
      </c>
      <c r="C1253" s="6">
        <v>7.7278201989518305E-2</v>
      </c>
    </row>
    <row r="1254" spans="1:3" s="7" customFormat="1" x14ac:dyDescent="0.2">
      <c r="A1254" s="6" t="str">
        <f>"KSR1"</f>
        <v>KSR1</v>
      </c>
      <c r="B1254" s="6">
        <v>5.9940059940059897E-3</v>
      </c>
      <c r="C1254" s="6">
        <v>7.7278201989518305E-2</v>
      </c>
    </row>
    <row r="1255" spans="1:3" s="7" customFormat="1" x14ac:dyDescent="0.2">
      <c r="A1255" s="6" t="str">
        <f>"PGLS"</f>
        <v>PGLS</v>
      </c>
      <c r="B1255" s="6">
        <v>5.9940059940059897E-3</v>
      </c>
      <c r="C1255" s="6">
        <v>7.7278201989518305E-2</v>
      </c>
    </row>
    <row r="1256" spans="1:3" s="7" customFormat="1" x14ac:dyDescent="0.2">
      <c r="A1256" s="6" t="str">
        <f>"SCD"</f>
        <v>SCD</v>
      </c>
      <c r="B1256" s="6">
        <v>5.9940059940059897E-3</v>
      </c>
      <c r="C1256" s="6">
        <v>7.7278201989518305E-2</v>
      </c>
    </row>
    <row r="1257" spans="1:3" s="7" customFormat="1" x14ac:dyDescent="0.2">
      <c r="A1257" s="6" t="str">
        <f>"FCGR3B"</f>
        <v>FCGR3B</v>
      </c>
      <c r="B1257" s="6">
        <v>5.9940059940059897E-3</v>
      </c>
      <c r="C1257" s="6">
        <v>7.7278201989518305E-2</v>
      </c>
    </row>
    <row r="1258" spans="1:3" s="7" customFormat="1" x14ac:dyDescent="0.2">
      <c r="A1258" s="6" t="str">
        <f>"NBEAL2"</f>
        <v>NBEAL2</v>
      </c>
      <c r="B1258" s="6">
        <v>5.9940059940059897E-3</v>
      </c>
      <c r="C1258" s="6">
        <v>7.7278201989518305E-2</v>
      </c>
    </row>
    <row r="1259" spans="1:3" s="7" customFormat="1" x14ac:dyDescent="0.2">
      <c r="A1259" s="6" t="str">
        <f>"SCAF11"</f>
        <v>SCAF11</v>
      </c>
      <c r="B1259" s="6">
        <v>5.9940059940059897E-3</v>
      </c>
      <c r="C1259" s="6">
        <v>7.7278201989518305E-2</v>
      </c>
    </row>
    <row r="1260" spans="1:3" s="7" customFormat="1" x14ac:dyDescent="0.2">
      <c r="A1260" s="6" t="str">
        <f>"AC139495.2"</f>
        <v>AC139495.2</v>
      </c>
      <c r="B1260" s="6">
        <v>5.9940059940059897E-3</v>
      </c>
      <c r="C1260" s="6">
        <v>7.7278201989518305E-2</v>
      </c>
    </row>
    <row r="1261" spans="1:3" s="7" customFormat="1" x14ac:dyDescent="0.2">
      <c r="A1261" s="6" t="str">
        <f>"SCUBE2"</f>
        <v>SCUBE2</v>
      </c>
      <c r="B1261" s="6">
        <v>5.9940059940059897E-3</v>
      </c>
      <c r="C1261" s="6">
        <v>7.7278201989518305E-2</v>
      </c>
    </row>
    <row r="1262" spans="1:3" s="7" customFormat="1" x14ac:dyDescent="0.2">
      <c r="A1262" s="6" t="str">
        <f>"IQGAP3"</f>
        <v>IQGAP3</v>
      </c>
      <c r="B1262" s="6">
        <v>5.9940059940059897E-3</v>
      </c>
      <c r="C1262" s="6">
        <v>7.7278201989518305E-2</v>
      </c>
    </row>
    <row r="1263" spans="1:3" s="7" customFormat="1" x14ac:dyDescent="0.2">
      <c r="A1263" s="6" t="str">
        <f>"EPHA1"</f>
        <v>EPHA1</v>
      </c>
      <c r="B1263" s="6">
        <v>5.9940059940059897E-3</v>
      </c>
      <c r="C1263" s="6">
        <v>7.7278201989518305E-2</v>
      </c>
    </row>
    <row r="1264" spans="1:3" s="7" customFormat="1" x14ac:dyDescent="0.2">
      <c r="A1264" s="6" t="str">
        <f>"UBE2Q2"</f>
        <v>UBE2Q2</v>
      </c>
      <c r="B1264" s="6">
        <v>5.9940059940059897E-3</v>
      </c>
      <c r="C1264" s="6">
        <v>7.7278201989518305E-2</v>
      </c>
    </row>
    <row r="1265" spans="1:3" s="7" customFormat="1" x14ac:dyDescent="0.2">
      <c r="A1265" s="6" t="str">
        <f>"AC148477.2"</f>
        <v>AC148477.2</v>
      </c>
      <c r="B1265" s="6">
        <v>5.9940059940059897E-3</v>
      </c>
      <c r="C1265" s="6">
        <v>7.7278201989518305E-2</v>
      </c>
    </row>
    <row r="1266" spans="1:3" s="7" customFormat="1" x14ac:dyDescent="0.2">
      <c r="A1266" s="6" t="str">
        <f>"AC005697.2"</f>
        <v>AC005697.2</v>
      </c>
      <c r="B1266" s="6">
        <v>5.9940059940059897E-3</v>
      </c>
      <c r="C1266" s="6">
        <v>7.7278201989518305E-2</v>
      </c>
    </row>
    <row r="1267" spans="1:3" s="7" customFormat="1" x14ac:dyDescent="0.2">
      <c r="A1267" s="6" t="str">
        <f>"MTND1P23"</f>
        <v>MTND1P23</v>
      </c>
      <c r="B1267" s="6">
        <v>5.9940059940059897E-3</v>
      </c>
      <c r="C1267" s="6">
        <v>7.7278201989518305E-2</v>
      </c>
    </row>
    <row r="1268" spans="1:3" s="7" customFormat="1" x14ac:dyDescent="0.2">
      <c r="A1268" s="6" t="str">
        <f>"YPEL4"</f>
        <v>YPEL4</v>
      </c>
      <c r="B1268" s="6">
        <v>5.9940059940059897E-3</v>
      </c>
      <c r="C1268" s="6">
        <v>7.7278201989518305E-2</v>
      </c>
    </row>
    <row r="1269" spans="1:3" s="7" customFormat="1" x14ac:dyDescent="0.2">
      <c r="A1269" s="6" t="str">
        <f>"DGKI"</f>
        <v>DGKI</v>
      </c>
      <c r="B1269" s="6">
        <v>5.9940059940059897E-3</v>
      </c>
      <c r="C1269" s="6">
        <v>7.7278201989518305E-2</v>
      </c>
    </row>
    <row r="1270" spans="1:3" s="7" customFormat="1" x14ac:dyDescent="0.2">
      <c r="A1270" s="6" t="str">
        <f>"H2BC12"</f>
        <v>H2BC12</v>
      </c>
      <c r="B1270" s="6">
        <v>5.9940059940059897E-3</v>
      </c>
      <c r="C1270" s="6">
        <v>7.7278201989518305E-2</v>
      </c>
    </row>
    <row r="1271" spans="1:3" s="7" customFormat="1" x14ac:dyDescent="0.2">
      <c r="A1271" s="6" t="str">
        <f>"TCF4-AS1"</f>
        <v>TCF4-AS1</v>
      </c>
      <c r="B1271" s="6">
        <v>5.9940059940059897E-3</v>
      </c>
      <c r="C1271" s="6">
        <v>7.7278201989518305E-2</v>
      </c>
    </row>
    <row r="1272" spans="1:3" s="7" customFormat="1" x14ac:dyDescent="0.2">
      <c r="A1272" s="6" t="str">
        <f>"AC005077.2"</f>
        <v>AC005077.2</v>
      </c>
      <c r="B1272" s="6">
        <v>5.9940059940059897E-3</v>
      </c>
      <c r="C1272" s="6">
        <v>7.7278201989518305E-2</v>
      </c>
    </row>
    <row r="1273" spans="1:3" s="7" customFormat="1" x14ac:dyDescent="0.2">
      <c r="A1273" s="6" t="str">
        <f>"Z98886.1"</f>
        <v>Z98886.1</v>
      </c>
      <c r="B1273" s="6">
        <v>6.0000000000000001E-3</v>
      </c>
      <c r="C1273" s="6">
        <v>7.7278201989518305E-2</v>
      </c>
    </row>
    <row r="1274" spans="1:3" s="7" customFormat="1" x14ac:dyDescent="0.2">
      <c r="A1274" s="6" t="str">
        <f>"SLC51B"</f>
        <v>SLC51B</v>
      </c>
      <c r="B1274" s="6">
        <v>5.9940059940059897E-3</v>
      </c>
      <c r="C1274" s="6">
        <v>7.7278201989518305E-2</v>
      </c>
    </row>
    <row r="1275" spans="1:3" s="7" customFormat="1" x14ac:dyDescent="0.2">
      <c r="A1275" s="6" t="str">
        <f>"DIO1"</f>
        <v>DIO1</v>
      </c>
      <c r="B1275" s="6">
        <v>5.9940059940059897E-3</v>
      </c>
      <c r="C1275" s="6">
        <v>7.7278201989518305E-2</v>
      </c>
    </row>
    <row r="1276" spans="1:3" s="7" customFormat="1" x14ac:dyDescent="0.2">
      <c r="A1276" s="6" t="str">
        <f>"PSTPIP1"</f>
        <v>PSTPIP1</v>
      </c>
      <c r="B1276" s="6">
        <v>5.9940059940059897E-3</v>
      </c>
      <c r="C1276" s="6">
        <v>7.7278201989518305E-2</v>
      </c>
    </row>
    <row r="1277" spans="1:3" s="7" customFormat="1" x14ac:dyDescent="0.2">
      <c r="A1277" s="6" t="str">
        <f>"LBH"</f>
        <v>LBH</v>
      </c>
      <c r="B1277" s="6">
        <v>5.9940059940059897E-3</v>
      </c>
      <c r="C1277" s="6">
        <v>7.7278201989518305E-2</v>
      </c>
    </row>
    <row r="1278" spans="1:3" s="7" customFormat="1" x14ac:dyDescent="0.2">
      <c r="A1278" s="6" t="str">
        <f>"A4GALT"</f>
        <v>A4GALT</v>
      </c>
      <c r="B1278" s="6">
        <v>5.9940059940059897E-3</v>
      </c>
      <c r="C1278" s="6">
        <v>7.7278201989518305E-2</v>
      </c>
    </row>
    <row r="1279" spans="1:3" s="7" customFormat="1" x14ac:dyDescent="0.2">
      <c r="A1279" s="6" t="str">
        <f>"OLFM3"</f>
        <v>OLFM3</v>
      </c>
      <c r="B1279" s="6">
        <v>5.9940059940059897E-3</v>
      </c>
      <c r="C1279" s="6">
        <v>7.7278201989518305E-2</v>
      </c>
    </row>
    <row r="1280" spans="1:3" s="7" customFormat="1" x14ac:dyDescent="0.2">
      <c r="A1280" s="6" t="str">
        <f>"TEDC2"</f>
        <v>TEDC2</v>
      </c>
      <c r="B1280" s="6">
        <v>5.9940059940059897E-3</v>
      </c>
      <c r="C1280" s="6">
        <v>7.7278201989518305E-2</v>
      </c>
    </row>
    <row r="1281" spans="1:3" s="7" customFormat="1" x14ac:dyDescent="0.2">
      <c r="A1281" s="6" t="str">
        <f>"TTC13"</f>
        <v>TTC13</v>
      </c>
      <c r="B1281" s="6">
        <v>5.9940059940059897E-3</v>
      </c>
      <c r="C1281" s="6">
        <v>7.7278201989518305E-2</v>
      </c>
    </row>
    <row r="1282" spans="1:3" s="7" customFormat="1" x14ac:dyDescent="0.2">
      <c r="A1282" s="6" t="str">
        <f>"PIK3R1"</f>
        <v>PIK3R1</v>
      </c>
      <c r="B1282" s="6">
        <v>5.9940059940059897E-3</v>
      </c>
      <c r="C1282" s="6">
        <v>7.7278201989518305E-2</v>
      </c>
    </row>
    <row r="1283" spans="1:3" s="7" customFormat="1" x14ac:dyDescent="0.2">
      <c r="A1283" s="6" t="str">
        <f>"A2ML1"</f>
        <v>A2ML1</v>
      </c>
      <c r="B1283" s="6">
        <v>5.9940059940059897E-3</v>
      </c>
      <c r="C1283" s="6">
        <v>7.7278201989518305E-2</v>
      </c>
    </row>
    <row r="1284" spans="1:3" s="7" customFormat="1" x14ac:dyDescent="0.2">
      <c r="A1284" s="6" t="str">
        <f>"FGD3"</f>
        <v>FGD3</v>
      </c>
      <c r="B1284" s="6">
        <v>5.9940059940059897E-3</v>
      </c>
      <c r="C1284" s="6">
        <v>7.7278201989518305E-2</v>
      </c>
    </row>
    <row r="1285" spans="1:3" s="7" customFormat="1" x14ac:dyDescent="0.2">
      <c r="A1285" s="6" t="str">
        <f>"AL390719.1"</f>
        <v>AL390719.1</v>
      </c>
      <c r="B1285" s="6">
        <v>5.9940059940059897E-3</v>
      </c>
      <c r="C1285" s="6">
        <v>7.7278201989518305E-2</v>
      </c>
    </row>
    <row r="1286" spans="1:3" s="7" customFormat="1" x14ac:dyDescent="0.2">
      <c r="A1286" s="6" t="str">
        <f>"C1orf194"</f>
        <v>C1orf194</v>
      </c>
      <c r="B1286" s="6">
        <v>6.0000000000000001E-3</v>
      </c>
      <c r="C1286" s="6">
        <v>7.7278201989518305E-2</v>
      </c>
    </row>
    <row r="1287" spans="1:3" s="7" customFormat="1" x14ac:dyDescent="0.2">
      <c r="A1287" s="6" t="str">
        <f>"AC005100.1"</f>
        <v>AC005100.1</v>
      </c>
      <c r="B1287" s="6">
        <v>5.9940059940059897E-3</v>
      </c>
      <c r="C1287" s="6">
        <v>7.7278201989518305E-2</v>
      </c>
    </row>
    <row r="1288" spans="1:3" s="7" customFormat="1" x14ac:dyDescent="0.2">
      <c r="A1288" s="6" t="str">
        <f>"ANXA11"</f>
        <v>ANXA11</v>
      </c>
      <c r="B1288" s="6">
        <v>5.9940059940059897E-3</v>
      </c>
      <c r="C1288" s="6">
        <v>7.7278201989518305E-2</v>
      </c>
    </row>
    <row r="1289" spans="1:3" s="7" customFormat="1" x14ac:dyDescent="0.2">
      <c r="A1289" s="6" t="str">
        <f>"DDX4"</f>
        <v>DDX4</v>
      </c>
      <c r="B1289" s="6">
        <v>5.9940059940059897E-3</v>
      </c>
      <c r="C1289" s="6">
        <v>7.7278201989518305E-2</v>
      </c>
    </row>
    <row r="1290" spans="1:3" s="7" customFormat="1" x14ac:dyDescent="0.2">
      <c r="A1290" s="6" t="str">
        <f>"SLC19A1"</f>
        <v>SLC19A1</v>
      </c>
      <c r="B1290" s="6">
        <v>5.9940059940059897E-3</v>
      </c>
      <c r="C1290" s="6">
        <v>7.7278201989518305E-2</v>
      </c>
    </row>
    <row r="1291" spans="1:3" s="7" customFormat="1" x14ac:dyDescent="0.2">
      <c r="A1291" s="6" t="str">
        <f>"ERVW-1"</f>
        <v>ERVW-1</v>
      </c>
      <c r="B1291" s="6">
        <v>5.9940059940059897E-3</v>
      </c>
      <c r="C1291" s="6">
        <v>7.7278201989518305E-2</v>
      </c>
    </row>
    <row r="1292" spans="1:3" s="7" customFormat="1" x14ac:dyDescent="0.2">
      <c r="A1292" s="6" t="str">
        <f>"SLCO3A1"</f>
        <v>SLCO3A1</v>
      </c>
      <c r="B1292" s="6">
        <v>5.9940059940059897E-3</v>
      </c>
      <c r="C1292" s="6">
        <v>7.7278201989518305E-2</v>
      </c>
    </row>
    <row r="1293" spans="1:3" s="7" customFormat="1" x14ac:dyDescent="0.2">
      <c r="A1293" s="6" t="str">
        <f>"AL160412.1"</f>
        <v>AL160412.1</v>
      </c>
      <c r="B1293" s="6">
        <v>5.9940059940059897E-3</v>
      </c>
      <c r="C1293" s="6">
        <v>7.7278201989518305E-2</v>
      </c>
    </row>
    <row r="1294" spans="1:3" s="7" customFormat="1" x14ac:dyDescent="0.2">
      <c r="A1294" s="6" t="str">
        <f>"CD300LF"</f>
        <v>CD300LF</v>
      </c>
      <c r="B1294" s="6">
        <v>5.9940059940059897E-3</v>
      </c>
      <c r="C1294" s="6">
        <v>7.7278201989518305E-2</v>
      </c>
    </row>
    <row r="1295" spans="1:3" s="7" customFormat="1" x14ac:dyDescent="0.2">
      <c r="A1295" s="6" t="str">
        <f>"EPHA1-AS1"</f>
        <v>EPHA1-AS1</v>
      </c>
      <c r="B1295" s="6">
        <v>5.9940059940059897E-3</v>
      </c>
      <c r="C1295" s="6">
        <v>7.7278201989518305E-2</v>
      </c>
    </row>
    <row r="1296" spans="1:3" s="7" customFormat="1" x14ac:dyDescent="0.2">
      <c r="A1296" s="6" t="str">
        <f>"DDX1"</f>
        <v>DDX1</v>
      </c>
      <c r="B1296" s="6">
        <v>5.9940059940059897E-3</v>
      </c>
      <c r="C1296" s="6">
        <v>7.7278201989518305E-2</v>
      </c>
    </row>
    <row r="1297" spans="1:3" s="7" customFormat="1" x14ac:dyDescent="0.2">
      <c r="A1297" s="6" t="str">
        <f>"HUWE1"</f>
        <v>HUWE1</v>
      </c>
      <c r="B1297" s="6">
        <v>6.0000000000000001E-3</v>
      </c>
      <c r="C1297" s="6">
        <v>7.7278201989518305E-2</v>
      </c>
    </row>
    <row r="1298" spans="1:3" s="7" customFormat="1" x14ac:dyDescent="0.2">
      <c r="A1298" s="6" t="str">
        <f>"INHBA"</f>
        <v>INHBA</v>
      </c>
      <c r="B1298" s="6">
        <v>5.9940059940059897E-3</v>
      </c>
      <c r="C1298" s="6">
        <v>7.7278201989518305E-2</v>
      </c>
    </row>
    <row r="1299" spans="1:3" s="7" customFormat="1" x14ac:dyDescent="0.2">
      <c r="A1299" s="6" t="str">
        <f>"MRPL58"</f>
        <v>MRPL58</v>
      </c>
      <c r="B1299" s="6">
        <v>5.9940059940059897E-3</v>
      </c>
      <c r="C1299" s="6">
        <v>7.7278201989518305E-2</v>
      </c>
    </row>
    <row r="1300" spans="1:3" s="7" customFormat="1" x14ac:dyDescent="0.2">
      <c r="A1300" s="6" t="str">
        <f>"NUFIP2"</f>
        <v>NUFIP2</v>
      </c>
      <c r="B1300" s="6">
        <v>5.9940059940059897E-3</v>
      </c>
      <c r="C1300" s="6">
        <v>7.7278201989518305E-2</v>
      </c>
    </row>
    <row r="1301" spans="1:3" s="7" customFormat="1" x14ac:dyDescent="0.2">
      <c r="A1301" s="6" t="str">
        <f>"AC007848.1"</f>
        <v>AC007848.1</v>
      </c>
      <c r="B1301" s="6">
        <v>6.0544904137235104E-3</v>
      </c>
      <c r="C1301" s="6">
        <v>7.7842117519211301E-2</v>
      </c>
    </row>
    <row r="1302" spans="1:3" s="7" customFormat="1" x14ac:dyDescent="0.2">
      <c r="A1302" s="6" t="str">
        <f>"AL136988.1"</f>
        <v>AL136988.1</v>
      </c>
      <c r="B1302" s="6">
        <v>6.1124694376528104E-3</v>
      </c>
      <c r="C1302" s="6">
        <v>7.8527143874657201E-2</v>
      </c>
    </row>
    <row r="1303" spans="1:3" s="7" customFormat="1" x14ac:dyDescent="0.2">
      <c r="A1303" s="6" t="str">
        <f>"AP003472.2"</f>
        <v>AP003472.2</v>
      </c>
      <c r="B1303" s="6">
        <v>6.19195046439628E-3</v>
      </c>
      <c r="C1303" s="6">
        <v>7.9487142904700006E-2</v>
      </c>
    </row>
    <row r="1304" spans="1:3" s="7" customFormat="1" x14ac:dyDescent="0.2">
      <c r="A1304" s="6" t="str">
        <f>"AC010809.2"</f>
        <v>AC010809.2</v>
      </c>
      <c r="B1304" s="6">
        <v>6.5217391304347797E-3</v>
      </c>
      <c r="C1304" s="6">
        <v>8.3656444993159496E-2</v>
      </c>
    </row>
    <row r="1305" spans="1:3" s="7" customFormat="1" x14ac:dyDescent="0.2">
      <c r="A1305" s="6" t="str">
        <f>"NHLH1"</f>
        <v>NHLH1</v>
      </c>
      <c r="B1305" s="6">
        <v>6.9930069930069904E-3</v>
      </c>
      <c r="C1305" s="6">
        <v>8.5151382823871899E-2</v>
      </c>
    </row>
    <row r="1306" spans="1:3" s="7" customFormat="1" x14ac:dyDescent="0.2">
      <c r="A1306" s="6" t="str">
        <f>"AL049634.2"</f>
        <v>AL049634.2</v>
      </c>
      <c r="B1306" s="6">
        <v>7.0000000000000001E-3</v>
      </c>
      <c r="C1306" s="6">
        <v>8.5151382823871899E-2</v>
      </c>
    </row>
    <row r="1307" spans="1:3" s="7" customFormat="1" x14ac:dyDescent="0.2">
      <c r="A1307" s="6" t="str">
        <f>"PDE4B"</f>
        <v>PDE4B</v>
      </c>
      <c r="B1307" s="6">
        <v>6.9930069930069904E-3</v>
      </c>
      <c r="C1307" s="6">
        <v>8.5151382823871899E-2</v>
      </c>
    </row>
    <row r="1308" spans="1:3" s="7" customFormat="1" x14ac:dyDescent="0.2">
      <c r="A1308" s="6" t="str">
        <f>"SSH2"</f>
        <v>SSH2</v>
      </c>
      <c r="B1308" s="6">
        <v>7.0000000000000001E-3</v>
      </c>
      <c r="C1308" s="6">
        <v>8.5151382823871899E-2</v>
      </c>
    </row>
    <row r="1309" spans="1:3" s="7" customFormat="1" x14ac:dyDescent="0.2">
      <c r="A1309" s="6" t="str">
        <f>"SUPT16H"</f>
        <v>SUPT16H</v>
      </c>
      <c r="B1309" s="6">
        <v>6.9930069930069904E-3</v>
      </c>
      <c r="C1309" s="6">
        <v>8.5151382823871899E-2</v>
      </c>
    </row>
    <row r="1310" spans="1:3" s="7" customFormat="1" x14ac:dyDescent="0.2">
      <c r="A1310" s="6" t="str">
        <f>"FTH1"</f>
        <v>FTH1</v>
      </c>
      <c r="B1310" s="6">
        <v>6.9930069930069904E-3</v>
      </c>
      <c r="C1310" s="6">
        <v>8.5151382823871899E-2</v>
      </c>
    </row>
    <row r="1311" spans="1:3" s="7" customFormat="1" x14ac:dyDescent="0.2">
      <c r="A1311" s="6" t="str">
        <f>"NRROS"</f>
        <v>NRROS</v>
      </c>
      <c r="B1311" s="6">
        <v>6.9930069930069904E-3</v>
      </c>
      <c r="C1311" s="6">
        <v>8.5151382823871899E-2</v>
      </c>
    </row>
    <row r="1312" spans="1:3" s="7" customFormat="1" x14ac:dyDescent="0.2">
      <c r="A1312" s="6" t="str">
        <f>"NINJ2"</f>
        <v>NINJ2</v>
      </c>
      <c r="B1312" s="6">
        <v>6.9930069930069904E-3</v>
      </c>
      <c r="C1312" s="6">
        <v>8.5151382823871899E-2</v>
      </c>
    </row>
    <row r="1313" spans="1:3" s="7" customFormat="1" x14ac:dyDescent="0.2">
      <c r="A1313" s="6" t="str">
        <f>"SERPINB9"</f>
        <v>SERPINB9</v>
      </c>
      <c r="B1313" s="6">
        <v>6.9930069930069904E-3</v>
      </c>
      <c r="C1313" s="6">
        <v>8.5151382823871899E-2</v>
      </c>
    </row>
    <row r="1314" spans="1:3" s="7" customFormat="1" x14ac:dyDescent="0.2">
      <c r="A1314" s="6" t="str">
        <f>"IGSF6"</f>
        <v>IGSF6</v>
      </c>
      <c r="B1314" s="6">
        <v>6.9930069930069904E-3</v>
      </c>
      <c r="C1314" s="6">
        <v>8.5151382823871899E-2</v>
      </c>
    </row>
    <row r="1315" spans="1:3" s="7" customFormat="1" x14ac:dyDescent="0.2">
      <c r="A1315" s="6" t="str">
        <f>"RPS3AP20"</f>
        <v>RPS3AP20</v>
      </c>
      <c r="B1315" s="6">
        <v>7.0000000000000001E-3</v>
      </c>
      <c r="C1315" s="6">
        <v>8.5151382823871899E-2</v>
      </c>
    </row>
    <row r="1316" spans="1:3" s="7" customFormat="1" x14ac:dyDescent="0.2">
      <c r="A1316" s="6" t="str">
        <f>"MGAM2"</f>
        <v>MGAM2</v>
      </c>
      <c r="B1316" s="6">
        <v>6.9930069930069904E-3</v>
      </c>
      <c r="C1316" s="6">
        <v>8.5151382823871899E-2</v>
      </c>
    </row>
    <row r="1317" spans="1:3" s="7" customFormat="1" x14ac:dyDescent="0.2">
      <c r="A1317" s="6" t="str">
        <f>"ISM2"</f>
        <v>ISM2</v>
      </c>
      <c r="B1317" s="6">
        <v>6.9930069930069904E-3</v>
      </c>
      <c r="C1317" s="6">
        <v>8.5151382823871899E-2</v>
      </c>
    </row>
    <row r="1318" spans="1:3" s="7" customFormat="1" x14ac:dyDescent="0.2">
      <c r="A1318" s="6" t="str">
        <f>"SNHG22"</f>
        <v>SNHG22</v>
      </c>
      <c r="B1318" s="6">
        <v>6.9930069930069904E-3</v>
      </c>
      <c r="C1318" s="6">
        <v>8.5151382823871899E-2</v>
      </c>
    </row>
    <row r="1319" spans="1:3" s="7" customFormat="1" x14ac:dyDescent="0.2">
      <c r="A1319" s="6" t="str">
        <f>"AC110995.1"</f>
        <v>AC110995.1</v>
      </c>
      <c r="B1319" s="6">
        <v>6.9930069930069904E-3</v>
      </c>
      <c r="C1319" s="6">
        <v>8.5151382823871899E-2</v>
      </c>
    </row>
    <row r="1320" spans="1:3" s="7" customFormat="1" x14ac:dyDescent="0.2">
      <c r="A1320" s="6" t="str">
        <f>"MYBL1"</f>
        <v>MYBL1</v>
      </c>
      <c r="B1320" s="6">
        <v>6.9930069930069904E-3</v>
      </c>
      <c r="C1320" s="6">
        <v>8.5151382823871899E-2</v>
      </c>
    </row>
    <row r="1321" spans="1:3" s="7" customFormat="1" x14ac:dyDescent="0.2">
      <c r="A1321" s="6" t="str">
        <f>"Z97192.1"</f>
        <v>Z97192.1</v>
      </c>
      <c r="B1321" s="6">
        <v>6.9930069930069904E-3</v>
      </c>
      <c r="C1321" s="6">
        <v>8.5151382823871899E-2</v>
      </c>
    </row>
    <row r="1322" spans="1:3" s="7" customFormat="1" x14ac:dyDescent="0.2">
      <c r="A1322" s="6" t="str">
        <f>"RNF223"</f>
        <v>RNF223</v>
      </c>
      <c r="B1322" s="6">
        <v>6.9930069930069904E-3</v>
      </c>
      <c r="C1322" s="6">
        <v>8.5151382823871899E-2</v>
      </c>
    </row>
    <row r="1323" spans="1:3" s="7" customFormat="1" x14ac:dyDescent="0.2">
      <c r="A1323" s="6" t="str">
        <f>"MGC32805"</f>
        <v>MGC32805</v>
      </c>
      <c r="B1323" s="6">
        <v>6.9930069930069904E-3</v>
      </c>
      <c r="C1323" s="6">
        <v>8.5151382823871899E-2</v>
      </c>
    </row>
    <row r="1324" spans="1:3" s="7" customFormat="1" x14ac:dyDescent="0.2">
      <c r="A1324" s="6" t="str">
        <f>"YBX2"</f>
        <v>YBX2</v>
      </c>
      <c r="B1324" s="6">
        <v>6.9930069930069904E-3</v>
      </c>
      <c r="C1324" s="6">
        <v>8.5151382823871899E-2</v>
      </c>
    </row>
    <row r="1325" spans="1:3" s="7" customFormat="1" x14ac:dyDescent="0.2">
      <c r="A1325" s="6" t="str">
        <f>"TENT5B"</f>
        <v>TENT5B</v>
      </c>
      <c r="B1325" s="6">
        <v>6.9930069930069904E-3</v>
      </c>
      <c r="C1325" s="6">
        <v>8.5151382823871899E-2</v>
      </c>
    </row>
    <row r="1326" spans="1:3" s="7" customFormat="1" x14ac:dyDescent="0.2">
      <c r="A1326" s="6" t="str">
        <f>"CSRNP1"</f>
        <v>CSRNP1</v>
      </c>
      <c r="B1326" s="6">
        <v>6.9930069930069904E-3</v>
      </c>
      <c r="C1326" s="6">
        <v>8.5151382823871899E-2</v>
      </c>
    </row>
    <row r="1327" spans="1:3" s="7" customFormat="1" x14ac:dyDescent="0.2">
      <c r="A1327" s="6" t="str">
        <f>"FAM180A"</f>
        <v>FAM180A</v>
      </c>
      <c r="B1327" s="6">
        <v>6.9930069930069904E-3</v>
      </c>
      <c r="C1327" s="6">
        <v>8.5151382823871899E-2</v>
      </c>
    </row>
    <row r="1328" spans="1:3" s="7" customFormat="1" x14ac:dyDescent="0.2">
      <c r="A1328" s="6" t="str">
        <f>"PGLYRP1"</f>
        <v>PGLYRP1</v>
      </c>
      <c r="B1328" s="6">
        <v>6.9930069930069904E-3</v>
      </c>
      <c r="C1328" s="6">
        <v>8.5151382823871899E-2</v>
      </c>
    </row>
    <row r="1329" spans="1:3" s="7" customFormat="1" x14ac:dyDescent="0.2">
      <c r="A1329" s="6" t="str">
        <f>"SERPINB9P1"</f>
        <v>SERPINB9P1</v>
      </c>
      <c r="B1329" s="6">
        <v>6.9930069930069904E-3</v>
      </c>
      <c r="C1329" s="6">
        <v>8.5151382823871899E-2</v>
      </c>
    </row>
    <row r="1330" spans="1:3" s="7" customFormat="1" x14ac:dyDescent="0.2">
      <c r="A1330" s="6" t="str">
        <f>"MAP3K6"</f>
        <v>MAP3K6</v>
      </c>
      <c r="B1330" s="6">
        <v>6.9930069930069904E-3</v>
      </c>
      <c r="C1330" s="6">
        <v>8.5151382823871899E-2</v>
      </c>
    </row>
    <row r="1331" spans="1:3" s="7" customFormat="1" x14ac:dyDescent="0.2">
      <c r="A1331" s="6" t="str">
        <f>"MYBPC3"</f>
        <v>MYBPC3</v>
      </c>
      <c r="B1331" s="6">
        <v>6.9930069930069904E-3</v>
      </c>
      <c r="C1331" s="6">
        <v>8.5151382823871899E-2</v>
      </c>
    </row>
    <row r="1332" spans="1:3" s="7" customFormat="1" x14ac:dyDescent="0.2">
      <c r="A1332" s="6" t="str">
        <f>"ZBP1"</f>
        <v>ZBP1</v>
      </c>
      <c r="B1332" s="6">
        <v>6.9930069930069904E-3</v>
      </c>
      <c r="C1332" s="6">
        <v>8.5151382823871899E-2</v>
      </c>
    </row>
    <row r="1333" spans="1:3" s="7" customFormat="1" x14ac:dyDescent="0.2">
      <c r="A1333" s="6" t="str">
        <f>"RFXAP"</f>
        <v>RFXAP</v>
      </c>
      <c r="B1333" s="6">
        <v>6.9930069930069904E-3</v>
      </c>
      <c r="C1333" s="6">
        <v>8.5151382823871899E-2</v>
      </c>
    </row>
    <row r="1334" spans="1:3" s="7" customFormat="1" x14ac:dyDescent="0.2">
      <c r="A1334" s="6" t="str">
        <f>"DSN1"</f>
        <v>DSN1</v>
      </c>
      <c r="B1334" s="6">
        <v>6.9930069930069904E-3</v>
      </c>
      <c r="C1334" s="6">
        <v>8.5151382823871899E-2</v>
      </c>
    </row>
    <row r="1335" spans="1:3" s="7" customFormat="1" x14ac:dyDescent="0.2">
      <c r="A1335" s="6" t="str">
        <f>"ESRG"</f>
        <v>ESRG</v>
      </c>
      <c r="B1335" s="6">
        <v>6.9930069930069904E-3</v>
      </c>
      <c r="C1335" s="6">
        <v>8.5151382823871899E-2</v>
      </c>
    </row>
    <row r="1336" spans="1:3" s="7" customFormat="1" x14ac:dyDescent="0.2">
      <c r="A1336" s="6" t="str">
        <f>"LY96"</f>
        <v>LY96</v>
      </c>
      <c r="B1336" s="6">
        <v>6.9930069930069904E-3</v>
      </c>
      <c r="C1336" s="6">
        <v>8.5151382823871899E-2</v>
      </c>
    </row>
    <row r="1337" spans="1:3" s="7" customFormat="1" x14ac:dyDescent="0.2">
      <c r="A1337" s="6" t="str">
        <f>"ATP1B3"</f>
        <v>ATP1B3</v>
      </c>
      <c r="B1337" s="6">
        <v>6.9930069930069904E-3</v>
      </c>
      <c r="C1337" s="6">
        <v>8.5151382823871899E-2</v>
      </c>
    </row>
    <row r="1338" spans="1:3" s="7" customFormat="1" x14ac:dyDescent="0.2">
      <c r="A1338" s="6" t="str">
        <f>"CDH12"</f>
        <v>CDH12</v>
      </c>
      <c r="B1338" s="6">
        <v>6.9930069930069904E-3</v>
      </c>
      <c r="C1338" s="6">
        <v>8.5151382823871899E-2</v>
      </c>
    </row>
    <row r="1339" spans="1:3" s="7" customFormat="1" x14ac:dyDescent="0.2">
      <c r="A1339" s="6" t="str">
        <f>"RP1L1"</f>
        <v>RP1L1</v>
      </c>
      <c r="B1339" s="6">
        <v>6.9930069930069904E-3</v>
      </c>
      <c r="C1339" s="6">
        <v>8.5151382823871899E-2</v>
      </c>
    </row>
    <row r="1340" spans="1:3" s="7" customFormat="1" x14ac:dyDescent="0.2">
      <c r="A1340" s="6" t="str">
        <f>"ITGA1"</f>
        <v>ITGA1</v>
      </c>
      <c r="B1340" s="6">
        <v>6.9930069930069904E-3</v>
      </c>
      <c r="C1340" s="6">
        <v>8.5151382823871899E-2</v>
      </c>
    </row>
    <row r="1341" spans="1:3" s="7" customFormat="1" x14ac:dyDescent="0.2">
      <c r="A1341" s="6" t="str">
        <f>"IL23R"</f>
        <v>IL23R</v>
      </c>
      <c r="B1341" s="6">
        <v>6.9930069930069904E-3</v>
      </c>
      <c r="C1341" s="6">
        <v>8.5151382823871899E-2</v>
      </c>
    </row>
    <row r="1342" spans="1:3" s="7" customFormat="1" x14ac:dyDescent="0.2">
      <c r="A1342" s="6" t="str">
        <f>"PTPRT"</f>
        <v>PTPRT</v>
      </c>
      <c r="B1342" s="6">
        <v>6.9930069930069904E-3</v>
      </c>
      <c r="C1342" s="6">
        <v>8.5151382823871899E-2</v>
      </c>
    </row>
    <row r="1343" spans="1:3" s="7" customFormat="1" x14ac:dyDescent="0.2">
      <c r="A1343" s="6" t="str">
        <f>"PRICKLE4"</f>
        <v>PRICKLE4</v>
      </c>
      <c r="B1343" s="6">
        <v>6.9930069930069904E-3</v>
      </c>
      <c r="C1343" s="6">
        <v>8.5151382823871899E-2</v>
      </c>
    </row>
    <row r="1344" spans="1:3" s="7" customFormat="1" x14ac:dyDescent="0.2">
      <c r="A1344" s="6" t="str">
        <f>"ZNF567"</f>
        <v>ZNF567</v>
      </c>
      <c r="B1344" s="6">
        <v>6.9930069930069904E-3</v>
      </c>
      <c r="C1344" s="6">
        <v>8.5151382823871899E-2</v>
      </c>
    </row>
    <row r="1345" spans="1:3" s="7" customFormat="1" x14ac:dyDescent="0.2">
      <c r="A1345" s="6" t="str">
        <f>"LTBP1"</f>
        <v>LTBP1</v>
      </c>
      <c r="B1345" s="6">
        <v>6.9930069930069904E-3</v>
      </c>
      <c r="C1345" s="6">
        <v>8.5151382823871899E-2</v>
      </c>
    </row>
    <row r="1346" spans="1:3" s="7" customFormat="1" x14ac:dyDescent="0.2">
      <c r="A1346" s="6" t="str">
        <f>"RAD18"</f>
        <v>RAD18</v>
      </c>
      <c r="B1346" s="6">
        <v>6.9930069930069904E-3</v>
      </c>
      <c r="C1346" s="6">
        <v>8.5151382823871899E-2</v>
      </c>
    </row>
    <row r="1347" spans="1:3" s="7" customFormat="1" x14ac:dyDescent="0.2">
      <c r="A1347" s="6" t="str">
        <f>"RNF213-AS1"</f>
        <v>RNF213-AS1</v>
      </c>
      <c r="B1347" s="6">
        <v>6.9930069930069904E-3</v>
      </c>
      <c r="C1347" s="6">
        <v>8.5151382823871899E-2</v>
      </c>
    </row>
    <row r="1348" spans="1:3" s="7" customFormat="1" x14ac:dyDescent="0.2">
      <c r="A1348" s="6" t="str">
        <f>"RNF38"</f>
        <v>RNF38</v>
      </c>
      <c r="B1348" s="6">
        <v>6.9930069930069904E-3</v>
      </c>
      <c r="C1348" s="6">
        <v>8.5151382823871899E-2</v>
      </c>
    </row>
    <row r="1349" spans="1:3" s="7" customFormat="1" x14ac:dyDescent="0.2">
      <c r="A1349" s="6" t="str">
        <f>"LINC02838"</f>
        <v>LINC02838</v>
      </c>
      <c r="B1349" s="6">
        <v>6.9930069930069904E-3</v>
      </c>
      <c r="C1349" s="6">
        <v>8.5151382823871899E-2</v>
      </c>
    </row>
    <row r="1350" spans="1:3" s="7" customFormat="1" x14ac:dyDescent="0.2">
      <c r="A1350" s="6" t="str">
        <f>"AC005392.2"</f>
        <v>AC005392.2</v>
      </c>
      <c r="B1350" s="6">
        <v>6.9930069930069904E-3</v>
      </c>
      <c r="C1350" s="6">
        <v>8.5151382823871899E-2</v>
      </c>
    </row>
    <row r="1351" spans="1:3" s="7" customFormat="1" x14ac:dyDescent="0.2">
      <c r="A1351" s="6" t="str">
        <f>"LINC02541"</f>
        <v>LINC02541</v>
      </c>
      <c r="B1351" s="6">
        <v>6.9930069930069904E-3</v>
      </c>
      <c r="C1351" s="6">
        <v>8.5151382823871899E-2</v>
      </c>
    </row>
    <row r="1352" spans="1:3" s="7" customFormat="1" x14ac:dyDescent="0.2">
      <c r="A1352" s="6" t="str">
        <f>"DCAF17"</f>
        <v>DCAF17</v>
      </c>
      <c r="B1352" s="6">
        <v>6.9930069930069904E-3</v>
      </c>
      <c r="C1352" s="6">
        <v>8.5151382823871899E-2</v>
      </c>
    </row>
    <row r="1353" spans="1:3" s="7" customFormat="1" x14ac:dyDescent="0.2">
      <c r="A1353" s="6" t="str">
        <f>"RORC"</f>
        <v>RORC</v>
      </c>
      <c r="B1353" s="6">
        <v>6.9930069930069904E-3</v>
      </c>
      <c r="C1353" s="6">
        <v>8.5151382823871899E-2</v>
      </c>
    </row>
    <row r="1354" spans="1:3" s="7" customFormat="1" x14ac:dyDescent="0.2">
      <c r="A1354" s="6" t="str">
        <f>"ARGFX"</f>
        <v>ARGFX</v>
      </c>
      <c r="B1354" s="6">
        <v>6.9930069930069904E-3</v>
      </c>
      <c r="C1354" s="6">
        <v>8.5151382823871899E-2</v>
      </c>
    </row>
    <row r="1355" spans="1:3" s="7" customFormat="1" x14ac:dyDescent="0.2">
      <c r="A1355" s="6" t="str">
        <f>"SLC13A3"</f>
        <v>SLC13A3</v>
      </c>
      <c r="B1355" s="6">
        <v>6.9930069930069904E-3</v>
      </c>
      <c r="C1355" s="6">
        <v>8.5151382823871899E-2</v>
      </c>
    </row>
    <row r="1356" spans="1:3" s="7" customFormat="1" x14ac:dyDescent="0.2">
      <c r="A1356" s="6" t="str">
        <f>"AL121933.2"</f>
        <v>AL121933.2</v>
      </c>
      <c r="B1356" s="6">
        <v>6.9930069930069904E-3</v>
      </c>
      <c r="C1356" s="6">
        <v>8.5151382823871899E-2</v>
      </c>
    </row>
    <row r="1357" spans="1:3" s="7" customFormat="1" x14ac:dyDescent="0.2">
      <c r="A1357" s="6" t="str">
        <f>"MRPL20-DT"</f>
        <v>MRPL20-DT</v>
      </c>
      <c r="B1357" s="6">
        <v>6.9930069930069904E-3</v>
      </c>
      <c r="C1357" s="6">
        <v>8.5151382823871899E-2</v>
      </c>
    </row>
    <row r="1358" spans="1:3" s="7" customFormat="1" x14ac:dyDescent="0.2">
      <c r="A1358" s="6" t="str">
        <f>"CDC25B"</f>
        <v>CDC25B</v>
      </c>
      <c r="B1358" s="6">
        <v>6.9930069930069904E-3</v>
      </c>
      <c r="C1358" s="6">
        <v>8.5151382823871899E-2</v>
      </c>
    </row>
    <row r="1359" spans="1:3" s="7" customFormat="1" x14ac:dyDescent="0.2">
      <c r="A1359" s="6" t="str">
        <f>"ERMAP"</f>
        <v>ERMAP</v>
      </c>
      <c r="B1359" s="6">
        <v>6.9930069930069904E-3</v>
      </c>
      <c r="C1359" s="6">
        <v>8.5151382823871899E-2</v>
      </c>
    </row>
    <row r="1360" spans="1:3" s="7" customFormat="1" x14ac:dyDescent="0.2">
      <c r="A1360" s="6" t="str">
        <f>"TUBB6"</f>
        <v>TUBB6</v>
      </c>
      <c r="B1360" s="6">
        <v>6.9930069930069904E-3</v>
      </c>
      <c r="C1360" s="6">
        <v>8.5151382823871899E-2</v>
      </c>
    </row>
    <row r="1361" spans="1:3" s="7" customFormat="1" x14ac:dyDescent="0.2">
      <c r="A1361" s="6" t="str">
        <f>"LLPH-DT"</f>
        <v>LLPH-DT</v>
      </c>
      <c r="B1361" s="6">
        <v>6.9930069930069904E-3</v>
      </c>
      <c r="C1361" s="6">
        <v>8.5151382823871899E-2</v>
      </c>
    </row>
    <row r="1362" spans="1:3" s="7" customFormat="1" x14ac:dyDescent="0.2">
      <c r="A1362" s="6" t="str">
        <f>"PPP1R11"</f>
        <v>PPP1R11</v>
      </c>
      <c r="B1362" s="6">
        <v>6.9930069930069904E-3</v>
      </c>
      <c r="C1362" s="6">
        <v>8.5151382823871899E-2</v>
      </c>
    </row>
    <row r="1363" spans="1:3" s="7" customFormat="1" x14ac:dyDescent="0.2">
      <c r="A1363" s="6" t="str">
        <f>"DYDC2"</f>
        <v>DYDC2</v>
      </c>
      <c r="B1363" s="6">
        <v>6.9930069930069904E-3</v>
      </c>
      <c r="C1363" s="6">
        <v>8.5151382823871899E-2</v>
      </c>
    </row>
    <row r="1364" spans="1:3" s="7" customFormat="1" x14ac:dyDescent="0.2">
      <c r="A1364" s="6" t="str">
        <f>"TSPAN15"</f>
        <v>TSPAN15</v>
      </c>
      <c r="B1364" s="6">
        <v>6.9930069930069904E-3</v>
      </c>
      <c r="C1364" s="6">
        <v>8.5151382823871899E-2</v>
      </c>
    </row>
    <row r="1365" spans="1:3" s="7" customFormat="1" x14ac:dyDescent="0.2">
      <c r="A1365" s="6" t="str">
        <f>"MGAM"</f>
        <v>MGAM</v>
      </c>
      <c r="B1365" s="6">
        <v>6.9930069930069904E-3</v>
      </c>
      <c r="C1365" s="6">
        <v>8.5151382823871899E-2</v>
      </c>
    </row>
    <row r="1366" spans="1:3" s="7" customFormat="1" x14ac:dyDescent="0.2">
      <c r="A1366" s="6" t="str">
        <f>"SLC44A2"</f>
        <v>SLC44A2</v>
      </c>
      <c r="B1366" s="6">
        <v>6.9930069930069904E-3</v>
      </c>
      <c r="C1366" s="6">
        <v>8.5151382823871899E-2</v>
      </c>
    </row>
    <row r="1367" spans="1:3" s="7" customFormat="1" x14ac:dyDescent="0.2">
      <c r="A1367" s="6" t="str">
        <f>"TIMP2"</f>
        <v>TIMP2</v>
      </c>
      <c r="B1367" s="6">
        <v>6.9930069930069904E-3</v>
      </c>
      <c r="C1367" s="6">
        <v>8.5151382823871899E-2</v>
      </c>
    </row>
    <row r="1368" spans="1:3" s="7" customFormat="1" x14ac:dyDescent="0.2">
      <c r="A1368" s="6" t="str">
        <f>"GGTA1"</f>
        <v>GGTA1</v>
      </c>
      <c r="B1368" s="6">
        <v>6.9930069930069904E-3</v>
      </c>
      <c r="C1368" s="6">
        <v>8.5151382823871899E-2</v>
      </c>
    </row>
    <row r="1369" spans="1:3" s="7" customFormat="1" x14ac:dyDescent="0.2">
      <c r="A1369" s="6" t="str">
        <f>"RITA1"</f>
        <v>RITA1</v>
      </c>
      <c r="B1369" s="6">
        <v>7.0000000000000001E-3</v>
      </c>
      <c r="C1369" s="6">
        <v>8.5151382823871899E-2</v>
      </c>
    </row>
    <row r="1370" spans="1:3" s="7" customFormat="1" x14ac:dyDescent="0.2">
      <c r="A1370" s="6" t="str">
        <f>"ITFG1"</f>
        <v>ITFG1</v>
      </c>
      <c r="B1370" s="6">
        <v>6.9930069930069904E-3</v>
      </c>
      <c r="C1370" s="6">
        <v>8.5151382823871899E-2</v>
      </c>
    </row>
    <row r="1371" spans="1:3" s="7" customFormat="1" x14ac:dyDescent="0.2">
      <c r="A1371" s="6" t="str">
        <f>"MMP24OS"</f>
        <v>MMP24OS</v>
      </c>
      <c r="B1371" s="6">
        <v>6.9930069930069904E-3</v>
      </c>
      <c r="C1371" s="6">
        <v>8.5151382823871899E-2</v>
      </c>
    </row>
    <row r="1372" spans="1:3" s="7" customFormat="1" x14ac:dyDescent="0.2">
      <c r="A1372" s="6" t="str">
        <f>"UBA52"</f>
        <v>UBA52</v>
      </c>
      <c r="B1372" s="6">
        <v>6.9930069930069904E-3</v>
      </c>
      <c r="C1372" s="6">
        <v>8.5151382823871899E-2</v>
      </c>
    </row>
    <row r="1373" spans="1:3" s="7" customFormat="1" x14ac:dyDescent="0.2">
      <c r="A1373" s="6" t="str">
        <f>"UGT2B4"</f>
        <v>UGT2B4</v>
      </c>
      <c r="B1373" s="6">
        <v>6.9930069930069904E-3</v>
      </c>
      <c r="C1373" s="6">
        <v>8.5151382823871899E-2</v>
      </c>
    </row>
    <row r="1374" spans="1:3" s="7" customFormat="1" x14ac:dyDescent="0.2">
      <c r="A1374" s="6" t="str">
        <f>"EXO1"</f>
        <v>EXO1</v>
      </c>
      <c r="B1374" s="6">
        <v>6.9930069930069904E-3</v>
      </c>
      <c r="C1374" s="6">
        <v>8.5151382823871899E-2</v>
      </c>
    </row>
    <row r="1375" spans="1:3" s="7" customFormat="1" x14ac:dyDescent="0.2">
      <c r="A1375" s="6" t="str">
        <f>"GIMAP4"</f>
        <v>GIMAP4</v>
      </c>
      <c r="B1375" s="6">
        <v>6.9930069930069904E-3</v>
      </c>
      <c r="C1375" s="6">
        <v>8.5151382823871899E-2</v>
      </c>
    </row>
    <row r="1376" spans="1:3" s="7" customFormat="1" x14ac:dyDescent="0.2">
      <c r="A1376" s="6" t="str">
        <f>"AL138963.3"</f>
        <v>AL138963.3</v>
      </c>
      <c r="B1376" s="6">
        <v>7.007007007007E-3</v>
      </c>
      <c r="C1376" s="6">
        <v>8.5174629174628994E-2</v>
      </c>
    </row>
    <row r="1377" spans="1:3" s="7" customFormat="1" x14ac:dyDescent="0.2">
      <c r="A1377" s="6" t="str">
        <f>"AL078595.1"</f>
        <v>AL078595.1</v>
      </c>
      <c r="B1377" s="6">
        <v>7.03517587939698E-3</v>
      </c>
      <c r="C1377" s="6">
        <v>8.5392831988555601E-2</v>
      </c>
    </row>
    <row r="1378" spans="1:3" s="7" customFormat="1" x14ac:dyDescent="0.2">
      <c r="A1378" s="6" t="str">
        <f>"AC024941.2"</f>
        <v>AC024941.2</v>
      </c>
      <c r="B1378" s="6">
        <v>7.03517587939698E-3</v>
      </c>
      <c r="C1378" s="6">
        <v>8.5392831988555601E-2</v>
      </c>
    </row>
    <row r="1379" spans="1:3" s="7" customFormat="1" x14ac:dyDescent="0.2">
      <c r="A1379" s="6" t="str">
        <f>"FAM167A-AS1"</f>
        <v>FAM167A-AS1</v>
      </c>
      <c r="B1379" s="6">
        <v>7.1065989847715703E-3</v>
      </c>
      <c r="C1379" s="6">
        <v>8.6197166495988395E-2</v>
      </c>
    </row>
    <row r="1380" spans="1:3" s="7" customFormat="1" x14ac:dyDescent="0.2">
      <c r="A1380" s="6" t="str">
        <f>"OR8B9P"</f>
        <v>OR8B9P</v>
      </c>
      <c r="B1380" s="6">
        <v>7.1513706793802099E-3</v>
      </c>
      <c r="C1380" s="6">
        <v>8.6677309307585798E-2</v>
      </c>
    </row>
    <row r="1381" spans="1:3" s="7" customFormat="1" x14ac:dyDescent="0.2">
      <c r="A1381" s="6" t="str">
        <f>"AC011497.2"</f>
        <v>AC011497.2</v>
      </c>
      <c r="B1381" s="6">
        <v>7.2639225181597997E-3</v>
      </c>
      <c r="C1381" s="6">
        <v>8.7977681861248394E-2</v>
      </c>
    </row>
    <row r="1382" spans="1:3" s="7" customFormat="1" x14ac:dyDescent="0.2">
      <c r="A1382" s="6" t="str">
        <f>"AC016888.1"</f>
        <v>AC016888.1</v>
      </c>
      <c r="B1382" s="6">
        <v>7.3529411764705803E-3</v>
      </c>
      <c r="C1382" s="6">
        <v>8.8991353239340501E-2</v>
      </c>
    </row>
    <row r="1383" spans="1:3" s="7" customFormat="1" x14ac:dyDescent="0.2">
      <c r="A1383" s="6" t="str">
        <f>"LINC-PINT"</f>
        <v>LINC-PINT</v>
      </c>
      <c r="B1383" s="6">
        <v>7.9920079920079903E-3</v>
      </c>
      <c r="C1383" s="6">
        <v>9.1208731241473398E-2</v>
      </c>
    </row>
    <row r="1384" spans="1:3" s="7" customFormat="1" x14ac:dyDescent="0.2">
      <c r="A1384" s="6" t="str">
        <f>"IL1B"</f>
        <v>IL1B</v>
      </c>
      <c r="B1384" s="6">
        <v>7.9920079920079903E-3</v>
      </c>
      <c r="C1384" s="6">
        <v>9.1208731241473398E-2</v>
      </c>
    </row>
    <row r="1385" spans="1:3" s="7" customFormat="1" x14ac:dyDescent="0.2">
      <c r="A1385" s="6" t="str">
        <f>"TRMT112"</f>
        <v>TRMT112</v>
      </c>
      <c r="B1385" s="6">
        <v>7.9920079920079903E-3</v>
      </c>
      <c r="C1385" s="6">
        <v>9.1208731241473398E-2</v>
      </c>
    </row>
    <row r="1386" spans="1:3" s="7" customFormat="1" x14ac:dyDescent="0.2">
      <c r="A1386" s="6" t="str">
        <f>"NFKBIA"</f>
        <v>NFKBIA</v>
      </c>
      <c r="B1386" s="6">
        <v>7.9920079920079903E-3</v>
      </c>
      <c r="C1386" s="6">
        <v>9.1208731241473398E-2</v>
      </c>
    </row>
    <row r="1387" spans="1:3" s="7" customFormat="1" x14ac:dyDescent="0.2">
      <c r="A1387" s="6" t="str">
        <f>"RN7SL368P"</f>
        <v>RN7SL368P</v>
      </c>
      <c r="B1387" s="6">
        <v>8.0000000000000002E-3</v>
      </c>
      <c r="C1387" s="6">
        <v>9.1208731241473398E-2</v>
      </c>
    </row>
    <row r="1388" spans="1:3" s="7" customFormat="1" x14ac:dyDescent="0.2">
      <c r="A1388" s="6" t="str">
        <f>"AL645728.2"</f>
        <v>AL645728.2</v>
      </c>
      <c r="B1388" s="6">
        <v>7.9920079920079903E-3</v>
      </c>
      <c r="C1388" s="6">
        <v>9.1208731241473398E-2</v>
      </c>
    </row>
    <row r="1389" spans="1:3" s="7" customFormat="1" x14ac:dyDescent="0.2">
      <c r="A1389" s="6" t="str">
        <f>"KRT18P59"</f>
        <v>KRT18P59</v>
      </c>
      <c r="B1389" s="6">
        <v>7.9920079920079903E-3</v>
      </c>
      <c r="C1389" s="6">
        <v>9.1208731241473398E-2</v>
      </c>
    </row>
    <row r="1390" spans="1:3" s="7" customFormat="1" x14ac:dyDescent="0.2">
      <c r="A1390" s="6" t="str">
        <f>"CBX3P2"</f>
        <v>CBX3P2</v>
      </c>
      <c r="B1390" s="6">
        <v>7.9920079920079903E-3</v>
      </c>
      <c r="C1390" s="6">
        <v>9.1208731241473398E-2</v>
      </c>
    </row>
    <row r="1391" spans="1:3" s="7" customFormat="1" x14ac:dyDescent="0.2">
      <c r="A1391" s="6" t="str">
        <f>"CSF1"</f>
        <v>CSF1</v>
      </c>
      <c r="B1391" s="6">
        <v>7.9920079920079903E-3</v>
      </c>
      <c r="C1391" s="6">
        <v>9.1208731241473398E-2</v>
      </c>
    </row>
    <row r="1392" spans="1:3" s="7" customFormat="1" x14ac:dyDescent="0.2">
      <c r="A1392" s="6" t="str">
        <f>"FFAR2"</f>
        <v>FFAR2</v>
      </c>
      <c r="B1392" s="6">
        <v>7.9920079920079903E-3</v>
      </c>
      <c r="C1392" s="6">
        <v>9.1208731241473398E-2</v>
      </c>
    </row>
    <row r="1393" spans="1:3" s="7" customFormat="1" x14ac:dyDescent="0.2">
      <c r="A1393" s="6" t="str">
        <f>"PPP1R10"</f>
        <v>PPP1R10</v>
      </c>
      <c r="B1393" s="6">
        <v>7.9920079920079903E-3</v>
      </c>
      <c r="C1393" s="6">
        <v>9.1208731241473398E-2</v>
      </c>
    </row>
    <row r="1394" spans="1:3" s="7" customFormat="1" x14ac:dyDescent="0.2">
      <c r="A1394" s="6" t="str">
        <f>"HIF1A"</f>
        <v>HIF1A</v>
      </c>
      <c r="B1394" s="6">
        <v>8.0000000000000002E-3</v>
      </c>
      <c r="C1394" s="6">
        <v>9.1208731241473398E-2</v>
      </c>
    </row>
    <row r="1395" spans="1:3" s="7" customFormat="1" x14ac:dyDescent="0.2">
      <c r="A1395" s="6" t="str">
        <f>"SFN"</f>
        <v>SFN</v>
      </c>
      <c r="B1395" s="6">
        <v>7.9920079920079903E-3</v>
      </c>
      <c r="C1395" s="6">
        <v>9.1208731241473398E-2</v>
      </c>
    </row>
    <row r="1396" spans="1:3" s="7" customFormat="1" x14ac:dyDescent="0.2">
      <c r="A1396" s="6" t="str">
        <f>"MAP4K4"</f>
        <v>MAP4K4</v>
      </c>
      <c r="B1396" s="6">
        <v>8.0000000000000002E-3</v>
      </c>
      <c r="C1396" s="6">
        <v>9.1208731241473398E-2</v>
      </c>
    </row>
    <row r="1397" spans="1:3" s="7" customFormat="1" x14ac:dyDescent="0.2">
      <c r="A1397" s="6" t="str">
        <f>"AL117335.1"</f>
        <v>AL117335.1</v>
      </c>
      <c r="B1397" s="6">
        <v>7.9920079920079903E-3</v>
      </c>
      <c r="C1397" s="6">
        <v>9.1208731241473398E-2</v>
      </c>
    </row>
    <row r="1398" spans="1:3" s="7" customFormat="1" x14ac:dyDescent="0.2">
      <c r="A1398" s="6" t="str">
        <f>"KRT89P"</f>
        <v>KRT89P</v>
      </c>
      <c r="B1398" s="6">
        <v>7.9920079920079903E-3</v>
      </c>
      <c r="C1398" s="6">
        <v>9.1208731241473398E-2</v>
      </c>
    </row>
    <row r="1399" spans="1:3" s="7" customFormat="1" x14ac:dyDescent="0.2">
      <c r="A1399" s="6" t="str">
        <f>"AP3M1"</f>
        <v>AP3M1</v>
      </c>
      <c r="B1399" s="6">
        <v>7.9920079920079903E-3</v>
      </c>
      <c r="C1399" s="6">
        <v>9.1208731241473398E-2</v>
      </c>
    </row>
    <row r="1400" spans="1:3" s="7" customFormat="1" x14ac:dyDescent="0.2">
      <c r="A1400" s="6" t="str">
        <f>"VASP"</f>
        <v>VASP</v>
      </c>
      <c r="B1400" s="6">
        <v>7.9920079920079903E-3</v>
      </c>
      <c r="C1400" s="6">
        <v>9.1208731241473398E-2</v>
      </c>
    </row>
    <row r="1401" spans="1:3" s="7" customFormat="1" x14ac:dyDescent="0.2">
      <c r="A1401" s="6" t="str">
        <f>"PAQR6"</f>
        <v>PAQR6</v>
      </c>
      <c r="B1401" s="6">
        <v>7.9920079920079903E-3</v>
      </c>
      <c r="C1401" s="6">
        <v>9.1208731241473398E-2</v>
      </c>
    </row>
    <row r="1402" spans="1:3" s="7" customFormat="1" x14ac:dyDescent="0.2">
      <c r="A1402" s="6" t="str">
        <f>"OSCAR"</f>
        <v>OSCAR</v>
      </c>
      <c r="B1402" s="6">
        <v>7.9920079920079903E-3</v>
      </c>
      <c r="C1402" s="6">
        <v>9.1208731241473398E-2</v>
      </c>
    </row>
    <row r="1403" spans="1:3" s="7" customFormat="1" x14ac:dyDescent="0.2">
      <c r="A1403" s="6" t="str">
        <f>"IL1RL2"</f>
        <v>IL1RL2</v>
      </c>
      <c r="B1403" s="6">
        <v>7.9920079920079903E-3</v>
      </c>
      <c r="C1403" s="6">
        <v>9.1208731241473398E-2</v>
      </c>
    </row>
    <row r="1404" spans="1:3" s="7" customFormat="1" x14ac:dyDescent="0.2">
      <c r="A1404" s="6" t="str">
        <f>"SNRPC"</f>
        <v>SNRPC</v>
      </c>
      <c r="B1404" s="6">
        <v>7.9920079920079903E-3</v>
      </c>
      <c r="C1404" s="6">
        <v>9.1208731241473398E-2</v>
      </c>
    </row>
    <row r="1405" spans="1:3" s="7" customFormat="1" x14ac:dyDescent="0.2">
      <c r="A1405" s="6" t="str">
        <f>"HERC6"</f>
        <v>HERC6</v>
      </c>
      <c r="B1405" s="6">
        <v>7.9920079920079903E-3</v>
      </c>
      <c r="C1405" s="6">
        <v>9.1208731241473398E-2</v>
      </c>
    </row>
    <row r="1406" spans="1:3" s="7" customFormat="1" x14ac:dyDescent="0.2">
      <c r="A1406" s="6" t="str">
        <f>"LINC02798"</f>
        <v>LINC02798</v>
      </c>
      <c r="B1406" s="6">
        <v>7.9920079920079903E-3</v>
      </c>
      <c r="C1406" s="6">
        <v>9.1208731241473398E-2</v>
      </c>
    </row>
    <row r="1407" spans="1:3" s="7" customFormat="1" x14ac:dyDescent="0.2">
      <c r="A1407" s="6" t="str">
        <f>"CACNA1H"</f>
        <v>CACNA1H</v>
      </c>
      <c r="B1407" s="6">
        <v>7.9920079920079903E-3</v>
      </c>
      <c r="C1407" s="6">
        <v>9.1208731241473398E-2</v>
      </c>
    </row>
    <row r="1408" spans="1:3" s="7" customFormat="1" x14ac:dyDescent="0.2">
      <c r="A1408" s="6" t="str">
        <f>"ARL11"</f>
        <v>ARL11</v>
      </c>
      <c r="B1408" s="6">
        <v>7.9920079920079903E-3</v>
      </c>
      <c r="C1408" s="6">
        <v>9.1208731241473398E-2</v>
      </c>
    </row>
    <row r="1409" spans="1:3" s="7" customFormat="1" x14ac:dyDescent="0.2">
      <c r="A1409" s="6" t="str">
        <f>"RABL6"</f>
        <v>RABL6</v>
      </c>
      <c r="B1409" s="6">
        <v>7.9920079920079903E-3</v>
      </c>
      <c r="C1409" s="6">
        <v>9.1208731241473398E-2</v>
      </c>
    </row>
    <row r="1410" spans="1:3" s="7" customFormat="1" x14ac:dyDescent="0.2">
      <c r="A1410" s="6" t="str">
        <f>"LINC00664"</f>
        <v>LINC00664</v>
      </c>
      <c r="B1410" s="6">
        <v>7.9920079920079903E-3</v>
      </c>
      <c r="C1410" s="6">
        <v>9.1208731241473398E-2</v>
      </c>
    </row>
    <row r="1411" spans="1:3" s="7" customFormat="1" x14ac:dyDescent="0.2">
      <c r="A1411" s="6" t="str">
        <f>"H2AC8"</f>
        <v>H2AC8</v>
      </c>
      <c r="B1411" s="6">
        <v>7.9920079920079903E-3</v>
      </c>
      <c r="C1411" s="6">
        <v>9.1208731241473398E-2</v>
      </c>
    </row>
    <row r="1412" spans="1:3" s="7" customFormat="1" x14ac:dyDescent="0.2">
      <c r="A1412" s="6" t="str">
        <f>"SERPING1"</f>
        <v>SERPING1</v>
      </c>
      <c r="B1412" s="6">
        <v>7.9920079920079903E-3</v>
      </c>
      <c r="C1412" s="6">
        <v>9.1208731241473398E-2</v>
      </c>
    </row>
    <row r="1413" spans="1:3" s="7" customFormat="1" x14ac:dyDescent="0.2">
      <c r="A1413" s="6" t="str">
        <f>"SAT1"</f>
        <v>SAT1</v>
      </c>
      <c r="B1413" s="6">
        <v>8.0000000000000002E-3</v>
      </c>
      <c r="C1413" s="6">
        <v>9.1208731241473398E-2</v>
      </c>
    </row>
    <row r="1414" spans="1:3" s="7" customFormat="1" x14ac:dyDescent="0.2">
      <c r="A1414" s="6" t="str">
        <f>"MFNG"</f>
        <v>MFNG</v>
      </c>
      <c r="B1414" s="6">
        <v>7.9920079920079903E-3</v>
      </c>
      <c r="C1414" s="6">
        <v>9.1208731241473398E-2</v>
      </c>
    </row>
    <row r="1415" spans="1:3" s="7" customFormat="1" x14ac:dyDescent="0.2">
      <c r="A1415" s="6" t="str">
        <f>"FAM181A-AS1"</f>
        <v>FAM181A-AS1</v>
      </c>
      <c r="B1415" s="6">
        <v>7.9920079920079903E-3</v>
      </c>
      <c r="C1415" s="6">
        <v>9.1208731241473398E-2</v>
      </c>
    </row>
    <row r="1416" spans="1:3" s="7" customFormat="1" x14ac:dyDescent="0.2">
      <c r="A1416" s="6" t="str">
        <f>"BIRC5"</f>
        <v>BIRC5</v>
      </c>
      <c r="B1416" s="6">
        <v>7.9920079920079903E-3</v>
      </c>
      <c r="C1416" s="6">
        <v>9.1208731241473398E-2</v>
      </c>
    </row>
    <row r="1417" spans="1:3" s="7" customFormat="1" x14ac:dyDescent="0.2">
      <c r="A1417" s="6" t="str">
        <f>"NAPA-AS1"</f>
        <v>NAPA-AS1</v>
      </c>
      <c r="B1417" s="6">
        <v>8.0000000000000002E-3</v>
      </c>
      <c r="C1417" s="6">
        <v>9.1208731241473398E-2</v>
      </c>
    </row>
    <row r="1418" spans="1:3" s="7" customFormat="1" x14ac:dyDescent="0.2">
      <c r="A1418" s="6" t="str">
        <f>"GCNT4"</f>
        <v>GCNT4</v>
      </c>
      <c r="B1418" s="6">
        <v>7.9920079920079903E-3</v>
      </c>
      <c r="C1418" s="6">
        <v>9.1208731241473398E-2</v>
      </c>
    </row>
    <row r="1419" spans="1:3" s="7" customFormat="1" x14ac:dyDescent="0.2">
      <c r="A1419" s="6" t="str">
        <f>"AC026464.6"</f>
        <v>AC026464.6</v>
      </c>
      <c r="B1419" s="6">
        <v>7.9920079920079903E-3</v>
      </c>
      <c r="C1419" s="6">
        <v>9.1208731241473398E-2</v>
      </c>
    </row>
    <row r="1420" spans="1:3" s="7" customFormat="1" x14ac:dyDescent="0.2">
      <c r="A1420" s="6" t="str">
        <f>"C1orf141"</f>
        <v>C1orf141</v>
      </c>
      <c r="B1420" s="6">
        <v>7.9920079920079903E-3</v>
      </c>
      <c r="C1420" s="6">
        <v>9.1208731241473398E-2</v>
      </c>
    </row>
    <row r="1421" spans="1:3" s="7" customFormat="1" x14ac:dyDescent="0.2">
      <c r="A1421" s="6" t="str">
        <f>"RPAIN"</f>
        <v>RPAIN</v>
      </c>
      <c r="B1421" s="6">
        <v>7.9920079920079903E-3</v>
      </c>
      <c r="C1421" s="6">
        <v>9.1208731241473398E-2</v>
      </c>
    </row>
    <row r="1422" spans="1:3" s="7" customFormat="1" x14ac:dyDescent="0.2">
      <c r="A1422" s="6" t="str">
        <f>"STRA6"</f>
        <v>STRA6</v>
      </c>
      <c r="B1422" s="6">
        <v>7.9920079920079903E-3</v>
      </c>
      <c r="C1422" s="6">
        <v>9.1208731241473398E-2</v>
      </c>
    </row>
    <row r="1423" spans="1:3" s="7" customFormat="1" x14ac:dyDescent="0.2">
      <c r="A1423" s="6" t="str">
        <f>"RPE65"</f>
        <v>RPE65</v>
      </c>
      <c r="B1423" s="6">
        <v>7.9920079920079903E-3</v>
      </c>
      <c r="C1423" s="6">
        <v>9.1208731241473398E-2</v>
      </c>
    </row>
    <row r="1424" spans="1:3" s="7" customFormat="1" x14ac:dyDescent="0.2">
      <c r="A1424" s="6" t="str">
        <f>"C11orf1"</f>
        <v>C11orf1</v>
      </c>
      <c r="B1424" s="6">
        <v>7.9920079920079903E-3</v>
      </c>
      <c r="C1424" s="6">
        <v>9.1208731241473398E-2</v>
      </c>
    </row>
    <row r="1425" spans="1:3" s="7" customFormat="1" x14ac:dyDescent="0.2">
      <c r="A1425" s="6" t="str">
        <f>"HSPB8"</f>
        <v>HSPB8</v>
      </c>
      <c r="B1425" s="6">
        <v>7.9920079920079903E-3</v>
      </c>
      <c r="C1425" s="6">
        <v>9.1208731241473398E-2</v>
      </c>
    </row>
    <row r="1426" spans="1:3" s="7" customFormat="1" x14ac:dyDescent="0.2">
      <c r="A1426" s="6" t="str">
        <f>"METRN"</f>
        <v>METRN</v>
      </c>
      <c r="B1426" s="6">
        <v>7.9920079920079903E-3</v>
      </c>
      <c r="C1426" s="6">
        <v>9.1208731241473398E-2</v>
      </c>
    </row>
    <row r="1427" spans="1:3" s="7" customFormat="1" x14ac:dyDescent="0.2">
      <c r="A1427" s="6" t="str">
        <f>"TOX"</f>
        <v>TOX</v>
      </c>
      <c r="B1427" s="6">
        <v>7.9920079920079903E-3</v>
      </c>
      <c r="C1427" s="6">
        <v>9.1208731241473398E-2</v>
      </c>
    </row>
    <row r="1428" spans="1:3" s="7" customFormat="1" x14ac:dyDescent="0.2">
      <c r="A1428" s="6" t="str">
        <f>"FCHO1"</f>
        <v>FCHO1</v>
      </c>
      <c r="B1428" s="6">
        <v>7.9920079920079903E-3</v>
      </c>
      <c r="C1428" s="6">
        <v>9.1208731241473398E-2</v>
      </c>
    </row>
    <row r="1429" spans="1:3" s="7" customFormat="1" x14ac:dyDescent="0.2">
      <c r="A1429" s="6" t="str">
        <f>"PAQR3"</f>
        <v>PAQR3</v>
      </c>
      <c r="B1429" s="6">
        <v>7.9920079920079903E-3</v>
      </c>
      <c r="C1429" s="6">
        <v>9.1208731241473398E-2</v>
      </c>
    </row>
    <row r="1430" spans="1:3" s="7" customFormat="1" x14ac:dyDescent="0.2">
      <c r="A1430" s="6" t="str">
        <f>"RHOV"</f>
        <v>RHOV</v>
      </c>
      <c r="B1430" s="6">
        <v>7.9920079920079903E-3</v>
      </c>
      <c r="C1430" s="6">
        <v>9.1208731241473398E-2</v>
      </c>
    </row>
    <row r="1431" spans="1:3" s="7" customFormat="1" x14ac:dyDescent="0.2">
      <c r="A1431" s="6" t="str">
        <f>"AC122719.3"</f>
        <v>AC122719.3</v>
      </c>
      <c r="B1431" s="6">
        <v>7.9920079920079903E-3</v>
      </c>
      <c r="C1431" s="6">
        <v>9.1208731241473398E-2</v>
      </c>
    </row>
    <row r="1432" spans="1:3" s="7" customFormat="1" x14ac:dyDescent="0.2">
      <c r="A1432" s="6" t="str">
        <f>"KIF20A"</f>
        <v>KIF20A</v>
      </c>
      <c r="B1432" s="6">
        <v>7.9920079920079903E-3</v>
      </c>
      <c r="C1432" s="6">
        <v>9.1208731241473398E-2</v>
      </c>
    </row>
    <row r="1433" spans="1:3" s="7" customFormat="1" x14ac:dyDescent="0.2">
      <c r="A1433" s="6" t="str">
        <f>"CBL"</f>
        <v>CBL</v>
      </c>
      <c r="B1433" s="6">
        <v>7.9920079920079903E-3</v>
      </c>
      <c r="C1433" s="6">
        <v>9.1208731241473398E-2</v>
      </c>
    </row>
    <row r="1434" spans="1:3" s="7" customFormat="1" x14ac:dyDescent="0.2">
      <c r="A1434" s="6" t="str">
        <f>"RPS3A"</f>
        <v>RPS3A</v>
      </c>
      <c r="B1434" s="6">
        <v>7.9920079920079903E-3</v>
      </c>
      <c r="C1434" s="6">
        <v>9.1208731241473398E-2</v>
      </c>
    </row>
    <row r="1435" spans="1:3" s="7" customFormat="1" x14ac:dyDescent="0.2">
      <c r="A1435" s="6" t="str">
        <f>"CLSPN"</f>
        <v>CLSPN</v>
      </c>
      <c r="B1435" s="6">
        <v>7.9920079920079903E-3</v>
      </c>
      <c r="C1435" s="6">
        <v>9.1208731241473398E-2</v>
      </c>
    </row>
    <row r="1436" spans="1:3" s="7" customFormat="1" x14ac:dyDescent="0.2">
      <c r="A1436" s="6" t="str">
        <f>"MICB"</f>
        <v>MICB</v>
      </c>
      <c r="B1436" s="6">
        <v>7.9920079920079903E-3</v>
      </c>
      <c r="C1436" s="6">
        <v>9.1208731241473398E-2</v>
      </c>
    </row>
    <row r="1437" spans="1:3" s="7" customFormat="1" x14ac:dyDescent="0.2">
      <c r="A1437" s="6" t="str">
        <f>"CORO2B"</f>
        <v>CORO2B</v>
      </c>
      <c r="B1437" s="6">
        <v>7.9920079920079903E-3</v>
      </c>
      <c r="C1437" s="6">
        <v>9.1208731241473398E-2</v>
      </c>
    </row>
    <row r="1438" spans="1:3" s="7" customFormat="1" x14ac:dyDescent="0.2">
      <c r="A1438" s="6" t="str">
        <f>"DPM3"</f>
        <v>DPM3</v>
      </c>
      <c r="B1438" s="6">
        <v>7.9920079920079903E-3</v>
      </c>
      <c r="C1438" s="6">
        <v>9.1208731241473398E-2</v>
      </c>
    </row>
    <row r="1439" spans="1:3" s="7" customFormat="1" x14ac:dyDescent="0.2">
      <c r="A1439" s="6" t="str">
        <f>"SLC47A2"</f>
        <v>SLC47A2</v>
      </c>
      <c r="B1439" s="6">
        <v>7.9920079920079903E-3</v>
      </c>
      <c r="C1439" s="6">
        <v>9.1208731241473398E-2</v>
      </c>
    </row>
    <row r="1440" spans="1:3" s="7" customFormat="1" x14ac:dyDescent="0.2">
      <c r="A1440" s="6" t="str">
        <f>"CLCNKA"</f>
        <v>CLCNKA</v>
      </c>
      <c r="B1440" s="6">
        <v>7.9920079920079903E-3</v>
      </c>
      <c r="C1440" s="6">
        <v>9.1208731241473398E-2</v>
      </c>
    </row>
    <row r="1441" spans="1:3" s="7" customFormat="1" x14ac:dyDescent="0.2">
      <c r="A1441" s="6" t="str">
        <f>"NCAM1"</f>
        <v>NCAM1</v>
      </c>
      <c r="B1441" s="6">
        <v>8.0000000000000002E-3</v>
      </c>
      <c r="C1441" s="6">
        <v>9.1208731241473398E-2</v>
      </c>
    </row>
    <row r="1442" spans="1:3" s="7" customFormat="1" x14ac:dyDescent="0.2">
      <c r="A1442" s="6" t="str">
        <f>"THRB-AS1"</f>
        <v>THRB-AS1</v>
      </c>
      <c r="B1442" s="6">
        <v>7.9920079920079903E-3</v>
      </c>
      <c r="C1442" s="6">
        <v>9.1208731241473398E-2</v>
      </c>
    </row>
    <row r="1443" spans="1:3" s="7" customFormat="1" x14ac:dyDescent="0.2">
      <c r="A1443" s="6" t="str">
        <f>"NLRP1"</f>
        <v>NLRP1</v>
      </c>
      <c r="B1443" s="6">
        <v>7.9920079920079903E-3</v>
      </c>
      <c r="C1443" s="6">
        <v>9.1208731241473398E-2</v>
      </c>
    </row>
    <row r="1444" spans="1:3" s="7" customFormat="1" x14ac:dyDescent="0.2">
      <c r="A1444" s="6" t="str">
        <f>"CXCL17"</f>
        <v>CXCL17</v>
      </c>
      <c r="B1444" s="6">
        <v>7.9920079920079903E-3</v>
      </c>
      <c r="C1444" s="6">
        <v>9.1208731241473398E-2</v>
      </c>
    </row>
    <row r="1445" spans="1:3" s="7" customFormat="1" x14ac:dyDescent="0.2">
      <c r="A1445" s="6" t="str">
        <f>"UNC5D"</f>
        <v>UNC5D</v>
      </c>
      <c r="B1445" s="6">
        <v>7.9920079920079903E-3</v>
      </c>
      <c r="C1445" s="6">
        <v>9.1208731241473398E-2</v>
      </c>
    </row>
    <row r="1446" spans="1:3" s="7" customFormat="1" x14ac:dyDescent="0.2">
      <c r="A1446" s="6" t="str">
        <f>"SSTR1"</f>
        <v>SSTR1</v>
      </c>
      <c r="B1446" s="6">
        <v>7.9920079920079903E-3</v>
      </c>
      <c r="C1446" s="6">
        <v>9.1208731241473398E-2</v>
      </c>
    </row>
    <row r="1447" spans="1:3" s="7" customFormat="1" x14ac:dyDescent="0.2">
      <c r="A1447" s="6" t="str">
        <f>"AL627309.7"</f>
        <v>AL627309.7</v>
      </c>
      <c r="B1447" s="6">
        <v>7.9920079920079903E-3</v>
      </c>
      <c r="C1447" s="6">
        <v>9.1208731241473398E-2</v>
      </c>
    </row>
    <row r="1448" spans="1:3" s="7" customFormat="1" x14ac:dyDescent="0.2">
      <c r="A1448" s="6" t="str">
        <f>"PAMR1"</f>
        <v>PAMR1</v>
      </c>
      <c r="B1448" s="6">
        <v>7.9920079920079903E-3</v>
      </c>
      <c r="C1448" s="6">
        <v>9.1208731241473398E-2</v>
      </c>
    </row>
    <row r="1449" spans="1:3" s="7" customFormat="1" x14ac:dyDescent="0.2">
      <c r="A1449" s="6" t="str">
        <f>"PIEZO1"</f>
        <v>PIEZO1</v>
      </c>
      <c r="B1449" s="6">
        <v>7.9920079920079903E-3</v>
      </c>
      <c r="C1449" s="6">
        <v>9.1208731241473398E-2</v>
      </c>
    </row>
    <row r="1450" spans="1:3" s="7" customFormat="1" x14ac:dyDescent="0.2">
      <c r="A1450" s="6" t="str">
        <f>"BX005040.1"</f>
        <v>BX005040.1</v>
      </c>
      <c r="B1450" s="6">
        <v>7.9920079920079903E-3</v>
      </c>
      <c r="C1450" s="6">
        <v>9.1208731241473398E-2</v>
      </c>
    </row>
    <row r="1451" spans="1:3" s="7" customFormat="1" x14ac:dyDescent="0.2">
      <c r="A1451" s="6" t="str">
        <f>"ABCA7"</f>
        <v>ABCA7</v>
      </c>
      <c r="B1451" s="6">
        <v>7.9920079920079903E-3</v>
      </c>
      <c r="C1451" s="6">
        <v>9.1208731241473398E-2</v>
      </c>
    </row>
    <row r="1452" spans="1:3" s="7" customFormat="1" x14ac:dyDescent="0.2">
      <c r="A1452" s="6" t="str">
        <f>"IL22RA1"</f>
        <v>IL22RA1</v>
      </c>
      <c r="B1452" s="6">
        <v>7.9920079920079903E-3</v>
      </c>
      <c r="C1452" s="6">
        <v>9.1208731241473398E-2</v>
      </c>
    </row>
    <row r="1453" spans="1:3" s="7" customFormat="1" x14ac:dyDescent="0.2">
      <c r="A1453" s="6" t="str">
        <f>"PLSCR4"</f>
        <v>PLSCR4</v>
      </c>
      <c r="B1453" s="6">
        <v>7.9920079920079903E-3</v>
      </c>
      <c r="C1453" s="6">
        <v>9.1208731241473398E-2</v>
      </c>
    </row>
    <row r="1454" spans="1:3" s="7" customFormat="1" x14ac:dyDescent="0.2">
      <c r="A1454" s="6" t="str">
        <f>"DDX23"</f>
        <v>DDX23</v>
      </c>
      <c r="B1454" s="6">
        <v>7.9920079920079903E-3</v>
      </c>
      <c r="C1454" s="6">
        <v>9.1208731241473398E-2</v>
      </c>
    </row>
    <row r="1455" spans="1:3" s="7" customFormat="1" x14ac:dyDescent="0.2">
      <c r="A1455" s="6" t="str">
        <f>"UNC79"</f>
        <v>UNC79</v>
      </c>
      <c r="B1455" s="6">
        <v>7.9920079920079903E-3</v>
      </c>
      <c r="C1455" s="6">
        <v>9.1208731241473398E-2</v>
      </c>
    </row>
    <row r="1456" spans="1:3" s="7" customFormat="1" x14ac:dyDescent="0.2">
      <c r="A1456" s="6" t="str">
        <f>"EPN2"</f>
        <v>EPN2</v>
      </c>
      <c r="B1456" s="6">
        <v>7.9920079920079903E-3</v>
      </c>
      <c r="C1456" s="6">
        <v>9.1208731241473398E-2</v>
      </c>
    </row>
    <row r="1457" spans="1:3" s="7" customFormat="1" x14ac:dyDescent="0.2">
      <c r="A1457" s="6" t="str">
        <f>"AC092745.3"</f>
        <v>AC092745.3</v>
      </c>
      <c r="B1457" s="6">
        <v>7.9920079920079903E-3</v>
      </c>
      <c r="C1457" s="6">
        <v>9.1208731241473398E-2</v>
      </c>
    </row>
    <row r="1458" spans="1:3" s="7" customFormat="1" x14ac:dyDescent="0.2">
      <c r="A1458" s="6" t="str">
        <f>"FAM183A"</f>
        <v>FAM183A</v>
      </c>
      <c r="B1458" s="6">
        <v>8.0000000000000002E-3</v>
      </c>
      <c r="C1458" s="6">
        <v>9.1208731241473398E-2</v>
      </c>
    </row>
    <row r="1459" spans="1:3" s="7" customFormat="1" x14ac:dyDescent="0.2">
      <c r="A1459" s="6" t="str">
        <f>"YY1AP1"</f>
        <v>YY1AP1</v>
      </c>
      <c r="B1459" s="6">
        <v>7.9920079920079903E-3</v>
      </c>
      <c r="C1459" s="6">
        <v>9.1208731241473398E-2</v>
      </c>
    </row>
    <row r="1460" spans="1:3" s="7" customFormat="1" x14ac:dyDescent="0.2">
      <c r="A1460" s="6" t="str">
        <f>"NRAV"</f>
        <v>NRAV</v>
      </c>
      <c r="B1460" s="6">
        <v>7.9920079920079903E-3</v>
      </c>
      <c r="C1460" s="6">
        <v>9.1208731241473398E-2</v>
      </c>
    </row>
    <row r="1461" spans="1:3" s="7" customFormat="1" x14ac:dyDescent="0.2">
      <c r="A1461" s="6" t="str">
        <f>"CIC"</f>
        <v>CIC</v>
      </c>
      <c r="B1461" s="6">
        <v>7.9920079920079903E-3</v>
      </c>
      <c r="C1461" s="6">
        <v>9.1208731241473398E-2</v>
      </c>
    </row>
    <row r="1462" spans="1:3" s="7" customFormat="1" x14ac:dyDescent="0.2">
      <c r="A1462" s="6" t="str">
        <f>"ITGA4"</f>
        <v>ITGA4</v>
      </c>
      <c r="B1462" s="6">
        <v>7.9920079920079903E-3</v>
      </c>
      <c r="C1462" s="6">
        <v>9.1208731241473398E-2</v>
      </c>
    </row>
    <row r="1463" spans="1:3" s="7" customFormat="1" x14ac:dyDescent="0.2">
      <c r="A1463" s="6" t="str">
        <f>"HDLBP"</f>
        <v>HDLBP</v>
      </c>
      <c r="B1463" s="6">
        <v>7.9920079920079903E-3</v>
      </c>
      <c r="C1463" s="6">
        <v>9.1208731241473398E-2</v>
      </c>
    </row>
    <row r="1464" spans="1:3" s="7" customFormat="1" x14ac:dyDescent="0.2">
      <c r="A1464" s="6" t="str">
        <f>"RNA5S1"</f>
        <v>RNA5S1</v>
      </c>
      <c r="B1464" s="6">
        <v>7.9920079920079903E-3</v>
      </c>
      <c r="C1464" s="6">
        <v>9.1208731241473398E-2</v>
      </c>
    </row>
    <row r="1465" spans="1:3" s="7" customFormat="1" x14ac:dyDescent="0.2">
      <c r="A1465" s="6" t="str">
        <f>"CTSZ"</f>
        <v>CTSZ</v>
      </c>
      <c r="B1465" s="6">
        <v>7.9920079920079903E-3</v>
      </c>
      <c r="C1465" s="6">
        <v>9.1208731241473398E-2</v>
      </c>
    </row>
    <row r="1466" spans="1:3" s="7" customFormat="1" x14ac:dyDescent="0.2">
      <c r="A1466" s="6" t="str">
        <f>"E2F1"</f>
        <v>E2F1</v>
      </c>
      <c r="B1466" s="6">
        <v>7.9920079920079903E-3</v>
      </c>
      <c r="C1466" s="6">
        <v>9.1208731241473398E-2</v>
      </c>
    </row>
    <row r="1467" spans="1:3" s="7" customFormat="1" x14ac:dyDescent="0.2">
      <c r="A1467" s="6" t="str">
        <f>"EXOC7"</f>
        <v>EXOC7</v>
      </c>
      <c r="B1467" s="6">
        <v>7.9920079920079903E-3</v>
      </c>
      <c r="C1467" s="6">
        <v>9.1208731241473398E-2</v>
      </c>
    </row>
    <row r="1468" spans="1:3" s="7" customFormat="1" x14ac:dyDescent="0.2">
      <c r="A1468" s="6" t="str">
        <f>"UVRAG-DT"</f>
        <v>UVRAG-DT</v>
      </c>
      <c r="B1468" s="6">
        <v>8.0080080080079993E-3</v>
      </c>
      <c r="C1468" s="6">
        <v>9.1237795395941096E-2</v>
      </c>
    </row>
    <row r="1469" spans="1:3" s="7" customFormat="1" x14ac:dyDescent="0.2">
      <c r="A1469" s="6" t="str">
        <f>"AP005328.1"</f>
        <v>AP005328.1</v>
      </c>
      <c r="B1469" s="6">
        <v>8.0321285140562207E-3</v>
      </c>
      <c r="C1469" s="6">
        <v>9.1263763415319901E-2</v>
      </c>
    </row>
    <row r="1470" spans="1:3" s="7" customFormat="1" x14ac:dyDescent="0.2">
      <c r="A1470" s="6" t="str">
        <f>"LINC01284"</f>
        <v>LINC01284</v>
      </c>
      <c r="B1470" s="6">
        <v>8.0240722166499499E-3</v>
      </c>
      <c r="C1470" s="6">
        <v>9.1263763415319901E-2</v>
      </c>
    </row>
    <row r="1471" spans="1:3" s="7" customFormat="1" x14ac:dyDescent="0.2">
      <c r="A1471" s="6" t="str">
        <f>"CCDC177"</f>
        <v>CCDC177</v>
      </c>
      <c r="B1471" s="6">
        <v>8.0321285140562207E-3</v>
      </c>
      <c r="C1471" s="6">
        <v>9.1263763415319901E-2</v>
      </c>
    </row>
    <row r="1472" spans="1:3" s="7" customFormat="1" x14ac:dyDescent="0.2">
      <c r="A1472" s="6" t="str">
        <f>"AC015969.1"</f>
        <v>AC015969.1</v>
      </c>
      <c r="B1472" s="6">
        <v>8.0321285140562207E-3</v>
      </c>
      <c r="C1472" s="6">
        <v>9.1263763415319901E-2</v>
      </c>
    </row>
    <row r="1473" spans="1:3" s="7" customFormat="1" x14ac:dyDescent="0.2">
      <c r="A1473" s="6" t="str">
        <f>"AC008894.2"</f>
        <v>AC008894.2</v>
      </c>
      <c r="B1473" s="6">
        <v>8.0563947633434004E-3</v>
      </c>
      <c r="C1473" s="6">
        <v>9.1477297604973903E-2</v>
      </c>
    </row>
    <row r="1474" spans="1:3" s="7" customFormat="1" x14ac:dyDescent="0.2">
      <c r="A1474" s="6" t="str">
        <f>"AC024060.2"</f>
        <v>AC024060.2</v>
      </c>
      <c r="B1474" s="6">
        <v>8.1799591002044997E-3</v>
      </c>
      <c r="C1474" s="6">
        <v>9.2817268432327196E-2</v>
      </c>
    </row>
    <row r="1475" spans="1:3" s="7" customFormat="1" x14ac:dyDescent="0.2">
      <c r="A1475" s="6" t="str">
        <f>"PPP4R1-AS1"</f>
        <v>PPP4R1-AS1</v>
      </c>
      <c r="B1475" s="6">
        <v>8.3612040133779209E-3</v>
      </c>
      <c r="C1475" s="6">
        <v>9.4809473459700505E-2</v>
      </c>
    </row>
    <row r="1476" spans="1:3" s="7" customFormat="1" x14ac:dyDescent="0.2">
      <c r="A1476" s="6" t="str">
        <f>"LINC00836"</f>
        <v>LINC00836</v>
      </c>
      <c r="B1476" s="6">
        <v>8.6021505376343999E-3</v>
      </c>
      <c r="C1476" s="6">
        <v>9.7475487515946604E-2</v>
      </c>
    </row>
    <row r="1477" spans="1:3" s="7" customFormat="1" x14ac:dyDescent="0.2">
      <c r="A1477" s="6" t="str">
        <f>"MINCR"</f>
        <v>MINCR</v>
      </c>
      <c r="B1477" s="6">
        <v>8.9910089910089901E-3</v>
      </c>
      <c r="C1477" s="6">
        <v>9.7742690058479506E-2</v>
      </c>
    </row>
    <row r="1478" spans="1:3" s="7" customFormat="1" x14ac:dyDescent="0.2">
      <c r="A1478" s="6" t="str">
        <f>"NFKBIE"</f>
        <v>NFKBIE</v>
      </c>
      <c r="B1478" s="6">
        <v>8.9910089910089901E-3</v>
      </c>
      <c r="C1478" s="6">
        <v>9.7742690058479506E-2</v>
      </c>
    </row>
    <row r="1479" spans="1:3" s="7" customFormat="1" x14ac:dyDescent="0.2">
      <c r="A1479" s="6" t="str">
        <f>"AC018362.1"</f>
        <v>AC018362.1</v>
      </c>
      <c r="B1479" s="6">
        <v>8.9999999999999993E-3</v>
      </c>
      <c r="C1479" s="6">
        <v>9.7742690058479506E-2</v>
      </c>
    </row>
    <row r="1480" spans="1:3" s="7" customFormat="1" x14ac:dyDescent="0.2">
      <c r="A1480" s="6" t="str">
        <f>"AC104695.2"</f>
        <v>AC104695.2</v>
      </c>
      <c r="B1480" s="6">
        <v>8.9910089910089901E-3</v>
      </c>
      <c r="C1480" s="6">
        <v>9.7742690058479506E-2</v>
      </c>
    </row>
    <row r="1481" spans="1:3" s="7" customFormat="1" x14ac:dyDescent="0.2">
      <c r="A1481" s="6" t="str">
        <f>"AC123912.4"</f>
        <v>AC123912.4</v>
      </c>
      <c r="B1481" s="6">
        <v>8.9910089910089901E-3</v>
      </c>
      <c r="C1481" s="6">
        <v>9.7742690058479506E-2</v>
      </c>
    </row>
    <row r="1482" spans="1:3" s="7" customFormat="1" x14ac:dyDescent="0.2">
      <c r="A1482" s="6" t="str">
        <f>"MT-RNR2"</f>
        <v>MT-RNR2</v>
      </c>
      <c r="B1482" s="6">
        <v>8.9910089910089901E-3</v>
      </c>
      <c r="C1482" s="6">
        <v>9.7742690058479506E-2</v>
      </c>
    </row>
    <row r="1483" spans="1:3" s="7" customFormat="1" x14ac:dyDescent="0.2">
      <c r="A1483" s="6" t="str">
        <f>"MAP1LC3B2"</f>
        <v>MAP1LC3B2</v>
      </c>
      <c r="B1483" s="6">
        <v>8.9910089910089901E-3</v>
      </c>
      <c r="C1483" s="6">
        <v>9.7742690058479506E-2</v>
      </c>
    </row>
    <row r="1484" spans="1:3" s="7" customFormat="1" x14ac:dyDescent="0.2">
      <c r="A1484" s="6" t="str">
        <f>"IL16"</f>
        <v>IL16</v>
      </c>
      <c r="B1484" s="6">
        <v>8.9910089910089901E-3</v>
      </c>
      <c r="C1484" s="6">
        <v>9.7742690058479506E-2</v>
      </c>
    </row>
    <row r="1485" spans="1:3" s="7" customFormat="1" x14ac:dyDescent="0.2">
      <c r="A1485" s="6" t="str">
        <f>"TKTL1"</f>
        <v>TKTL1</v>
      </c>
      <c r="B1485" s="6">
        <v>8.9910089910089901E-3</v>
      </c>
      <c r="C1485" s="6">
        <v>9.7742690058479506E-2</v>
      </c>
    </row>
    <row r="1486" spans="1:3" s="7" customFormat="1" x14ac:dyDescent="0.2">
      <c r="A1486" s="6" t="str">
        <f>"BX005266.2"</f>
        <v>BX005266.2</v>
      </c>
      <c r="B1486" s="6">
        <v>8.9910089910089901E-3</v>
      </c>
      <c r="C1486" s="6">
        <v>9.7742690058479506E-2</v>
      </c>
    </row>
    <row r="1487" spans="1:3" s="7" customFormat="1" x14ac:dyDescent="0.2">
      <c r="A1487" s="6" t="str">
        <f>"ARHGAP4"</f>
        <v>ARHGAP4</v>
      </c>
      <c r="B1487" s="6">
        <v>8.9910089910089901E-3</v>
      </c>
      <c r="C1487" s="6">
        <v>9.7742690058479506E-2</v>
      </c>
    </row>
    <row r="1488" spans="1:3" s="7" customFormat="1" x14ac:dyDescent="0.2">
      <c r="A1488" s="6" t="str">
        <f>"SPRR2D"</f>
        <v>SPRR2D</v>
      </c>
      <c r="B1488" s="6">
        <v>8.9910089910089901E-3</v>
      </c>
      <c r="C1488" s="6">
        <v>9.7742690058479506E-2</v>
      </c>
    </row>
    <row r="1489" spans="1:3" s="7" customFormat="1" x14ac:dyDescent="0.2">
      <c r="A1489" s="6" t="str">
        <f>"TAC3"</f>
        <v>TAC3</v>
      </c>
      <c r="B1489" s="6">
        <v>8.9910089910089901E-3</v>
      </c>
      <c r="C1489" s="6">
        <v>9.7742690058479506E-2</v>
      </c>
    </row>
    <row r="1490" spans="1:3" s="7" customFormat="1" x14ac:dyDescent="0.2">
      <c r="A1490" s="6" t="str">
        <f>"PRAF2"</f>
        <v>PRAF2</v>
      </c>
      <c r="B1490" s="6">
        <v>8.9910089910089901E-3</v>
      </c>
      <c r="C1490" s="6">
        <v>9.7742690058479506E-2</v>
      </c>
    </row>
    <row r="1491" spans="1:3" s="7" customFormat="1" x14ac:dyDescent="0.2">
      <c r="A1491" s="6" t="str">
        <f>"TRIM40"</f>
        <v>TRIM40</v>
      </c>
      <c r="B1491" s="6">
        <v>8.9910089910089901E-3</v>
      </c>
      <c r="C1491" s="6">
        <v>9.7742690058479506E-2</v>
      </c>
    </row>
    <row r="1492" spans="1:3" s="7" customFormat="1" x14ac:dyDescent="0.2">
      <c r="A1492" s="6" t="str">
        <f>"AC092164.1"</f>
        <v>AC092164.1</v>
      </c>
      <c r="B1492" s="6">
        <v>8.9910089910089901E-3</v>
      </c>
      <c r="C1492" s="6">
        <v>9.7742690058479506E-2</v>
      </c>
    </row>
    <row r="1493" spans="1:3" s="7" customFormat="1" x14ac:dyDescent="0.2">
      <c r="A1493" s="6" t="str">
        <f>"TRAF7"</f>
        <v>TRAF7</v>
      </c>
      <c r="B1493" s="6">
        <v>8.9910089910089901E-3</v>
      </c>
      <c r="C1493" s="6">
        <v>9.7742690058479506E-2</v>
      </c>
    </row>
    <row r="1494" spans="1:3" s="7" customFormat="1" x14ac:dyDescent="0.2">
      <c r="A1494" s="6" t="str">
        <f>"AC016957.2"</f>
        <v>AC016957.2</v>
      </c>
      <c r="B1494" s="6">
        <v>8.9910089910089901E-3</v>
      </c>
      <c r="C1494" s="6">
        <v>9.7742690058479506E-2</v>
      </c>
    </row>
    <row r="1495" spans="1:3" s="7" customFormat="1" x14ac:dyDescent="0.2">
      <c r="A1495" s="6" t="str">
        <f>"LINC01431"</f>
        <v>LINC01431</v>
      </c>
      <c r="B1495" s="6">
        <v>8.9910089910089901E-3</v>
      </c>
      <c r="C1495" s="6">
        <v>9.7742690058479506E-2</v>
      </c>
    </row>
    <row r="1496" spans="1:3" s="7" customFormat="1" x14ac:dyDescent="0.2">
      <c r="A1496" s="6" t="str">
        <f>"CENPQ"</f>
        <v>CENPQ</v>
      </c>
      <c r="B1496" s="6">
        <v>8.9910089910089901E-3</v>
      </c>
      <c r="C1496" s="6">
        <v>9.7742690058479506E-2</v>
      </c>
    </row>
    <row r="1497" spans="1:3" s="7" customFormat="1" x14ac:dyDescent="0.2">
      <c r="A1497" s="6" t="str">
        <f>"SPRR2E"</f>
        <v>SPRR2E</v>
      </c>
      <c r="B1497" s="6">
        <v>8.9910089910089901E-3</v>
      </c>
      <c r="C1497" s="6">
        <v>9.7742690058479506E-2</v>
      </c>
    </row>
    <row r="1498" spans="1:3" s="7" customFormat="1" x14ac:dyDescent="0.2">
      <c r="A1498" s="6" t="str">
        <f>"CFC1"</f>
        <v>CFC1</v>
      </c>
      <c r="B1498" s="6">
        <v>8.9999999999999993E-3</v>
      </c>
      <c r="C1498" s="6">
        <v>9.7742690058479506E-2</v>
      </c>
    </row>
    <row r="1499" spans="1:3" s="7" customFormat="1" x14ac:dyDescent="0.2">
      <c r="A1499" s="6" t="str">
        <f>"CLEC11A"</f>
        <v>CLEC11A</v>
      </c>
      <c r="B1499" s="6">
        <v>8.9910089910089901E-3</v>
      </c>
      <c r="C1499" s="6">
        <v>9.7742690058479506E-2</v>
      </c>
    </row>
    <row r="1500" spans="1:3" s="7" customFormat="1" x14ac:dyDescent="0.2">
      <c r="A1500" s="6" t="str">
        <f>"PPP1R14BP3"</f>
        <v>PPP1R14BP3</v>
      </c>
      <c r="B1500" s="6">
        <v>8.9910089910089901E-3</v>
      </c>
      <c r="C1500" s="6">
        <v>9.7742690058479506E-2</v>
      </c>
    </row>
    <row r="1501" spans="1:3" s="7" customFormat="1" x14ac:dyDescent="0.2">
      <c r="A1501" s="6" t="str">
        <f>"KRT6C"</f>
        <v>KRT6C</v>
      </c>
      <c r="B1501" s="6">
        <v>8.9910089910089901E-3</v>
      </c>
      <c r="C1501" s="6">
        <v>9.7742690058479506E-2</v>
      </c>
    </row>
    <row r="1502" spans="1:3" s="7" customFormat="1" x14ac:dyDescent="0.2">
      <c r="A1502" s="6" t="str">
        <f>"STK3"</f>
        <v>STK3</v>
      </c>
      <c r="B1502" s="6">
        <v>8.9910089910089901E-3</v>
      </c>
      <c r="C1502" s="6">
        <v>9.7742690058479506E-2</v>
      </c>
    </row>
    <row r="1503" spans="1:3" s="7" customFormat="1" x14ac:dyDescent="0.2">
      <c r="A1503" s="6" t="str">
        <f>"STAT5B"</f>
        <v>STAT5B</v>
      </c>
      <c r="B1503" s="6">
        <v>8.9999999999999993E-3</v>
      </c>
      <c r="C1503" s="6">
        <v>9.7742690058479506E-2</v>
      </c>
    </row>
    <row r="1504" spans="1:3" s="7" customFormat="1" x14ac:dyDescent="0.2">
      <c r="A1504" s="6" t="str">
        <f>"NAMPTP1"</f>
        <v>NAMPTP1</v>
      </c>
      <c r="B1504" s="6">
        <v>8.9999999999999993E-3</v>
      </c>
      <c r="C1504" s="6">
        <v>9.7742690058479506E-2</v>
      </c>
    </row>
    <row r="1505" spans="1:3" s="7" customFormat="1" x14ac:dyDescent="0.2">
      <c r="A1505" s="6" t="str">
        <f>"MARCKSL1"</f>
        <v>MARCKSL1</v>
      </c>
      <c r="B1505" s="6">
        <v>8.9910089910089901E-3</v>
      </c>
      <c r="C1505" s="6">
        <v>9.7742690058479506E-2</v>
      </c>
    </row>
    <row r="1506" spans="1:3" s="7" customFormat="1" x14ac:dyDescent="0.2">
      <c r="A1506" s="6" t="str">
        <f>"PPP2R2C"</f>
        <v>PPP2R2C</v>
      </c>
      <c r="B1506" s="6">
        <v>8.9910089910089901E-3</v>
      </c>
      <c r="C1506" s="6">
        <v>9.7742690058479506E-2</v>
      </c>
    </row>
    <row r="1507" spans="1:3" s="7" customFormat="1" x14ac:dyDescent="0.2">
      <c r="A1507" s="6" t="str">
        <f>"ROPN1B"</f>
        <v>ROPN1B</v>
      </c>
      <c r="B1507" s="6">
        <v>8.9910089910089901E-3</v>
      </c>
      <c r="C1507" s="6">
        <v>9.7742690058479506E-2</v>
      </c>
    </row>
    <row r="1508" spans="1:3" s="7" customFormat="1" x14ac:dyDescent="0.2">
      <c r="A1508" s="6" t="str">
        <f>"AC091959.1"</f>
        <v>AC091959.1</v>
      </c>
      <c r="B1508" s="6">
        <v>8.9910089910089901E-3</v>
      </c>
      <c r="C1508" s="6">
        <v>9.7742690058479506E-2</v>
      </c>
    </row>
    <row r="1509" spans="1:3" s="7" customFormat="1" x14ac:dyDescent="0.2">
      <c r="A1509" s="6" t="str">
        <f>"GBP5"</f>
        <v>GBP5</v>
      </c>
      <c r="B1509" s="6">
        <v>8.9910089910089901E-3</v>
      </c>
      <c r="C1509" s="6">
        <v>9.7742690058479506E-2</v>
      </c>
    </row>
    <row r="1510" spans="1:3" s="7" customFormat="1" x14ac:dyDescent="0.2">
      <c r="A1510" s="6" t="str">
        <f>"MT-ND1"</f>
        <v>MT-ND1</v>
      </c>
      <c r="B1510" s="6">
        <v>8.9910089910089901E-3</v>
      </c>
      <c r="C1510" s="6">
        <v>9.7742690058479506E-2</v>
      </c>
    </row>
    <row r="1511" spans="1:3" s="7" customFormat="1" x14ac:dyDescent="0.2">
      <c r="A1511" s="6" t="str">
        <f>"HCST"</f>
        <v>HCST</v>
      </c>
      <c r="B1511" s="6">
        <v>8.9910089910089901E-3</v>
      </c>
      <c r="C1511" s="6">
        <v>9.7742690058479506E-2</v>
      </c>
    </row>
    <row r="1512" spans="1:3" s="7" customFormat="1" x14ac:dyDescent="0.2">
      <c r="A1512" s="6" t="str">
        <f>"VPS50"</f>
        <v>VPS50</v>
      </c>
      <c r="B1512" s="6">
        <v>8.9910089910089901E-3</v>
      </c>
      <c r="C1512" s="6">
        <v>9.7742690058479506E-2</v>
      </c>
    </row>
    <row r="1513" spans="1:3" s="7" customFormat="1" x14ac:dyDescent="0.2">
      <c r="A1513" s="6" t="str">
        <f>"NFE2L3"</f>
        <v>NFE2L3</v>
      </c>
      <c r="B1513" s="6">
        <v>8.9910089910089901E-3</v>
      </c>
      <c r="C1513" s="6">
        <v>9.7742690058479506E-2</v>
      </c>
    </row>
    <row r="1514" spans="1:3" s="7" customFormat="1" x14ac:dyDescent="0.2">
      <c r="A1514" s="6" t="str">
        <f>"OLA1P2"</f>
        <v>OLA1P2</v>
      </c>
      <c r="B1514" s="6">
        <v>8.9999999999999993E-3</v>
      </c>
      <c r="C1514" s="6">
        <v>9.7742690058479506E-2</v>
      </c>
    </row>
    <row r="1515" spans="1:3" s="7" customFormat="1" x14ac:dyDescent="0.2">
      <c r="A1515" s="6" t="str">
        <f>"LYNX1-SLURP2"</f>
        <v>LYNX1-SLURP2</v>
      </c>
      <c r="B1515" s="6">
        <v>8.9910089910089901E-3</v>
      </c>
      <c r="C1515" s="6">
        <v>9.7742690058479506E-2</v>
      </c>
    </row>
    <row r="1516" spans="1:3" s="7" customFormat="1" x14ac:dyDescent="0.2">
      <c r="A1516" s="6" t="str">
        <f>"IL23A"</f>
        <v>IL23A</v>
      </c>
      <c r="B1516" s="6">
        <v>8.9910089910089901E-3</v>
      </c>
      <c r="C1516" s="6">
        <v>9.7742690058479506E-2</v>
      </c>
    </row>
    <row r="1517" spans="1:3" s="7" customFormat="1" x14ac:dyDescent="0.2">
      <c r="A1517" s="6" t="str">
        <f>"HGFAC"</f>
        <v>HGFAC</v>
      </c>
      <c r="B1517" s="6">
        <v>8.9910089910089901E-3</v>
      </c>
      <c r="C1517" s="6">
        <v>9.7742690058479506E-2</v>
      </c>
    </row>
    <row r="1518" spans="1:3" s="7" customFormat="1" x14ac:dyDescent="0.2">
      <c r="A1518" s="6" t="str">
        <f>"PNLDC1"</f>
        <v>PNLDC1</v>
      </c>
      <c r="B1518" s="6">
        <v>8.9910089910089901E-3</v>
      </c>
      <c r="C1518" s="6">
        <v>9.7742690058479506E-2</v>
      </c>
    </row>
    <row r="1519" spans="1:3" s="7" customFormat="1" x14ac:dyDescent="0.2">
      <c r="A1519" s="6" t="str">
        <f>"HSP90AA1"</f>
        <v>HSP90AA1</v>
      </c>
      <c r="B1519" s="6">
        <v>8.9910089910089901E-3</v>
      </c>
      <c r="C1519" s="6">
        <v>9.7742690058479506E-2</v>
      </c>
    </row>
    <row r="1520" spans="1:3" s="7" customFormat="1" x14ac:dyDescent="0.2">
      <c r="A1520" s="6" t="str">
        <f>"ATP8B3"</f>
        <v>ATP8B3</v>
      </c>
      <c r="B1520" s="6">
        <v>8.9910089910089901E-3</v>
      </c>
      <c r="C1520" s="6">
        <v>9.7742690058479506E-2</v>
      </c>
    </row>
    <row r="1521" spans="1:3" s="7" customFormat="1" x14ac:dyDescent="0.2">
      <c r="A1521" s="6" t="str">
        <f>"PROX1"</f>
        <v>PROX1</v>
      </c>
      <c r="B1521" s="6">
        <v>8.9910089910089901E-3</v>
      </c>
      <c r="C1521" s="6">
        <v>9.7742690058479506E-2</v>
      </c>
    </row>
    <row r="1522" spans="1:3" s="7" customFormat="1" x14ac:dyDescent="0.2">
      <c r="A1522" s="6" t="str">
        <f>"RFTN2"</f>
        <v>RFTN2</v>
      </c>
      <c r="B1522" s="6">
        <v>8.9910089910089901E-3</v>
      </c>
      <c r="C1522" s="6">
        <v>9.7742690058479506E-2</v>
      </c>
    </row>
    <row r="1523" spans="1:3" s="7" customFormat="1" x14ac:dyDescent="0.2">
      <c r="A1523" s="6" t="str">
        <f>"AC010998.3"</f>
        <v>AC010998.3</v>
      </c>
      <c r="B1523" s="6">
        <v>8.9910089910089901E-3</v>
      </c>
      <c r="C1523" s="6">
        <v>9.7742690058479506E-2</v>
      </c>
    </row>
    <row r="1524" spans="1:3" s="7" customFormat="1" x14ac:dyDescent="0.2">
      <c r="A1524" s="6" t="str">
        <f>"ISG20L2"</f>
        <v>ISG20L2</v>
      </c>
      <c r="B1524" s="6">
        <v>8.9910089910089901E-3</v>
      </c>
      <c r="C1524" s="6">
        <v>9.7742690058479506E-2</v>
      </c>
    </row>
    <row r="1525" spans="1:3" s="7" customFormat="1" x14ac:dyDescent="0.2">
      <c r="A1525" s="6" t="str">
        <f>"FAM172A"</f>
        <v>FAM172A</v>
      </c>
      <c r="B1525" s="6">
        <v>8.9910089910089901E-3</v>
      </c>
      <c r="C1525" s="6">
        <v>9.7742690058479506E-2</v>
      </c>
    </row>
    <row r="1526" spans="1:3" s="7" customFormat="1" x14ac:dyDescent="0.2">
      <c r="A1526" s="6" t="str">
        <f>"IRF7"</f>
        <v>IRF7</v>
      </c>
      <c r="B1526" s="6">
        <v>8.9910089910089901E-3</v>
      </c>
      <c r="C1526" s="6">
        <v>9.7742690058479506E-2</v>
      </c>
    </row>
    <row r="1527" spans="1:3" s="7" customFormat="1" x14ac:dyDescent="0.2">
      <c r="A1527" s="6" t="str">
        <f>"ATP1A1"</f>
        <v>ATP1A1</v>
      </c>
      <c r="B1527" s="6">
        <v>8.9910089910089901E-3</v>
      </c>
      <c r="C1527" s="6">
        <v>9.7742690058479506E-2</v>
      </c>
    </row>
    <row r="1528" spans="1:3" s="7" customFormat="1" x14ac:dyDescent="0.2">
      <c r="A1528" s="6" t="str">
        <f>"AC026191.1"</f>
        <v>AC026191.1</v>
      </c>
      <c r="B1528" s="6">
        <v>8.9999999999999993E-3</v>
      </c>
      <c r="C1528" s="6">
        <v>9.7742690058479506E-2</v>
      </c>
    </row>
    <row r="1529" spans="1:3" s="7" customFormat="1" x14ac:dyDescent="0.2">
      <c r="A1529" s="6" t="str">
        <f>"GSTA3"</f>
        <v>GSTA3</v>
      </c>
      <c r="B1529" s="6">
        <v>8.9910089910089901E-3</v>
      </c>
      <c r="C1529" s="6">
        <v>9.7742690058479506E-2</v>
      </c>
    </row>
    <row r="1530" spans="1:3" s="7" customFormat="1" x14ac:dyDescent="0.2">
      <c r="A1530" s="6" t="str">
        <f>"PDLIM2"</f>
        <v>PDLIM2</v>
      </c>
      <c r="B1530" s="6">
        <v>8.9999999999999993E-3</v>
      </c>
      <c r="C1530" s="6">
        <v>9.7742690058479506E-2</v>
      </c>
    </row>
    <row r="1531" spans="1:3" s="7" customFormat="1" x14ac:dyDescent="0.2">
      <c r="A1531" s="6" t="str">
        <f>"LINC01715"</f>
        <v>LINC01715</v>
      </c>
      <c r="B1531" s="6">
        <v>8.9058524173027901E-3</v>
      </c>
      <c r="C1531" s="6">
        <v>9.7742690058479506E-2</v>
      </c>
    </row>
    <row r="1532" spans="1:3" s="7" customFormat="1" x14ac:dyDescent="0.2">
      <c r="A1532" s="6" t="str">
        <f>"C1orf189"</f>
        <v>C1orf189</v>
      </c>
      <c r="B1532" s="6">
        <v>8.9910089910089901E-3</v>
      </c>
      <c r="C1532" s="6">
        <v>9.7742690058479506E-2</v>
      </c>
    </row>
    <row r="1533" spans="1:3" s="7" customFormat="1" x14ac:dyDescent="0.2">
      <c r="A1533" s="6" t="str">
        <f>"CDC14A"</f>
        <v>CDC14A</v>
      </c>
      <c r="B1533" s="6">
        <v>8.9910089910089901E-3</v>
      </c>
      <c r="C1533" s="6">
        <v>9.7742690058479506E-2</v>
      </c>
    </row>
    <row r="1534" spans="1:3" s="7" customFormat="1" x14ac:dyDescent="0.2">
      <c r="A1534" s="6" t="str">
        <f>"FCN3"</f>
        <v>FCN3</v>
      </c>
      <c r="B1534" s="6">
        <v>8.9999999999999993E-3</v>
      </c>
      <c r="C1534" s="6">
        <v>9.7742690058479506E-2</v>
      </c>
    </row>
    <row r="1535" spans="1:3" s="7" customFormat="1" x14ac:dyDescent="0.2">
      <c r="A1535" s="6" t="str">
        <f>"RMRP"</f>
        <v>RMRP</v>
      </c>
      <c r="B1535" s="6">
        <v>8.9910089910089901E-3</v>
      </c>
      <c r="C1535" s="6">
        <v>9.7742690058479506E-2</v>
      </c>
    </row>
    <row r="1536" spans="1:3" s="7" customFormat="1" x14ac:dyDescent="0.2">
      <c r="A1536" s="6" t="str">
        <f>"WFDC2"</f>
        <v>WFDC2</v>
      </c>
      <c r="B1536" s="6">
        <v>8.9910089910089901E-3</v>
      </c>
      <c r="C1536" s="6">
        <v>9.7742690058479506E-2</v>
      </c>
    </row>
    <row r="1537" spans="1:3" s="7" customFormat="1" x14ac:dyDescent="0.2">
      <c r="A1537" s="6" t="str">
        <f>"PXK"</f>
        <v>PXK</v>
      </c>
      <c r="B1537" s="6">
        <v>8.9910089910089901E-3</v>
      </c>
      <c r="C1537" s="6">
        <v>9.7742690058479506E-2</v>
      </c>
    </row>
    <row r="1538" spans="1:3" s="7" customFormat="1" x14ac:dyDescent="0.2">
      <c r="A1538" s="6" t="str">
        <f>"RTN3"</f>
        <v>RTN3</v>
      </c>
      <c r="B1538" s="6">
        <v>8.9910089910089901E-3</v>
      </c>
      <c r="C1538" s="6">
        <v>9.7742690058479506E-2</v>
      </c>
    </row>
    <row r="1539" spans="1:3" s="7" customFormat="1" x14ac:dyDescent="0.2">
      <c r="A1539" s="6" t="str">
        <f>"LDHAP4"</f>
        <v>LDHAP4</v>
      </c>
      <c r="B1539" s="6">
        <v>8.9910089910089901E-3</v>
      </c>
      <c r="C1539" s="6">
        <v>9.7742690058479506E-2</v>
      </c>
    </row>
    <row r="1540" spans="1:3" s="7" customFormat="1" x14ac:dyDescent="0.2">
      <c r="A1540" s="6" t="str">
        <f>"LMNTD1"</f>
        <v>LMNTD1</v>
      </c>
      <c r="B1540" s="6">
        <v>8.9910089910089901E-3</v>
      </c>
      <c r="C1540" s="6">
        <v>9.7742690058479506E-2</v>
      </c>
    </row>
    <row r="1541" spans="1:3" s="7" customFormat="1" x14ac:dyDescent="0.2">
      <c r="A1541" s="6" t="str">
        <f>"HSP90AA3P"</f>
        <v>HSP90AA3P</v>
      </c>
      <c r="B1541" s="6">
        <v>9.0270812437311908E-3</v>
      </c>
      <c r="C1541" s="6">
        <v>9.7846067385034402E-2</v>
      </c>
    </row>
    <row r="1542" spans="1:3" s="7" customFormat="1" x14ac:dyDescent="0.2">
      <c r="A1542" s="6" t="str">
        <f>"HSPD1P21"</f>
        <v>HSPD1P21</v>
      </c>
      <c r="B1542" s="6">
        <v>9.0270812437311908E-3</v>
      </c>
      <c r="C1542" s="6">
        <v>9.7846067385034402E-2</v>
      </c>
    </row>
    <row r="1543" spans="1:3" s="7" customFormat="1" x14ac:dyDescent="0.2">
      <c r="A1543" s="6" t="str">
        <f>"LINC00970"</f>
        <v>LINC00970</v>
      </c>
      <c r="B1543" s="6">
        <v>9.0180360721442802E-3</v>
      </c>
      <c r="C1543" s="6">
        <v>9.7846067385034402E-2</v>
      </c>
    </row>
    <row r="1544" spans="1:3" s="7" customFormat="1" x14ac:dyDescent="0.2">
      <c r="A1544" s="6" t="str">
        <f>"AL121601.1"</f>
        <v>AL121601.1</v>
      </c>
      <c r="B1544" s="6">
        <v>9.0452261306532607E-3</v>
      </c>
      <c r="C1544" s="6">
        <v>9.7979202558482498E-2</v>
      </c>
    </row>
    <row r="1545" spans="1:3" s="7" customFormat="1" x14ac:dyDescent="0.2">
      <c r="A1545" s="6" t="str">
        <f>"AC005972.3"</f>
        <v>AC005972.3</v>
      </c>
      <c r="B1545" s="6">
        <v>9.1370558375634507E-3</v>
      </c>
      <c r="C1545" s="6">
        <v>9.8909812998079993E-2</v>
      </c>
    </row>
    <row r="1546" spans="1:3" s="7" customFormat="1" x14ac:dyDescent="0.2">
      <c r="A1546" s="6" t="str">
        <f>"MPZ"</f>
        <v>MPZ</v>
      </c>
      <c r="B1546" s="6">
        <v>9.99000999000999E-3</v>
      </c>
      <c r="C1546" s="6">
        <v>0.10289502294422299</v>
      </c>
    </row>
    <row r="1547" spans="1:3" s="7" customFormat="1" x14ac:dyDescent="0.2">
      <c r="A1547" s="6" t="str">
        <f>"MEF2C"</f>
        <v>MEF2C</v>
      </c>
      <c r="B1547" s="6">
        <v>9.99000999000999E-3</v>
      </c>
      <c r="C1547" s="6">
        <v>0.10289502294422299</v>
      </c>
    </row>
    <row r="1548" spans="1:3" s="7" customFormat="1" x14ac:dyDescent="0.2">
      <c r="A1548" s="6" t="str">
        <f>"NFKB2"</f>
        <v>NFKB2</v>
      </c>
      <c r="B1548" s="6">
        <v>9.99000999000999E-3</v>
      </c>
      <c r="C1548" s="6">
        <v>0.10289502294422299</v>
      </c>
    </row>
    <row r="1549" spans="1:3" s="7" customFormat="1" x14ac:dyDescent="0.2">
      <c r="A1549" s="6" t="str">
        <f>"AL662797.1"</f>
        <v>AL662797.1</v>
      </c>
      <c r="B1549" s="6">
        <v>9.6566523605150206E-3</v>
      </c>
      <c r="C1549" s="6">
        <v>0.10289502294422299</v>
      </c>
    </row>
    <row r="1550" spans="1:3" s="7" customFormat="1" x14ac:dyDescent="0.2">
      <c r="A1550" s="6" t="str">
        <f>"JPH1"</f>
        <v>JPH1</v>
      </c>
      <c r="B1550" s="6">
        <v>9.99000999000999E-3</v>
      </c>
      <c r="C1550" s="6">
        <v>0.10289502294422299</v>
      </c>
    </row>
    <row r="1551" spans="1:3" s="7" customFormat="1" x14ac:dyDescent="0.2">
      <c r="A1551" s="6" t="str">
        <f>"TLE3"</f>
        <v>TLE3</v>
      </c>
      <c r="B1551" s="6">
        <v>9.99000999000999E-3</v>
      </c>
      <c r="C1551" s="6">
        <v>0.10289502294422299</v>
      </c>
    </row>
    <row r="1552" spans="1:3" s="7" customFormat="1" x14ac:dyDescent="0.2">
      <c r="A1552" s="6" t="str">
        <f>"NLGN3"</f>
        <v>NLGN3</v>
      </c>
      <c r="B1552" s="6">
        <v>9.99000999000999E-3</v>
      </c>
      <c r="C1552" s="6">
        <v>0.10289502294422299</v>
      </c>
    </row>
    <row r="1553" spans="1:3" s="7" customFormat="1" x14ac:dyDescent="0.2">
      <c r="A1553" s="6" t="str">
        <f>"RPS3AP47"</f>
        <v>RPS3AP47</v>
      </c>
      <c r="B1553" s="6">
        <v>9.5238095238095195E-3</v>
      </c>
      <c r="C1553" s="6">
        <v>0.10289502294422299</v>
      </c>
    </row>
    <row r="1554" spans="1:3" s="7" customFormat="1" x14ac:dyDescent="0.2">
      <c r="A1554" s="6" t="str">
        <f>"UQCC2"</f>
        <v>UQCC2</v>
      </c>
      <c r="B1554" s="6">
        <v>9.99000999000999E-3</v>
      </c>
      <c r="C1554" s="6">
        <v>0.10289502294422299</v>
      </c>
    </row>
    <row r="1555" spans="1:3" s="7" customFormat="1" x14ac:dyDescent="0.2">
      <c r="A1555" s="6" t="str">
        <f>"CLEC7A"</f>
        <v>CLEC7A</v>
      </c>
      <c r="B1555" s="6">
        <v>9.99000999000999E-3</v>
      </c>
      <c r="C1555" s="6">
        <v>0.10289502294422299</v>
      </c>
    </row>
    <row r="1556" spans="1:3" s="7" customFormat="1" x14ac:dyDescent="0.2">
      <c r="A1556" s="6" t="str">
        <f>"AC112496.1"</f>
        <v>AC112496.1</v>
      </c>
      <c r="B1556" s="6">
        <v>9.99000999000999E-3</v>
      </c>
      <c r="C1556" s="6">
        <v>0.10289502294422299</v>
      </c>
    </row>
    <row r="1557" spans="1:3" s="7" customFormat="1" x14ac:dyDescent="0.2">
      <c r="A1557" s="6" t="str">
        <f>"MTCO2P12"</f>
        <v>MTCO2P12</v>
      </c>
      <c r="B1557" s="6">
        <v>9.99000999000999E-3</v>
      </c>
      <c r="C1557" s="6">
        <v>0.10289502294422299</v>
      </c>
    </row>
    <row r="1558" spans="1:3" s="7" customFormat="1" x14ac:dyDescent="0.2">
      <c r="A1558" s="6" t="str">
        <f>"AC005775.1"</f>
        <v>AC005775.1</v>
      </c>
      <c r="B1558" s="6">
        <v>9.6566523605150206E-3</v>
      </c>
      <c r="C1558" s="6">
        <v>0.10289502294422299</v>
      </c>
    </row>
    <row r="1559" spans="1:3" s="7" customFormat="1" x14ac:dyDescent="0.2">
      <c r="A1559" s="6" t="str">
        <f>"YWHAEP1"</f>
        <v>YWHAEP1</v>
      </c>
      <c r="B1559" s="6">
        <v>9.99000999000999E-3</v>
      </c>
      <c r="C1559" s="6">
        <v>0.10289502294422299</v>
      </c>
    </row>
    <row r="1560" spans="1:3" s="7" customFormat="1" x14ac:dyDescent="0.2">
      <c r="A1560" s="6" t="str">
        <f>"ARHGAP42-AS1"</f>
        <v>ARHGAP42-AS1</v>
      </c>
      <c r="B1560" s="6">
        <v>1.001001001001E-2</v>
      </c>
      <c r="C1560" s="6">
        <v>0.10289502294422299</v>
      </c>
    </row>
    <row r="1561" spans="1:3" s="7" customFormat="1" x14ac:dyDescent="0.2">
      <c r="A1561" s="6" t="str">
        <f>"CIDECP1"</f>
        <v>CIDECP1</v>
      </c>
      <c r="B1561" s="6">
        <v>9.99000999000999E-3</v>
      </c>
      <c r="C1561" s="6">
        <v>0.10289502294422299</v>
      </c>
    </row>
    <row r="1562" spans="1:3" s="7" customFormat="1" x14ac:dyDescent="0.2">
      <c r="A1562" s="6" t="str">
        <f>"KIF12"</f>
        <v>KIF12</v>
      </c>
      <c r="B1562" s="6">
        <v>1.001001001001E-2</v>
      </c>
      <c r="C1562" s="6">
        <v>0.10289502294422299</v>
      </c>
    </row>
    <row r="1563" spans="1:3" s="7" customFormat="1" x14ac:dyDescent="0.2">
      <c r="A1563" s="6" t="str">
        <f>"C15orf62"</f>
        <v>C15orf62</v>
      </c>
      <c r="B1563" s="6">
        <v>9.99000999000999E-3</v>
      </c>
      <c r="C1563" s="6">
        <v>0.10289502294422299</v>
      </c>
    </row>
    <row r="1564" spans="1:3" s="7" customFormat="1" x14ac:dyDescent="0.2">
      <c r="A1564" s="6" t="str">
        <f>"LINC02870"</f>
        <v>LINC02870</v>
      </c>
      <c r="B1564" s="6">
        <v>9.99000999000999E-3</v>
      </c>
      <c r="C1564" s="6">
        <v>0.10289502294422299</v>
      </c>
    </row>
    <row r="1565" spans="1:3" s="7" customFormat="1" x14ac:dyDescent="0.2">
      <c r="A1565" s="6" t="str">
        <f>"SLC12A6"</f>
        <v>SLC12A6</v>
      </c>
      <c r="B1565" s="6">
        <v>9.99000999000999E-3</v>
      </c>
      <c r="C1565" s="6">
        <v>0.10289502294422299</v>
      </c>
    </row>
    <row r="1566" spans="1:3" s="7" customFormat="1" x14ac:dyDescent="0.2">
      <c r="A1566" s="6" t="str">
        <f>"ATF6B"</f>
        <v>ATF6B</v>
      </c>
      <c r="B1566" s="6">
        <v>9.99000999000999E-3</v>
      </c>
      <c r="C1566" s="6">
        <v>0.10289502294422299</v>
      </c>
    </row>
    <row r="1567" spans="1:3" s="7" customFormat="1" x14ac:dyDescent="0.2">
      <c r="A1567" s="6" t="str">
        <f>"RECQL4"</f>
        <v>RECQL4</v>
      </c>
      <c r="B1567" s="6">
        <v>9.99000999000999E-3</v>
      </c>
      <c r="C1567" s="6">
        <v>0.10289502294422299</v>
      </c>
    </row>
    <row r="1568" spans="1:3" s="7" customFormat="1" x14ac:dyDescent="0.2">
      <c r="A1568" s="6" t="str">
        <f>"SP2"</f>
        <v>SP2</v>
      </c>
      <c r="B1568" s="6">
        <v>9.99000999000999E-3</v>
      </c>
      <c r="C1568" s="6">
        <v>0.10289502294422299</v>
      </c>
    </row>
    <row r="1569" spans="1:3" s="7" customFormat="1" x14ac:dyDescent="0.2">
      <c r="A1569" s="6" t="str">
        <f>"RBP1"</f>
        <v>RBP1</v>
      </c>
      <c r="B1569" s="6">
        <v>9.99000999000999E-3</v>
      </c>
      <c r="C1569" s="6">
        <v>0.10289502294422299</v>
      </c>
    </row>
    <row r="1570" spans="1:3" s="7" customFormat="1" x14ac:dyDescent="0.2">
      <c r="A1570" s="6" t="str">
        <f>"PTPRVP"</f>
        <v>PTPRVP</v>
      </c>
      <c r="B1570" s="6">
        <v>9.99000999000999E-3</v>
      </c>
      <c r="C1570" s="6">
        <v>0.10289502294422299</v>
      </c>
    </row>
    <row r="1571" spans="1:3" s="7" customFormat="1" x14ac:dyDescent="0.2">
      <c r="A1571" s="6" t="str">
        <f>"TEKT5"</f>
        <v>TEKT5</v>
      </c>
      <c r="B1571" s="6">
        <v>0.01</v>
      </c>
      <c r="C1571" s="6">
        <v>0.10289502294422299</v>
      </c>
    </row>
    <row r="1572" spans="1:3" s="7" customFormat="1" x14ac:dyDescent="0.2">
      <c r="A1572" s="6" t="str">
        <f>"ID1"</f>
        <v>ID1</v>
      </c>
      <c r="B1572" s="6">
        <v>9.99000999000999E-3</v>
      </c>
      <c r="C1572" s="6">
        <v>0.10289502294422299</v>
      </c>
    </row>
    <row r="1573" spans="1:3" s="7" customFormat="1" x14ac:dyDescent="0.2">
      <c r="A1573" s="6" t="str">
        <f>"ROCR"</f>
        <v>ROCR</v>
      </c>
      <c r="B1573" s="6">
        <v>9.99000999000999E-3</v>
      </c>
      <c r="C1573" s="6">
        <v>0.10289502294422299</v>
      </c>
    </row>
    <row r="1574" spans="1:3" s="7" customFormat="1" x14ac:dyDescent="0.2">
      <c r="A1574" s="6" t="str">
        <f>"SLED1"</f>
        <v>SLED1</v>
      </c>
      <c r="B1574" s="6">
        <v>9.99000999000999E-3</v>
      </c>
      <c r="C1574" s="6">
        <v>0.10289502294422299</v>
      </c>
    </row>
    <row r="1575" spans="1:3" s="7" customFormat="1" x14ac:dyDescent="0.2">
      <c r="A1575" s="6" t="str">
        <f>"BLACAT1"</f>
        <v>BLACAT1</v>
      </c>
      <c r="B1575" s="6">
        <v>9.99000999000999E-3</v>
      </c>
      <c r="C1575" s="6">
        <v>0.10289502294422299</v>
      </c>
    </row>
    <row r="1576" spans="1:3" s="7" customFormat="1" x14ac:dyDescent="0.2">
      <c r="A1576" s="6" t="str">
        <f>"KRT24"</f>
        <v>KRT24</v>
      </c>
      <c r="B1576" s="6">
        <v>9.99000999000999E-3</v>
      </c>
      <c r="C1576" s="6">
        <v>0.10289502294422299</v>
      </c>
    </row>
    <row r="1577" spans="1:3" s="7" customFormat="1" x14ac:dyDescent="0.2">
      <c r="A1577" s="6" t="str">
        <f>"ILDR2"</f>
        <v>ILDR2</v>
      </c>
      <c r="B1577" s="6">
        <v>9.99000999000999E-3</v>
      </c>
      <c r="C1577" s="6">
        <v>0.10289502294422299</v>
      </c>
    </row>
    <row r="1578" spans="1:3" s="7" customFormat="1" x14ac:dyDescent="0.2">
      <c r="A1578" s="6" t="str">
        <f>"CTRL"</f>
        <v>CTRL</v>
      </c>
      <c r="B1578" s="6">
        <v>9.99000999000999E-3</v>
      </c>
      <c r="C1578" s="6">
        <v>0.10289502294422299</v>
      </c>
    </row>
    <row r="1579" spans="1:3" s="7" customFormat="1" x14ac:dyDescent="0.2">
      <c r="A1579" s="6" t="str">
        <f>"AC079804.3"</f>
        <v>AC079804.3</v>
      </c>
      <c r="B1579" s="6">
        <v>9.99000999000999E-3</v>
      </c>
      <c r="C1579" s="6">
        <v>0.10289502294422299</v>
      </c>
    </row>
    <row r="1580" spans="1:3" s="7" customFormat="1" x14ac:dyDescent="0.2">
      <c r="A1580" s="6" t="str">
        <f>"ZNF484"</f>
        <v>ZNF484</v>
      </c>
      <c r="B1580" s="6">
        <v>9.99000999000999E-3</v>
      </c>
      <c r="C1580" s="6">
        <v>0.10289502294422299</v>
      </c>
    </row>
    <row r="1581" spans="1:3" s="7" customFormat="1" x14ac:dyDescent="0.2">
      <c r="A1581" s="6" t="str">
        <f>"SLC14A1"</f>
        <v>SLC14A1</v>
      </c>
      <c r="B1581" s="6">
        <v>9.99000999000999E-3</v>
      </c>
      <c r="C1581" s="6">
        <v>0.10289502294422299</v>
      </c>
    </row>
    <row r="1582" spans="1:3" s="7" customFormat="1" x14ac:dyDescent="0.2">
      <c r="A1582" s="6" t="str">
        <f>"SPNS3"</f>
        <v>SPNS3</v>
      </c>
      <c r="B1582" s="6">
        <v>9.99000999000999E-3</v>
      </c>
      <c r="C1582" s="6">
        <v>0.10289502294422299</v>
      </c>
    </row>
    <row r="1583" spans="1:3" s="7" customFormat="1" x14ac:dyDescent="0.2">
      <c r="A1583" s="6" t="str">
        <f>"ALPK3"</f>
        <v>ALPK3</v>
      </c>
      <c r="B1583" s="6">
        <v>9.99000999000999E-3</v>
      </c>
      <c r="C1583" s="6">
        <v>0.10289502294422299</v>
      </c>
    </row>
    <row r="1584" spans="1:3" s="7" customFormat="1" x14ac:dyDescent="0.2">
      <c r="A1584" s="6" t="str">
        <f>"AC015922.3"</f>
        <v>AC015922.3</v>
      </c>
      <c r="B1584" s="6">
        <v>9.99000999000999E-3</v>
      </c>
      <c r="C1584" s="6">
        <v>0.10289502294422299</v>
      </c>
    </row>
    <row r="1585" spans="1:3" s="7" customFormat="1" x14ac:dyDescent="0.2">
      <c r="A1585" s="6" t="str">
        <f>"LINC02826"</f>
        <v>LINC02826</v>
      </c>
      <c r="B1585" s="6">
        <v>9.99000999000999E-3</v>
      </c>
      <c r="C1585" s="6">
        <v>0.10289502294422299</v>
      </c>
    </row>
    <row r="1586" spans="1:3" s="7" customFormat="1" x14ac:dyDescent="0.2">
      <c r="A1586" s="6" t="str">
        <f>"AP002851.1"</f>
        <v>AP002851.1</v>
      </c>
      <c r="B1586" s="6">
        <v>9.99000999000999E-3</v>
      </c>
      <c r="C1586" s="6">
        <v>0.10289502294422299</v>
      </c>
    </row>
    <row r="1587" spans="1:3" s="7" customFormat="1" x14ac:dyDescent="0.2">
      <c r="A1587" s="6" t="str">
        <f>"IL36RN"</f>
        <v>IL36RN</v>
      </c>
      <c r="B1587" s="6">
        <v>9.99000999000999E-3</v>
      </c>
      <c r="C1587" s="6">
        <v>0.10289502294422299</v>
      </c>
    </row>
    <row r="1588" spans="1:3" s="7" customFormat="1" x14ac:dyDescent="0.2">
      <c r="A1588" s="6" t="str">
        <f>"CMC4"</f>
        <v>CMC4</v>
      </c>
      <c r="B1588" s="6">
        <v>9.99000999000999E-3</v>
      </c>
      <c r="C1588" s="6">
        <v>0.10289502294422299</v>
      </c>
    </row>
    <row r="1589" spans="1:3" s="7" customFormat="1" x14ac:dyDescent="0.2">
      <c r="A1589" s="6" t="str">
        <f>"PRADC1"</f>
        <v>PRADC1</v>
      </c>
      <c r="B1589" s="6">
        <v>9.99000999000999E-3</v>
      </c>
      <c r="C1589" s="6">
        <v>0.10289502294422299</v>
      </c>
    </row>
    <row r="1590" spans="1:3" s="7" customFormat="1" x14ac:dyDescent="0.2">
      <c r="A1590" s="6" t="str">
        <f>"SYT7"</f>
        <v>SYT7</v>
      </c>
      <c r="B1590" s="6">
        <v>9.99000999000999E-3</v>
      </c>
      <c r="C1590" s="6">
        <v>0.10289502294422299</v>
      </c>
    </row>
    <row r="1591" spans="1:3" s="7" customFormat="1" x14ac:dyDescent="0.2">
      <c r="A1591" s="6" t="str">
        <f>"MMS22L"</f>
        <v>MMS22L</v>
      </c>
      <c r="B1591" s="6">
        <v>9.99000999000999E-3</v>
      </c>
      <c r="C1591" s="6">
        <v>0.10289502294422299</v>
      </c>
    </row>
    <row r="1592" spans="1:3" s="7" customFormat="1" x14ac:dyDescent="0.2">
      <c r="A1592" s="6" t="str">
        <f>"HEBP1"</f>
        <v>HEBP1</v>
      </c>
      <c r="B1592" s="6">
        <v>9.99000999000999E-3</v>
      </c>
      <c r="C1592" s="6">
        <v>0.10289502294422299</v>
      </c>
    </row>
    <row r="1593" spans="1:3" s="7" customFormat="1" x14ac:dyDescent="0.2">
      <c r="A1593" s="6" t="str">
        <f>"ARNTL2"</f>
        <v>ARNTL2</v>
      </c>
      <c r="B1593" s="6">
        <v>9.99000999000999E-3</v>
      </c>
      <c r="C1593" s="6">
        <v>0.10289502294422299</v>
      </c>
    </row>
    <row r="1594" spans="1:3" s="7" customFormat="1" x14ac:dyDescent="0.2">
      <c r="A1594" s="6" t="str">
        <f>"C19orf71"</f>
        <v>C19orf71</v>
      </c>
      <c r="B1594" s="6">
        <v>9.99000999000999E-3</v>
      </c>
      <c r="C1594" s="6">
        <v>0.10289502294422299</v>
      </c>
    </row>
    <row r="1595" spans="1:3" s="7" customFormat="1" x14ac:dyDescent="0.2">
      <c r="A1595" s="6" t="str">
        <f>"AC091563.1"</f>
        <v>AC091563.1</v>
      </c>
      <c r="B1595" s="6">
        <v>9.99000999000999E-3</v>
      </c>
      <c r="C1595" s="6">
        <v>0.10289502294422299</v>
      </c>
    </row>
    <row r="1596" spans="1:3" s="7" customFormat="1" x14ac:dyDescent="0.2">
      <c r="A1596" s="6" t="str">
        <f>"ZNF680"</f>
        <v>ZNF680</v>
      </c>
      <c r="B1596" s="6">
        <v>9.99000999000999E-3</v>
      </c>
      <c r="C1596" s="6">
        <v>0.10289502294422299</v>
      </c>
    </row>
    <row r="1597" spans="1:3" s="7" customFormat="1" x14ac:dyDescent="0.2">
      <c r="A1597" s="6" t="str">
        <f>"ATG2A"</f>
        <v>ATG2A</v>
      </c>
      <c r="B1597" s="6">
        <v>9.99000999000999E-3</v>
      </c>
      <c r="C1597" s="6">
        <v>0.10289502294422299</v>
      </c>
    </row>
    <row r="1598" spans="1:3" s="7" customFormat="1" x14ac:dyDescent="0.2">
      <c r="A1598" s="6" t="str">
        <f>"C10orf99"</f>
        <v>C10orf99</v>
      </c>
      <c r="B1598" s="6">
        <v>9.99000999000999E-3</v>
      </c>
      <c r="C1598" s="6">
        <v>0.10289502294422299</v>
      </c>
    </row>
    <row r="1599" spans="1:3" s="7" customFormat="1" x14ac:dyDescent="0.2">
      <c r="A1599" s="6" t="str">
        <f>"DOK6"</f>
        <v>DOK6</v>
      </c>
      <c r="B1599" s="6">
        <v>9.99000999000999E-3</v>
      </c>
      <c r="C1599" s="6">
        <v>0.10289502294422299</v>
      </c>
    </row>
    <row r="1600" spans="1:3" s="7" customFormat="1" x14ac:dyDescent="0.2">
      <c r="A1600" s="6" t="str">
        <f>"LANCL1"</f>
        <v>LANCL1</v>
      </c>
      <c r="B1600" s="6">
        <v>9.99000999000999E-3</v>
      </c>
      <c r="C1600" s="6">
        <v>0.10289502294422299</v>
      </c>
    </row>
    <row r="1601" spans="1:3" s="7" customFormat="1" x14ac:dyDescent="0.2">
      <c r="A1601" s="6" t="str">
        <f>"HCLS1"</f>
        <v>HCLS1</v>
      </c>
      <c r="B1601" s="6">
        <v>9.99000999000999E-3</v>
      </c>
      <c r="C1601" s="6">
        <v>0.10289502294422299</v>
      </c>
    </row>
    <row r="1602" spans="1:3" s="7" customFormat="1" x14ac:dyDescent="0.2">
      <c r="A1602" s="6" t="str">
        <f>"ERBB3"</f>
        <v>ERBB3</v>
      </c>
      <c r="B1602" s="6">
        <v>9.99000999000999E-3</v>
      </c>
      <c r="C1602" s="6">
        <v>0.10289502294422299</v>
      </c>
    </row>
    <row r="1603" spans="1:3" s="7" customFormat="1" x14ac:dyDescent="0.2">
      <c r="A1603" s="6" t="str">
        <f>"ANGPTL5"</f>
        <v>ANGPTL5</v>
      </c>
      <c r="B1603" s="6">
        <v>9.99000999000999E-3</v>
      </c>
      <c r="C1603" s="6">
        <v>0.10289502294422299</v>
      </c>
    </row>
    <row r="1604" spans="1:3" s="7" customFormat="1" x14ac:dyDescent="0.2">
      <c r="A1604" s="6" t="str">
        <f>"CAV2"</f>
        <v>CAV2</v>
      </c>
      <c r="B1604" s="6">
        <v>9.99000999000999E-3</v>
      </c>
      <c r="C1604" s="6">
        <v>0.10289502294422299</v>
      </c>
    </row>
    <row r="1605" spans="1:3" s="7" customFormat="1" x14ac:dyDescent="0.2">
      <c r="A1605" s="6" t="str">
        <f>"MTCO1P12"</f>
        <v>MTCO1P12</v>
      </c>
      <c r="B1605" s="6">
        <v>9.99000999000999E-3</v>
      </c>
      <c r="C1605" s="6">
        <v>0.10289502294422299</v>
      </c>
    </row>
    <row r="1606" spans="1:3" s="7" customFormat="1" x14ac:dyDescent="0.2">
      <c r="A1606" s="6" t="str">
        <f>"AP001527.1"</f>
        <v>AP001527.1</v>
      </c>
      <c r="B1606" s="6">
        <v>9.99000999000999E-3</v>
      </c>
      <c r="C1606" s="6">
        <v>0.10289502294422299</v>
      </c>
    </row>
    <row r="1607" spans="1:3" s="7" customFormat="1" x14ac:dyDescent="0.2">
      <c r="A1607" s="6" t="str">
        <f>"LINC01836"</f>
        <v>LINC01836</v>
      </c>
      <c r="B1607" s="6">
        <v>9.99000999000999E-3</v>
      </c>
      <c r="C1607" s="6">
        <v>0.10289502294422299</v>
      </c>
    </row>
    <row r="1608" spans="1:3" s="7" customFormat="1" x14ac:dyDescent="0.2">
      <c r="A1608" s="6" t="str">
        <f>"ZNF204P"</f>
        <v>ZNF204P</v>
      </c>
      <c r="B1608" s="6">
        <v>9.99000999000999E-3</v>
      </c>
      <c r="C1608" s="6">
        <v>0.10289502294422299</v>
      </c>
    </row>
    <row r="1609" spans="1:3" s="7" customFormat="1" x14ac:dyDescent="0.2">
      <c r="A1609" s="6" t="str">
        <f>"PIGH"</f>
        <v>PIGH</v>
      </c>
      <c r="B1609" s="6">
        <v>9.99000999000999E-3</v>
      </c>
      <c r="C1609" s="6">
        <v>0.10289502294422299</v>
      </c>
    </row>
    <row r="1610" spans="1:3" s="7" customFormat="1" x14ac:dyDescent="0.2">
      <c r="A1610" s="6" t="str">
        <f>"SLC66A3"</f>
        <v>SLC66A3</v>
      </c>
      <c r="B1610" s="6">
        <v>9.99000999000999E-3</v>
      </c>
      <c r="C1610" s="6">
        <v>0.10289502294422299</v>
      </c>
    </row>
    <row r="1611" spans="1:3" s="7" customFormat="1" x14ac:dyDescent="0.2">
      <c r="A1611" s="6" t="str">
        <f>"C17orf80"</f>
        <v>C17orf80</v>
      </c>
      <c r="B1611" s="6">
        <v>9.99000999000999E-3</v>
      </c>
      <c r="C1611" s="6">
        <v>0.10289502294422299</v>
      </c>
    </row>
    <row r="1612" spans="1:3" s="7" customFormat="1" x14ac:dyDescent="0.2">
      <c r="A1612" s="6" t="str">
        <f>"PDE7B"</f>
        <v>PDE7B</v>
      </c>
      <c r="B1612" s="6">
        <v>9.99000999000999E-3</v>
      </c>
      <c r="C1612" s="6">
        <v>0.10289502294422299</v>
      </c>
    </row>
    <row r="1613" spans="1:3" s="7" customFormat="1" x14ac:dyDescent="0.2">
      <c r="A1613" s="6" t="str">
        <f>"ICE2"</f>
        <v>ICE2</v>
      </c>
      <c r="B1613" s="6">
        <v>9.99000999000999E-3</v>
      </c>
      <c r="C1613" s="6">
        <v>0.10289502294422299</v>
      </c>
    </row>
    <row r="1614" spans="1:3" s="7" customFormat="1" x14ac:dyDescent="0.2">
      <c r="A1614" s="6" t="str">
        <f>"CPSF4L"</f>
        <v>CPSF4L</v>
      </c>
      <c r="B1614" s="6">
        <v>0.01</v>
      </c>
      <c r="C1614" s="6">
        <v>0.10289502294422299</v>
      </c>
    </row>
    <row r="1615" spans="1:3" s="7" customFormat="1" x14ac:dyDescent="0.2">
      <c r="A1615" s="6" t="str">
        <f>"PITPNC1"</f>
        <v>PITPNC1</v>
      </c>
      <c r="B1615" s="6">
        <v>9.99000999000999E-3</v>
      </c>
      <c r="C1615" s="6">
        <v>0.10289502294422299</v>
      </c>
    </row>
    <row r="1616" spans="1:3" s="7" customFormat="1" x14ac:dyDescent="0.2">
      <c r="A1616" s="6" t="str">
        <f>"PLXND1"</f>
        <v>PLXND1</v>
      </c>
      <c r="B1616" s="6">
        <v>9.99000999000999E-3</v>
      </c>
      <c r="C1616" s="6">
        <v>0.10289502294422299</v>
      </c>
    </row>
    <row r="1617" spans="1:3" s="7" customFormat="1" x14ac:dyDescent="0.2">
      <c r="A1617" s="6" t="str">
        <f>"ADAMTS7P1"</f>
        <v>ADAMTS7P1</v>
      </c>
      <c r="B1617" s="6">
        <v>9.99000999000999E-3</v>
      </c>
      <c r="C1617" s="6">
        <v>0.10289502294422299</v>
      </c>
    </row>
    <row r="1618" spans="1:3" s="7" customFormat="1" x14ac:dyDescent="0.2">
      <c r="A1618" s="6" t="str">
        <f>"NDFIP1"</f>
        <v>NDFIP1</v>
      </c>
      <c r="B1618" s="6">
        <v>9.99000999000999E-3</v>
      </c>
      <c r="C1618" s="6">
        <v>0.10289502294422299</v>
      </c>
    </row>
    <row r="1619" spans="1:3" s="7" customFormat="1" x14ac:dyDescent="0.2">
      <c r="A1619" s="6" t="str">
        <f>"VTI1B"</f>
        <v>VTI1B</v>
      </c>
      <c r="B1619" s="6">
        <v>9.99000999000999E-3</v>
      </c>
      <c r="C1619" s="6">
        <v>0.10289502294422299</v>
      </c>
    </row>
    <row r="1620" spans="1:3" s="7" customFormat="1" x14ac:dyDescent="0.2">
      <c r="A1620" s="6" t="str">
        <f>"UNC50"</f>
        <v>UNC50</v>
      </c>
      <c r="B1620" s="6">
        <v>9.99000999000999E-3</v>
      </c>
      <c r="C1620" s="6">
        <v>0.10289502294422299</v>
      </c>
    </row>
    <row r="1621" spans="1:3" s="7" customFormat="1" x14ac:dyDescent="0.2">
      <c r="A1621" s="6" t="str">
        <f>"UQCRB"</f>
        <v>UQCRB</v>
      </c>
      <c r="B1621" s="6">
        <v>9.99000999000999E-3</v>
      </c>
      <c r="C1621" s="6">
        <v>0.10289502294422299</v>
      </c>
    </row>
    <row r="1622" spans="1:3" s="7" customFormat="1" x14ac:dyDescent="0.2">
      <c r="A1622" s="6" t="str">
        <f>"MESD"</f>
        <v>MESD</v>
      </c>
      <c r="B1622" s="6">
        <v>9.99000999000999E-3</v>
      </c>
      <c r="C1622" s="6">
        <v>0.10289502294422299</v>
      </c>
    </row>
    <row r="1623" spans="1:3" s="7" customFormat="1" x14ac:dyDescent="0.2">
      <c r="A1623" s="6" t="str">
        <f>"DAG1"</f>
        <v>DAG1</v>
      </c>
      <c r="B1623" s="6">
        <v>9.99000999000999E-3</v>
      </c>
      <c r="C1623" s="6">
        <v>0.10289502294422299</v>
      </c>
    </row>
    <row r="1624" spans="1:3" s="7" customFormat="1" x14ac:dyDescent="0.2">
      <c r="A1624" s="6" t="str">
        <f>"KLF3-AS1"</f>
        <v>KLF3-AS1</v>
      </c>
      <c r="B1624" s="6">
        <v>9.99000999000999E-3</v>
      </c>
      <c r="C1624" s="6">
        <v>0.10289502294422299</v>
      </c>
    </row>
    <row r="1625" spans="1:3" s="7" customFormat="1" x14ac:dyDescent="0.2">
      <c r="A1625" s="6" t="str">
        <f>"ING1"</f>
        <v>ING1</v>
      </c>
      <c r="B1625" s="6">
        <v>9.99000999000999E-3</v>
      </c>
      <c r="C1625" s="6">
        <v>0.10289502294422299</v>
      </c>
    </row>
    <row r="1626" spans="1:3" s="7" customFormat="1" x14ac:dyDescent="0.2">
      <c r="A1626" s="6" t="str">
        <f>"EIF1B-AS1"</f>
        <v>EIF1B-AS1</v>
      </c>
      <c r="B1626" s="6">
        <v>9.99000999000999E-3</v>
      </c>
      <c r="C1626" s="6">
        <v>0.10289502294422299</v>
      </c>
    </row>
    <row r="1627" spans="1:3" s="7" customFormat="1" x14ac:dyDescent="0.2">
      <c r="A1627" s="6" t="str">
        <f>"LZIC"</f>
        <v>LZIC</v>
      </c>
      <c r="B1627" s="6">
        <v>9.99000999000999E-3</v>
      </c>
      <c r="C1627" s="6">
        <v>0.10289502294422299</v>
      </c>
    </row>
    <row r="1628" spans="1:3" s="7" customFormat="1" x14ac:dyDescent="0.2">
      <c r="A1628" s="6" t="str">
        <f>"RN7SL602P"</f>
        <v>RN7SL602P</v>
      </c>
      <c r="B1628" s="6">
        <v>1.0020040080160299E-2</v>
      </c>
      <c r="C1628" s="6">
        <v>0.10293481862310901</v>
      </c>
    </row>
    <row r="1629" spans="1:3" s="7" customFormat="1" x14ac:dyDescent="0.2">
      <c r="A1629" s="6" t="str">
        <f>"AC006160.1"</f>
        <v>AC006160.1</v>
      </c>
      <c r="B1629" s="6">
        <v>1.00603621730382E-2</v>
      </c>
      <c r="C1629" s="6">
        <v>0.10328556103203899</v>
      </c>
    </row>
    <row r="1630" spans="1:3" s="7" customFormat="1" x14ac:dyDescent="0.2">
      <c r="A1630" s="6" t="str">
        <f>"AC123768.3"</f>
        <v>AC123768.3</v>
      </c>
      <c r="B1630" s="6">
        <v>1.00806451612903E-2</v>
      </c>
      <c r="C1630" s="6">
        <v>0.10343026594585999</v>
      </c>
    </row>
    <row r="1631" spans="1:3" s="7" customFormat="1" x14ac:dyDescent="0.2">
      <c r="A1631" s="6" t="str">
        <f>"AC010538.1"</f>
        <v>AC010538.1</v>
      </c>
      <c r="B1631" s="6">
        <v>1.03199174406604E-2</v>
      </c>
      <c r="C1631" s="6">
        <v>0.10582030681177799</v>
      </c>
    </row>
    <row r="1632" spans="1:3" s="7" customFormat="1" x14ac:dyDescent="0.2">
      <c r="A1632" s="6" t="str">
        <f>"DSCAM-AS1"</f>
        <v>DSCAM-AS1</v>
      </c>
      <c r="B1632" s="6">
        <v>1.09890109890109E-2</v>
      </c>
      <c r="C1632" s="6">
        <v>0.106582028985507</v>
      </c>
    </row>
    <row r="1633" spans="1:3" s="7" customFormat="1" x14ac:dyDescent="0.2">
      <c r="A1633" s="6" t="str">
        <f>"AKIRIN2"</f>
        <v>AKIRIN2</v>
      </c>
      <c r="B1633" s="6">
        <v>1.09890109890109E-2</v>
      </c>
      <c r="C1633" s="6">
        <v>0.106582028985507</v>
      </c>
    </row>
    <row r="1634" spans="1:3" s="7" customFormat="1" x14ac:dyDescent="0.2">
      <c r="A1634" s="6" t="str">
        <f>"CYRIB"</f>
        <v>CYRIB</v>
      </c>
      <c r="B1634" s="6">
        <v>1.09890109890109E-2</v>
      </c>
      <c r="C1634" s="6">
        <v>0.106582028985507</v>
      </c>
    </row>
    <row r="1635" spans="1:3" s="7" customFormat="1" x14ac:dyDescent="0.2">
      <c r="A1635" s="6" t="str">
        <f>"AC141586.3"</f>
        <v>AC141586.3</v>
      </c>
      <c r="B1635" s="6">
        <v>1.0548523206751001E-2</v>
      </c>
      <c r="C1635" s="6">
        <v>0.106582028985507</v>
      </c>
    </row>
    <row r="1636" spans="1:3" s="7" customFormat="1" x14ac:dyDescent="0.2">
      <c r="A1636" s="6" t="str">
        <f>"ADAM19"</f>
        <v>ADAM19</v>
      </c>
      <c r="B1636" s="6">
        <v>1.09890109890109E-2</v>
      </c>
      <c r="C1636" s="6">
        <v>0.106582028985507</v>
      </c>
    </row>
    <row r="1637" spans="1:3" s="7" customFormat="1" x14ac:dyDescent="0.2">
      <c r="A1637" s="6" t="str">
        <f>"AC020916.1"</f>
        <v>AC020916.1</v>
      </c>
      <c r="B1637" s="6">
        <v>1.09890109890109E-2</v>
      </c>
      <c r="C1637" s="6">
        <v>0.106582028985507</v>
      </c>
    </row>
    <row r="1638" spans="1:3" s="7" customFormat="1" x14ac:dyDescent="0.2">
      <c r="A1638" s="6" t="str">
        <f>"FPGT-TNNI3K"</f>
        <v>FPGT-TNNI3K</v>
      </c>
      <c r="B1638" s="6">
        <v>1.09890109890109E-2</v>
      </c>
      <c r="C1638" s="6">
        <v>0.106582028985507</v>
      </c>
    </row>
    <row r="1639" spans="1:3" s="7" customFormat="1" x14ac:dyDescent="0.2">
      <c r="A1639" s="6" t="str">
        <f>"JMJD1C"</f>
        <v>JMJD1C</v>
      </c>
      <c r="B1639" s="6">
        <v>1.0999999999999999E-2</v>
      </c>
      <c r="C1639" s="6">
        <v>0.106582028985507</v>
      </c>
    </row>
    <row r="1640" spans="1:3" s="7" customFormat="1" x14ac:dyDescent="0.2">
      <c r="A1640" s="6" t="str">
        <f>"ABCA9"</f>
        <v>ABCA9</v>
      </c>
      <c r="B1640" s="6">
        <v>1.09890109890109E-2</v>
      </c>
      <c r="C1640" s="6">
        <v>0.106582028985507</v>
      </c>
    </row>
    <row r="1641" spans="1:3" s="7" customFormat="1" x14ac:dyDescent="0.2">
      <c r="A1641" s="6" t="str">
        <f>"MST1L"</f>
        <v>MST1L</v>
      </c>
      <c r="B1641" s="6">
        <v>1.09890109890109E-2</v>
      </c>
      <c r="C1641" s="6">
        <v>0.106582028985507</v>
      </c>
    </row>
    <row r="1642" spans="1:3" s="7" customFormat="1" x14ac:dyDescent="0.2">
      <c r="A1642" s="6" t="str">
        <f>"RNF19B"</f>
        <v>RNF19B</v>
      </c>
      <c r="B1642" s="6">
        <v>1.09890109890109E-2</v>
      </c>
      <c r="C1642" s="6">
        <v>0.106582028985507</v>
      </c>
    </row>
    <row r="1643" spans="1:3" s="7" customFormat="1" x14ac:dyDescent="0.2">
      <c r="A1643" s="6" t="str">
        <f>"EHBP1L1"</f>
        <v>EHBP1L1</v>
      </c>
      <c r="B1643" s="6">
        <v>1.09890109890109E-2</v>
      </c>
      <c r="C1643" s="6">
        <v>0.106582028985507</v>
      </c>
    </row>
    <row r="1644" spans="1:3" s="7" customFormat="1" x14ac:dyDescent="0.2">
      <c r="A1644" s="6" t="str">
        <f>"GAS5-AS1"</f>
        <v>GAS5-AS1</v>
      </c>
      <c r="B1644" s="6">
        <v>1.0752688172042999E-2</v>
      </c>
      <c r="C1644" s="6">
        <v>0.106582028985507</v>
      </c>
    </row>
    <row r="1645" spans="1:3" s="7" customFormat="1" x14ac:dyDescent="0.2">
      <c r="A1645" s="6" t="str">
        <f>"AC116353.6"</f>
        <v>AC116353.6</v>
      </c>
      <c r="B1645" s="6">
        <v>1.09890109890109E-2</v>
      </c>
      <c r="C1645" s="6">
        <v>0.106582028985507</v>
      </c>
    </row>
    <row r="1646" spans="1:3" s="7" customFormat="1" x14ac:dyDescent="0.2">
      <c r="A1646" s="6" t="str">
        <f>"NR1D1"</f>
        <v>NR1D1</v>
      </c>
      <c r="B1646" s="6">
        <v>1.09890109890109E-2</v>
      </c>
      <c r="C1646" s="6">
        <v>0.106582028985507</v>
      </c>
    </row>
    <row r="1647" spans="1:3" s="7" customFormat="1" x14ac:dyDescent="0.2">
      <c r="A1647" s="6" t="str">
        <f>"H2AC13"</f>
        <v>H2AC13</v>
      </c>
      <c r="B1647" s="6">
        <v>1.09890109890109E-2</v>
      </c>
      <c r="C1647" s="6">
        <v>0.106582028985507</v>
      </c>
    </row>
    <row r="1648" spans="1:3" s="7" customFormat="1" x14ac:dyDescent="0.2">
      <c r="A1648" s="6" t="str">
        <f>"IL4R"</f>
        <v>IL4R</v>
      </c>
      <c r="B1648" s="6">
        <v>1.0999999999999999E-2</v>
      </c>
      <c r="C1648" s="6">
        <v>0.106582028985507</v>
      </c>
    </row>
    <row r="1649" spans="1:3" s="7" customFormat="1" x14ac:dyDescent="0.2">
      <c r="A1649" s="6" t="str">
        <f>"PRH1"</f>
        <v>PRH1</v>
      </c>
      <c r="B1649" s="6">
        <v>1.0999999999999999E-2</v>
      </c>
      <c r="C1649" s="6">
        <v>0.106582028985507</v>
      </c>
    </row>
    <row r="1650" spans="1:3" s="7" customFormat="1" x14ac:dyDescent="0.2">
      <c r="A1650" s="6" t="str">
        <f>"LINC01341"</f>
        <v>LINC01341</v>
      </c>
      <c r="B1650" s="6">
        <v>1.0999999999999999E-2</v>
      </c>
      <c r="C1650" s="6">
        <v>0.106582028985507</v>
      </c>
    </row>
    <row r="1651" spans="1:3" s="7" customFormat="1" x14ac:dyDescent="0.2">
      <c r="A1651" s="6" t="str">
        <f>"ZNF860"</f>
        <v>ZNF860</v>
      </c>
      <c r="B1651" s="6">
        <v>1.09890109890109E-2</v>
      </c>
      <c r="C1651" s="6">
        <v>0.106582028985507</v>
      </c>
    </row>
    <row r="1652" spans="1:3" s="7" customFormat="1" x14ac:dyDescent="0.2">
      <c r="A1652" s="6" t="str">
        <f>"EPSTI1"</f>
        <v>EPSTI1</v>
      </c>
      <c r="B1652" s="6">
        <v>1.09890109890109E-2</v>
      </c>
      <c r="C1652" s="6">
        <v>0.106582028985507</v>
      </c>
    </row>
    <row r="1653" spans="1:3" s="7" customFormat="1" x14ac:dyDescent="0.2">
      <c r="A1653" s="6" t="str">
        <f>"COX15"</f>
        <v>COX15</v>
      </c>
      <c r="B1653" s="6">
        <v>1.09890109890109E-2</v>
      </c>
      <c r="C1653" s="6">
        <v>0.106582028985507</v>
      </c>
    </row>
    <row r="1654" spans="1:3" s="7" customFormat="1" x14ac:dyDescent="0.2">
      <c r="A1654" s="6" t="str">
        <f>"FUT8-AS1"</f>
        <v>FUT8-AS1</v>
      </c>
      <c r="B1654" s="6">
        <v>1.09890109890109E-2</v>
      </c>
      <c r="C1654" s="6">
        <v>0.106582028985507</v>
      </c>
    </row>
    <row r="1655" spans="1:3" s="7" customFormat="1" x14ac:dyDescent="0.2">
      <c r="A1655" s="6" t="str">
        <f>"ZMYM1"</f>
        <v>ZMYM1</v>
      </c>
      <c r="B1655" s="6">
        <v>1.09890109890109E-2</v>
      </c>
      <c r="C1655" s="6">
        <v>0.106582028985507</v>
      </c>
    </row>
    <row r="1656" spans="1:3" s="7" customFormat="1" x14ac:dyDescent="0.2">
      <c r="A1656" s="6" t="str">
        <f>"TMEM71"</f>
        <v>TMEM71</v>
      </c>
      <c r="B1656" s="6">
        <v>1.09890109890109E-2</v>
      </c>
      <c r="C1656" s="6">
        <v>0.106582028985507</v>
      </c>
    </row>
    <row r="1657" spans="1:3" s="7" customFormat="1" x14ac:dyDescent="0.2">
      <c r="A1657" s="6" t="str">
        <f>"PYROXD1"</f>
        <v>PYROXD1</v>
      </c>
      <c r="B1657" s="6">
        <v>1.09890109890109E-2</v>
      </c>
      <c r="C1657" s="6">
        <v>0.106582028985507</v>
      </c>
    </row>
    <row r="1658" spans="1:3" s="7" customFormat="1" x14ac:dyDescent="0.2">
      <c r="A1658" s="6" t="str">
        <f>"AC020904.2"</f>
        <v>AC020904.2</v>
      </c>
      <c r="B1658" s="6">
        <v>1.0999999999999999E-2</v>
      </c>
      <c r="C1658" s="6">
        <v>0.106582028985507</v>
      </c>
    </row>
    <row r="1659" spans="1:3" s="7" customFormat="1" x14ac:dyDescent="0.2">
      <c r="A1659" s="6" t="str">
        <f>"NDC80"</f>
        <v>NDC80</v>
      </c>
      <c r="B1659" s="6">
        <v>1.09890109890109E-2</v>
      </c>
      <c r="C1659" s="6">
        <v>0.106582028985507</v>
      </c>
    </row>
    <row r="1660" spans="1:3" s="7" customFormat="1" x14ac:dyDescent="0.2">
      <c r="A1660" s="6" t="str">
        <f>"C5orf63"</f>
        <v>C5orf63</v>
      </c>
      <c r="B1660" s="6">
        <v>1.09890109890109E-2</v>
      </c>
      <c r="C1660" s="6">
        <v>0.106582028985507</v>
      </c>
    </row>
    <row r="1661" spans="1:3" s="7" customFormat="1" x14ac:dyDescent="0.2">
      <c r="A1661" s="6" t="str">
        <f>"SLC6A11"</f>
        <v>SLC6A11</v>
      </c>
      <c r="B1661" s="6">
        <v>1.09890109890109E-2</v>
      </c>
      <c r="C1661" s="6">
        <v>0.106582028985507</v>
      </c>
    </row>
    <row r="1662" spans="1:3" s="7" customFormat="1" x14ac:dyDescent="0.2">
      <c r="A1662" s="6" t="str">
        <f>"PCDHGA11"</f>
        <v>PCDHGA11</v>
      </c>
      <c r="B1662" s="6">
        <v>1.09890109890109E-2</v>
      </c>
      <c r="C1662" s="6">
        <v>0.106582028985507</v>
      </c>
    </row>
    <row r="1663" spans="1:3" s="7" customFormat="1" x14ac:dyDescent="0.2">
      <c r="A1663" s="6" t="str">
        <f>"MUC3A"</f>
        <v>MUC3A</v>
      </c>
      <c r="B1663" s="6">
        <v>1.09890109890109E-2</v>
      </c>
      <c r="C1663" s="6">
        <v>0.106582028985507</v>
      </c>
    </row>
    <row r="1664" spans="1:3" s="7" customFormat="1" x14ac:dyDescent="0.2">
      <c r="A1664" s="6" t="str">
        <f>"PDPN"</f>
        <v>PDPN</v>
      </c>
      <c r="B1664" s="6">
        <v>1.0999999999999999E-2</v>
      </c>
      <c r="C1664" s="6">
        <v>0.106582028985507</v>
      </c>
    </row>
    <row r="1665" spans="1:3" s="7" customFormat="1" x14ac:dyDescent="0.2">
      <c r="A1665" s="6" t="str">
        <f>"NCAPG2"</f>
        <v>NCAPG2</v>
      </c>
      <c r="B1665" s="6">
        <v>1.09890109890109E-2</v>
      </c>
      <c r="C1665" s="6">
        <v>0.106582028985507</v>
      </c>
    </row>
    <row r="1666" spans="1:3" s="7" customFormat="1" x14ac:dyDescent="0.2">
      <c r="A1666" s="6" t="str">
        <f>"UBE2E2"</f>
        <v>UBE2E2</v>
      </c>
      <c r="B1666" s="6">
        <v>1.09890109890109E-2</v>
      </c>
      <c r="C1666" s="6">
        <v>0.106582028985507</v>
      </c>
    </row>
    <row r="1667" spans="1:3" s="7" customFormat="1" x14ac:dyDescent="0.2">
      <c r="A1667" s="6" t="str">
        <f>"FTO"</f>
        <v>FTO</v>
      </c>
      <c r="B1667" s="6">
        <v>1.09890109890109E-2</v>
      </c>
      <c r="C1667" s="6">
        <v>0.106582028985507</v>
      </c>
    </row>
    <row r="1668" spans="1:3" s="7" customFormat="1" x14ac:dyDescent="0.2">
      <c r="A1668" s="6" t="str">
        <f>"CTBP2P10"</f>
        <v>CTBP2P10</v>
      </c>
      <c r="B1668" s="6">
        <v>1.04790419161676E-2</v>
      </c>
      <c r="C1668" s="6">
        <v>0.106582028985507</v>
      </c>
    </row>
    <row r="1669" spans="1:3" s="7" customFormat="1" x14ac:dyDescent="0.2">
      <c r="A1669" s="6" t="str">
        <f>"AC142086.6"</f>
        <v>AC142086.6</v>
      </c>
      <c r="B1669" s="6">
        <v>1.09890109890109E-2</v>
      </c>
      <c r="C1669" s="6">
        <v>0.106582028985507</v>
      </c>
    </row>
    <row r="1670" spans="1:3" s="7" customFormat="1" x14ac:dyDescent="0.2">
      <c r="A1670" s="6" t="str">
        <f>"OR10K1"</f>
        <v>OR10K1</v>
      </c>
      <c r="B1670" s="6">
        <v>1.09890109890109E-2</v>
      </c>
      <c r="C1670" s="6">
        <v>0.106582028985507</v>
      </c>
    </row>
    <row r="1671" spans="1:3" s="7" customFormat="1" x14ac:dyDescent="0.2">
      <c r="A1671" s="6" t="str">
        <f>"CALML5"</f>
        <v>CALML5</v>
      </c>
      <c r="B1671" s="6">
        <v>1.09890109890109E-2</v>
      </c>
      <c r="C1671" s="6">
        <v>0.106582028985507</v>
      </c>
    </row>
    <row r="1672" spans="1:3" s="7" customFormat="1" x14ac:dyDescent="0.2">
      <c r="A1672" s="6" t="str">
        <f>"HECW2"</f>
        <v>HECW2</v>
      </c>
      <c r="B1672" s="6">
        <v>1.09890109890109E-2</v>
      </c>
      <c r="C1672" s="6">
        <v>0.106582028985507</v>
      </c>
    </row>
    <row r="1673" spans="1:3" s="7" customFormat="1" x14ac:dyDescent="0.2">
      <c r="A1673" s="6" t="str">
        <f>"DHRSX"</f>
        <v>DHRSX</v>
      </c>
      <c r="B1673" s="6">
        <v>1.09890109890109E-2</v>
      </c>
      <c r="C1673" s="6">
        <v>0.106582028985507</v>
      </c>
    </row>
    <row r="1674" spans="1:3" s="7" customFormat="1" x14ac:dyDescent="0.2">
      <c r="A1674" s="6" t="str">
        <f>"LINC01833"</f>
        <v>LINC01833</v>
      </c>
      <c r="B1674" s="6">
        <v>1.09890109890109E-2</v>
      </c>
      <c r="C1674" s="6">
        <v>0.106582028985507</v>
      </c>
    </row>
    <row r="1675" spans="1:3" s="7" customFormat="1" x14ac:dyDescent="0.2">
      <c r="A1675" s="6" t="str">
        <f>"CDC20B"</f>
        <v>CDC20B</v>
      </c>
      <c r="B1675" s="6">
        <v>1.09890109890109E-2</v>
      </c>
      <c r="C1675" s="6">
        <v>0.106582028985507</v>
      </c>
    </row>
    <row r="1676" spans="1:3" s="7" customFormat="1" x14ac:dyDescent="0.2">
      <c r="A1676" s="6" t="str">
        <f>"SCIN"</f>
        <v>SCIN</v>
      </c>
      <c r="B1676" s="6">
        <v>1.09890109890109E-2</v>
      </c>
      <c r="C1676" s="6">
        <v>0.106582028985507</v>
      </c>
    </row>
    <row r="1677" spans="1:3" s="7" customFormat="1" x14ac:dyDescent="0.2">
      <c r="A1677" s="6" t="str">
        <f>"CSK"</f>
        <v>CSK</v>
      </c>
      <c r="B1677" s="6">
        <v>1.09890109890109E-2</v>
      </c>
      <c r="C1677" s="6">
        <v>0.106582028985507</v>
      </c>
    </row>
    <row r="1678" spans="1:3" s="7" customFormat="1" x14ac:dyDescent="0.2">
      <c r="A1678" s="6" t="str">
        <f>"BX284613.2"</f>
        <v>BX284613.2</v>
      </c>
      <c r="B1678" s="6">
        <v>1.09890109890109E-2</v>
      </c>
      <c r="C1678" s="6">
        <v>0.106582028985507</v>
      </c>
    </row>
    <row r="1679" spans="1:3" s="7" customFormat="1" x14ac:dyDescent="0.2">
      <c r="A1679" s="6" t="str">
        <f>"PDS5B"</f>
        <v>PDS5B</v>
      </c>
      <c r="B1679" s="6">
        <v>1.09890109890109E-2</v>
      </c>
      <c r="C1679" s="6">
        <v>0.106582028985507</v>
      </c>
    </row>
    <row r="1680" spans="1:3" s="7" customFormat="1" x14ac:dyDescent="0.2">
      <c r="A1680" s="6" t="str">
        <f>"PTTG1"</f>
        <v>PTTG1</v>
      </c>
      <c r="B1680" s="6">
        <v>1.09890109890109E-2</v>
      </c>
      <c r="C1680" s="6">
        <v>0.106582028985507</v>
      </c>
    </row>
    <row r="1681" spans="1:3" s="7" customFormat="1" x14ac:dyDescent="0.2">
      <c r="A1681" s="6" t="str">
        <f>"ZNF717"</f>
        <v>ZNF717</v>
      </c>
      <c r="B1681" s="6">
        <v>1.09890109890109E-2</v>
      </c>
      <c r="C1681" s="6">
        <v>0.106582028985507</v>
      </c>
    </row>
    <row r="1682" spans="1:3" s="7" customFormat="1" x14ac:dyDescent="0.2">
      <c r="A1682" s="6" t="str">
        <f>"RAVER2"</f>
        <v>RAVER2</v>
      </c>
      <c r="B1682" s="6">
        <v>1.09890109890109E-2</v>
      </c>
      <c r="C1682" s="6">
        <v>0.106582028985507</v>
      </c>
    </row>
    <row r="1683" spans="1:3" s="7" customFormat="1" x14ac:dyDescent="0.2">
      <c r="A1683" s="6" t="str">
        <f>"ABCF3"</f>
        <v>ABCF3</v>
      </c>
      <c r="B1683" s="6">
        <v>1.09890109890109E-2</v>
      </c>
      <c r="C1683" s="6">
        <v>0.106582028985507</v>
      </c>
    </row>
    <row r="1684" spans="1:3" s="7" customFormat="1" x14ac:dyDescent="0.2">
      <c r="A1684" s="6" t="str">
        <f>"PTPRJ"</f>
        <v>PTPRJ</v>
      </c>
      <c r="B1684" s="6">
        <v>1.09890109890109E-2</v>
      </c>
      <c r="C1684" s="6">
        <v>0.106582028985507</v>
      </c>
    </row>
    <row r="1685" spans="1:3" s="7" customFormat="1" x14ac:dyDescent="0.2">
      <c r="A1685" s="6" t="str">
        <f>"DLG3-AS1"</f>
        <v>DLG3-AS1</v>
      </c>
      <c r="B1685" s="6">
        <v>1.0626992561105201E-2</v>
      </c>
      <c r="C1685" s="6">
        <v>0.106582028985507</v>
      </c>
    </row>
    <row r="1686" spans="1:3" s="7" customFormat="1" x14ac:dyDescent="0.2">
      <c r="A1686" s="6" t="str">
        <f>"NMT2"</f>
        <v>NMT2</v>
      </c>
      <c r="B1686" s="6">
        <v>1.09890109890109E-2</v>
      </c>
      <c r="C1686" s="6">
        <v>0.106582028985507</v>
      </c>
    </row>
    <row r="1687" spans="1:3" s="7" customFormat="1" x14ac:dyDescent="0.2">
      <c r="A1687" s="6" t="str">
        <f>"GPR137B"</f>
        <v>GPR137B</v>
      </c>
      <c r="B1687" s="6">
        <v>1.09890109890109E-2</v>
      </c>
      <c r="C1687" s="6">
        <v>0.106582028985507</v>
      </c>
    </row>
    <row r="1688" spans="1:3" s="7" customFormat="1" x14ac:dyDescent="0.2">
      <c r="A1688" s="6" t="str">
        <f>"MEIS3P1"</f>
        <v>MEIS3P1</v>
      </c>
      <c r="B1688" s="6">
        <v>1.09890109890109E-2</v>
      </c>
      <c r="C1688" s="6">
        <v>0.106582028985507</v>
      </c>
    </row>
    <row r="1689" spans="1:3" s="7" customFormat="1" x14ac:dyDescent="0.2">
      <c r="A1689" s="6" t="str">
        <f>"KCNK6"</f>
        <v>KCNK6</v>
      </c>
      <c r="B1689" s="6">
        <v>1.09890109890109E-2</v>
      </c>
      <c r="C1689" s="6">
        <v>0.106582028985507</v>
      </c>
    </row>
    <row r="1690" spans="1:3" s="7" customFormat="1" x14ac:dyDescent="0.2">
      <c r="A1690" s="6" t="str">
        <f>"MGLL"</f>
        <v>MGLL</v>
      </c>
      <c r="B1690" s="6">
        <v>1.09890109890109E-2</v>
      </c>
      <c r="C1690" s="6">
        <v>0.106582028985507</v>
      </c>
    </row>
    <row r="1691" spans="1:3" s="7" customFormat="1" x14ac:dyDescent="0.2">
      <c r="A1691" s="6" t="str">
        <f>"BNC2"</f>
        <v>BNC2</v>
      </c>
      <c r="B1691" s="6">
        <v>1.09890109890109E-2</v>
      </c>
      <c r="C1691" s="6">
        <v>0.106582028985507</v>
      </c>
    </row>
    <row r="1692" spans="1:3" s="7" customFormat="1" x14ac:dyDescent="0.2">
      <c r="A1692" s="6" t="str">
        <f>"MRPL16"</f>
        <v>MRPL16</v>
      </c>
      <c r="B1692" s="6">
        <v>1.09890109890109E-2</v>
      </c>
      <c r="C1692" s="6">
        <v>0.106582028985507</v>
      </c>
    </row>
    <row r="1693" spans="1:3" s="7" customFormat="1" x14ac:dyDescent="0.2">
      <c r="A1693" s="6" t="str">
        <f>"ITGAV"</f>
        <v>ITGAV</v>
      </c>
      <c r="B1693" s="6">
        <v>1.09890109890109E-2</v>
      </c>
      <c r="C1693" s="6">
        <v>0.106582028985507</v>
      </c>
    </row>
    <row r="1694" spans="1:3" s="7" customFormat="1" x14ac:dyDescent="0.2">
      <c r="A1694" s="6" t="str">
        <f>"MTSS1"</f>
        <v>MTSS1</v>
      </c>
      <c r="B1694" s="6">
        <v>1.09890109890109E-2</v>
      </c>
      <c r="C1694" s="6">
        <v>0.106582028985507</v>
      </c>
    </row>
    <row r="1695" spans="1:3" s="7" customFormat="1" x14ac:dyDescent="0.2">
      <c r="A1695" s="6" t="str">
        <f>"TRPC1"</f>
        <v>TRPC1</v>
      </c>
      <c r="B1695" s="6">
        <v>1.09890109890109E-2</v>
      </c>
      <c r="C1695" s="6">
        <v>0.106582028985507</v>
      </c>
    </row>
    <row r="1696" spans="1:3" s="7" customFormat="1" x14ac:dyDescent="0.2">
      <c r="A1696" s="6" t="str">
        <f>"AC068896.1"</f>
        <v>AC068896.1</v>
      </c>
      <c r="B1696" s="6">
        <v>1.09890109890109E-2</v>
      </c>
      <c r="C1696" s="6">
        <v>0.106582028985507</v>
      </c>
    </row>
    <row r="1697" spans="1:3" s="7" customFormat="1" x14ac:dyDescent="0.2">
      <c r="A1697" s="6" t="str">
        <f>"HFE"</f>
        <v>HFE</v>
      </c>
      <c r="B1697" s="6">
        <v>1.09890109890109E-2</v>
      </c>
      <c r="C1697" s="6">
        <v>0.106582028985507</v>
      </c>
    </row>
    <row r="1698" spans="1:3" s="7" customFormat="1" x14ac:dyDescent="0.2">
      <c r="A1698" s="6" t="str">
        <f>"RGPD5"</f>
        <v>RGPD5</v>
      </c>
      <c r="B1698" s="6">
        <v>1.09890109890109E-2</v>
      </c>
      <c r="C1698" s="6">
        <v>0.106582028985507</v>
      </c>
    </row>
    <row r="1699" spans="1:3" s="7" customFormat="1" x14ac:dyDescent="0.2">
      <c r="A1699" s="6" t="str">
        <f>"LINC00654"</f>
        <v>LINC00654</v>
      </c>
      <c r="B1699" s="6">
        <v>1.09890109890109E-2</v>
      </c>
      <c r="C1699" s="6">
        <v>0.106582028985507</v>
      </c>
    </row>
    <row r="1700" spans="1:3" s="7" customFormat="1" x14ac:dyDescent="0.2">
      <c r="A1700" s="6" t="str">
        <f>"BICRA"</f>
        <v>BICRA</v>
      </c>
      <c r="B1700" s="6">
        <v>1.09890109890109E-2</v>
      </c>
      <c r="C1700" s="6">
        <v>0.106582028985507</v>
      </c>
    </row>
    <row r="1701" spans="1:3" s="7" customFormat="1" x14ac:dyDescent="0.2">
      <c r="A1701" s="6" t="str">
        <f>"ARL2"</f>
        <v>ARL2</v>
      </c>
      <c r="B1701" s="6">
        <v>1.09890109890109E-2</v>
      </c>
      <c r="C1701" s="6">
        <v>0.106582028985507</v>
      </c>
    </row>
    <row r="1702" spans="1:3" s="7" customFormat="1" x14ac:dyDescent="0.2">
      <c r="A1702" s="6" t="str">
        <f>"AP001107.1"</f>
        <v>AP001107.1</v>
      </c>
      <c r="B1702" s="6">
        <v>1.07655502392344E-2</v>
      </c>
      <c r="C1702" s="6">
        <v>0.106582028985507</v>
      </c>
    </row>
    <row r="1703" spans="1:3" s="7" customFormat="1" x14ac:dyDescent="0.2">
      <c r="A1703" s="6" t="str">
        <f>"ST7L"</f>
        <v>ST7L</v>
      </c>
      <c r="B1703" s="6">
        <v>1.09890109890109E-2</v>
      </c>
      <c r="C1703" s="6">
        <v>0.106582028985507</v>
      </c>
    </row>
    <row r="1704" spans="1:3" s="7" customFormat="1" x14ac:dyDescent="0.2">
      <c r="A1704" s="6" t="str">
        <f>"TBCD"</f>
        <v>TBCD</v>
      </c>
      <c r="B1704" s="6">
        <v>1.09890109890109E-2</v>
      </c>
      <c r="C1704" s="6">
        <v>0.106582028985507</v>
      </c>
    </row>
    <row r="1705" spans="1:3" s="7" customFormat="1" x14ac:dyDescent="0.2">
      <c r="A1705" s="6" t="str">
        <f>"PAQR5"</f>
        <v>PAQR5</v>
      </c>
      <c r="B1705" s="6">
        <v>1.09890109890109E-2</v>
      </c>
      <c r="C1705" s="6">
        <v>0.106582028985507</v>
      </c>
    </row>
    <row r="1706" spans="1:3" s="7" customFormat="1" x14ac:dyDescent="0.2">
      <c r="A1706" s="6" t="str">
        <f>"RAPGEFL1"</f>
        <v>RAPGEFL1</v>
      </c>
      <c r="B1706" s="6">
        <v>1.09890109890109E-2</v>
      </c>
      <c r="C1706" s="6">
        <v>0.106582028985507</v>
      </c>
    </row>
    <row r="1707" spans="1:3" s="7" customFormat="1" x14ac:dyDescent="0.2">
      <c r="A1707" s="6" t="str">
        <f>"CFHR3"</f>
        <v>CFHR3</v>
      </c>
      <c r="B1707" s="6">
        <v>1.09890109890109E-2</v>
      </c>
      <c r="C1707" s="6">
        <v>0.106582028985507</v>
      </c>
    </row>
    <row r="1708" spans="1:3" s="7" customFormat="1" x14ac:dyDescent="0.2">
      <c r="A1708" s="6" t="str">
        <f>"CCDC78"</f>
        <v>CCDC78</v>
      </c>
      <c r="B1708" s="6">
        <v>1.09890109890109E-2</v>
      </c>
      <c r="C1708" s="6">
        <v>0.106582028985507</v>
      </c>
    </row>
    <row r="1709" spans="1:3" s="7" customFormat="1" x14ac:dyDescent="0.2">
      <c r="A1709" s="6" t="str">
        <f>"PRR36"</f>
        <v>PRR36</v>
      </c>
      <c r="B1709" s="6">
        <v>1.09890109890109E-2</v>
      </c>
      <c r="C1709" s="6">
        <v>0.106582028985507</v>
      </c>
    </row>
    <row r="1710" spans="1:3" s="7" customFormat="1" x14ac:dyDescent="0.2">
      <c r="A1710" s="6" t="str">
        <f>"AP002008.4"</f>
        <v>AP002008.4</v>
      </c>
      <c r="B1710" s="6">
        <v>1.09890109890109E-2</v>
      </c>
      <c r="C1710" s="6">
        <v>0.106582028985507</v>
      </c>
    </row>
    <row r="1711" spans="1:3" s="7" customFormat="1" x14ac:dyDescent="0.2">
      <c r="A1711" s="6" t="str">
        <f>"SPAG8"</f>
        <v>SPAG8</v>
      </c>
      <c r="B1711" s="6">
        <v>1.09890109890109E-2</v>
      </c>
      <c r="C1711" s="6">
        <v>0.106582028985507</v>
      </c>
    </row>
    <row r="1712" spans="1:3" s="7" customFormat="1" x14ac:dyDescent="0.2">
      <c r="A1712" s="6" t="str">
        <f>"FOXI2"</f>
        <v>FOXI2</v>
      </c>
      <c r="B1712" s="6">
        <v>1.09890109890109E-2</v>
      </c>
      <c r="C1712" s="6">
        <v>0.106582028985507</v>
      </c>
    </row>
    <row r="1713" spans="1:3" s="7" customFormat="1" x14ac:dyDescent="0.2">
      <c r="A1713" s="6" t="str">
        <f>"ARHGEF26-AS1"</f>
        <v>ARHGEF26-AS1</v>
      </c>
      <c r="B1713" s="6">
        <v>1.09890109890109E-2</v>
      </c>
      <c r="C1713" s="6">
        <v>0.106582028985507</v>
      </c>
    </row>
    <row r="1714" spans="1:3" s="7" customFormat="1" x14ac:dyDescent="0.2">
      <c r="A1714" s="6" t="str">
        <f>"LINC00592"</f>
        <v>LINC00592</v>
      </c>
      <c r="B1714" s="6">
        <v>1.0999999999999999E-2</v>
      </c>
      <c r="C1714" s="6">
        <v>0.106582028985507</v>
      </c>
    </row>
    <row r="1715" spans="1:3" s="7" customFormat="1" x14ac:dyDescent="0.2">
      <c r="A1715" s="6" t="str">
        <f>"USP30"</f>
        <v>USP30</v>
      </c>
      <c r="B1715" s="6">
        <v>1.09890109890109E-2</v>
      </c>
      <c r="C1715" s="6">
        <v>0.106582028985507</v>
      </c>
    </row>
    <row r="1716" spans="1:3" s="7" customFormat="1" x14ac:dyDescent="0.2">
      <c r="A1716" s="6" t="str">
        <f>"SLAIN2"</f>
        <v>SLAIN2</v>
      </c>
      <c r="B1716" s="6">
        <v>1.09890109890109E-2</v>
      </c>
      <c r="C1716" s="6">
        <v>0.106582028985507</v>
      </c>
    </row>
    <row r="1717" spans="1:3" s="7" customFormat="1" x14ac:dyDescent="0.2">
      <c r="A1717" s="6" t="str">
        <f>"LINC01558"</f>
        <v>LINC01558</v>
      </c>
      <c r="B1717" s="6">
        <v>1.09890109890109E-2</v>
      </c>
      <c r="C1717" s="6">
        <v>0.106582028985507</v>
      </c>
    </row>
    <row r="1718" spans="1:3" s="7" customFormat="1" x14ac:dyDescent="0.2">
      <c r="A1718" s="6" t="str">
        <f>"OR7E122P"</f>
        <v>OR7E122P</v>
      </c>
      <c r="B1718" s="6">
        <v>1.09890109890109E-2</v>
      </c>
      <c r="C1718" s="6">
        <v>0.106582028985507</v>
      </c>
    </row>
    <row r="1719" spans="1:3" s="7" customFormat="1" x14ac:dyDescent="0.2">
      <c r="A1719" s="6" t="str">
        <f>"SLC8A1"</f>
        <v>SLC8A1</v>
      </c>
      <c r="B1719" s="6">
        <v>1.09890109890109E-2</v>
      </c>
      <c r="C1719" s="6">
        <v>0.106582028985507</v>
      </c>
    </row>
    <row r="1720" spans="1:3" s="7" customFormat="1" x14ac:dyDescent="0.2">
      <c r="A1720" s="6" t="str">
        <f>"PYGL"</f>
        <v>PYGL</v>
      </c>
      <c r="B1720" s="6">
        <v>1.09890109890109E-2</v>
      </c>
      <c r="C1720" s="6">
        <v>0.106582028985507</v>
      </c>
    </row>
    <row r="1721" spans="1:3" s="7" customFormat="1" x14ac:dyDescent="0.2">
      <c r="A1721" s="6" t="str">
        <f>"PLXNB2"</f>
        <v>PLXNB2</v>
      </c>
      <c r="B1721" s="6">
        <v>1.09890109890109E-2</v>
      </c>
      <c r="C1721" s="6">
        <v>0.106582028985507</v>
      </c>
    </row>
    <row r="1722" spans="1:3" s="7" customFormat="1" x14ac:dyDescent="0.2">
      <c r="A1722" s="6" t="str">
        <f>"AC114947.1"</f>
        <v>AC114947.1</v>
      </c>
      <c r="B1722" s="6">
        <v>1.0452961672473801E-2</v>
      </c>
      <c r="C1722" s="6">
        <v>0.106582028985507</v>
      </c>
    </row>
    <row r="1723" spans="1:3" s="7" customFormat="1" x14ac:dyDescent="0.2">
      <c r="A1723" s="6" t="str">
        <f>"EIF3B"</f>
        <v>EIF3B</v>
      </c>
      <c r="B1723" s="6">
        <v>1.09890109890109E-2</v>
      </c>
      <c r="C1723" s="6">
        <v>0.106582028985507</v>
      </c>
    </row>
    <row r="1724" spans="1:3" s="7" customFormat="1" x14ac:dyDescent="0.2">
      <c r="A1724" s="6" t="str">
        <f>"DDX58"</f>
        <v>DDX58</v>
      </c>
      <c r="B1724" s="6">
        <v>1.09890109890109E-2</v>
      </c>
      <c r="C1724" s="6">
        <v>0.106582028985507</v>
      </c>
    </row>
    <row r="1725" spans="1:3" s="7" customFormat="1" x14ac:dyDescent="0.2">
      <c r="A1725" s="6" t="str">
        <f>"FAM110A"</f>
        <v>FAM110A</v>
      </c>
      <c r="B1725" s="6">
        <v>1.09890109890109E-2</v>
      </c>
      <c r="C1725" s="6">
        <v>0.106582028985507</v>
      </c>
    </row>
    <row r="1726" spans="1:3" s="7" customFormat="1" x14ac:dyDescent="0.2">
      <c r="A1726" s="6" t="str">
        <f>"FAM83A"</f>
        <v>FAM83A</v>
      </c>
      <c r="B1726" s="6">
        <v>1.09890109890109E-2</v>
      </c>
      <c r="C1726" s="6">
        <v>0.106582028985507</v>
      </c>
    </row>
    <row r="1727" spans="1:3" s="7" customFormat="1" x14ac:dyDescent="0.2">
      <c r="A1727" s="6" t="str">
        <f>"AC068700.2"</f>
        <v>AC068700.2</v>
      </c>
      <c r="B1727" s="6">
        <v>1.1011011011011001E-2</v>
      </c>
      <c r="C1727" s="6">
        <v>0.106626905004657</v>
      </c>
    </row>
    <row r="1728" spans="1:3" s="7" customFormat="1" x14ac:dyDescent="0.2">
      <c r="A1728" s="6" t="str">
        <f>"GALR2"</f>
        <v>GALR2</v>
      </c>
      <c r="B1728" s="6">
        <v>1.10220440881763E-2</v>
      </c>
      <c r="C1728" s="6">
        <v>0.106671942611337</v>
      </c>
    </row>
    <row r="1729" spans="1:3" s="7" customFormat="1" x14ac:dyDescent="0.2">
      <c r="A1729" s="6" t="str">
        <f>"AC005154.2"</f>
        <v>AC005154.2</v>
      </c>
      <c r="B1729" s="6">
        <v>1.1133603238866301E-2</v>
      </c>
      <c r="C1729" s="6">
        <v>0.10768926188334001</v>
      </c>
    </row>
    <row r="1730" spans="1:3" s="7" customFormat="1" x14ac:dyDescent="0.2">
      <c r="A1730" s="6" t="str">
        <f>"AC026471.2"</f>
        <v>AC026471.2</v>
      </c>
      <c r="B1730" s="6">
        <v>1.11675126903553E-2</v>
      </c>
      <c r="C1730" s="6">
        <v>0.107954775654481</v>
      </c>
    </row>
    <row r="1731" spans="1:3" s="7" customFormat="1" x14ac:dyDescent="0.2">
      <c r="A1731" s="6" t="str">
        <f>"SKAP2"</f>
        <v>SKAP2</v>
      </c>
      <c r="B1731" s="6">
        <v>1.19880119880119E-2</v>
      </c>
      <c r="C1731" s="6">
        <v>0.11014168039538701</v>
      </c>
    </row>
    <row r="1732" spans="1:3" s="7" customFormat="1" x14ac:dyDescent="0.2">
      <c r="A1732" s="6" t="str">
        <f>"MRPL34"</f>
        <v>MRPL34</v>
      </c>
      <c r="B1732" s="6">
        <v>1.19880119880119E-2</v>
      </c>
      <c r="C1732" s="6">
        <v>0.11014168039538701</v>
      </c>
    </row>
    <row r="1733" spans="1:3" s="7" customFormat="1" x14ac:dyDescent="0.2">
      <c r="A1733" s="6" t="str">
        <f>"SAMM50"</f>
        <v>SAMM50</v>
      </c>
      <c r="B1733" s="6">
        <v>1.19880119880119E-2</v>
      </c>
      <c r="C1733" s="6">
        <v>0.11014168039538701</v>
      </c>
    </row>
    <row r="1734" spans="1:3" s="7" customFormat="1" x14ac:dyDescent="0.2">
      <c r="A1734" s="6" t="str">
        <f>"AC016831.6"</f>
        <v>AC016831.6</v>
      </c>
      <c r="B1734" s="6">
        <v>1.19880119880119E-2</v>
      </c>
      <c r="C1734" s="6">
        <v>0.11014168039538701</v>
      </c>
    </row>
    <row r="1735" spans="1:3" s="7" customFormat="1" x14ac:dyDescent="0.2">
      <c r="A1735" s="6" t="str">
        <f>"AC145207.2"</f>
        <v>AC145207.2</v>
      </c>
      <c r="B1735" s="6">
        <v>1.2E-2</v>
      </c>
      <c r="C1735" s="6">
        <v>0.11014168039538701</v>
      </c>
    </row>
    <row r="1736" spans="1:3" s="7" customFormat="1" x14ac:dyDescent="0.2">
      <c r="A1736" s="6" t="str">
        <f>"ARHGAP26"</f>
        <v>ARHGAP26</v>
      </c>
      <c r="B1736" s="6">
        <v>1.19880119880119E-2</v>
      </c>
      <c r="C1736" s="6">
        <v>0.11014168039538701</v>
      </c>
    </row>
    <row r="1737" spans="1:3" s="7" customFormat="1" x14ac:dyDescent="0.2">
      <c r="A1737" s="6" t="str">
        <f>"AL118508.3"</f>
        <v>AL118508.3</v>
      </c>
      <c r="B1737" s="6">
        <v>1.19880119880119E-2</v>
      </c>
      <c r="C1737" s="6">
        <v>0.11014168039538701</v>
      </c>
    </row>
    <row r="1738" spans="1:3" s="7" customFormat="1" x14ac:dyDescent="0.2">
      <c r="A1738" s="6" t="str">
        <f>"GOLGA6L3"</f>
        <v>GOLGA6L3</v>
      </c>
      <c r="B1738" s="6">
        <v>1.19880119880119E-2</v>
      </c>
      <c r="C1738" s="6">
        <v>0.11014168039538701</v>
      </c>
    </row>
    <row r="1739" spans="1:3" s="7" customFormat="1" x14ac:dyDescent="0.2">
      <c r="A1739" s="6" t="str">
        <f>"CSRP2"</f>
        <v>CSRP2</v>
      </c>
      <c r="B1739" s="6">
        <v>1.19880119880119E-2</v>
      </c>
      <c r="C1739" s="6">
        <v>0.11014168039538701</v>
      </c>
    </row>
    <row r="1740" spans="1:3" s="7" customFormat="1" x14ac:dyDescent="0.2">
      <c r="A1740" s="6" t="str">
        <f>"ATG12"</f>
        <v>ATG12</v>
      </c>
      <c r="B1740" s="6">
        <v>1.19880119880119E-2</v>
      </c>
      <c r="C1740" s="6">
        <v>0.11014168039538701</v>
      </c>
    </row>
    <row r="1741" spans="1:3" s="7" customFormat="1" x14ac:dyDescent="0.2">
      <c r="A1741" s="6" t="str">
        <f>"POC1B"</f>
        <v>POC1B</v>
      </c>
      <c r="B1741" s="6">
        <v>1.19880119880119E-2</v>
      </c>
      <c r="C1741" s="6">
        <v>0.11014168039538701</v>
      </c>
    </row>
    <row r="1742" spans="1:3" s="7" customFormat="1" x14ac:dyDescent="0.2">
      <c r="A1742" s="6" t="str">
        <f>"MX1"</f>
        <v>MX1</v>
      </c>
      <c r="B1742" s="6">
        <v>1.19880119880119E-2</v>
      </c>
      <c r="C1742" s="6">
        <v>0.11014168039538701</v>
      </c>
    </row>
    <row r="1743" spans="1:3" s="7" customFormat="1" x14ac:dyDescent="0.2">
      <c r="A1743" s="6" t="str">
        <f>"FCRL5"</f>
        <v>FCRL5</v>
      </c>
      <c r="B1743" s="6">
        <v>1.19880119880119E-2</v>
      </c>
      <c r="C1743" s="6">
        <v>0.11014168039538701</v>
      </c>
    </row>
    <row r="1744" spans="1:3" s="7" customFormat="1" x14ac:dyDescent="0.2">
      <c r="A1744" s="6" t="str">
        <f>"HTR7"</f>
        <v>HTR7</v>
      </c>
      <c r="B1744" s="6">
        <v>1.19880119880119E-2</v>
      </c>
      <c r="C1744" s="6">
        <v>0.11014168039538701</v>
      </c>
    </row>
    <row r="1745" spans="1:3" s="7" customFormat="1" x14ac:dyDescent="0.2">
      <c r="A1745" s="6" t="str">
        <f>"CLEC4A"</f>
        <v>CLEC4A</v>
      </c>
      <c r="B1745" s="6">
        <v>1.19880119880119E-2</v>
      </c>
      <c r="C1745" s="6">
        <v>0.11014168039538701</v>
      </c>
    </row>
    <row r="1746" spans="1:3" s="7" customFormat="1" x14ac:dyDescent="0.2">
      <c r="A1746" s="6" t="str">
        <f>"DLL4"</f>
        <v>DLL4</v>
      </c>
      <c r="B1746" s="6">
        <v>1.19880119880119E-2</v>
      </c>
      <c r="C1746" s="6">
        <v>0.11014168039538701</v>
      </c>
    </row>
    <row r="1747" spans="1:3" s="7" customFormat="1" x14ac:dyDescent="0.2">
      <c r="A1747" s="6" t="str">
        <f>"NADK2"</f>
        <v>NADK2</v>
      </c>
      <c r="B1747" s="6">
        <v>1.19880119880119E-2</v>
      </c>
      <c r="C1747" s="6">
        <v>0.11014168039538701</v>
      </c>
    </row>
    <row r="1748" spans="1:3" s="7" customFormat="1" x14ac:dyDescent="0.2">
      <c r="A1748" s="6" t="str">
        <f>"GAN"</f>
        <v>GAN</v>
      </c>
      <c r="B1748" s="6">
        <v>1.19880119880119E-2</v>
      </c>
      <c r="C1748" s="6">
        <v>0.11014168039538701</v>
      </c>
    </row>
    <row r="1749" spans="1:3" s="7" customFormat="1" x14ac:dyDescent="0.2">
      <c r="A1749" s="6" t="str">
        <f>"FP565260.6"</f>
        <v>FP565260.6</v>
      </c>
      <c r="B1749" s="6">
        <v>1.19880119880119E-2</v>
      </c>
      <c r="C1749" s="6">
        <v>0.11014168039538701</v>
      </c>
    </row>
    <row r="1750" spans="1:3" s="7" customFormat="1" x14ac:dyDescent="0.2">
      <c r="A1750" s="6" t="str">
        <f>"AL033397.1"</f>
        <v>AL033397.1</v>
      </c>
      <c r="B1750" s="6">
        <v>1.19880119880119E-2</v>
      </c>
      <c r="C1750" s="6">
        <v>0.11014168039538701</v>
      </c>
    </row>
    <row r="1751" spans="1:3" s="7" customFormat="1" x14ac:dyDescent="0.2">
      <c r="A1751" s="6" t="str">
        <f>"ATL3"</f>
        <v>ATL3</v>
      </c>
      <c r="B1751" s="6">
        <v>1.19880119880119E-2</v>
      </c>
      <c r="C1751" s="6">
        <v>0.11014168039538701</v>
      </c>
    </row>
    <row r="1752" spans="1:3" s="7" customFormat="1" x14ac:dyDescent="0.2">
      <c r="A1752" s="6" t="str">
        <f>"PYGB"</f>
        <v>PYGB</v>
      </c>
      <c r="B1752" s="6">
        <v>1.19880119880119E-2</v>
      </c>
      <c r="C1752" s="6">
        <v>0.11014168039538701</v>
      </c>
    </row>
    <row r="1753" spans="1:3" s="7" customFormat="1" x14ac:dyDescent="0.2">
      <c r="A1753" s="6" t="str">
        <f>"LINC02453"</f>
        <v>LINC02453</v>
      </c>
      <c r="B1753" s="6">
        <v>1.19880119880119E-2</v>
      </c>
      <c r="C1753" s="6">
        <v>0.11014168039538701</v>
      </c>
    </row>
    <row r="1754" spans="1:3" s="7" customFormat="1" x14ac:dyDescent="0.2">
      <c r="A1754" s="6" t="str">
        <f>"CBWD6"</f>
        <v>CBWD6</v>
      </c>
      <c r="B1754" s="6">
        <v>1.19880119880119E-2</v>
      </c>
      <c r="C1754" s="6">
        <v>0.11014168039538701</v>
      </c>
    </row>
    <row r="1755" spans="1:3" s="7" customFormat="1" x14ac:dyDescent="0.2">
      <c r="A1755" s="6" t="str">
        <f>"GNPDA2"</f>
        <v>GNPDA2</v>
      </c>
      <c r="B1755" s="6">
        <v>1.19880119880119E-2</v>
      </c>
      <c r="C1755" s="6">
        <v>0.11014168039538701</v>
      </c>
    </row>
    <row r="1756" spans="1:3" s="7" customFormat="1" x14ac:dyDescent="0.2">
      <c r="A1756" s="6" t="str">
        <f>"EPS15L1"</f>
        <v>EPS15L1</v>
      </c>
      <c r="B1756" s="6">
        <v>1.19880119880119E-2</v>
      </c>
      <c r="C1756" s="6">
        <v>0.11014168039538701</v>
      </c>
    </row>
    <row r="1757" spans="1:3" s="7" customFormat="1" x14ac:dyDescent="0.2">
      <c r="A1757" s="6" t="str">
        <f>"R3HDM4"</f>
        <v>R3HDM4</v>
      </c>
      <c r="B1757" s="6">
        <v>1.19880119880119E-2</v>
      </c>
      <c r="C1757" s="6">
        <v>0.11014168039538701</v>
      </c>
    </row>
    <row r="1758" spans="1:3" s="7" customFormat="1" x14ac:dyDescent="0.2">
      <c r="A1758" s="6" t="str">
        <f>"H1-4"</f>
        <v>H1-4</v>
      </c>
      <c r="B1758" s="6">
        <v>1.19880119880119E-2</v>
      </c>
      <c r="C1758" s="6">
        <v>0.11014168039538701</v>
      </c>
    </row>
    <row r="1759" spans="1:3" s="7" customFormat="1" x14ac:dyDescent="0.2">
      <c r="A1759" s="6" t="str">
        <f>"AC090398.2"</f>
        <v>AC090398.2</v>
      </c>
      <c r="B1759" s="6">
        <v>1.19880119880119E-2</v>
      </c>
      <c r="C1759" s="6">
        <v>0.11014168039538701</v>
      </c>
    </row>
    <row r="1760" spans="1:3" s="7" customFormat="1" x14ac:dyDescent="0.2">
      <c r="A1760" s="6" t="str">
        <f>"CYSRT1"</f>
        <v>CYSRT1</v>
      </c>
      <c r="B1760" s="6">
        <v>1.19880119880119E-2</v>
      </c>
      <c r="C1760" s="6">
        <v>0.11014168039538701</v>
      </c>
    </row>
    <row r="1761" spans="1:3" s="7" customFormat="1" x14ac:dyDescent="0.2">
      <c r="A1761" s="6" t="str">
        <f>"SNHG8"</f>
        <v>SNHG8</v>
      </c>
      <c r="B1761" s="6">
        <v>1.19880119880119E-2</v>
      </c>
      <c r="C1761" s="6">
        <v>0.11014168039538701</v>
      </c>
    </row>
    <row r="1762" spans="1:3" s="7" customFormat="1" x14ac:dyDescent="0.2">
      <c r="A1762" s="6" t="str">
        <f>"SMC4"</f>
        <v>SMC4</v>
      </c>
      <c r="B1762" s="6">
        <v>1.19880119880119E-2</v>
      </c>
      <c r="C1762" s="6">
        <v>0.11014168039538701</v>
      </c>
    </row>
    <row r="1763" spans="1:3" s="7" customFormat="1" x14ac:dyDescent="0.2">
      <c r="A1763" s="6" t="str">
        <f>"MT-TM"</f>
        <v>MT-TM</v>
      </c>
      <c r="B1763" s="6">
        <v>1.19880119880119E-2</v>
      </c>
      <c r="C1763" s="6">
        <v>0.11014168039538701</v>
      </c>
    </row>
    <row r="1764" spans="1:3" s="7" customFormat="1" x14ac:dyDescent="0.2">
      <c r="A1764" s="6" t="str">
        <f>"LRRC29"</f>
        <v>LRRC29</v>
      </c>
      <c r="B1764" s="6">
        <v>1.19880119880119E-2</v>
      </c>
      <c r="C1764" s="6">
        <v>0.11014168039538701</v>
      </c>
    </row>
    <row r="1765" spans="1:3" s="7" customFormat="1" x14ac:dyDescent="0.2">
      <c r="A1765" s="6" t="str">
        <f>"SDHAF3"</f>
        <v>SDHAF3</v>
      </c>
      <c r="B1765" s="6">
        <v>1.19880119880119E-2</v>
      </c>
      <c r="C1765" s="6">
        <v>0.11014168039538701</v>
      </c>
    </row>
    <row r="1766" spans="1:3" s="7" customFormat="1" x14ac:dyDescent="0.2">
      <c r="A1766" s="6" t="str">
        <f>"DPH6-DT"</f>
        <v>DPH6-DT</v>
      </c>
      <c r="B1766" s="6">
        <v>1.19880119880119E-2</v>
      </c>
      <c r="C1766" s="6">
        <v>0.11014168039538701</v>
      </c>
    </row>
    <row r="1767" spans="1:3" s="7" customFormat="1" x14ac:dyDescent="0.2">
      <c r="A1767" s="6" t="str">
        <f>"AIM2"</f>
        <v>AIM2</v>
      </c>
      <c r="B1767" s="6">
        <v>1.19880119880119E-2</v>
      </c>
      <c r="C1767" s="6">
        <v>0.11014168039538701</v>
      </c>
    </row>
    <row r="1768" spans="1:3" s="7" customFormat="1" x14ac:dyDescent="0.2">
      <c r="A1768" s="6" t="str">
        <f>"SV2C"</f>
        <v>SV2C</v>
      </c>
      <c r="B1768" s="6">
        <v>1.19880119880119E-2</v>
      </c>
      <c r="C1768" s="6">
        <v>0.11014168039538701</v>
      </c>
    </row>
    <row r="1769" spans="1:3" s="7" customFormat="1" x14ac:dyDescent="0.2">
      <c r="A1769" s="6" t="str">
        <f>"EPPIN-WFDC6"</f>
        <v>EPPIN-WFDC6</v>
      </c>
      <c r="B1769" s="6">
        <v>1.19880119880119E-2</v>
      </c>
      <c r="C1769" s="6">
        <v>0.11014168039538701</v>
      </c>
    </row>
    <row r="1770" spans="1:3" s="7" customFormat="1" x14ac:dyDescent="0.2">
      <c r="A1770" s="6" t="str">
        <f>"ZNF781"</f>
        <v>ZNF781</v>
      </c>
      <c r="B1770" s="6">
        <v>1.19880119880119E-2</v>
      </c>
      <c r="C1770" s="6">
        <v>0.11014168039538701</v>
      </c>
    </row>
    <row r="1771" spans="1:3" s="7" customFormat="1" x14ac:dyDescent="0.2">
      <c r="A1771" s="6" t="str">
        <f>"METTL27"</f>
        <v>METTL27</v>
      </c>
      <c r="B1771" s="6">
        <v>1.19880119880119E-2</v>
      </c>
      <c r="C1771" s="6">
        <v>0.11014168039538701</v>
      </c>
    </row>
    <row r="1772" spans="1:3" s="7" customFormat="1" x14ac:dyDescent="0.2">
      <c r="A1772" s="6" t="str">
        <f>"MTA1"</f>
        <v>MTA1</v>
      </c>
      <c r="B1772" s="6">
        <v>1.19880119880119E-2</v>
      </c>
      <c r="C1772" s="6">
        <v>0.11014168039538701</v>
      </c>
    </row>
    <row r="1773" spans="1:3" s="7" customFormat="1" x14ac:dyDescent="0.2">
      <c r="A1773" s="6" t="str">
        <f>"LARS1"</f>
        <v>LARS1</v>
      </c>
      <c r="B1773" s="6">
        <v>1.2E-2</v>
      </c>
      <c r="C1773" s="6">
        <v>0.11014168039538701</v>
      </c>
    </row>
    <row r="1774" spans="1:3" s="7" customFormat="1" x14ac:dyDescent="0.2">
      <c r="A1774" s="6" t="str">
        <f>"TMEM256"</f>
        <v>TMEM256</v>
      </c>
      <c r="B1774" s="6">
        <v>1.19880119880119E-2</v>
      </c>
      <c r="C1774" s="6">
        <v>0.11014168039538701</v>
      </c>
    </row>
    <row r="1775" spans="1:3" s="7" customFormat="1" x14ac:dyDescent="0.2">
      <c r="A1775" s="6" t="str">
        <f>"RGS5"</f>
        <v>RGS5</v>
      </c>
      <c r="B1775" s="6">
        <v>1.19880119880119E-2</v>
      </c>
      <c r="C1775" s="6">
        <v>0.11014168039538701</v>
      </c>
    </row>
    <row r="1776" spans="1:3" s="7" customFormat="1" x14ac:dyDescent="0.2">
      <c r="A1776" s="6" t="str">
        <f>"PDZD11"</f>
        <v>PDZD11</v>
      </c>
      <c r="B1776" s="6">
        <v>1.19880119880119E-2</v>
      </c>
      <c r="C1776" s="6">
        <v>0.11014168039538701</v>
      </c>
    </row>
    <row r="1777" spans="1:3" s="7" customFormat="1" x14ac:dyDescent="0.2">
      <c r="A1777" s="6" t="str">
        <f>"TIAM1"</f>
        <v>TIAM1</v>
      </c>
      <c r="B1777" s="6">
        <v>1.19880119880119E-2</v>
      </c>
      <c r="C1777" s="6">
        <v>0.11014168039538701</v>
      </c>
    </row>
    <row r="1778" spans="1:3" s="7" customFormat="1" x14ac:dyDescent="0.2">
      <c r="A1778" s="6" t="str">
        <f>"TEC"</f>
        <v>TEC</v>
      </c>
      <c r="B1778" s="6">
        <v>1.19880119880119E-2</v>
      </c>
      <c r="C1778" s="6">
        <v>0.11014168039538701</v>
      </c>
    </row>
    <row r="1779" spans="1:3" s="7" customFormat="1" x14ac:dyDescent="0.2">
      <c r="A1779" s="6" t="str">
        <f>"TCFL5"</f>
        <v>TCFL5</v>
      </c>
      <c r="B1779" s="6">
        <v>1.19880119880119E-2</v>
      </c>
      <c r="C1779" s="6">
        <v>0.11014168039538701</v>
      </c>
    </row>
    <row r="1780" spans="1:3" s="7" customFormat="1" x14ac:dyDescent="0.2">
      <c r="A1780" s="6" t="str">
        <f>"GPANK1"</f>
        <v>GPANK1</v>
      </c>
      <c r="B1780" s="6">
        <v>1.19880119880119E-2</v>
      </c>
      <c r="C1780" s="6">
        <v>0.11014168039538701</v>
      </c>
    </row>
    <row r="1781" spans="1:3" s="7" customFormat="1" x14ac:dyDescent="0.2">
      <c r="A1781" s="6" t="str">
        <f>"DMRT2"</f>
        <v>DMRT2</v>
      </c>
      <c r="B1781" s="6">
        <v>1.19880119880119E-2</v>
      </c>
      <c r="C1781" s="6">
        <v>0.11014168039538701</v>
      </c>
    </row>
    <row r="1782" spans="1:3" s="7" customFormat="1" x14ac:dyDescent="0.2">
      <c r="A1782" s="6" t="str">
        <f>"DLGAP4"</f>
        <v>DLGAP4</v>
      </c>
      <c r="B1782" s="6">
        <v>1.19880119880119E-2</v>
      </c>
      <c r="C1782" s="6">
        <v>0.11014168039538701</v>
      </c>
    </row>
    <row r="1783" spans="1:3" s="7" customFormat="1" x14ac:dyDescent="0.2">
      <c r="A1783" s="6" t="str">
        <f>"EIF5AL1"</f>
        <v>EIF5AL1</v>
      </c>
      <c r="B1783" s="6">
        <v>1.19880119880119E-2</v>
      </c>
      <c r="C1783" s="6">
        <v>0.11014168039538701</v>
      </c>
    </row>
    <row r="1784" spans="1:3" s="7" customFormat="1" x14ac:dyDescent="0.2">
      <c r="A1784" s="6" t="str">
        <f>"JARID2"</f>
        <v>JARID2</v>
      </c>
      <c r="B1784" s="6">
        <v>1.19880119880119E-2</v>
      </c>
      <c r="C1784" s="6">
        <v>0.11014168039538701</v>
      </c>
    </row>
    <row r="1785" spans="1:3" s="7" customFormat="1" x14ac:dyDescent="0.2">
      <c r="A1785" s="6" t="str">
        <f>"TOR4A"</f>
        <v>TOR4A</v>
      </c>
      <c r="B1785" s="6">
        <v>1.19880119880119E-2</v>
      </c>
      <c r="C1785" s="6">
        <v>0.11014168039538701</v>
      </c>
    </row>
    <row r="1786" spans="1:3" s="7" customFormat="1" x14ac:dyDescent="0.2">
      <c r="A1786" s="6" t="str">
        <f>"FAM222B"</f>
        <v>FAM222B</v>
      </c>
      <c r="B1786" s="6">
        <v>1.19880119880119E-2</v>
      </c>
      <c r="C1786" s="6">
        <v>0.11014168039538701</v>
      </c>
    </row>
    <row r="1787" spans="1:3" s="7" customFormat="1" x14ac:dyDescent="0.2">
      <c r="A1787" s="6" t="str">
        <f>"ANKMY2"</f>
        <v>ANKMY2</v>
      </c>
      <c r="B1787" s="6">
        <v>1.19880119880119E-2</v>
      </c>
      <c r="C1787" s="6">
        <v>0.11014168039538701</v>
      </c>
    </row>
    <row r="1788" spans="1:3" s="7" customFormat="1" x14ac:dyDescent="0.2">
      <c r="A1788" s="6" t="str">
        <f>"PDLIM4"</f>
        <v>PDLIM4</v>
      </c>
      <c r="B1788" s="6">
        <v>1.19880119880119E-2</v>
      </c>
      <c r="C1788" s="6">
        <v>0.11014168039538701</v>
      </c>
    </row>
    <row r="1789" spans="1:3" s="7" customFormat="1" x14ac:dyDescent="0.2">
      <c r="A1789" s="6" t="str">
        <f>"MT-CO2"</f>
        <v>MT-CO2</v>
      </c>
      <c r="B1789" s="6">
        <v>1.19880119880119E-2</v>
      </c>
      <c r="C1789" s="6">
        <v>0.11014168039538701</v>
      </c>
    </row>
    <row r="1790" spans="1:3" s="7" customFormat="1" x14ac:dyDescent="0.2">
      <c r="A1790" s="6" t="str">
        <f>"AL158168.1"</f>
        <v>AL158168.1</v>
      </c>
      <c r="B1790" s="6">
        <v>1.19880119880119E-2</v>
      </c>
      <c r="C1790" s="6">
        <v>0.11014168039538701</v>
      </c>
    </row>
    <row r="1791" spans="1:3" s="7" customFormat="1" x14ac:dyDescent="0.2">
      <c r="A1791" s="6" t="str">
        <f>"OR7E36P"</f>
        <v>OR7E36P</v>
      </c>
      <c r="B1791" s="6">
        <v>1.2E-2</v>
      </c>
      <c r="C1791" s="6">
        <v>0.11014168039538701</v>
      </c>
    </row>
    <row r="1792" spans="1:3" s="7" customFormat="1" x14ac:dyDescent="0.2">
      <c r="A1792" s="6" t="str">
        <f>"RAB6B"</f>
        <v>RAB6B</v>
      </c>
      <c r="B1792" s="6">
        <v>1.19880119880119E-2</v>
      </c>
      <c r="C1792" s="6">
        <v>0.11014168039538701</v>
      </c>
    </row>
    <row r="1793" spans="1:3" s="7" customFormat="1" x14ac:dyDescent="0.2">
      <c r="A1793" s="6" t="str">
        <f>"AL590302.1"</f>
        <v>AL590302.1</v>
      </c>
      <c r="B1793" s="6">
        <v>1.19880119880119E-2</v>
      </c>
      <c r="C1793" s="6">
        <v>0.11014168039538701</v>
      </c>
    </row>
    <row r="1794" spans="1:3" s="7" customFormat="1" x14ac:dyDescent="0.2">
      <c r="A1794" s="6" t="str">
        <f>"SNRPN"</f>
        <v>SNRPN</v>
      </c>
      <c r="B1794" s="6">
        <v>1.19880119880119E-2</v>
      </c>
      <c r="C1794" s="6">
        <v>0.11014168039538701</v>
      </c>
    </row>
    <row r="1795" spans="1:3" s="7" customFormat="1" x14ac:dyDescent="0.2">
      <c r="A1795" s="6" t="str">
        <f>"AC124319.2"</f>
        <v>AC124319.2</v>
      </c>
      <c r="B1795" s="6">
        <v>1.19880119880119E-2</v>
      </c>
      <c r="C1795" s="6">
        <v>0.11014168039538701</v>
      </c>
    </row>
    <row r="1796" spans="1:3" s="7" customFormat="1" x14ac:dyDescent="0.2">
      <c r="A1796" s="6" t="str">
        <f>"C4orf47"</f>
        <v>C4orf47</v>
      </c>
      <c r="B1796" s="6">
        <v>1.19880119880119E-2</v>
      </c>
      <c r="C1796" s="6">
        <v>0.11014168039538701</v>
      </c>
    </row>
    <row r="1797" spans="1:3" s="7" customFormat="1" x14ac:dyDescent="0.2">
      <c r="A1797" s="6" t="str">
        <f>"SVIL-AS1"</f>
        <v>SVIL-AS1</v>
      </c>
      <c r="B1797" s="6">
        <v>1.19880119880119E-2</v>
      </c>
      <c r="C1797" s="6">
        <v>0.11014168039538701</v>
      </c>
    </row>
    <row r="1798" spans="1:3" s="7" customFormat="1" x14ac:dyDescent="0.2">
      <c r="A1798" s="6" t="str">
        <f>"ZNF337"</f>
        <v>ZNF337</v>
      </c>
      <c r="B1798" s="6">
        <v>1.19880119880119E-2</v>
      </c>
      <c r="C1798" s="6">
        <v>0.11014168039538701</v>
      </c>
    </row>
    <row r="1799" spans="1:3" s="7" customFormat="1" x14ac:dyDescent="0.2">
      <c r="A1799" s="6" t="str">
        <f>"LINC00598"</f>
        <v>LINC00598</v>
      </c>
      <c r="B1799" s="6">
        <v>1.19880119880119E-2</v>
      </c>
      <c r="C1799" s="6">
        <v>0.11014168039538701</v>
      </c>
    </row>
    <row r="1800" spans="1:3" s="7" customFormat="1" x14ac:dyDescent="0.2">
      <c r="A1800" s="6" t="str">
        <f>"TERF2IP"</f>
        <v>TERF2IP</v>
      </c>
      <c r="B1800" s="6">
        <v>1.19880119880119E-2</v>
      </c>
      <c r="C1800" s="6">
        <v>0.11014168039538701</v>
      </c>
    </row>
    <row r="1801" spans="1:3" s="7" customFormat="1" x14ac:dyDescent="0.2">
      <c r="A1801" s="6" t="str">
        <f>"AP001830.1"</f>
        <v>AP001830.1</v>
      </c>
      <c r="B1801" s="6">
        <v>1.2E-2</v>
      </c>
      <c r="C1801" s="6">
        <v>0.11014168039538701</v>
      </c>
    </row>
    <row r="1802" spans="1:3" s="7" customFormat="1" x14ac:dyDescent="0.2">
      <c r="A1802" s="6" t="str">
        <f>"EIF4G1"</f>
        <v>EIF4G1</v>
      </c>
      <c r="B1802" s="6">
        <v>1.19880119880119E-2</v>
      </c>
      <c r="C1802" s="6">
        <v>0.11014168039538701</v>
      </c>
    </row>
    <row r="1803" spans="1:3" s="7" customFormat="1" x14ac:dyDescent="0.2">
      <c r="A1803" s="6" t="str">
        <f>"ANPEP"</f>
        <v>ANPEP</v>
      </c>
      <c r="B1803" s="6">
        <v>1.19880119880119E-2</v>
      </c>
      <c r="C1803" s="6">
        <v>0.11014168039538701</v>
      </c>
    </row>
    <row r="1804" spans="1:3" s="7" customFormat="1" x14ac:dyDescent="0.2">
      <c r="A1804" s="6" t="str">
        <f>"RAB43"</f>
        <v>RAB43</v>
      </c>
      <c r="B1804" s="6">
        <v>1.19880119880119E-2</v>
      </c>
      <c r="C1804" s="6">
        <v>0.11014168039538701</v>
      </c>
    </row>
    <row r="1805" spans="1:3" s="7" customFormat="1" x14ac:dyDescent="0.2">
      <c r="A1805" s="6" t="str">
        <f>"RASIP1"</f>
        <v>RASIP1</v>
      </c>
      <c r="B1805" s="6">
        <v>1.19880119880119E-2</v>
      </c>
      <c r="C1805" s="6">
        <v>0.11014168039538701</v>
      </c>
    </row>
    <row r="1806" spans="1:3" s="7" customFormat="1" x14ac:dyDescent="0.2">
      <c r="A1806" s="6" t="str">
        <f>"THEMIS"</f>
        <v>THEMIS</v>
      </c>
      <c r="B1806" s="6">
        <v>1.19880119880119E-2</v>
      </c>
      <c r="C1806" s="6">
        <v>0.11014168039538701</v>
      </c>
    </row>
    <row r="1807" spans="1:3" s="7" customFormat="1" x14ac:dyDescent="0.2">
      <c r="A1807" s="6" t="str">
        <f>"WDR86-AS1"</f>
        <v>WDR86-AS1</v>
      </c>
      <c r="B1807" s="6">
        <v>1.19880119880119E-2</v>
      </c>
      <c r="C1807" s="6">
        <v>0.11014168039538701</v>
      </c>
    </row>
    <row r="1808" spans="1:3" s="7" customFormat="1" x14ac:dyDescent="0.2">
      <c r="A1808" s="6" t="str">
        <f>"CD63"</f>
        <v>CD63</v>
      </c>
      <c r="B1808" s="6">
        <v>1.19880119880119E-2</v>
      </c>
      <c r="C1808" s="6">
        <v>0.11014168039538701</v>
      </c>
    </row>
    <row r="1809" spans="1:3" s="7" customFormat="1" x14ac:dyDescent="0.2">
      <c r="A1809" s="6" t="str">
        <f>"NPL"</f>
        <v>NPL</v>
      </c>
      <c r="B1809" s="6">
        <v>1.2E-2</v>
      </c>
      <c r="C1809" s="6">
        <v>0.11014168039538701</v>
      </c>
    </row>
    <row r="1810" spans="1:3" s="7" customFormat="1" x14ac:dyDescent="0.2">
      <c r="A1810" s="6" t="str">
        <f>"UBE2S"</f>
        <v>UBE2S</v>
      </c>
      <c r="B1810" s="6">
        <v>1.19880119880119E-2</v>
      </c>
      <c r="C1810" s="6">
        <v>0.11014168039538701</v>
      </c>
    </row>
    <row r="1811" spans="1:3" s="7" customFormat="1" x14ac:dyDescent="0.2">
      <c r="A1811" s="6" t="str">
        <f>"AC079781.1"</f>
        <v>AC079781.1</v>
      </c>
      <c r="B1811" s="6">
        <v>1.19880119880119E-2</v>
      </c>
      <c r="C1811" s="6">
        <v>0.11014168039538701</v>
      </c>
    </row>
    <row r="1812" spans="1:3" s="7" customFormat="1" x14ac:dyDescent="0.2">
      <c r="A1812" s="6" t="str">
        <f>"ARPC5"</f>
        <v>ARPC5</v>
      </c>
      <c r="B1812" s="6">
        <v>1.19880119880119E-2</v>
      </c>
      <c r="C1812" s="6">
        <v>0.11014168039538701</v>
      </c>
    </row>
    <row r="1813" spans="1:3" s="7" customFormat="1" x14ac:dyDescent="0.2">
      <c r="A1813" s="6" t="str">
        <f>"PAK1"</f>
        <v>PAK1</v>
      </c>
      <c r="B1813" s="6">
        <v>1.19880119880119E-2</v>
      </c>
      <c r="C1813" s="6">
        <v>0.11014168039538701</v>
      </c>
    </row>
    <row r="1814" spans="1:3" s="7" customFormat="1" x14ac:dyDescent="0.2">
      <c r="A1814" s="6" t="str">
        <f>"RAB11FIP2"</f>
        <v>RAB11FIP2</v>
      </c>
      <c r="B1814" s="6">
        <v>1.2E-2</v>
      </c>
      <c r="C1814" s="6">
        <v>0.11014168039538701</v>
      </c>
    </row>
    <row r="1815" spans="1:3" s="7" customFormat="1" x14ac:dyDescent="0.2">
      <c r="A1815" s="6" t="str">
        <f>"CSNK2A1"</f>
        <v>CSNK2A1</v>
      </c>
      <c r="B1815" s="6">
        <v>1.19880119880119E-2</v>
      </c>
      <c r="C1815" s="6">
        <v>0.11014168039538701</v>
      </c>
    </row>
    <row r="1816" spans="1:3" s="7" customFormat="1" x14ac:dyDescent="0.2">
      <c r="A1816" s="6" t="str">
        <f>"FAM74A6"</f>
        <v>FAM74A6</v>
      </c>
      <c r="B1816" s="6">
        <v>1.19880119880119E-2</v>
      </c>
      <c r="C1816" s="6">
        <v>0.11014168039538701</v>
      </c>
    </row>
    <row r="1817" spans="1:3" s="7" customFormat="1" x14ac:dyDescent="0.2">
      <c r="A1817" s="6" t="str">
        <f>"MINDY3"</f>
        <v>MINDY3</v>
      </c>
      <c r="B1817" s="6">
        <v>1.19880119880119E-2</v>
      </c>
      <c r="C1817" s="6">
        <v>0.11014168039538701</v>
      </c>
    </row>
    <row r="1818" spans="1:3" s="7" customFormat="1" x14ac:dyDescent="0.2">
      <c r="A1818" s="6" t="str">
        <f>"DDX60L"</f>
        <v>DDX60L</v>
      </c>
      <c r="B1818" s="6">
        <v>1.19880119880119E-2</v>
      </c>
      <c r="C1818" s="6">
        <v>0.11014168039538701</v>
      </c>
    </row>
    <row r="1819" spans="1:3" s="7" customFormat="1" x14ac:dyDescent="0.2">
      <c r="A1819" s="6" t="str">
        <f>"LYST"</f>
        <v>LYST</v>
      </c>
      <c r="B1819" s="6">
        <v>1.19880119880119E-2</v>
      </c>
      <c r="C1819" s="6">
        <v>0.11014168039538701</v>
      </c>
    </row>
    <row r="1820" spans="1:3" s="7" customFormat="1" x14ac:dyDescent="0.2">
      <c r="A1820" s="6" t="str">
        <f>"DZIP1L"</f>
        <v>DZIP1L</v>
      </c>
      <c r="B1820" s="6">
        <v>1.19880119880119E-2</v>
      </c>
      <c r="C1820" s="6">
        <v>0.11014168039538701</v>
      </c>
    </row>
    <row r="1821" spans="1:3" s="7" customFormat="1" x14ac:dyDescent="0.2">
      <c r="A1821" s="6" t="str">
        <f>"MYD88"</f>
        <v>MYD88</v>
      </c>
      <c r="B1821" s="6">
        <v>1.19880119880119E-2</v>
      </c>
      <c r="C1821" s="6">
        <v>0.11014168039538701</v>
      </c>
    </row>
    <row r="1822" spans="1:3" s="7" customFormat="1" x14ac:dyDescent="0.2">
      <c r="A1822" s="6" t="str">
        <f>"HMGA1"</f>
        <v>HMGA1</v>
      </c>
      <c r="B1822" s="6">
        <v>1.19880119880119E-2</v>
      </c>
      <c r="C1822" s="6">
        <v>0.11014168039538701</v>
      </c>
    </row>
    <row r="1823" spans="1:3" s="7" customFormat="1" x14ac:dyDescent="0.2">
      <c r="A1823" s="6" t="str">
        <f>"PICART1"</f>
        <v>PICART1</v>
      </c>
      <c r="B1823" s="6">
        <v>1.20240480961923E-2</v>
      </c>
      <c r="C1823" s="6">
        <v>0.11030183308439</v>
      </c>
    </row>
    <row r="1824" spans="1:3" s="7" customFormat="1" x14ac:dyDescent="0.2">
      <c r="A1824" s="6" t="str">
        <f>"HSP90AA2P"</f>
        <v>HSP90AA2P</v>
      </c>
      <c r="B1824" s="6">
        <v>1.20724346076458E-2</v>
      </c>
      <c r="C1824" s="6">
        <v>0.110684954488312</v>
      </c>
    </row>
    <row r="1825" spans="1:3" s="7" customFormat="1" x14ac:dyDescent="0.2">
      <c r="A1825" s="6" t="str">
        <f>"AC010327.5"</f>
        <v>AC010327.5</v>
      </c>
      <c r="B1825" s="6">
        <v>1.2084592145015101E-2</v>
      </c>
      <c r="C1825" s="6">
        <v>0.11073567604812599</v>
      </c>
    </row>
    <row r="1826" spans="1:3" s="7" customFormat="1" x14ac:dyDescent="0.2">
      <c r="A1826" s="6" t="str">
        <f>"RPS4XP22"</f>
        <v>RPS4XP22</v>
      </c>
      <c r="B1826" s="6">
        <v>1.20967741935483E-2</v>
      </c>
      <c r="C1826" s="6">
        <v>0.110786566504639</v>
      </c>
    </row>
    <row r="1827" spans="1:3" s="7" customFormat="1" x14ac:dyDescent="0.2">
      <c r="A1827" s="6" t="str">
        <f>"AL118558.4"</f>
        <v>AL118558.4</v>
      </c>
      <c r="B1827" s="6">
        <v>1.2170385395537499E-2</v>
      </c>
      <c r="C1827" s="6">
        <v>0.11139968318785</v>
      </c>
    </row>
    <row r="1828" spans="1:3" s="7" customFormat="1" x14ac:dyDescent="0.2">
      <c r="A1828" s="6" t="str">
        <f>"AL355334.2"</f>
        <v>AL355334.2</v>
      </c>
      <c r="B1828" s="6">
        <v>1.22448979591836E-2</v>
      </c>
      <c r="C1828" s="6">
        <v>0.11202037465232299</v>
      </c>
    </row>
    <row r="1829" spans="1:3" s="7" customFormat="1" x14ac:dyDescent="0.2">
      <c r="A1829" s="6" t="str">
        <f>"ICAM2"</f>
        <v>ICAM2</v>
      </c>
      <c r="B1829" s="6">
        <v>1.2987012987012899E-2</v>
      </c>
      <c r="C1829" s="6">
        <v>0.11334480959833</v>
      </c>
    </row>
    <row r="1830" spans="1:3" s="7" customFormat="1" x14ac:dyDescent="0.2">
      <c r="A1830" s="6" t="str">
        <f>"PKN3"</f>
        <v>PKN3</v>
      </c>
      <c r="B1830" s="6">
        <v>1.2987012987012899E-2</v>
      </c>
      <c r="C1830" s="6">
        <v>0.11334480959833</v>
      </c>
    </row>
    <row r="1831" spans="1:3" s="7" customFormat="1" x14ac:dyDescent="0.2">
      <c r="A1831" s="6" t="str">
        <f>"AATK"</f>
        <v>AATK</v>
      </c>
      <c r="B1831" s="6">
        <v>1.2987012987012899E-2</v>
      </c>
      <c r="C1831" s="6">
        <v>0.11334480959833</v>
      </c>
    </row>
    <row r="1832" spans="1:3" s="7" customFormat="1" x14ac:dyDescent="0.2">
      <c r="A1832" s="6" t="str">
        <f>"OLFM2"</f>
        <v>OLFM2</v>
      </c>
      <c r="B1832" s="6">
        <v>1.2987012987012899E-2</v>
      </c>
      <c r="C1832" s="6">
        <v>0.11334480959833</v>
      </c>
    </row>
    <row r="1833" spans="1:3" s="7" customFormat="1" x14ac:dyDescent="0.2">
      <c r="A1833" s="6" t="str">
        <f>"SEC14L1"</f>
        <v>SEC14L1</v>
      </c>
      <c r="B1833" s="6">
        <v>1.2987012987012899E-2</v>
      </c>
      <c r="C1833" s="6">
        <v>0.11334480959833</v>
      </c>
    </row>
    <row r="1834" spans="1:3" s="7" customFormat="1" x14ac:dyDescent="0.2">
      <c r="A1834" s="6" t="str">
        <f>"PNOC"</f>
        <v>PNOC</v>
      </c>
      <c r="B1834" s="6">
        <v>1.2987012987012899E-2</v>
      </c>
      <c r="C1834" s="6">
        <v>0.11334480959833</v>
      </c>
    </row>
    <row r="1835" spans="1:3" s="7" customFormat="1" x14ac:dyDescent="0.2">
      <c r="A1835" s="6" t="str">
        <f>"AC091073.1"</f>
        <v>AC091073.1</v>
      </c>
      <c r="B1835" s="6">
        <v>1.2987012987012899E-2</v>
      </c>
      <c r="C1835" s="6">
        <v>0.11334480959833</v>
      </c>
    </row>
    <row r="1836" spans="1:3" s="7" customFormat="1" x14ac:dyDescent="0.2">
      <c r="A1836" s="6" t="str">
        <f>"YJEFN3"</f>
        <v>YJEFN3</v>
      </c>
      <c r="B1836" s="6">
        <v>1.2987012987012899E-2</v>
      </c>
      <c r="C1836" s="6">
        <v>0.11334480959833</v>
      </c>
    </row>
    <row r="1837" spans="1:3" s="7" customFormat="1" x14ac:dyDescent="0.2">
      <c r="A1837" s="6" t="str">
        <f>"GUSBP3"</f>
        <v>GUSBP3</v>
      </c>
      <c r="B1837" s="6">
        <v>1.2987012987012899E-2</v>
      </c>
      <c r="C1837" s="6">
        <v>0.11334480959833</v>
      </c>
    </row>
    <row r="1838" spans="1:3" s="7" customFormat="1" x14ac:dyDescent="0.2">
      <c r="A1838" s="6" t="str">
        <f>"SLC9A3"</f>
        <v>SLC9A3</v>
      </c>
      <c r="B1838" s="6">
        <v>1.2987012987012899E-2</v>
      </c>
      <c r="C1838" s="6">
        <v>0.11334480959833</v>
      </c>
    </row>
    <row r="1839" spans="1:3" s="7" customFormat="1" x14ac:dyDescent="0.2">
      <c r="A1839" s="6" t="str">
        <f>"ADAMTS4"</f>
        <v>ADAMTS4</v>
      </c>
      <c r="B1839" s="6">
        <v>1.2987012987012899E-2</v>
      </c>
      <c r="C1839" s="6">
        <v>0.11334480959833</v>
      </c>
    </row>
    <row r="1840" spans="1:3" s="7" customFormat="1" x14ac:dyDescent="0.2">
      <c r="A1840" s="6" t="str">
        <f>"CD99L2"</f>
        <v>CD99L2</v>
      </c>
      <c r="B1840" s="6">
        <v>1.2987012987012899E-2</v>
      </c>
      <c r="C1840" s="6">
        <v>0.11334480959833</v>
      </c>
    </row>
    <row r="1841" spans="1:3" s="7" customFormat="1" x14ac:dyDescent="0.2">
      <c r="A1841" s="6" t="str">
        <f>"CD177"</f>
        <v>CD177</v>
      </c>
      <c r="B1841" s="6">
        <v>1.2987012987012899E-2</v>
      </c>
      <c r="C1841" s="6">
        <v>0.11334480959833</v>
      </c>
    </row>
    <row r="1842" spans="1:3" s="7" customFormat="1" x14ac:dyDescent="0.2">
      <c r="A1842" s="6" t="str">
        <f>"SFT2D2"</f>
        <v>SFT2D2</v>
      </c>
      <c r="B1842" s="6">
        <v>1.2987012987012899E-2</v>
      </c>
      <c r="C1842" s="6">
        <v>0.11334480959833</v>
      </c>
    </row>
    <row r="1843" spans="1:3" s="7" customFormat="1" x14ac:dyDescent="0.2">
      <c r="A1843" s="6" t="str">
        <f>"AC026704.1"</f>
        <v>AC026704.1</v>
      </c>
      <c r="B1843" s="6">
        <v>1.2987012987012899E-2</v>
      </c>
      <c r="C1843" s="6">
        <v>0.11334480959833</v>
      </c>
    </row>
    <row r="1844" spans="1:3" s="7" customFormat="1" x14ac:dyDescent="0.2">
      <c r="A1844" s="6" t="str">
        <f>"CKMT1A"</f>
        <v>CKMT1A</v>
      </c>
      <c r="B1844" s="6">
        <v>1.2987012987012899E-2</v>
      </c>
      <c r="C1844" s="6">
        <v>0.11334480959833</v>
      </c>
    </row>
    <row r="1845" spans="1:3" s="7" customFormat="1" x14ac:dyDescent="0.2">
      <c r="A1845" s="6" t="str">
        <f>"DSC1"</f>
        <v>DSC1</v>
      </c>
      <c r="B1845" s="6">
        <v>1.2999999999999999E-2</v>
      </c>
      <c r="C1845" s="6">
        <v>0.11334480959833</v>
      </c>
    </row>
    <row r="1846" spans="1:3" s="7" customFormat="1" x14ac:dyDescent="0.2">
      <c r="A1846" s="6" t="str">
        <f>"GSDMA"</f>
        <v>GSDMA</v>
      </c>
      <c r="B1846" s="6">
        <v>1.2987012987012899E-2</v>
      </c>
      <c r="C1846" s="6">
        <v>0.11334480959833</v>
      </c>
    </row>
    <row r="1847" spans="1:3" s="7" customFormat="1" x14ac:dyDescent="0.2">
      <c r="A1847" s="6" t="str">
        <f>"KIAA1191"</f>
        <v>KIAA1191</v>
      </c>
      <c r="B1847" s="6">
        <v>1.2987012987012899E-2</v>
      </c>
      <c r="C1847" s="6">
        <v>0.11334480959833</v>
      </c>
    </row>
    <row r="1848" spans="1:3" s="7" customFormat="1" x14ac:dyDescent="0.2">
      <c r="A1848" s="6" t="str">
        <f>"FUT3"</f>
        <v>FUT3</v>
      </c>
      <c r="B1848" s="6">
        <v>1.2987012987012899E-2</v>
      </c>
      <c r="C1848" s="6">
        <v>0.11334480959833</v>
      </c>
    </row>
    <row r="1849" spans="1:3" s="7" customFormat="1" x14ac:dyDescent="0.2">
      <c r="A1849" s="6" t="str">
        <f>"EPS8L1"</f>
        <v>EPS8L1</v>
      </c>
      <c r="B1849" s="6">
        <v>1.2987012987012899E-2</v>
      </c>
      <c r="C1849" s="6">
        <v>0.11334480959833</v>
      </c>
    </row>
    <row r="1850" spans="1:3" s="7" customFormat="1" x14ac:dyDescent="0.2">
      <c r="A1850" s="6" t="str">
        <f>"PSORS1C2"</f>
        <v>PSORS1C2</v>
      </c>
      <c r="B1850" s="6">
        <v>1.2987012987012899E-2</v>
      </c>
      <c r="C1850" s="6">
        <v>0.11334480959833</v>
      </c>
    </row>
    <row r="1851" spans="1:3" s="7" customFormat="1" x14ac:dyDescent="0.2">
      <c r="A1851" s="6" t="str">
        <f>"C15orf65"</f>
        <v>C15orf65</v>
      </c>
      <c r="B1851" s="6">
        <v>1.2987012987012899E-2</v>
      </c>
      <c r="C1851" s="6">
        <v>0.11334480959833</v>
      </c>
    </row>
    <row r="1852" spans="1:3" s="7" customFormat="1" x14ac:dyDescent="0.2">
      <c r="A1852" s="6" t="str">
        <f>"BCRP2"</f>
        <v>BCRP2</v>
      </c>
      <c r="B1852" s="6">
        <v>1.2987012987012899E-2</v>
      </c>
      <c r="C1852" s="6">
        <v>0.11334480959833</v>
      </c>
    </row>
    <row r="1853" spans="1:3" s="7" customFormat="1" x14ac:dyDescent="0.2">
      <c r="A1853" s="6" t="str">
        <f>"TSPAN12"</f>
        <v>TSPAN12</v>
      </c>
      <c r="B1853" s="6">
        <v>1.2987012987012899E-2</v>
      </c>
      <c r="C1853" s="6">
        <v>0.11334480959833</v>
      </c>
    </row>
    <row r="1854" spans="1:3" s="7" customFormat="1" x14ac:dyDescent="0.2">
      <c r="A1854" s="6" t="str">
        <f>"PRSS3"</f>
        <v>PRSS3</v>
      </c>
      <c r="B1854" s="6">
        <v>1.2987012987012899E-2</v>
      </c>
      <c r="C1854" s="6">
        <v>0.11334480959833</v>
      </c>
    </row>
    <row r="1855" spans="1:3" s="7" customFormat="1" x14ac:dyDescent="0.2">
      <c r="A1855" s="6" t="str">
        <f>"ABLIM2"</f>
        <v>ABLIM2</v>
      </c>
      <c r="B1855" s="6">
        <v>1.2987012987012899E-2</v>
      </c>
      <c r="C1855" s="6">
        <v>0.11334480959833</v>
      </c>
    </row>
    <row r="1856" spans="1:3" s="7" customFormat="1" x14ac:dyDescent="0.2">
      <c r="A1856" s="6" t="str">
        <f>"LINC01504"</f>
        <v>LINC01504</v>
      </c>
      <c r="B1856" s="6">
        <v>1.2987012987012899E-2</v>
      </c>
      <c r="C1856" s="6">
        <v>0.11334480959833</v>
      </c>
    </row>
    <row r="1857" spans="1:3" s="7" customFormat="1" x14ac:dyDescent="0.2">
      <c r="A1857" s="6" t="str">
        <f>"NUDCD1"</f>
        <v>NUDCD1</v>
      </c>
      <c r="B1857" s="6">
        <v>1.2987012987012899E-2</v>
      </c>
      <c r="C1857" s="6">
        <v>0.11334480959833</v>
      </c>
    </row>
    <row r="1858" spans="1:3" s="7" customFormat="1" x14ac:dyDescent="0.2">
      <c r="A1858" s="6" t="str">
        <f>"FAM3D-AS1"</f>
        <v>FAM3D-AS1</v>
      </c>
      <c r="B1858" s="6">
        <v>1.2999999999999999E-2</v>
      </c>
      <c r="C1858" s="6">
        <v>0.11334480959833</v>
      </c>
    </row>
    <row r="1859" spans="1:3" s="7" customFormat="1" x14ac:dyDescent="0.2">
      <c r="A1859" s="6" t="str">
        <f>"ARHGEF10"</f>
        <v>ARHGEF10</v>
      </c>
      <c r="B1859" s="6">
        <v>1.2987012987012899E-2</v>
      </c>
      <c r="C1859" s="6">
        <v>0.11334480959833</v>
      </c>
    </row>
    <row r="1860" spans="1:3" s="7" customFormat="1" x14ac:dyDescent="0.2">
      <c r="A1860" s="6" t="str">
        <f>"RHNO1"</f>
        <v>RHNO1</v>
      </c>
      <c r="B1860" s="6">
        <v>1.2987012987012899E-2</v>
      </c>
      <c r="C1860" s="6">
        <v>0.11334480959833</v>
      </c>
    </row>
    <row r="1861" spans="1:3" s="7" customFormat="1" x14ac:dyDescent="0.2">
      <c r="A1861" s="6" t="str">
        <f>"ANAPC11"</f>
        <v>ANAPC11</v>
      </c>
      <c r="B1861" s="6">
        <v>1.2987012987012899E-2</v>
      </c>
      <c r="C1861" s="6">
        <v>0.11334480959833</v>
      </c>
    </row>
    <row r="1862" spans="1:3" s="7" customFormat="1" x14ac:dyDescent="0.2">
      <c r="A1862" s="6" t="str">
        <f>"ST6GALNAC5"</f>
        <v>ST6GALNAC5</v>
      </c>
      <c r="B1862" s="6">
        <v>1.2987012987012899E-2</v>
      </c>
      <c r="C1862" s="6">
        <v>0.11334480959833</v>
      </c>
    </row>
    <row r="1863" spans="1:3" s="7" customFormat="1" x14ac:dyDescent="0.2">
      <c r="A1863" s="6" t="str">
        <f>"IRAK2"</f>
        <v>IRAK2</v>
      </c>
      <c r="B1863" s="6">
        <v>1.2987012987012899E-2</v>
      </c>
      <c r="C1863" s="6">
        <v>0.11334480959833</v>
      </c>
    </row>
    <row r="1864" spans="1:3" s="7" customFormat="1" x14ac:dyDescent="0.2">
      <c r="A1864" s="6" t="str">
        <f>"RAB4A"</f>
        <v>RAB4A</v>
      </c>
      <c r="B1864" s="6">
        <v>1.2987012987012899E-2</v>
      </c>
      <c r="C1864" s="6">
        <v>0.11334480959833</v>
      </c>
    </row>
    <row r="1865" spans="1:3" s="7" customFormat="1" x14ac:dyDescent="0.2">
      <c r="A1865" s="6" t="str">
        <f>"LINC02469"</f>
        <v>LINC02469</v>
      </c>
      <c r="B1865" s="6">
        <v>1.2987012987012899E-2</v>
      </c>
      <c r="C1865" s="6">
        <v>0.11334480959833</v>
      </c>
    </row>
    <row r="1866" spans="1:3" s="7" customFormat="1" x14ac:dyDescent="0.2">
      <c r="A1866" s="6" t="str">
        <f>"NFATC4"</f>
        <v>NFATC4</v>
      </c>
      <c r="B1866" s="6">
        <v>1.2987012987012899E-2</v>
      </c>
      <c r="C1866" s="6">
        <v>0.11334480959833</v>
      </c>
    </row>
    <row r="1867" spans="1:3" s="7" customFormat="1" x14ac:dyDescent="0.2">
      <c r="A1867" s="6" t="str">
        <f>"L3MBTL1"</f>
        <v>L3MBTL1</v>
      </c>
      <c r="B1867" s="6">
        <v>1.2987012987012899E-2</v>
      </c>
      <c r="C1867" s="6">
        <v>0.11334480959833</v>
      </c>
    </row>
    <row r="1868" spans="1:3" s="7" customFormat="1" x14ac:dyDescent="0.2">
      <c r="A1868" s="6" t="str">
        <f>"EIPR1"</f>
        <v>EIPR1</v>
      </c>
      <c r="B1868" s="6">
        <v>1.2987012987012899E-2</v>
      </c>
      <c r="C1868" s="6">
        <v>0.11334480959833</v>
      </c>
    </row>
    <row r="1869" spans="1:3" s="7" customFormat="1" x14ac:dyDescent="0.2">
      <c r="A1869" s="6" t="str">
        <f>"AL591806.2"</f>
        <v>AL591806.2</v>
      </c>
      <c r="B1869" s="6">
        <v>1.2987012987012899E-2</v>
      </c>
      <c r="C1869" s="6">
        <v>0.11334480959833</v>
      </c>
    </row>
    <row r="1870" spans="1:3" s="7" customFormat="1" x14ac:dyDescent="0.2">
      <c r="A1870" s="6" t="str">
        <f>"SIK1B"</f>
        <v>SIK1B</v>
      </c>
      <c r="B1870" s="6">
        <v>1.2987012987012899E-2</v>
      </c>
      <c r="C1870" s="6">
        <v>0.11334480959833</v>
      </c>
    </row>
    <row r="1871" spans="1:3" s="7" customFormat="1" x14ac:dyDescent="0.2">
      <c r="A1871" s="6" t="str">
        <f>"TACSTD2"</f>
        <v>TACSTD2</v>
      </c>
      <c r="B1871" s="6">
        <v>1.2987012987012899E-2</v>
      </c>
      <c r="C1871" s="6">
        <v>0.11334480959833</v>
      </c>
    </row>
    <row r="1872" spans="1:3" s="7" customFormat="1" x14ac:dyDescent="0.2">
      <c r="A1872" s="6" t="str">
        <f>"NTF3"</f>
        <v>NTF3</v>
      </c>
      <c r="B1872" s="6">
        <v>1.2987012987012899E-2</v>
      </c>
      <c r="C1872" s="6">
        <v>0.11334480959833</v>
      </c>
    </row>
    <row r="1873" spans="1:3" s="7" customFormat="1" x14ac:dyDescent="0.2">
      <c r="A1873" s="6" t="str">
        <f>"SLC38A9"</f>
        <v>SLC38A9</v>
      </c>
      <c r="B1873" s="6">
        <v>1.2987012987012899E-2</v>
      </c>
      <c r="C1873" s="6">
        <v>0.11334480959833</v>
      </c>
    </row>
    <row r="1874" spans="1:3" s="7" customFormat="1" x14ac:dyDescent="0.2">
      <c r="A1874" s="6" t="str">
        <f>"BCL9L"</f>
        <v>BCL9L</v>
      </c>
      <c r="B1874" s="6">
        <v>1.2987012987012899E-2</v>
      </c>
      <c r="C1874" s="6">
        <v>0.11334480959833</v>
      </c>
    </row>
    <row r="1875" spans="1:3" s="7" customFormat="1" x14ac:dyDescent="0.2">
      <c r="A1875" s="6" t="str">
        <f>"RUNX1"</f>
        <v>RUNX1</v>
      </c>
      <c r="B1875" s="6">
        <v>1.2987012987012899E-2</v>
      </c>
      <c r="C1875" s="6">
        <v>0.11334480959833</v>
      </c>
    </row>
    <row r="1876" spans="1:3" s="7" customFormat="1" x14ac:dyDescent="0.2">
      <c r="A1876" s="6" t="str">
        <f>"SPRR2B"</f>
        <v>SPRR2B</v>
      </c>
      <c r="B1876" s="6">
        <v>1.2987012987012899E-2</v>
      </c>
      <c r="C1876" s="6">
        <v>0.11334480959833</v>
      </c>
    </row>
    <row r="1877" spans="1:3" s="7" customFormat="1" x14ac:dyDescent="0.2">
      <c r="A1877" s="6" t="str">
        <f>"CD244"</f>
        <v>CD244</v>
      </c>
      <c r="B1877" s="6">
        <v>1.2987012987012899E-2</v>
      </c>
      <c r="C1877" s="6">
        <v>0.11334480959833</v>
      </c>
    </row>
    <row r="1878" spans="1:3" s="7" customFormat="1" x14ac:dyDescent="0.2">
      <c r="A1878" s="6" t="str">
        <f>"OPRL1"</f>
        <v>OPRL1</v>
      </c>
      <c r="B1878" s="6">
        <v>1.2987012987012899E-2</v>
      </c>
      <c r="C1878" s="6">
        <v>0.11334480959833</v>
      </c>
    </row>
    <row r="1879" spans="1:3" s="7" customFormat="1" x14ac:dyDescent="0.2">
      <c r="A1879" s="6" t="str">
        <f>"C6orf136"</f>
        <v>C6orf136</v>
      </c>
      <c r="B1879" s="6">
        <v>1.2987012987012899E-2</v>
      </c>
      <c r="C1879" s="6">
        <v>0.11334480959833</v>
      </c>
    </row>
    <row r="1880" spans="1:3" s="7" customFormat="1" x14ac:dyDescent="0.2">
      <c r="A1880" s="6" t="str">
        <f>"GSTA1"</f>
        <v>GSTA1</v>
      </c>
      <c r="B1880" s="6">
        <v>1.2987012987012899E-2</v>
      </c>
      <c r="C1880" s="6">
        <v>0.11334480959833</v>
      </c>
    </row>
    <row r="1881" spans="1:3" s="7" customFormat="1" x14ac:dyDescent="0.2">
      <c r="A1881" s="6" t="str">
        <f>"LRRC17"</f>
        <v>LRRC17</v>
      </c>
      <c r="B1881" s="6">
        <v>1.2987012987012899E-2</v>
      </c>
      <c r="C1881" s="6">
        <v>0.11334480959833</v>
      </c>
    </row>
    <row r="1882" spans="1:3" s="7" customFormat="1" x14ac:dyDescent="0.2">
      <c r="A1882" s="6" t="str">
        <f>"USP15"</f>
        <v>USP15</v>
      </c>
      <c r="B1882" s="6">
        <v>1.2987012987012899E-2</v>
      </c>
      <c r="C1882" s="6">
        <v>0.11334480959833</v>
      </c>
    </row>
    <row r="1883" spans="1:3" s="7" customFormat="1" x14ac:dyDescent="0.2">
      <c r="A1883" s="6" t="str">
        <f>"ATXN2"</f>
        <v>ATXN2</v>
      </c>
      <c r="B1883" s="6">
        <v>1.2987012987012899E-2</v>
      </c>
      <c r="C1883" s="6">
        <v>0.11334480959833</v>
      </c>
    </row>
    <row r="1884" spans="1:3" s="7" customFormat="1" x14ac:dyDescent="0.2">
      <c r="A1884" s="6" t="str">
        <f>"CFL1"</f>
        <v>CFL1</v>
      </c>
      <c r="B1884" s="6">
        <v>1.2987012987012899E-2</v>
      </c>
      <c r="C1884" s="6">
        <v>0.11334480959833</v>
      </c>
    </row>
    <row r="1885" spans="1:3" s="7" customFormat="1" x14ac:dyDescent="0.2">
      <c r="A1885" s="6" t="str">
        <f>"AC012123.1"</f>
        <v>AC012123.1</v>
      </c>
      <c r="B1885" s="6">
        <v>1.2999999999999999E-2</v>
      </c>
      <c r="C1885" s="6">
        <v>0.11334480959833</v>
      </c>
    </row>
    <row r="1886" spans="1:3" s="7" customFormat="1" x14ac:dyDescent="0.2">
      <c r="A1886" s="6" t="str">
        <f>"RASSF8-AS1"</f>
        <v>RASSF8-AS1</v>
      </c>
      <c r="B1886" s="6">
        <v>1.2987012987012899E-2</v>
      </c>
      <c r="C1886" s="6">
        <v>0.11334480959833</v>
      </c>
    </row>
    <row r="1887" spans="1:3" s="7" customFormat="1" x14ac:dyDescent="0.2">
      <c r="A1887" s="6" t="str">
        <f>"GDPD3"</f>
        <v>GDPD3</v>
      </c>
      <c r="B1887" s="6">
        <v>1.2987012987012899E-2</v>
      </c>
      <c r="C1887" s="6">
        <v>0.11334480959833</v>
      </c>
    </row>
    <row r="1888" spans="1:3" s="7" customFormat="1" x14ac:dyDescent="0.2">
      <c r="A1888" s="6" t="str">
        <f>"LINC02757"</f>
        <v>LINC02757</v>
      </c>
      <c r="B1888" s="6">
        <v>1.2987012987012899E-2</v>
      </c>
      <c r="C1888" s="6">
        <v>0.11334480959833</v>
      </c>
    </row>
    <row r="1889" spans="1:3" s="7" customFormat="1" x14ac:dyDescent="0.2">
      <c r="A1889" s="6" t="str">
        <f>"SLC25A32"</f>
        <v>SLC25A32</v>
      </c>
      <c r="B1889" s="6">
        <v>1.2987012987012899E-2</v>
      </c>
      <c r="C1889" s="6">
        <v>0.11334480959833</v>
      </c>
    </row>
    <row r="1890" spans="1:3" s="7" customFormat="1" x14ac:dyDescent="0.2">
      <c r="A1890" s="6" t="str">
        <f>"TNFSF9"</f>
        <v>TNFSF9</v>
      </c>
      <c r="B1890" s="6">
        <v>1.2987012987012899E-2</v>
      </c>
      <c r="C1890" s="6">
        <v>0.11334480959833</v>
      </c>
    </row>
    <row r="1891" spans="1:3" s="7" customFormat="1" x14ac:dyDescent="0.2">
      <c r="A1891" s="6" t="str">
        <f>"TAP2"</f>
        <v>TAP2</v>
      </c>
      <c r="B1891" s="6">
        <v>1.2987012987012899E-2</v>
      </c>
      <c r="C1891" s="6">
        <v>0.11334480959833</v>
      </c>
    </row>
    <row r="1892" spans="1:3" s="7" customFormat="1" x14ac:dyDescent="0.2">
      <c r="A1892" s="6" t="str">
        <f>"GSTM2"</f>
        <v>GSTM2</v>
      </c>
      <c r="B1892" s="6">
        <v>1.2987012987012899E-2</v>
      </c>
      <c r="C1892" s="6">
        <v>0.11334480959833</v>
      </c>
    </row>
    <row r="1893" spans="1:3" s="7" customFormat="1" x14ac:dyDescent="0.2">
      <c r="A1893" s="6" t="str">
        <f>"PDE8B"</f>
        <v>PDE8B</v>
      </c>
      <c r="B1893" s="6">
        <v>1.2987012987012899E-2</v>
      </c>
      <c r="C1893" s="6">
        <v>0.11334480959833</v>
      </c>
    </row>
    <row r="1894" spans="1:3" s="7" customFormat="1" x14ac:dyDescent="0.2">
      <c r="A1894" s="6" t="str">
        <f>"ATL2"</f>
        <v>ATL2</v>
      </c>
      <c r="B1894" s="6">
        <v>1.2987012987012899E-2</v>
      </c>
      <c r="C1894" s="6">
        <v>0.11334480959833</v>
      </c>
    </row>
    <row r="1895" spans="1:3" s="7" customFormat="1" x14ac:dyDescent="0.2">
      <c r="A1895" s="6" t="str">
        <f>"ARPC1A"</f>
        <v>ARPC1A</v>
      </c>
      <c r="B1895" s="6">
        <v>1.2987012987012899E-2</v>
      </c>
      <c r="C1895" s="6">
        <v>0.11334480959833</v>
      </c>
    </row>
    <row r="1896" spans="1:3" s="7" customFormat="1" x14ac:dyDescent="0.2">
      <c r="A1896" s="6" t="str">
        <f>"CP"</f>
        <v>CP</v>
      </c>
      <c r="B1896" s="6">
        <v>1.2987012987012899E-2</v>
      </c>
      <c r="C1896" s="6">
        <v>0.11334480959833</v>
      </c>
    </row>
    <row r="1897" spans="1:3" s="7" customFormat="1" x14ac:dyDescent="0.2">
      <c r="A1897" s="6" t="str">
        <f>"ATP6V0D2"</f>
        <v>ATP6V0D2</v>
      </c>
      <c r="B1897" s="6">
        <v>1.2987012987012899E-2</v>
      </c>
      <c r="C1897" s="6">
        <v>0.11334480959833</v>
      </c>
    </row>
    <row r="1898" spans="1:3" s="7" customFormat="1" x14ac:dyDescent="0.2">
      <c r="A1898" s="6" t="str">
        <f>"TNPO2"</f>
        <v>TNPO2</v>
      </c>
      <c r="B1898" s="6">
        <v>1.2987012987012899E-2</v>
      </c>
      <c r="C1898" s="6">
        <v>0.11334480959833</v>
      </c>
    </row>
    <row r="1899" spans="1:3" s="7" customFormat="1" x14ac:dyDescent="0.2">
      <c r="A1899" s="6" t="str">
        <f>"TMC8"</f>
        <v>TMC8</v>
      </c>
      <c r="B1899" s="6">
        <v>1.2987012987012899E-2</v>
      </c>
      <c r="C1899" s="6">
        <v>0.11334480959833</v>
      </c>
    </row>
    <row r="1900" spans="1:3" s="7" customFormat="1" x14ac:dyDescent="0.2">
      <c r="A1900" s="6" t="str">
        <f>"ZNF740"</f>
        <v>ZNF740</v>
      </c>
      <c r="B1900" s="6">
        <v>1.2987012987012899E-2</v>
      </c>
      <c r="C1900" s="6">
        <v>0.11334480959833</v>
      </c>
    </row>
    <row r="1901" spans="1:3" s="7" customFormat="1" x14ac:dyDescent="0.2">
      <c r="A1901" s="6" t="str">
        <f>"HENMT1"</f>
        <v>HENMT1</v>
      </c>
      <c r="B1901" s="6">
        <v>1.2987012987012899E-2</v>
      </c>
      <c r="C1901" s="6">
        <v>0.11334480959833</v>
      </c>
    </row>
    <row r="1902" spans="1:3" s="7" customFormat="1" x14ac:dyDescent="0.2">
      <c r="A1902" s="6" t="str">
        <f>"CES4A"</f>
        <v>CES4A</v>
      </c>
      <c r="B1902" s="6">
        <v>1.2987012987012899E-2</v>
      </c>
      <c r="C1902" s="6">
        <v>0.11334480959833</v>
      </c>
    </row>
    <row r="1903" spans="1:3" s="7" customFormat="1" x14ac:dyDescent="0.2">
      <c r="A1903" s="6" t="str">
        <f>"LILRB4"</f>
        <v>LILRB4</v>
      </c>
      <c r="B1903" s="6">
        <v>1.2987012987012899E-2</v>
      </c>
      <c r="C1903" s="6">
        <v>0.11334480959833</v>
      </c>
    </row>
    <row r="1904" spans="1:3" s="7" customFormat="1" x14ac:dyDescent="0.2">
      <c r="A1904" s="6" t="str">
        <f>"DCDC2B"</f>
        <v>DCDC2B</v>
      </c>
      <c r="B1904" s="6">
        <v>1.2987012987012899E-2</v>
      </c>
      <c r="C1904" s="6">
        <v>0.11334480959833</v>
      </c>
    </row>
    <row r="1905" spans="1:3" s="7" customFormat="1" x14ac:dyDescent="0.2">
      <c r="A1905" s="6" t="str">
        <f>"DGKA"</f>
        <v>DGKA</v>
      </c>
      <c r="B1905" s="6">
        <v>1.2987012987012899E-2</v>
      </c>
      <c r="C1905" s="6">
        <v>0.11334480959833</v>
      </c>
    </row>
    <row r="1906" spans="1:3" s="7" customFormat="1" x14ac:dyDescent="0.2">
      <c r="A1906" s="6" t="str">
        <f>"AL121790.2"</f>
        <v>AL121790.2</v>
      </c>
      <c r="B1906" s="6">
        <v>1.2987012987012899E-2</v>
      </c>
      <c r="C1906" s="6">
        <v>0.11334480959833</v>
      </c>
    </row>
    <row r="1907" spans="1:3" s="7" customFormat="1" x14ac:dyDescent="0.2">
      <c r="A1907" s="6" t="str">
        <f>"ST6GALNAC2"</f>
        <v>ST6GALNAC2</v>
      </c>
      <c r="B1907" s="6">
        <v>1.2987012987012899E-2</v>
      </c>
      <c r="C1907" s="6">
        <v>0.11334480959833</v>
      </c>
    </row>
    <row r="1908" spans="1:3" s="7" customFormat="1" x14ac:dyDescent="0.2">
      <c r="A1908" s="6" t="str">
        <f>"AC096637.2"</f>
        <v>AC096637.2</v>
      </c>
      <c r="B1908" s="6">
        <v>1.2987012987012899E-2</v>
      </c>
      <c r="C1908" s="6">
        <v>0.11334480959833</v>
      </c>
    </row>
    <row r="1909" spans="1:3" s="7" customFormat="1" x14ac:dyDescent="0.2">
      <c r="A1909" s="6" t="str">
        <f>"ANKRD22"</f>
        <v>ANKRD22</v>
      </c>
      <c r="B1909" s="6">
        <v>1.2987012987012899E-2</v>
      </c>
      <c r="C1909" s="6">
        <v>0.11334480959833</v>
      </c>
    </row>
    <row r="1910" spans="1:3" s="7" customFormat="1" x14ac:dyDescent="0.2">
      <c r="A1910" s="6" t="str">
        <f>"CACNA2D2"</f>
        <v>CACNA2D2</v>
      </c>
      <c r="B1910" s="6">
        <v>1.2987012987012899E-2</v>
      </c>
      <c r="C1910" s="6">
        <v>0.11334480959833</v>
      </c>
    </row>
    <row r="1911" spans="1:3" s="7" customFormat="1" x14ac:dyDescent="0.2">
      <c r="A1911" s="6" t="str">
        <f>"SCLT1"</f>
        <v>SCLT1</v>
      </c>
      <c r="B1911" s="6">
        <v>1.2987012987012899E-2</v>
      </c>
      <c r="C1911" s="6">
        <v>0.11334480959833</v>
      </c>
    </row>
    <row r="1912" spans="1:3" s="7" customFormat="1" x14ac:dyDescent="0.2">
      <c r="A1912" s="6" t="str">
        <f>"RPS6"</f>
        <v>RPS6</v>
      </c>
      <c r="B1912" s="6">
        <v>1.2987012987012899E-2</v>
      </c>
      <c r="C1912" s="6">
        <v>0.11334480959833</v>
      </c>
    </row>
    <row r="1913" spans="1:3" s="7" customFormat="1" x14ac:dyDescent="0.2">
      <c r="A1913" s="6" t="str">
        <f>"GPI"</f>
        <v>GPI</v>
      </c>
      <c r="B1913" s="6">
        <v>1.2987012987012899E-2</v>
      </c>
      <c r="C1913" s="6">
        <v>0.11334480959833</v>
      </c>
    </row>
    <row r="1914" spans="1:3" s="7" customFormat="1" x14ac:dyDescent="0.2">
      <c r="A1914" s="6" t="str">
        <f>"IER3-AS1"</f>
        <v>IER3-AS1</v>
      </c>
      <c r="B1914" s="6">
        <v>1.2987012987012899E-2</v>
      </c>
      <c r="C1914" s="6">
        <v>0.11334480959833</v>
      </c>
    </row>
    <row r="1915" spans="1:3" s="7" customFormat="1" x14ac:dyDescent="0.2">
      <c r="A1915" s="6" t="str">
        <f>"KLF15"</f>
        <v>KLF15</v>
      </c>
      <c r="B1915" s="6">
        <v>1.2987012987012899E-2</v>
      </c>
      <c r="C1915" s="6">
        <v>0.11334480959833</v>
      </c>
    </row>
    <row r="1916" spans="1:3" s="7" customFormat="1" x14ac:dyDescent="0.2">
      <c r="A1916" s="6" t="str">
        <f>"NOL4L"</f>
        <v>NOL4L</v>
      </c>
      <c r="B1916" s="6">
        <v>1.2987012987012899E-2</v>
      </c>
      <c r="C1916" s="6">
        <v>0.11334480959833</v>
      </c>
    </row>
    <row r="1917" spans="1:3" s="7" customFormat="1" x14ac:dyDescent="0.2">
      <c r="A1917" s="6" t="str">
        <f>"HMGB1"</f>
        <v>HMGB1</v>
      </c>
      <c r="B1917" s="6">
        <v>1.2987012987012899E-2</v>
      </c>
      <c r="C1917" s="6">
        <v>0.11334480959833</v>
      </c>
    </row>
    <row r="1918" spans="1:3" s="7" customFormat="1" x14ac:dyDescent="0.2">
      <c r="A1918" s="6" t="str">
        <f>"JUNB"</f>
        <v>JUNB</v>
      </c>
      <c r="B1918" s="6">
        <v>1.2987012987012899E-2</v>
      </c>
      <c r="C1918" s="6">
        <v>0.11334480959833</v>
      </c>
    </row>
    <row r="1919" spans="1:3" s="7" customFormat="1" x14ac:dyDescent="0.2">
      <c r="A1919" s="6" t="str">
        <f>"DCHS1"</f>
        <v>DCHS1</v>
      </c>
      <c r="B1919" s="6">
        <v>1.30260521042084E-2</v>
      </c>
      <c r="C1919" s="6">
        <v>0.11351273976524399</v>
      </c>
    </row>
    <row r="1920" spans="1:3" s="7" customFormat="1" x14ac:dyDescent="0.2">
      <c r="A1920" s="6" t="str">
        <f>"AL033530.1"</f>
        <v>AL033530.1</v>
      </c>
      <c r="B1920" s="6">
        <v>1.33470225872689E-2</v>
      </c>
      <c r="C1920" s="6">
        <v>0.11624915868869901</v>
      </c>
    </row>
    <row r="1921" spans="1:3" s="7" customFormat="1" x14ac:dyDescent="0.2">
      <c r="A1921" s="6" t="str">
        <f>"AL117339.3"</f>
        <v>AL117339.3</v>
      </c>
      <c r="B1921" s="6">
        <v>1.33928571428571E-2</v>
      </c>
      <c r="C1921" s="6">
        <v>0.116587611607142</v>
      </c>
    </row>
    <row r="1922" spans="1:3" s="7" customFormat="1" x14ac:dyDescent="0.2">
      <c r="A1922" s="6" t="str">
        <f>"RAB39B"</f>
        <v>RAB39B</v>
      </c>
      <c r="B1922" s="6">
        <v>1.3986013986013899E-2</v>
      </c>
      <c r="C1922" s="6">
        <v>0.117704225352112</v>
      </c>
    </row>
    <row r="1923" spans="1:3" s="7" customFormat="1" x14ac:dyDescent="0.2">
      <c r="A1923" s="6" t="str">
        <f>"GHRL"</f>
        <v>GHRL</v>
      </c>
      <c r="B1923" s="6">
        <v>1.3986013986013899E-2</v>
      </c>
      <c r="C1923" s="6">
        <v>0.117704225352112</v>
      </c>
    </row>
    <row r="1924" spans="1:3" s="7" customFormat="1" x14ac:dyDescent="0.2">
      <c r="A1924" s="6" t="str">
        <f>"AP002381.2"</f>
        <v>AP002381.2</v>
      </c>
      <c r="B1924" s="6">
        <v>1.3986013986013899E-2</v>
      </c>
      <c r="C1924" s="6">
        <v>0.117704225352112</v>
      </c>
    </row>
    <row r="1925" spans="1:3" s="7" customFormat="1" x14ac:dyDescent="0.2">
      <c r="A1925" s="6" t="str">
        <f>"MFSD14B"</f>
        <v>MFSD14B</v>
      </c>
      <c r="B1925" s="6">
        <v>1.3986013986013899E-2</v>
      </c>
      <c r="C1925" s="6">
        <v>0.117704225352112</v>
      </c>
    </row>
    <row r="1926" spans="1:3" s="7" customFormat="1" x14ac:dyDescent="0.2">
      <c r="A1926" s="6" t="str">
        <f>"AHCYL1"</f>
        <v>AHCYL1</v>
      </c>
      <c r="B1926" s="6">
        <v>1.3986013986013899E-2</v>
      </c>
      <c r="C1926" s="6">
        <v>0.117704225352112</v>
      </c>
    </row>
    <row r="1927" spans="1:3" s="7" customFormat="1" x14ac:dyDescent="0.2">
      <c r="A1927" s="6" t="str">
        <f>"IVNS1ABP"</f>
        <v>IVNS1ABP</v>
      </c>
      <c r="B1927" s="6">
        <v>1.3986013986013899E-2</v>
      </c>
      <c r="C1927" s="6">
        <v>0.117704225352112</v>
      </c>
    </row>
    <row r="1928" spans="1:3" s="7" customFormat="1" x14ac:dyDescent="0.2">
      <c r="A1928" s="6" t="str">
        <f>"LINC01366"</f>
        <v>LINC01366</v>
      </c>
      <c r="B1928" s="6">
        <v>1.3986013986013899E-2</v>
      </c>
      <c r="C1928" s="6">
        <v>0.117704225352112</v>
      </c>
    </row>
    <row r="1929" spans="1:3" s="7" customFormat="1" x14ac:dyDescent="0.2">
      <c r="A1929" s="6" t="str">
        <f>"AL359397.2"</f>
        <v>AL359397.2</v>
      </c>
      <c r="B1929" s="6">
        <v>1.3986013986013899E-2</v>
      </c>
      <c r="C1929" s="6">
        <v>0.117704225352112</v>
      </c>
    </row>
    <row r="1930" spans="1:3" s="7" customFormat="1" x14ac:dyDescent="0.2">
      <c r="A1930" s="6" t="str">
        <f>"CYRIA"</f>
        <v>CYRIA</v>
      </c>
      <c r="B1930" s="6">
        <v>1.3986013986013899E-2</v>
      </c>
      <c r="C1930" s="6">
        <v>0.117704225352112</v>
      </c>
    </row>
    <row r="1931" spans="1:3" s="7" customFormat="1" x14ac:dyDescent="0.2">
      <c r="A1931" s="6" t="str">
        <f>"DVL3"</f>
        <v>DVL3</v>
      </c>
      <c r="B1931" s="6">
        <v>1.3986013986013899E-2</v>
      </c>
      <c r="C1931" s="6">
        <v>0.117704225352112</v>
      </c>
    </row>
    <row r="1932" spans="1:3" s="7" customFormat="1" x14ac:dyDescent="0.2">
      <c r="A1932" s="6" t="str">
        <f>"SLC5A12"</f>
        <v>SLC5A12</v>
      </c>
      <c r="B1932" s="6">
        <v>1.3986013986013899E-2</v>
      </c>
      <c r="C1932" s="6">
        <v>0.117704225352112</v>
      </c>
    </row>
    <row r="1933" spans="1:3" s="7" customFormat="1" x14ac:dyDescent="0.2">
      <c r="A1933" s="6" t="str">
        <f>"SAMD4A"</f>
        <v>SAMD4A</v>
      </c>
      <c r="B1933" s="6">
        <v>1.3986013986013899E-2</v>
      </c>
      <c r="C1933" s="6">
        <v>0.117704225352112</v>
      </c>
    </row>
    <row r="1934" spans="1:3" s="7" customFormat="1" x14ac:dyDescent="0.2">
      <c r="A1934" s="6" t="str">
        <f>"ARHGEF2"</f>
        <v>ARHGEF2</v>
      </c>
      <c r="B1934" s="6">
        <v>1.4E-2</v>
      </c>
      <c r="C1934" s="6">
        <v>0.117704225352112</v>
      </c>
    </row>
    <row r="1935" spans="1:3" s="7" customFormat="1" x14ac:dyDescent="0.2">
      <c r="A1935" s="6" t="str">
        <f>"HIBCH"</f>
        <v>HIBCH</v>
      </c>
      <c r="B1935" s="6">
        <v>1.3986013986013899E-2</v>
      </c>
      <c r="C1935" s="6">
        <v>0.117704225352112</v>
      </c>
    </row>
    <row r="1936" spans="1:3" s="7" customFormat="1" x14ac:dyDescent="0.2">
      <c r="A1936" s="6" t="str">
        <f>"FRMD6-AS1"</f>
        <v>FRMD6-AS1</v>
      </c>
      <c r="B1936" s="6">
        <v>1.4E-2</v>
      </c>
      <c r="C1936" s="6">
        <v>0.117704225352112</v>
      </c>
    </row>
    <row r="1937" spans="1:3" s="7" customFormat="1" x14ac:dyDescent="0.2">
      <c r="A1937" s="6" t="str">
        <f>"AC069281.2"</f>
        <v>AC069281.2</v>
      </c>
      <c r="B1937" s="6">
        <v>1.3986013986013899E-2</v>
      </c>
      <c r="C1937" s="6">
        <v>0.117704225352112</v>
      </c>
    </row>
    <row r="1938" spans="1:3" s="7" customFormat="1" x14ac:dyDescent="0.2">
      <c r="A1938" s="6" t="str">
        <f>"PGGT1B"</f>
        <v>PGGT1B</v>
      </c>
      <c r="B1938" s="6">
        <v>1.3986013986013899E-2</v>
      </c>
      <c r="C1938" s="6">
        <v>0.117704225352112</v>
      </c>
    </row>
    <row r="1939" spans="1:3" s="7" customFormat="1" x14ac:dyDescent="0.2">
      <c r="A1939" s="6" t="str">
        <f>"DPH5"</f>
        <v>DPH5</v>
      </c>
      <c r="B1939" s="6">
        <v>1.3986013986013899E-2</v>
      </c>
      <c r="C1939" s="6">
        <v>0.117704225352112</v>
      </c>
    </row>
    <row r="1940" spans="1:3" s="7" customFormat="1" x14ac:dyDescent="0.2">
      <c r="A1940" s="6" t="str">
        <f>"PDE7A"</f>
        <v>PDE7A</v>
      </c>
      <c r="B1940" s="6">
        <v>1.3986013986013899E-2</v>
      </c>
      <c r="C1940" s="6">
        <v>0.117704225352112</v>
      </c>
    </row>
    <row r="1941" spans="1:3" s="7" customFormat="1" x14ac:dyDescent="0.2">
      <c r="A1941" s="6" t="str">
        <f>"AC008124.1"</f>
        <v>AC008124.1</v>
      </c>
      <c r="B1941" s="6">
        <v>1.3986013986013899E-2</v>
      </c>
      <c r="C1941" s="6">
        <v>0.117704225352112</v>
      </c>
    </row>
    <row r="1942" spans="1:3" s="7" customFormat="1" x14ac:dyDescent="0.2">
      <c r="A1942" s="6" t="str">
        <f>"SP140"</f>
        <v>SP140</v>
      </c>
      <c r="B1942" s="6">
        <v>1.3986013986013899E-2</v>
      </c>
      <c r="C1942" s="6">
        <v>0.117704225352112</v>
      </c>
    </row>
    <row r="1943" spans="1:3" s="7" customFormat="1" x14ac:dyDescent="0.2">
      <c r="A1943" s="6" t="str">
        <f>"OSBPL1A"</f>
        <v>OSBPL1A</v>
      </c>
      <c r="B1943" s="6">
        <v>1.3986013986013899E-2</v>
      </c>
      <c r="C1943" s="6">
        <v>0.117704225352112</v>
      </c>
    </row>
    <row r="1944" spans="1:3" s="7" customFormat="1" x14ac:dyDescent="0.2">
      <c r="A1944" s="6" t="str">
        <f>"DM1-AS"</f>
        <v>DM1-AS</v>
      </c>
      <c r="B1944" s="6">
        <v>1.4E-2</v>
      </c>
      <c r="C1944" s="6">
        <v>0.117704225352112</v>
      </c>
    </row>
    <row r="1945" spans="1:3" s="7" customFormat="1" x14ac:dyDescent="0.2">
      <c r="A1945" s="6" t="str">
        <f>"GATB"</f>
        <v>GATB</v>
      </c>
      <c r="B1945" s="6">
        <v>1.3986013986013899E-2</v>
      </c>
      <c r="C1945" s="6">
        <v>0.117704225352112</v>
      </c>
    </row>
    <row r="1946" spans="1:3" s="7" customFormat="1" x14ac:dyDescent="0.2">
      <c r="A1946" s="6" t="str">
        <f>"ATL1"</f>
        <v>ATL1</v>
      </c>
      <c r="B1946" s="6">
        <v>1.3986013986013899E-2</v>
      </c>
      <c r="C1946" s="6">
        <v>0.117704225352112</v>
      </c>
    </row>
    <row r="1947" spans="1:3" s="7" customFormat="1" x14ac:dyDescent="0.2">
      <c r="A1947" s="6" t="str">
        <f>"RRP15"</f>
        <v>RRP15</v>
      </c>
      <c r="B1947" s="6">
        <v>1.3986013986013899E-2</v>
      </c>
      <c r="C1947" s="6">
        <v>0.117704225352112</v>
      </c>
    </row>
    <row r="1948" spans="1:3" s="7" customFormat="1" x14ac:dyDescent="0.2">
      <c r="A1948" s="6" t="str">
        <f>"AC010329.1"</f>
        <v>AC010329.1</v>
      </c>
      <c r="B1948" s="6">
        <v>1.3986013986013899E-2</v>
      </c>
      <c r="C1948" s="6">
        <v>0.117704225352112</v>
      </c>
    </row>
    <row r="1949" spans="1:3" s="7" customFormat="1" x14ac:dyDescent="0.2">
      <c r="A1949" s="6" t="str">
        <f>"ZNF689"</f>
        <v>ZNF689</v>
      </c>
      <c r="B1949" s="6">
        <v>1.3986013986013899E-2</v>
      </c>
      <c r="C1949" s="6">
        <v>0.117704225352112</v>
      </c>
    </row>
    <row r="1950" spans="1:3" s="7" customFormat="1" x14ac:dyDescent="0.2">
      <c r="A1950" s="6" t="str">
        <f>"SLC8A2"</f>
        <v>SLC8A2</v>
      </c>
      <c r="B1950" s="6">
        <v>1.3986013986013899E-2</v>
      </c>
      <c r="C1950" s="6">
        <v>0.117704225352112</v>
      </c>
    </row>
    <row r="1951" spans="1:3" s="7" customFormat="1" x14ac:dyDescent="0.2">
      <c r="A1951" s="6" t="str">
        <f>"SUPT20H"</f>
        <v>SUPT20H</v>
      </c>
      <c r="B1951" s="6">
        <v>1.3986013986013899E-2</v>
      </c>
      <c r="C1951" s="6">
        <v>0.117704225352112</v>
      </c>
    </row>
    <row r="1952" spans="1:3" s="7" customFormat="1" x14ac:dyDescent="0.2">
      <c r="A1952" s="6" t="str">
        <f>"RAB37"</f>
        <v>RAB37</v>
      </c>
      <c r="B1952" s="6">
        <v>1.3986013986013899E-2</v>
      </c>
      <c r="C1952" s="6">
        <v>0.117704225352112</v>
      </c>
    </row>
    <row r="1953" spans="1:3" s="7" customFormat="1" x14ac:dyDescent="0.2">
      <c r="A1953" s="6" t="str">
        <f>"ATP6V1E2"</f>
        <v>ATP6V1E2</v>
      </c>
      <c r="B1953" s="6">
        <v>1.3986013986013899E-2</v>
      </c>
      <c r="C1953" s="6">
        <v>0.117704225352112</v>
      </c>
    </row>
    <row r="1954" spans="1:3" s="7" customFormat="1" x14ac:dyDescent="0.2">
      <c r="A1954" s="6" t="str">
        <f>"TXNRD3"</f>
        <v>TXNRD3</v>
      </c>
      <c r="B1954" s="6">
        <v>1.3986013986013899E-2</v>
      </c>
      <c r="C1954" s="6">
        <v>0.117704225352112</v>
      </c>
    </row>
    <row r="1955" spans="1:3" s="7" customFormat="1" x14ac:dyDescent="0.2">
      <c r="A1955" s="6" t="str">
        <f>"SBK1"</f>
        <v>SBK1</v>
      </c>
      <c r="B1955" s="6">
        <v>1.3986013986013899E-2</v>
      </c>
      <c r="C1955" s="6">
        <v>0.117704225352112</v>
      </c>
    </row>
    <row r="1956" spans="1:3" s="7" customFormat="1" x14ac:dyDescent="0.2">
      <c r="A1956" s="6" t="str">
        <f>"MATN2"</f>
        <v>MATN2</v>
      </c>
      <c r="B1956" s="6">
        <v>1.3986013986013899E-2</v>
      </c>
      <c r="C1956" s="6">
        <v>0.117704225352112</v>
      </c>
    </row>
    <row r="1957" spans="1:3" s="7" customFormat="1" x14ac:dyDescent="0.2">
      <c r="A1957" s="6" t="str">
        <f>"CDC42EP1"</f>
        <v>CDC42EP1</v>
      </c>
      <c r="B1957" s="6">
        <v>1.3986013986013899E-2</v>
      </c>
      <c r="C1957" s="6">
        <v>0.117704225352112</v>
      </c>
    </row>
    <row r="1958" spans="1:3" s="7" customFormat="1" x14ac:dyDescent="0.2">
      <c r="A1958" s="6" t="str">
        <f>"PPIL4"</f>
        <v>PPIL4</v>
      </c>
      <c r="B1958" s="6">
        <v>1.3986013986013899E-2</v>
      </c>
      <c r="C1958" s="6">
        <v>0.117704225352112</v>
      </c>
    </row>
    <row r="1959" spans="1:3" s="7" customFormat="1" x14ac:dyDescent="0.2">
      <c r="A1959" s="6" t="str">
        <f>"DRD1"</f>
        <v>DRD1</v>
      </c>
      <c r="B1959" s="6">
        <v>1.4E-2</v>
      </c>
      <c r="C1959" s="6">
        <v>0.117704225352112</v>
      </c>
    </row>
    <row r="1960" spans="1:3" s="7" customFormat="1" x14ac:dyDescent="0.2">
      <c r="A1960" s="6" t="str">
        <f>"AC096647.1"</f>
        <v>AC096647.1</v>
      </c>
      <c r="B1960" s="6">
        <v>1.3986013986013899E-2</v>
      </c>
      <c r="C1960" s="6">
        <v>0.117704225352112</v>
      </c>
    </row>
    <row r="1961" spans="1:3" s="7" customFormat="1" x14ac:dyDescent="0.2">
      <c r="A1961" s="6" t="str">
        <f>"AC135048.1"</f>
        <v>AC135048.1</v>
      </c>
      <c r="B1961" s="6">
        <v>1.3986013986013899E-2</v>
      </c>
      <c r="C1961" s="6">
        <v>0.117704225352112</v>
      </c>
    </row>
    <row r="1962" spans="1:3" s="7" customFormat="1" x14ac:dyDescent="0.2">
      <c r="A1962" s="6" t="str">
        <f>"TIMELESS"</f>
        <v>TIMELESS</v>
      </c>
      <c r="B1962" s="6">
        <v>1.3986013986013899E-2</v>
      </c>
      <c r="C1962" s="6">
        <v>0.117704225352112</v>
      </c>
    </row>
    <row r="1963" spans="1:3" s="7" customFormat="1" x14ac:dyDescent="0.2">
      <c r="A1963" s="6" t="str">
        <f>"CSTA"</f>
        <v>CSTA</v>
      </c>
      <c r="B1963" s="6">
        <v>1.3986013986013899E-2</v>
      </c>
      <c r="C1963" s="6">
        <v>0.117704225352112</v>
      </c>
    </row>
    <row r="1964" spans="1:3" s="7" customFormat="1" x14ac:dyDescent="0.2">
      <c r="A1964" s="6" t="str">
        <f>"ESRRG"</f>
        <v>ESRRG</v>
      </c>
      <c r="B1964" s="6">
        <v>1.3986013986013899E-2</v>
      </c>
      <c r="C1964" s="6">
        <v>0.117704225352112</v>
      </c>
    </row>
    <row r="1965" spans="1:3" s="7" customFormat="1" x14ac:dyDescent="0.2">
      <c r="A1965" s="6" t="str">
        <f>"TNKS"</f>
        <v>TNKS</v>
      </c>
      <c r="B1965" s="6">
        <v>1.3986013986013899E-2</v>
      </c>
      <c r="C1965" s="6">
        <v>0.117704225352112</v>
      </c>
    </row>
    <row r="1966" spans="1:3" s="7" customFormat="1" x14ac:dyDescent="0.2">
      <c r="A1966" s="6" t="str">
        <f>"LAPTM4A"</f>
        <v>LAPTM4A</v>
      </c>
      <c r="B1966" s="6">
        <v>1.3986013986013899E-2</v>
      </c>
      <c r="C1966" s="6">
        <v>0.117704225352112</v>
      </c>
    </row>
    <row r="1967" spans="1:3" s="7" customFormat="1" x14ac:dyDescent="0.2">
      <c r="A1967" s="6" t="str">
        <f>"KIF2C"</f>
        <v>KIF2C</v>
      </c>
      <c r="B1967" s="6">
        <v>1.3986013986013899E-2</v>
      </c>
      <c r="C1967" s="6">
        <v>0.117704225352112</v>
      </c>
    </row>
    <row r="1968" spans="1:3" s="7" customFormat="1" x14ac:dyDescent="0.2">
      <c r="A1968" s="6" t="str">
        <f>"SLC44A3-AS1"</f>
        <v>SLC44A3-AS1</v>
      </c>
      <c r="B1968" s="6">
        <v>1.3986013986013899E-2</v>
      </c>
      <c r="C1968" s="6">
        <v>0.117704225352112</v>
      </c>
    </row>
    <row r="1969" spans="1:3" s="7" customFormat="1" x14ac:dyDescent="0.2">
      <c r="A1969" s="6" t="str">
        <f>"CLDN7"</f>
        <v>CLDN7</v>
      </c>
      <c r="B1969" s="6">
        <v>1.3986013986013899E-2</v>
      </c>
      <c r="C1969" s="6">
        <v>0.117704225352112</v>
      </c>
    </row>
    <row r="1970" spans="1:3" s="7" customFormat="1" x14ac:dyDescent="0.2">
      <c r="A1970" s="6" t="str">
        <f>"NIPAL4"</f>
        <v>NIPAL4</v>
      </c>
      <c r="B1970" s="6">
        <v>1.3986013986013899E-2</v>
      </c>
      <c r="C1970" s="6">
        <v>0.117704225352112</v>
      </c>
    </row>
    <row r="1971" spans="1:3" s="7" customFormat="1" x14ac:dyDescent="0.2">
      <c r="A1971" s="6" t="str">
        <f>"FAM13C"</f>
        <v>FAM13C</v>
      </c>
      <c r="B1971" s="6">
        <v>1.3986013986013899E-2</v>
      </c>
      <c r="C1971" s="6">
        <v>0.117704225352112</v>
      </c>
    </row>
    <row r="1972" spans="1:3" s="7" customFormat="1" x14ac:dyDescent="0.2">
      <c r="A1972" s="6" t="str">
        <f>"PARP6"</f>
        <v>PARP6</v>
      </c>
      <c r="B1972" s="6">
        <v>1.3986013986013899E-2</v>
      </c>
      <c r="C1972" s="6">
        <v>0.117704225352112</v>
      </c>
    </row>
    <row r="1973" spans="1:3" s="7" customFormat="1" x14ac:dyDescent="0.2">
      <c r="A1973" s="6" t="str">
        <f>"COLCA1"</f>
        <v>COLCA1</v>
      </c>
      <c r="B1973" s="6">
        <v>1.3986013986013899E-2</v>
      </c>
      <c r="C1973" s="6">
        <v>0.117704225352112</v>
      </c>
    </row>
    <row r="1974" spans="1:3" s="7" customFormat="1" x14ac:dyDescent="0.2">
      <c r="A1974" s="6" t="str">
        <f>"STARD9"</f>
        <v>STARD9</v>
      </c>
      <c r="B1974" s="6">
        <v>1.3986013986013899E-2</v>
      </c>
      <c r="C1974" s="6">
        <v>0.117704225352112</v>
      </c>
    </row>
    <row r="1975" spans="1:3" s="7" customFormat="1" x14ac:dyDescent="0.2">
      <c r="A1975" s="6" t="str">
        <f>"ABCA17P"</f>
        <v>ABCA17P</v>
      </c>
      <c r="B1975" s="6">
        <v>1.3986013986013899E-2</v>
      </c>
      <c r="C1975" s="6">
        <v>0.117704225352112</v>
      </c>
    </row>
    <row r="1976" spans="1:3" s="7" customFormat="1" x14ac:dyDescent="0.2">
      <c r="A1976" s="6" t="str">
        <f>"EIF3K"</f>
        <v>EIF3K</v>
      </c>
      <c r="B1976" s="6">
        <v>1.3986013986013899E-2</v>
      </c>
      <c r="C1976" s="6">
        <v>0.117704225352112</v>
      </c>
    </row>
    <row r="1977" spans="1:3" s="7" customFormat="1" x14ac:dyDescent="0.2">
      <c r="A1977" s="6" t="str">
        <f>"TSPAN31"</f>
        <v>TSPAN31</v>
      </c>
      <c r="B1977" s="6">
        <v>1.3986013986013899E-2</v>
      </c>
      <c r="C1977" s="6">
        <v>0.117704225352112</v>
      </c>
    </row>
    <row r="1978" spans="1:3" s="7" customFormat="1" x14ac:dyDescent="0.2">
      <c r="A1978" s="6" t="str">
        <f>"TRUB2"</f>
        <v>TRUB2</v>
      </c>
      <c r="B1978" s="6">
        <v>1.3986013986013899E-2</v>
      </c>
      <c r="C1978" s="6">
        <v>0.117704225352112</v>
      </c>
    </row>
    <row r="1979" spans="1:3" s="7" customFormat="1" x14ac:dyDescent="0.2">
      <c r="A1979" s="6" t="str">
        <f>"YEATS4"</f>
        <v>YEATS4</v>
      </c>
      <c r="B1979" s="6">
        <v>1.3986013986013899E-2</v>
      </c>
      <c r="C1979" s="6">
        <v>0.117704225352112</v>
      </c>
    </row>
    <row r="1980" spans="1:3" s="7" customFormat="1" x14ac:dyDescent="0.2">
      <c r="A1980" s="6" t="str">
        <f>"TRIM52-AS1"</f>
        <v>TRIM52-AS1</v>
      </c>
      <c r="B1980" s="6">
        <v>1.3986013986013899E-2</v>
      </c>
      <c r="C1980" s="6">
        <v>0.117704225352112</v>
      </c>
    </row>
    <row r="1981" spans="1:3" s="7" customFormat="1" x14ac:dyDescent="0.2">
      <c r="A1981" s="6" t="str">
        <f>"VSIR"</f>
        <v>VSIR</v>
      </c>
      <c r="B1981" s="6">
        <v>1.3986013986013899E-2</v>
      </c>
      <c r="C1981" s="6">
        <v>0.117704225352112</v>
      </c>
    </row>
    <row r="1982" spans="1:3" s="7" customFormat="1" x14ac:dyDescent="0.2">
      <c r="A1982" s="6" t="str">
        <f>"TMEM59"</f>
        <v>TMEM59</v>
      </c>
      <c r="B1982" s="6">
        <v>1.3986013986013899E-2</v>
      </c>
      <c r="C1982" s="6">
        <v>0.117704225352112</v>
      </c>
    </row>
    <row r="1983" spans="1:3" s="7" customFormat="1" x14ac:dyDescent="0.2">
      <c r="A1983" s="6" t="str">
        <f>"MTSS2"</f>
        <v>MTSS2</v>
      </c>
      <c r="B1983" s="6">
        <v>1.3986013986013899E-2</v>
      </c>
      <c r="C1983" s="6">
        <v>0.117704225352112</v>
      </c>
    </row>
    <row r="1984" spans="1:3" s="7" customFormat="1" x14ac:dyDescent="0.2">
      <c r="A1984" s="6" t="str">
        <f>"ST14"</f>
        <v>ST14</v>
      </c>
      <c r="B1984" s="6">
        <v>1.3986013986013899E-2</v>
      </c>
      <c r="C1984" s="6">
        <v>0.117704225352112</v>
      </c>
    </row>
    <row r="1985" spans="1:3" s="7" customFormat="1" x14ac:dyDescent="0.2">
      <c r="A1985" s="6" t="str">
        <f>"KCNK7"</f>
        <v>KCNK7</v>
      </c>
      <c r="B1985" s="6">
        <v>1.3986013986013899E-2</v>
      </c>
      <c r="C1985" s="6">
        <v>0.117704225352112</v>
      </c>
    </row>
    <row r="1986" spans="1:3" s="7" customFormat="1" x14ac:dyDescent="0.2">
      <c r="A1986" s="6" t="str">
        <f>"RARS1"</f>
        <v>RARS1</v>
      </c>
      <c r="B1986" s="6">
        <v>1.3986013986013899E-2</v>
      </c>
      <c r="C1986" s="6">
        <v>0.117704225352112</v>
      </c>
    </row>
    <row r="1987" spans="1:3" s="7" customFormat="1" x14ac:dyDescent="0.2">
      <c r="A1987" s="6" t="str">
        <f>"H2BC7"</f>
        <v>H2BC7</v>
      </c>
      <c r="B1987" s="6">
        <v>1.3986013986013899E-2</v>
      </c>
      <c r="C1987" s="6">
        <v>0.117704225352112</v>
      </c>
    </row>
    <row r="1988" spans="1:3" s="7" customFormat="1" x14ac:dyDescent="0.2">
      <c r="A1988" s="6" t="str">
        <f>"HMCN2"</f>
        <v>HMCN2</v>
      </c>
      <c r="B1988" s="6">
        <v>1.3986013986013899E-2</v>
      </c>
      <c r="C1988" s="6">
        <v>0.117704225352112</v>
      </c>
    </row>
    <row r="1989" spans="1:3" s="7" customFormat="1" x14ac:dyDescent="0.2">
      <c r="A1989" s="6" t="str">
        <f>"EXOC3"</f>
        <v>EXOC3</v>
      </c>
      <c r="B1989" s="6">
        <v>1.3986013986013899E-2</v>
      </c>
      <c r="C1989" s="6">
        <v>0.117704225352112</v>
      </c>
    </row>
    <row r="1990" spans="1:3" s="7" customFormat="1" x14ac:dyDescent="0.2">
      <c r="A1990" s="6" t="str">
        <f>"MIOX"</f>
        <v>MIOX</v>
      </c>
      <c r="B1990" s="6">
        <v>1.40280561122244E-2</v>
      </c>
      <c r="C1990" s="6">
        <v>0.11788080938145699</v>
      </c>
    </row>
    <row r="1991" spans="1:3" s="7" customFormat="1" x14ac:dyDescent="0.2">
      <c r="A1991" s="6" t="str">
        <f>"AL357079.2"</f>
        <v>AL357079.2</v>
      </c>
      <c r="B1991" s="6">
        <v>1.4056224899598299E-2</v>
      </c>
      <c r="C1991" s="6">
        <v>0.11805816229743001</v>
      </c>
    </row>
    <row r="1992" spans="1:3" s="7" customFormat="1" x14ac:dyDescent="0.2">
      <c r="A1992" s="6" t="str">
        <f>"Z94277.1"</f>
        <v>Z94277.1</v>
      </c>
      <c r="B1992" s="6">
        <v>1.41935483870967E-2</v>
      </c>
      <c r="C1992" s="6">
        <v>0.119151666369631</v>
      </c>
    </row>
    <row r="1993" spans="1:3" s="7" customFormat="1" x14ac:dyDescent="0.2">
      <c r="A1993" s="6" t="str">
        <f>"AP004247.2"</f>
        <v>AP004247.2</v>
      </c>
      <c r="B1993" s="6">
        <v>1.42711518858307E-2</v>
      </c>
      <c r="C1993" s="6">
        <v>0.119742988262939</v>
      </c>
    </row>
    <row r="1994" spans="1:3" s="7" customFormat="1" x14ac:dyDescent="0.2">
      <c r="A1994" s="6" t="str">
        <f>"LINC01786"</f>
        <v>LINC01786</v>
      </c>
      <c r="B1994" s="6">
        <v>1.42857142857142E-2</v>
      </c>
      <c r="C1994" s="6">
        <v>0.119805031897354</v>
      </c>
    </row>
    <row r="1995" spans="1:3" s="7" customFormat="1" x14ac:dyDescent="0.2">
      <c r="A1995" s="6" t="str">
        <f>"ZEB1"</f>
        <v>ZEB1</v>
      </c>
      <c r="B1995" s="6">
        <v>1.4985014985014899E-2</v>
      </c>
      <c r="C1995" s="6">
        <v>0.120596329149909</v>
      </c>
    </row>
    <row r="1996" spans="1:3" s="7" customFormat="1" x14ac:dyDescent="0.2">
      <c r="A1996" s="6" t="str">
        <f>"TSFM"</f>
        <v>TSFM</v>
      </c>
      <c r="B1996" s="6">
        <v>1.4985014985014899E-2</v>
      </c>
      <c r="C1996" s="6">
        <v>0.120596329149909</v>
      </c>
    </row>
    <row r="1997" spans="1:3" s="7" customFormat="1" x14ac:dyDescent="0.2">
      <c r="A1997" s="6" t="str">
        <f>"MARCKS"</f>
        <v>MARCKS</v>
      </c>
      <c r="B1997" s="6">
        <v>1.4985014985014899E-2</v>
      </c>
      <c r="C1997" s="6">
        <v>0.120596329149909</v>
      </c>
    </row>
    <row r="1998" spans="1:3" s="7" customFormat="1" x14ac:dyDescent="0.2">
      <c r="A1998" s="6" t="str">
        <f>"AC019270.1"</f>
        <v>AC019270.1</v>
      </c>
      <c r="B1998" s="6">
        <v>1.4985014985014899E-2</v>
      </c>
      <c r="C1998" s="6">
        <v>0.120596329149909</v>
      </c>
    </row>
    <row r="1999" spans="1:3" s="7" customFormat="1" x14ac:dyDescent="0.2">
      <c r="A1999" s="6" t="str">
        <f>"NUDT1"</f>
        <v>NUDT1</v>
      </c>
      <c r="B1999" s="6">
        <v>1.4985014985014899E-2</v>
      </c>
      <c r="C1999" s="6">
        <v>0.120596329149909</v>
      </c>
    </row>
    <row r="2000" spans="1:3" s="7" customFormat="1" x14ac:dyDescent="0.2">
      <c r="A2000" s="6" t="str">
        <f>"CLC"</f>
        <v>CLC</v>
      </c>
      <c r="B2000" s="6">
        <v>1.4985014985014899E-2</v>
      </c>
      <c r="C2000" s="6">
        <v>0.120596329149909</v>
      </c>
    </row>
    <row r="2001" spans="1:3" s="7" customFormat="1" x14ac:dyDescent="0.2">
      <c r="A2001" s="6" t="str">
        <f>"TAGLN2"</f>
        <v>TAGLN2</v>
      </c>
      <c r="B2001" s="6">
        <v>1.4985014985014899E-2</v>
      </c>
      <c r="C2001" s="6">
        <v>0.120596329149909</v>
      </c>
    </row>
    <row r="2002" spans="1:3" s="7" customFormat="1" x14ac:dyDescent="0.2">
      <c r="A2002" s="6" t="str">
        <f>"ADAMTSL4-AS2"</f>
        <v>ADAMTSL4-AS2</v>
      </c>
      <c r="B2002" s="6">
        <v>1.4985014985014899E-2</v>
      </c>
      <c r="C2002" s="6">
        <v>0.120596329149909</v>
      </c>
    </row>
    <row r="2003" spans="1:3" s="7" customFormat="1" x14ac:dyDescent="0.2">
      <c r="A2003" s="6" t="str">
        <f>"AC034243.1"</f>
        <v>AC034243.1</v>
      </c>
      <c r="B2003" s="6">
        <v>1.4985014985014899E-2</v>
      </c>
      <c r="C2003" s="6">
        <v>0.120596329149909</v>
      </c>
    </row>
    <row r="2004" spans="1:3" s="7" customFormat="1" x14ac:dyDescent="0.2">
      <c r="A2004" s="6" t="str">
        <f>"MT-RNR1"</f>
        <v>MT-RNR1</v>
      </c>
      <c r="B2004" s="6">
        <v>1.4985014985014899E-2</v>
      </c>
      <c r="C2004" s="6">
        <v>0.120596329149909</v>
      </c>
    </row>
    <row r="2005" spans="1:3" s="7" customFormat="1" x14ac:dyDescent="0.2">
      <c r="A2005" s="6" t="str">
        <f>"C11orf54"</f>
        <v>C11orf54</v>
      </c>
      <c r="B2005" s="6">
        <v>1.4985014985014899E-2</v>
      </c>
      <c r="C2005" s="6">
        <v>0.120596329149909</v>
      </c>
    </row>
    <row r="2006" spans="1:3" s="7" customFormat="1" x14ac:dyDescent="0.2">
      <c r="A2006" s="6" t="str">
        <f>"FGFBP1"</f>
        <v>FGFBP1</v>
      </c>
      <c r="B2006" s="6">
        <v>1.4985014985014899E-2</v>
      </c>
      <c r="C2006" s="6">
        <v>0.120596329149909</v>
      </c>
    </row>
    <row r="2007" spans="1:3" s="7" customFormat="1" x14ac:dyDescent="0.2">
      <c r="A2007" s="6" t="str">
        <f>"PPP1R26P1"</f>
        <v>PPP1R26P1</v>
      </c>
      <c r="B2007" s="6">
        <v>1.4999999999999999E-2</v>
      </c>
      <c r="C2007" s="6">
        <v>0.120596329149909</v>
      </c>
    </row>
    <row r="2008" spans="1:3" s="7" customFormat="1" x14ac:dyDescent="0.2">
      <c r="A2008" s="6" t="str">
        <f>"POLK"</f>
        <v>POLK</v>
      </c>
      <c r="B2008" s="6">
        <v>1.4985014985014899E-2</v>
      </c>
      <c r="C2008" s="6">
        <v>0.120596329149909</v>
      </c>
    </row>
    <row r="2009" spans="1:3" s="7" customFormat="1" x14ac:dyDescent="0.2">
      <c r="A2009" s="6" t="str">
        <f>"RNF2"</f>
        <v>RNF2</v>
      </c>
      <c r="B2009" s="6">
        <v>1.4985014985014899E-2</v>
      </c>
      <c r="C2009" s="6">
        <v>0.120596329149909</v>
      </c>
    </row>
    <row r="2010" spans="1:3" s="7" customFormat="1" x14ac:dyDescent="0.2">
      <c r="A2010" s="6" t="str">
        <f>"MIB1"</f>
        <v>MIB1</v>
      </c>
      <c r="B2010" s="6">
        <v>1.4985014985014899E-2</v>
      </c>
      <c r="C2010" s="6">
        <v>0.120596329149909</v>
      </c>
    </row>
    <row r="2011" spans="1:3" s="7" customFormat="1" x14ac:dyDescent="0.2">
      <c r="A2011" s="6" t="str">
        <f>"MFSD4A"</f>
        <v>MFSD4A</v>
      </c>
      <c r="B2011" s="6">
        <v>1.4985014985014899E-2</v>
      </c>
      <c r="C2011" s="6">
        <v>0.120596329149909</v>
      </c>
    </row>
    <row r="2012" spans="1:3" s="7" customFormat="1" x14ac:dyDescent="0.2">
      <c r="A2012" s="6" t="str">
        <f>"AL049777.1"</f>
        <v>AL049777.1</v>
      </c>
      <c r="B2012" s="6">
        <v>1.4999999999999999E-2</v>
      </c>
      <c r="C2012" s="6">
        <v>0.120596329149909</v>
      </c>
    </row>
    <row r="2013" spans="1:3" s="7" customFormat="1" x14ac:dyDescent="0.2">
      <c r="A2013" s="6" t="str">
        <f>"AC090152.1"</f>
        <v>AC090152.1</v>
      </c>
      <c r="B2013" s="6">
        <v>1.4985014985014899E-2</v>
      </c>
      <c r="C2013" s="6">
        <v>0.120596329149909</v>
      </c>
    </row>
    <row r="2014" spans="1:3" s="7" customFormat="1" x14ac:dyDescent="0.2">
      <c r="A2014" s="6" t="str">
        <f>"SLC39A4"</f>
        <v>SLC39A4</v>
      </c>
      <c r="B2014" s="6">
        <v>1.4985014985014899E-2</v>
      </c>
      <c r="C2014" s="6">
        <v>0.120596329149909</v>
      </c>
    </row>
    <row r="2015" spans="1:3" s="7" customFormat="1" x14ac:dyDescent="0.2">
      <c r="A2015" s="6" t="str">
        <f>"BDH2"</f>
        <v>BDH2</v>
      </c>
      <c r="B2015" s="6">
        <v>1.4985014985014899E-2</v>
      </c>
      <c r="C2015" s="6">
        <v>0.120596329149909</v>
      </c>
    </row>
    <row r="2016" spans="1:3" s="7" customFormat="1" x14ac:dyDescent="0.2">
      <c r="A2016" s="6" t="str">
        <f>"PRSS54"</f>
        <v>PRSS54</v>
      </c>
      <c r="B2016" s="6">
        <v>1.4999999999999999E-2</v>
      </c>
      <c r="C2016" s="6">
        <v>0.120596329149909</v>
      </c>
    </row>
    <row r="2017" spans="1:3" s="7" customFormat="1" x14ac:dyDescent="0.2">
      <c r="A2017" s="6" t="str">
        <f>"MTCO3P12"</f>
        <v>MTCO3P12</v>
      </c>
      <c r="B2017" s="6">
        <v>1.4985014985014899E-2</v>
      </c>
      <c r="C2017" s="6">
        <v>0.120596329149909</v>
      </c>
    </row>
    <row r="2018" spans="1:3" s="7" customFormat="1" x14ac:dyDescent="0.2">
      <c r="A2018" s="6" t="str">
        <f>"ZPLD2P"</f>
        <v>ZPLD2P</v>
      </c>
      <c r="B2018" s="6">
        <v>1.4985014985014899E-2</v>
      </c>
      <c r="C2018" s="6">
        <v>0.120596329149909</v>
      </c>
    </row>
    <row r="2019" spans="1:3" s="7" customFormat="1" x14ac:dyDescent="0.2">
      <c r="A2019" s="6" t="str">
        <f>"LINC00663"</f>
        <v>LINC00663</v>
      </c>
      <c r="B2019" s="6">
        <v>1.4985014985014899E-2</v>
      </c>
      <c r="C2019" s="6">
        <v>0.120596329149909</v>
      </c>
    </row>
    <row r="2020" spans="1:3" s="7" customFormat="1" x14ac:dyDescent="0.2">
      <c r="A2020" s="6" t="str">
        <f>"HPDL"</f>
        <v>HPDL</v>
      </c>
      <c r="B2020" s="6">
        <v>1.4985014985014899E-2</v>
      </c>
      <c r="C2020" s="6">
        <v>0.120596329149909</v>
      </c>
    </row>
    <row r="2021" spans="1:3" s="7" customFormat="1" x14ac:dyDescent="0.2">
      <c r="A2021" s="6" t="str">
        <f>"CLIC3"</f>
        <v>CLIC3</v>
      </c>
      <c r="B2021" s="6">
        <v>1.4985014985014899E-2</v>
      </c>
      <c r="C2021" s="6">
        <v>0.120596329149909</v>
      </c>
    </row>
    <row r="2022" spans="1:3" s="7" customFormat="1" x14ac:dyDescent="0.2">
      <c r="A2022" s="6" t="str">
        <f>"MTAP"</f>
        <v>MTAP</v>
      </c>
      <c r="B2022" s="6">
        <v>1.4985014985014899E-2</v>
      </c>
      <c r="C2022" s="6">
        <v>0.120596329149909</v>
      </c>
    </row>
    <row r="2023" spans="1:3" s="7" customFormat="1" x14ac:dyDescent="0.2">
      <c r="A2023" s="6" t="str">
        <f>"AC017074.1"</f>
        <v>AC017074.1</v>
      </c>
      <c r="B2023" s="6">
        <v>1.5015015015014999E-2</v>
      </c>
      <c r="C2023" s="6">
        <v>0.120596329149909</v>
      </c>
    </row>
    <row r="2024" spans="1:3" s="7" customFormat="1" x14ac:dyDescent="0.2">
      <c r="A2024" s="6" t="str">
        <f>"L3MBTL4"</f>
        <v>L3MBTL4</v>
      </c>
      <c r="B2024" s="6">
        <v>1.4985014985014899E-2</v>
      </c>
      <c r="C2024" s="6">
        <v>0.120596329149909</v>
      </c>
    </row>
    <row r="2025" spans="1:3" s="7" customFormat="1" x14ac:dyDescent="0.2">
      <c r="A2025" s="6" t="str">
        <f>"SLC10A7"</f>
        <v>SLC10A7</v>
      </c>
      <c r="B2025" s="6">
        <v>1.4985014985014899E-2</v>
      </c>
      <c r="C2025" s="6">
        <v>0.120596329149909</v>
      </c>
    </row>
    <row r="2026" spans="1:3" s="7" customFormat="1" x14ac:dyDescent="0.2">
      <c r="A2026" s="6" t="str">
        <f>"TNS3"</f>
        <v>TNS3</v>
      </c>
      <c r="B2026" s="6">
        <v>1.4985014985014899E-2</v>
      </c>
      <c r="C2026" s="6">
        <v>0.120596329149909</v>
      </c>
    </row>
    <row r="2027" spans="1:3" s="7" customFormat="1" x14ac:dyDescent="0.2">
      <c r="A2027" s="6" t="str">
        <f>"EID2"</f>
        <v>EID2</v>
      </c>
      <c r="B2027" s="6">
        <v>1.4985014985014899E-2</v>
      </c>
      <c r="C2027" s="6">
        <v>0.120596329149909</v>
      </c>
    </row>
    <row r="2028" spans="1:3" s="7" customFormat="1" x14ac:dyDescent="0.2">
      <c r="A2028" s="6" t="str">
        <f>"COL17A1"</f>
        <v>COL17A1</v>
      </c>
      <c r="B2028" s="6">
        <v>1.4985014985014899E-2</v>
      </c>
      <c r="C2028" s="6">
        <v>0.120596329149909</v>
      </c>
    </row>
    <row r="2029" spans="1:3" s="7" customFormat="1" x14ac:dyDescent="0.2">
      <c r="A2029" s="6" t="str">
        <f>"NSMCE3"</f>
        <v>NSMCE3</v>
      </c>
      <c r="B2029" s="6">
        <v>1.4985014985014899E-2</v>
      </c>
      <c r="C2029" s="6">
        <v>0.120596329149909</v>
      </c>
    </row>
    <row r="2030" spans="1:3" s="7" customFormat="1" x14ac:dyDescent="0.2">
      <c r="A2030" s="6" t="str">
        <f>"SIAH2"</f>
        <v>SIAH2</v>
      </c>
      <c r="B2030" s="6">
        <v>1.4985014985014899E-2</v>
      </c>
      <c r="C2030" s="6">
        <v>0.120596329149909</v>
      </c>
    </row>
    <row r="2031" spans="1:3" s="7" customFormat="1" x14ac:dyDescent="0.2">
      <c r="A2031" s="6" t="str">
        <f>"ISCU"</f>
        <v>ISCU</v>
      </c>
      <c r="B2031" s="6">
        <v>1.4985014985014899E-2</v>
      </c>
      <c r="C2031" s="6">
        <v>0.120596329149909</v>
      </c>
    </row>
    <row r="2032" spans="1:3" s="7" customFormat="1" x14ac:dyDescent="0.2">
      <c r="A2032" s="6" t="str">
        <f>"NUDT16P1"</f>
        <v>NUDT16P1</v>
      </c>
      <c r="B2032" s="6">
        <v>1.4985014985014899E-2</v>
      </c>
      <c r="C2032" s="6">
        <v>0.120596329149909</v>
      </c>
    </row>
    <row r="2033" spans="1:3" s="7" customFormat="1" x14ac:dyDescent="0.2">
      <c r="A2033" s="6" t="str">
        <f>"SLC37A2"</f>
        <v>SLC37A2</v>
      </c>
      <c r="B2033" s="6">
        <v>1.4999999999999999E-2</v>
      </c>
      <c r="C2033" s="6">
        <v>0.120596329149909</v>
      </c>
    </row>
    <row r="2034" spans="1:3" s="7" customFormat="1" x14ac:dyDescent="0.2">
      <c r="A2034" s="6" t="str">
        <f>"ZNF518A"</f>
        <v>ZNF518A</v>
      </c>
      <c r="B2034" s="6">
        <v>1.4985014985014899E-2</v>
      </c>
      <c r="C2034" s="6">
        <v>0.120596329149909</v>
      </c>
    </row>
    <row r="2035" spans="1:3" s="7" customFormat="1" x14ac:dyDescent="0.2">
      <c r="A2035" s="6" t="str">
        <f>"FBXO25"</f>
        <v>FBXO25</v>
      </c>
      <c r="B2035" s="6">
        <v>1.4985014985014899E-2</v>
      </c>
      <c r="C2035" s="6">
        <v>0.120596329149909</v>
      </c>
    </row>
    <row r="2036" spans="1:3" s="7" customFormat="1" x14ac:dyDescent="0.2">
      <c r="A2036" s="6" t="str">
        <f>"CACNA1A"</f>
        <v>CACNA1A</v>
      </c>
      <c r="B2036" s="6">
        <v>1.4985014985014899E-2</v>
      </c>
      <c r="C2036" s="6">
        <v>0.120596329149909</v>
      </c>
    </row>
    <row r="2037" spans="1:3" s="7" customFormat="1" x14ac:dyDescent="0.2">
      <c r="A2037" s="6" t="str">
        <f>"ACSS3"</f>
        <v>ACSS3</v>
      </c>
      <c r="B2037" s="6">
        <v>1.4985014985014899E-2</v>
      </c>
      <c r="C2037" s="6">
        <v>0.120596329149909</v>
      </c>
    </row>
    <row r="2038" spans="1:3" s="7" customFormat="1" x14ac:dyDescent="0.2">
      <c r="A2038" s="6" t="str">
        <f>"HHIPL2"</f>
        <v>HHIPL2</v>
      </c>
      <c r="B2038" s="6">
        <v>1.4985014985014899E-2</v>
      </c>
      <c r="C2038" s="6">
        <v>0.120596329149909</v>
      </c>
    </row>
    <row r="2039" spans="1:3" s="7" customFormat="1" x14ac:dyDescent="0.2">
      <c r="A2039" s="6" t="str">
        <f>"RAB40B"</f>
        <v>RAB40B</v>
      </c>
      <c r="B2039" s="6">
        <v>1.4985014985014899E-2</v>
      </c>
      <c r="C2039" s="6">
        <v>0.120596329149909</v>
      </c>
    </row>
    <row r="2040" spans="1:3" s="7" customFormat="1" x14ac:dyDescent="0.2">
      <c r="A2040" s="6" t="str">
        <f>"SLC35A5"</f>
        <v>SLC35A5</v>
      </c>
      <c r="B2040" s="6">
        <v>1.4985014985014899E-2</v>
      </c>
      <c r="C2040" s="6">
        <v>0.120596329149909</v>
      </c>
    </row>
    <row r="2041" spans="1:3" s="7" customFormat="1" x14ac:dyDescent="0.2">
      <c r="A2041" s="6" t="str">
        <f>"FES"</f>
        <v>FES</v>
      </c>
      <c r="B2041" s="6">
        <v>1.4985014985014899E-2</v>
      </c>
      <c r="C2041" s="6">
        <v>0.120596329149909</v>
      </c>
    </row>
    <row r="2042" spans="1:3" s="7" customFormat="1" x14ac:dyDescent="0.2">
      <c r="A2042" s="6" t="str">
        <f>"BIVM"</f>
        <v>BIVM</v>
      </c>
      <c r="B2042" s="6">
        <v>1.4985014985014899E-2</v>
      </c>
      <c r="C2042" s="6">
        <v>0.120596329149909</v>
      </c>
    </row>
    <row r="2043" spans="1:3" s="7" customFormat="1" x14ac:dyDescent="0.2">
      <c r="A2043" s="6" t="str">
        <f>"NAA30"</f>
        <v>NAA30</v>
      </c>
      <c r="B2043" s="6">
        <v>1.4985014985014899E-2</v>
      </c>
      <c r="C2043" s="6">
        <v>0.120596329149909</v>
      </c>
    </row>
    <row r="2044" spans="1:3" s="7" customFormat="1" x14ac:dyDescent="0.2">
      <c r="A2044" s="6" t="str">
        <f>"MT-CO3"</f>
        <v>MT-CO3</v>
      </c>
      <c r="B2044" s="6">
        <v>1.4985014985014899E-2</v>
      </c>
      <c r="C2044" s="6">
        <v>0.120596329149909</v>
      </c>
    </row>
    <row r="2045" spans="1:3" s="7" customFormat="1" x14ac:dyDescent="0.2">
      <c r="A2045" s="6" t="str">
        <f>"OR7D2"</f>
        <v>OR7D2</v>
      </c>
      <c r="B2045" s="6">
        <v>1.4598540145985399E-2</v>
      </c>
      <c r="C2045" s="6">
        <v>0.120596329149909</v>
      </c>
    </row>
    <row r="2046" spans="1:3" s="7" customFormat="1" x14ac:dyDescent="0.2">
      <c r="A2046" s="6" t="str">
        <f>"TRAF5"</f>
        <v>TRAF5</v>
      </c>
      <c r="B2046" s="6">
        <v>1.4985014985014899E-2</v>
      </c>
      <c r="C2046" s="6">
        <v>0.120596329149909</v>
      </c>
    </row>
    <row r="2047" spans="1:3" s="7" customFormat="1" x14ac:dyDescent="0.2">
      <c r="A2047" s="6" t="str">
        <f>"TMEM53"</f>
        <v>TMEM53</v>
      </c>
      <c r="B2047" s="6">
        <v>1.4985014985014899E-2</v>
      </c>
      <c r="C2047" s="6">
        <v>0.120596329149909</v>
      </c>
    </row>
    <row r="2048" spans="1:3" s="7" customFormat="1" x14ac:dyDescent="0.2">
      <c r="A2048" s="6" t="str">
        <f>"BCL7B"</f>
        <v>BCL7B</v>
      </c>
      <c r="B2048" s="6">
        <v>1.4985014985014899E-2</v>
      </c>
      <c r="C2048" s="6">
        <v>0.120596329149909</v>
      </c>
    </row>
    <row r="2049" spans="1:3" s="7" customFormat="1" x14ac:dyDescent="0.2">
      <c r="A2049" s="6" t="str">
        <f>"GPCPD1"</f>
        <v>GPCPD1</v>
      </c>
      <c r="B2049" s="6">
        <v>1.4985014985014899E-2</v>
      </c>
      <c r="C2049" s="6">
        <v>0.120596329149909</v>
      </c>
    </row>
    <row r="2050" spans="1:3" s="7" customFormat="1" x14ac:dyDescent="0.2">
      <c r="A2050" s="6" t="str">
        <f>"PPP1R13L"</f>
        <v>PPP1R13L</v>
      </c>
      <c r="B2050" s="6">
        <v>1.4985014985014899E-2</v>
      </c>
      <c r="C2050" s="6">
        <v>0.120596329149909</v>
      </c>
    </row>
    <row r="2051" spans="1:3" s="7" customFormat="1" x14ac:dyDescent="0.2">
      <c r="A2051" s="6" t="str">
        <f>"AC005586.1"</f>
        <v>AC005586.1</v>
      </c>
      <c r="B2051" s="6">
        <v>1.4985014985014899E-2</v>
      </c>
      <c r="C2051" s="6">
        <v>0.120596329149909</v>
      </c>
    </row>
    <row r="2052" spans="1:3" s="7" customFormat="1" x14ac:dyDescent="0.2">
      <c r="A2052" s="6" t="str">
        <f>"AC139099.1"</f>
        <v>AC139099.1</v>
      </c>
      <c r="B2052" s="6">
        <v>1.4985014985014899E-2</v>
      </c>
      <c r="C2052" s="6">
        <v>0.120596329149909</v>
      </c>
    </row>
    <row r="2053" spans="1:3" s="7" customFormat="1" x14ac:dyDescent="0.2">
      <c r="A2053" s="6" t="str">
        <f>"PSRC1"</f>
        <v>PSRC1</v>
      </c>
      <c r="B2053" s="6">
        <v>1.4985014985014899E-2</v>
      </c>
      <c r="C2053" s="6">
        <v>0.120596329149909</v>
      </c>
    </row>
    <row r="2054" spans="1:3" s="7" customFormat="1" x14ac:dyDescent="0.2">
      <c r="A2054" s="6" t="str">
        <f>"ABI3"</f>
        <v>ABI3</v>
      </c>
      <c r="B2054" s="6">
        <v>1.4985014985014899E-2</v>
      </c>
      <c r="C2054" s="6">
        <v>0.120596329149909</v>
      </c>
    </row>
    <row r="2055" spans="1:3" s="7" customFormat="1" x14ac:dyDescent="0.2">
      <c r="A2055" s="6" t="str">
        <f>"BCAR1"</f>
        <v>BCAR1</v>
      </c>
      <c r="B2055" s="6">
        <v>1.4985014985014899E-2</v>
      </c>
      <c r="C2055" s="6">
        <v>0.120596329149909</v>
      </c>
    </row>
    <row r="2056" spans="1:3" s="7" customFormat="1" x14ac:dyDescent="0.2">
      <c r="A2056" s="6" t="str">
        <f>"TP53INP2"</f>
        <v>TP53INP2</v>
      </c>
      <c r="B2056" s="6">
        <v>1.4985014985014899E-2</v>
      </c>
      <c r="C2056" s="6">
        <v>0.120596329149909</v>
      </c>
    </row>
    <row r="2057" spans="1:3" s="7" customFormat="1" x14ac:dyDescent="0.2">
      <c r="A2057" s="6" t="str">
        <f>"KIF15"</f>
        <v>KIF15</v>
      </c>
      <c r="B2057" s="6">
        <v>1.4985014985014899E-2</v>
      </c>
      <c r="C2057" s="6">
        <v>0.120596329149909</v>
      </c>
    </row>
    <row r="2058" spans="1:3" s="7" customFormat="1" x14ac:dyDescent="0.2">
      <c r="A2058" s="6" t="str">
        <f>"TMEM218"</f>
        <v>TMEM218</v>
      </c>
      <c r="B2058" s="6">
        <v>1.4985014985014899E-2</v>
      </c>
      <c r="C2058" s="6">
        <v>0.120596329149909</v>
      </c>
    </row>
    <row r="2059" spans="1:3" s="7" customFormat="1" x14ac:dyDescent="0.2">
      <c r="A2059" s="6" t="str">
        <f>"GPNMB"</f>
        <v>GPNMB</v>
      </c>
      <c r="B2059" s="6">
        <v>1.4985014985014899E-2</v>
      </c>
      <c r="C2059" s="6">
        <v>0.120596329149909</v>
      </c>
    </row>
    <row r="2060" spans="1:3" s="7" customFormat="1" x14ac:dyDescent="0.2">
      <c r="A2060" s="6" t="str">
        <f>"AC079834.1"</f>
        <v>AC079834.1</v>
      </c>
      <c r="B2060" s="6">
        <v>1.4985014985014899E-2</v>
      </c>
      <c r="C2060" s="6">
        <v>0.120596329149909</v>
      </c>
    </row>
    <row r="2061" spans="1:3" s="7" customFormat="1" x14ac:dyDescent="0.2">
      <c r="A2061" s="6" t="str">
        <f>"FAM160B1"</f>
        <v>FAM160B1</v>
      </c>
      <c r="B2061" s="6">
        <v>1.4985014985014899E-2</v>
      </c>
      <c r="C2061" s="6">
        <v>0.120596329149909</v>
      </c>
    </row>
    <row r="2062" spans="1:3" s="7" customFormat="1" x14ac:dyDescent="0.2">
      <c r="A2062" s="6" t="str">
        <f>"SLC13A1"</f>
        <v>SLC13A1</v>
      </c>
      <c r="B2062" s="6">
        <v>1.5015015015014999E-2</v>
      </c>
      <c r="C2062" s="6">
        <v>0.120596329149909</v>
      </c>
    </row>
    <row r="2063" spans="1:3" s="7" customFormat="1" x14ac:dyDescent="0.2">
      <c r="A2063" s="6" t="str">
        <f>"TCF7L2"</f>
        <v>TCF7L2</v>
      </c>
      <c r="B2063" s="6">
        <v>1.4985014985014899E-2</v>
      </c>
      <c r="C2063" s="6">
        <v>0.120596329149909</v>
      </c>
    </row>
    <row r="2064" spans="1:3" s="7" customFormat="1" x14ac:dyDescent="0.2">
      <c r="A2064" s="6" t="str">
        <f>"MT-ND5"</f>
        <v>MT-ND5</v>
      </c>
      <c r="B2064" s="6">
        <v>1.4985014985014899E-2</v>
      </c>
      <c r="C2064" s="6">
        <v>0.120596329149909</v>
      </c>
    </row>
    <row r="2065" spans="1:3" s="7" customFormat="1" x14ac:dyDescent="0.2">
      <c r="A2065" s="6" t="str">
        <f>"LINC00106"</f>
        <v>LINC00106</v>
      </c>
      <c r="B2065" s="6">
        <v>1.4985014985014899E-2</v>
      </c>
      <c r="C2065" s="6">
        <v>0.120596329149909</v>
      </c>
    </row>
    <row r="2066" spans="1:3" s="7" customFormat="1" x14ac:dyDescent="0.2">
      <c r="A2066" s="6" t="str">
        <f>"VSTM5"</f>
        <v>VSTM5</v>
      </c>
      <c r="B2066" s="6">
        <v>1.4985014985014899E-2</v>
      </c>
      <c r="C2066" s="6">
        <v>0.120596329149909</v>
      </c>
    </row>
    <row r="2067" spans="1:3" s="7" customFormat="1" x14ac:dyDescent="0.2">
      <c r="A2067" s="6" t="str">
        <f>"RN7SL475P"</f>
        <v>RN7SL475P</v>
      </c>
      <c r="B2067" s="6">
        <v>1.4985014985014899E-2</v>
      </c>
      <c r="C2067" s="6">
        <v>0.120596329149909</v>
      </c>
    </row>
    <row r="2068" spans="1:3" s="7" customFormat="1" x14ac:dyDescent="0.2">
      <c r="A2068" s="6" t="str">
        <f>"AC005041.4"</f>
        <v>AC005041.4</v>
      </c>
      <c r="B2068" s="6">
        <v>1.5015015015014999E-2</v>
      </c>
      <c r="C2068" s="6">
        <v>0.120596329149909</v>
      </c>
    </row>
    <row r="2069" spans="1:3" s="7" customFormat="1" x14ac:dyDescent="0.2">
      <c r="A2069" s="6" t="str">
        <f>"SERPINA3"</f>
        <v>SERPINA3</v>
      </c>
      <c r="B2069" s="6">
        <v>1.4985014985014899E-2</v>
      </c>
      <c r="C2069" s="6">
        <v>0.120596329149909</v>
      </c>
    </row>
    <row r="2070" spans="1:3" s="7" customFormat="1" x14ac:dyDescent="0.2">
      <c r="A2070" s="6" t="str">
        <f>"AKR1C8P"</f>
        <v>AKR1C8P</v>
      </c>
      <c r="B2070" s="6">
        <v>1.48148148148148E-2</v>
      </c>
      <c r="C2070" s="6">
        <v>0.120596329149909</v>
      </c>
    </row>
    <row r="2071" spans="1:3" s="7" customFormat="1" x14ac:dyDescent="0.2">
      <c r="A2071" s="6" t="str">
        <f>"SPA17"</f>
        <v>SPA17</v>
      </c>
      <c r="B2071" s="6">
        <v>1.4999999999999999E-2</v>
      </c>
      <c r="C2071" s="6">
        <v>0.120596329149909</v>
      </c>
    </row>
    <row r="2072" spans="1:3" s="7" customFormat="1" x14ac:dyDescent="0.2">
      <c r="A2072" s="6" t="str">
        <f>"LINC01267"</f>
        <v>LINC01267</v>
      </c>
      <c r="B2072" s="6">
        <v>1.4985014985014899E-2</v>
      </c>
      <c r="C2072" s="6">
        <v>0.120596329149909</v>
      </c>
    </row>
    <row r="2073" spans="1:3" s="7" customFormat="1" x14ac:dyDescent="0.2">
      <c r="A2073" s="6" t="str">
        <f>"DYNLRB2"</f>
        <v>DYNLRB2</v>
      </c>
      <c r="B2073" s="6">
        <v>1.4985014985014899E-2</v>
      </c>
      <c r="C2073" s="6">
        <v>0.120596329149909</v>
      </c>
    </row>
    <row r="2074" spans="1:3" s="7" customFormat="1" x14ac:dyDescent="0.2">
      <c r="A2074" s="6" t="str">
        <f>"BCLAF1"</f>
        <v>BCLAF1</v>
      </c>
      <c r="B2074" s="6">
        <v>1.4985014985014899E-2</v>
      </c>
      <c r="C2074" s="6">
        <v>0.120596329149909</v>
      </c>
    </row>
    <row r="2075" spans="1:3" s="7" customFormat="1" x14ac:dyDescent="0.2">
      <c r="A2075" s="6" t="str">
        <f>"CLIC1"</f>
        <v>CLIC1</v>
      </c>
      <c r="B2075" s="6">
        <v>1.4985014985014899E-2</v>
      </c>
      <c r="C2075" s="6">
        <v>0.120596329149909</v>
      </c>
    </row>
    <row r="2076" spans="1:3" s="7" customFormat="1" x14ac:dyDescent="0.2">
      <c r="A2076" s="6" t="str">
        <f>"AC005833.1"</f>
        <v>AC005833.1</v>
      </c>
      <c r="B2076" s="6">
        <v>1.4985014985014899E-2</v>
      </c>
      <c r="C2076" s="6">
        <v>0.120596329149909</v>
      </c>
    </row>
    <row r="2077" spans="1:3" s="7" customFormat="1" x14ac:dyDescent="0.2">
      <c r="A2077" s="6" t="str">
        <f>"FHL3"</f>
        <v>FHL3</v>
      </c>
      <c r="B2077" s="6">
        <v>1.4985014985014899E-2</v>
      </c>
      <c r="C2077" s="6">
        <v>0.120596329149909</v>
      </c>
    </row>
    <row r="2078" spans="1:3" s="7" customFormat="1" x14ac:dyDescent="0.2">
      <c r="A2078" s="6" t="str">
        <f>"ELP4"</f>
        <v>ELP4</v>
      </c>
      <c r="B2078" s="6">
        <v>1.4985014985014899E-2</v>
      </c>
      <c r="C2078" s="6">
        <v>0.120596329149909</v>
      </c>
    </row>
    <row r="2079" spans="1:3" s="7" customFormat="1" x14ac:dyDescent="0.2">
      <c r="A2079" s="6" t="str">
        <f>"FHOD3"</f>
        <v>FHOD3</v>
      </c>
      <c r="B2079" s="6">
        <v>1.4985014985014899E-2</v>
      </c>
      <c r="C2079" s="6">
        <v>0.120596329149909</v>
      </c>
    </row>
    <row r="2080" spans="1:3" s="7" customFormat="1" x14ac:dyDescent="0.2">
      <c r="A2080" s="6" t="str">
        <f>"LYRM4"</f>
        <v>LYRM4</v>
      </c>
      <c r="B2080" s="6">
        <v>1.4985014985014899E-2</v>
      </c>
      <c r="C2080" s="6">
        <v>0.120596329149909</v>
      </c>
    </row>
    <row r="2081" spans="1:3" s="7" customFormat="1" x14ac:dyDescent="0.2">
      <c r="A2081" s="6" t="str">
        <f>"HMCES"</f>
        <v>HMCES</v>
      </c>
      <c r="B2081" s="6">
        <v>1.4985014985014899E-2</v>
      </c>
      <c r="C2081" s="6">
        <v>0.120596329149909</v>
      </c>
    </row>
    <row r="2082" spans="1:3" s="7" customFormat="1" x14ac:dyDescent="0.2">
      <c r="A2082" s="6" t="str">
        <f>"H3-3A"</f>
        <v>H3-3A</v>
      </c>
      <c r="B2082" s="6">
        <v>1.4985014985014899E-2</v>
      </c>
      <c r="C2082" s="6">
        <v>0.120596329149909</v>
      </c>
    </row>
    <row r="2083" spans="1:3" s="7" customFormat="1" x14ac:dyDescent="0.2">
      <c r="A2083" s="6" t="str">
        <f>"AL160272.2"</f>
        <v>AL160272.2</v>
      </c>
      <c r="B2083" s="6">
        <v>1.5984015984015901E-2</v>
      </c>
      <c r="C2083" s="6">
        <v>0.123010119595216</v>
      </c>
    </row>
    <row r="2084" spans="1:3" s="7" customFormat="1" x14ac:dyDescent="0.2">
      <c r="A2084" s="6" t="str">
        <f>"PYCARD"</f>
        <v>PYCARD</v>
      </c>
      <c r="B2084" s="6">
        <v>1.5984015984015901E-2</v>
      </c>
      <c r="C2084" s="6">
        <v>0.123010119595216</v>
      </c>
    </row>
    <row r="2085" spans="1:3" s="7" customFormat="1" x14ac:dyDescent="0.2">
      <c r="A2085" s="6" t="str">
        <f>"ATP6V1F"</f>
        <v>ATP6V1F</v>
      </c>
      <c r="B2085" s="6">
        <v>1.5984015984015901E-2</v>
      </c>
      <c r="C2085" s="6">
        <v>0.123010119595216</v>
      </c>
    </row>
    <row r="2086" spans="1:3" s="7" customFormat="1" x14ac:dyDescent="0.2">
      <c r="A2086" s="6" t="str">
        <f>"AP002807.1"</f>
        <v>AP002807.1</v>
      </c>
      <c r="B2086" s="6">
        <v>1.5984015984015901E-2</v>
      </c>
      <c r="C2086" s="6">
        <v>0.123010119595216</v>
      </c>
    </row>
    <row r="2087" spans="1:3" s="7" customFormat="1" x14ac:dyDescent="0.2">
      <c r="A2087" s="6" t="str">
        <f>"GRK5"</f>
        <v>GRK5</v>
      </c>
      <c r="B2087" s="6">
        <v>1.5984015984015901E-2</v>
      </c>
      <c r="C2087" s="6">
        <v>0.123010119595216</v>
      </c>
    </row>
    <row r="2088" spans="1:3" s="7" customFormat="1" x14ac:dyDescent="0.2">
      <c r="A2088" s="6" t="str">
        <f>"AC008105.3"</f>
        <v>AC008105.3</v>
      </c>
      <c r="B2088" s="6">
        <v>1.5984015984015901E-2</v>
      </c>
      <c r="C2088" s="6">
        <v>0.123010119595216</v>
      </c>
    </row>
    <row r="2089" spans="1:3" s="7" customFormat="1" x14ac:dyDescent="0.2">
      <c r="A2089" s="6" t="str">
        <f>"HOXA5"</f>
        <v>HOXA5</v>
      </c>
      <c r="B2089" s="6">
        <v>1.6E-2</v>
      </c>
      <c r="C2089" s="6">
        <v>0.123010119595216</v>
      </c>
    </row>
    <row r="2090" spans="1:3" s="7" customFormat="1" x14ac:dyDescent="0.2">
      <c r="A2090" s="6" t="str">
        <f>"PRDM5"</f>
        <v>PRDM5</v>
      </c>
      <c r="B2090" s="6">
        <v>1.5984015984015901E-2</v>
      </c>
      <c r="C2090" s="6">
        <v>0.123010119595216</v>
      </c>
    </row>
    <row r="2091" spans="1:3" s="7" customFormat="1" x14ac:dyDescent="0.2">
      <c r="A2091" s="6" t="str">
        <f>"YWHABP2"</f>
        <v>YWHABP2</v>
      </c>
      <c r="B2091" s="6">
        <v>1.5984015984015901E-2</v>
      </c>
      <c r="C2091" s="6">
        <v>0.123010119595216</v>
      </c>
    </row>
    <row r="2092" spans="1:3" s="7" customFormat="1" x14ac:dyDescent="0.2">
      <c r="A2092" s="6" t="str">
        <f>"AC011921.1"</f>
        <v>AC011921.1</v>
      </c>
      <c r="B2092" s="6">
        <v>1.6E-2</v>
      </c>
      <c r="C2092" s="6">
        <v>0.123010119595216</v>
      </c>
    </row>
    <row r="2093" spans="1:3" s="7" customFormat="1" x14ac:dyDescent="0.2">
      <c r="A2093" s="6" t="str">
        <f>"AL627309.5"</f>
        <v>AL627309.5</v>
      </c>
      <c r="B2093" s="6">
        <v>1.5984015984015901E-2</v>
      </c>
      <c r="C2093" s="6">
        <v>0.123010119595216</v>
      </c>
    </row>
    <row r="2094" spans="1:3" s="7" customFormat="1" x14ac:dyDescent="0.2">
      <c r="A2094" s="6" t="str">
        <f>"GFRA2"</f>
        <v>GFRA2</v>
      </c>
      <c r="B2094" s="6">
        <v>1.5984015984015901E-2</v>
      </c>
      <c r="C2094" s="6">
        <v>0.123010119595216</v>
      </c>
    </row>
    <row r="2095" spans="1:3" s="7" customFormat="1" x14ac:dyDescent="0.2">
      <c r="A2095" s="6" t="str">
        <f>"TMC1"</f>
        <v>TMC1</v>
      </c>
      <c r="B2095" s="6">
        <v>1.5984015984015901E-2</v>
      </c>
      <c r="C2095" s="6">
        <v>0.123010119595216</v>
      </c>
    </row>
    <row r="2096" spans="1:3" s="7" customFormat="1" x14ac:dyDescent="0.2">
      <c r="A2096" s="6" t="str">
        <f>"NR4A3"</f>
        <v>NR4A3</v>
      </c>
      <c r="B2096" s="6">
        <v>1.5984015984015901E-2</v>
      </c>
      <c r="C2096" s="6">
        <v>0.123010119595216</v>
      </c>
    </row>
    <row r="2097" spans="1:3" s="7" customFormat="1" x14ac:dyDescent="0.2">
      <c r="A2097" s="6" t="str">
        <f>"PLAU"</f>
        <v>PLAU</v>
      </c>
      <c r="B2097" s="6">
        <v>1.5984015984015901E-2</v>
      </c>
      <c r="C2097" s="6">
        <v>0.123010119595216</v>
      </c>
    </row>
    <row r="2098" spans="1:3" s="7" customFormat="1" x14ac:dyDescent="0.2">
      <c r="A2098" s="6" t="str">
        <f>"C8orf89"</f>
        <v>C8orf89</v>
      </c>
      <c r="B2098" s="6">
        <v>1.5984015984015901E-2</v>
      </c>
      <c r="C2098" s="6">
        <v>0.123010119595216</v>
      </c>
    </row>
    <row r="2099" spans="1:3" s="7" customFormat="1" x14ac:dyDescent="0.2">
      <c r="A2099" s="6" t="str">
        <f>"ZNF841"</f>
        <v>ZNF841</v>
      </c>
      <c r="B2099" s="6">
        <v>1.5984015984015901E-2</v>
      </c>
      <c r="C2099" s="6">
        <v>0.123010119595216</v>
      </c>
    </row>
    <row r="2100" spans="1:3" s="7" customFormat="1" x14ac:dyDescent="0.2">
      <c r="A2100" s="6" t="str">
        <f>"ITGAL"</f>
        <v>ITGAL</v>
      </c>
      <c r="B2100" s="6">
        <v>1.5984015984015901E-2</v>
      </c>
      <c r="C2100" s="6">
        <v>0.123010119595216</v>
      </c>
    </row>
    <row r="2101" spans="1:3" s="7" customFormat="1" x14ac:dyDescent="0.2">
      <c r="A2101" s="6" t="str">
        <f>"PNLIPRP3"</f>
        <v>PNLIPRP3</v>
      </c>
      <c r="B2101" s="6">
        <v>1.5984015984015901E-2</v>
      </c>
      <c r="C2101" s="6">
        <v>0.123010119595216</v>
      </c>
    </row>
    <row r="2102" spans="1:3" s="7" customFormat="1" x14ac:dyDescent="0.2">
      <c r="A2102" s="6" t="str">
        <f>"LINC00865"</f>
        <v>LINC00865</v>
      </c>
      <c r="B2102" s="6">
        <v>1.5984015984015901E-2</v>
      </c>
      <c r="C2102" s="6">
        <v>0.123010119595216</v>
      </c>
    </row>
    <row r="2103" spans="1:3" s="7" customFormat="1" x14ac:dyDescent="0.2">
      <c r="A2103" s="6" t="str">
        <f>"GPBAR1"</f>
        <v>GPBAR1</v>
      </c>
      <c r="B2103" s="6">
        <v>1.6E-2</v>
      </c>
      <c r="C2103" s="6">
        <v>0.123010119595216</v>
      </c>
    </row>
    <row r="2104" spans="1:3" s="7" customFormat="1" x14ac:dyDescent="0.2">
      <c r="A2104" s="6" t="str">
        <f>"LINC00461"</f>
        <v>LINC00461</v>
      </c>
      <c r="B2104" s="6">
        <v>1.5984015984015901E-2</v>
      </c>
      <c r="C2104" s="6">
        <v>0.123010119595216</v>
      </c>
    </row>
    <row r="2105" spans="1:3" s="7" customFormat="1" x14ac:dyDescent="0.2">
      <c r="A2105" s="6" t="str">
        <f>"AL049840.5"</f>
        <v>AL049840.5</v>
      </c>
      <c r="B2105" s="6">
        <v>1.5984015984015901E-2</v>
      </c>
      <c r="C2105" s="6">
        <v>0.123010119595216</v>
      </c>
    </row>
    <row r="2106" spans="1:3" s="7" customFormat="1" x14ac:dyDescent="0.2">
      <c r="A2106" s="6" t="str">
        <f>"PCAT6"</f>
        <v>PCAT6</v>
      </c>
      <c r="B2106" s="6">
        <v>1.5984015984015901E-2</v>
      </c>
      <c r="C2106" s="6">
        <v>0.123010119595216</v>
      </c>
    </row>
    <row r="2107" spans="1:3" s="7" customFormat="1" x14ac:dyDescent="0.2">
      <c r="A2107" s="6" t="str">
        <f>"TWSG1"</f>
        <v>TWSG1</v>
      </c>
      <c r="B2107" s="6">
        <v>1.5984015984015901E-2</v>
      </c>
      <c r="C2107" s="6">
        <v>0.123010119595216</v>
      </c>
    </row>
    <row r="2108" spans="1:3" s="7" customFormat="1" x14ac:dyDescent="0.2">
      <c r="A2108" s="6" t="str">
        <f>"HPGD"</f>
        <v>HPGD</v>
      </c>
      <c r="B2108" s="6">
        <v>1.5984015984015901E-2</v>
      </c>
      <c r="C2108" s="6">
        <v>0.123010119595216</v>
      </c>
    </row>
    <row r="2109" spans="1:3" s="7" customFormat="1" x14ac:dyDescent="0.2">
      <c r="A2109" s="6" t="str">
        <f>"IL12A"</f>
        <v>IL12A</v>
      </c>
      <c r="B2109" s="6">
        <v>1.5984015984015901E-2</v>
      </c>
      <c r="C2109" s="6">
        <v>0.123010119595216</v>
      </c>
    </row>
    <row r="2110" spans="1:3" s="7" customFormat="1" x14ac:dyDescent="0.2">
      <c r="A2110" s="6" t="str">
        <f>"ACOT2"</f>
        <v>ACOT2</v>
      </c>
      <c r="B2110" s="6">
        <v>1.5984015984015901E-2</v>
      </c>
      <c r="C2110" s="6">
        <v>0.123010119595216</v>
      </c>
    </row>
    <row r="2111" spans="1:3" s="7" customFormat="1" x14ac:dyDescent="0.2">
      <c r="A2111" s="6" t="str">
        <f>"YTHDC2"</f>
        <v>YTHDC2</v>
      </c>
      <c r="B2111" s="6">
        <v>1.5984015984015901E-2</v>
      </c>
      <c r="C2111" s="6">
        <v>0.123010119595216</v>
      </c>
    </row>
    <row r="2112" spans="1:3" s="7" customFormat="1" x14ac:dyDescent="0.2">
      <c r="A2112" s="6" t="str">
        <f>"EIF4G2"</f>
        <v>EIF4G2</v>
      </c>
      <c r="B2112" s="6">
        <v>1.5984015984015901E-2</v>
      </c>
      <c r="C2112" s="6">
        <v>0.123010119595216</v>
      </c>
    </row>
    <row r="2113" spans="1:3" s="7" customFormat="1" x14ac:dyDescent="0.2">
      <c r="A2113" s="6" t="str">
        <f>"AC105052.2"</f>
        <v>AC105052.2</v>
      </c>
      <c r="B2113" s="6">
        <v>1.5984015984015901E-2</v>
      </c>
      <c r="C2113" s="6">
        <v>0.123010119595216</v>
      </c>
    </row>
    <row r="2114" spans="1:3" s="7" customFormat="1" x14ac:dyDescent="0.2">
      <c r="A2114" s="6" t="str">
        <f>"MFSD6L"</f>
        <v>MFSD6L</v>
      </c>
      <c r="B2114" s="6">
        <v>1.5984015984015901E-2</v>
      </c>
      <c r="C2114" s="6">
        <v>0.123010119595216</v>
      </c>
    </row>
    <row r="2115" spans="1:3" s="7" customFormat="1" x14ac:dyDescent="0.2">
      <c r="A2115" s="6" t="str">
        <f>"MPL"</f>
        <v>MPL</v>
      </c>
      <c r="B2115" s="6">
        <v>1.6E-2</v>
      </c>
      <c r="C2115" s="6">
        <v>0.123010119595216</v>
      </c>
    </row>
    <row r="2116" spans="1:3" s="7" customFormat="1" x14ac:dyDescent="0.2">
      <c r="A2116" s="6" t="str">
        <f>"CPNE8"</f>
        <v>CPNE8</v>
      </c>
      <c r="B2116" s="6">
        <v>1.5984015984015901E-2</v>
      </c>
      <c r="C2116" s="6">
        <v>0.123010119595216</v>
      </c>
    </row>
    <row r="2117" spans="1:3" s="7" customFormat="1" x14ac:dyDescent="0.2">
      <c r="A2117" s="6" t="str">
        <f>"H2AX"</f>
        <v>H2AX</v>
      </c>
      <c r="B2117" s="6">
        <v>1.5984015984015901E-2</v>
      </c>
      <c r="C2117" s="6">
        <v>0.123010119595216</v>
      </c>
    </row>
    <row r="2118" spans="1:3" s="7" customFormat="1" x14ac:dyDescent="0.2">
      <c r="A2118" s="6" t="str">
        <f>"KCTD13"</f>
        <v>KCTD13</v>
      </c>
      <c r="B2118" s="6">
        <v>1.5984015984015901E-2</v>
      </c>
      <c r="C2118" s="6">
        <v>0.123010119595216</v>
      </c>
    </row>
    <row r="2119" spans="1:3" s="7" customFormat="1" x14ac:dyDescent="0.2">
      <c r="A2119" s="6" t="str">
        <f>"CCDC71L"</f>
        <v>CCDC71L</v>
      </c>
      <c r="B2119" s="6">
        <v>1.5984015984015901E-2</v>
      </c>
      <c r="C2119" s="6">
        <v>0.123010119595216</v>
      </c>
    </row>
    <row r="2120" spans="1:3" s="7" customFormat="1" x14ac:dyDescent="0.2">
      <c r="A2120" s="6" t="str">
        <f>"UBALD1"</f>
        <v>UBALD1</v>
      </c>
      <c r="B2120" s="6">
        <v>1.5984015984015901E-2</v>
      </c>
      <c r="C2120" s="6">
        <v>0.123010119595216</v>
      </c>
    </row>
    <row r="2121" spans="1:3" s="7" customFormat="1" x14ac:dyDescent="0.2">
      <c r="A2121" s="6" t="str">
        <f>"PIAS4"</f>
        <v>PIAS4</v>
      </c>
      <c r="B2121" s="6">
        <v>1.5984015984015901E-2</v>
      </c>
      <c r="C2121" s="6">
        <v>0.123010119595216</v>
      </c>
    </row>
    <row r="2122" spans="1:3" s="7" customFormat="1" x14ac:dyDescent="0.2">
      <c r="A2122" s="6" t="str">
        <f>"MICU2"</f>
        <v>MICU2</v>
      </c>
      <c r="B2122" s="6">
        <v>1.5984015984015901E-2</v>
      </c>
      <c r="C2122" s="6">
        <v>0.123010119595216</v>
      </c>
    </row>
    <row r="2123" spans="1:3" s="7" customFormat="1" x14ac:dyDescent="0.2">
      <c r="A2123" s="6" t="str">
        <f>"WEE1"</f>
        <v>WEE1</v>
      </c>
      <c r="B2123" s="6">
        <v>1.5984015984015901E-2</v>
      </c>
      <c r="C2123" s="6">
        <v>0.123010119595216</v>
      </c>
    </row>
    <row r="2124" spans="1:3" s="7" customFormat="1" x14ac:dyDescent="0.2">
      <c r="A2124" s="6" t="str">
        <f>"FOXN4"</f>
        <v>FOXN4</v>
      </c>
      <c r="B2124" s="6">
        <v>1.5984015984015901E-2</v>
      </c>
      <c r="C2124" s="6">
        <v>0.123010119595216</v>
      </c>
    </row>
    <row r="2125" spans="1:3" s="7" customFormat="1" x14ac:dyDescent="0.2">
      <c r="A2125" s="6" t="str">
        <f>"PPIL3"</f>
        <v>PPIL3</v>
      </c>
      <c r="B2125" s="6">
        <v>1.5984015984015901E-2</v>
      </c>
      <c r="C2125" s="6">
        <v>0.123010119595216</v>
      </c>
    </row>
    <row r="2126" spans="1:3" s="7" customFormat="1" x14ac:dyDescent="0.2">
      <c r="A2126" s="6" t="str">
        <f>"NIF3L1"</f>
        <v>NIF3L1</v>
      </c>
      <c r="B2126" s="6">
        <v>1.5984015984015901E-2</v>
      </c>
      <c r="C2126" s="6">
        <v>0.123010119595216</v>
      </c>
    </row>
    <row r="2127" spans="1:3" s="7" customFormat="1" x14ac:dyDescent="0.2">
      <c r="A2127" s="6" t="str">
        <f>"HSPA2"</f>
        <v>HSPA2</v>
      </c>
      <c r="B2127" s="6">
        <v>1.5984015984015901E-2</v>
      </c>
      <c r="C2127" s="6">
        <v>0.123010119595216</v>
      </c>
    </row>
    <row r="2128" spans="1:3" s="7" customFormat="1" x14ac:dyDescent="0.2">
      <c r="A2128" s="6" t="str">
        <f>"NMD3"</f>
        <v>NMD3</v>
      </c>
      <c r="B2128" s="6">
        <v>1.5984015984015901E-2</v>
      </c>
      <c r="C2128" s="6">
        <v>0.123010119595216</v>
      </c>
    </row>
    <row r="2129" spans="1:3" s="7" customFormat="1" x14ac:dyDescent="0.2">
      <c r="A2129" s="6" t="str">
        <f>"SMIM15"</f>
        <v>SMIM15</v>
      </c>
      <c r="B2129" s="6">
        <v>1.5984015984015901E-2</v>
      </c>
      <c r="C2129" s="6">
        <v>0.123010119595216</v>
      </c>
    </row>
    <row r="2130" spans="1:3" s="7" customFormat="1" x14ac:dyDescent="0.2">
      <c r="A2130" s="6" t="str">
        <f>"IL33"</f>
        <v>IL33</v>
      </c>
      <c r="B2130" s="6">
        <v>1.5984015984015901E-2</v>
      </c>
      <c r="C2130" s="6">
        <v>0.123010119595216</v>
      </c>
    </row>
    <row r="2131" spans="1:3" s="7" customFormat="1" x14ac:dyDescent="0.2">
      <c r="A2131" s="6" t="str">
        <f>"AC092368.3"</f>
        <v>AC092368.3</v>
      </c>
      <c r="B2131" s="6">
        <v>1.5984015984015901E-2</v>
      </c>
      <c r="C2131" s="6">
        <v>0.123010119595216</v>
      </c>
    </row>
    <row r="2132" spans="1:3" s="7" customFormat="1" x14ac:dyDescent="0.2">
      <c r="A2132" s="6" t="str">
        <f>"ETAA1"</f>
        <v>ETAA1</v>
      </c>
      <c r="B2132" s="6">
        <v>1.5984015984015901E-2</v>
      </c>
      <c r="C2132" s="6">
        <v>0.123010119595216</v>
      </c>
    </row>
    <row r="2133" spans="1:3" s="7" customFormat="1" x14ac:dyDescent="0.2">
      <c r="A2133" s="6" t="str">
        <f>"ERV3-1"</f>
        <v>ERV3-1</v>
      </c>
      <c r="B2133" s="6">
        <v>1.5984015984015901E-2</v>
      </c>
      <c r="C2133" s="6">
        <v>0.123010119595216</v>
      </c>
    </row>
    <row r="2134" spans="1:3" s="7" customFormat="1" x14ac:dyDescent="0.2">
      <c r="A2134" s="6" t="str">
        <f>"TP53RK"</f>
        <v>TP53RK</v>
      </c>
      <c r="B2134" s="6">
        <v>1.5984015984015901E-2</v>
      </c>
      <c r="C2134" s="6">
        <v>0.123010119595216</v>
      </c>
    </row>
    <row r="2135" spans="1:3" s="7" customFormat="1" x14ac:dyDescent="0.2">
      <c r="A2135" s="6" t="str">
        <f>"NAF1"</f>
        <v>NAF1</v>
      </c>
      <c r="B2135" s="6">
        <v>1.5984015984015901E-2</v>
      </c>
      <c r="C2135" s="6">
        <v>0.123010119595216</v>
      </c>
    </row>
    <row r="2136" spans="1:3" s="7" customFormat="1" x14ac:dyDescent="0.2">
      <c r="A2136" s="6" t="str">
        <f>"RPS6KC1"</f>
        <v>RPS6KC1</v>
      </c>
      <c r="B2136" s="6">
        <v>1.5984015984015901E-2</v>
      </c>
      <c r="C2136" s="6">
        <v>0.123010119595216</v>
      </c>
    </row>
    <row r="2137" spans="1:3" s="7" customFormat="1" x14ac:dyDescent="0.2">
      <c r="A2137" s="6" t="str">
        <f>"SLC25A12"</f>
        <v>SLC25A12</v>
      </c>
      <c r="B2137" s="6">
        <v>1.5984015984015901E-2</v>
      </c>
      <c r="C2137" s="6">
        <v>0.123010119595216</v>
      </c>
    </row>
    <row r="2138" spans="1:3" s="7" customFormat="1" x14ac:dyDescent="0.2">
      <c r="A2138" s="6" t="str">
        <f>"COMMD4"</f>
        <v>COMMD4</v>
      </c>
      <c r="B2138" s="6">
        <v>1.5984015984015901E-2</v>
      </c>
      <c r="C2138" s="6">
        <v>0.123010119595216</v>
      </c>
    </row>
    <row r="2139" spans="1:3" s="7" customFormat="1" x14ac:dyDescent="0.2">
      <c r="A2139" s="6" t="str">
        <f>"PFDN1"</f>
        <v>PFDN1</v>
      </c>
      <c r="B2139" s="6">
        <v>1.5984015984015901E-2</v>
      </c>
      <c r="C2139" s="6">
        <v>0.123010119595216</v>
      </c>
    </row>
    <row r="2140" spans="1:3" s="7" customFormat="1" x14ac:dyDescent="0.2">
      <c r="A2140" s="6" t="str">
        <f>"PEX5L"</f>
        <v>PEX5L</v>
      </c>
      <c r="B2140" s="6">
        <v>1.5984015984015901E-2</v>
      </c>
      <c r="C2140" s="6">
        <v>0.123010119595216</v>
      </c>
    </row>
    <row r="2141" spans="1:3" s="7" customFormat="1" x14ac:dyDescent="0.2">
      <c r="A2141" s="6" t="str">
        <f>"USP30-AS1"</f>
        <v>USP30-AS1</v>
      </c>
      <c r="B2141" s="6">
        <v>1.5984015984015901E-2</v>
      </c>
      <c r="C2141" s="6">
        <v>0.123010119595216</v>
      </c>
    </row>
    <row r="2142" spans="1:3" s="7" customFormat="1" x14ac:dyDescent="0.2">
      <c r="A2142" s="6" t="str">
        <f>"ANKRD27"</f>
        <v>ANKRD27</v>
      </c>
      <c r="B2142" s="6">
        <v>1.5984015984015901E-2</v>
      </c>
      <c r="C2142" s="6">
        <v>0.123010119595216</v>
      </c>
    </row>
    <row r="2143" spans="1:3" s="7" customFormat="1" x14ac:dyDescent="0.2">
      <c r="A2143" s="6" t="str">
        <f>"SERPINB13"</f>
        <v>SERPINB13</v>
      </c>
      <c r="B2143" s="6">
        <v>1.5984015984015901E-2</v>
      </c>
      <c r="C2143" s="6">
        <v>0.123010119595216</v>
      </c>
    </row>
    <row r="2144" spans="1:3" s="7" customFormat="1" x14ac:dyDescent="0.2">
      <c r="A2144" s="6" t="str">
        <f>"RHCE"</f>
        <v>RHCE</v>
      </c>
      <c r="B2144" s="6">
        <v>1.5984015984015901E-2</v>
      </c>
      <c r="C2144" s="6">
        <v>0.123010119595216</v>
      </c>
    </row>
    <row r="2145" spans="1:3" s="7" customFormat="1" x14ac:dyDescent="0.2">
      <c r="A2145" s="6" t="str">
        <f>"UTP18"</f>
        <v>UTP18</v>
      </c>
      <c r="B2145" s="6">
        <v>1.5984015984015901E-2</v>
      </c>
      <c r="C2145" s="6">
        <v>0.123010119595216</v>
      </c>
    </row>
    <row r="2146" spans="1:3" s="7" customFormat="1" x14ac:dyDescent="0.2">
      <c r="A2146" s="6" t="str">
        <f>"ABHD10"</f>
        <v>ABHD10</v>
      </c>
      <c r="B2146" s="6">
        <v>1.5984015984015901E-2</v>
      </c>
      <c r="C2146" s="6">
        <v>0.123010119595216</v>
      </c>
    </row>
    <row r="2147" spans="1:3" s="7" customFormat="1" x14ac:dyDescent="0.2">
      <c r="A2147" s="6" t="str">
        <f>"PODNL1"</f>
        <v>PODNL1</v>
      </c>
      <c r="B2147" s="6">
        <v>1.5984015984015901E-2</v>
      </c>
      <c r="C2147" s="6">
        <v>0.123010119595216</v>
      </c>
    </row>
    <row r="2148" spans="1:3" s="7" customFormat="1" x14ac:dyDescent="0.2">
      <c r="A2148" s="6" t="str">
        <f>"RTL8A"</f>
        <v>RTL8A</v>
      </c>
      <c r="B2148" s="6">
        <v>1.5984015984015901E-2</v>
      </c>
      <c r="C2148" s="6">
        <v>0.123010119595216</v>
      </c>
    </row>
    <row r="2149" spans="1:3" s="7" customFormat="1" x14ac:dyDescent="0.2">
      <c r="A2149" s="6" t="str">
        <f>"EFEMP1"</f>
        <v>EFEMP1</v>
      </c>
      <c r="B2149" s="6">
        <v>1.6E-2</v>
      </c>
      <c r="C2149" s="6">
        <v>0.123010119595216</v>
      </c>
    </row>
    <row r="2150" spans="1:3" s="7" customFormat="1" x14ac:dyDescent="0.2">
      <c r="A2150" s="6" t="str">
        <f>"SF3B4"</f>
        <v>SF3B4</v>
      </c>
      <c r="B2150" s="6">
        <v>1.5984015984015901E-2</v>
      </c>
      <c r="C2150" s="6">
        <v>0.123010119595216</v>
      </c>
    </row>
    <row r="2151" spans="1:3" s="7" customFormat="1" x14ac:dyDescent="0.2">
      <c r="A2151" s="6" t="str">
        <f>"SLC39A10"</f>
        <v>SLC39A10</v>
      </c>
      <c r="B2151" s="6">
        <v>1.5984015984015901E-2</v>
      </c>
      <c r="C2151" s="6">
        <v>0.123010119595216</v>
      </c>
    </row>
    <row r="2152" spans="1:3" s="7" customFormat="1" x14ac:dyDescent="0.2">
      <c r="A2152" s="6" t="str">
        <f>"SLCO2B1"</f>
        <v>SLCO2B1</v>
      </c>
      <c r="B2152" s="6">
        <v>1.5984015984015901E-2</v>
      </c>
      <c r="C2152" s="6">
        <v>0.123010119595216</v>
      </c>
    </row>
    <row r="2153" spans="1:3" s="7" customFormat="1" x14ac:dyDescent="0.2">
      <c r="A2153" s="6" t="str">
        <f>"ZNF497"</f>
        <v>ZNF497</v>
      </c>
      <c r="B2153" s="6">
        <v>1.5984015984015901E-2</v>
      </c>
      <c r="C2153" s="6">
        <v>0.123010119595216</v>
      </c>
    </row>
    <row r="2154" spans="1:3" s="7" customFormat="1" x14ac:dyDescent="0.2">
      <c r="A2154" s="6" t="str">
        <f>"SSPN"</f>
        <v>SSPN</v>
      </c>
      <c r="B2154" s="6">
        <v>1.5984015984015901E-2</v>
      </c>
      <c r="C2154" s="6">
        <v>0.123010119595216</v>
      </c>
    </row>
    <row r="2155" spans="1:3" s="7" customFormat="1" x14ac:dyDescent="0.2">
      <c r="A2155" s="6" t="str">
        <f>"NFS1"</f>
        <v>NFS1</v>
      </c>
      <c r="B2155" s="6">
        <v>1.5984015984015901E-2</v>
      </c>
      <c r="C2155" s="6">
        <v>0.123010119595216</v>
      </c>
    </row>
    <row r="2156" spans="1:3" s="7" customFormat="1" x14ac:dyDescent="0.2">
      <c r="A2156" s="6" t="str">
        <f>"AC005537.1"</f>
        <v>AC005537.1</v>
      </c>
      <c r="B2156" s="6">
        <v>1.5984015984015901E-2</v>
      </c>
      <c r="C2156" s="6">
        <v>0.123010119595216</v>
      </c>
    </row>
    <row r="2157" spans="1:3" s="7" customFormat="1" x14ac:dyDescent="0.2">
      <c r="A2157" s="6" t="str">
        <f>"TIMM23"</f>
        <v>TIMM23</v>
      </c>
      <c r="B2157" s="6">
        <v>1.5984015984015901E-2</v>
      </c>
      <c r="C2157" s="6">
        <v>0.123010119595216</v>
      </c>
    </row>
    <row r="2158" spans="1:3" s="7" customFormat="1" x14ac:dyDescent="0.2">
      <c r="A2158" s="6" t="str">
        <f>"H2BC21"</f>
        <v>H2BC21</v>
      </c>
      <c r="B2158" s="6">
        <v>1.5984015984015901E-2</v>
      </c>
      <c r="C2158" s="6">
        <v>0.123010119595216</v>
      </c>
    </row>
    <row r="2159" spans="1:3" s="7" customFormat="1" x14ac:dyDescent="0.2">
      <c r="A2159" s="6" t="str">
        <f>"GPATCH2"</f>
        <v>GPATCH2</v>
      </c>
      <c r="B2159" s="6">
        <v>1.5984015984015901E-2</v>
      </c>
      <c r="C2159" s="6">
        <v>0.123010119595216</v>
      </c>
    </row>
    <row r="2160" spans="1:3" s="7" customFormat="1" x14ac:dyDescent="0.2">
      <c r="A2160" s="6" t="str">
        <f>"TRIQK"</f>
        <v>TRIQK</v>
      </c>
      <c r="B2160" s="6">
        <v>1.5984015984015901E-2</v>
      </c>
      <c r="C2160" s="6">
        <v>0.123010119595216</v>
      </c>
    </row>
    <row r="2161" spans="1:3" s="7" customFormat="1" x14ac:dyDescent="0.2">
      <c r="A2161" s="6" t="str">
        <f>"LINC02731"</f>
        <v>LINC02731</v>
      </c>
      <c r="B2161" s="6">
        <v>1.5984015984015901E-2</v>
      </c>
      <c r="C2161" s="6">
        <v>0.123010119595216</v>
      </c>
    </row>
    <row r="2162" spans="1:3" s="7" customFormat="1" x14ac:dyDescent="0.2">
      <c r="A2162" s="6" t="str">
        <f>"PMP22"</f>
        <v>PMP22</v>
      </c>
      <c r="B2162" s="6">
        <v>1.5984015984015901E-2</v>
      </c>
      <c r="C2162" s="6">
        <v>0.123010119595216</v>
      </c>
    </row>
    <row r="2163" spans="1:3" s="7" customFormat="1" x14ac:dyDescent="0.2">
      <c r="A2163" s="6" t="str">
        <f>"CFAP46"</f>
        <v>CFAP46</v>
      </c>
      <c r="B2163" s="6">
        <v>1.5984015984015901E-2</v>
      </c>
      <c r="C2163" s="6">
        <v>0.123010119595216</v>
      </c>
    </row>
    <row r="2164" spans="1:3" s="7" customFormat="1" x14ac:dyDescent="0.2">
      <c r="A2164" s="6" t="str">
        <f>"NTNG2"</f>
        <v>NTNG2</v>
      </c>
      <c r="B2164" s="6">
        <v>1.5984015984015901E-2</v>
      </c>
      <c r="C2164" s="6">
        <v>0.123010119595216</v>
      </c>
    </row>
    <row r="2165" spans="1:3" s="7" customFormat="1" x14ac:dyDescent="0.2">
      <c r="A2165" s="6" t="str">
        <f>"EIF2B3"</f>
        <v>EIF2B3</v>
      </c>
      <c r="B2165" s="6">
        <v>1.5984015984015901E-2</v>
      </c>
      <c r="C2165" s="6">
        <v>0.123010119595216</v>
      </c>
    </row>
    <row r="2166" spans="1:3" s="7" customFormat="1" x14ac:dyDescent="0.2">
      <c r="A2166" s="6" t="str">
        <f>"AL357093.2"</f>
        <v>AL357093.2</v>
      </c>
      <c r="B2166" s="6">
        <v>1.5984015984015901E-2</v>
      </c>
      <c r="C2166" s="6">
        <v>0.123010119595216</v>
      </c>
    </row>
    <row r="2167" spans="1:3" s="7" customFormat="1" x14ac:dyDescent="0.2">
      <c r="A2167" s="6" t="str">
        <f>"LRRC3"</f>
        <v>LRRC3</v>
      </c>
      <c r="B2167" s="6">
        <v>1.5984015984015901E-2</v>
      </c>
      <c r="C2167" s="6">
        <v>0.123010119595216</v>
      </c>
    </row>
    <row r="2168" spans="1:3" s="7" customFormat="1" x14ac:dyDescent="0.2">
      <c r="A2168" s="6" t="str">
        <f>"PSTPIP2"</f>
        <v>PSTPIP2</v>
      </c>
      <c r="B2168" s="6">
        <v>1.5984015984015901E-2</v>
      </c>
      <c r="C2168" s="6">
        <v>0.123010119595216</v>
      </c>
    </row>
    <row r="2169" spans="1:3" s="7" customFormat="1" x14ac:dyDescent="0.2">
      <c r="A2169" s="6" t="str">
        <f>"MARCHF1"</f>
        <v>MARCHF1</v>
      </c>
      <c r="B2169" s="6">
        <v>1.5984015984015901E-2</v>
      </c>
      <c r="C2169" s="6">
        <v>0.123010119595216</v>
      </c>
    </row>
    <row r="2170" spans="1:3" s="7" customFormat="1" x14ac:dyDescent="0.2">
      <c r="A2170" s="6" t="str">
        <f>"ZNF654"</f>
        <v>ZNF654</v>
      </c>
      <c r="B2170" s="6">
        <v>1.5984015984015901E-2</v>
      </c>
      <c r="C2170" s="6">
        <v>0.123010119595216</v>
      </c>
    </row>
    <row r="2171" spans="1:3" s="7" customFormat="1" x14ac:dyDescent="0.2">
      <c r="A2171" s="6" t="str">
        <f>"CLCN1"</f>
        <v>CLCN1</v>
      </c>
      <c r="B2171" s="6">
        <v>1.5984015984015901E-2</v>
      </c>
      <c r="C2171" s="6">
        <v>0.123010119595216</v>
      </c>
    </row>
    <row r="2172" spans="1:3" s="7" customFormat="1" x14ac:dyDescent="0.2">
      <c r="A2172" s="6" t="str">
        <f>"SEC22B"</f>
        <v>SEC22B</v>
      </c>
      <c r="B2172" s="6">
        <v>1.5984015984015901E-2</v>
      </c>
      <c r="C2172" s="6">
        <v>0.123010119595216</v>
      </c>
    </row>
    <row r="2173" spans="1:3" s="7" customFormat="1" x14ac:dyDescent="0.2">
      <c r="A2173" s="6" t="str">
        <f>"FBXO38"</f>
        <v>FBXO38</v>
      </c>
      <c r="B2173" s="6">
        <v>1.5984015984015901E-2</v>
      </c>
      <c r="C2173" s="6">
        <v>0.123010119595216</v>
      </c>
    </row>
    <row r="2174" spans="1:3" s="7" customFormat="1" x14ac:dyDescent="0.2">
      <c r="A2174" s="6" t="str">
        <f>"NARS1"</f>
        <v>NARS1</v>
      </c>
      <c r="B2174" s="6">
        <v>1.6E-2</v>
      </c>
      <c r="C2174" s="6">
        <v>0.123010119595216</v>
      </c>
    </row>
    <row r="2175" spans="1:3" s="7" customFormat="1" x14ac:dyDescent="0.2">
      <c r="A2175" s="6" t="str">
        <f>"GJA4"</f>
        <v>GJA4</v>
      </c>
      <c r="B2175" s="6">
        <v>1.5984015984015901E-2</v>
      </c>
      <c r="C2175" s="6">
        <v>0.123010119595216</v>
      </c>
    </row>
    <row r="2176" spans="1:3" s="7" customFormat="1" x14ac:dyDescent="0.2">
      <c r="A2176" s="6" t="str">
        <f>"AC020656.1"</f>
        <v>AC020656.1</v>
      </c>
      <c r="B2176" s="6">
        <v>1.6016016016015999E-2</v>
      </c>
      <c r="C2176" s="6">
        <v>0.123020078902431</v>
      </c>
    </row>
    <row r="2177" spans="1:3" s="7" customFormat="1" x14ac:dyDescent="0.2">
      <c r="A2177" s="6" t="str">
        <f>"AC039056.2"</f>
        <v>AC039056.2</v>
      </c>
      <c r="B2177" s="6">
        <v>1.6016016016015999E-2</v>
      </c>
      <c r="C2177" s="6">
        <v>0.123020078902431</v>
      </c>
    </row>
    <row r="2178" spans="1:3" s="7" customFormat="1" x14ac:dyDescent="0.2">
      <c r="A2178" s="6" t="str">
        <f>"FBXW4P1"</f>
        <v>FBXW4P1</v>
      </c>
      <c r="B2178" s="6">
        <v>1.6032064128256501E-2</v>
      </c>
      <c r="C2178" s="6">
        <v>0.123086779898796</v>
      </c>
    </row>
    <row r="2179" spans="1:3" s="7" customFormat="1" x14ac:dyDescent="0.2">
      <c r="A2179" s="6" t="str">
        <f>"AC016866.1"</f>
        <v>AC016866.1</v>
      </c>
      <c r="B2179" s="6">
        <v>1.6129032258064498E-2</v>
      </c>
      <c r="C2179" s="6">
        <v>0.123717597595819</v>
      </c>
    </row>
    <row r="2180" spans="1:3" s="7" customFormat="1" x14ac:dyDescent="0.2">
      <c r="A2180" s="6" t="str">
        <f>"UICLM"</f>
        <v>UICLM</v>
      </c>
      <c r="B2180" s="6">
        <v>1.6129032258064498E-2</v>
      </c>
      <c r="C2180" s="6">
        <v>0.123717597595819</v>
      </c>
    </row>
    <row r="2181" spans="1:3" s="7" customFormat="1" x14ac:dyDescent="0.2">
      <c r="A2181" s="6" t="str">
        <f>"AC112777.1"</f>
        <v>AC112777.1</v>
      </c>
      <c r="B2181" s="6">
        <v>1.6194331983805599E-2</v>
      </c>
      <c r="C2181" s="6">
        <v>0.124161497604278</v>
      </c>
    </row>
    <row r="2182" spans="1:3" s="7" customFormat="1" x14ac:dyDescent="0.2">
      <c r="A2182" s="6" t="str">
        <f>"FTL"</f>
        <v>FTL</v>
      </c>
      <c r="B2182" s="6">
        <v>1.6983016983016901E-2</v>
      </c>
      <c r="C2182" s="6">
        <v>0.12605944986690301</v>
      </c>
    </row>
    <row r="2183" spans="1:3" s="7" customFormat="1" x14ac:dyDescent="0.2">
      <c r="A2183" s="6" t="str">
        <f>"CACNA1E"</f>
        <v>CACNA1E</v>
      </c>
      <c r="B2183" s="6">
        <v>1.6983016983016901E-2</v>
      </c>
      <c r="C2183" s="6">
        <v>0.12605944986690301</v>
      </c>
    </row>
    <row r="2184" spans="1:3" s="7" customFormat="1" x14ac:dyDescent="0.2">
      <c r="A2184" s="6" t="str">
        <f>"TMEM243"</f>
        <v>TMEM243</v>
      </c>
      <c r="B2184" s="6">
        <v>1.6983016983016901E-2</v>
      </c>
      <c r="C2184" s="6">
        <v>0.12605944986690301</v>
      </c>
    </row>
    <row r="2185" spans="1:3" s="7" customFormat="1" x14ac:dyDescent="0.2">
      <c r="A2185" s="6" t="str">
        <f>"AP002761.3"</f>
        <v>AP002761.3</v>
      </c>
      <c r="B2185" s="6">
        <v>1.6983016983016901E-2</v>
      </c>
      <c r="C2185" s="6">
        <v>0.12605944986690301</v>
      </c>
    </row>
    <row r="2186" spans="1:3" s="7" customFormat="1" x14ac:dyDescent="0.2">
      <c r="A2186" s="6" t="str">
        <f>"C12orf65"</f>
        <v>C12orf65</v>
      </c>
      <c r="B2186" s="6">
        <v>1.6983016983016901E-2</v>
      </c>
      <c r="C2186" s="6">
        <v>0.12605944986690301</v>
      </c>
    </row>
    <row r="2187" spans="1:3" s="7" customFormat="1" x14ac:dyDescent="0.2">
      <c r="A2187" s="6" t="str">
        <f>"SLC16A10"</f>
        <v>SLC16A10</v>
      </c>
      <c r="B2187" s="6">
        <v>1.6983016983016901E-2</v>
      </c>
      <c r="C2187" s="6">
        <v>0.12605944986690301</v>
      </c>
    </row>
    <row r="2188" spans="1:3" s="7" customFormat="1" x14ac:dyDescent="0.2">
      <c r="A2188" s="6" t="str">
        <f>"TMIGD2"</f>
        <v>TMIGD2</v>
      </c>
      <c r="B2188" s="6">
        <v>1.6983016983016901E-2</v>
      </c>
      <c r="C2188" s="6">
        <v>0.12605944986690301</v>
      </c>
    </row>
    <row r="2189" spans="1:3" s="7" customFormat="1" x14ac:dyDescent="0.2">
      <c r="A2189" s="6" t="str">
        <f>"SOWAHC"</f>
        <v>SOWAHC</v>
      </c>
      <c r="B2189" s="6">
        <v>1.6983016983016901E-2</v>
      </c>
      <c r="C2189" s="6">
        <v>0.12605944986690301</v>
      </c>
    </row>
    <row r="2190" spans="1:3" s="7" customFormat="1" x14ac:dyDescent="0.2">
      <c r="A2190" s="6" t="str">
        <f>"AC135048.3"</f>
        <v>AC135048.3</v>
      </c>
      <c r="B2190" s="6">
        <v>1.7000000000000001E-2</v>
      </c>
      <c r="C2190" s="6">
        <v>0.12605944986690301</v>
      </c>
    </row>
    <row r="2191" spans="1:3" s="7" customFormat="1" x14ac:dyDescent="0.2">
      <c r="A2191" s="6" t="str">
        <f>"FOXI1"</f>
        <v>FOXI1</v>
      </c>
      <c r="B2191" s="6">
        <v>1.6983016983016901E-2</v>
      </c>
      <c r="C2191" s="6">
        <v>0.12605944986690301</v>
      </c>
    </row>
    <row r="2192" spans="1:3" s="7" customFormat="1" x14ac:dyDescent="0.2">
      <c r="A2192" s="6" t="str">
        <f>"PPP1R16B"</f>
        <v>PPP1R16B</v>
      </c>
      <c r="B2192" s="6">
        <v>1.6983016983016901E-2</v>
      </c>
      <c r="C2192" s="6">
        <v>0.12605944986690301</v>
      </c>
    </row>
    <row r="2193" spans="1:3" s="7" customFormat="1" x14ac:dyDescent="0.2">
      <c r="A2193" s="6" t="str">
        <f>"RWDD3"</f>
        <v>RWDD3</v>
      </c>
      <c r="B2193" s="6">
        <v>1.6983016983016901E-2</v>
      </c>
      <c r="C2193" s="6">
        <v>0.12605944986690301</v>
      </c>
    </row>
    <row r="2194" spans="1:3" s="7" customFormat="1" x14ac:dyDescent="0.2">
      <c r="A2194" s="6" t="str">
        <f>"SPC25"</f>
        <v>SPC25</v>
      </c>
      <c r="B2194" s="6">
        <v>1.6983016983016901E-2</v>
      </c>
      <c r="C2194" s="6">
        <v>0.12605944986690301</v>
      </c>
    </row>
    <row r="2195" spans="1:3" s="7" customFormat="1" x14ac:dyDescent="0.2">
      <c r="A2195" s="6" t="str">
        <f>"ERVH-1"</f>
        <v>ERVH-1</v>
      </c>
      <c r="B2195" s="6">
        <v>1.6983016983016901E-2</v>
      </c>
      <c r="C2195" s="6">
        <v>0.12605944986690301</v>
      </c>
    </row>
    <row r="2196" spans="1:3" s="7" customFormat="1" x14ac:dyDescent="0.2">
      <c r="A2196" s="6" t="str">
        <f>"AC069224.1"</f>
        <v>AC069224.1</v>
      </c>
      <c r="B2196" s="6">
        <v>1.7000000000000001E-2</v>
      </c>
      <c r="C2196" s="6">
        <v>0.12605944986690301</v>
      </c>
    </row>
    <row r="2197" spans="1:3" s="7" customFormat="1" x14ac:dyDescent="0.2">
      <c r="A2197" s="6" t="str">
        <f>"AC134669.1"</f>
        <v>AC134669.1</v>
      </c>
      <c r="B2197" s="6">
        <v>1.6983016983016901E-2</v>
      </c>
      <c r="C2197" s="6">
        <v>0.12605944986690301</v>
      </c>
    </row>
    <row r="2198" spans="1:3" s="7" customFormat="1" x14ac:dyDescent="0.2">
      <c r="A2198" s="6" t="str">
        <f>"AP002748.4"</f>
        <v>AP002748.4</v>
      </c>
      <c r="B2198" s="6">
        <v>1.6983016983016901E-2</v>
      </c>
      <c r="C2198" s="6">
        <v>0.12605944986690301</v>
      </c>
    </row>
    <row r="2199" spans="1:3" s="7" customFormat="1" x14ac:dyDescent="0.2">
      <c r="A2199" s="6" t="str">
        <f>"RGMA"</f>
        <v>RGMA</v>
      </c>
      <c r="B2199" s="6">
        <v>1.6983016983016901E-2</v>
      </c>
      <c r="C2199" s="6">
        <v>0.12605944986690301</v>
      </c>
    </row>
    <row r="2200" spans="1:3" s="7" customFormat="1" x14ac:dyDescent="0.2">
      <c r="A2200" s="6" t="str">
        <f>"SLC9A4"</f>
        <v>SLC9A4</v>
      </c>
      <c r="B2200" s="6">
        <v>1.6983016983016901E-2</v>
      </c>
      <c r="C2200" s="6">
        <v>0.12605944986690301</v>
      </c>
    </row>
    <row r="2201" spans="1:3" s="7" customFormat="1" x14ac:dyDescent="0.2">
      <c r="A2201" s="6" t="str">
        <f>"DCP1A"</f>
        <v>DCP1A</v>
      </c>
      <c r="B2201" s="6">
        <v>1.6983016983016901E-2</v>
      </c>
      <c r="C2201" s="6">
        <v>0.12605944986690301</v>
      </c>
    </row>
    <row r="2202" spans="1:3" s="7" customFormat="1" x14ac:dyDescent="0.2">
      <c r="A2202" s="6" t="str">
        <f>"AP001992.1"</f>
        <v>AP001992.1</v>
      </c>
      <c r="B2202" s="6">
        <v>1.7000000000000001E-2</v>
      </c>
      <c r="C2202" s="6">
        <v>0.12605944986690301</v>
      </c>
    </row>
    <row r="2203" spans="1:3" s="7" customFormat="1" x14ac:dyDescent="0.2">
      <c r="A2203" s="6" t="str">
        <f>"AC011815.1"</f>
        <v>AC011815.1</v>
      </c>
      <c r="B2203" s="6">
        <v>1.6983016983016901E-2</v>
      </c>
      <c r="C2203" s="6">
        <v>0.12605944986690301</v>
      </c>
    </row>
    <row r="2204" spans="1:3" s="7" customFormat="1" x14ac:dyDescent="0.2">
      <c r="A2204" s="6" t="str">
        <f>"MAP3K14"</f>
        <v>MAP3K14</v>
      </c>
      <c r="B2204" s="6">
        <v>1.6983016983016901E-2</v>
      </c>
      <c r="C2204" s="6">
        <v>0.12605944986690301</v>
      </c>
    </row>
    <row r="2205" spans="1:3" s="7" customFormat="1" x14ac:dyDescent="0.2">
      <c r="A2205" s="6" t="str">
        <f>"QRICH1"</f>
        <v>QRICH1</v>
      </c>
      <c r="B2205" s="6">
        <v>1.6983016983016901E-2</v>
      </c>
      <c r="C2205" s="6">
        <v>0.12605944986690301</v>
      </c>
    </row>
    <row r="2206" spans="1:3" s="7" customFormat="1" x14ac:dyDescent="0.2">
      <c r="A2206" s="6" t="str">
        <f>"AC020765.2"</f>
        <v>AC020765.2</v>
      </c>
      <c r="B2206" s="6">
        <v>1.64778578784757E-2</v>
      </c>
      <c r="C2206" s="6">
        <v>0.12605944986690301</v>
      </c>
    </row>
    <row r="2207" spans="1:3" s="7" customFormat="1" x14ac:dyDescent="0.2">
      <c r="A2207" s="6" t="str">
        <f>"CWH43"</f>
        <v>CWH43</v>
      </c>
      <c r="B2207" s="6">
        <v>1.6983016983016901E-2</v>
      </c>
      <c r="C2207" s="6">
        <v>0.12605944986690301</v>
      </c>
    </row>
    <row r="2208" spans="1:3" s="7" customFormat="1" x14ac:dyDescent="0.2">
      <c r="A2208" s="6" t="str">
        <f>"AC091057.5"</f>
        <v>AC091057.5</v>
      </c>
      <c r="B2208" s="6">
        <v>1.6983016983016901E-2</v>
      </c>
      <c r="C2208" s="6">
        <v>0.12605944986690301</v>
      </c>
    </row>
    <row r="2209" spans="1:3" s="7" customFormat="1" x14ac:dyDescent="0.2">
      <c r="A2209" s="6" t="str">
        <f>"NEMP2"</f>
        <v>NEMP2</v>
      </c>
      <c r="B2209" s="6">
        <v>1.6983016983016901E-2</v>
      </c>
      <c r="C2209" s="6">
        <v>0.12605944986690301</v>
      </c>
    </row>
    <row r="2210" spans="1:3" s="7" customFormat="1" x14ac:dyDescent="0.2">
      <c r="A2210" s="6" t="str">
        <f>"CFTR"</f>
        <v>CFTR</v>
      </c>
      <c r="B2210" s="6">
        <v>1.6983016983016901E-2</v>
      </c>
      <c r="C2210" s="6">
        <v>0.12605944986690301</v>
      </c>
    </row>
    <row r="2211" spans="1:3" s="7" customFormat="1" x14ac:dyDescent="0.2">
      <c r="A2211" s="6" t="str">
        <f>"SF3A2"</f>
        <v>SF3A2</v>
      </c>
      <c r="B2211" s="6">
        <v>1.6983016983016901E-2</v>
      </c>
      <c r="C2211" s="6">
        <v>0.12605944986690301</v>
      </c>
    </row>
    <row r="2212" spans="1:3" s="7" customFormat="1" x14ac:dyDescent="0.2">
      <c r="A2212" s="6" t="str">
        <f>"RNF216P1"</f>
        <v>RNF216P1</v>
      </c>
      <c r="B2212" s="6">
        <v>1.6983016983016901E-2</v>
      </c>
      <c r="C2212" s="6">
        <v>0.12605944986690301</v>
      </c>
    </row>
    <row r="2213" spans="1:3" s="7" customFormat="1" x14ac:dyDescent="0.2">
      <c r="A2213" s="6" t="str">
        <f>"AL121594.1"</f>
        <v>AL121594.1</v>
      </c>
      <c r="B2213" s="6">
        <v>1.6983016983016901E-2</v>
      </c>
      <c r="C2213" s="6">
        <v>0.12605944986690301</v>
      </c>
    </row>
    <row r="2214" spans="1:3" s="7" customFormat="1" x14ac:dyDescent="0.2">
      <c r="A2214" s="6" t="str">
        <f>"AL691432.2"</f>
        <v>AL691432.2</v>
      </c>
      <c r="B2214" s="6">
        <v>1.6983016983016901E-2</v>
      </c>
      <c r="C2214" s="6">
        <v>0.12605944986690301</v>
      </c>
    </row>
    <row r="2215" spans="1:3" s="7" customFormat="1" x14ac:dyDescent="0.2">
      <c r="A2215" s="6" t="str">
        <f>"LTN1"</f>
        <v>LTN1</v>
      </c>
      <c r="B2215" s="6">
        <v>1.6983016983016901E-2</v>
      </c>
      <c r="C2215" s="6">
        <v>0.12605944986690301</v>
      </c>
    </row>
    <row r="2216" spans="1:3" s="7" customFormat="1" x14ac:dyDescent="0.2">
      <c r="A2216" s="6" t="str">
        <f>"DPM2"</f>
        <v>DPM2</v>
      </c>
      <c r="B2216" s="6">
        <v>1.6983016983016901E-2</v>
      </c>
      <c r="C2216" s="6">
        <v>0.12605944986690301</v>
      </c>
    </row>
    <row r="2217" spans="1:3" s="7" customFormat="1" x14ac:dyDescent="0.2">
      <c r="A2217" s="6" t="str">
        <f>"USP12"</f>
        <v>USP12</v>
      </c>
      <c r="B2217" s="6">
        <v>1.6983016983016901E-2</v>
      </c>
      <c r="C2217" s="6">
        <v>0.12605944986690301</v>
      </c>
    </row>
    <row r="2218" spans="1:3" s="7" customFormat="1" x14ac:dyDescent="0.2">
      <c r="A2218" s="6" t="str">
        <f>"NCCRP1"</f>
        <v>NCCRP1</v>
      </c>
      <c r="B2218" s="6">
        <v>1.6983016983016901E-2</v>
      </c>
      <c r="C2218" s="6">
        <v>0.12605944986690301</v>
      </c>
    </row>
    <row r="2219" spans="1:3" s="7" customFormat="1" x14ac:dyDescent="0.2">
      <c r="A2219" s="6" t="str">
        <f>"DPAGT1"</f>
        <v>DPAGT1</v>
      </c>
      <c r="B2219" s="6">
        <v>1.6983016983016901E-2</v>
      </c>
      <c r="C2219" s="6">
        <v>0.12605944986690301</v>
      </c>
    </row>
    <row r="2220" spans="1:3" s="7" customFormat="1" x14ac:dyDescent="0.2">
      <c r="A2220" s="6" t="str">
        <f>"GYS1"</f>
        <v>GYS1</v>
      </c>
      <c r="B2220" s="6">
        <v>1.6983016983016901E-2</v>
      </c>
      <c r="C2220" s="6">
        <v>0.12605944986690301</v>
      </c>
    </row>
    <row r="2221" spans="1:3" s="7" customFormat="1" x14ac:dyDescent="0.2">
      <c r="A2221" s="6" t="str">
        <f>"AGL"</f>
        <v>AGL</v>
      </c>
      <c r="B2221" s="6">
        <v>1.6983016983016901E-2</v>
      </c>
      <c r="C2221" s="6">
        <v>0.12605944986690301</v>
      </c>
    </row>
    <row r="2222" spans="1:3" s="7" customFormat="1" x14ac:dyDescent="0.2">
      <c r="A2222" s="6" t="str">
        <f>"SCNM1"</f>
        <v>SCNM1</v>
      </c>
      <c r="B2222" s="6">
        <v>1.6983016983016901E-2</v>
      </c>
      <c r="C2222" s="6">
        <v>0.12605944986690301</v>
      </c>
    </row>
    <row r="2223" spans="1:3" s="7" customFormat="1" x14ac:dyDescent="0.2">
      <c r="A2223" s="6" t="str">
        <f>"FAM199X"</f>
        <v>FAM199X</v>
      </c>
      <c r="B2223" s="6">
        <v>1.6983016983016901E-2</v>
      </c>
      <c r="C2223" s="6">
        <v>0.12605944986690301</v>
      </c>
    </row>
    <row r="2224" spans="1:3" s="7" customFormat="1" x14ac:dyDescent="0.2">
      <c r="A2224" s="6" t="str">
        <f>"TOMM22"</f>
        <v>TOMM22</v>
      </c>
      <c r="B2224" s="6">
        <v>1.6983016983016901E-2</v>
      </c>
      <c r="C2224" s="6">
        <v>0.12605944986690301</v>
      </c>
    </row>
    <row r="2225" spans="1:3" s="7" customFormat="1" x14ac:dyDescent="0.2">
      <c r="A2225" s="6" t="str">
        <f>"CLTRN"</f>
        <v>CLTRN</v>
      </c>
      <c r="B2225" s="6">
        <v>1.7000000000000001E-2</v>
      </c>
      <c r="C2225" s="6">
        <v>0.12605944986690301</v>
      </c>
    </row>
    <row r="2226" spans="1:3" s="7" customFormat="1" x14ac:dyDescent="0.2">
      <c r="A2226" s="6" t="str">
        <f>"MICOS13"</f>
        <v>MICOS13</v>
      </c>
      <c r="B2226" s="6">
        <v>1.6983016983016901E-2</v>
      </c>
      <c r="C2226" s="6">
        <v>0.12605944986690301</v>
      </c>
    </row>
    <row r="2227" spans="1:3" s="7" customFormat="1" x14ac:dyDescent="0.2">
      <c r="A2227" s="6" t="str">
        <f>"C8G"</f>
        <v>C8G</v>
      </c>
      <c r="B2227" s="6">
        <v>1.7000000000000001E-2</v>
      </c>
      <c r="C2227" s="6">
        <v>0.12605944986690301</v>
      </c>
    </row>
    <row r="2228" spans="1:3" s="7" customFormat="1" x14ac:dyDescent="0.2">
      <c r="A2228" s="6" t="str">
        <f>"FOXP2"</f>
        <v>FOXP2</v>
      </c>
      <c r="B2228" s="6">
        <v>1.6983016983016901E-2</v>
      </c>
      <c r="C2228" s="6">
        <v>0.12605944986690301</v>
      </c>
    </row>
    <row r="2229" spans="1:3" s="7" customFormat="1" x14ac:dyDescent="0.2">
      <c r="A2229" s="6" t="str">
        <f>"POLR3E"</f>
        <v>POLR3E</v>
      </c>
      <c r="B2229" s="6">
        <v>1.6983016983016901E-2</v>
      </c>
      <c r="C2229" s="6">
        <v>0.12605944986690301</v>
      </c>
    </row>
    <row r="2230" spans="1:3" s="7" customFormat="1" x14ac:dyDescent="0.2">
      <c r="A2230" s="6" t="str">
        <f>"ATN1"</f>
        <v>ATN1</v>
      </c>
      <c r="B2230" s="6">
        <v>1.6983016983016901E-2</v>
      </c>
      <c r="C2230" s="6">
        <v>0.12605944986690301</v>
      </c>
    </row>
    <row r="2231" spans="1:3" s="7" customFormat="1" x14ac:dyDescent="0.2">
      <c r="A2231" s="6" t="str">
        <f>"AC138150.2"</f>
        <v>AC138150.2</v>
      </c>
      <c r="B2231" s="6">
        <v>1.6983016983016901E-2</v>
      </c>
      <c r="C2231" s="6">
        <v>0.12605944986690301</v>
      </c>
    </row>
    <row r="2232" spans="1:3" s="7" customFormat="1" x14ac:dyDescent="0.2">
      <c r="A2232" s="6" t="str">
        <f>"SIRT2"</f>
        <v>SIRT2</v>
      </c>
      <c r="B2232" s="6">
        <v>1.6983016983016901E-2</v>
      </c>
      <c r="C2232" s="6">
        <v>0.12605944986690301</v>
      </c>
    </row>
    <row r="2233" spans="1:3" s="7" customFormat="1" x14ac:dyDescent="0.2">
      <c r="A2233" s="6" t="str">
        <f>"COPS2"</f>
        <v>COPS2</v>
      </c>
      <c r="B2233" s="6">
        <v>1.6983016983016901E-2</v>
      </c>
      <c r="C2233" s="6">
        <v>0.12605944986690301</v>
      </c>
    </row>
    <row r="2234" spans="1:3" s="7" customFormat="1" x14ac:dyDescent="0.2">
      <c r="A2234" s="6" t="str">
        <f>"TMEM179B"</f>
        <v>TMEM179B</v>
      </c>
      <c r="B2234" s="6">
        <v>1.6983016983016901E-2</v>
      </c>
      <c r="C2234" s="6">
        <v>0.12605944986690301</v>
      </c>
    </row>
    <row r="2235" spans="1:3" s="7" customFormat="1" x14ac:dyDescent="0.2">
      <c r="A2235" s="6" t="str">
        <f>"ALS2CL"</f>
        <v>ALS2CL</v>
      </c>
      <c r="B2235" s="6">
        <v>1.6983016983016901E-2</v>
      </c>
      <c r="C2235" s="6">
        <v>0.12605944986690301</v>
      </c>
    </row>
    <row r="2236" spans="1:3" s="7" customFormat="1" x14ac:dyDescent="0.2">
      <c r="A2236" s="6" t="str">
        <f>"CEP192"</f>
        <v>CEP192</v>
      </c>
      <c r="B2236" s="6">
        <v>1.6983016983016901E-2</v>
      </c>
      <c r="C2236" s="6">
        <v>0.12605944986690301</v>
      </c>
    </row>
    <row r="2237" spans="1:3" s="7" customFormat="1" x14ac:dyDescent="0.2">
      <c r="A2237" s="6" t="str">
        <f>"C8orf34-AS1"</f>
        <v>C8orf34-AS1</v>
      </c>
      <c r="B2237" s="6">
        <v>1.6983016983016901E-2</v>
      </c>
      <c r="C2237" s="6">
        <v>0.12605944986690301</v>
      </c>
    </row>
    <row r="2238" spans="1:3" s="7" customFormat="1" x14ac:dyDescent="0.2">
      <c r="A2238" s="6" t="str">
        <f>"AC005261.1"</f>
        <v>AC005261.1</v>
      </c>
      <c r="B2238" s="6">
        <v>1.6983016983016901E-2</v>
      </c>
      <c r="C2238" s="6">
        <v>0.12605944986690301</v>
      </c>
    </row>
    <row r="2239" spans="1:3" s="7" customFormat="1" x14ac:dyDescent="0.2">
      <c r="A2239" s="6" t="str">
        <f>"RAB2B"</f>
        <v>RAB2B</v>
      </c>
      <c r="B2239" s="6">
        <v>1.6983016983016901E-2</v>
      </c>
      <c r="C2239" s="6">
        <v>0.12605944986690301</v>
      </c>
    </row>
    <row r="2240" spans="1:3" s="7" customFormat="1" x14ac:dyDescent="0.2">
      <c r="A2240" s="6" t="str">
        <f>"AC009065.5"</f>
        <v>AC009065.5</v>
      </c>
      <c r="B2240" s="6">
        <v>1.6983016983016901E-2</v>
      </c>
      <c r="C2240" s="6">
        <v>0.12605944986690301</v>
      </c>
    </row>
    <row r="2241" spans="1:3" s="7" customFormat="1" x14ac:dyDescent="0.2">
      <c r="A2241" s="6" t="str">
        <f>"ACADVL"</f>
        <v>ACADVL</v>
      </c>
      <c r="B2241" s="6">
        <v>1.6983016983016901E-2</v>
      </c>
      <c r="C2241" s="6">
        <v>0.12605944986690301</v>
      </c>
    </row>
    <row r="2242" spans="1:3" s="7" customFormat="1" x14ac:dyDescent="0.2">
      <c r="A2242" s="6" t="str">
        <f>"PRF1"</f>
        <v>PRF1</v>
      </c>
      <c r="B2242" s="6">
        <v>1.6983016983016901E-2</v>
      </c>
      <c r="C2242" s="6">
        <v>0.12605944986690301</v>
      </c>
    </row>
    <row r="2243" spans="1:3" s="7" customFormat="1" x14ac:dyDescent="0.2">
      <c r="A2243" s="6" t="str">
        <f>"XRCC5"</f>
        <v>XRCC5</v>
      </c>
      <c r="B2243" s="6">
        <v>1.6983016983016901E-2</v>
      </c>
      <c r="C2243" s="6">
        <v>0.12605944986690301</v>
      </c>
    </row>
    <row r="2244" spans="1:3" s="7" customFormat="1" x14ac:dyDescent="0.2">
      <c r="A2244" s="6" t="str">
        <f>"AC113349.1"</f>
        <v>AC113349.1</v>
      </c>
      <c r="B2244" s="6">
        <v>1.6983016983016901E-2</v>
      </c>
      <c r="C2244" s="6">
        <v>0.12605944986690301</v>
      </c>
    </row>
    <row r="2245" spans="1:3" s="7" customFormat="1" x14ac:dyDescent="0.2">
      <c r="A2245" s="6" t="str">
        <f>"TIGD6"</f>
        <v>TIGD6</v>
      </c>
      <c r="B2245" s="6">
        <v>1.6983016983016901E-2</v>
      </c>
      <c r="C2245" s="6">
        <v>0.12605944986690301</v>
      </c>
    </row>
    <row r="2246" spans="1:3" s="7" customFormat="1" x14ac:dyDescent="0.2">
      <c r="A2246" s="6" t="str">
        <f>"CSF2RA"</f>
        <v>CSF2RA</v>
      </c>
      <c r="B2246" s="6">
        <v>1.6983016983016901E-2</v>
      </c>
      <c r="C2246" s="6">
        <v>0.12605944986690301</v>
      </c>
    </row>
    <row r="2247" spans="1:3" s="7" customFormat="1" x14ac:dyDescent="0.2">
      <c r="A2247" s="6" t="str">
        <f>"ARHGAP19"</f>
        <v>ARHGAP19</v>
      </c>
      <c r="B2247" s="6">
        <v>1.6983016983016901E-2</v>
      </c>
      <c r="C2247" s="6">
        <v>0.12605944986690301</v>
      </c>
    </row>
    <row r="2248" spans="1:3" s="7" customFormat="1" x14ac:dyDescent="0.2">
      <c r="A2248" s="6" t="str">
        <f>"UBE3C"</f>
        <v>UBE3C</v>
      </c>
      <c r="B2248" s="6">
        <v>1.6983016983016901E-2</v>
      </c>
      <c r="C2248" s="6">
        <v>0.12605944986690301</v>
      </c>
    </row>
    <row r="2249" spans="1:3" s="7" customFormat="1" x14ac:dyDescent="0.2">
      <c r="A2249" s="6" t="str">
        <f>"SETD3"</f>
        <v>SETD3</v>
      </c>
      <c r="B2249" s="6">
        <v>1.6983016983016901E-2</v>
      </c>
      <c r="C2249" s="6">
        <v>0.12605944986690301</v>
      </c>
    </row>
    <row r="2250" spans="1:3" s="7" customFormat="1" x14ac:dyDescent="0.2">
      <c r="A2250" s="6" t="str">
        <f>"PPP3CA"</f>
        <v>PPP3CA</v>
      </c>
      <c r="B2250" s="6">
        <v>1.6983016983016901E-2</v>
      </c>
      <c r="C2250" s="6">
        <v>0.12605944986690301</v>
      </c>
    </row>
    <row r="2251" spans="1:3" s="7" customFormat="1" x14ac:dyDescent="0.2">
      <c r="A2251" s="6" t="str">
        <f>"CLIP1"</f>
        <v>CLIP1</v>
      </c>
      <c r="B2251" s="6">
        <v>1.6983016983016901E-2</v>
      </c>
      <c r="C2251" s="6">
        <v>0.12605944986690301</v>
      </c>
    </row>
    <row r="2252" spans="1:3" s="7" customFormat="1" x14ac:dyDescent="0.2">
      <c r="A2252" s="6" t="str">
        <f>"LCN12"</f>
        <v>LCN12</v>
      </c>
      <c r="B2252" s="6">
        <v>1.6983016983016901E-2</v>
      </c>
      <c r="C2252" s="6">
        <v>0.12605944986690301</v>
      </c>
    </row>
    <row r="2253" spans="1:3" s="7" customFormat="1" x14ac:dyDescent="0.2">
      <c r="A2253" s="6" t="str">
        <f>"E2F3"</f>
        <v>E2F3</v>
      </c>
      <c r="B2253" s="6">
        <v>1.7000000000000001E-2</v>
      </c>
      <c r="C2253" s="6">
        <v>0.12605944986690301</v>
      </c>
    </row>
    <row r="2254" spans="1:3" s="7" customFormat="1" x14ac:dyDescent="0.2">
      <c r="A2254" s="6" t="str">
        <f>"MRPL40"</f>
        <v>MRPL40</v>
      </c>
      <c r="B2254" s="6">
        <v>1.6983016983016901E-2</v>
      </c>
      <c r="C2254" s="6">
        <v>0.12605944986690301</v>
      </c>
    </row>
    <row r="2255" spans="1:3" s="7" customFormat="1" x14ac:dyDescent="0.2">
      <c r="A2255" s="6" t="str">
        <f>"KLF13"</f>
        <v>KLF13</v>
      </c>
      <c r="B2255" s="6">
        <v>1.6983016983016901E-2</v>
      </c>
      <c r="C2255" s="6">
        <v>0.12605944986690301</v>
      </c>
    </row>
    <row r="2256" spans="1:3" s="7" customFormat="1" x14ac:dyDescent="0.2">
      <c r="A2256" s="6" t="str">
        <f>"AL160408.2"</f>
        <v>AL160408.2</v>
      </c>
      <c r="B2256" s="6">
        <v>1.7035775127768299E-2</v>
      </c>
      <c r="C2256" s="6">
        <v>0.126156821216446</v>
      </c>
    </row>
    <row r="2257" spans="1:3" s="7" customFormat="1" x14ac:dyDescent="0.2">
      <c r="A2257" s="6" t="str">
        <f>"Z69733.1"</f>
        <v>Z69733.1</v>
      </c>
      <c r="B2257" s="6">
        <v>1.70340681362725E-2</v>
      </c>
      <c r="C2257" s="6">
        <v>0.126156821216446</v>
      </c>
    </row>
    <row r="2258" spans="1:3" s="7" customFormat="1" x14ac:dyDescent="0.2">
      <c r="A2258" s="6" t="str">
        <f>"AC011825.3"</f>
        <v>AC011825.3</v>
      </c>
      <c r="B2258" s="6">
        <v>1.70340681362725E-2</v>
      </c>
      <c r="C2258" s="6">
        <v>0.126156821216446</v>
      </c>
    </row>
    <row r="2259" spans="1:3" s="7" customFormat="1" x14ac:dyDescent="0.2">
      <c r="A2259" s="6" t="str">
        <f>"AL606760.3"</f>
        <v>AL606760.3</v>
      </c>
      <c r="B2259" s="6">
        <v>1.7051153460381101E-2</v>
      </c>
      <c r="C2259" s="6">
        <v>0.12621478252294499</v>
      </c>
    </row>
    <row r="2260" spans="1:3" s="7" customFormat="1" x14ac:dyDescent="0.2">
      <c r="A2260" s="6" t="str">
        <f>"FOXG1-AS1"</f>
        <v>FOXG1-AS1</v>
      </c>
      <c r="B2260" s="6">
        <v>1.7119838872104699E-2</v>
      </c>
      <c r="C2260" s="6">
        <v>0.12666710354509</v>
      </c>
    </row>
    <row r="2261" spans="1:3" s="7" customFormat="1" x14ac:dyDescent="0.2">
      <c r="A2261" s="6" t="str">
        <f>"RN7SL531P"</f>
        <v>RN7SL531P</v>
      </c>
      <c r="B2261" s="6">
        <v>1.7999999999999999E-2</v>
      </c>
      <c r="C2261" s="6">
        <v>0.128899742930591</v>
      </c>
    </row>
    <row r="2262" spans="1:3" s="7" customFormat="1" x14ac:dyDescent="0.2">
      <c r="A2262" s="6" t="str">
        <f>"AC005280.3"</f>
        <v>AC005280.3</v>
      </c>
      <c r="B2262" s="6">
        <v>1.7999999999999999E-2</v>
      </c>
      <c r="C2262" s="6">
        <v>0.128899742930591</v>
      </c>
    </row>
    <row r="2263" spans="1:3" s="7" customFormat="1" x14ac:dyDescent="0.2">
      <c r="A2263" s="6" t="str">
        <f>"CXCL16"</f>
        <v>CXCL16</v>
      </c>
      <c r="B2263" s="6">
        <v>1.79820179820179E-2</v>
      </c>
      <c r="C2263" s="6">
        <v>0.128899742930591</v>
      </c>
    </row>
    <row r="2264" spans="1:3" s="7" customFormat="1" x14ac:dyDescent="0.2">
      <c r="A2264" s="6" t="str">
        <f>"AL359715.2"</f>
        <v>AL359715.2</v>
      </c>
      <c r="B2264" s="6">
        <v>1.79820179820179E-2</v>
      </c>
      <c r="C2264" s="6">
        <v>0.128899742930591</v>
      </c>
    </row>
    <row r="2265" spans="1:3" s="7" customFormat="1" x14ac:dyDescent="0.2">
      <c r="A2265" s="6" t="str">
        <f>"MT1G"</f>
        <v>MT1G</v>
      </c>
      <c r="B2265" s="6">
        <v>1.79820179820179E-2</v>
      </c>
      <c r="C2265" s="6">
        <v>0.128899742930591</v>
      </c>
    </row>
    <row r="2266" spans="1:3" s="7" customFormat="1" x14ac:dyDescent="0.2">
      <c r="A2266" s="6" t="str">
        <f>"CHCHD5"</f>
        <v>CHCHD5</v>
      </c>
      <c r="B2266" s="6">
        <v>1.79820179820179E-2</v>
      </c>
      <c r="C2266" s="6">
        <v>0.128899742930591</v>
      </c>
    </row>
    <row r="2267" spans="1:3" s="7" customFormat="1" x14ac:dyDescent="0.2">
      <c r="A2267" s="6" t="str">
        <f>"PRR14"</f>
        <v>PRR14</v>
      </c>
      <c r="B2267" s="6">
        <v>1.79820179820179E-2</v>
      </c>
      <c r="C2267" s="6">
        <v>0.128899742930591</v>
      </c>
    </row>
    <row r="2268" spans="1:3" s="7" customFormat="1" x14ac:dyDescent="0.2">
      <c r="A2268" s="6" t="str">
        <f>"DIO2"</f>
        <v>DIO2</v>
      </c>
      <c r="B2268" s="6">
        <v>1.79820179820179E-2</v>
      </c>
      <c r="C2268" s="6">
        <v>0.128899742930591</v>
      </c>
    </row>
    <row r="2269" spans="1:3" s="7" customFormat="1" x14ac:dyDescent="0.2">
      <c r="A2269" s="6" t="str">
        <f>"ACE2"</f>
        <v>ACE2</v>
      </c>
      <c r="B2269" s="6">
        <v>1.7999999999999999E-2</v>
      </c>
      <c r="C2269" s="6">
        <v>0.128899742930591</v>
      </c>
    </row>
    <row r="2270" spans="1:3" s="7" customFormat="1" x14ac:dyDescent="0.2">
      <c r="A2270" s="6" t="str">
        <f>"ZMIZ2"</f>
        <v>ZMIZ2</v>
      </c>
      <c r="B2270" s="6">
        <v>1.79820179820179E-2</v>
      </c>
      <c r="C2270" s="6">
        <v>0.128899742930591</v>
      </c>
    </row>
    <row r="2271" spans="1:3" s="7" customFormat="1" x14ac:dyDescent="0.2">
      <c r="A2271" s="6" t="str">
        <f>"GBF1"</f>
        <v>GBF1</v>
      </c>
      <c r="B2271" s="6">
        <v>1.79820179820179E-2</v>
      </c>
      <c r="C2271" s="6">
        <v>0.128899742930591</v>
      </c>
    </row>
    <row r="2272" spans="1:3" s="7" customFormat="1" x14ac:dyDescent="0.2">
      <c r="A2272" s="6" t="str">
        <f>"BTNL3"</f>
        <v>BTNL3</v>
      </c>
      <c r="B2272" s="6">
        <v>1.7999999999999999E-2</v>
      </c>
      <c r="C2272" s="6">
        <v>0.128899742930591</v>
      </c>
    </row>
    <row r="2273" spans="1:3" s="7" customFormat="1" x14ac:dyDescent="0.2">
      <c r="A2273" s="6" t="str">
        <f>"COX8A"</f>
        <v>COX8A</v>
      </c>
      <c r="B2273" s="6">
        <v>1.79820179820179E-2</v>
      </c>
      <c r="C2273" s="6">
        <v>0.128899742930591</v>
      </c>
    </row>
    <row r="2274" spans="1:3" s="7" customFormat="1" x14ac:dyDescent="0.2">
      <c r="A2274" s="6" t="str">
        <f>"PRSS16"</f>
        <v>PRSS16</v>
      </c>
      <c r="B2274" s="6">
        <v>1.79820179820179E-2</v>
      </c>
      <c r="C2274" s="6">
        <v>0.128899742930591</v>
      </c>
    </row>
    <row r="2275" spans="1:3" s="7" customFormat="1" x14ac:dyDescent="0.2">
      <c r="A2275" s="6" t="str">
        <f>"SMNDC1"</f>
        <v>SMNDC1</v>
      </c>
      <c r="B2275" s="6">
        <v>1.79820179820179E-2</v>
      </c>
      <c r="C2275" s="6">
        <v>0.128899742930591</v>
      </c>
    </row>
    <row r="2276" spans="1:3" s="7" customFormat="1" x14ac:dyDescent="0.2">
      <c r="A2276" s="6" t="str">
        <f>"POLE"</f>
        <v>POLE</v>
      </c>
      <c r="B2276" s="6">
        <v>1.79820179820179E-2</v>
      </c>
      <c r="C2276" s="6">
        <v>0.128899742930591</v>
      </c>
    </row>
    <row r="2277" spans="1:3" s="7" customFormat="1" x14ac:dyDescent="0.2">
      <c r="A2277" s="6" t="str">
        <f>"TET2"</f>
        <v>TET2</v>
      </c>
      <c r="B2277" s="6">
        <v>1.7999999999999999E-2</v>
      </c>
      <c r="C2277" s="6">
        <v>0.128899742930591</v>
      </c>
    </row>
    <row r="2278" spans="1:3" s="7" customFormat="1" x14ac:dyDescent="0.2">
      <c r="A2278" s="6" t="str">
        <f>"ARID1A"</f>
        <v>ARID1A</v>
      </c>
      <c r="B2278" s="6">
        <v>1.79820179820179E-2</v>
      </c>
      <c r="C2278" s="6">
        <v>0.128899742930591</v>
      </c>
    </row>
    <row r="2279" spans="1:3" s="7" customFormat="1" x14ac:dyDescent="0.2">
      <c r="A2279" s="6" t="str">
        <f>"AC008443.4"</f>
        <v>AC008443.4</v>
      </c>
      <c r="B2279" s="6">
        <v>1.7999999999999999E-2</v>
      </c>
      <c r="C2279" s="6">
        <v>0.128899742930591</v>
      </c>
    </row>
    <row r="2280" spans="1:3" s="7" customFormat="1" x14ac:dyDescent="0.2">
      <c r="A2280" s="6" t="str">
        <f>"ZNF720"</f>
        <v>ZNF720</v>
      </c>
      <c r="B2280" s="6">
        <v>1.79820179820179E-2</v>
      </c>
      <c r="C2280" s="6">
        <v>0.128899742930591</v>
      </c>
    </row>
    <row r="2281" spans="1:3" s="7" customFormat="1" x14ac:dyDescent="0.2">
      <c r="A2281" s="6" t="str">
        <f>"FUNDC2"</f>
        <v>FUNDC2</v>
      </c>
      <c r="B2281" s="6">
        <v>1.79820179820179E-2</v>
      </c>
      <c r="C2281" s="6">
        <v>0.128899742930591</v>
      </c>
    </row>
    <row r="2282" spans="1:3" s="7" customFormat="1" x14ac:dyDescent="0.2">
      <c r="A2282" s="6" t="str">
        <f>"RDX"</f>
        <v>RDX</v>
      </c>
      <c r="B2282" s="6">
        <v>1.79820179820179E-2</v>
      </c>
      <c r="C2282" s="6">
        <v>0.128899742930591</v>
      </c>
    </row>
    <row r="2283" spans="1:3" s="7" customFormat="1" x14ac:dyDescent="0.2">
      <c r="A2283" s="6" t="str">
        <f>"TBP"</f>
        <v>TBP</v>
      </c>
      <c r="B2283" s="6">
        <v>1.79820179820179E-2</v>
      </c>
      <c r="C2283" s="6">
        <v>0.128899742930591</v>
      </c>
    </row>
    <row r="2284" spans="1:3" s="7" customFormat="1" x14ac:dyDescent="0.2">
      <c r="A2284" s="6" t="str">
        <f>"DLGAP5"</f>
        <v>DLGAP5</v>
      </c>
      <c r="B2284" s="6">
        <v>1.79820179820179E-2</v>
      </c>
      <c r="C2284" s="6">
        <v>0.128899742930591</v>
      </c>
    </row>
    <row r="2285" spans="1:3" s="7" customFormat="1" x14ac:dyDescent="0.2">
      <c r="A2285" s="6" t="str">
        <f>"LSM11"</f>
        <v>LSM11</v>
      </c>
      <c r="B2285" s="6">
        <v>1.79820179820179E-2</v>
      </c>
      <c r="C2285" s="6">
        <v>0.128899742930591</v>
      </c>
    </row>
    <row r="2286" spans="1:3" s="7" customFormat="1" x14ac:dyDescent="0.2">
      <c r="A2286" s="6" t="str">
        <f>"TSPAN2"</f>
        <v>TSPAN2</v>
      </c>
      <c r="B2286" s="6">
        <v>1.79820179820179E-2</v>
      </c>
      <c r="C2286" s="6">
        <v>0.128899742930591</v>
      </c>
    </row>
    <row r="2287" spans="1:3" s="7" customFormat="1" x14ac:dyDescent="0.2">
      <c r="A2287" s="6" t="str">
        <f>"AC119403.1"</f>
        <v>AC119403.1</v>
      </c>
      <c r="B2287" s="6">
        <v>1.7999999999999999E-2</v>
      </c>
      <c r="C2287" s="6">
        <v>0.128899742930591</v>
      </c>
    </row>
    <row r="2288" spans="1:3" s="7" customFormat="1" x14ac:dyDescent="0.2">
      <c r="A2288" s="6" t="str">
        <f>"SCML4"</f>
        <v>SCML4</v>
      </c>
      <c r="B2288" s="6">
        <v>1.79820179820179E-2</v>
      </c>
      <c r="C2288" s="6">
        <v>0.128899742930591</v>
      </c>
    </row>
    <row r="2289" spans="1:3" s="7" customFormat="1" x14ac:dyDescent="0.2">
      <c r="A2289" s="6" t="str">
        <f>"C5orf24"</f>
        <v>C5orf24</v>
      </c>
      <c r="B2289" s="6">
        <v>1.79820179820179E-2</v>
      </c>
      <c r="C2289" s="6">
        <v>0.128899742930591</v>
      </c>
    </row>
    <row r="2290" spans="1:3" s="7" customFormat="1" x14ac:dyDescent="0.2">
      <c r="A2290" s="6" t="str">
        <f>"STRC"</f>
        <v>STRC</v>
      </c>
      <c r="B2290" s="6">
        <v>1.79820179820179E-2</v>
      </c>
      <c r="C2290" s="6">
        <v>0.128899742930591</v>
      </c>
    </row>
    <row r="2291" spans="1:3" s="7" customFormat="1" x14ac:dyDescent="0.2">
      <c r="A2291" s="6" t="str">
        <f>"ZNF34"</f>
        <v>ZNF34</v>
      </c>
      <c r="B2291" s="6">
        <v>1.79820179820179E-2</v>
      </c>
      <c r="C2291" s="6">
        <v>0.128899742930591</v>
      </c>
    </row>
    <row r="2292" spans="1:3" s="7" customFormat="1" x14ac:dyDescent="0.2">
      <c r="A2292" s="6" t="str">
        <f>"CFDP1"</f>
        <v>CFDP1</v>
      </c>
      <c r="B2292" s="6">
        <v>1.79820179820179E-2</v>
      </c>
      <c r="C2292" s="6">
        <v>0.128899742930591</v>
      </c>
    </row>
    <row r="2293" spans="1:3" s="7" customFormat="1" x14ac:dyDescent="0.2">
      <c r="A2293" s="6" t="str">
        <f>"AC092117.2"</f>
        <v>AC092117.2</v>
      </c>
      <c r="B2293" s="6">
        <v>1.7745302713987401E-2</v>
      </c>
      <c r="C2293" s="6">
        <v>0.128899742930591</v>
      </c>
    </row>
    <row r="2294" spans="1:3" s="7" customFormat="1" x14ac:dyDescent="0.2">
      <c r="A2294" s="6" t="str">
        <f>"CBX8"</f>
        <v>CBX8</v>
      </c>
      <c r="B2294" s="6">
        <v>1.79820179820179E-2</v>
      </c>
      <c r="C2294" s="6">
        <v>0.128899742930591</v>
      </c>
    </row>
    <row r="2295" spans="1:3" s="7" customFormat="1" x14ac:dyDescent="0.2">
      <c r="A2295" s="6" t="str">
        <f>"HLA-B"</f>
        <v>HLA-B</v>
      </c>
      <c r="B2295" s="6">
        <v>1.79820179820179E-2</v>
      </c>
      <c r="C2295" s="6">
        <v>0.128899742930591</v>
      </c>
    </row>
    <row r="2296" spans="1:3" s="7" customFormat="1" x14ac:dyDescent="0.2">
      <c r="A2296" s="6" t="str">
        <f>"FCGR2B"</f>
        <v>FCGR2B</v>
      </c>
      <c r="B2296" s="6">
        <v>1.79820179820179E-2</v>
      </c>
      <c r="C2296" s="6">
        <v>0.128899742930591</v>
      </c>
    </row>
    <row r="2297" spans="1:3" s="7" customFormat="1" x14ac:dyDescent="0.2">
      <c r="A2297" s="6" t="str">
        <f>"TMEM65"</f>
        <v>TMEM65</v>
      </c>
      <c r="B2297" s="6">
        <v>1.79820179820179E-2</v>
      </c>
      <c r="C2297" s="6">
        <v>0.128899742930591</v>
      </c>
    </row>
    <row r="2298" spans="1:3" s="7" customFormat="1" x14ac:dyDescent="0.2">
      <c r="A2298" s="6" t="str">
        <f>"RASAL2-AS1"</f>
        <v>RASAL2-AS1</v>
      </c>
      <c r="B2298" s="6">
        <v>1.7999999999999999E-2</v>
      </c>
      <c r="C2298" s="6">
        <v>0.128899742930591</v>
      </c>
    </row>
    <row r="2299" spans="1:3" s="7" customFormat="1" x14ac:dyDescent="0.2">
      <c r="A2299" s="6" t="str">
        <f>"ATPSCKMT"</f>
        <v>ATPSCKMT</v>
      </c>
      <c r="B2299" s="6">
        <v>1.79820179820179E-2</v>
      </c>
      <c r="C2299" s="6">
        <v>0.128899742930591</v>
      </c>
    </row>
    <row r="2300" spans="1:3" s="7" customFormat="1" x14ac:dyDescent="0.2">
      <c r="A2300" s="6" t="str">
        <f>"TMEM8B"</f>
        <v>TMEM8B</v>
      </c>
      <c r="B2300" s="6">
        <v>1.79820179820179E-2</v>
      </c>
      <c r="C2300" s="6">
        <v>0.128899742930591</v>
      </c>
    </row>
    <row r="2301" spans="1:3" s="7" customFormat="1" x14ac:dyDescent="0.2">
      <c r="A2301" s="6" t="str">
        <f>"PIM1"</f>
        <v>PIM1</v>
      </c>
      <c r="B2301" s="6">
        <v>1.79820179820179E-2</v>
      </c>
      <c r="C2301" s="6">
        <v>0.128899742930591</v>
      </c>
    </row>
    <row r="2302" spans="1:3" s="7" customFormat="1" x14ac:dyDescent="0.2">
      <c r="A2302" s="6" t="str">
        <f>"AC007681.1"</f>
        <v>AC007681.1</v>
      </c>
      <c r="B2302" s="6">
        <v>1.79820179820179E-2</v>
      </c>
      <c r="C2302" s="6">
        <v>0.128899742930591</v>
      </c>
    </row>
    <row r="2303" spans="1:3" s="7" customFormat="1" x14ac:dyDescent="0.2">
      <c r="A2303" s="6" t="str">
        <f>"C6orf99"</f>
        <v>C6orf99</v>
      </c>
      <c r="B2303" s="6">
        <v>1.79820179820179E-2</v>
      </c>
      <c r="C2303" s="6">
        <v>0.128899742930591</v>
      </c>
    </row>
    <row r="2304" spans="1:3" s="7" customFormat="1" x14ac:dyDescent="0.2">
      <c r="A2304" s="6" t="str">
        <f>"NBDY"</f>
        <v>NBDY</v>
      </c>
      <c r="B2304" s="6">
        <v>1.79820179820179E-2</v>
      </c>
      <c r="C2304" s="6">
        <v>0.128899742930591</v>
      </c>
    </row>
    <row r="2305" spans="1:3" s="7" customFormat="1" x14ac:dyDescent="0.2">
      <c r="A2305" s="6" t="str">
        <f>"MT-ND2"</f>
        <v>MT-ND2</v>
      </c>
      <c r="B2305" s="6">
        <v>1.79820179820179E-2</v>
      </c>
      <c r="C2305" s="6">
        <v>0.128899742930591</v>
      </c>
    </row>
    <row r="2306" spans="1:3" s="7" customFormat="1" x14ac:dyDescent="0.2">
      <c r="A2306" s="6" t="str">
        <f>"METTL23"</f>
        <v>METTL23</v>
      </c>
      <c r="B2306" s="6">
        <v>1.79820179820179E-2</v>
      </c>
      <c r="C2306" s="6">
        <v>0.128899742930591</v>
      </c>
    </row>
    <row r="2307" spans="1:3" s="7" customFormat="1" x14ac:dyDescent="0.2">
      <c r="A2307" s="6" t="str">
        <f>"VAMP7"</f>
        <v>VAMP7</v>
      </c>
      <c r="B2307" s="6">
        <v>1.79820179820179E-2</v>
      </c>
      <c r="C2307" s="6">
        <v>0.128899742930591</v>
      </c>
    </row>
    <row r="2308" spans="1:3" s="7" customFormat="1" x14ac:dyDescent="0.2">
      <c r="A2308" s="6" t="str">
        <f>"LIN52"</f>
        <v>LIN52</v>
      </c>
      <c r="B2308" s="6">
        <v>1.79820179820179E-2</v>
      </c>
      <c r="C2308" s="6">
        <v>0.128899742930591</v>
      </c>
    </row>
    <row r="2309" spans="1:3" s="7" customFormat="1" x14ac:dyDescent="0.2">
      <c r="A2309" s="6" t="str">
        <f>"LINC01571"</f>
        <v>LINC01571</v>
      </c>
      <c r="B2309" s="6">
        <v>1.79820179820179E-2</v>
      </c>
      <c r="C2309" s="6">
        <v>0.128899742930591</v>
      </c>
    </row>
    <row r="2310" spans="1:3" s="7" customFormat="1" x14ac:dyDescent="0.2">
      <c r="A2310" s="6" t="str">
        <f>"SOX2-OT"</f>
        <v>SOX2-OT</v>
      </c>
      <c r="B2310" s="6">
        <v>1.79820179820179E-2</v>
      </c>
      <c r="C2310" s="6">
        <v>0.128899742930591</v>
      </c>
    </row>
    <row r="2311" spans="1:3" s="7" customFormat="1" x14ac:dyDescent="0.2">
      <c r="A2311" s="6" t="str">
        <f>"KCTD12"</f>
        <v>KCTD12</v>
      </c>
      <c r="B2311" s="6">
        <v>1.79820179820179E-2</v>
      </c>
      <c r="C2311" s="6">
        <v>0.128899742930591</v>
      </c>
    </row>
    <row r="2312" spans="1:3" s="7" customFormat="1" x14ac:dyDescent="0.2">
      <c r="A2312" s="6" t="str">
        <f>"ARHGAP35"</f>
        <v>ARHGAP35</v>
      </c>
      <c r="B2312" s="6">
        <v>1.79820179820179E-2</v>
      </c>
      <c r="C2312" s="6">
        <v>0.128899742930591</v>
      </c>
    </row>
    <row r="2313" spans="1:3" s="7" customFormat="1" x14ac:dyDescent="0.2">
      <c r="A2313" s="6" t="str">
        <f>"Z99129.4"</f>
        <v>Z99129.4</v>
      </c>
      <c r="B2313" s="6">
        <v>1.79820179820179E-2</v>
      </c>
      <c r="C2313" s="6">
        <v>0.128899742930591</v>
      </c>
    </row>
    <row r="2314" spans="1:3" s="7" customFormat="1" x14ac:dyDescent="0.2">
      <c r="A2314" s="6" t="str">
        <f>"LRRC37A"</f>
        <v>LRRC37A</v>
      </c>
      <c r="B2314" s="6">
        <v>1.79820179820179E-2</v>
      </c>
      <c r="C2314" s="6">
        <v>0.128899742930591</v>
      </c>
    </row>
    <row r="2315" spans="1:3" s="7" customFormat="1" x14ac:dyDescent="0.2">
      <c r="A2315" s="6" t="str">
        <f>"RN7SL524P"</f>
        <v>RN7SL524P</v>
      </c>
      <c r="B2315" s="6">
        <v>1.79820179820179E-2</v>
      </c>
      <c r="C2315" s="6">
        <v>0.128899742930591</v>
      </c>
    </row>
    <row r="2316" spans="1:3" s="7" customFormat="1" x14ac:dyDescent="0.2">
      <c r="A2316" s="6" t="str">
        <f>"NCKAP1L"</f>
        <v>NCKAP1L</v>
      </c>
      <c r="B2316" s="6">
        <v>1.79820179820179E-2</v>
      </c>
      <c r="C2316" s="6">
        <v>0.128899742930591</v>
      </c>
    </row>
    <row r="2317" spans="1:3" s="7" customFormat="1" x14ac:dyDescent="0.2">
      <c r="A2317" s="6" t="str">
        <f>"AC020913.2"</f>
        <v>AC020913.2</v>
      </c>
      <c r="B2317" s="6">
        <v>1.7999999999999999E-2</v>
      </c>
      <c r="C2317" s="6">
        <v>0.128899742930591</v>
      </c>
    </row>
    <row r="2318" spans="1:3" s="7" customFormat="1" x14ac:dyDescent="0.2">
      <c r="A2318" s="6" t="str">
        <f>"ANO10"</f>
        <v>ANO10</v>
      </c>
      <c r="B2318" s="6">
        <v>1.79820179820179E-2</v>
      </c>
      <c r="C2318" s="6">
        <v>0.128899742930591</v>
      </c>
    </row>
    <row r="2319" spans="1:3" s="7" customFormat="1" x14ac:dyDescent="0.2">
      <c r="A2319" s="6" t="str">
        <f>"TCP11X2"</f>
        <v>TCP11X2</v>
      </c>
      <c r="B2319" s="6">
        <v>1.79820179820179E-2</v>
      </c>
      <c r="C2319" s="6">
        <v>0.128899742930591</v>
      </c>
    </row>
    <row r="2320" spans="1:3" s="7" customFormat="1" x14ac:dyDescent="0.2">
      <c r="A2320" s="6" t="str">
        <f>"AC008038.1"</f>
        <v>AC008038.1</v>
      </c>
      <c r="B2320" s="6">
        <v>1.79820179820179E-2</v>
      </c>
      <c r="C2320" s="6">
        <v>0.128899742930591</v>
      </c>
    </row>
    <row r="2321" spans="1:3" s="7" customFormat="1" x14ac:dyDescent="0.2">
      <c r="A2321" s="6" t="str">
        <f>"RASGRP1"</f>
        <v>RASGRP1</v>
      </c>
      <c r="B2321" s="6">
        <v>1.79820179820179E-2</v>
      </c>
      <c r="C2321" s="6">
        <v>0.128899742930591</v>
      </c>
    </row>
    <row r="2322" spans="1:3" s="7" customFormat="1" x14ac:dyDescent="0.2">
      <c r="A2322" s="6" t="str">
        <f>"STOX1"</f>
        <v>STOX1</v>
      </c>
      <c r="B2322" s="6">
        <v>1.79820179820179E-2</v>
      </c>
      <c r="C2322" s="6">
        <v>0.128899742930591</v>
      </c>
    </row>
    <row r="2323" spans="1:3" s="7" customFormat="1" x14ac:dyDescent="0.2">
      <c r="A2323" s="6" t="str">
        <f>"CLIC2"</f>
        <v>CLIC2</v>
      </c>
      <c r="B2323" s="6">
        <v>1.79820179820179E-2</v>
      </c>
      <c r="C2323" s="6">
        <v>0.128899742930591</v>
      </c>
    </row>
    <row r="2324" spans="1:3" s="7" customFormat="1" x14ac:dyDescent="0.2">
      <c r="A2324" s="6" t="str">
        <f>"CHASERR"</f>
        <v>CHASERR</v>
      </c>
      <c r="B2324" s="6">
        <v>1.79820179820179E-2</v>
      </c>
      <c r="C2324" s="6">
        <v>0.128899742930591</v>
      </c>
    </row>
    <row r="2325" spans="1:3" s="7" customFormat="1" x14ac:dyDescent="0.2">
      <c r="A2325" s="6" t="str">
        <f>"FAM50A"</f>
        <v>FAM50A</v>
      </c>
      <c r="B2325" s="6">
        <v>1.79820179820179E-2</v>
      </c>
      <c r="C2325" s="6">
        <v>0.128899742930591</v>
      </c>
    </row>
    <row r="2326" spans="1:3" s="7" customFormat="1" x14ac:dyDescent="0.2">
      <c r="A2326" s="6" t="str">
        <f>"EHF"</f>
        <v>EHF</v>
      </c>
      <c r="B2326" s="6">
        <v>1.79820179820179E-2</v>
      </c>
      <c r="C2326" s="6">
        <v>0.128899742930591</v>
      </c>
    </row>
    <row r="2327" spans="1:3" s="7" customFormat="1" x14ac:dyDescent="0.2">
      <c r="A2327" s="6" t="str">
        <f>"ARL6IP5"</f>
        <v>ARL6IP5</v>
      </c>
      <c r="B2327" s="6">
        <v>1.79820179820179E-2</v>
      </c>
      <c r="C2327" s="6">
        <v>0.128899742930591</v>
      </c>
    </row>
    <row r="2328" spans="1:3" s="7" customFormat="1" x14ac:dyDescent="0.2">
      <c r="A2328" s="6" t="str">
        <f>"PPP6R2"</f>
        <v>PPP6R2</v>
      </c>
      <c r="B2328" s="6">
        <v>1.79820179820179E-2</v>
      </c>
      <c r="C2328" s="6">
        <v>0.128899742930591</v>
      </c>
    </row>
    <row r="2329" spans="1:3" s="7" customFormat="1" x14ac:dyDescent="0.2">
      <c r="A2329" s="6" t="str">
        <f>"LMX1A"</f>
        <v>LMX1A</v>
      </c>
      <c r="B2329" s="6">
        <v>1.79820179820179E-2</v>
      </c>
      <c r="C2329" s="6">
        <v>0.128899742930591</v>
      </c>
    </row>
    <row r="2330" spans="1:3" s="7" customFormat="1" x14ac:dyDescent="0.2">
      <c r="A2330" s="6" t="str">
        <f>"GIMAP1"</f>
        <v>GIMAP1</v>
      </c>
      <c r="B2330" s="6">
        <v>1.79820179820179E-2</v>
      </c>
      <c r="C2330" s="6">
        <v>0.128899742930591</v>
      </c>
    </row>
    <row r="2331" spans="1:3" s="7" customFormat="1" x14ac:dyDescent="0.2">
      <c r="A2331" s="6" t="str">
        <f>"LYRM9"</f>
        <v>LYRM9</v>
      </c>
      <c r="B2331" s="6">
        <v>1.79820179820179E-2</v>
      </c>
      <c r="C2331" s="6">
        <v>0.128899742930591</v>
      </c>
    </row>
    <row r="2332" spans="1:3" s="7" customFormat="1" x14ac:dyDescent="0.2">
      <c r="A2332" s="6" t="str">
        <f>"FAM76A"</f>
        <v>FAM76A</v>
      </c>
      <c r="B2332" s="6">
        <v>1.79820179820179E-2</v>
      </c>
      <c r="C2332" s="6">
        <v>0.128899742930591</v>
      </c>
    </row>
    <row r="2333" spans="1:3" s="7" customFormat="1" x14ac:dyDescent="0.2">
      <c r="A2333" s="6" t="str">
        <f>"FXYD5"</f>
        <v>FXYD5</v>
      </c>
      <c r="B2333" s="6">
        <v>1.79820179820179E-2</v>
      </c>
      <c r="C2333" s="6">
        <v>0.128899742930591</v>
      </c>
    </row>
    <row r="2334" spans="1:3" s="7" customFormat="1" x14ac:dyDescent="0.2">
      <c r="A2334" s="6" t="str">
        <f>"PCED1A"</f>
        <v>PCED1A</v>
      </c>
      <c r="B2334" s="6">
        <v>1.79820179820179E-2</v>
      </c>
      <c r="C2334" s="6">
        <v>0.128899742930591</v>
      </c>
    </row>
    <row r="2335" spans="1:3" s="7" customFormat="1" x14ac:dyDescent="0.2">
      <c r="A2335" s="6" t="str">
        <f>"MRPL38"</f>
        <v>MRPL38</v>
      </c>
      <c r="B2335" s="6">
        <v>1.79820179820179E-2</v>
      </c>
      <c r="C2335" s="6">
        <v>0.128899742930591</v>
      </c>
    </row>
    <row r="2336" spans="1:3" s="7" customFormat="1" x14ac:dyDescent="0.2">
      <c r="A2336" s="6" t="str">
        <f>"AL117339.4"</f>
        <v>AL117339.4</v>
      </c>
      <c r="B2336" s="6">
        <v>1.8018018018018001E-2</v>
      </c>
      <c r="C2336" s="6">
        <v>0.12897351312768801</v>
      </c>
    </row>
    <row r="2337" spans="1:3" s="7" customFormat="1" x14ac:dyDescent="0.2">
      <c r="A2337" s="6" t="str">
        <f>"AC005785.2"</f>
        <v>AC005785.2</v>
      </c>
      <c r="B2337" s="6">
        <v>1.8181818181818101E-2</v>
      </c>
      <c r="C2337" s="6">
        <v>0.13009028642590201</v>
      </c>
    </row>
    <row r="2338" spans="1:3" s="7" customFormat="1" x14ac:dyDescent="0.2">
      <c r="A2338" s="6" t="str">
        <f>"LINC00115"</f>
        <v>LINC00115</v>
      </c>
      <c r="B2338" s="6">
        <v>1.82370820668693E-2</v>
      </c>
      <c r="C2338" s="6">
        <v>0.13042986292924799</v>
      </c>
    </row>
    <row r="2339" spans="1:3" s="7" customFormat="1" x14ac:dyDescent="0.2">
      <c r="A2339" s="6" t="str">
        <f>"AL589935.3"</f>
        <v>AL589935.3</v>
      </c>
      <c r="B2339" s="6">
        <v>1.8279569892473101E-2</v>
      </c>
      <c r="C2339" s="6">
        <v>0.13067781487715799</v>
      </c>
    </row>
    <row r="2340" spans="1:3" s="7" customFormat="1" x14ac:dyDescent="0.2">
      <c r="A2340" s="6" t="str">
        <f>"LINC02388"</f>
        <v>LINC02388</v>
      </c>
      <c r="B2340" s="6">
        <v>1.8338727076591101E-2</v>
      </c>
      <c r="C2340" s="6">
        <v>0.13104467052507199</v>
      </c>
    </row>
    <row r="2341" spans="1:3" s="7" customFormat="1" x14ac:dyDescent="0.2">
      <c r="A2341" s="6" t="str">
        <f>"AC017100.1"</f>
        <v>AC017100.1</v>
      </c>
      <c r="B2341" s="6">
        <v>1.83982683982684E-2</v>
      </c>
      <c r="C2341" s="6">
        <v>0.13141395641395601</v>
      </c>
    </row>
    <row r="2342" spans="1:3" s="7" customFormat="1" x14ac:dyDescent="0.2">
      <c r="A2342" s="6" t="str">
        <f>"TNRC18P1"</f>
        <v>TNRC18P1</v>
      </c>
      <c r="B2342" s="6">
        <v>1.8421052631578901E-2</v>
      </c>
      <c r="C2342" s="6">
        <v>0.13152049281683401</v>
      </c>
    </row>
    <row r="2343" spans="1:3" s="7" customFormat="1" x14ac:dyDescent="0.2">
      <c r="A2343" s="6" t="str">
        <f>"AKT2"</f>
        <v>AKT2</v>
      </c>
      <c r="B2343" s="6">
        <v>1.89810189810189E-2</v>
      </c>
      <c r="C2343" s="6">
        <v>0.13163848599533201</v>
      </c>
    </row>
    <row r="2344" spans="1:3" s="7" customFormat="1" x14ac:dyDescent="0.2">
      <c r="A2344" s="6" t="str">
        <f>"ADAMTSL4-AS1"</f>
        <v>ADAMTSL4-AS1</v>
      </c>
      <c r="B2344" s="6">
        <v>1.89810189810189E-2</v>
      </c>
      <c r="C2344" s="6">
        <v>0.13163848599533201</v>
      </c>
    </row>
    <row r="2345" spans="1:3" s="7" customFormat="1" x14ac:dyDescent="0.2">
      <c r="A2345" s="6" t="str">
        <f>"RNF212"</f>
        <v>RNF212</v>
      </c>
      <c r="B2345" s="6">
        <v>1.89810189810189E-2</v>
      </c>
      <c r="C2345" s="6">
        <v>0.13163848599533201</v>
      </c>
    </row>
    <row r="2346" spans="1:3" s="7" customFormat="1" x14ac:dyDescent="0.2">
      <c r="A2346" s="6" t="str">
        <f>"SLC7A5"</f>
        <v>SLC7A5</v>
      </c>
      <c r="B2346" s="6">
        <v>1.89810189810189E-2</v>
      </c>
      <c r="C2346" s="6">
        <v>0.13163848599533201</v>
      </c>
    </row>
    <row r="2347" spans="1:3" s="7" customFormat="1" x14ac:dyDescent="0.2">
      <c r="A2347" s="6" t="str">
        <f>"PNMA6A"</f>
        <v>PNMA6A</v>
      </c>
      <c r="B2347" s="6">
        <v>1.89810189810189E-2</v>
      </c>
      <c r="C2347" s="6">
        <v>0.13163848599533201</v>
      </c>
    </row>
    <row r="2348" spans="1:3" s="7" customFormat="1" x14ac:dyDescent="0.2">
      <c r="A2348" s="6" t="str">
        <f>"ARID5A"</f>
        <v>ARID5A</v>
      </c>
      <c r="B2348" s="6">
        <v>1.89810189810189E-2</v>
      </c>
      <c r="C2348" s="6">
        <v>0.13163848599533201</v>
      </c>
    </row>
    <row r="2349" spans="1:3" s="7" customFormat="1" x14ac:dyDescent="0.2">
      <c r="A2349" s="6" t="str">
        <f>"FAM228A"</f>
        <v>FAM228A</v>
      </c>
      <c r="B2349" s="6">
        <v>1.89810189810189E-2</v>
      </c>
      <c r="C2349" s="6">
        <v>0.13163848599533201</v>
      </c>
    </row>
    <row r="2350" spans="1:3" s="7" customFormat="1" x14ac:dyDescent="0.2">
      <c r="A2350" s="6" t="str">
        <f>"C16orf54"</f>
        <v>C16orf54</v>
      </c>
      <c r="B2350" s="6">
        <v>1.89810189810189E-2</v>
      </c>
      <c r="C2350" s="6">
        <v>0.13163848599533201</v>
      </c>
    </row>
    <row r="2351" spans="1:3" s="7" customFormat="1" x14ac:dyDescent="0.2">
      <c r="A2351" s="6" t="str">
        <f>"ZNF382"</f>
        <v>ZNF382</v>
      </c>
      <c r="B2351" s="6">
        <v>1.89810189810189E-2</v>
      </c>
      <c r="C2351" s="6">
        <v>0.13163848599533201</v>
      </c>
    </row>
    <row r="2352" spans="1:3" s="7" customFormat="1" x14ac:dyDescent="0.2">
      <c r="A2352" s="6" t="str">
        <f>"CHAMP1"</f>
        <v>CHAMP1</v>
      </c>
      <c r="B2352" s="6">
        <v>1.89810189810189E-2</v>
      </c>
      <c r="C2352" s="6">
        <v>0.13163848599533201</v>
      </c>
    </row>
    <row r="2353" spans="1:3" s="7" customFormat="1" x14ac:dyDescent="0.2">
      <c r="A2353" s="6" t="str">
        <f>"FAM200B"</f>
        <v>FAM200B</v>
      </c>
      <c r="B2353" s="6">
        <v>1.89810189810189E-2</v>
      </c>
      <c r="C2353" s="6">
        <v>0.13163848599533201</v>
      </c>
    </row>
    <row r="2354" spans="1:3" s="7" customFormat="1" x14ac:dyDescent="0.2">
      <c r="A2354" s="6" t="str">
        <f>"LINC01637"</f>
        <v>LINC01637</v>
      </c>
      <c r="B2354" s="6">
        <v>1.89810189810189E-2</v>
      </c>
      <c r="C2354" s="6">
        <v>0.13163848599533201</v>
      </c>
    </row>
    <row r="2355" spans="1:3" s="7" customFormat="1" x14ac:dyDescent="0.2">
      <c r="A2355" s="6" t="str">
        <f>"ZNF184"</f>
        <v>ZNF184</v>
      </c>
      <c r="B2355" s="6">
        <v>1.89810189810189E-2</v>
      </c>
      <c r="C2355" s="6">
        <v>0.13163848599533201</v>
      </c>
    </row>
    <row r="2356" spans="1:3" s="7" customFormat="1" x14ac:dyDescent="0.2">
      <c r="A2356" s="6" t="str">
        <f>"AC091925.1"</f>
        <v>AC091925.1</v>
      </c>
      <c r="B2356" s="6">
        <v>1.89810189810189E-2</v>
      </c>
      <c r="C2356" s="6">
        <v>0.13163848599533201</v>
      </c>
    </row>
    <row r="2357" spans="1:3" s="7" customFormat="1" x14ac:dyDescent="0.2">
      <c r="A2357" s="6" t="str">
        <f>"DKK4"</f>
        <v>DKK4</v>
      </c>
      <c r="B2357" s="6">
        <v>1.89810189810189E-2</v>
      </c>
      <c r="C2357" s="6">
        <v>0.13163848599533201</v>
      </c>
    </row>
    <row r="2358" spans="1:3" s="7" customFormat="1" x14ac:dyDescent="0.2">
      <c r="A2358" s="6" t="str">
        <f>"RAB30-DT"</f>
        <v>RAB30-DT</v>
      </c>
      <c r="B2358" s="6">
        <v>1.89810189810189E-2</v>
      </c>
      <c r="C2358" s="6">
        <v>0.13163848599533201</v>
      </c>
    </row>
    <row r="2359" spans="1:3" s="7" customFormat="1" x14ac:dyDescent="0.2">
      <c r="A2359" s="6" t="str">
        <f>"AC016026.1"</f>
        <v>AC016026.1</v>
      </c>
      <c r="B2359" s="6">
        <v>1.89810189810189E-2</v>
      </c>
      <c r="C2359" s="6">
        <v>0.13163848599533201</v>
      </c>
    </row>
    <row r="2360" spans="1:3" s="7" customFormat="1" x14ac:dyDescent="0.2">
      <c r="A2360" s="6" t="str">
        <f>"WDR70"</f>
        <v>WDR70</v>
      </c>
      <c r="B2360" s="6">
        <v>1.89810189810189E-2</v>
      </c>
      <c r="C2360" s="6">
        <v>0.13163848599533201</v>
      </c>
    </row>
    <row r="2361" spans="1:3" s="7" customFormat="1" x14ac:dyDescent="0.2">
      <c r="A2361" s="6" t="str">
        <f>"AC096711.2"</f>
        <v>AC096711.2</v>
      </c>
      <c r="B2361" s="6">
        <v>1.89810189810189E-2</v>
      </c>
      <c r="C2361" s="6">
        <v>0.13163848599533201</v>
      </c>
    </row>
    <row r="2362" spans="1:3" s="7" customFormat="1" x14ac:dyDescent="0.2">
      <c r="A2362" s="6" t="str">
        <f>"KCNMB2"</f>
        <v>KCNMB2</v>
      </c>
      <c r="B2362" s="6">
        <v>1.89810189810189E-2</v>
      </c>
      <c r="C2362" s="6">
        <v>0.13163848599533201</v>
      </c>
    </row>
    <row r="2363" spans="1:3" s="7" customFormat="1" x14ac:dyDescent="0.2">
      <c r="A2363" s="6" t="str">
        <f>"USP1"</f>
        <v>USP1</v>
      </c>
      <c r="B2363" s="6">
        <v>1.89810189810189E-2</v>
      </c>
      <c r="C2363" s="6">
        <v>0.13163848599533201</v>
      </c>
    </row>
    <row r="2364" spans="1:3" s="7" customFormat="1" x14ac:dyDescent="0.2">
      <c r="A2364" s="6" t="str">
        <f>"NUDT21"</f>
        <v>NUDT21</v>
      </c>
      <c r="B2364" s="6">
        <v>1.89810189810189E-2</v>
      </c>
      <c r="C2364" s="6">
        <v>0.13163848599533201</v>
      </c>
    </row>
    <row r="2365" spans="1:3" s="7" customFormat="1" x14ac:dyDescent="0.2">
      <c r="A2365" s="6" t="str">
        <f>"BCAM"</f>
        <v>BCAM</v>
      </c>
      <c r="B2365" s="6">
        <v>1.89810189810189E-2</v>
      </c>
      <c r="C2365" s="6">
        <v>0.13163848599533201</v>
      </c>
    </row>
    <row r="2366" spans="1:3" s="7" customFormat="1" x14ac:dyDescent="0.2">
      <c r="A2366" s="6" t="str">
        <f>"ZNF341"</f>
        <v>ZNF341</v>
      </c>
      <c r="B2366" s="6">
        <v>1.89810189810189E-2</v>
      </c>
      <c r="C2366" s="6">
        <v>0.13163848599533201</v>
      </c>
    </row>
    <row r="2367" spans="1:3" s="7" customFormat="1" x14ac:dyDescent="0.2">
      <c r="A2367" s="6" t="str">
        <f>"ZNF888"</f>
        <v>ZNF888</v>
      </c>
      <c r="B2367" s="6">
        <v>1.89810189810189E-2</v>
      </c>
      <c r="C2367" s="6">
        <v>0.13163848599533201</v>
      </c>
    </row>
    <row r="2368" spans="1:3" s="7" customFormat="1" x14ac:dyDescent="0.2">
      <c r="A2368" s="6" t="str">
        <f>"C15orf48"</f>
        <v>C15orf48</v>
      </c>
      <c r="B2368" s="6">
        <v>1.89810189810189E-2</v>
      </c>
      <c r="C2368" s="6">
        <v>0.13163848599533201</v>
      </c>
    </row>
    <row r="2369" spans="1:3" s="7" customFormat="1" x14ac:dyDescent="0.2">
      <c r="A2369" s="6" t="str">
        <f>"ZNF502"</f>
        <v>ZNF502</v>
      </c>
      <c r="B2369" s="6">
        <v>1.89810189810189E-2</v>
      </c>
      <c r="C2369" s="6">
        <v>0.13163848599533201</v>
      </c>
    </row>
    <row r="2370" spans="1:3" s="7" customFormat="1" x14ac:dyDescent="0.2">
      <c r="A2370" s="6" t="str">
        <f>"MMP28"</f>
        <v>MMP28</v>
      </c>
      <c r="B2370" s="6">
        <v>1.89810189810189E-2</v>
      </c>
      <c r="C2370" s="6">
        <v>0.13163848599533201</v>
      </c>
    </row>
    <row r="2371" spans="1:3" s="7" customFormat="1" x14ac:dyDescent="0.2">
      <c r="A2371" s="6" t="str">
        <f>"SLC31A2"</f>
        <v>SLC31A2</v>
      </c>
      <c r="B2371" s="6">
        <v>1.89810189810189E-2</v>
      </c>
      <c r="C2371" s="6">
        <v>0.13163848599533201</v>
      </c>
    </row>
    <row r="2372" spans="1:3" s="7" customFormat="1" x14ac:dyDescent="0.2">
      <c r="A2372" s="6" t="str">
        <f>"DCAF10"</f>
        <v>DCAF10</v>
      </c>
      <c r="B2372" s="6">
        <v>1.89810189810189E-2</v>
      </c>
      <c r="C2372" s="6">
        <v>0.13163848599533201</v>
      </c>
    </row>
    <row r="2373" spans="1:3" s="7" customFormat="1" x14ac:dyDescent="0.2">
      <c r="A2373" s="6" t="str">
        <f>"MBTPS2"</f>
        <v>MBTPS2</v>
      </c>
      <c r="B2373" s="6">
        <v>1.89810189810189E-2</v>
      </c>
      <c r="C2373" s="6">
        <v>0.13163848599533201</v>
      </c>
    </row>
    <row r="2374" spans="1:3" s="7" customFormat="1" x14ac:dyDescent="0.2">
      <c r="A2374" s="6" t="str">
        <f>"AL009031.1"</f>
        <v>AL009031.1</v>
      </c>
      <c r="B2374" s="6">
        <v>1.89810189810189E-2</v>
      </c>
      <c r="C2374" s="6">
        <v>0.13163848599533201</v>
      </c>
    </row>
    <row r="2375" spans="1:3" s="7" customFormat="1" x14ac:dyDescent="0.2">
      <c r="A2375" s="6" t="str">
        <f>"THYN1"</f>
        <v>THYN1</v>
      </c>
      <c r="B2375" s="6">
        <v>1.89810189810189E-2</v>
      </c>
      <c r="C2375" s="6">
        <v>0.13163848599533201</v>
      </c>
    </row>
    <row r="2376" spans="1:3" s="7" customFormat="1" x14ac:dyDescent="0.2">
      <c r="A2376" s="6" t="str">
        <f>"TM9SF2"</f>
        <v>TM9SF2</v>
      </c>
      <c r="B2376" s="6">
        <v>1.89810189810189E-2</v>
      </c>
      <c r="C2376" s="6">
        <v>0.13163848599533201</v>
      </c>
    </row>
    <row r="2377" spans="1:3" s="7" customFormat="1" x14ac:dyDescent="0.2">
      <c r="A2377" s="6" t="str">
        <f>"SPRR2G"</f>
        <v>SPRR2G</v>
      </c>
      <c r="B2377" s="6">
        <v>1.89810189810189E-2</v>
      </c>
      <c r="C2377" s="6">
        <v>0.13163848599533201</v>
      </c>
    </row>
    <row r="2378" spans="1:3" s="7" customFormat="1" x14ac:dyDescent="0.2">
      <c r="A2378" s="6" t="str">
        <f>"TMEM216"</f>
        <v>TMEM216</v>
      </c>
      <c r="B2378" s="6">
        <v>1.89810189810189E-2</v>
      </c>
      <c r="C2378" s="6">
        <v>0.13163848599533201</v>
      </c>
    </row>
    <row r="2379" spans="1:3" s="7" customFormat="1" x14ac:dyDescent="0.2">
      <c r="A2379" s="6" t="str">
        <f>"TMEM223"</f>
        <v>TMEM223</v>
      </c>
      <c r="B2379" s="6">
        <v>1.89810189810189E-2</v>
      </c>
      <c r="C2379" s="6">
        <v>0.13163848599533201</v>
      </c>
    </row>
    <row r="2380" spans="1:3" s="7" customFormat="1" x14ac:dyDescent="0.2">
      <c r="A2380" s="6" t="str">
        <f>"KMT5A"</f>
        <v>KMT5A</v>
      </c>
      <c r="B2380" s="6">
        <v>1.89810189810189E-2</v>
      </c>
      <c r="C2380" s="6">
        <v>0.13163848599533201</v>
      </c>
    </row>
    <row r="2381" spans="1:3" s="7" customFormat="1" x14ac:dyDescent="0.2">
      <c r="A2381" s="6" t="str">
        <f>"PRPF19"</f>
        <v>PRPF19</v>
      </c>
      <c r="B2381" s="6">
        <v>1.89810189810189E-2</v>
      </c>
      <c r="C2381" s="6">
        <v>0.13163848599533201</v>
      </c>
    </row>
    <row r="2382" spans="1:3" s="7" customFormat="1" x14ac:dyDescent="0.2">
      <c r="A2382" s="6" t="str">
        <f>"AC092692.1"</f>
        <v>AC092692.1</v>
      </c>
      <c r="B2382" s="6">
        <v>1.89810189810189E-2</v>
      </c>
      <c r="C2382" s="6">
        <v>0.13163848599533201</v>
      </c>
    </row>
    <row r="2383" spans="1:3" s="7" customFormat="1" x14ac:dyDescent="0.2">
      <c r="A2383" s="6" t="str">
        <f>"ZFR2"</f>
        <v>ZFR2</v>
      </c>
      <c r="B2383" s="6">
        <v>1.89810189810189E-2</v>
      </c>
      <c r="C2383" s="6">
        <v>0.13163848599533201</v>
      </c>
    </row>
    <row r="2384" spans="1:3" s="7" customFormat="1" x14ac:dyDescent="0.2">
      <c r="A2384" s="6" t="str">
        <f>"PDK2"</f>
        <v>PDK2</v>
      </c>
      <c r="B2384" s="6">
        <v>1.89810189810189E-2</v>
      </c>
      <c r="C2384" s="6">
        <v>0.13163848599533201</v>
      </c>
    </row>
    <row r="2385" spans="1:3" s="7" customFormat="1" x14ac:dyDescent="0.2">
      <c r="A2385" s="6" t="str">
        <f>"SAP130"</f>
        <v>SAP130</v>
      </c>
      <c r="B2385" s="6">
        <v>1.89810189810189E-2</v>
      </c>
      <c r="C2385" s="6">
        <v>0.13163848599533201</v>
      </c>
    </row>
    <row r="2386" spans="1:3" s="7" customFormat="1" x14ac:dyDescent="0.2">
      <c r="A2386" s="6" t="str">
        <f>"SPRR2F"</f>
        <v>SPRR2F</v>
      </c>
      <c r="B2386" s="6">
        <v>1.89810189810189E-2</v>
      </c>
      <c r="C2386" s="6">
        <v>0.13163848599533201</v>
      </c>
    </row>
    <row r="2387" spans="1:3" s="7" customFormat="1" x14ac:dyDescent="0.2">
      <c r="A2387" s="6" t="str">
        <f>"RNF39"</f>
        <v>RNF39</v>
      </c>
      <c r="B2387" s="6">
        <v>1.89810189810189E-2</v>
      </c>
      <c r="C2387" s="6">
        <v>0.13163848599533201</v>
      </c>
    </row>
    <row r="2388" spans="1:3" s="7" customFormat="1" x14ac:dyDescent="0.2">
      <c r="A2388" s="6" t="str">
        <f>"TCEA2"</f>
        <v>TCEA2</v>
      </c>
      <c r="B2388" s="6">
        <v>1.89810189810189E-2</v>
      </c>
      <c r="C2388" s="6">
        <v>0.13163848599533201</v>
      </c>
    </row>
    <row r="2389" spans="1:3" s="7" customFormat="1" x14ac:dyDescent="0.2">
      <c r="A2389" s="6" t="str">
        <f>"SPOUT1"</f>
        <v>SPOUT1</v>
      </c>
      <c r="B2389" s="6">
        <v>1.89810189810189E-2</v>
      </c>
      <c r="C2389" s="6">
        <v>0.13163848599533201</v>
      </c>
    </row>
    <row r="2390" spans="1:3" s="7" customFormat="1" x14ac:dyDescent="0.2">
      <c r="A2390" s="6" t="str">
        <f>"SVOPL"</f>
        <v>SVOPL</v>
      </c>
      <c r="B2390" s="6">
        <v>1.89810189810189E-2</v>
      </c>
      <c r="C2390" s="6">
        <v>0.13163848599533201</v>
      </c>
    </row>
    <row r="2391" spans="1:3" s="7" customFormat="1" x14ac:dyDescent="0.2">
      <c r="A2391" s="6" t="str">
        <f>"GPR157"</f>
        <v>GPR157</v>
      </c>
      <c r="B2391" s="6">
        <v>1.89810189810189E-2</v>
      </c>
      <c r="C2391" s="6">
        <v>0.13163848599533201</v>
      </c>
    </row>
    <row r="2392" spans="1:3" s="7" customFormat="1" x14ac:dyDescent="0.2">
      <c r="A2392" s="6" t="str">
        <f>"MT-ND4"</f>
        <v>MT-ND4</v>
      </c>
      <c r="B2392" s="6">
        <v>1.89810189810189E-2</v>
      </c>
      <c r="C2392" s="6">
        <v>0.13163848599533201</v>
      </c>
    </row>
    <row r="2393" spans="1:3" s="7" customFormat="1" x14ac:dyDescent="0.2">
      <c r="A2393" s="6" t="str">
        <f>"SLC1A5"</f>
        <v>SLC1A5</v>
      </c>
      <c r="B2393" s="6">
        <v>1.89810189810189E-2</v>
      </c>
      <c r="C2393" s="6">
        <v>0.13163848599533201</v>
      </c>
    </row>
    <row r="2394" spans="1:3" s="7" customFormat="1" x14ac:dyDescent="0.2">
      <c r="A2394" s="6" t="str">
        <f>"SMYD4"</f>
        <v>SMYD4</v>
      </c>
      <c r="B2394" s="6">
        <v>1.89810189810189E-2</v>
      </c>
      <c r="C2394" s="6">
        <v>0.13163848599533201</v>
      </c>
    </row>
    <row r="2395" spans="1:3" s="7" customFormat="1" x14ac:dyDescent="0.2">
      <c r="A2395" s="6" t="str">
        <f>"HLA-E"</f>
        <v>HLA-E</v>
      </c>
      <c r="B2395" s="6">
        <v>1.89810189810189E-2</v>
      </c>
      <c r="C2395" s="6">
        <v>0.13163848599533201</v>
      </c>
    </row>
    <row r="2396" spans="1:3" s="7" customFormat="1" x14ac:dyDescent="0.2">
      <c r="A2396" s="6" t="str">
        <f>"DCAF5"</f>
        <v>DCAF5</v>
      </c>
      <c r="B2396" s="6">
        <v>1.89810189810189E-2</v>
      </c>
      <c r="C2396" s="6">
        <v>0.13163848599533201</v>
      </c>
    </row>
    <row r="2397" spans="1:3" s="7" customFormat="1" x14ac:dyDescent="0.2">
      <c r="A2397" s="6" t="str">
        <f>"MPEG1"</f>
        <v>MPEG1</v>
      </c>
      <c r="B2397" s="6">
        <v>1.89810189810189E-2</v>
      </c>
      <c r="C2397" s="6">
        <v>0.13163848599533201</v>
      </c>
    </row>
    <row r="2398" spans="1:3" s="7" customFormat="1" x14ac:dyDescent="0.2">
      <c r="A2398" s="6" t="str">
        <f>"AP005230.1"</f>
        <v>AP005230.1</v>
      </c>
      <c r="B2398" s="6">
        <v>1.89810189810189E-2</v>
      </c>
      <c r="C2398" s="6">
        <v>0.13163848599533201</v>
      </c>
    </row>
    <row r="2399" spans="1:3" s="7" customFormat="1" x14ac:dyDescent="0.2">
      <c r="A2399" s="6" t="str">
        <f>"FRS3"</f>
        <v>FRS3</v>
      </c>
      <c r="B2399" s="6">
        <v>1.89810189810189E-2</v>
      </c>
      <c r="C2399" s="6">
        <v>0.13163848599533201</v>
      </c>
    </row>
    <row r="2400" spans="1:3" s="7" customFormat="1" x14ac:dyDescent="0.2">
      <c r="A2400" s="6" t="str">
        <f>"EPOP"</f>
        <v>EPOP</v>
      </c>
      <c r="B2400" s="6">
        <v>1.89810189810189E-2</v>
      </c>
      <c r="C2400" s="6">
        <v>0.13163848599533201</v>
      </c>
    </row>
    <row r="2401" spans="1:3" s="7" customFormat="1" x14ac:dyDescent="0.2">
      <c r="A2401" s="6" t="str">
        <f>"PSMB4"</f>
        <v>PSMB4</v>
      </c>
      <c r="B2401" s="6">
        <v>1.89810189810189E-2</v>
      </c>
      <c r="C2401" s="6">
        <v>0.13163848599533201</v>
      </c>
    </row>
    <row r="2402" spans="1:3" s="7" customFormat="1" x14ac:dyDescent="0.2">
      <c r="A2402" s="6" t="str">
        <f>"CCDC162P"</f>
        <v>CCDC162P</v>
      </c>
      <c r="B2402" s="6">
        <v>1.89810189810189E-2</v>
      </c>
      <c r="C2402" s="6">
        <v>0.13163848599533201</v>
      </c>
    </row>
    <row r="2403" spans="1:3" s="7" customFormat="1" x14ac:dyDescent="0.2">
      <c r="A2403" s="6" t="str">
        <f>"AC008105.1"</f>
        <v>AC008105.1</v>
      </c>
      <c r="B2403" s="6">
        <v>1.89810189810189E-2</v>
      </c>
      <c r="C2403" s="6">
        <v>0.13163848599533201</v>
      </c>
    </row>
    <row r="2404" spans="1:3" s="7" customFormat="1" x14ac:dyDescent="0.2">
      <c r="A2404" s="6" t="str">
        <f>"TRAF3IP1"</f>
        <v>TRAF3IP1</v>
      </c>
      <c r="B2404" s="6">
        <v>1.89810189810189E-2</v>
      </c>
      <c r="C2404" s="6">
        <v>0.13163848599533201</v>
      </c>
    </row>
    <row r="2405" spans="1:3" s="7" customFormat="1" x14ac:dyDescent="0.2">
      <c r="A2405" s="6" t="str">
        <f>"ITPR2"</f>
        <v>ITPR2</v>
      </c>
      <c r="B2405" s="6">
        <v>1.89810189810189E-2</v>
      </c>
      <c r="C2405" s="6">
        <v>0.13163848599533201</v>
      </c>
    </row>
    <row r="2406" spans="1:3" s="7" customFormat="1" x14ac:dyDescent="0.2">
      <c r="A2406" s="6" t="str">
        <f>"LINC00987"</f>
        <v>LINC00987</v>
      </c>
      <c r="B2406" s="6">
        <v>1.89810189810189E-2</v>
      </c>
      <c r="C2406" s="6">
        <v>0.13163848599533201</v>
      </c>
    </row>
    <row r="2407" spans="1:3" s="7" customFormat="1" x14ac:dyDescent="0.2">
      <c r="A2407" s="6" t="str">
        <f>"LINC00923"</f>
        <v>LINC00923</v>
      </c>
      <c r="B2407" s="6">
        <v>1.89810189810189E-2</v>
      </c>
      <c r="C2407" s="6">
        <v>0.13163848599533201</v>
      </c>
    </row>
    <row r="2408" spans="1:3" s="7" customFormat="1" x14ac:dyDescent="0.2">
      <c r="A2408" s="6" t="str">
        <f>"MIR200CHG"</f>
        <v>MIR200CHG</v>
      </c>
      <c r="B2408" s="6">
        <v>1.89810189810189E-2</v>
      </c>
      <c r="C2408" s="6">
        <v>0.13163848599533201</v>
      </c>
    </row>
    <row r="2409" spans="1:3" s="7" customFormat="1" x14ac:dyDescent="0.2">
      <c r="A2409" s="6" t="str">
        <f>"INCENP"</f>
        <v>INCENP</v>
      </c>
      <c r="B2409" s="6">
        <v>1.89810189810189E-2</v>
      </c>
      <c r="C2409" s="6">
        <v>0.13163848599533201</v>
      </c>
    </row>
    <row r="2410" spans="1:3" s="7" customFormat="1" x14ac:dyDescent="0.2">
      <c r="A2410" s="6" t="str">
        <f>"ELOF1"</f>
        <v>ELOF1</v>
      </c>
      <c r="B2410" s="6">
        <v>1.89810189810189E-2</v>
      </c>
      <c r="C2410" s="6">
        <v>0.13163848599533201</v>
      </c>
    </row>
    <row r="2411" spans="1:3" s="7" customFormat="1" x14ac:dyDescent="0.2">
      <c r="A2411" s="6" t="str">
        <f>"MYL12B"</f>
        <v>MYL12B</v>
      </c>
      <c r="B2411" s="6">
        <v>1.89810189810189E-2</v>
      </c>
      <c r="C2411" s="6">
        <v>0.13163848599533201</v>
      </c>
    </row>
    <row r="2412" spans="1:3" s="7" customFormat="1" x14ac:dyDescent="0.2">
      <c r="A2412" s="6" t="str">
        <f>"SEPTIN12"</f>
        <v>SEPTIN12</v>
      </c>
      <c r="B2412" s="6">
        <v>1.90380761523046E-2</v>
      </c>
      <c r="C2412" s="6">
        <v>0.13197942961825701</v>
      </c>
    </row>
    <row r="2413" spans="1:3" s="7" customFormat="1" x14ac:dyDescent="0.2">
      <c r="A2413" s="6" t="str">
        <f>"LINC02732"</f>
        <v>LINC02732</v>
      </c>
      <c r="B2413" s="6">
        <v>1.9076305220883501E-2</v>
      </c>
      <c r="C2413" s="6">
        <v>0.13218962083824501</v>
      </c>
    </row>
    <row r="2414" spans="1:3" s="7" customFormat="1" x14ac:dyDescent="0.2">
      <c r="A2414" s="6" t="str">
        <f>"BCAP31"</f>
        <v>BCAP31</v>
      </c>
      <c r="B2414" s="6">
        <v>1.99800199800199E-2</v>
      </c>
      <c r="C2414" s="6">
        <v>0.13381905524419499</v>
      </c>
    </row>
    <row r="2415" spans="1:3" s="7" customFormat="1" x14ac:dyDescent="0.2">
      <c r="A2415" s="6" t="str">
        <f>"GSEC"</f>
        <v>GSEC</v>
      </c>
      <c r="B2415" s="6">
        <v>1.99800199800199E-2</v>
      </c>
      <c r="C2415" s="6">
        <v>0.13381905524419499</v>
      </c>
    </row>
    <row r="2416" spans="1:3" s="7" customFormat="1" x14ac:dyDescent="0.2">
      <c r="A2416" s="6" t="str">
        <f>"SNAI3"</f>
        <v>SNAI3</v>
      </c>
      <c r="B2416" s="6">
        <v>1.99800199800199E-2</v>
      </c>
      <c r="C2416" s="6">
        <v>0.13381905524419499</v>
      </c>
    </row>
    <row r="2417" spans="1:3" s="7" customFormat="1" x14ac:dyDescent="0.2">
      <c r="A2417" s="6" t="str">
        <f>"PPP1R3B"</f>
        <v>PPP1R3B</v>
      </c>
      <c r="B2417" s="6">
        <v>1.99800199800199E-2</v>
      </c>
      <c r="C2417" s="6">
        <v>0.13381905524419499</v>
      </c>
    </row>
    <row r="2418" spans="1:3" s="7" customFormat="1" x14ac:dyDescent="0.2">
      <c r="A2418" s="6" t="str">
        <f>"AC092117.1"</f>
        <v>AC092117.1</v>
      </c>
      <c r="B2418" s="6">
        <v>1.99800199800199E-2</v>
      </c>
      <c r="C2418" s="6">
        <v>0.13381905524419499</v>
      </c>
    </row>
    <row r="2419" spans="1:3" s="7" customFormat="1" x14ac:dyDescent="0.2">
      <c r="A2419" s="6" t="str">
        <f>"CD300LB"</f>
        <v>CD300LB</v>
      </c>
      <c r="B2419" s="6">
        <v>1.99800199800199E-2</v>
      </c>
      <c r="C2419" s="6">
        <v>0.13381905524419499</v>
      </c>
    </row>
    <row r="2420" spans="1:3" s="7" customFormat="1" x14ac:dyDescent="0.2">
      <c r="A2420" s="6" t="str">
        <f>"FAM157C"</f>
        <v>FAM157C</v>
      </c>
      <c r="B2420" s="6">
        <v>1.99800199800199E-2</v>
      </c>
      <c r="C2420" s="6">
        <v>0.13381905524419499</v>
      </c>
    </row>
    <row r="2421" spans="1:3" s="7" customFormat="1" x14ac:dyDescent="0.2">
      <c r="A2421" s="6" t="str">
        <f>"AL590399.3"</f>
        <v>AL590399.3</v>
      </c>
      <c r="B2421" s="6">
        <v>1.99800199800199E-2</v>
      </c>
      <c r="C2421" s="6">
        <v>0.13381905524419499</v>
      </c>
    </row>
    <row r="2422" spans="1:3" s="7" customFormat="1" x14ac:dyDescent="0.2">
      <c r="A2422" s="6" t="str">
        <f>"SMIM27"</f>
        <v>SMIM27</v>
      </c>
      <c r="B2422" s="6">
        <v>1.99800199800199E-2</v>
      </c>
      <c r="C2422" s="6">
        <v>0.13381905524419499</v>
      </c>
    </row>
    <row r="2423" spans="1:3" s="7" customFormat="1" x14ac:dyDescent="0.2">
      <c r="A2423" s="6" t="str">
        <f>"WDFY4"</f>
        <v>WDFY4</v>
      </c>
      <c r="B2423" s="6">
        <v>1.99800199800199E-2</v>
      </c>
      <c r="C2423" s="6">
        <v>0.13381905524419499</v>
      </c>
    </row>
    <row r="2424" spans="1:3" s="7" customFormat="1" x14ac:dyDescent="0.2">
      <c r="A2424" s="6" t="str">
        <f>"AMZ2"</f>
        <v>AMZ2</v>
      </c>
      <c r="B2424" s="6">
        <v>1.99800199800199E-2</v>
      </c>
      <c r="C2424" s="6">
        <v>0.13381905524419499</v>
      </c>
    </row>
    <row r="2425" spans="1:3" s="7" customFormat="1" x14ac:dyDescent="0.2">
      <c r="A2425" s="6" t="str">
        <f>"SFMBT2"</f>
        <v>SFMBT2</v>
      </c>
      <c r="B2425" s="6">
        <v>1.99800199800199E-2</v>
      </c>
      <c r="C2425" s="6">
        <v>0.13381905524419499</v>
      </c>
    </row>
    <row r="2426" spans="1:3" s="7" customFormat="1" x14ac:dyDescent="0.2">
      <c r="A2426" s="6" t="str">
        <f>"HHLA3"</f>
        <v>HHLA3</v>
      </c>
      <c r="B2426" s="6">
        <v>1.99800199800199E-2</v>
      </c>
      <c r="C2426" s="6">
        <v>0.13381905524419499</v>
      </c>
    </row>
    <row r="2427" spans="1:3" s="7" customFormat="1" x14ac:dyDescent="0.2">
      <c r="A2427" s="6" t="str">
        <f>"TCN1"</f>
        <v>TCN1</v>
      </c>
      <c r="B2427" s="6">
        <v>1.99800199800199E-2</v>
      </c>
      <c r="C2427" s="6">
        <v>0.13381905524419499</v>
      </c>
    </row>
    <row r="2428" spans="1:3" s="7" customFormat="1" x14ac:dyDescent="0.2">
      <c r="A2428" s="6" t="str">
        <f>"STARD3"</f>
        <v>STARD3</v>
      </c>
      <c r="B2428" s="6">
        <v>1.99800199800199E-2</v>
      </c>
      <c r="C2428" s="6">
        <v>0.13381905524419499</v>
      </c>
    </row>
    <row r="2429" spans="1:3" s="7" customFormat="1" x14ac:dyDescent="0.2">
      <c r="A2429" s="6" t="str">
        <f>"RCN3"</f>
        <v>RCN3</v>
      </c>
      <c r="B2429" s="6">
        <v>1.99800199800199E-2</v>
      </c>
      <c r="C2429" s="6">
        <v>0.13381905524419499</v>
      </c>
    </row>
    <row r="2430" spans="1:3" s="7" customFormat="1" x14ac:dyDescent="0.2">
      <c r="A2430" s="6" t="str">
        <f>"NSUN5P2"</f>
        <v>NSUN5P2</v>
      </c>
      <c r="B2430" s="6">
        <v>1.99800199800199E-2</v>
      </c>
      <c r="C2430" s="6">
        <v>0.13381905524419499</v>
      </c>
    </row>
    <row r="2431" spans="1:3" s="7" customFormat="1" x14ac:dyDescent="0.2">
      <c r="A2431" s="6" t="str">
        <f>"FOXJ3"</f>
        <v>FOXJ3</v>
      </c>
      <c r="B2431" s="6">
        <v>1.99800199800199E-2</v>
      </c>
      <c r="C2431" s="6">
        <v>0.13381905524419499</v>
      </c>
    </row>
    <row r="2432" spans="1:3" s="7" customFormat="1" x14ac:dyDescent="0.2">
      <c r="A2432" s="6" t="str">
        <f>"AC141586.1"</f>
        <v>AC141586.1</v>
      </c>
      <c r="B2432" s="6">
        <v>1.99800199800199E-2</v>
      </c>
      <c r="C2432" s="6">
        <v>0.13381905524419499</v>
      </c>
    </row>
    <row r="2433" spans="1:3" s="7" customFormat="1" x14ac:dyDescent="0.2">
      <c r="A2433" s="6" t="str">
        <f>"RASA1"</f>
        <v>RASA1</v>
      </c>
      <c r="B2433" s="6">
        <v>1.99800199800199E-2</v>
      </c>
      <c r="C2433" s="6">
        <v>0.13381905524419499</v>
      </c>
    </row>
    <row r="2434" spans="1:3" s="7" customFormat="1" x14ac:dyDescent="0.2">
      <c r="A2434" s="6" t="str">
        <f>"PDZD2"</f>
        <v>PDZD2</v>
      </c>
      <c r="B2434" s="6">
        <v>1.99800199800199E-2</v>
      </c>
      <c r="C2434" s="6">
        <v>0.13381905524419499</v>
      </c>
    </row>
    <row r="2435" spans="1:3" s="7" customFormat="1" x14ac:dyDescent="0.2">
      <c r="A2435" s="6" t="str">
        <f>"ZNF570"</f>
        <v>ZNF570</v>
      </c>
      <c r="B2435" s="6">
        <v>1.99800199800199E-2</v>
      </c>
      <c r="C2435" s="6">
        <v>0.13381905524419499</v>
      </c>
    </row>
    <row r="2436" spans="1:3" s="7" customFormat="1" x14ac:dyDescent="0.2">
      <c r="A2436" s="6" t="str">
        <f>"NAA60"</f>
        <v>NAA60</v>
      </c>
      <c r="B2436" s="6">
        <v>1.99800199800199E-2</v>
      </c>
      <c r="C2436" s="6">
        <v>0.13381905524419499</v>
      </c>
    </row>
    <row r="2437" spans="1:3" s="7" customFormat="1" x14ac:dyDescent="0.2">
      <c r="A2437" s="6" t="str">
        <f>"METAP2"</f>
        <v>METAP2</v>
      </c>
      <c r="B2437" s="6">
        <v>1.99800199800199E-2</v>
      </c>
      <c r="C2437" s="6">
        <v>0.13381905524419499</v>
      </c>
    </row>
    <row r="2438" spans="1:3" s="7" customFormat="1" x14ac:dyDescent="0.2">
      <c r="A2438" s="6" t="str">
        <f>"ITIH5"</f>
        <v>ITIH5</v>
      </c>
      <c r="B2438" s="6">
        <v>1.99800199800199E-2</v>
      </c>
      <c r="C2438" s="6">
        <v>0.13381905524419499</v>
      </c>
    </row>
    <row r="2439" spans="1:3" s="7" customFormat="1" x14ac:dyDescent="0.2">
      <c r="A2439" s="6" t="str">
        <f>"CTSV"</f>
        <v>CTSV</v>
      </c>
      <c r="B2439" s="6">
        <v>1.99800199800199E-2</v>
      </c>
      <c r="C2439" s="6">
        <v>0.13381905524419499</v>
      </c>
    </row>
    <row r="2440" spans="1:3" s="7" customFormat="1" x14ac:dyDescent="0.2">
      <c r="A2440" s="6" t="str">
        <f>"HDHD5"</f>
        <v>HDHD5</v>
      </c>
      <c r="B2440" s="6">
        <v>1.99800199800199E-2</v>
      </c>
      <c r="C2440" s="6">
        <v>0.13381905524419499</v>
      </c>
    </row>
    <row r="2441" spans="1:3" s="7" customFormat="1" x14ac:dyDescent="0.2">
      <c r="A2441" s="6" t="str">
        <f>"NDEL1"</f>
        <v>NDEL1</v>
      </c>
      <c r="B2441" s="6">
        <v>1.99800199800199E-2</v>
      </c>
      <c r="C2441" s="6">
        <v>0.13381905524419499</v>
      </c>
    </row>
    <row r="2442" spans="1:3" s="7" customFormat="1" x14ac:dyDescent="0.2">
      <c r="A2442" s="6" t="str">
        <f>"AC023824.6"</f>
        <v>AC023824.6</v>
      </c>
      <c r="B2442" s="6">
        <v>1.99800199800199E-2</v>
      </c>
      <c r="C2442" s="6">
        <v>0.13381905524419499</v>
      </c>
    </row>
    <row r="2443" spans="1:3" s="7" customFormat="1" x14ac:dyDescent="0.2">
      <c r="A2443" s="6" t="str">
        <f>"CKMT2-AS1"</f>
        <v>CKMT2-AS1</v>
      </c>
      <c r="B2443" s="6">
        <v>1.99800199800199E-2</v>
      </c>
      <c r="C2443" s="6">
        <v>0.13381905524419499</v>
      </c>
    </row>
    <row r="2444" spans="1:3" s="7" customFormat="1" x14ac:dyDescent="0.2">
      <c r="A2444" s="6" t="str">
        <f>"RASAL1"</f>
        <v>RASAL1</v>
      </c>
      <c r="B2444" s="6">
        <v>1.99800199800199E-2</v>
      </c>
      <c r="C2444" s="6">
        <v>0.13381905524419499</v>
      </c>
    </row>
    <row r="2445" spans="1:3" s="7" customFormat="1" x14ac:dyDescent="0.2">
      <c r="A2445" s="6" t="str">
        <f>"ZBED5"</f>
        <v>ZBED5</v>
      </c>
      <c r="B2445" s="6">
        <v>1.99800199800199E-2</v>
      </c>
      <c r="C2445" s="6">
        <v>0.13381905524419499</v>
      </c>
    </row>
    <row r="2446" spans="1:3" s="7" customFormat="1" x14ac:dyDescent="0.2">
      <c r="A2446" s="6" t="str">
        <f>"FNDC10"</f>
        <v>FNDC10</v>
      </c>
      <c r="B2446" s="6">
        <v>1.99800199800199E-2</v>
      </c>
      <c r="C2446" s="6">
        <v>0.13381905524419499</v>
      </c>
    </row>
    <row r="2447" spans="1:3" s="7" customFormat="1" x14ac:dyDescent="0.2">
      <c r="A2447" s="6" t="str">
        <f>"SPINDOC"</f>
        <v>SPINDOC</v>
      </c>
      <c r="B2447" s="6">
        <v>1.99800199800199E-2</v>
      </c>
      <c r="C2447" s="6">
        <v>0.13381905524419499</v>
      </c>
    </row>
    <row r="2448" spans="1:3" s="7" customFormat="1" x14ac:dyDescent="0.2">
      <c r="A2448" s="6" t="str">
        <f>"DPP9"</f>
        <v>DPP9</v>
      </c>
      <c r="B2448" s="6">
        <v>1.99800199800199E-2</v>
      </c>
      <c r="C2448" s="6">
        <v>0.13381905524419499</v>
      </c>
    </row>
    <row r="2449" spans="1:3" s="7" customFormat="1" x14ac:dyDescent="0.2">
      <c r="A2449" s="6" t="str">
        <f>"METAP1"</f>
        <v>METAP1</v>
      </c>
      <c r="B2449" s="6">
        <v>1.99800199800199E-2</v>
      </c>
      <c r="C2449" s="6">
        <v>0.13381905524419499</v>
      </c>
    </row>
    <row r="2450" spans="1:3" s="7" customFormat="1" x14ac:dyDescent="0.2">
      <c r="A2450" s="6" t="str">
        <f>"PTCH2"</f>
        <v>PTCH2</v>
      </c>
      <c r="B2450" s="6">
        <v>1.99800199800199E-2</v>
      </c>
      <c r="C2450" s="6">
        <v>0.13381905524419499</v>
      </c>
    </row>
    <row r="2451" spans="1:3" s="7" customFormat="1" x14ac:dyDescent="0.2">
      <c r="A2451" s="6" t="str">
        <f>"CERS3"</f>
        <v>CERS3</v>
      </c>
      <c r="B2451" s="6">
        <v>1.99800199800199E-2</v>
      </c>
      <c r="C2451" s="6">
        <v>0.13381905524419499</v>
      </c>
    </row>
    <row r="2452" spans="1:3" s="7" customFormat="1" x14ac:dyDescent="0.2">
      <c r="A2452" s="6" t="str">
        <f>"HSH2D"</f>
        <v>HSH2D</v>
      </c>
      <c r="B2452" s="6">
        <v>1.99800199800199E-2</v>
      </c>
      <c r="C2452" s="6">
        <v>0.13381905524419499</v>
      </c>
    </row>
    <row r="2453" spans="1:3" s="7" customFormat="1" x14ac:dyDescent="0.2">
      <c r="A2453" s="6" t="str">
        <f>"MBIP"</f>
        <v>MBIP</v>
      </c>
      <c r="B2453" s="6">
        <v>1.99800199800199E-2</v>
      </c>
      <c r="C2453" s="6">
        <v>0.13381905524419499</v>
      </c>
    </row>
    <row r="2454" spans="1:3" s="7" customFormat="1" x14ac:dyDescent="0.2">
      <c r="A2454" s="6" t="str">
        <f>"ABCA12"</f>
        <v>ABCA12</v>
      </c>
      <c r="B2454" s="6">
        <v>1.99800199800199E-2</v>
      </c>
      <c r="C2454" s="6">
        <v>0.13381905524419499</v>
      </c>
    </row>
    <row r="2455" spans="1:3" s="7" customFormat="1" x14ac:dyDescent="0.2">
      <c r="A2455" s="6" t="str">
        <f>"CPA4"</f>
        <v>CPA4</v>
      </c>
      <c r="B2455" s="6">
        <v>1.99800199800199E-2</v>
      </c>
      <c r="C2455" s="6">
        <v>0.13381905524419499</v>
      </c>
    </row>
    <row r="2456" spans="1:3" s="7" customFormat="1" x14ac:dyDescent="0.2">
      <c r="A2456" s="6" t="str">
        <f>"SLC46A1"</f>
        <v>SLC46A1</v>
      </c>
      <c r="B2456" s="6">
        <v>1.99800199800199E-2</v>
      </c>
      <c r="C2456" s="6">
        <v>0.13381905524419499</v>
      </c>
    </row>
    <row r="2457" spans="1:3" s="7" customFormat="1" x14ac:dyDescent="0.2">
      <c r="A2457" s="6" t="str">
        <f>"GTF2A1"</f>
        <v>GTF2A1</v>
      </c>
      <c r="B2457" s="6">
        <v>1.99800199800199E-2</v>
      </c>
      <c r="C2457" s="6">
        <v>0.13381905524419499</v>
      </c>
    </row>
    <row r="2458" spans="1:3" s="7" customFormat="1" x14ac:dyDescent="0.2">
      <c r="A2458" s="6" t="str">
        <f>"HLA-H"</f>
        <v>HLA-H</v>
      </c>
      <c r="B2458" s="6">
        <v>1.99800199800199E-2</v>
      </c>
      <c r="C2458" s="6">
        <v>0.13381905524419499</v>
      </c>
    </row>
    <row r="2459" spans="1:3" s="7" customFormat="1" x14ac:dyDescent="0.2">
      <c r="A2459" s="6" t="str">
        <f>"RBM38"</f>
        <v>RBM38</v>
      </c>
      <c r="B2459" s="6">
        <v>1.99800199800199E-2</v>
      </c>
      <c r="C2459" s="6">
        <v>0.13381905524419499</v>
      </c>
    </row>
    <row r="2460" spans="1:3" s="7" customFormat="1" x14ac:dyDescent="0.2">
      <c r="A2460" s="6" t="str">
        <f>"FP236315.1"</f>
        <v>FP236315.1</v>
      </c>
      <c r="B2460" s="6">
        <v>1.99800199800199E-2</v>
      </c>
      <c r="C2460" s="6">
        <v>0.13381905524419499</v>
      </c>
    </row>
    <row r="2461" spans="1:3" s="7" customFormat="1" x14ac:dyDescent="0.2">
      <c r="A2461" s="6" t="str">
        <f>"ARHGDIB"</f>
        <v>ARHGDIB</v>
      </c>
      <c r="B2461" s="6">
        <v>1.99800199800199E-2</v>
      </c>
      <c r="C2461" s="6">
        <v>0.13381905524419499</v>
      </c>
    </row>
    <row r="2462" spans="1:3" s="7" customFormat="1" x14ac:dyDescent="0.2">
      <c r="A2462" s="6" t="str">
        <f>"FOLR3"</f>
        <v>FOLR3</v>
      </c>
      <c r="B2462" s="6">
        <v>1.99800199800199E-2</v>
      </c>
      <c r="C2462" s="6">
        <v>0.13381905524419499</v>
      </c>
    </row>
    <row r="2463" spans="1:3" s="7" customFormat="1" x14ac:dyDescent="0.2">
      <c r="A2463" s="6" t="str">
        <f>"WASHC3"</f>
        <v>WASHC3</v>
      </c>
      <c r="B2463" s="6">
        <v>1.99800199800199E-2</v>
      </c>
      <c r="C2463" s="6">
        <v>0.13381905524419499</v>
      </c>
    </row>
    <row r="2464" spans="1:3" s="7" customFormat="1" x14ac:dyDescent="0.2">
      <c r="A2464" s="6" t="str">
        <f>"SUMF1"</f>
        <v>SUMF1</v>
      </c>
      <c r="B2464" s="6">
        <v>1.99800199800199E-2</v>
      </c>
      <c r="C2464" s="6">
        <v>0.13381905524419499</v>
      </c>
    </row>
    <row r="2465" spans="1:3" s="7" customFormat="1" x14ac:dyDescent="0.2">
      <c r="A2465" s="6" t="str">
        <f>"LINC01802"</f>
        <v>LINC01802</v>
      </c>
      <c r="B2465" s="6">
        <v>0.02</v>
      </c>
      <c r="C2465" s="6">
        <v>0.13381905524419499</v>
      </c>
    </row>
    <row r="2466" spans="1:3" s="7" customFormat="1" x14ac:dyDescent="0.2">
      <c r="A2466" s="6" t="str">
        <f>"CYREN"</f>
        <v>CYREN</v>
      </c>
      <c r="B2466" s="6">
        <v>1.99800199800199E-2</v>
      </c>
      <c r="C2466" s="6">
        <v>0.13381905524419499</v>
      </c>
    </row>
    <row r="2467" spans="1:3" s="7" customFormat="1" x14ac:dyDescent="0.2">
      <c r="A2467" s="6" t="str">
        <f>"PSMB1"</f>
        <v>PSMB1</v>
      </c>
      <c r="B2467" s="6">
        <v>1.99800199800199E-2</v>
      </c>
      <c r="C2467" s="6">
        <v>0.13381905524419499</v>
      </c>
    </row>
    <row r="2468" spans="1:3" s="7" customFormat="1" x14ac:dyDescent="0.2">
      <c r="A2468" s="6" t="str">
        <f>"PLAAT1"</f>
        <v>PLAAT1</v>
      </c>
      <c r="B2468" s="6">
        <v>1.99800199800199E-2</v>
      </c>
      <c r="C2468" s="6">
        <v>0.13381905524419499</v>
      </c>
    </row>
    <row r="2469" spans="1:3" s="7" customFormat="1" x14ac:dyDescent="0.2">
      <c r="A2469" s="6" t="str">
        <f>"LATS1"</f>
        <v>LATS1</v>
      </c>
      <c r="B2469" s="6">
        <v>1.99800199800199E-2</v>
      </c>
      <c r="C2469" s="6">
        <v>0.13381905524419499</v>
      </c>
    </row>
    <row r="2470" spans="1:3" s="7" customFormat="1" x14ac:dyDescent="0.2">
      <c r="A2470" s="6" t="str">
        <f>"ZNF444"</f>
        <v>ZNF444</v>
      </c>
      <c r="B2470" s="6">
        <v>1.99800199800199E-2</v>
      </c>
      <c r="C2470" s="6">
        <v>0.13381905524419499</v>
      </c>
    </row>
    <row r="2471" spans="1:3" s="7" customFormat="1" x14ac:dyDescent="0.2">
      <c r="A2471" s="6" t="str">
        <f>"AL355601.1"</f>
        <v>AL355601.1</v>
      </c>
      <c r="B2471" s="6">
        <v>1.99800199800199E-2</v>
      </c>
      <c r="C2471" s="6">
        <v>0.13381905524419499</v>
      </c>
    </row>
    <row r="2472" spans="1:3" s="7" customFormat="1" x14ac:dyDescent="0.2">
      <c r="A2472" s="6" t="str">
        <f>"KRT19"</f>
        <v>KRT19</v>
      </c>
      <c r="B2472" s="6">
        <v>1.99800199800199E-2</v>
      </c>
      <c r="C2472" s="6">
        <v>0.13381905524419499</v>
      </c>
    </row>
    <row r="2473" spans="1:3" s="7" customFormat="1" x14ac:dyDescent="0.2">
      <c r="A2473" s="6" t="str">
        <f>"MTRR"</f>
        <v>MTRR</v>
      </c>
      <c r="B2473" s="6">
        <v>1.99800199800199E-2</v>
      </c>
      <c r="C2473" s="6">
        <v>0.13381905524419499</v>
      </c>
    </row>
    <row r="2474" spans="1:3" s="7" customFormat="1" x14ac:dyDescent="0.2">
      <c r="A2474" s="6" t="str">
        <f>"COQ7"</f>
        <v>COQ7</v>
      </c>
      <c r="B2474" s="6">
        <v>1.99800199800199E-2</v>
      </c>
      <c r="C2474" s="6">
        <v>0.13381905524419499</v>
      </c>
    </row>
    <row r="2475" spans="1:3" s="7" customFormat="1" x14ac:dyDescent="0.2">
      <c r="A2475" s="6" t="str">
        <f>"RAP1GDS1"</f>
        <v>RAP1GDS1</v>
      </c>
      <c r="B2475" s="6">
        <v>1.99800199800199E-2</v>
      </c>
      <c r="C2475" s="6">
        <v>0.13381905524419499</v>
      </c>
    </row>
    <row r="2476" spans="1:3" s="7" customFormat="1" x14ac:dyDescent="0.2">
      <c r="A2476" s="6" t="str">
        <f>"MMP14"</f>
        <v>MMP14</v>
      </c>
      <c r="B2476" s="6">
        <v>0.02</v>
      </c>
      <c r="C2476" s="6">
        <v>0.13381905524419499</v>
      </c>
    </row>
    <row r="2477" spans="1:3" s="7" customFormat="1" x14ac:dyDescent="0.2">
      <c r="A2477" s="6" t="str">
        <f>"NRSN2"</f>
        <v>NRSN2</v>
      </c>
      <c r="B2477" s="6">
        <v>1.99800199800199E-2</v>
      </c>
      <c r="C2477" s="6">
        <v>0.13381905524419499</v>
      </c>
    </row>
    <row r="2478" spans="1:3" s="7" customFormat="1" x14ac:dyDescent="0.2">
      <c r="A2478" s="6" t="str">
        <f>"CES1"</f>
        <v>CES1</v>
      </c>
      <c r="B2478" s="6">
        <v>1.99800199800199E-2</v>
      </c>
      <c r="C2478" s="6">
        <v>0.13381905524419499</v>
      </c>
    </row>
    <row r="2479" spans="1:3" s="7" customFormat="1" x14ac:dyDescent="0.2">
      <c r="A2479" s="6" t="str">
        <f>"GATA2-AS1"</f>
        <v>GATA2-AS1</v>
      </c>
      <c r="B2479" s="6">
        <v>1.99800199800199E-2</v>
      </c>
      <c r="C2479" s="6">
        <v>0.13381905524419499</v>
      </c>
    </row>
    <row r="2480" spans="1:3" s="7" customFormat="1" x14ac:dyDescent="0.2">
      <c r="A2480" s="6" t="str">
        <f>"TNNI3"</f>
        <v>TNNI3</v>
      </c>
      <c r="B2480" s="6">
        <v>1.99800199800199E-2</v>
      </c>
      <c r="C2480" s="6">
        <v>0.13381905524419499</v>
      </c>
    </row>
    <row r="2481" spans="1:3" s="7" customFormat="1" x14ac:dyDescent="0.2">
      <c r="A2481" s="6" t="str">
        <f>"FOSL1"</f>
        <v>FOSL1</v>
      </c>
      <c r="B2481" s="6">
        <v>1.99800199800199E-2</v>
      </c>
      <c r="C2481" s="6">
        <v>0.13381905524419499</v>
      </c>
    </row>
    <row r="2482" spans="1:3" s="7" customFormat="1" x14ac:dyDescent="0.2">
      <c r="A2482" s="6" t="str">
        <f>"RNGTT"</f>
        <v>RNGTT</v>
      </c>
      <c r="B2482" s="6">
        <v>1.99800199800199E-2</v>
      </c>
      <c r="C2482" s="6">
        <v>0.13381905524419499</v>
      </c>
    </row>
    <row r="2483" spans="1:3" s="7" customFormat="1" x14ac:dyDescent="0.2">
      <c r="A2483" s="6" t="str">
        <f>"AC020907.5"</f>
        <v>AC020907.5</v>
      </c>
      <c r="B2483" s="6">
        <v>1.99800199800199E-2</v>
      </c>
      <c r="C2483" s="6">
        <v>0.13381905524419499</v>
      </c>
    </row>
    <row r="2484" spans="1:3" s="7" customFormat="1" x14ac:dyDescent="0.2">
      <c r="A2484" s="6" t="str">
        <f>"WASH6P"</f>
        <v>WASH6P</v>
      </c>
      <c r="B2484" s="6">
        <v>1.99800199800199E-2</v>
      </c>
      <c r="C2484" s="6">
        <v>0.13381905524419499</v>
      </c>
    </row>
    <row r="2485" spans="1:3" s="7" customFormat="1" x14ac:dyDescent="0.2">
      <c r="A2485" s="6" t="str">
        <f>"ZDHHC11"</f>
        <v>ZDHHC11</v>
      </c>
      <c r="B2485" s="6">
        <v>1.99800199800199E-2</v>
      </c>
      <c r="C2485" s="6">
        <v>0.13381905524419499</v>
      </c>
    </row>
    <row r="2486" spans="1:3" s="7" customFormat="1" x14ac:dyDescent="0.2">
      <c r="A2486" s="6" t="str">
        <f>"ACYP2"</f>
        <v>ACYP2</v>
      </c>
      <c r="B2486" s="6">
        <v>1.99800199800199E-2</v>
      </c>
      <c r="C2486" s="6">
        <v>0.13381905524419499</v>
      </c>
    </row>
    <row r="2487" spans="1:3" s="7" customFormat="1" x14ac:dyDescent="0.2">
      <c r="A2487" s="6" t="str">
        <f>"AC010754.1"</f>
        <v>AC010754.1</v>
      </c>
      <c r="B2487" s="6">
        <v>1.99800199800199E-2</v>
      </c>
      <c r="C2487" s="6">
        <v>0.13381905524419499</v>
      </c>
    </row>
    <row r="2488" spans="1:3" s="7" customFormat="1" x14ac:dyDescent="0.2">
      <c r="A2488" s="6" t="str">
        <f>"PURA"</f>
        <v>PURA</v>
      </c>
      <c r="B2488" s="6">
        <v>1.99800199800199E-2</v>
      </c>
      <c r="C2488" s="6">
        <v>0.13381905524419499</v>
      </c>
    </row>
    <row r="2489" spans="1:3" s="7" customFormat="1" x14ac:dyDescent="0.2">
      <c r="A2489" s="6" t="str">
        <f>"STK33"</f>
        <v>STK33</v>
      </c>
      <c r="B2489" s="6">
        <v>1.99800199800199E-2</v>
      </c>
      <c r="C2489" s="6">
        <v>0.13381905524419499</v>
      </c>
    </row>
    <row r="2490" spans="1:3" s="7" customFormat="1" x14ac:dyDescent="0.2">
      <c r="A2490" s="6" t="str">
        <f>"SSC5D"</f>
        <v>SSC5D</v>
      </c>
      <c r="B2490" s="6">
        <v>1.99800199800199E-2</v>
      </c>
      <c r="C2490" s="6">
        <v>0.13381905524419499</v>
      </c>
    </row>
    <row r="2491" spans="1:3" s="7" customFormat="1" x14ac:dyDescent="0.2">
      <c r="A2491" s="6" t="str">
        <f>"STK36"</f>
        <v>STK36</v>
      </c>
      <c r="B2491" s="6">
        <v>1.99800199800199E-2</v>
      </c>
      <c r="C2491" s="6">
        <v>0.13381905524419499</v>
      </c>
    </row>
    <row r="2492" spans="1:3" s="7" customFormat="1" x14ac:dyDescent="0.2">
      <c r="A2492" s="6" t="str">
        <f>"AC023781.1"</f>
        <v>AC023781.1</v>
      </c>
      <c r="B2492" s="6">
        <v>0.02</v>
      </c>
      <c r="C2492" s="6">
        <v>0.13381905524419499</v>
      </c>
    </row>
    <row r="2493" spans="1:3" s="7" customFormat="1" x14ac:dyDescent="0.2">
      <c r="A2493" s="6" t="str">
        <f>"ESYT2"</f>
        <v>ESYT2</v>
      </c>
      <c r="B2493" s="6">
        <v>1.99800199800199E-2</v>
      </c>
      <c r="C2493" s="6">
        <v>0.13381905524419499</v>
      </c>
    </row>
    <row r="2494" spans="1:3" s="7" customFormat="1" x14ac:dyDescent="0.2">
      <c r="A2494" s="6" t="str">
        <f>"ZNF124"</f>
        <v>ZNF124</v>
      </c>
      <c r="B2494" s="6">
        <v>1.99800199800199E-2</v>
      </c>
      <c r="C2494" s="6">
        <v>0.13381905524419499</v>
      </c>
    </row>
    <row r="2495" spans="1:3" s="7" customFormat="1" x14ac:dyDescent="0.2">
      <c r="A2495" s="6" t="str">
        <f>"OGFRL1"</f>
        <v>OGFRL1</v>
      </c>
      <c r="B2495" s="6">
        <v>1.99800199800199E-2</v>
      </c>
      <c r="C2495" s="6">
        <v>0.13381905524419499</v>
      </c>
    </row>
    <row r="2496" spans="1:3" s="7" customFormat="1" x14ac:dyDescent="0.2">
      <c r="A2496" s="6" t="str">
        <f>"PES1"</f>
        <v>PES1</v>
      </c>
      <c r="B2496" s="6">
        <v>1.99800199800199E-2</v>
      </c>
      <c r="C2496" s="6">
        <v>0.13381905524419499</v>
      </c>
    </row>
    <row r="2497" spans="1:3" s="7" customFormat="1" x14ac:dyDescent="0.2">
      <c r="A2497" s="6" t="str">
        <f>"MRPL45"</f>
        <v>MRPL45</v>
      </c>
      <c r="B2497" s="6">
        <v>1.99800199800199E-2</v>
      </c>
      <c r="C2497" s="6">
        <v>0.13381905524419499</v>
      </c>
    </row>
    <row r="2498" spans="1:3" s="7" customFormat="1" x14ac:dyDescent="0.2">
      <c r="A2498" s="6" t="str">
        <f>"KLC4"</f>
        <v>KLC4</v>
      </c>
      <c r="B2498" s="6">
        <v>1.99800199800199E-2</v>
      </c>
      <c r="C2498" s="6">
        <v>0.13381905524419499</v>
      </c>
    </row>
    <row r="2499" spans="1:3" s="7" customFormat="1" x14ac:dyDescent="0.2">
      <c r="A2499" s="6" t="str">
        <f>"LYPLA2"</f>
        <v>LYPLA2</v>
      </c>
      <c r="B2499" s="6">
        <v>1.99800199800199E-2</v>
      </c>
      <c r="C2499" s="6">
        <v>0.13381905524419499</v>
      </c>
    </row>
    <row r="2500" spans="1:3" s="7" customFormat="1" x14ac:dyDescent="0.2">
      <c r="A2500" s="6" t="str">
        <f>"LINC02517"</f>
        <v>LINC02517</v>
      </c>
      <c r="B2500" s="6">
        <v>2.0020020020019999E-2</v>
      </c>
      <c r="C2500" s="6">
        <v>0.13389940560808899</v>
      </c>
    </row>
    <row r="2501" spans="1:3" s="7" customFormat="1" x14ac:dyDescent="0.2">
      <c r="A2501" s="6" t="str">
        <f>"ARL9"</f>
        <v>ARL9</v>
      </c>
      <c r="B2501" s="6">
        <v>2.0063357972544799E-2</v>
      </c>
      <c r="C2501" s="6">
        <v>0.134081953279934</v>
      </c>
    </row>
    <row r="2502" spans="1:3" s="7" customFormat="1" x14ac:dyDescent="0.2">
      <c r="A2502" s="6" t="str">
        <f>"FTH1P20"</f>
        <v>FTH1P20</v>
      </c>
      <c r="B2502" s="6">
        <v>2.0060180541624801E-2</v>
      </c>
      <c r="C2502" s="6">
        <v>0.134081953279934</v>
      </c>
    </row>
    <row r="2503" spans="1:3" s="7" customFormat="1" x14ac:dyDescent="0.2">
      <c r="A2503" s="6" t="str">
        <f>"RPS3AP26"</f>
        <v>RPS3AP26</v>
      </c>
      <c r="B2503" s="6">
        <v>2.0127118644067701E-2</v>
      </c>
      <c r="C2503" s="6">
        <v>0.134454300966006</v>
      </c>
    </row>
    <row r="2504" spans="1:3" s="7" customFormat="1" x14ac:dyDescent="0.2">
      <c r="A2504" s="6" t="str">
        <f>"AL645929.1"</f>
        <v>AL645929.1</v>
      </c>
      <c r="B2504" s="6">
        <v>2.0140986908358499E-2</v>
      </c>
      <c r="C2504" s="6">
        <v>0.134493190246226</v>
      </c>
    </row>
    <row r="2505" spans="1:3" s="7" customFormat="1" x14ac:dyDescent="0.2">
      <c r="A2505" s="6" t="str">
        <f>"UNC93B6"</f>
        <v>UNC93B6</v>
      </c>
      <c r="B2505" s="6">
        <v>2.0181634712411699E-2</v>
      </c>
      <c r="C2505" s="6">
        <v>0.13471079975369299</v>
      </c>
    </row>
    <row r="2506" spans="1:3" s="7" customFormat="1" x14ac:dyDescent="0.2">
      <c r="A2506" s="6" t="str">
        <f>"AL035461.2"</f>
        <v>AL035461.2</v>
      </c>
      <c r="B2506" s="6">
        <v>2.0352781546811399E-2</v>
      </c>
      <c r="C2506" s="6">
        <v>0.135798958392577</v>
      </c>
    </row>
    <row r="2507" spans="1:3" s="7" customFormat="1" x14ac:dyDescent="0.2">
      <c r="A2507" s="6" t="str">
        <f>"LINC00324"</f>
        <v>LINC00324</v>
      </c>
      <c r="B2507" s="6">
        <v>2.09790209790209E-2</v>
      </c>
      <c r="C2507" s="6">
        <v>0.136384036033977</v>
      </c>
    </row>
    <row r="2508" spans="1:3" s="7" customFormat="1" x14ac:dyDescent="0.2">
      <c r="A2508" s="6" t="str">
        <f>"HSPA4"</f>
        <v>HSPA4</v>
      </c>
      <c r="B2508" s="6">
        <v>2.09790209790209E-2</v>
      </c>
      <c r="C2508" s="6">
        <v>0.136384036033977</v>
      </c>
    </row>
    <row r="2509" spans="1:3" s="7" customFormat="1" x14ac:dyDescent="0.2">
      <c r="A2509" s="6" t="str">
        <f>"IL10RB-DT"</f>
        <v>IL10RB-DT</v>
      </c>
      <c r="B2509" s="6">
        <v>2.09790209790209E-2</v>
      </c>
      <c r="C2509" s="6">
        <v>0.136384036033977</v>
      </c>
    </row>
    <row r="2510" spans="1:3" s="7" customFormat="1" x14ac:dyDescent="0.2">
      <c r="A2510" s="6" t="str">
        <f>"MAN2A2"</f>
        <v>MAN2A2</v>
      </c>
      <c r="B2510" s="6">
        <v>2.09790209790209E-2</v>
      </c>
      <c r="C2510" s="6">
        <v>0.136384036033977</v>
      </c>
    </row>
    <row r="2511" spans="1:3" s="7" customFormat="1" x14ac:dyDescent="0.2">
      <c r="A2511" s="6" t="str">
        <f>"C12orf56"</f>
        <v>C12orf56</v>
      </c>
      <c r="B2511" s="6">
        <v>2.09790209790209E-2</v>
      </c>
      <c r="C2511" s="6">
        <v>0.136384036033977</v>
      </c>
    </row>
    <row r="2512" spans="1:3" s="7" customFormat="1" x14ac:dyDescent="0.2">
      <c r="A2512" s="6" t="str">
        <f>"MSRB1"</f>
        <v>MSRB1</v>
      </c>
      <c r="B2512" s="6">
        <v>2.09790209790209E-2</v>
      </c>
      <c r="C2512" s="6">
        <v>0.136384036033977</v>
      </c>
    </row>
    <row r="2513" spans="1:3" s="7" customFormat="1" x14ac:dyDescent="0.2">
      <c r="A2513" s="6" t="str">
        <f>"SENCR"</f>
        <v>SENCR</v>
      </c>
      <c r="B2513" s="6">
        <v>2.09790209790209E-2</v>
      </c>
      <c r="C2513" s="6">
        <v>0.136384036033977</v>
      </c>
    </row>
    <row r="2514" spans="1:3" s="7" customFormat="1" x14ac:dyDescent="0.2">
      <c r="A2514" s="6" t="str">
        <f>"SNAI1"</f>
        <v>SNAI1</v>
      </c>
      <c r="B2514" s="6">
        <v>2.09790209790209E-2</v>
      </c>
      <c r="C2514" s="6">
        <v>0.136384036033977</v>
      </c>
    </row>
    <row r="2515" spans="1:3" s="7" customFormat="1" x14ac:dyDescent="0.2">
      <c r="A2515" s="6" t="str">
        <f>"ANKRD33B"</f>
        <v>ANKRD33B</v>
      </c>
      <c r="B2515" s="6">
        <v>2.09790209790209E-2</v>
      </c>
      <c r="C2515" s="6">
        <v>0.136384036033977</v>
      </c>
    </row>
    <row r="2516" spans="1:3" s="7" customFormat="1" x14ac:dyDescent="0.2">
      <c r="A2516" s="6" t="str">
        <f>"IGKV1-17"</f>
        <v>IGKV1-17</v>
      </c>
      <c r="B2516" s="6">
        <v>2.09790209790209E-2</v>
      </c>
      <c r="C2516" s="6">
        <v>0.136384036033977</v>
      </c>
    </row>
    <row r="2517" spans="1:3" s="7" customFormat="1" x14ac:dyDescent="0.2">
      <c r="A2517" s="6" t="str">
        <f>"ARL8A"</f>
        <v>ARL8A</v>
      </c>
      <c r="B2517" s="6">
        <v>2.09790209790209E-2</v>
      </c>
      <c r="C2517" s="6">
        <v>0.136384036033977</v>
      </c>
    </row>
    <row r="2518" spans="1:3" s="7" customFormat="1" x14ac:dyDescent="0.2">
      <c r="A2518" s="6" t="str">
        <f>"UPB1"</f>
        <v>UPB1</v>
      </c>
      <c r="B2518" s="6">
        <v>2.09790209790209E-2</v>
      </c>
      <c r="C2518" s="6">
        <v>0.136384036033977</v>
      </c>
    </row>
    <row r="2519" spans="1:3" s="7" customFormat="1" x14ac:dyDescent="0.2">
      <c r="A2519" s="6" t="str">
        <f>"RMND1"</f>
        <v>RMND1</v>
      </c>
      <c r="B2519" s="6">
        <v>2.09790209790209E-2</v>
      </c>
      <c r="C2519" s="6">
        <v>0.136384036033977</v>
      </c>
    </row>
    <row r="2520" spans="1:3" s="7" customFormat="1" x14ac:dyDescent="0.2">
      <c r="A2520" s="6" t="str">
        <f>"ACOT7"</f>
        <v>ACOT7</v>
      </c>
      <c r="B2520" s="6">
        <v>2.09790209790209E-2</v>
      </c>
      <c r="C2520" s="6">
        <v>0.136384036033977</v>
      </c>
    </row>
    <row r="2521" spans="1:3" s="7" customFormat="1" x14ac:dyDescent="0.2">
      <c r="A2521" s="6" t="str">
        <f>"OTUB1"</f>
        <v>OTUB1</v>
      </c>
      <c r="B2521" s="6">
        <v>2.09790209790209E-2</v>
      </c>
      <c r="C2521" s="6">
        <v>0.136384036033977</v>
      </c>
    </row>
    <row r="2522" spans="1:3" s="7" customFormat="1" x14ac:dyDescent="0.2">
      <c r="A2522" s="6" t="str">
        <f>"AC008687.8"</f>
        <v>AC008687.8</v>
      </c>
      <c r="B2522" s="6">
        <v>2.09790209790209E-2</v>
      </c>
      <c r="C2522" s="6">
        <v>0.136384036033977</v>
      </c>
    </row>
    <row r="2523" spans="1:3" s="7" customFormat="1" x14ac:dyDescent="0.2">
      <c r="A2523" s="6" t="str">
        <f>"Z82198.2"</f>
        <v>Z82198.2</v>
      </c>
      <c r="B2523" s="6">
        <v>2.09790209790209E-2</v>
      </c>
      <c r="C2523" s="6">
        <v>0.136384036033977</v>
      </c>
    </row>
    <row r="2524" spans="1:3" s="7" customFormat="1" x14ac:dyDescent="0.2">
      <c r="A2524" s="6" t="str">
        <f>"FAM209B"</f>
        <v>FAM209B</v>
      </c>
      <c r="B2524" s="6">
        <v>2.09790209790209E-2</v>
      </c>
      <c r="C2524" s="6">
        <v>0.136384036033977</v>
      </c>
    </row>
    <row r="2525" spans="1:3" s="7" customFormat="1" x14ac:dyDescent="0.2">
      <c r="A2525" s="6" t="str">
        <f>"AL121772.1"</f>
        <v>AL121772.1</v>
      </c>
      <c r="B2525" s="6">
        <v>2.09790209790209E-2</v>
      </c>
      <c r="C2525" s="6">
        <v>0.136384036033977</v>
      </c>
    </row>
    <row r="2526" spans="1:3" s="7" customFormat="1" x14ac:dyDescent="0.2">
      <c r="A2526" s="6" t="str">
        <f>"FBXL3"</f>
        <v>FBXL3</v>
      </c>
      <c r="B2526" s="6">
        <v>2.09790209790209E-2</v>
      </c>
      <c r="C2526" s="6">
        <v>0.136384036033977</v>
      </c>
    </row>
    <row r="2527" spans="1:3" s="7" customFormat="1" x14ac:dyDescent="0.2">
      <c r="A2527" s="6" t="str">
        <f>"AC099811.1"</f>
        <v>AC099811.1</v>
      </c>
      <c r="B2527" s="6">
        <v>2.09790209790209E-2</v>
      </c>
      <c r="C2527" s="6">
        <v>0.136384036033977</v>
      </c>
    </row>
    <row r="2528" spans="1:3" s="7" customFormat="1" x14ac:dyDescent="0.2">
      <c r="A2528" s="6" t="str">
        <f>"AP001453.3"</f>
        <v>AP001453.3</v>
      </c>
      <c r="B2528" s="6">
        <v>2.09790209790209E-2</v>
      </c>
      <c r="C2528" s="6">
        <v>0.136384036033977</v>
      </c>
    </row>
    <row r="2529" spans="1:3" s="7" customFormat="1" x14ac:dyDescent="0.2">
      <c r="A2529" s="6" t="str">
        <f>"NFATC1"</f>
        <v>NFATC1</v>
      </c>
      <c r="B2529" s="6">
        <v>2.09790209790209E-2</v>
      </c>
      <c r="C2529" s="6">
        <v>0.136384036033977</v>
      </c>
    </row>
    <row r="2530" spans="1:3" s="7" customFormat="1" x14ac:dyDescent="0.2">
      <c r="A2530" s="6" t="str">
        <f>"AC097493.3"</f>
        <v>AC097493.3</v>
      </c>
      <c r="B2530" s="6">
        <v>2.09790209790209E-2</v>
      </c>
      <c r="C2530" s="6">
        <v>0.136384036033977</v>
      </c>
    </row>
    <row r="2531" spans="1:3" s="7" customFormat="1" x14ac:dyDescent="0.2">
      <c r="A2531" s="6" t="str">
        <f>"AC020910.6"</f>
        <v>AC020910.6</v>
      </c>
      <c r="B2531" s="6">
        <v>2.09790209790209E-2</v>
      </c>
      <c r="C2531" s="6">
        <v>0.136384036033977</v>
      </c>
    </row>
    <row r="2532" spans="1:3" s="7" customFormat="1" x14ac:dyDescent="0.2">
      <c r="A2532" s="6" t="str">
        <f>"ACKR3"</f>
        <v>ACKR3</v>
      </c>
      <c r="B2532" s="6">
        <v>2.09790209790209E-2</v>
      </c>
      <c r="C2532" s="6">
        <v>0.136384036033977</v>
      </c>
    </row>
    <row r="2533" spans="1:3" s="7" customFormat="1" x14ac:dyDescent="0.2">
      <c r="A2533" s="6" t="str">
        <f>"MOSPD3"</f>
        <v>MOSPD3</v>
      </c>
      <c r="B2533" s="6">
        <v>2.09790209790209E-2</v>
      </c>
      <c r="C2533" s="6">
        <v>0.136384036033977</v>
      </c>
    </row>
    <row r="2534" spans="1:3" s="7" customFormat="1" x14ac:dyDescent="0.2">
      <c r="A2534" s="6" t="str">
        <f>"MPV17"</f>
        <v>MPV17</v>
      </c>
      <c r="B2534" s="6">
        <v>2.09790209790209E-2</v>
      </c>
      <c r="C2534" s="6">
        <v>0.136384036033977</v>
      </c>
    </row>
    <row r="2535" spans="1:3" s="7" customFormat="1" x14ac:dyDescent="0.2">
      <c r="A2535" s="6" t="str">
        <f>"PCBD1"</f>
        <v>PCBD1</v>
      </c>
      <c r="B2535" s="6">
        <v>2.09790209790209E-2</v>
      </c>
      <c r="C2535" s="6">
        <v>0.136384036033977</v>
      </c>
    </row>
    <row r="2536" spans="1:3" s="7" customFormat="1" x14ac:dyDescent="0.2">
      <c r="A2536" s="6" t="str">
        <f>"AC005899.7"</f>
        <v>AC005899.7</v>
      </c>
      <c r="B2536" s="6">
        <v>2.09790209790209E-2</v>
      </c>
      <c r="C2536" s="6">
        <v>0.136384036033977</v>
      </c>
    </row>
    <row r="2537" spans="1:3" s="7" customFormat="1" x14ac:dyDescent="0.2">
      <c r="A2537" s="6" t="str">
        <f>"PRPSAP2"</f>
        <v>PRPSAP2</v>
      </c>
      <c r="B2537" s="6">
        <v>2.09790209790209E-2</v>
      </c>
      <c r="C2537" s="6">
        <v>0.136384036033977</v>
      </c>
    </row>
    <row r="2538" spans="1:3" s="7" customFormat="1" x14ac:dyDescent="0.2">
      <c r="A2538" s="6" t="str">
        <f>"SKA1"</f>
        <v>SKA1</v>
      </c>
      <c r="B2538" s="6">
        <v>2.09790209790209E-2</v>
      </c>
      <c r="C2538" s="6">
        <v>0.136384036033977</v>
      </c>
    </row>
    <row r="2539" spans="1:3" s="7" customFormat="1" x14ac:dyDescent="0.2">
      <c r="A2539" s="6" t="str">
        <f>"BUD13"</f>
        <v>BUD13</v>
      </c>
      <c r="B2539" s="6">
        <v>2.09790209790209E-2</v>
      </c>
      <c r="C2539" s="6">
        <v>0.136384036033977</v>
      </c>
    </row>
    <row r="2540" spans="1:3" s="7" customFormat="1" x14ac:dyDescent="0.2">
      <c r="A2540" s="6" t="str">
        <f>"ISCA2"</f>
        <v>ISCA2</v>
      </c>
      <c r="B2540" s="6">
        <v>2.09790209790209E-2</v>
      </c>
      <c r="C2540" s="6">
        <v>0.136384036033977</v>
      </c>
    </row>
    <row r="2541" spans="1:3" s="7" customFormat="1" x14ac:dyDescent="0.2">
      <c r="A2541" s="6" t="str">
        <f>"ATPAF1"</f>
        <v>ATPAF1</v>
      </c>
      <c r="B2541" s="6">
        <v>2.09790209790209E-2</v>
      </c>
      <c r="C2541" s="6">
        <v>0.136384036033977</v>
      </c>
    </row>
    <row r="2542" spans="1:3" s="7" customFormat="1" x14ac:dyDescent="0.2">
      <c r="A2542" s="6" t="str">
        <f>"SAMD5"</f>
        <v>SAMD5</v>
      </c>
      <c r="B2542" s="6">
        <v>2.09790209790209E-2</v>
      </c>
      <c r="C2542" s="6">
        <v>0.136384036033977</v>
      </c>
    </row>
    <row r="2543" spans="1:3" s="7" customFormat="1" x14ac:dyDescent="0.2">
      <c r="A2543" s="6" t="str">
        <f>"TERF1"</f>
        <v>TERF1</v>
      </c>
      <c r="B2543" s="6">
        <v>2.09790209790209E-2</v>
      </c>
      <c r="C2543" s="6">
        <v>0.136384036033977</v>
      </c>
    </row>
    <row r="2544" spans="1:3" s="7" customFormat="1" x14ac:dyDescent="0.2">
      <c r="A2544" s="6" t="str">
        <f>"FAM117A"</f>
        <v>FAM117A</v>
      </c>
      <c r="B2544" s="6">
        <v>2.09790209790209E-2</v>
      </c>
      <c r="C2544" s="6">
        <v>0.136384036033977</v>
      </c>
    </row>
    <row r="2545" spans="1:3" s="7" customFormat="1" x14ac:dyDescent="0.2">
      <c r="A2545" s="6" t="str">
        <f>"CERS4"</f>
        <v>CERS4</v>
      </c>
      <c r="B2545" s="6">
        <v>2.09790209790209E-2</v>
      </c>
      <c r="C2545" s="6">
        <v>0.136384036033977</v>
      </c>
    </row>
    <row r="2546" spans="1:3" s="7" customFormat="1" x14ac:dyDescent="0.2">
      <c r="A2546" s="6" t="str">
        <f>"ERICH6-AS1"</f>
        <v>ERICH6-AS1</v>
      </c>
      <c r="B2546" s="6">
        <v>2.09790209790209E-2</v>
      </c>
      <c r="C2546" s="6">
        <v>0.136384036033977</v>
      </c>
    </row>
    <row r="2547" spans="1:3" s="7" customFormat="1" x14ac:dyDescent="0.2">
      <c r="A2547" s="6" t="str">
        <f>"UNK"</f>
        <v>UNK</v>
      </c>
      <c r="B2547" s="6">
        <v>2.09790209790209E-2</v>
      </c>
      <c r="C2547" s="6">
        <v>0.136384036033977</v>
      </c>
    </row>
    <row r="2548" spans="1:3" s="7" customFormat="1" x14ac:dyDescent="0.2">
      <c r="A2548" s="6" t="str">
        <f>"PRSS8"</f>
        <v>PRSS8</v>
      </c>
      <c r="B2548" s="6">
        <v>2.09790209790209E-2</v>
      </c>
      <c r="C2548" s="6">
        <v>0.136384036033977</v>
      </c>
    </row>
    <row r="2549" spans="1:3" s="7" customFormat="1" x14ac:dyDescent="0.2">
      <c r="A2549" s="6" t="str">
        <f>"RIPPLY3"</f>
        <v>RIPPLY3</v>
      </c>
      <c r="B2549" s="6">
        <v>2.09790209790209E-2</v>
      </c>
      <c r="C2549" s="6">
        <v>0.136384036033977</v>
      </c>
    </row>
    <row r="2550" spans="1:3" s="7" customFormat="1" x14ac:dyDescent="0.2">
      <c r="A2550" s="6" t="str">
        <f>"MT-ATP6"</f>
        <v>MT-ATP6</v>
      </c>
      <c r="B2550" s="6">
        <v>2.09790209790209E-2</v>
      </c>
      <c r="C2550" s="6">
        <v>0.136384036033977</v>
      </c>
    </row>
    <row r="2551" spans="1:3" s="7" customFormat="1" x14ac:dyDescent="0.2">
      <c r="A2551" s="6" t="str">
        <f>"CCDC26"</f>
        <v>CCDC26</v>
      </c>
      <c r="B2551" s="6">
        <v>2.09790209790209E-2</v>
      </c>
      <c r="C2551" s="6">
        <v>0.136384036033977</v>
      </c>
    </row>
    <row r="2552" spans="1:3" s="7" customFormat="1" x14ac:dyDescent="0.2">
      <c r="A2552" s="6" t="str">
        <f>"RAC1"</f>
        <v>RAC1</v>
      </c>
      <c r="B2552" s="6">
        <v>2.09790209790209E-2</v>
      </c>
      <c r="C2552" s="6">
        <v>0.136384036033977</v>
      </c>
    </row>
    <row r="2553" spans="1:3" s="7" customFormat="1" x14ac:dyDescent="0.2">
      <c r="A2553" s="6" t="str">
        <f>"AL591543.1"</f>
        <v>AL591543.1</v>
      </c>
      <c r="B2553" s="6">
        <v>2.09790209790209E-2</v>
      </c>
      <c r="C2553" s="6">
        <v>0.136384036033977</v>
      </c>
    </row>
    <row r="2554" spans="1:3" s="7" customFormat="1" x14ac:dyDescent="0.2">
      <c r="A2554" s="6" t="str">
        <f>"AC133785.1"</f>
        <v>AC133785.1</v>
      </c>
      <c r="B2554" s="6">
        <v>2.09790209790209E-2</v>
      </c>
      <c r="C2554" s="6">
        <v>0.136384036033977</v>
      </c>
    </row>
    <row r="2555" spans="1:3" s="7" customFormat="1" x14ac:dyDescent="0.2">
      <c r="A2555" s="6" t="str">
        <f>"ACTB"</f>
        <v>ACTB</v>
      </c>
      <c r="B2555" s="6">
        <v>2.09790209790209E-2</v>
      </c>
      <c r="C2555" s="6">
        <v>0.136384036033977</v>
      </c>
    </row>
    <row r="2556" spans="1:3" s="7" customFormat="1" x14ac:dyDescent="0.2">
      <c r="A2556" s="6" t="str">
        <f>"MEGF9"</f>
        <v>MEGF9</v>
      </c>
      <c r="B2556" s="6">
        <v>2.09790209790209E-2</v>
      </c>
      <c r="C2556" s="6">
        <v>0.136384036033977</v>
      </c>
    </row>
    <row r="2557" spans="1:3" s="7" customFormat="1" x14ac:dyDescent="0.2">
      <c r="A2557" s="6" t="str">
        <f>"NICN1"</f>
        <v>NICN1</v>
      </c>
      <c r="B2557" s="6">
        <v>2.09790209790209E-2</v>
      </c>
      <c r="C2557" s="6">
        <v>0.136384036033977</v>
      </c>
    </row>
    <row r="2558" spans="1:3" s="7" customFormat="1" x14ac:dyDescent="0.2">
      <c r="A2558" s="6" t="str">
        <f>"PYCR3"</f>
        <v>PYCR3</v>
      </c>
      <c r="B2558" s="6">
        <v>2.09790209790209E-2</v>
      </c>
      <c r="C2558" s="6">
        <v>0.136384036033977</v>
      </c>
    </row>
    <row r="2559" spans="1:3" s="7" customFormat="1" x14ac:dyDescent="0.2">
      <c r="A2559" s="6" t="str">
        <f>"ZNF295-AS1"</f>
        <v>ZNF295-AS1</v>
      </c>
      <c r="B2559" s="6">
        <v>2.09790209790209E-2</v>
      </c>
      <c r="C2559" s="6">
        <v>0.136384036033977</v>
      </c>
    </row>
    <row r="2560" spans="1:3" s="7" customFormat="1" x14ac:dyDescent="0.2">
      <c r="A2560" s="6" t="str">
        <f>"RNF44"</f>
        <v>RNF44</v>
      </c>
      <c r="B2560" s="6">
        <v>2.09790209790209E-2</v>
      </c>
      <c r="C2560" s="6">
        <v>0.136384036033977</v>
      </c>
    </row>
    <row r="2561" spans="1:3" s="7" customFormat="1" x14ac:dyDescent="0.2">
      <c r="A2561" s="6" t="str">
        <f>"CD163"</f>
        <v>CD163</v>
      </c>
      <c r="B2561" s="6">
        <v>2.09790209790209E-2</v>
      </c>
      <c r="C2561" s="6">
        <v>0.136384036033977</v>
      </c>
    </row>
    <row r="2562" spans="1:3" s="7" customFormat="1" x14ac:dyDescent="0.2">
      <c r="A2562" s="6" t="str">
        <f>"TUBB8B"</f>
        <v>TUBB8B</v>
      </c>
      <c r="B2562" s="6">
        <v>2.05973223480947E-2</v>
      </c>
      <c r="C2562" s="6">
        <v>0.136384036033977</v>
      </c>
    </row>
    <row r="2563" spans="1:3" s="7" customFormat="1" x14ac:dyDescent="0.2">
      <c r="A2563" s="6" t="str">
        <f>"PRR29"</f>
        <v>PRR29</v>
      </c>
      <c r="B2563" s="6">
        <v>2.09790209790209E-2</v>
      </c>
      <c r="C2563" s="6">
        <v>0.136384036033977</v>
      </c>
    </row>
    <row r="2564" spans="1:3" s="7" customFormat="1" x14ac:dyDescent="0.2">
      <c r="A2564" s="6" t="str">
        <f>"USP2-AS1"</f>
        <v>USP2-AS1</v>
      </c>
      <c r="B2564" s="6">
        <v>2.09790209790209E-2</v>
      </c>
      <c r="C2564" s="6">
        <v>0.136384036033977</v>
      </c>
    </row>
    <row r="2565" spans="1:3" s="7" customFormat="1" x14ac:dyDescent="0.2">
      <c r="A2565" s="6" t="str">
        <f>"TPO"</f>
        <v>TPO</v>
      </c>
      <c r="B2565" s="6">
        <v>2.09790209790209E-2</v>
      </c>
      <c r="C2565" s="6">
        <v>0.136384036033977</v>
      </c>
    </row>
    <row r="2566" spans="1:3" s="7" customFormat="1" x14ac:dyDescent="0.2">
      <c r="A2566" s="6" t="str">
        <f>"AC133552.5"</f>
        <v>AC133552.5</v>
      </c>
      <c r="B2566" s="6">
        <v>2.09790209790209E-2</v>
      </c>
      <c r="C2566" s="6">
        <v>0.136384036033977</v>
      </c>
    </row>
    <row r="2567" spans="1:3" s="7" customFormat="1" x14ac:dyDescent="0.2">
      <c r="A2567" s="6" t="str">
        <f>"COL15A1"</f>
        <v>COL15A1</v>
      </c>
      <c r="B2567" s="6">
        <v>2.09790209790209E-2</v>
      </c>
      <c r="C2567" s="6">
        <v>0.136384036033977</v>
      </c>
    </row>
    <row r="2568" spans="1:3" s="7" customFormat="1" x14ac:dyDescent="0.2">
      <c r="A2568" s="6" t="str">
        <f>"GOLGA6L9"</f>
        <v>GOLGA6L9</v>
      </c>
      <c r="B2568" s="6">
        <v>2.09790209790209E-2</v>
      </c>
      <c r="C2568" s="6">
        <v>0.136384036033977</v>
      </c>
    </row>
    <row r="2569" spans="1:3" s="7" customFormat="1" x14ac:dyDescent="0.2">
      <c r="A2569" s="6" t="str">
        <f>"MCM10"</f>
        <v>MCM10</v>
      </c>
      <c r="B2569" s="6">
        <v>2.09790209790209E-2</v>
      </c>
      <c r="C2569" s="6">
        <v>0.136384036033977</v>
      </c>
    </row>
    <row r="2570" spans="1:3" s="7" customFormat="1" x14ac:dyDescent="0.2">
      <c r="A2570" s="6" t="str">
        <f>"LINC00939"</f>
        <v>LINC00939</v>
      </c>
      <c r="B2570" s="6">
        <v>2.09790209790209E-2</v>
      </c>
      <c r="C2570" s="6">
        <v>0.136384036033977</v>
      </c>
    </row>
    <row r="2571" spans="1:3" s="7" customFormat="1" x14ac:dyDescent="0.2">
      <c r="A2571" s="6" t="str">
        <f>"MRPL46"</f>
        <v>MRPL46</v>
      </c>
      <c r="B2571" s="6">
        <v>2.09790209790209E-2</v>
      </c>
      <c r="C2571" s="6">
        <v>0.136384036033977</v>
      </c>
    </row>
    <row r="2572" spans="1:3" s="7" customFormat="1" x14ac:dyDescent="0.2">
      <c r="A2572" s="6" t="str">
        <f>"MRPL43"</f>
        <v>MRPL43</v>
      </c>
      <c r="B2572" s="6">
        <v>2.09790209790209E-2</v>
      </c>
      <c r="C2572" s="6">
        <v>0.136384036033977</v>
      </c>
    </row>
    <row r="2573" spans="1:3" s="7" customFormat="1" x14ac:dyDescent="0.2">
      <c r="A2573" s="6" t="str">
        <f>"TMEM231"</f>
        <v>TMEM231</v>
      </c>
      <c r="B2573" s="6">
        <v>2.1000000000000001E-2</v>
      </c>
      <c r="C2573" s="6">
        <v>0.13646734059097901</v>
      </c>
    </row>
    <row r="2574" spans="1:3" s="7" customFormat="1" x14ac:dyDescent="0.2">
      <c r="A2574" s="6" t="str">
        <f>"NAALAD2"</f>
        <v>NAALAD2</v>
      </c>
      <c r="B2574" s="6">
        <v>2.1126760563380202E-2</v>
      </c>
      <c r="C2574" s="6">
        <v>0.13723772874323201</v>
      </c>
    </row>
    <row r="2575" spans="1:3" s="7" customFormat="1" x14ac:dyDescent="0.2">
      <c r="A2575" s="6" t="str">
        <f>"AL683813.1"</f>
        <v>AL683813.1</v>
      </c>
      <c r="B2575" s="6">
        <v>2.11640211640211E-2</v>
      </c>
      <c r="C2575" s="6">
        <v>0.13742635964858099</v>
      </c>
    </row>
    <row r="2576" spans="1:3" s="7" customFormat="1" x14ac:dyDescent="0.2">
      <c r="A2576" s="6" t="str">
        <f>"TOB2"</f>
        <v>TOB2</v>
      </c>
      <c r="B2576" s="6">
        <v>2.19780219780219E-2</v>
      </c>
      <c r="C2576" s="6">
        <v>0.139091502968822</v>
      </c>
    </row>
    <row r="2577" spans="1:3" s="7" customFormat="1" x14ac:dyDescent="0.2">
      <c r="A2577" s="6" t="str">
        <f>"HHEX"</f>
        <v>HHEX</v>
      </c>
      <c r="B2577" s="6">
        <v>2.19780219780219E-2</v>
      </c>
      <c r="C2577" s="6">
        <v>0.139091502968822</v>
      </c>
    </row>
    <row r="2578" spans="1:3" s="7" customFormat="1" x14ac:dyDescent="0.2">
      <c r="A2578" s="6" t="str">
        <f>"SH3BP2"</f>
        <v>SH3BP2</v>
      </c>
      <c r="B2578" s="6">
        <v>2.19780219780219E-2</v>
      </c>
      <c r="C2578" s="6">
        <v>0.139091502968822</v>
      </c>
    </row>
    <row r="2579" spans="1:3" s="7" customFormat="1" x14ac:dyDescent="0.2">
      <c r="A2579" s="6" t="str">
        <f>"NCR3"</f>
        <v>NCR3</v>
      </c>
      <c r="B2579" s="6">
        <v>2.19780219780219E-2</v>
      </c>
      <c r="C2579" s="6">
        <v>0.139091502968822</v>
      </c>
    </row>
    <row r="2580" spans="1:3" s="7" customFormat="1" x14ac:dyDescent="0.2">
      <c r="A2580" s="6" t="str">
        <f>"LINC02631"</f>
        <v>LINC02631</v>
      </c>
      <c r="B2580" s="6">
        <v>2.19780219780219E-2</v>
      </c>
      <c r="C2580" s="6">
        <v>0.139091502968822</v>
      </c>
    </row>
    <row r="2581" spans="1:3" s="7" customFormat="1" x14ac:dyDescent="0.2">
      <c r="A2581" s="6" t="str">
        <f>"AGPAT1"</f>
        <v>AGPAT1</v>
      </c>
      <c r="B2581" s="6">
        <v>2.19780219780219E-2</v>
      </c>
      <c r="C2581" s="6">
        <v>0.139091502968822</v>
      </c>
    </row>
    <row r="2582" spans="1:3" s="7" customFormat="1" x14ac:dyDescent="0.2">
      <c r="A2582" s="6" t="str">
        <f>"AC090517.2"</f>
        <v>AC090517.2</v>
      </c>
      <c r="B2582" s="6">
        <v>2.14723926380368E-2</v>
      </c>
      <c r="C2582" s="6">
        <v>0.139091502968822</v>
      </c>
    </row>
    <row r="2583" spans="1:3" s="7" customFormat="1" x14ac:dyDescent="0.2">
      <c r="A2583" s="6" t="str">
        <f>"HPD"</f>
        <v>HPD</v>
      </c>
      <c r="B2583" s="6">
        <v>2.19780219780219E-2</v>
      </c>
      <c r="C2583" s="6">
        <v>0.139091502968822</v>
      </c>
    </row>
    <row r="2584" spans="1:3" s="7" customFormat="1" x14ac:dyDescent="0.2">
      <c r="A2584" s="6" t="str">
        <f>"PMEL"</f>
        <v>PMEL</v>
      </c>
      <c r="B2584" s="6">
        <v>2.19780219780219E-2</v>
      </c>
      <c r="C2584" s="6">
        <v>0.139091502968822</v>
      </c>
    </row>
    <row r="2585" spans="1:3" s="7" customFormat="1" x14ac:dyDescent="0.2">
      <c r="A2585" s="6" t="str">
        <f>"SMIM29"</f>
        <v>SMIM29</v>
      </c>
      <c r="B2585" s="6">
        <v>2.19780219780219E-2</v>
      </c>
      <c r="C2585" s="6">
        <v>0.139091502968822</v>
      </c>
    </row>
    <row r="2586" spans="1:3" s="7" customFormat="1" x14ac:dyDescent="0.2">
      <c r="A2586" s="6" t="str">
        <f>"DCTN4"</f>
        <v>DCTN4</v>
      </c>
      <c r="B2586" s="6">
        <v>2.19780219780219E-2</v>
      </c>
      <c r="C2586" s="6">
        <v>0.139091502968822</v>
      </c>
    </row>
    <row r="2587" spans="1:3" s="7" customFormat="1" x14ac:dyDescent="0.2">
      <c r="A2587" s="6" t="str">
        <f>"AIF1L"</f>
        <v>AIF1L</v>
      </c>
      <c r="B2587" s="6">
        <v>2.19780219780219E-2</v>
      </c>
      <c r="C2587" s="6">
        <v>0.139091502968822</v>
      </c>
    </row>
    <row r="2588" spans="1:3" s="7" customFormat="1" x14ac:dyDescent="0.2">
      <c r="A2588" s="6" t="str">
        <f>"NACC1"</f>
        <v>NACC1</v>
      </c>
      <c r="B2588" s="6">
        <v>2.19780219780219E-2</v>
      </c>
      <c r="C2588" s="6">
        <v>0.139091502968822</v>
      </c>
    </row>
    <row r="2589" spans="1:3" s="7" customFormat="1" x14ac:dyDescent="0.2">
      <c r="A2589" s="6" t="str">
        <f>"SPRR2C"</f>
        <v>SPRR2C</v>
      </c>
      <c r="B2589" s="6">
        <v>2.19780219780219E-2</v>
      </c>
      <c r="C2589" s="6">
        <v>0.139091502968822</v>
      </c>
    </row>
    <row r="2590" spans="1:3" s="7" customFormat="1" x14ac:dyDescent="0.2">
      <c r="A2590" s="6" t="str">
        <f>"AC104532.1"</f>
        <v>AC104532.1</v>
      </c>
      <c r="B2590" s="6">
        <v>2.19780219780219E-2</v>
      </c>
      <c r="C2590" s="6">
        <v>0.139091502968822</v>
      </c>
    </row>
    <row r="2591" spans="1:3" s="7" customFormat="1" x14ac:dyDescent="0.2">
      <c r="A2591" s="6" t="str">
        <f>"SYNJ2"</f>
        <v>SYNJ2</v>
      </c>
      <c r="B2591" s="6">
        <v>2.19780219780219E-2</v>
      </c>
      <c r="C2591" s="6">
        <v>0.139091502968822</v>
      </c>
    </row>
    <row r="2592" spans="1:3" s="7" customFormat="1" x14ac:dyDescent="0.2">
      <c r="A2592" s="6" t="str">
        <f>"FAM53C"</f>
        <v>FAM53C</v>
      </c>
      <c r="B2592" s="6">
        <v>2.19780219780219E-2</v>
      </c>
      <c r="C2592" s="6">
        <v>0.139091502968822</v>
      </c>
    </row>
    <row r="2593" spans="1:3" s="7" customFormat="1" x14ac:dyDescent="0.2">
      <c r="A2593" s="6" t="str">
        <f>"TMC5"</f>
        <v>TMC5</v>
      </c>
      <c r="B2593" s="6">
        <v>2.19780219780219E-2</v>
      </c>
      <c r="C2593" s="6">
        <v>0.139091502968822</v>
      </c>
    </row>
    <row r="2594" spans="1:3" s="7" customFormat="1" x14ac:dyDescent="0.2">
      <c r="A2594" s="6" t="str">
        <f>"ZNF699"</f>
        <v>ZNF699</v>
      </c>
      <c r="B2594" s="6">
        <v>2.19780219780219E-2</v>
      </c>
      <c r="C2594" s="6">
        <v>0.139091502968822</v>
      </c>
    </row>
    <row r="2595" spans="1:3" s="7" customFormat="1" x14ac:dyDescent="0.2">
      <c r="A2595" s="6" t="str">
        <f>"DUS2"</f>
        <v>DUS2</v>
      </c>
      <c r="B2595" s="6">
        <v>2.19780219780219E-2</v>
      </c>
      <c r="C2595" s="6">
        <v>0.139091502968822</v>
      </c>
    </row>
    <row r="2596" spans="1:3" s="7" customFormat="1" x14ac:dyDescent="0.2">
      <c r="A2596" s="6" t="str">
        <f>"ACSM1"</f>
        <v>ACSM1</v>
      </c>
      <c r="B2596" s="6">
        <v>2.19780219780219E-2</v>
      </c>
      <c r="C2596" s="6">
        <v>0.139091502968822</v>
      </c>
    </row>
    <row r="2597" spans="1:3" s="7" customFormat="1" x14ac:dyDescent="0.2">
      <c r="A2597" s="6" t="str">
        <f>"URB2"</f>
        <v>URB2</v>
      </c>
      <c r="B2597" s="6">
        <v>2.19780219780219E-2</v>
      </c>
      <c r="C2597" s="6">
        <v>0.139091502968822</v>
      </c>
    </row>
    <row r="2598" spans="1:3" s="7" customFormat="1" x14ac:dyDescent="0.2">
      <c r="A2598" s="6" t="str">
        <f>"AC026464.4"</f>
        <v>AC026464.4</v>
      </c>
      <c r="B2598" s="6">
        <v>2.19780219780219E-2</v>
      </c>
      <c r="C2598" s="6">
        <v>0.139091502968822</v>
      </c>
    </row>
    <row r="2599" spans="1:3" s="7" customFormat="1" x14ac:dyDescent="0.2">
      <c r="A2599" s="6" t="str">
        <f>"PELI3"</f>
        <v>PELI3</v>
      </c>
      <c r="B2599" s="6">
        <v>2.19780219780219E-2</v>
      </c>
      <c r="C2599" s="6">
        <v>0.139091502968822</v>
      </c>
    </row>
    <row r="2600" spans="1:3" s="7" customFormat="1" x14ac:dyDescent="0.2">
      <c r="A2600" s="6" t="str">
        <f>"ZNF202"</f>
        <v>ZNF202</v>
      </c>
      <c r="B2600" s="6">
        <v>2.19780219780219E-2</v>
      </c>
      <c r="C2600" s="6">
        <v>0.139091502968822</v>
      </c>
    </row>
    <row r="2601" spans="1:3" s="7" customFormat="1" x14ac:dyDescent="0.2">
      <c r="A2601" s="6" t="str">
        <f>"METTL15"</f>
        <v>METTL15</v>
      </c>
      <c r="B2601" s="6">
        <v>2.19780219780219E-2</v>
      </c>
      <c r="C2601" s="6">
        <v>0.139091502968822</v>
      </c>
    </row>
    <row r="2602" spans="1:3" s="7" customFormat="1" x14ac:dyDescent="0.2">
      <c r="A2602" s="6" t="str">
        <f>"AC136475.7"</f>
        <v>AC136475.7</v>
      </c>
      <c r="B2602" s="6">
        <v>2.19780219780219E-2</v>
      </c>
      <c r="C2602" s="6">
        <v>0.139091502968822</v>
      </c>
    </row>
    <row r="2603" spans="1:3" s="7" customFormat="1" x14ac:dyDescent="0.2">
      <c r="A2603" s="6" t="str">
        <f>"NLRP10"</f>
        <v>NLRP10</v>
      </c>
      <c r="B2603" s="6">
        <v>2.19780219780219E-2</v>
      </c>
      <c r="C2603" s="6">
        <v>0.139091502968822</v>
      </c>
    </row>
    <row r="2604" spans="1:3" s="7" customFormat="1" x14ac:dyDescent="0.2">
      <c r="A2604" s="6" t="str">
        <f>"DDIAS"</f>
        <v>DDIAS</v>
      </c>
      <c r="B2604" s="6">
        <v>2.19780219780219E-2</v>
      </c>
      <c r="C2604" s="6">
        <v>0.139091502968822</v>
      </c>
    </row>
    <row r="2605" spans="1:3" s="7" customFormat="1" x14ac:dyDescent="0.2">
      <c r="A2605" s="6" t="str">
        <f>"CIART"</f>
        <v>CIART</v>
      </c>
      <c r="B2605" s="6">
        <v>2.19780219780219E-2</v>
      </c>
      <c r="C2605" s="6">
        <v>0.139091502968822</v>
      </c>
    </row>
    <row r="2606" spans="1:3" s="7" customFormat="1" x14ac:dyDescent="0.2">
      <c r="A2606" s="6" t="str">
        <f>"CD300E"</f>
        <v>CD300E</v>
      </c>
      <c r="B2606" s="6">
        <v>2.19780219780219E-2</v>
      </c>
      <c r="C2606" s="6">
        <v>0.139091502968822</v>
      </c>
    </row>
    <row r="2607" spans="1:3" s="7" customFormat="1" x14ac:dyDescent="0.2">
      <c r="A2607" s="6" t="str">
        <f>"CPPED1"</f>
        <v>CPPED1</v>
      </c>
      <c r="B2607" s="6">
        <v>2.19780219780219E-2</v>
      </c>
      <c r="C2607" s="6">
        <v>0.139091502968822</v>
      </c>
    </row>
    <row r="2608" spans="1:3" s="7" customFormat="1" x14ac:dyDescent="0.2">
      <c r="A2608" s="6" t="str">
        <f>"WASH9P"</f>
        <v>WASH9P</v>
      </c>
      <c r="B2608" s="6">
        <v>2.19780219780219E-2</v>
      </c>
      <c r="C2608" s="6">
        <v>0.139091502968822</v>
      </c>
    </row>
    <row r="2609" spans="1:3" s="7" customFormat="1" x14ac:dyDescent="0.2">
      <c r="A2609" s="6" t="str">
        <f>"TYRP1"</f>
        <v>TYRP1</v>
      </c>
      <c r="B2609" s="6">
        <v>2.19780219780219E-2</v>
      </c>
      <c r="C2609" s="6">
        <v>0.139091502968822</v>
      </c>
    </row>
    <row r="2610" spans="1:3" s="7" customFormat="1" x14ac:dyDescent="0.2">
      <c r="A2610" s="6" t="str">
        <f>"SLC6A15"</f>
        <v>SLC6A15</v>
      </c>
      <c r="B2610" s="6">
        <v>2.19780219780219E-2</v>
      </c>
      <c r="C2610" s="6">
        <v>0.139091502968822</v>
      </c>
    </row>
    <row r="2611" spans="1:3" s="7" customFormat="1" x14ac:dyDescent="0.2">
      <c r="A2611" s="6" t="str">
        <f>"GPR141"</f>
        <v>GPR141</v>
      </c>
      <c r="B2611" s="6">
        <v>2.19780219780219E-2</v>
      </c>
      <c r="C2611" s="6">
        <v>0.139091502968822</v>
      </c>
    </row>
    <row r="2612" spans="1:3" s="7" customFormat="1" x14ac:dyDescent="0.2">
      <c r="A2612" s="6" t="str">
        <f>"AC002451.1"</f>
        <v>AC002451.1</v>
      </c>
      <c r="B2612" s="6">
        <v>2.19780219780219E-2</v>
      </c>
      <c r="C2612" s="6">
        <v>0.139091502968822</v>
      </c>
    </row>
    <row r="2613" spans="1:3" s="7" customFormat="1" x14ac:dyDescent="0.2">
      <c r="A2613" s="6" t="str">
        <f>"ZFP82"</f>
        <v>ZFP82</v>
      </c>
      <c r="B2613" s="6">
        <v>2.19780219780219E-2</v>
      </c>
      <c r="C2613" s="6">
        <v>0.139091502968822</v>
      </c>
    </row>
    <row r="2614" spans="1:3" s="7" customFormat="1" x14ac:dyDescent="0.2">
      <c r="A2614" s="6" t="str">
        <f>"TMEM185A"</f>
        <v>TMEM185A</v>
      </c>
      <c r="B2614" s="6">
        <v>2.19780219780219E-2</v>
      </c>
      <c r="C2614" s="6">
        <v>0.139091502968822</v>
      </c>
    </row>
    <row r="2615" spans="1:3" s="7" customFormat="1" x14ac:dyDescent="0.2">
      <c r="A2615" s="6" t="str">
        <f>"NNT-AS1"</f>
        <v>NNT-AS1</v>
      </c>
      <c r="B2615" s="6">
        <v>2.19780219780219E-2</v>
      </c>
      <c r="C2615" s="6">
        <v>0.139091502968822</v>
      </c>
    </row>
    <row r="2616" spans="1:3" s="7" customFormat="1" x14ac:dyDescent="0.2">
      <c r="A2616" s="6" t="str">
        <f>"TROAP"</f>
        <v>TROAP</v>
      </c>
      <c r="B2616" s="6">
        <v>2.19780219780219E-2</v>
      </c>
      <c r="C2616" s="6">
        <v>0.139091502968822</v>
      </c>
    </row>
    <row r="2617" spans="1:3" s="7" customFormat="1" x14ac:dyDescent="0.2">
      <c r="A2617" s="6" t="str">
        <f>"SCAPER"</f>
        <v>SCAPER</v>
      </c>
      <c r="B2617" s="6">
        <v>2.19780219780219E-2</v>
      </c>
      <c r="C2617" s="6">
        <v>0.139091502968822</v>
      </c>
    </row>
    <row r="2618" spans="1:3" s="7" customFormat="1" x14ac:dyDescent="0.2">
      <c r="A2618" s="6" t="str">
        <f>"ZNF561-AS1"</f>
        <v>ZNF561-AS1</v>
      </c>
      <c r="B2618" s="6">
        <v>2.19780219780219E-2</v>
      </c>
      <c r="C2618" s="6">
        <v>0.139091502968822</v>
      </c>
    </row>
    <row r="2619" spans="1:3" s="7" customFormat="1" x14ac:dyDescent="0.2">
      <c r="A2619" s="6" t="str">
        <f>"RNASE1"</f>
        <v>RNASE1</v>
      </c>
      <c r="B2619" s="6">
        <v>2.19780219780219E-2</v>
      </c>
      <c r="C2619" s="6">
        <v>0.139091502968822</v>
      </c>
    </row>
    <row r="2620" spans="1:3" s="7" customFormat="1" x14ac:dyDescent="0.2">
      <c r="A2620" s="6" t="str">
        <f>"SS18L2"</f>
        <v>SS18L2</v>
      </c>
      <c r="B2620" s="6">
        <v>2.19780219780219E-2</v>
      </c>
      <c r="C2620" s="6">
        <v>0.139091502968822</v>
      </c>
    </row>
    <row r="2621" spans="1:3" s="7" customFormat="1" x14ac:dyDescent="0.2">
      <c r="A2621" s="6" t="str">
        <f>"GOLGA2P5"</f>
        <v>GOLGA2P5</v>
      </c>
      <c r="B2621" s="6">
        <v>2.19780219780219E-2</v>
      </c>
      <c r="C2621" s="6">
        <v>0.139091502968822</v>
      </c>
    </row>
    <row r="2622" spans="1:3" s="7" customFormat="1" x14ac:dyDescent="0.2">
      <c r="A2622" s="6" t="str">
        <f>"PIGY-DT"</f>
        <v>PIGY-DT</v>
      </c>
      <c r="B2622" s="6">
        <v>2.1943573667711599E-2</v>
      </c>
      <c r="C2622" s="6">
        <v>0.139091502968822</v>
      </c>
    </row>
    <row r="2623" spans="1:3" s="7" customFormat="1" x14ac:dyDescent="0.2">
      <c r="A2623" s="6" t="str">
        <f>"GSTA7P"</f>
        <v>GSTA7P</v>
      </c>
      <c r="B2623" s="6">
        <v>2.19780219780219E-2</v>
      </c>
      <c r="C2623" s="6">
        <v>0.139091502968822</v>
      </c>
    </row>
    <row r="2624" spans="1:3" s="7" customFormat="1" x14ac:dyDescent="0.2">
      <c r="A2624" s="6" t="str">
        <f>"CCDC178"</f>
        <v>CCDC178</v>
      </c>
      <c r="B2624" s="6">
        <v>2.19780219780219E-2</v>
      </c>
      <c r="C2624" s="6">
        <v>0.139091502968822</v>
      </c>
    </row>
    <row r="2625" spans="1:3" s="7" customFormat="1" x14ac:dyDescent="0.2">
      <c r="A2625" s="6" t="str">
        <f>"TEF"</f>
        <v>TEF</v>
      </c>
      <c r="B2625" s="6">
        <v>2.19780219780219E-2</v>
      </c>
      <c r="C2625" s="6">
        <v>0.139091502968822</v>
      </c>
    </row>
    <row r="2626" spans="1:3" s="7" customFormat="1" x14ac:dyDescent="0.2">
      <c r="A2626" s="6" t="str">
        <f>"RTF1"</f>
        <v>RTF1</v>
      </c>
      <c r="B2626" s="6">
        <v>2.19780219780219E-2</v>
      </c>
      <c r="C2626" s="6">
        <v>0.139091502968822</v>
      </c>
    </row>
    <row r="2627" spans="1:3" s="7" customFormat="1" x14ac:dyDescent="0.2">
      <c r="A2627" s="6" t="str">
        <f>"CTSB"</f>
        <v>CTSB</v>
      </c>
      <c r="B2627" s="6">
        <v>2.19780219780219E-2</v>
      </c>
      <c r="C2627" s="6">
        <v>0.139091502968822</v>
      </c>
    </row>
    <row r="2628" spans="1:3" s="7" customFormat="1" x14ac:dyDescent="0.2">
      <c r="A2628" s="6" t="str">
        <f>"HSD11B1"</f>
        <v>HSD11B1</v>
      </c>
      <c r="B2628" s="6">
        <v>2.19780219780219E-2</v>
      </c>
      <c r="C2628" s="6">
        <v>0.139091502968822</v>
      </c>
    </row>
    <row r="2629" spans="1:3" s="7" customFormat="1" x14ac:dyDescent="0.2">
      <c r="A2629" s="6" t="str">
        <f>"PRR4"</f>
        <v>PRR4</v>
      </c>
      <c r="B2629" s="6">
        <v>2.19780219780219E-2</v>
      </c>
      <c r="C2629" s="6">
        <v>0.139091502968822</v>
      </c>
    </row>
    <row r="2630" spans="1:3" s="7" customFormat="1" x14ac:dyDescent="0.2">
      <c r="A2630" s="6" t="str">
        <f>"SYNGAP1"</f>
        <v>SYNGAP1</v>
      </c>
      <c r="B2630" s="6">
        <v>2.19780219780219E-2</v>
      </c>
      <c r="C2630" s="6">
        <v>0.139091502968822</v>
      </c>
    </row>
    <row r="2631" spans="1:3" s="7" customFormat="1" x14ac:dyDescent="0.2">
      <c r="A2631" s="6" t="str">
        <f>"RFX2"</f>
        <v>RFX2</v>
      </c>
      <c r="B2631" s="6">
        <v>2.19780219780219E-2</v>
      </c>
      <c r="C2631" s="6">
        <v>0.139091502968822</v>
      </c>
    </row>
    <row r="2632" spans="1:3" s="7" customFormat="1" x14ac:dyDescent="0.2">
      <c r="A2632" s="6" t="str">
        <f>"AC110998.1"</f>
        <v>AC110998.1</v>
      </c>
      <c r="B2632" s="6">
        <v>2.19780219780219E-2</v>
      </c>
      <c r="C2632" s="6">
        <v>0.139091502968822</v>
      </c>
    </row>
    <row r="2633" spans="1:3" s="7" customFormat="1" x14ac:dyDescent="0.2">
      <c r="A2633" s="6" t="str">
        <f>"MOBP"</f>
        <v>MOBP</v>
      </c>
      <c r="B2633" s="6">
        <v>2.19780219780219E-2</v>
      </c>
      <c r="C2633" s="6">
        <v>0.139091502968822</v>
      </c>
    </row>
    <row r="2634" spans="1:3" s="7" customFormat="1" x14ac:dyDescent="0.2">
      <c r="A2634" s="6" t="str">
        <f>"GOLPH3L"</f>
        <v>GOLPH3L</v>
      </c>
      <c r="B2634" s="6">
        <v>2.19780219780219E-2</v>
      </c>
      <c r="C2634" s="6">
        <v>0.139091502968822</v>
      </c>
    </row>
    <row r="2635" spans="1:3" s="7" customFormat="1" x14ac:dyDescent="0.2">
      <c r="A2635" s="6" t="str">
        <f>"TBL1XR1"</f>
        <v>TBL1XR1</v>
      </c>
      <c r="B2635" s="6">
        <v>2.19780219780219E-2</v>
      </c>
      <c r="C2635" s="6">
        <v>0.139091502968822</v>
      </c>
    </row>
    <row r="2636" spans="1:3" s="7" customFormat="1" x14ac:dyDescent="0.2">
      <c r="A2636" s="6" t="str">
        <f>"NKD1"</f>
        <v>NKD1</v>
      </c>
      <c r="B2636" s="6">
        <v>2.19780219780219E-2</v>
      </c>
      <c r="C2636" s="6">
        <v>0.139091502968822</v>
      </c>
    </row>
    <row r="2637" spans="1:3" s="7" customFormat="1" x14ac:dyDescent="0.2">
      <c r="A2637" s="6" t="str">
        <f>"RABL2B"</f>
        <v>RABL2B</v>
      </c>
      <c r="B2637" s="6">
        <v>2.19780219780219E-2</v>
      </c>
      <c r="C2637" s="6">
        <v>0.139091502968822</v>
      </c>
    </row>
    <row r="2638" spans="1:3" s="7" customFormat="1" x14ac:dyDescent="0.2">
      <c r="A2638" s="6" t="str">
        <f>"SRSF11"</f>
        <v>SRSF11</v>
      </c>
      <c r="B2638" s="6">
        <v>2.19780219780219E-2</v>
      </c>
      <c r="C2638" s="6">
        <v>0.139091502968822</v>
      </c>
    </row>
    <row r="2639" spans="1:3" s="7" customFormat="1" x14ac:dyDescent="0.2">
      <c r="A2639" s="6" t="str">
        <f>"FGF1"</f>
        <v>FGF1</v>
      </c>
      <c r="B2639" s="6">
        <v>2.19780219780219E-2</v>
      </c>
      <c r="C2639" s="6">
        <v>0.139091502968822</v>
      </c>
    </row>
    <row r="2640" spans="1:3" s="7" customFormat="1" x14ac:dyDescent="0.2">
      <c r="A2640" s="6" t="str">
        <f>"DTL"</f>
        <v>DTL</v>
      </c>
      <c r="B2640" s="6">
        <v>2.19780219780219E-2</v>
      </c>
      <c r="C2640" s="6">
        <v>0.139091502968822</v>
      </c>
    </row>
    <row r="2641" spans="1:3" s="7" customFormat="1" x14ac:dyDescent="0.2">
      <c r="A2641" s="6" t="str">
        <f>"LINC02012"</f>
        <v>LINC02012</v>
      </c>
      <c r="B2641" s="6">
        <v>2.19780219780219E-2</v>
      </c>
      <c r="C2641" s="6">
        <v>0.139091502968822</v>
      </c>
    </row>
    <row r="2642" spans="1:3" s="7" customFormat="1" x14ac:dyDescent="0.2">
      <c r="A2642" s="6" t="str">
        <f>"NUP107"</f>
        <v>NUP107</v>
      </c>
      <c r="B2642" s="6">
        <v>2.19780219780219E-2</v>
      </c>
      <c r="C2642" s="6">
        <v>0.139091502968822</v>
      </c>
    </row>
    <row r="2643" spans="1:3" s="7" customFormat="1" x14ac:dyDescent="0.2">
      <c r="A2643" s="6" t="str">
        <f>"ITGB1-DT"</f>
        <v>ITGB1-DT</v>
      </c>
      <c r="B2643" s="6">
        <v>2.1999999999999999E-2</v>
      </c>
      <c r="C2643" s="6">
        <v>0.13917789553368601</v>
      </c>
    </row>
    <row r="2644" spans="1:3" s="7" customFormat="1" x14ac:dyDescent="0.2">
      <c r="A2644" s="6" t="str">
        <f>"AC011611.4"</f>
        <v>AC011611.4</v>
      </c>
      <c r="B2644" s="6">
        <v>2.20661985957873E-2</v>
      </c>
      <c r="C2644" s="6">
        <v>0.13954386807793701</v>
      </c>
    </row>
    <row r="2645" spans="1:3" s="7" customFormat="1" x14ac:dyDescent="0.2">
      <c r="A2645" s="6" t="str">
        <f>"BX842570.1"</f>
        <v>BX842570.1</v>
      </c>
      <c r="B2645" s="6">
        <v>2.2267206477732698E-2</v>
      </c>
      <c r="C2645" s="6">
        <v>0.140761758346757</v>
      </c>
    </row>
    <row r="2646" spans="1:3" s="7" customFormat="1" x14ac:dyDescent="0.2">
      <c r="A2646" s="6" t="str">
        <f>"PIPSL"</f>
        <v>PIPSL</v>
      </c>
      <c r="B2646" s="6">
        <v>2.2448979591836699E-2</v>
      </c>
      <c r="C2646" s="6">
        <v>0.14185718143590101</v>
      </c>
    </row>
    <row r="2647" spans="1:3" s="7" customFormat="1" x14ac:dyDescent="0.2">
      <c r="A2647" s="6" t="str">
        <f>"AC027117.1"</f>
        <v>AC027117.1</v>
      </c>
      <c r="B2647" s="6">
        <v>2.29770229770229E-2</v>
      </c>
      <c r="C2647" s="6">
        <v>0.14211534195933401</v>
      </c>
    </row>
    <row r="2648" spans="1:3" s="7" customFormat="1" x14ac:dyDescent="0.2">
      <c r="A2648" s="6" t="str">
        <f>"DTWD1"</f>
        <v>DTWD1</v>
      </c>
      <c r="B2648" s="6">
        <v>2.29770229770229E-2</v>
      </c>
      <c r="C2648" s="6">
        <v>0.14211534195933401</v>
      </c>
    </row>
    <row r="2649" spans="1:3" s="7" customFormat="1" x14ac:dyDescent="0.2">
      <c r="A2649" s="6" t="str">
        <f>"WDR5"</f>
        <v>WDR5</v>
      </c>
      <c r="B2649" s="6">
        <v>2.29770229770229E-2</v>
      </c>
      <c r="C2649" s="6">
        <v>0.14211534195933401</v>
      </c>
    </row>
    <row r="2650" spans="1:3" s="7" customFormat="1" x14ac:dyDescent="0.2">
      <c r="A2650" s="6" t="str">
        <f>"AL691432.4"</f>
        <v>AL691432.4</v>
      </c>
      <c r="B2650" s="6">
        <v>2.29770229770229E-2</v>
      </c>
      <c r="C2650" s="6">
        <v>0.14211534195933401</v>
      </c>
    </row>
    <row r="2651" spans="1:3" s="7" customFormat="1" x14ac:dyDescent="0.2">
      <c r="A2651" s="6" t="str">
        <f>"ATXN2L"</f>
        <v>ATXN2L</v>
      </c>
      <c r="B2651" s="6">
        <v>2.29770229770229E-2</v>
      </c>
      <c r="C2651" s="6">
        <v>0.14211534195933401</v>
      </c>
    </row>
    <row r="2652" spans="1:3" s="7" customFormat="1" x14ac:dyDescent="0.2">
      <c r="A2652" s="6" t="str">
        <f>"TSPAN1"</f>
        <v>TSPAN1</v>
      </c>
      <c r="B2652" s="6">
        <v>2.29770229770229E-2</v>
      </c>
      <c r="C2652" s="6">
        <v>0.14211534195933401</v>
      </c>
    </row>
    <row r="2653" spans="1:3" s="7" customFormat="1" x14ac:dyDescent="0.2">
      <c r="A2653" s="6" t="str">
        <f>"DPEP3"</f>
        <v>DPEP3</v>
      </c>
      <c r="B2653" s="6">
        <v>2.29770229770229E-2</v>
      </c>
      <c r="C2653" s="6">
        <v>0.14211534195933401</v>
      </c>
    </row>
    <row r="2654" spans="1:3" s="7" customFormat="1" x14ac:dyDescent="0.2">
      <c r="A2654" s="6" t="str">
        <f>"AL035587.1"</f>
        <v>AL035587.1</v>
      </c>
      <c r="B2654" s="6">
        <v>2.26570545829042E-2</v>
      </c>
      <c r="C2654" s="6">
        <v>0.14211534195933401</v>
      </c>
    </row>
    <row r="2655" spans="1:3" s="7" customFormat="1" x14ac:dyDescent="0.2">
      <c r="A2655" s="6" t="str">
        <f>"AC006064.4"</f>
        <v>AC006064.4</v>
      </c>
      <c r="B2655" s="6">
        <v>2.3E-2</v>
      </c>
      <c r="C2655" s="6">
        <v>0.14211534195933401</v>
      </c>
    </row>
    <row r="2656" spans="1:3" s="7" customFormat="1" x14ac:dyDescent="0.2">
      <c r="A2656" s="6" t="str">
        <f>"TDRKH"</f>
        <v>TDRKH</v>
      </c>
      <c r="B2656" s="6">
        <v>2.29770229770229E-2</v>
      </c>
      <c r="C2656" s="6">
        <v>0.14211534195933401</v>
      </c>
    </row>
    <row r="2657" spans="1:3" s="7" customFormat="1" x14ac:dyDescent="0.2">
      <c r="A2657" s="6" t="str">
        <f>"CZIB"</f>
        <v>CZIB</v>
      </c>
      <c r="B2657" s="6">
        <v>2.29770229770229E-2</v>
      </c>
      <c r="C2657" s="6">
        <v>0.14211534195933401</v>
      </c>
    </row>
    <row r="2658" spans="1:3" s="7" customFormat="1" x14ac:dyDescent="0.2">
      <c r="A2658" s="6" t="str">
        <f>"TMEM79"</f>
        <v>TMEM79</v>
      </c>
      <c r="B2658" s="6">
        <v>2.29770229770229E-2</v>
      </c>
      <c r="C2658" s="6">
        <v>0.14211534195933401</v>
      </c>
    </row>
    <row r="2659" spans="1:3" s="7" customFormat="1" x14ac:dyDescent="0.2">
      <c r="A2659" s="6" t="str">
        <f>"C15orf56"</f>
        <v>C15orf56</v>
      </c>
      <c r="B2659" s="6">
        <v>2.29770229770229E-2</v>
      </c>
      <c r="C2659" s="6">
        <v>0.14211534195933401</v>
      </c>
    </row>
    <row r="2660" spans="1:3" s="7" customFormat="1" x14ac:dyDescent="0.2">
      <c r="A2660" s="6" t="str">
        <f>"DRAIC"</f>
        <v>DRAIC</v>
      </c>
      <c r="B2660" s="6">
        <v>2.29770229770229E-2</v>
      </c>
      <c r="C2660" s="6">
        <v>0.14211534195933401</v>
      </c>
    </row>
    <row r="2661" spans="1:3" s="7" customFormat="1" x14ac:dyDescent="0.2">
      <c r="A2661" s="6" t="str">
        <f>"PARP16"</f>
        <v>PARP16</v>
      </c>
      <c r="B2661" s="6">
        <v>2.29770229770229E-2</v>
      </c>
      <c r="C2661" s="6">
        <v>0.14211534195933401</v>
      </c>
    </row>
    <row r="2662" spans="1:3" s="7" customFormat="1" x14ac:dyDescent="0.2">
      <c r="A2662" s="6" t="str">
        <f>"C11orf21"</f>
        <v>C11orf21</v>
      </c>
      <c r="B2662" s="6">
        <v>2.29770229770229E-2</v>
      </c>
      <c r="C2662" s="6">
        <v>0.14211534195933401</v>
      </c>
    </row>
    <row r="2663" spans="1:3" s="7" customFormat="1" x14ac:dyDescent="0.2">
      <c r="A2663" s="6" t="str">
        <f>"AC069185.1"</f>
        <v>AC069185.1</v>
      </c>
      <c r="B2663" s="6">
        <v>2.29770229770229E-2</v>
      </c>
      <c r="C2663" s="6">
        <v>0.14211534195933401</v>
      </c>
    </row>
    <row r="2664" spans="1:3" s="7" customFormat="1" x14ac:dyDescent="0.2">
      <c r="A2664" s="6" t="str">
        <f>"NIPSNAP3A"</f>
        <v>NIPSNAP3A</v>
      </c>
      <c r="B2664" s="6">
        <v>2.29770229770229E-2</v>
      </c>
      <c r="C2664" s="6">
        <v>0.14211534195933401</v>
      </c>
    </row>
    <row r="2665" spans="1:3" s="7" customFormat="1" x14ac:dyDescent="0.2">
      <c r="A2665" s="6" t="str">
        <f>"DIABLO"</f>
        <v>DIABLO</v>
      </c>
      <c r="B2665" s="6">
        <v>2.29770229770229E-2</v>
      </c>
      <c r="C2665" s="6">
        <v>0.14211534195933401</v>
      </c>
    </row>
    <row r="2666" spans="1:3" s="7" customFormat="1" x14ac:dyDescent="0.2">
      <c r="A2666" s="6" t="str">
        <f>"DTNBP1"</f>
        <v>DTNBP1</v>
      </c>
      <c r="B2666" s="6">
        <v>2.29770229770229E-2</v>
      </c>
      <c r="C2666" s="6">
        <v>0.14211534195933401</v>
      </c>
    </row>
    <row r="2667" spans="1:3" s="7" customFormat="1" x14ac:dyDescent="0.2">
      <c r="A2667" s="6" t="str">
        <f>"WDTC1"</f>
        <v>WDTC1</v>
      </c>
      <c r="B2667" s="6">
        <v>2.29770229770229E-2</v>
      </c>
      <c r="C2667" s="6">
        <v>0.14211534195933401</v>
      </c>
    </row>
    <row r="2668" spans="1:3" s="7" customFormat="1" x14ac:dyDescent="0.2">
      <c r="A2668" s="6" t="str">
        <f>"RNASEH2B-AS1"</f>
        <v>RNASEH2B-AS1</v>
      </c>
      <c r="B2668" s="6">
        <v>2.29770229770229E-2</v>
      </c>
      <c r="C2668" s="6">
        <v>0.14211534195933401</v>
      </c>
    </row>
    <row r="2669" spans="1:3" s="7" customFormat="1" x14ac:dyDescent="0.2">
      <c r="A2669" s="6" t="str">
        <f>"C6orf58"</f>
        <v>C6orf58</v>
      </c>
      <c r="B2669" s="6">
        <v>2.29770229770229E-2</v>
      </c>
      <c r="C2669" s="6">
        <v>0.14211534195933401</v>
      </c>
    </row>
    <row r="2670" spans="1:3" s="7" customFormat="1" x14ac:dyDescent="0.2">
      <c r="A2670" s="6" t="str">
        <f>"ZNF385A"</f>
        <v>ZNF385A</v>
      </c>
      <c r="B2670" s="6">
        <v>2.29770229770229E-2</v>
      </c>
      <c r="C2670" s="6">
        <v>0.14211534195933401</v>
      </c>
    </row>
    <row r="2671" spans="1:3" s="7" customFormat="1" x14ac:dyDescent="0.2">
      <c r="A2671" s="6" t="str">
        <f>"NFU1"</f>
        <v>NFU1</v>
      </c>
      <c r="B2671" s="6">
        <v>2.29770229770229E-2</v>
      </c>
      <c r="C2671" s="6">
        <v>0.14211534195933401</v>
      </c>
    </row>
    <row r="2672" spans="1:3" s="7" customFormat="1" x14ac:dyDescent="0.2">
      <c r="A2672" s="6" t="str">
        <f>"ZNF765"</f>
        <v>ZNF765</v>
      </c>
      <c r="B2672" s="6">
        <v>2.29770229770229E-2</v>
      </c>
      <c r="C2672" s="6">
        <v>0.14211534195933401</v>
      </c>
    </row>
    <row r="2673" spans="1:3" s="7" customFormat="1" x14ac:dyDescent="0.2">
      <c r="A2673" s="6" t="str">
        <f>"HTR2B"</f>
        <v>HTR2B</v>
      </c>
      <c r="B2673" s="6">
        <v>2.29770229770229E-2</v>
      </c>
      <c r="C2673" s="6">
        <v>0.14211534195933401</v>
      </c>
    </row>
    <row r="2674" spans="1:3" s="7" customFormat="1" x14ac:dyDescent="0.2">
      <c r="A2674" s="6" t="str">
        <f>"MT-CYB"</f>
        <v>MT-CYB</v>
      </c>
      <c r="B2674" s="6">
        <v>2.29770229770229E-2</v>
      </c>
      <c r="C2674" s="6">
        <v>0.14211534195933401</v>
      </c>
    </row>
    <row r="2675" spans="1:3" s="7" customFormat="1" x14ac:dyDescent="0.2">
      <c r="A2675" s="6" t="str">
        <f>"ARL14EP"</f>
        <v>ARL14EP</v>
      </c>
      <c r="B2675" s="6">
        <v>2.29770229770229E-2</v>
      </c>
      <c r="C2675" s="6">
        <v>0.14211534195933401</v>
      </c>
    </row>
    <row r="2676" spans="1:3" s="7" customFormat="1" x14ac:dyDescent="0.2">
      <c r="A2676" s="6" t="str">
        <f>"DCST1-AS1"</f>
        <v>DCST1-AS1</v>
      </c>
      <c r="B2676" s="6">
        <v>2.29770229770229E-2</v>
      </c>
      <c r="C2676" s="6">
        <v>0.14211534195933401</v>
      </c>
    </row>
    <row r="2677" spans="1:3" s="7" customFormat="1" x14ac:dyDescent="0.2">
      <c r="A2677" s="6" t="str">
        <f>"TMCO6"</f>
        <v>TMCO6</v>
      </c>
      <c r="B2677" s="6">
        <v>2.29770229770229E-2</v>
      </c>
      <c r="C2677" s="6">
        <v>0.14211534195933401</v>
      </c>
    </row>
    <row r="2678" spans="1:3" s="7" customFormat="1" x14ac:dyDescent="0.2">
      <c r="A2678" s="6" t="str">
        <f>"SMYD5"</f>
        <v>SMYD5</v>
      </c>
      <c r="B2678" s="6">
        <v>2.29770229770229E-2</v>
      </c>
      <c r="C2678" s="6">
        <v>0.14211534195933401</v>
      </c>
    </row>
    <row r="2679" spans="1:3" s="7" customFormat="1" x14ac:dyDescent="0.2">
      <c r="A2679" s="6" t="str">
        <f>"PPME1"</f>
        <v>PPME1</v>
      </c>
      <c r="B2679" s="6">
        <v>2.29770229770229E-2</v>
      </c>
      <c r="C2679" s="6">
        <v>0.14211534195933401</v>
      </c>
    </row>
    <row r="2680" spans="1:3" s="7" customFormat="1" x14ac:dyDescent="0.2">
      <c r="A2680" s="6" t="str">
        <f>"ZNF146"</f>
        <v>ZNF146</v>
      </c>
      <c r="B2680" s="6">
        <v>2.29770229770229E-2</v>
      </c>
      <c r="C2680" s="6">
        <v>0.14211534195933401</v>
      </c>
    </row>
    <row r="2681" spans="1:3" s="7" customFormat="1" x14ac:dyDescent="0.2">
      <c r="A2681" s="6" t="str">
        <f>"UBE2G1"</f>
        <v>UBE2G1</v>
      </c>
      <c r="B2681" s="6">
        <v>2.29770229770229E-2</v>
      </c>
      <c r="C2681" s="6">
        <v>0.14211534195933401</v>
      </c>
    </row>
    <row r="2682" spans="1:3" s="7" customFormat="1" x14ac:dyDescent="0.2">
      <c r="A2682" s="6" t="str">
        <f>"COPS8"</f>
        <v>COPS8</v>
      </c>
      <c r="B2682" s="6">
        <v>2.29770229770229E-2</v>
      </c>
      <c r="C2682" s="6">
        <v>0.14211534195933401</v>
      </c>
    </row>
    <row r="2683" spans="1:3" s="7" customFormat="1" x14ac:dyDescent="0.2">
      <c r="A2683" s="6" t="str">
        <f>"TIMM10B"</f>
        <v>TIMM10B</v>
      </c>
      <c r="B2683" s="6">
        <v>2.29770229770229E-2</v>
      </c>
      <c r="C2683" s="6">
        <v>0.14211534195933401</v>
      </c>
    </row>
    <row r="2684" spans="1:3" s="7" customFormat="1" x14ac:dyDescent="0.2">
      <c r="A2684" s="6" t="str">
        <f>"SCPEP1"</f>
        <v>SCPEP1</v>
      </c>
      <c r="B2684" s="6">
        <v>2.29770229770229E-2</v>
      </c>
      <c r="C2684" s="6">
        <v>0.14211534195933401</v>
      </c>
    </row>
    <row r="2685" spans="1:3" s="7" customFormat="1" x14ac:dyDescent="0.2">
      <c r="A2685" s="6" t="str">
        <f>"CTSD"</f>
        <v>CTSD</v>
      </c>
      <c r="B2685" s="6">
        <v>2.29770229770229E-2</v>
      </c>
      <c r="C2685" s="6">
        <v>0.14211534195933401</v>
      </c>
    </row>
    <row r="2686" spans="1:3" s="7" customFormat="1" x14ac:dyDescent="0.2">
      <c r="A2686" s="6" t="str">
        <f>"FRAT2"</f>
        <v>FRAT2</v>
      </c>
      <c r="B2686" s="6">
        <v>2.29770229770229E-2</v>
      </c>
      <c r="C2686" s="6">
        <v>0.14211534195933401</v>
      </c>
    </row>
    <row r="2687" spans="1:3" s="7" customFormat="1" x14ac:dyDescent="0.2">
      <c r="A2687" s="6" t="str">
        <f>"TDRD9"</f>
        <v>TDRD9</v>
      </c>
      <c r="B2687" s="6">
        <v>2.29770229770229E-2</v>
      </c>
      <c r="C2687" s="6">
        <v>0.14211534195933401</v>
      </c>
    </row>
    <row r="2688" spans="1:3" s="7" customFormat="1" x14ac:dyDescent="0.2">
      <c r="A2688" s="6" t="str">
        <f>"WDPCP"</f>
        <v>WDPCP</v>
      </c>
      <c r="B2688" s="6">
        <v>2.29770229770229E-2</v>
      </c>
      <c r="C2688" s="6">
        <v>0.14211534195933401</v>
      </c>
    </row>
    <row r="2689" spans="1:3" s="7" customFormat="1" x14ac:dyDescent="0.2">
      <c r="A2689" s="6" t="str">
        <f>"CCDC200"</f>
        <v>CCDC200</v>
      </c>
      <c r="B2689" s="6">
        <v>2.29770229770229E-2</v>
      </c>
      <c r="C2689" s="6">
        <v>0.14211534195933401</v>
      </c>
    </row>
    <row r="2690" spans="1:3" s="7" customFormat="1" x14ac:dyDescent="0.2">
      <c r="A2690" s="6" t="str">
        <f>"DNAH12"</f>
        <v>DNAH12</v>
      </c>
      <c r="B2690" s="6">
        <v>2.29770229770229E-2</v>
      </c>
      <c r="C2690" s="6">
        <v>0.14211534195933401</v>
      </c>
    </row>
    <row r="2691" spans="1:3" s="7" customFormat="1" x14ac:dyDescent="0.2">
      <c r="A2691" s="6" t="str">
        <f>"U2AF2"</f>
        <v>U2AF2</v>
      </c>
      <c r="B2691" s="6">
        <v>2.29770229770229E-2</v>
      </c>
      <c r="C2691" s="6">
        <v>0.14211534195933401</v>
      </c>
    </row>
    <row r="2692" spans="1:3" s="7" customFormat="1" x14ac:dyDescent="0.2">
      <c r="A2692" s="6" t="str">
        <f>"AP001372.1"</f>
        <v>AP001372.1</v>
      </c>
      <c r="B2692" s="6">
        <v>2.29770229770229E-2</v>
      </c>
      <c r="C2692" s="6">
        <v>0.14211534195933401</v>
      </c>
    </row>
    <row r="2693" spans="1:3" s="7" customFormat="1" x14ac:dyDescent="0.2">
      <c r="A2693" s="6" t="str">
        <f>"DIAPH1"</f>
        <v>DIAPH1</v>
      </c>
      <c r="B2693" s="6">
        <v>2.29770229770229E-2</v>
      </c>
      <c r="C2693" s="6">
        <v>0.14211534195933401</v>
      </c>
    </row>
    <row r="2694" spans="1:3" s="7" customFormat="1" x14ac:dyDescent="0.2">
      <c r="A2694" s="6" t="str">
        <f>"TRUB1"</f>
        <v>TRUB1</v>
      </c>
      <c r="B2694" s="6">
        <v>2.29770229770229E-2</v>
      </c>
      <c r="C2694" s="6">
        <v>0.14211534195933401</v>
      </c>
    </row>
    <row r="2695" spans="1:3" s="7" customFormat="1" x14ac:dyDescent="0.2">
      <c r="A2695" s="6" t="str">
        <f>"DNAH1"</f>
        <v>DNAH1</v>
      </c>
      <c r="B2695" s="6">
        <v>2.29770229770229E-2</v>
      </c>
      <c r="C2695" s="6">
        <v>0.14211534195933401</v>
      </c>
    </row>
    <row r="2696" spans="1:3" s="7" customFormat="1" x14ac:dyDescent="0.2">
      <c r="A2696" s="6" t="str">
        <f>"NCAPG"</f>
        <v>NCAPG</v>
      </c>
      <c r="B2696" s="6">
        <v>2.29770229770229E-2</v>
      </c>
      <c r="C2696" s="6">
        <v>0.14211534195933401</v>
      </c>
    </row>
    <row r="2697" spans="1:3" s="7" customFormat="1" x14ac:dyDescent="0.2">
      <c r="A2697" s="6" t="str">
        <f>"BMF"</f>
        <v>BMF</v>
      </c>
      <c r="B2697" s="6">
        <v>2.29770229770229E-2</v>
      </c>
      <c r="C2697" s="6">
        <v>0.14211534195933401</v>
      </c>
    </row>
    <row r="2698" spans="1:3" s="7" customFormat="1" x14ac:dyDescent="0.2">
      <c r="A2698" s="6" t="str">
        <f>"AL359736.1"</f>
        <v>AL359736.1</v>
      </c>
      <c r="B2698" s="6">
        <v>2.29770229770229E-2</v>
      </c>
      <c r="C2698" s="6">
        <v>0.14211534195933401</v>
      </c>
    </row>
    <row r="2699" spans="1:3" s="7" customFormat="1" x14ac:dyDescent="0.2">
      <c r="A2699" s="6" t="str">
        <f>"ODF3B"</f>
        <v>ODF3B</v>
      </c>
      <c r="B2699" s="6">
        <v>2.3E-2</v>
      </c>
      <c r="C2699" s="6">
        <v>0.14211534195933401</v>
      </c>
    </row>
    <row r="2700" spans="1:3" s="7" customFormat="1" x14ac:dyDescent="0.2">
      <c r="A2700" s="6" t="str">
        <f>"ACSL3"</f>
        <v>ACSL3</v>
      </c>
      <c r="B2700" s="6">
        <v>2.29770229770229E-2</v>
      </c>
      <c r="C2700" s="6">
        <v>0.14211534195933401</v>
      </c>
    </row>
    <row r="2701" spans="1:3" s="7" customFormat="1" x14ac:dyDescent="0.2">
      <c r="A2701" s="6" t="str">
        <f>"CFAP70"</f>
        <v>CFAP70</v>
      </c>
      <c r="B2701" s="6">
        <v>2.3E-2</v>
      </c>
      <c r="C2701" s="6">
        <v>0.14211534195933401</v>
      </c>
    </row>
    <row r="2702" spans="1:3" s="7" customFormat="1" x14ac:dyDescent="0.2">
      <c r="A2702" s="6" t="str">
        <f>"HSD17B3"</f>
        <v>HSD17B3</v>
      </c>
      <c r="B2702" s="6">
        <v>2.29770229770229E-2</v>
      </c>
      <c r="C2702" s="6">
        <v>0.14211534195933401</v>
      </c>
    </row>
    <row r="2703" spans="1:3" s="7" customFormat="1" x14ac:dyDescent="0.2">
      <c r="A2703" s="6" t="str">
        <f>"STAG3L1"</f>
        <v>STAG3L1</v>
      </c>
      <c r="B2703" s="6">
        <v>2.29770229770229E-2</v>
      </c>
      <c r="C2703" s="6">
        <v>0.14211534195933401</v>
      </c>
    </row>
    <row r="2704" spans="1:3" s="7" customFormat="1" x14ac:dyDescent="0.2">
      <c r="A2704" s="6" t="str">
        <f>"RPS25"</f>
        <v>RPS25</v>
      </c>
      <c r="B2704" s="6">
        <v>2.29770229770229E-2</v>
      </c>
      <c r="C2704" s="6">
        <v>0.14211534195933401</v>
      </c>
    </row>
    <row r="2705" spans="1:3" s="7" customFormat="1" x14ac:dyDescent="0.2">
      <c r="A2705" s="6" t="str">
        <f>"AL590617.2"</f>
        <v>AL590617.2</v>
      </c>
      <c r="B2705" s="6">
        <v>2.29770229770229E-2</v>
      </c>
      <c r="C2705" s="6">
        <v>0.14211534195933401</v>
      </c>
    </row>
    <row r="2706" spans="1:3" s="7" customFormat="1" x14ac:dyDescent="0.2">
      <c r="A2706" s="6" t="str">
        <f>"PCGF1"</f>
        <v>PCGF1</v>
      </c>
      <c r="B2706" s="6">
        <v>2.29770229770229E-2</v>
      </c>
      <c r="C2706" s="6">
        <v>0.14211534195933401</v>
      </c>
    </row>
    <row r="2707" spans="1:3" s="7" customFormat="1" x14ac:dyDescent="0.2">
      <c r="A2707" s="6" t="str">
        <f>"AC135012.1"</f>
        <v>AC135012.1</v>
      </c>
      <c r="B2707" s="6">
        <v>2.3046092184368702E-2</v>
      </c>
      <c r="C2707" s="6">
        <v>0.14234751839229001</v>
      </c>
    </row>
    <row r="2708" spans="1:3" s="7" customFormat="1" x14ac:dyDescent="0.2">
      <c r="A2708" s="6" t="str">
        <f>"AC124068.2"</f>
        <v>AC124068.2</v>
      </c>
      <c r="B2708" s="6">
        <v>2.3232323232323202E-2</v>
      </c>
      <c r="C2708" s="6">
        <v>0.143444791468433</v>
      </c>
    </row>
    <row r="2709" spans="1:3" s="7" customFormat="1" x14ac:dyDescent="0.2">
      <c r="A2709" s="6" t="str">
        <f>"RABGEF1"</f>
        <v>RABGEF1</v>
      </c>
      <c r="B2709" s="6">
        <v>2.39760239760239E-2</v>
      </c>
      <c r="C2709" s="6">
        <v>0.14497144922298499</v>
      </c>
    </row>
    <row r="2710" spans="1:3" s="7" customFormat="1" x14ac:dyDescent="0.2">
      <c r="A2710" s="6" t="str">
        <f>"C7orf61"</f>
        <v>C7orf61</v>
      </c>
      <c r="B2710" s="6">
        <v>2.39760239760239E-2</v>
      </c>
      <c r="C2710" s="6">
        <v>0.14497144922298499</v>
      </c>
    </row>
    <row r="2711" spans="1:3" s="7" customFormat="1" x14ac:dyDescent="0.2">
      <c r="A2711" s="6" t="str">
        <f>"NFIL3"</f>
        <v>NFIL3</v>
      </c>
      <c r="B2711" s="6">
        <v>2.39760239760239E-2</v>
      </c>
      <c r="C2711" s="6">
        <v>0.14497144922298499</v>
      </c>
    </row>
    <row r="2712" spans="1:3" s="7" customFormat="1" x14ac:dyDescent="0.2">
      <c r="A2712" s="6" t="str">
        <f>"LINC02444"</f>
        <v>LINC02444</v>
      </c>
      <c r="B2712" s="6">
        <v>2.4E-2</v>
      </c>
      <c r="C2712" s="6">
        <v>0.14497144922298499</v>
      </c>
    </row>
    <row r="2713" spans="1:3" s="7" customFormat="1" x14ac:dyDescent="0.2">
      <c r="A2713" s="6" t="str">
        <f>"IGHV3-33"</f>
        <v>IGHV3-33</v>
      </c>
      <c r="B2713" s="6">
        <v>2.4E-2</v>
      </c>
      <c r="C2713" s="6">
        <v>0.14497144922298499</v>
      </c>
    </row>
    <row r="2714" spans="1:3" s="7" customFormat="1" x14ac:dyDescent="0.2">
      <c r="A2714" s="6" t="str">
        <f>"AC123595.1"</f>
        <v>AC123595.1</v>
      </c>
      <c r="B2714" s="6">
        <v>2.39760239760239E-2</v>
      </c>
      <c r="C2714" s="6">
        <v>0.14497144922298499</v>
      </c>
    </row>
    <row r="2715" spans="1:3" s="7" customFormat="1" x14ac:dyDescent="0.2">
      <c r="A2715" s="6" t="str">
        <f>"PILRB"</f>
        <v>PILRB</v>
      </c>
      <c r="B2715" s="6">
        <v>2.39760239760239E-2</v>
      </c>
      <c r="C2715" s="6">
        <v>0.14497144922298499</v>
      </c>
    </row>
    <row r="2716" spans="1:3" s="7" customFormat="1" x14ac:dyDescent="0.2">
      <c r="A2716" s="6" t="str">
        <f>"AC097359.2"</f>
        <v>AC097359.2</v>
      </c>
      <c r="B2716" s="6">
        <v>2.39760239760239E-2</v>
      </c>
      <c r="C2716" s="6">
        <v>0.14497144922298499</v>
      </c>
    </row>
    <row r="2717" spans="1:3" s="7" customFormat="1" x14ac:dyDescent="0.2">
      <c r="A2717" s="6" t="str">
        <f>"RPL13P5"</f>
        <v>RPL13P5</v>
      </c>
      <c r="B2717" s="6">
        <v>2.39760239760239E-2</v>
      </c>
      <c r="C2717" s="6">
        <v>0.14497144922298499</v>
      </c>
    </row>
    <row r="2718" spans="1:3" s="7" customFormat="1" x14ac:dyDescent="0.2">
      <c r="A2718" s="6" t="str">
        <f>"GDA"</f>
        <v>GDA</v>
      </c>
      <c r="B2718" s="6">
        <v>2.39760239760239E-2</v>
      </c>
      <c r="C2718" s="6">
        <v>0.14497144922298499</v>
      </c>
    </row>
    <row r="2719" spans="1:3" s="7" customFormat="1" x14ac:dyDescent="0.2">
      <c r="A2719" s="6" t="str">
        <f>"LIPA"</f>
        <v>LIPA</v>
      </c>
      <c r="B2719" s="6">
        <v>2.39760239760239E-2</v>
      </c>
      <c r="C2719" s="6">
        <v>0.14497144922298499</v>
      </c>
    </row>
    <row r="2720" spans="1:3" s="7" customFormat="1" x14ac:dyDescent="0.2">
      <c r="A2720" s="6" t="str">
        <f>"AC124067.2"</f>
        <v>AC124067.2</v>
      </c>
      <c r="B2720" s="6">
        <v>2.39760239760239E-2</v>
      </c>
      <c r="C2720" s="6">
        <v>0.14497144922298499</v>
      </c>
    </row>
    <row r="2721" spans="1:3" s="7" customFormat="1" x14ac:dyDescent="0.2">
      <c r="A2721" s="6" t="str">
        <f>"RUNDC3A"</f>
        <v>RUNDC3A</v>
      </c>
      <c r="B2721" s="6">
        <v>2.39760239760239E-2</v>
      </c>
      <c r="C2721" s="6">
        <v>0.14497144922298499</v>
      </c>
    </row>
    <row r="2722" spans="1:3" s="7" customFormat="1" x14ac:dyDescent="0.2">
      <c r="A2722" s="6" t="str">
        <f>"C8orf58"</f>
        <v>C8orf58</v>
      </c>
      <c r="B2722" s="6">
        <v>2.39760239760239E-2</v>
      </c>
      <c r="C2722" s="6">
        <v>0.14497144922298499</v>
      </c>
    </row>
    <row r="2723" spans="1:3" s="7" customFormat="1" x14ac:dyDescent="0.2">
      <c r="A2723" s="6" t="str">
        <f>"AC010323.1"</f>
        <v>AC010323.1</v>
      </c>
      <c r="B2723" s="6">
        <v>2.39760239760239E-2</v>
      </c>
      <c r="C2723" s="6">
        <v>0.14497144922298499</v>
      </c>
    </row>
    <row r="2724" spans="1:3" s="7" customFormat="1" x14ac:dyDescent="0.2">
      <c r="A2724" s="6" t="str">
        <f>"VPS37A"</f>
        <v>VPS37A</v>
      </c>
      <c r="B2724" s="6">
        <v>2.39760239760239E-2</v>
      </c>
      <c r="C2724" s="6">
        <v>0.14497144922298499</v>
      </c>
    </row>
    <row r="2725" spans="1:3" s="7" customFormat="1" x14ac:dyDescent="0.2">
      <c r="A2725" s="6" t="str">
        <f>"MEST"</f>
        <v>MEST</v>
      </c>
      <c r="B2725" s="6">
        <v>2.39760239760239E-2</v>
      </c>
      <c r="C2725" s="6">
        <v>0.14497144922298499</v>
      </c>
    </row>
    <row r="2726" spans="1:3" s="7" customFormat="1" x14ac:dyDescent="0.2">
      <c r="A2726" s="6" t="str">
        <f>"AC099845.1"</f>
        <v>AC099845.1</v>
      </c>
      <c r="B2726" s="6">
        <v>2.39760239760239E-2</v>
      </c>
      <c r="C2726" s="6">
        <v>0.14497144922298499</v>
      </c>
    </row>
    <row r="2727" spans="1:3" s="7" customFormat="1" x14ac:dyDescent="0.2">
      <c r="A2727" s="6" t="str">
        <f>"KXD1"</f>
        <v>KXD1</v>
      </c>
      <c r="B2727" s="6">
        <v>2.39760239760239E-2</v>
      </c>
      <c r="C2727" s="6">
        <v>0.14497144922298499</v>
      </c>
    </row>
    <row r="2728" spans="1:3" s="7" customFormat="1" x14ac:dyDescent="0.2">
      <c r="A2728" s="6" t="str">
        <f>"AC097532.3"</f>
        <v>AC097532.3</v>
      </c>
      <c r="B2728" s="6">
        <v>2.39760239760239E-2</v>
      </c>
      <c r="C2728" s="6">
        <v>0.14497144922298499</v>
      </c>
    </row>
    <row r="2729" spans="1:3" s="7" customFormat="1" x14ac:dyDescent="0.2">
      <c r="A2729" s="6" t="str">
        <f>"ZFP1"</f>
        <v>ZFP1</v>
      </c>
      <c r="B2729" s="6">
        <v>2.39760239760239E-2</v>
      </c>
      <c r="C2729" s="6">
        <v>0.14497144922298499</v>
      </c>
    </row>
    <row r="2730" spans="1:3" s="7" customFormat="1" x14ac:dyDescent="0.2">
      <c r="A2730" s="6" t="str">
        <f>"CYP7B1"</f>
        <v>CYP7B1</v>
      </c>
      <c r="B2730" s="6">
        <v>2.39760239760239E-2</v>
      </c>
      <c r="C2730" s="6">
        <v>0.14497144922298499</v>
      </c>
    </row>
    <row r="2731" spans="1:3" s="7" customFormat="1" x14ac:dyDescent="0.2">
      <c r="A2731" s="6" t="str">
        <f>"KIAA1614"</f>
        <v>KIAA1614</v>
      </c>
      <c r="B2731" s="6">
        <v>2.39760239760239E-2</v>
      </c>
      <c r="C2731" s="6">
        <v>0.14497144922298499</v>
      </c>
    </row>
    <row r="2732" spans="1:3" s="7" customFormat="1" x14ac:dyDescent="0.2">
      <c r="A2732" s="6" t="str">
        <f>"FMOD"</f>
        <v>FMOD</v>
      </c>
      <c r="B2732" s="6">
        <v>2.39760239760239E-2</v>
      </c>
      <c r="C2732" s="6">
        <v>0.14497144922298499</v>
      </c>
    </row>
    <row r="2733" spans="1:3" s="7" customFormat="1" x14ac:dyDescent="0.2">
      <c r="A2733" s="6" t="str">
        <f>"MRPL32"</f>
        <v>MRPL32</v>
      </c>
      <c r="B2733" s="6">
        <v>2.39760239760239E-2</v>
      </c>
      <c r="C2733" s="6">
        <v>0.14497144922298499</v>
      </c>
    </row>
    <row r="2734" spans="1:3" s="7" customFormat="1" x14ac:dyDescent="0.2">
      <c r="A2734" s="6" t="str">
        <f>"SLC25A38"</f>
        <v>SLC25A38</v>
      </c>
      <c r="B2734" s="6">
        <v>2.39760239760239E-2</v>
      </c>
      <c r="C2734" s="6">
        <v>0.14497144922298499</v>
      </c>
    </row>
    <row r="2735" spans="1:3" s="7" customFormat="1" x14ac:dyDescent="0.2">
      <c r="A2735" s="6" t="str">
        <f>"NEU4"</f>
        <v>NEU4</v>
      </c>
      <c r="B2735" s="6">
        <v>2.39760239760239E-2</v>
      </c>
      <c r="C2735" s="6">
        <v>0.14497144922298499</v>
      </c>
    </row>
    <row r="2736" spans="1:3" s="7" customFormat="1" x14ac:dyDescent="0.2">
      <c r="A2736" s="6" t="str">
        <f>"SLF2"</f>
        <v>SLF2</v>
      </c>
      <c r="B2736" s="6">
        <v>2.39760239760239E-2</v>
      </c>
      <c r="C2736" s="6">
        <v>0.14497144922298499</v>
      </c>
    </row>
    <row r="2737" spans="1:3" s="7" customFormat="1" x14ac:dyDescent="0.2">
      <c r="A2737" s="6" t="str">
        <f>"WDR48"</f>
        <v>WDR48</v>
      </c>
      <c r="B2737" s="6">
        <v>2.39760239760239E-2</v>
      </c>
      <c r="C2737" s="6">
        <v>0.14497144922298499</v>
      </c>
    </row>
    <row r="2738" spans="1:3" s="7" customFormat="1" x14ac:dyDescent="0.2">
      <c r="A2738" s="6" t="str">
        <f>"CDCA8"</f>
        <v>CDCA8</v>
      </c>
      <c r="B2738" s="6">
        <v>2.39760239760239E-2</v>
      </c>
      <c r="C2738" s="6">
        <v>0.14497144922298499</v>
      </c>
    </row>
    <row r="2739" spans="1:3" s="7" customFormat="1" x14ac:dyDescent="0.2">
      <c r="A2739" s="6" t="str">
        <f>"FP565260.1"</f>
        <v>FP565260.1</v>
      </c>
      <c r="B2739" s="6">
        <v>2.39760239760239E-2</v>
      </c>
      <c r="C2739" s="6">
        <v>0.14497144922298499</v>
      </c>
    </row>
    <row r="2740" spans="1:3" s="7" customFormat="1" x14ac:dyDescent="0.2">
      <c r="A2740" s="6" t="str">
        <f>"PBLD"</f>
        <v>PBLD</v>
      </c>
      <c r="B2740" s="6">
        <v>2.39760239760239E-2</v>
      </c>
      <c r="C2740" s="6">
        <v>0.14497144922298499</v>
      </c>
    </row>
    <row r="2741" spans="1:3" s="7" customFormat="1" x14ac:dyDescent="0.2">
      <c r="A2741" s="6" t="str">
        <f>"OR10H1"</f>
        <v>OR10H1</v>
      </c>
      <c r="B2741" s="6">
        <v>2.39760239760239E-2</v>
      </c>
      <c r="C2741" s="6">
        <v>0.14497144922298499</v>
      </c>
    </row>
    <row r="2742" spans="1:3" s="7" customFormat="1" x14ac:dyDescent="0.2">
      <c r="A2742" s="6" t="str">
        <f>"DGKD"</f>
        <v>DGKD</v>
      </c>
      <c r="B2742" s="6">
        <v>2.39760239760239E-2</v>
      </c>
      <c r="C2742" s="6">
        <v>0.14497144922298499</v>
      </c>
    </row>
    <row r="2743" spans="1:3" s="7" customFormat="1" x14ac:dyDescent="0.2">
      <c r="A2743" s="6" t="str">
        <f>"KRT7"</f>
        <v>KRT7</v>
      </c>
      <c r="B2743" s="6">
        <v>2.39760239760239E-2</v>
      </c>
      <c r="C2743" s="6">
        <v>0.14497144922298499</v>
      </c>
    </row>
    <row r="2744" spans="1:3" s="7" customFormat="1" x14ac:dyDescent="0.2">
      <c r="A2744" s="6" t="str">
        <f>"NMBR"</f>
        <v>NMBR</v>
      </c>
      <c r="B2744" s="6">
        <v>2.39760239760239E-2</v>
      </c>
      <c r="C2744" s="6">
        <v>0.14497144922298499</v>
      </c>
    </row>
    <row r="2745" spans="1:3" s="7" customFormat="1" x14ac:dyDescent="0.2">
      <c r="A2745" s="6" t="str">
        <f>"MUC4"</f>
        <v>MUC4</v>
      </c>
      <c r="B2745" s="6">
        <v>2.39760239760239E-2</v>
      </c>
      <c r="C2745" s="6">
        <v>0.14497144922298499</v>
      </c>
    </row>
    <row r="2746" spans="1:3" s="7" customFormat="1" x14ac:dyDescent="0.2">
      <c r="A2746" s="6" t="str">
        <f>"UBE2QL1"</f>
        <v>UBE2QL1</v>
      </c>
      <c r="B2746" s="6">
        <v>2.39760239760239E-2</v>
      </c>
      <c r="C2746" s="6">
        <v>0.14497144922298499</v>
      </c>
    </row>
    <row r="2747" spans="1:3" s="7" customFormat="1" x14ac:dyDescent="0.2">
      <c r="A2747" s="6" t="str">
        <f>"TP53TG1"</f>
        <v>TP53TG1</v>
      </c>
      <c r="B2747" s="6">
        <v>2.39760239760239E-2</v>
      </c>
      <c r="C2747" s="6">
        <v>0.14497144922298499</v>
      </c>
    </row>
    <row r="2748" spans="1:3" s="7" customFormat="1" x14ac:dyDescent="0.2">
      <c r="A2748" s="6" t="str">
        <f>"SDC1"</f>
        <v>SDC1</v>
      </c>
      <c r="B2748" s="6">
        <v>2.39760239760239E-2</v>
      </c>
      <c r="C2748" s="6">
        <v>0.14497144922298499</v>
      </c>
    </row>
    <row r="2749" spans="1:3" s="7" customFormat="1" x14ac:dyDescent="0.2">
      <c r="A2749" s="6" t="str">
        <f>"POGZ"</f>
        <v>POGZ</v>
      </c>
      <c r="B2749" s="6">
        <v>2.39760239760239E-2</v>
      </c>
      <c r="C2749" s="6">
        <v>0.14497144922298499</v>
      </c>
    </row>
    <row r="2750" spans="1:3" s="7" customFormat="1" x14ac:dyDescent="0.2">
      <c r="A2750" s="6" t="str">
        <f>"XRCC4"</f>
        <v>XRCC4</v>
      </c>
      <c r="B2750" s="6">
        <v>2.4E-2</v>
      </c>
      <c r="C2750" s="6">
        <v>0.14497144922298499</v>
      </c>
    </row>
    <row r="2751" spans="1:3" s="7" customFormat="1" x14ac:dyDescent="0.2">
      <c r="A2751" s="6" t="str">
        <f>"SPRYD3"</f>
        <v>SPRYD3</v>
      </c>
      <c r="B2751" s="6">
        <v>2.4E-2</v>
      </c>
      <c r="C2751" s="6">
        <v>0.14497144922298499</v>
      </c>
    </row>
    <row r="2752" spans="1:3" s="7" customFormat="1" x14ac:dyDescent="0.2">
      <c r="A2752" s="6" t="str">
        <f>"SLC22A20P"</f>
        <v>SLC22A20P</v>
      </c>
      <c r="B2752" s="6">
        <v>2.39760239760239E-2</v>
      </c>
      <c r="C2752" s="6">
        <v>0.14497144922298499</v>
      </c>
    </row>
    <row r="2753" spans="1:3" s="7" customFormat="1" x14ac:dyDescent="0.2">
      <c r="A2753" s="6" t="str">
        <f>"ZNF709"</f>
        <v>ZNF709</v>
      </c>
      <c r="B2753" s="6">
        <v>2.4E-2</v>
      </c>
      <c r="C2753" s="6">
        <v>0.14497144922298499</v>
      </c>
    </row>
    <row r="2754" spans="1:3" s="7" customFormat="1" x14ac:dyDescent="0.2">
      <c r="A2754" s="6" t="str">
        <f>"JPT2"</f>
        <v>JPT2</v>
      </c>
      <c r="B2754" s="6">
        <v>2.39760239760239E-2</v>
      </c>
      <c r="C2754" s="6">
        <v>0.14497144922298499</v>
      </c>
    </row>
    <row r="2755" spans="1:3" s="7" customFormat="1" x14ac:dyDescent="0.2">
      <c r="A2755" s="6" t="str">
        <f>"AKAP13"</f>
        <v>AKAP13</v>
      </c>
      <c r="B2755" s="6">
        <v>2.39760239760239E-2</v>
      </c>
      <c r="C2755" s="6">
        <v>0.14497144922298499</v>
      </c>
    </row>
    <row r="2756" spans="1:3" s="7" customFormat="1" x14ac:dyDescent="0.2">
      <c r="A2756" s="6" t="str">
        <f>"OR7E11P"</f>
        <v>OR7E11P</v>
      </c>
      <c r="B2756" s="6">
        <v>2.39760239760239E-2</v>
      </c>
      <c r="C2756" s="6">
        <v>0.14497144922298499</v>
      </c>
    </row>
    <row r="2757" spans="1:3" s="7" customFormat="1" x14ac:dyDescent="0.2">
      <c r="A2757" s="6" t="str">
        <f>"MXRA7"</f>
        <v>MXRA7</v>
      </c>
      <c r="B2757" s="6">
        <v>2.39760239760239E-2</v>
      </c>
      <c r="C2757" s="6">
        <v>0.14497144922298499</v>
      </c>
    </row>
    <row r="2758" spans="1:3" s="7" customFormat="1" x14ac:dyDescent="0.2">
      <c r="A2758" s="6" t="str">
        <f>"RFX7"</f>
        <v>RFX7</v>
      </c>
      <c r="B2758" s="6">
        <v>2.39760239760239E-2</v>
      </c>
      <c r="C2758" s="6">
        <v>0.14497144922298499</v>
      </c>
    </row>
    <row r="2759" spans="1:3" s="7" customFormat="1" x14ac:dyDescent="0.2">
      <c r="A2759" s="6" t="str">
        <f>"RNF24"</f>
        <v>RNF24</v>
      </c>
      <c r="B2759" s="6">
        <v>2.39760239760239E-2</v>
      </c>
      <c r="C2759" s="6">
        <v>0.14497144922298499</v>
      </c>
    </row>
    <row r="2760" spans="1:3" s="7" customFormat="1" x14ac:dyDescent="0.2">
      <c r="A2760" s="6" t="str">
        <f>"LRRC37BP1"</f>
        <v>LRRC37BP1</v>
      </c>
      <c r="B2760" s="6">
        <v>2.39760239760239E-2</v>
      </c>
      <c r="C2760" s="6">
        <v>0.14497144922298499</v>
      </c>
    </row>
    <row r="2761" spans="1:3" s="7" customFormat="1" x14ac:dyDescent="0.2">
      <c r="A2761" s="6" t="str">
        <f>"METRNL"</f>
        <v>METRNL</v>
      </c>
      <c r="B2761" s="6">
        <v>2.4E-2</v>
      </c>
      <c r="C2761" s="6">
        <v>0.14497144922298499</v>
      </c>
    </row>
    <row r="2762" spans="1:3" s="7" customFormat="1" x14ac:dyDescent="0.2">
      <c r="A2762" s="6" t="str">
        <f>"VSTM2L"</f>
        <v>VSTM2L</v>
      </c>
      <c r="B2762" s="6">
        <v>2.39760239760239E-2</v>
      </c>
      <c r="C2762" s="6">
        <v>0.14497144922298499</v>
      </c>
    </row>
    <row r="2763" spans="1:3" s="7" customFormat="1" x14ac:dyDescent="0.2">
      <c r="A2763" s="6" t="str">
        <f>"TSC22D1"</f>
        <v>TSC22D1</v>
      </c>
      <c r="B2763" s="6">
        <v>2.39760239760239E-2</v>
      </c>
      <c r="C2763" s="6">
        <v>0.14497144922298499</v>
      </c>
    </row>
    <row r="2764" spans="1:3" s="7" customFormat="1" x14ac:dyDescent="0.2">
      <c r="A2764" s="6" t="str">
        <f>"FOXJ1"</f>
        <v>FOXJ1</v>
      </c>
      <c r="B2764" s="6">
        <v>2.39760239760239E-2</v>
      </c>
      <c r="C2764" s="6">
        <v>0.14497144922298499</v>
      </c>
    </row>
    <row r="2765" spans="1:3" s="7" customFormat="1" x14ac:dyDescent="0.2">
      <c r="A2765" s="6" t="str">
        <f>"AC108925.1"</f>
        <v>AC108925.1</v>
      </c>
      <c r="B2765" s="6">
        <v>2.39760239760239E-2</v>
      </c>
      <c r="C2765" s="6">
        <v>0.14497144922298499</v>
      </c>
    </row>
    <row r="2766" spans="1:3" s="7" customFormat="1" x14ac:dyDescent="0.2">
      <c r="A2766" s="6" t="str">
        <f>"GPR34"</f>
        <v>GPR34</v>
      </c>
      <c r="B2766" s="6">
        <v>2.39760239760239E-2</v>
      </c>
      <c r="C2766" s="6">
        <v>0.14497144922298499</v>
      </c>
    </row>
    <row r="2767" spans="1:3" s="7" customFormat="1" x14ac:dyDescent="0.2">
      <c r="A2767" s="6" t="str">
        <f>"LCE3D"</f>
        <v>LCE3D</v>
      </c>
      <c r="B2767" s="6">
        <v>2.39760239760239E-2</v>
      </c>
      <c r="C2767" s="6">
        <v>0.14497144922298499</v>
      </c>
    </row>
    <row r="2768" spans="1:3" s="7" customFormat="1" x14ac:dyDescent="0.2">
      <c r="A2768" s="6" t="str">
        <f>"NOL7"</f>
        <v>NOL7</v>
      </c>
      <c r="B2768" s="6">
        <v>2.39760239760239E-2</v>
      </c>
      <c r="C2768" s="6">
        <v>0.14497144922298499</v>
      </c>
    </row>
    <row r="2769" spans="1:3" s="7" customFormat="1" x14ac:dyDescent="0.2">
      <c r="A2769" s="6" t="str">
        <f>"C9orf163"</f>
        <v>C9orf163</v>
      </c>
      <c r="B2769" s="6">
        <v>2.4024024024024E-2</v>
      </c>
      <c r="C2769" s="6">
        <v>0.145064139283792</v>
      </c>
    </row>
    <row r="2770" spans="1:3" s="7" customFormat="1" x14ac:dyDescent="0.2">
      <c r="A2770" s="6" t="str">
        <f>"AC018557.1"</f>
        <v>AC018557.1</v>
      </c>
      <c r="B2770" s="6">
        <v>2.40963855421686E-2</v>
      </c>
      <c r="C2770" s="6">
        <v>0.14544853302701499</v>
      </c>
    </row>
    <row r="2771" spans="1:3" s="7" customFormat="1" x14ac:dyDescent="0.2">
      <c r="A2771" s="6" t="str">
        <f>"EIF4BP7"</f>
        <v>EIF4BP7</v>
      </c>
      <c r="B2771" s="6">
        <v>2.4416135881104001E-2</v>
      </c>
      <c r="C2771" s="6">
        <v>0.147325377298473</v>
      </c>
    </row>
    <row r="2772" spans="1:3" s="7" customFormat="1" x14ac:dyDescent="0.2">
      <c r="A2772" s="6" t="str">
        <f>"AC002310.2"</f>
        <v>AC002310.2</v>
      </c>
      <c r="B2772" s="6">
        <v>2.4464831804281301E-2</v>
      </c>
      <c r="C2772" s="6">
        <v>0.14756593243477301</v>
      </c>
    </row>
    <row r="2773" spans="1:3" s="7" customFormat="1" x14ac:dyDescent="0.2">
      <c r="A2773" s="6" t="str">
        <f>"RILPL2"</f>
        <v>RILPL2</v>
      </c>
      <c r="B2773" s="6">
        <v>2.49750249750249E-2</v>
      </c>
      <c r="C2773" s="6">
        <v>0.14775459688826001</v>
      </c>
    </row>
    <row r="2774" spans="1:3" s="7" customFormat="1" x14ac:dyDescent="0.2">
      <c r="A2774" s="6" t="str">
        <f>"BTNL8"</f>
        <v>BTNL8</v>
      </c>
      <c r="B2774" s="6">
        <v>2.49750249750249E-2</v>
      </c>
      <c r="C2774" s="6">
        <v>0.14775459688826001</v>
      </c>
    </row>
    <row r="2775" spans="1:3" s="7" customFormat="1" x14ac:dyDescent="0.2">
      <c r="A2775" s="6" t="str">
        <f>"SEPTIN6"</f>
        <v>SEPTIN6</v>
      </c>
      <c r="B2775" s="6">
        <v>2.49750249750249E-2</v>
      </c>
      <c r="C2775" s="6">
        <v>0.14775459688826001</v>
      </c>
    </row>
    <row r="2776" spans="1:3" s="7" customFormat="1" x14ac:dyDescent="0.2">
      <c r="A2776" s="6" t="str">
        <f>"RNF7"</f>
        <v>RNF7</v>
      </c>
      <c r="B2776" s="6">
        <v>2.49750249750249E-2</v>
      </c>
      <c r="C2776" s="6">
        <v>0.14775459688826001</v>
      </c>
    </row>
    <row r="2777" spans="1:3" s="7" customFormat="1" x14ac:dyDescent="0.2">
      <c r="A2777" s="6" t="str">
        <f>"AC008894.3"</f>
        <v>AC008894.3</v>
      </c>
      <c r="B2777" s="6">
        <v>2.49750249750249E-2</v>
      </c>
      <c r="C2777" s="6">
        <v>0.14775459688826001</v>
      </c>
    </row>
    <row r="2778" spans="1:3" s="7" customFormat="1" x14ac:dyDescent="0.2">
      <c r="A2778" s="6" t="str">
        <f>"GGPS1"</f>
        <v>GGPS1</v>
      </c>
      <c r="B2778" s="6">
        <v>2.49750249750249E-2</v>
      </c>
      <c r="C2778" s="6">
        <v>0.14775459688826001</v>
      </c>
    </row>
    <row r="2779" spans="1:3" s="7" customFormat="1" x14ac:dyDescent="0.2">
      <c r="A2779" s="6" t="str">
        <f>"HTN1"</f>
        <v>HTN1</v>
      </c>
      <c r="B2779" s="6">
        <v>2.49750249750249E-2</v>
      </c>
      <c r="C2779" s="6">
        <v>0.14775459688826001</v>
      </c>
    </row>
    <row r="2780" spans="1:3" s="7" customFormat="1" x14ac:dyDescent="0.2">
      <c r="A2780" s="6" t="str">
        <f>"LINC02474"</f>
        <v>LINC02474</v>
      </c>
      <c r="B2780" s="6">
        <v>2.49750249750249E-2</v>
      </c>
      <c r="C2780" s="6">
        <v>0.14775459688826001</v>
      </c>
    </row>
    <row r="2781" spans="1:3" s="7" customFormat="1" x14ac:dyDescent="0.2">
      <c r="A2781" s="6" t="str">
        <f>"PPP1R2"</f>
        <v>PPP1R2</v>
      </c>
      <c r="B2781" s="6">
        <v>2.49750249750249E-2</v>
      </c>
      <c r="C2781" s="6">
        <v>0.14775459688826001</v>
      </c>
    </row>
    <row r="2782" spans="1:3" s="7" customFormat="1" x14ac:dyDescent="0.2">
      <c r="A2782" s="6" t="str">
        <f>"HEPHL1"</f>
        <v>HEPHL1</v>
      </c>
      <c r="B2782" s="6">
        <v>2.49750249750249E-2</v>
      </c>
      <c r="C2782" s="6">
        <v>0.14775459688826001</v>
      </c>
    </row>
    <row r="2783" spans="1:3" s="7" customFormat="1" x14ac:dyDescent="0.2">
      <c r="A2783" s="6" t="str">
        <f>"COLGALT2"</f>
        <v>COLGALT2</v>
      </c>
      <c r="B2783" s="6">
        <v>2.49750249750249E-2</v>
      </c>
      <c r="C2783" s="6">
        <v>0.14775459688826001</v>
      </c>
    </row>
    <row r="2784" spans="1:3" s="7" customFormat="1" x14ac:dyDescent="0.2">
      <c r="A2784" s="6" t="str">
        <f>"PRPF39"</f>
        <v>PRPF39</v>
      </c>
      <c r="B2784" s="6">
        <v>2.49750249750249E-2</v>
      </c>
      <c r="C2784" s="6">
        <v>0.14775459688826001</v>
      </c>
    </row>
    <row r="2785" spans="1:3" s="7" customFormat="1" x14ac:dyDescent="0.2">
      <c r="A2785" s="6" t="str">
        <f>"AC008771.1"</f>
        <v>AC008771.1</v>
      </c>
      <c r="B2785" s="6">
        <v>2.49750249750249E-2</v>
      </c>
      <c r="C2785" s="6">
        <v>0.14775459688826001</v>
      </c>
    </row>
    <row r="2786" spans="1:3" s="7" customFormat="1" x14ac:dyDescent="0.2">
      <c r="A2786" s="6" t="str">
        <f>"MIGA1"</f>
        <v>MIGA1</v>
      </c>
      <c r="B2786" s="6">
        <v>2.49750249750249E-2</v>
      </c>
      <c r="C2786" s="6">
        <v>0.14775459688826001</v>
      </c>
    </row>
    <row r="2787" spans="1:3" s="7" customFormat="1" x14ac:dyDescent="0.2">
      <c r="A2787" s="6" t="str">
        <f>"EIF4E"</f>
        <v>EIF4E</v>
      </c>
      <c r="B2787" s="6">
        <v>2.49750249750249E-2</v>
      </c>
      <c r="C2787" s="6">
        <v>0.14775459688826001</v>
      </c>
    </row>
    <row r="2788" spans="1:3" s="7" customFormat="1" x14ac:dyDescent="0.2">
      <c r="A2788" s="6" t="str">
        <f>"TCEAL2"</f>
        <v>TCEAL2</v>
      </c>
      <c r="B2788" s="6">
        <v>2.49750249750249E-2</v>
      </c>
      <c r="C2788" s="6">
        <v>0.14775459688826001</v>
      </c>
    </row>
    <row r="2789" spans="1:3" s="7" customFormat="1" x14ac:dyDescent="0.2">
      <c r="A2789" s="6" t="str">
        <f>"ZNF879"</f>
        <v>ZNF879</v>
      </c>
      <c r="B2789" s="6">
        <v>2.49750249750249E-2</v>
      </c>
      <c r="C2789" s="6">
        <v>0.14775459688826001</v>
      </c>
    </row>
    <row r="2790" spans="1:3" s="7" customFormat="1" x14ac:dyDescent="0.2">
      <c r="A2790" s="6" t="str">
        <f>"H2AC11"</f>
        <v>H2AC11</v>
      </c>
      <c r="B2790" s="6">
        <v>2.49750249750249E-2</v>
      </c>
      <c r="C2790" s="6">
        <v>0.14775459688826001</v>
      </c>
    </row>
    <row r="2791" spans="1:3" s="7" customFormat="1" x14ac:dyDescent="0.2">
      <c r="A2791" s="6" t="str">
        <f>"MT-CO1"</f>
        <v>MT-CO1</v>
      </c>
      <c r="B2791" s="6">
        <v>2.49750249750249E-2</v>
      </c>
      <c r="C2791" s="6">
        <v>0.14775459688826001</v>
      </c>
    </row>
    <row r="2792" spans="1:3" s="7" customFormat="1" x14ac:dyDescent="0.2">
      <c r="A2792" s="6" t="str">
        <f>"ZNF846"</f>
        <v>ZNF846</v>
      </c>
      <c r="B2792" s="6">
        <v>2.49750249750249E-2</v>
      </c>
      <c r="C2792" s="6">
        <v>0.14775459688826001</v>
      </c>
    </row>
    <row r="2793" spans="1:3" s="7" customFormat="1" x14ac:dyDescent="0.2">
      <c r="A2793" s="6" t="str">
        <f>"RABL3"</f>
        <v>RABL3</v>
      </c>
      <c r="B2793" s="6">
        <v>2.49750249750249E-2</v>
      </c>
      <c r="C2793" s="6">
        <v>0.14775459688826001</v>
      </c>
    </row>
    <row r="2794" spans="1:3" s="7" customFormat="1" x14ac:dyDescent="0.2">
      <c r="A2794" s="6" t="str">
        <f>"SFI1"</f>
        <v>SFI1</v>
      </c>
      <c r="B2794" s="6">
        <v>2.49750249750249E-2</v>
      </c>
      <c r="C2794" s="6">
        <v>0.14775459688826001</v>
      </c>
    </row>
    <row r="2795" spans="1:3" s="7" customFormat="1" x14ac:dyDescent="0.2">
      <c r="A2795" s="6" t="str">
        <f>"CPB2"</f>
        <v>CPB2</v>
      </c>
      <c r="B2795" s="6">
        <v>2.5000000000000001E-2</v>
      </c>
      <c r="C2795" s="6">
        <v>0.14775459688826001</v>
      </c>
    </row>
    <row r="2796" spans="1:3" s="7" customFormat="1" x14ac:dyDescent="0.2">
      <c r="A2796" s="6" t="str">
        <f>"SENP7"</f>
        <v>SENP7</v>
      </c>
      <c r="B2796" s="6">
        <v>2.49750249750249E-2</v>
      </c>
      <c r="C2796" s="6">
        <v>0.14775459688826001</v>
      </c>
    </row>
    <row r="2797" spans="1:3" s="7" customFormat="1" x14ac:dyDescent="0.2">
      <c r="A2797" s="6" t="str">
        <f>"TICRR"</f>
        <v>TICRR</v>
      </c>
      <c r="B2797" s="6">
        <v>2.49750249750249E-2</v>
      </c>
      <c r="C2797" s="6">
        <v>0.14775459688826001</v>
      </c>
    </row>
    <row r="2798" spans="1:3" s="7" customFormat="1" x14ac:dyDescent="0.2">
      <c r="A2798" s="6" t="str">
        <f>"ERBB4"</f>
        <v>ERBB4</v>
      </c>
      <c r="B2798" s="6">
        <v>2.49750249750249E-2</v>
      </c>
      <c r="C2798" s="6">
        <v>0.14775459688826001</v>
      </c>
    </row>
    <row r="2799" spans="1:3" s="7" customFormat="1" x14ac:dyDescent="0.2">
      <c r="A2799" s="6" t="str">
        <f>"GBP2"</f>
        <v>GBP2</v>
      </c>
      <c r="B2799" s="6">
        <v>2.49750249750249E-2</v>
      </c>
      <c r="C2799" s="6">
        <v>0.14775459688826001</v>
      </c>
    </row>
    <row r="2800" spans="1:3" s="7" customFormat="1" x14ac:dyDescent="0.2">
      <c r="A2800" s="6" t="str">
        <f>"RNF41"</f>
        <v>RNF41</v>
      </c>
      <c r="B2800" s="6">
        <v>2.49750249750249E-2</v>
      </c>
      <c r="C2800" s="6">
        <v>0.14775459688826001</v>
      </c>
    </row>
    <row r="2801" spans="1:3" s="7" customFormat="1" x14ac:dyDescent="0.2">
      <c r="A2801" s="6" t="str">
        <f>"PAXIP1-AS2"</f>
        <v>PAXIP1-AS2</v>
      </c>
      <c r="B2801" s="6">
        <v>2.49750249750249E-2</v>
      </c>
      <c r="C2801" s="6">
        <v>0.14775459688826001</v>
      </c>
    </row>
    <row r="2802" spans="1:3" s="7" customFormat="1" x14ac:dyDescent="0.2">
      <c r="A2802" s="6" t="str">
        <f>"ACAT1"</f>
        <v>ACAT1</v>
      </c>
      <c r="B2802" s="6">
        <v>2.49750249750249E-2</v>
      </c>
      <c r="C2802" s="6">
        <v>0.14775459688826001</v>
      </c>
    </row>
    <row r="2803" spans="1:3" s="7" customFormat="1" x14ac:dyDescent="0.2">
      <c r="A2803" s="6" t="str">
        <f>"SNTB1"</f>
        <v>SNTB1</v>
      </c>
      <c r="B2803" s="6">
        <v>2.49750249750249E-2</v>
      </c>
      <c r="C2803" s="6">
        <v>0.14775459688826001</v>
      </c>
    </row>
    <row r="2804" spans="1:3" s="7" customFormat="1" x14ac:dyDescent="0.2">
      <c r="A2804" s="6" t="str">
        <f>"LINC02343"</f>
        <v>LINC02343</v>
      </c>
      <c r="B2804" s="6">
        <v>2.49750249750249E-2</v>
      </c>
      <c r="C2804" s="6">
        <v>0.14775459688826001</v>
      </c>
    </row>
    <row r="2805" spans="1:3" s="7" customFormat="1" x14ac:dyDescent="0.2">
      <c r="A2805" s="6" t="str">
        <f>"TEX10"</f>
        <v>TEX10</v>
      </c>
      <c r="B2805" s="6">
        <v>2.49750249750249E-2</v>
      </c>
      <c r="C2805" s="6">
        <v>0.14775459688826001</v>
      </c>
    </row>
    <row r="2806" spans="1:3" s="7" customFormat="1" x14ac:dyDescent="0.2">
      <c r="A2806" s="6" t="str">
        <f>"AC025569.1"</f>
        <v>AC025569.1</v>
      </c>
      <c r="B2806" s="6">
        <v>2.49750249750249E-2</v>
      </c>
      <c r="C2806" s="6">
        <v>0.14775459688826001</v>
      </c>
    </row>
    <row r="2807" spans="1:3" s="7" customFormat="1" x14ac:dyDescent="0.2">
      <c r="A2807" s="6" t="str">
        <f>"PCBD2"</f>
        <v>PCBD2</v>
      </c>
      <c r="B2807" s="6">
        <v>2.49750249750249E-2</v>
      </c>
      <c r="C2807" s="6">
        <v>0.14775459688826001</v>
      </c>
    </row>
    <row r="2808" spans="1:3" s="7" customFormat="1" x14ac:dyDescent="0.2">
      <c r="A2808" s="6" t="str">
        <f>"DDX20"</f>
        <v>DDX20</v>
      </c>
      <c r="B2808" s="6">
        <v>2.49750249750249E-2</v>
      </c>
      <c r="C2808" s="6">
        <v>0.14775459688826001</v>
      </c>
    </row>
    <row r="2809" spans="1:3" s="7" customFormat="1" x14ac:dyDescent="0.2">
      <c r="A2809" s="6" t="str">
        <f>"STK25"</f>
        <v>STK25</v>
      </c>
      <c r="B2809" s="6">
        <v>2.49750249750249E-2</v>
      </c>
      <c r="C2809" s="6">
        <v>0.14775459688826001</v>
      </c>
    </row>
    <row r="2810" spans="1:3" s="7" customFormat="1" x14ac:dyDescent="0.2">
      <c r="A2810" s="6" t="str">
        <f>"FAM181A"</f>
        <v>FAM181A</v>
      </c>
      <c r="B2810" s="6">
        <v>2.49750249750249E-2</v>
      </c>
      <c r="C2810" s="6">
        <v>0.14775459688826001</v>
      </c>
    </row>
    <row r="2811" spans="1:3" s="7" customFormat="1" x14ac:dyDescent="0.2">
      <c r="A2811" s="6" t="str">
        <f>"MUC13"</f>
        <v>MUC13</v>
      </c>
      <c r="B2811" s="6">
        <v>2.49750249750249E-2</v>
      </c>
      <c r="C2811" s="6">
        <v>0.14775459688826001</v>
      </c>
    </row>
    <row r="2812" spans="1:3" s="7" customFormat="1" x14ac:dyDescent="0.2">
      <c r="A2812" s="6" t="str">
        <f>"MTFR2"</f>
        <v>MTFR2</v>
      </c>
      <c r="B2812" s="6">
        <v>2.49750249750249E-2</v>
      </c>
      <c r="C2812" s="6">
        <v>0.14775459688826001</v>
      </c>
    </row>
    <row r="2813" spans="1:3" s="7" customFormat="1" x14ac:dyDescent="0.2">
      <c r="A2813" s="6" t="str">
        <f>"ZNF649"</f>
        <v>ZNF649</v>
      </c>
      <c r="B2813" s="6">
        <v>2.49750249750249E-2</v>
      </c>
      <c r="C2813" s="6">
        <v>0.14775459688826001</v>
      </c>
    </row>
    <row r="2814" spans="1:3" s="7" customFormat="1" x14ac:dyDescent="0.2">
      <c r="A2814" s="6" t="str">
        <f>"TOE1"</f>
        <v>TOE1</v>
      </c>
      <c r="B2814" s="6">
        <v>2.49750249750249E-2</v>
      </c>
      <c r="C2814" s="6">
        <v>0.14775459688826001</v>
      </c>
    </row>
    <row r="2815" spans="1:3" s="7" customFormat="1" x14ac:dyDescent="0.2">
      <c r="A2815" s="6" t="str">
        <f>"EVPL"</f>
        <v>EVPL</v>
      </c>
      <c r="B2815" s="6">
        <v>2.49750249750249E-2</v>
      </c>
      <c r="C2815" s="6">
        <v>0.14775459688826001</v>
      </c>
    </row>
    <row r="2816" spans="1:3" s="7" customFormat="1" x14ac:dyDescent="0.2">
      <c r="A2816" s="6" t="str">
        <f>"STK11IP"</f>
        <v>STK11IP</v>
      </c>
      <c r="B2816" s="6">
        <v>2.49750249750249E-2</v>
      </c>
      <c r="C2816" s="6">
        <v>0.14775459688826001</v>
      </c>
    </row>
    <row r="2817" spans="1:3" s="7" customFormat="1" x14ac:dyDescent="0.2">
      <c r="A2817" s="6" t="str">
        <f>"UBE2D4"</f>
        <v>UBE2D4</v>
      </c>
      <c r="B2817" s="6">
        <v>2.49750249750249E-2</v>
      </c>
      <c r="C2817" s="6">
        <v>0.14775459688826001</v>
      </c>
    </row>
    <row r="2818" spans="1:3" s="7" customFormat="1" x14ac:dyDescent="0.2">
      <c r="A2818" s="6" t="str">
        <f>"ERO1A"</f>
        <v>ERO1A</v>
      </c>
      <c r="B2818" s="6">
        <v>2.5000000000000001E-2</v>
      </c>
      <c r="C2818" s="6">
        <v>0.14775459688826001</v>
      </c>
    </row>
    <row r="2819" spans="1:3" s="7" customFormat="1" x14ac:dyDescent="0.2">
      <c r="A2819" s="6" t="str">
        <f>"CD47"</f>
        <v>CD47</v>
      </c>
      <c r="B2819" s="6">
        <v>2.49750249750249E-2</v>
      </c>
      <c r="C2819" s="6">
        <v>0.14775459688826001</v>
      </c>
    </row>
    <row r="2820" spans="1:3" s="7" customFormat="1" x14ac:dyDescent="0.2">
      <c r="A2820" s="6" t="str">
        <f>"AC090229.1"</f>
        <v>AC090229.1</v>
      </c>
      <c r="B2820" s="6">
        <v>2.5000000000000001E-2</v>
      </c>
      <c r="C2820" s="6">
        <v>0.14775459688826001</v>
      </c>
    </row>
    <row r="2821" spans="1:3" s="7" customFormat="1" x14ac:dyDescent="0.2">
      <c r="A2821" s="6" t="str">
        <f>"POMGNT2"</f>
        <v>POMGNT2</v>
      </c>
      <c r="B2821" s="6">
        <v>2.49750249750249E-2</v>
      </c>
      <c r="C2821" s="6">
        <v>0.14775459688826001</v>
      </c>
    </row>
    <row r="2822" spans="1:3" s="7" customFormat="1" x14ac:dyDescent="0.2">
      <c r="A2822" s="6" t="str">
        <f>"HOMEZ"</f>
        <v>HOMEZ</v>
      </c>
      <c r="B2822" s="6">
        <v>2.49750249750249E-2</v>
      </c>
      <c r="C2822" s="6">
        <v>0.14775459688826001</v>
      </c>
    </row>
    <row r="2823" spans="1:3" s="7" customFormat="1" x14ac:dyDescent="0.2">
      <c r="A2823" s="6" t="str">
        <f>"TAOK3"</f>
        <v>TAOK3</v>
      </c>
      <c r="B2823" s="6">
        <v>2.49750249750249E-2</v>
      </c>
      <c r="C2823" s="6">
        <v>0.14775459688826001</v>
      </c>
    </row>
    <row r="2824" spans="1:3" s="7" customFormat="1" x14ac:dyDescent="0.2">
      <c r="A2824" s="6" t="str">
        <f>"FAM126A"</f>
        <v>FAM126A</v>
      </c>
      <c r="B2824" s="6">
        <v>2.49750249750249E-2</v>
      </c>
      <c r="C2824" s="6">
        <v>0.14775459688826001</v>
      </c>
    </row>
    <row r="2825" spans="1:3" s="7" customFormat="1" x14ac:dyDescent="0.2">
      <c r="A2825" s="6" t="str">
        <f>"AC025171.5"</f>
        <v>AC025171.5</v>
      </c>
      <c r="B2825" s="6">
        <v>2.5000000000000001E-2</v>
      </c>
      <c r="C2825" s="6">
        <v>0.14775459688826001</v>
      </c>
    </row>
    <row r="2826" spans="1:3" s="7" customFormat="1" x14ac:dyDescent="0.2">
      <c r="A2826" s="6" t="str">
        <f>"GGT5"</f>
        <v>GGT5</v>
      </c>
      <c r="B2826" s="6">
        <v>2.49750249750249E-2</v>
      </c>
      <c r="C2826" s="6">
        <v>0.14775459688826001</v>
      </c>
    </row>
    <row r="2827" spans="1:3" s="7" customFormat="1" x14ac:dyDescent="0.2">
      <c r="A2827" s="6" t="str">
        <f>"SSUH2"</f>
        <v>SSUH2</v>
      </c>
      <c r="B2827" s="6">
        <v>2.49750249750249E-2</v>
      </c>
      <c r="C2827" s="6">
        <v>0.14775459688826001</v>
      </c>
    </row>
    <row r="2828" spans="1:3" s="7" customFormat="1" x14ac:dyDescent="0.2">
      <c r="A2828" s="6" t="str">
        <f>"KLF11"</f>
        <v>KLF11</v>
      </c>
      <c r="B2828" s="6">
        <v>2.49750249750249E-2</v>
      </c>
      <c r="C2828" s="6">
        <v>0.14775459688826001</v>
      </c>
    </row>
    <row r="2829" spans="1:3" s="7" customFormat="1" x14ac:dyDescent="0.2">
      <c r="A2829" s="6" t="str">
        <f>"NDUFAF2"</f>
        <v>NDUFAF2</v>
      </c>
      <c r="B2829" s="6">
        <v>2.49750249750249E-2</v>
      </c>
      <c r="C2829" s="6">
        <v>0.14775459688826001</v>
      </c>
    </row>
    <row r="2830" spans="1:3" s="7" customFormat="1" x14ac:dyDescent="0.2">
      <c r="A2830" s="6" t="str">
        <f>"TSACC"</f>
        <v>TSACC</v>
      </c>
      <c r="B2830" s="6">
        <v>2.5435073627844699E-2</v>
      </c>
      <c r="C2830" s="6">
        <v>0.15027282453721999</v>
      </c>
    </row>
    <row r="2831" spans="1:3" s="7" customFormat="1" x14ac:dyDescent="0.2">
      <c r="A2831" s="6" t="str">
        <f>"TENM1"</f>
        <v>TENM1</v>
      </c>
      <c r="B2831" s="6">
        <v>2.5974025974025899E-2</v>
      </c>
      <c r="C2831" s="6">
        <v>0.15125791855203599</v>
      </c>
    </row>
    <row r="2832" spans="1:3" s="7" customFormat="1" x14ac:dyDescent="0.2">
      <c r="A2832" s="6" t="str">
        <f>"PNPLA1"</f>
        <v>PNPLA1</v>
      </c>
      <c r="B2832" s="6">
        <v>2.5974025974025899E-2</v>
      </c>
      <c r="C2832" s="6">
        <v>0.15125791855203599</v>
      </c>
    </row>
    <row r="2833" spans="1:3" s="7" customFormat="1" x14ac:dyDescent="0.2">
      <c r="A2833" s="6" t="str">
        <f>"PTX3"</f>
        <v>PTX3</v>
      </c>
      <c r="B2833" s="6">
        <v>2.5974025974025899E-2</v>
      </c>
      <c r="C2833" s="6">
        <v>0.15125791855203599</v>
      </c>
    </row>
    <row r="2834" spans="1:3" s="7" customFormat="1" x14ac:dyDescent="0.2">
      <c r="A2834" s="6" t="str">
        <f>"TMEM273"</f>
        <v>TMEM273</v>
      </c>
      <c r="B2834" s="6">
        <v>2.5974025974025899E-2</v>
      </c>
      <c r="C2834" s="6">
        <v>0.15125791855203599</v>
      </c>
    </row>
    <row r="2835" spans="1:3" s="7" customFormat="1" x14ac:dyDescent="0.2">
      <c r="A2835" s="6" t="str">
        <f>"ATP6V1H"</f>
        <v>ATP6V1H</v>
      </c>
      <c r="B2835" s="6">
        <v>2.5974025974025899E-2</v>
      </c>
      <c r="C2835" s="6">
        <v>0.15125791855203599</v>
      </c>
    </row>
    <row r="2836" spans="1:3" s="7" customFormat="1" x14ac:dyDescent="0.2">
      <c r="A2836" s="6" t="str">
        <f>"NDRG1"</f>
        <v>NDRG1</v>
      </c>
      <c r="B2836" s="6">
        <v>2.5974025974025899E-2</v>
      </c>
      <c r="C2836" s="6">
        <v>0.15125791855203599</v>
      </c>
    </row>
    <row r="2837" spans="1:3" s="7" customFormat="1" x14ac:dyDescent="0.2">
      <c r="A2837" s="6" t="str">
        <f>"AC099524.1"</f>
        <v>AC099524.1</v>
      </c>
      <c r="B2837" s="6">
        <v>2.5974025974025899E-2</v>
      </c>
      <c r="C2837" s="6">
        <v>0.15125791855203599</v>
      </c>
    </row>
    <row r="2838" spans="1:3" s="7" customFormat="1" x14ac:dyDescent="0.2">
      <c r="A2838" s="6" t="str">
        <f>"ZNF365"</f>
        <v>ZNF365</v>
      </c>
      <c r="B2838" s="6">
        <v>2.5974025974025899E-2</v>
      </c>
      <c r="C2838" s="6">
        <v>0.15125791855203599</v>
      </c>
    </row>
    <row r="2839" spans="1:3" s="7" customFormat="1" x14ac:dyDescent="0.2">
      <c r="A2839" s="6" t="str">
        <f>"PSMD2"</f>
        <v>PSMD2</v>
      </c>
      <c r="B2839" s="6">
        <v>2.5974025974025899E-2</v>
      </c>
      <c r="C2839" s="6">
        <v>0.15125791855203599</v>
      </c>
    </row>
    <row r="2840" spans="1:3" s="7" customFormat="1" x14ac:dyDescent="0.2">
      <c r="A2840" s="6" t="str">
        <f>"TLR10"</f>
        <v>TLR10</v>
      </c>
      <c r="B2840" s="6">
        <v>2.5974025974025899E-2</v>
      </c>
      <c r="C2840" s="6">
        <v>0.15125791855203599</v>
      </c>
    </row>
    <row r="2841" spans="1:3" s="7" customFormat="1" x14ac:dyDescent="0.2">
      <c r="A2841" s="6" t="str">
        <f>"LSM4"</f>
        <v>LSM4</v>
      </c>
      <c r="B2841" s="6">
        <v>2.5974025974025899E-2</v>
      </c>
      <c r="C2841" s="6">
        <v>0.15125791855203599</v>
      </c>
    </row>
    <row r="2842" spans="1:3" s="7" customFormat="1" x14ac:dyDescent="0.2">
      <c r="A2842" s="6" t="str">
        <f>"SAMD9L"</f>
        <v>SAMD9L</v>
      </c>
      <c r="B2842" s="6">
        <v>2.5974025974025899E-2</v>
      </c>
      <c r="C2842" s="6">
        <v>0.15125791855203599</v>
      </c>
    </row>
    <row r="2843" spans="1:3" s="7" customFormat="1" x14ac:dyDescent="0.2">
      <c r="A2843" s="6" t="str">
        <f>"AL359762.1"</f>
        <v>AL359762.1</v>
      </c>
      <c r="B2843" s="6">
        <v>2.5974025974025899E-2</v>
      </c>
      <c r="C2843" s="6">
        <v>0.15125791855203599</v>
      </c>
    </row>
    <row r="2844" spans="1:3" s="7" customFormat="1" x14ac:dyDescent="0.2">
      <c r="A2844" s="6" t="str">
        <f>"SLAIN1"</f>
        <v>SLAIN1</v>
      </c>
      <c r="B2844" s="6">
        <v>2.5974025974025899E-2</v>
      </c>
      <c r="C2844" s="6">
        <v>0.15125791855203599</v>
      </c>
    </row>
    <row r="2845" spans="1:3" s="7" customFormat="1" x14ac:dyDescent="0.2">
      <c r="A2845" s="6" t="str">
        <f>"SNRPG"</f>
        <v>SNRPG</v>
      </c>
      <c r="B2845" s="6">
        <v>2.5974025974025899E-2</v>
      </c>
      <c r="C2845" s="6">
        <v>0.15125791855203599</v>
      </c>
    </row>
    <row r="2846" spans="1:3" s="7" customFormat="1" x14ac:dyDescent="0.2">
      <c r="A2846" s="6" t="str">
        <f>"LY6K"</f>
        <v>LY6K</v>
      </c>
      <c r="B2846" s="6">
        <v>2.5974025974025899E-2</v>
      </c>
      <c r="C2846" s="6">
        <v>0.15125791855203599</v>
      </c>
    </row>
    <row r="2847" spans="1:3" s="7" customFormat="1" x14ac:dyDescent="0.2">
      <c r="A2847" s="6" t="str">
        <f>"DRAM2"</f>
        <v>DRAM2</v>
      </c>
      <c r="B2847" s="6">
        <v>2.5974025974025899E-2</v>
      </c>
      <c r="C2847" s="6">
        <v>0.15125791855203599</v>
      </c>
    </row>
    <row r="2848" spans="1:3" s="7" customFormat="1" x14ac:dyDescent="0.2">
      <c r="A2848" s="6" t="str">
        <f>"CSMD3"</f>
        <v>CSMD3</v>
      </c>
      <c r="B2848" s="6">
        <v>2.5614754098360601E-2</v>
      </c>
      <c r="C2848" s="6">
        <v>0.15125791855203599</v>
      </c>
    </row>
    <row r="2849" spans="1:3" s="7" customFormat="1" x14ac:dyDescent="0.2">
      <c r="A2849" s="6" t="str">
        <f>"CWC22"</f>
        <v>CWC22</v>
      </c>
      <c r="B2849" s="6">
        <v>2.5974025974025899E-2</v>
      </c>
      <c r="C2849" s="6">
        <v>0.15125791855203599</v>
      </c>
    </row>
    <row r="2850" spans="1:3" s="7" customFormat="1" x14ac:dyDescent="0.2">
      <c r="A2850" s="6" t="str">
        <f>"DANCR"</f>
        <v>DANCR</v>
      </c>
      <c r="B2850" s="6">
        <v>2.5974025974025899E-2</v>
      </c>
      <c r="C2850" s="6">
        <v>0.15125791855203599</v>
      </c>
    </row>
    <row r="2851" spans="1:3" s="7" customFormat="1" x14ac:dyDescent="0.2">
      <c r="A2851" s="6" t="str">
        <f>"SLC1A2"</f>
        <v>SLC1A2</v>
      </c>
      <c r="B2851" s="6">
        <v>2.5974025974025899E-2</v>
      </c>
      <c r="C2851" s="6">
        <v>0.15125791855203599</v>
      </c>
    </row>
    <row r="2852" spans="1:3" s="7" customFormat="1" x14ac:dyDescent="0.2">
      <c r="A2852" s="6" t="str">
        <f>"HLA-J"</f>
        <v>HLA-J</v>
      </c>
      <c r="B2852" s="6">
        <v>2.5974025974025899E-2</v>
      </c>
      <c r="C2852" s="6">
        <v>0.15125791855203599</v>
      </c>
    </row>
    <row r="2853" spans="1:3" s="7" customFormat="1" x14ac:dyDescent="0.2">
      <c r="A2853" s="6" t="str">
        <f>"PLCD1"</f>
        <v>PLCD1</v>
      </c>
      <c r="B2853" s="6">
        <v>2.5974025974025899E-2</v>
      </c>
      <c r="C2853" s="6">
        <v>0.15125791855203599</v>
      </c>
    </row>
    <row r="2854" spans="1:3" s="7" customFormat="1" x14ac:dyDescent="0.2">
      <c r="A2854" s="6" t="str">
        <f>"EHBP1"</f>
        <v>EHBP1</v>
      </c>
      <c r="B2854" s="6">
        <v>2.5974025974025899E-2</v>
      </c>
      <c r="C2854" s="6">
        <v>0.15125791855203599</v>
      </c>
    </row>
    <row r="2855" spans="1:3" s="7" customFormat="1" x14ac:dyDescent="0.2">
      <c r="A2855" s="6" t="str">
        <f>"HSD17B7"</f>
        <v>HSD17B7</v>
      </c>
      <c r="B2855" s="6">
        <v>2.5974025974025899E-2</v>
      </c>
      <c r="C2855" s="6">
        <v>0.15125791855203599</v>
      </c>
    </row>
    <row r="2856" spans="1:3" s="7" customFormat="1" x14ac:dyDescent="0.2">
      <c r="A2856" s="6" t="str">
        <f>"NRXN3"</f>
        <v>NRXN3</v>
      </c>
      <c r="B2856" s="6">
        <v>2.5974025974025899E-2</v>
      </c>
      <c r="C2856" s="6">
        <v>0.15125791855203599</v>
      </c>
    </row>
    <row r="2857" spans="1:3" s="7" customFormat="1" x14ac:dyDescent="0.2">
      <c r="A2857" s="6" t="str">
        <f>"AC118658.1"</f>
        <v>AC118658.1</v>
      </c>
      <c r="B2857" s="6">
        <v>2.5999999999999999E-2</v>
      </c>
      <c r="C2857" s="6">
        <v>0.15125791855203599</v>
      </c>
    </row>
    <row r="2858" spans="1:3" s="7" customFormat="1" x14ac:dyDescent="0.2">
      <c r="A2858" s="6" t="str">
        <f>"LINC02447"</f>
        <v>LINC02447</v>
      </c>
      <c r="B2858" s="6">
        <v>2.5974025974025899E-2</v>
      </c>
      <c r="C2858" s="6">
        <v>0.15125791855203599</v>
      </c>
    </row>
    <row r="2859" spans="1:3" s="7" customFormat="1" x14ac:dyDescent="0.2">
      <c r="A2859" s="6" t="str">
        <f>"BCAT1"</f>
        <v>BCAT1</v>
      </c>
      <c r="B2859" s="6">
        <v>2.5974025974025899E-2</v>
      </c>
      <c r="C2859" s="6">
        <v>0.15125791855203599</v>
      </c>
    </row>
    <row r="2860" spans="1:3" s="7" customFormat="1" x14ac:dyDescent="0.2">
      <c r="A2860" s="6" t="str">
        <f>"CCDC15"</f>
        <v>CCDC15</v>
      </c>
      <c r="B2860" s="6">
        <v>2.5974025974025899E-2</v>
      </c>
      <c r="C2860" s="6">
        <v>0.15125791855203599</v>
      </c>
    </row>
    <row r="2861" spans="1:3" s="7" customFormat="1" x14ac:dyDescent="0.2">
      <c r="A2861" s="6" t="str">
        <f>"PASK"</f>
        <v>PASK</v>
      </c>
      <c r="B2861" s="6">
        <v>2.5974025974025899E-2</v>
      </c>
      <c r="C2861" s="6">
        <v>0.15125791855203599</v>
      </c>
    </row>
    <row r="2862" spans="1:3" s="7" customFormat="1" x14ac:dyDescent="0.2">
      <c r="A2862" s="6" t="str">
        <f>"ABCA2"</f>
        <v>ABCA2</v>
      </c>
      <c r="B2862" s="6">
        <v>2.5999999999999999E-2</v>
      </c>
      <c r="C2862" s="6">
        <v>0.15125791855203599</v>
      </c>
    </row>
    <row r="2863" spans="1:3" s="7" customFormat="1" x14ac:dyDescent="0.2">
      <c r="A2863" s="6" t="str">
        <f>"MSR1"</f>
        <v>MSR1</v>
      </c>
      <c r="B2863" s="6">
        <v>2.5974025974025899E-2</v>
      </c>
      <c r="C2863" s="6">
        <v>0.15125791855203599</v>
      </c>
    </row>
    <row r="2864" spans="1:3" s="7" customFormat="1" x14ac:dyDescent="0.2">
      <c r="A2864" s="6" t="str">
        <f>"ARHGEF38"</f>
        <v>ARHGEF38</v>
      </c>
      <c r="B2864" s="6">
        <v>2.5974025974025899E-2</v>
      </c>
      <c r="C2864" s="6">
        <v>0.15125791855203599</v>
      </c>
    </row>
    <row r="2865" spans="1:3" s="7" customFormat="1" x14ac:dyDescent="0.2">
      <c r="A2865" s="6" t="str">
        <f>"PALD1"</f>
        <v>PALD1</v>
      </c>
      <c r="B2865" s="6">
        <v>2.5974025974025899E-2</v>
      </c>
      <c r="C2865" s="6">
        <v>0.15125791855203599</v>
      </c>
    </row>
    <row r="2866" spans="1:3" s="7" customFormat="1" x14ac:dyDescent="0.2">
      <c r="A2866" s="6" t="str">
        <f>"ST3GAL6"</f>
        <v>ST3GAL6</v>
      </c>
      <c r="B2866" s="6">
        <v>2.5974025974025899E-2</v>
      </c>
      <c r="C2866" s="6">
        <v>0.15125791855203599</v>
      </c>
    </row>
    <row r="2867" spans="1:3" s="7" customFormat="1" x14ac:dyDescent="0.2">
      <c r="A2867" s="6" t="str">
        <f>"HSPB2-C11orf52"</f>
        <v>HSPB2-C11orf52</v>
      </c>
      <c r="B2867" s="6">
        <v>2.5974025974025899E-2</v>
      </c>
      <c r="C2867" s="6">
        <v>0.15125791855203599</v>
      </c>
    </row>
    <row r="2868" spans="1:3" s="7" customFormat="1" x14ac:dyDescent="0.2">
      <c r="A2868" s="6" t="str">
        <f>"DIMT1"</f>
        <v>DIMT1</v>
      </c>
      <c r="B2868" s="6">
        <v>2.5974025974025899E-2</v>
      </c>
      <c r="C2868" s="6">
        <v>0.15125791855203599</v>
      </c>
    </row>
    <row r="2869" spans="1:3" s="7" customFormat="1" x14ac:dyDescent="0.2">
      <c r="A2869" s="6" t="str">
        <f>"PCDH1"</f>
        <v>PCDH1</v>
      </c>
      <c r="B2869" s="6">
        <v>2.5999999999999999E-2</v>
      </c>
      <c r="C2869" s="6">
        <v>0.15125791855203599</v>
      </c>
    </row>
    <row r="2870" spans="1:3" s="7" customFormat="1" x14ac:dyDescent="0.2">
      <c r="A2870" s="6" t="str">
        <f>"SLC16A3"</f>
        <v>SLC16A3</v>
      </c>
      <c r="B2870" s="6">
        <v>2.5974025974025899E-2</v>
      </c>
      <c r="C2870" s="6">
        <v>0.15125791855203599</v>
      </c>
    </row>
    <row r="2871" spans="1:3" s="7" customFormat="1" x14ac:dyDescent="0.2">
      <c r="A2871" s="6" t="str">
        <f>"ANKUB1"</f>
        <v>ANKUB1</v>
      </c>
      <c r="B2871" s="6">
        <v>2.5974025974025899E-2</v>
      </c>
      <c r="C2871" s="6">
        <v>0.15125791855203599</v>
      </c>
    </row>
    <row r="2872" spans="1:3" s="7" customFormat="1" x14ac:dyDescent="0.2">
      <c r="A2872" s="6" t="str">
        <f>"H3C10"</f>
        <v>H3C10</v>
      </c>
      <c r="B2872" s="6">
        <v>2.5974025974025899E-2</v>
      </c>
      <c r="C2872" s="6">
        <v>0.15125791855203599</v>
      </c>
    </row>
    <row r="2873" spans="1:3" s="7" customFormat="1" x14ac:dyDescent="0.2">
      <c r="A2873" s="6" t="str">
        <f>"LINC00964"</f>
        <v>LINC00964</v>
      </c>
      <c r="B2873" s="6">
        <v>2.5974025974025899E-2</v>
      </c>
      <c r="C2873" s="6">
        <v>0.15125791855203599</v>
      </c>
    </row>
    <row r="2874" spans="1:3" s="7" customFormat="1" x14ac:dyDescent="0.2">
      <c r="A2874" s="6" t="str">
        <f>"JUP"</f>
        <v>JUP</v>
      </c>
      <c r="B2874" s="6">
        <v>2.5974025974025899E-2</v>
      </c>
      <c r="C2874" s="6">
        <v>0.15125791855203599</v>
      </c>
    </row>
    <row r="2875" spans="1:3" s="7" customFormat="1" x14ac:dyDescent="0.2">
      <c r="A2875" s="6" t="str">
        <f>"SMIM15-AS1"</f>
        <v>SMIM15-AS1</v>
      </c>
      <c r="B2875" s="6">
        <v>2.6026026026026002E-2</v>
      </c>
      <c r="C2875" s="6">
        <v>0.15130399965182501</v>
      </c>
    </row>
    <row r="2876" spans="1:3" s="7" customFormat="1" x14ac:dyDescent="0.2">
      <c r="A2876" s="6" t="str">
        <f>"BCR"</f>
        <v>BCR</v>
      </c>
      <c r="B2876" s="6">
        <v>2.6026026026026002E-2</v>
      </c>
      <c r="C2876" s="6">
        <v>0.15130399965182501</v>
      </c>
    </row>
    <row r="2877" spans="1:3" s="7" customFormat="1" x14ac:dyDescent="0.2">
      <c r="A2877" s="6" t="str">
        <f>"AC016026.2"</f>
        <v>AC016026.2</v>
      </c>
      <c r="B2877" s="6">
        <v>2.6156941649899301E-2</v>
      </c>
      <c r="C2877" s="6">
        <v>0.152012212356195</v>
      </c>
    </row>
    <row r="2878" spans="1:3" s="7" customFormat="1" x14ac:dyDescent="0.2">
      <c r="A2878" s="6" t="str">
        <f>"RHOH"</f>
        <v>RHOH</v>
      </c>
      <c r="B2878" s="6">
        <v>2.6973026973026899E-2</v>
      </c>
      <c r="C2878" s="6">
        <v>0.15434001123833299</v>
      </c>
    </row>
    <row r="2879" spans="1:3" s="7" customFormat="1" x14ac:dyDescent="0.2">
      <c r="A2879" s="6" t="str">
        <f>"HDAC4"</f>
        <v>HDAC4</v>
      </c>
      <c r="B2879" s="6">
        <v>2.6973026973026899E-2</v>
      </c>
      <c r="C2879" s="6">
        <v>0.15434001123833299</v>
      </c>
    </row>
    <row r="2880" spans="1:3" s="7" customFormat="1" x14ac:dyDescent="0.2">
      <c r="A2880" s="6" t="str">
        <f>"PARTICL"</f>
        <v>PARTICL</v>
      </c>
      <c r="B2880" s="6">
        <v>2.6973026973026899E-2</v>
      </c>
      <c r="C2880" s="6">
        <v>0.15434001123833299</v>
      </c>
    </row>
    <row r="2881" spans="1:3" s="7" customFormat="1" x14ac:dyDescent="0.2">
      <c r="A2881" s="6" t="str">
        <f>"AL137786.1"</f>
        <v>AL137786.1</v>
      </c>
      <c r="B2881" s="6">
        <v>2.6973026973026899E-2</v>
      </c>
      <c r="C2881" s="6">
        <v>0.15434001123833299</v>
      </c>
    </row>
    <row r="2882" spans="1:3" s="7" customFormat="1" x14ac:dyDescent="0.2">
      <c r="A2882" s="6" t="str">
        <f>"PICALM"</f>
        <v>PICALM</v>
      </c>
      <c r="B2882" s="6">
        <v>2.6973026973026899E-2</v>
      </c>
      <c r="C2882" s="6">
        <v>0.15434001123833299</v>
      </c>
    </row>
    <row r="2883" spans="1:3" s="7" customFormat="1" x14ac:dyDescent="0.2">
      <c r="A2883" s="6" t="str">
        <f>"AC011374.1"</f>
        <v>AC011374.1</v>
      </c>
      <c r="B2883" s="6">
        <v>2.6973026973026899E-2</v>
      </c>
      <c r="C2883" s="6">
        <v>0.15434001123833299</v>
      </c>
    </row>
    <row r="2884" spans="1:3" s="7" customFormat="1" x14ac:dyDescent="0.2">
      <c r="A2884" s="6" t="str">
        <f>"POM121C"</f>
        <v>POM121C</v>
      </c>
      <c r="B2884" s="6">
        <v>2.6973026973026899E-2</v>
      </c>
      <c r="C2884" s="6">
        <v>0.15434001123833299</v>
      </c>
    </row>
    <row r="2885" spans="1:3" s="7" customFormat="1" x14ac:dyDescent="0.2">
      <c r="A2885" s="6" t="str">
        <f>"ZBTB26"</f>
        <v>ZBTB26</v>
      </c>
      <c r="B2885" s="6">
        <v>2.6973026973026899E-2</v>
      </c>
      <c r="C2885" s="6">
        <v>0.15434001123833299</v>
      </c>
    </row>
    <row r="2886" spans="1:3" s="7" customFormat="1" x14ac:dyDescent="0.2">
      <c r="A2886" s="6" t="str">
        <f>"SV2B"</f>
        <v>SV2B</v>
      </c>
      <c r="B2886" s="6">
        <v>2.6973026973026899E-2</v>
      </c>
      <c r="C2886" s="6">
        <v>0.15434001123833299</v>
      </c>
    </row>
    <row r="2887" spans="1:3" s="7" customFormat="1" x14ac:dyDescent="0.2">
      <c r="A2887" s="6" t="str">
        <f>"AC025449.2"</f>
        <v>AC025449.2</v>
      </c>
      <c r="B2887" s="6">
        <v>2.6973026973026899E-2</v>
      </c>
      <c r="C2887" s="6">
        <v>0.15434001123833299</v>
      </c>
    </row>
    <row r="2888" spans="1:3" s="7" customFormat="1" x14ac:dyDescent="0.2">
      <c r="A2888" s="6" t="str">
        <f>"SMIM6"</f>
        <v>SMIM6</v>
      </c>
      <c r="B2888" s="6">
        <v>2.6973026973026899E-2</v>
      </c>
      <c r="C2888" s="6">
        <v>0.15434001123833299</v>
      </c>
    </row>
    <row r="2889" spans="1:3" s="7" customFormat="1" x14ac:dyDescent="0.2">
      <c r="A2889" s="6" t="str">
        <f>"AP001160.3"</f>
        <v>AP001160.3</v>
      </c>
      <c r="B2889" s="6">
        <v>2.6973026973026899E-2</v>
      </c>
      <c r="C2889" s="6">
        <v>0.15434001123833299</v>
      </c>
    </row>
    <row r="2890" spans="1:3" s="7" customFormat="1" x14ac:dyDescent="0.2">
      <c r="A2890" s="6" t="str">
        <f>"HIGD2A"</f>
        <v>HIGD2A</v>
      </c>
      <c r="B2890" s="6">
        <v>2.6973026973026899E-2</v>
      </c>
      <c r="C2890" s="6">
        <v>0.15434001123833299</v>
      </c>
    </row>
    <row r="2891" spans="1:3" s="7" customFormat="1" x14ac:dyDescent="0.2">
      <c r="A2891" s="6" t="str">
        <f>"CDH7"</f>
        <v>CDH7</v>
      </c>
      <c r="B2891" s="6">
        <v>2.6973026973026899E-2</v>
      </c>
      <c r="C2891" s="6">
        <v>0.15434001123833299</v>
      </c>
    </row>
    <row r="2892" spans="1:3" s="7" customFormat="1" x14ac:dyDescent="0.2">
      <c r="A2892" s="6" t="str">
        <f>"WWTR1"</f>
        <v>WWTR1</v>
      </c>
      <c r="B2892" s="6">
        <v>2.6973026973026899E-2</v>
      </c>
      <c r="C2892" s="6">
        <v>0.15434001123833299</v>
      </c>
    </row>
    <row r="2893" spans="1:3" s="7" customFormat="1" x14ac:dyDescent="0.2">
      <c r="A2893" s="6" t="str">
        <f>"ZNF304"</f>
        <v>ZNF304</v>
      </c>
      <c r="B2893" s="6">
        <v>2.6973026973026899E-2</v>
      </c>
      <c r="C2893" s="6">
        <v>0.15434001123833299</v>
      </c>
    </row>
    <row r="2894" spans="1:3" s="7" customFormat="1" x14ac:dyDescent="0.2">
      <c r="A2894" s="6" t="str">
        <f>"NUDT4P2"</f>
        <v>NUDT4P2</v>
      </c>
      <c r="B2894" s="6">
        <v>2.6973026973026899E-2</v>
      </c>
      <c r="C2894" s="6">
        <v>0.15434001123833299</v>
      </c>
    </row>
    <row r="2895" spans="1:3" s="7" customFormat="1" x14ac:dyDescent="0.2">
      <c r="A2895" s="6" t="str">
        <f>"WDR53"</f>
        <v>WDR53</v>
      </c>
      <c r="B2895" s="6">
        <v>2.6973026973026899E-2</v>
      </c>
      <c r="C2895" s="6">
        <v>0.15434001123833299</v>
      </c>
    </row>
    <row r="2896" spans="1:3" s="7" customFormat="1" x14ac:dyDescent="0.2">
      <c r="A2896" s="6" t="str">
        <f>"DBNDD1"</f>
        <v>DBNDD1</v>
      </c>
      <c r="B2896" s="6">
        <v>2.6973026973026899E-2</v>
      </c>
      <c r="C2896" s="6">
        <v>0.15434001123833299</v>
      </c>
    </row>
    <row r="2897" spans="1:3" s="7" customFormat="1" x14ac:dyDescent="0.2">
      <c r="A2897" s="6" t="str">
        <f>"SLC4A8"</f>
        <v>SLC4A8</v>
      </c>
      <c r="B2897" s="6">
        <v>2.6973026973026899E-2</v>
      </c>
      <c r="C2897" s="6">
        <v>0.15434001123833299</v>
      </c>
    </row>
    <row r="2898" spans="1:3" s="7" customFormat="1" x14ac:dyDescent="0.2">
      <c r="A2898" s="6" t="str">
        <f>"NARS2"</f>
        <v>NARS2</v>
      </c>
      <c r="B2898" s="6">
        <v>2.6973026973026899E-2</v>
      </c>
      <c r="C2898" s="6">
        <v>0.15434001123833299</v>
      </c>
    </row>
    <row r="2899" spans="1:3" s="7" customFormat="1" x14ac:dyDescent="0.2">
      <c r="A2899" s="6" t="str">
        <f>"MRPL17"</f>
        <v>MRPL17</v>
      </c>
      <c r="B2899" s="6">
        <v>2.6973026973026899E-2</v>
      </c>
      <c r="C2899" s="6">
        <v>0.15434001123833299</v>
      </c>
    </row>
    <row r="2900" spans="1:3" s="7" customFormat="1" x14ac:dyDescent="0.2">
      <c r="A2900" s="6" t="str">
        <f>"VASN"</f>
        <v>VASN</v>
      </c>
      <c r="B2900" s="6">
        <v>2.6973026973026899E-2</v>
      </c>
      <c r="C2900" s="6">
        <v>0.15434001123833299</v>
      </c>
    </row>
    <row r="2901" spans="1:3" s="7" customFormat="1" x14ac:dyDescent="0.2">
      <c r="A2901" s="6" t="str">
        <f>"MTX1"</f>
        <v>MTX1</v>
      </c>
      <c r="B2901" s="6">
        <v>2.6973026973026899E-2</v>
      </c>
      <c r="C2901" s="6">
        <v>0.15434001123833299</v>
      </c>
    </row>
    <row r="2902" spans="1:3" s="7" customFormat="1" x14ac:dyDescent="0.2">
      <c r="A2902" s="6" t="str">
        <f>"LINC01829"</f>
        <v>LINC01829</v>
      </c>
      <c r="B2902" s="6">
        <v>2.6973026973026899E-2</v>
      </c>
      <c r="C2902" s="6">
        <v>0.15434001123833299</v>
      </c>
    </row>
    <row r="2903" spans="1:3" s="7" customFormat="1" x14ac:dyDescent="0.2">
      <c r="A2903" s="6" t="str">
        <f>"GZMM"</f>
        <v>GZMM</v>
      </c>
      <c r="B2903" s="6">
        <v>2.6973026973026899E-2</v>
      </c>
      <c r="C2903" s="6">
        <v>0.15434001123833299</v>
      </c>
    </row>
    <row r="2904" spans="1:3" s="7" customFormat="1" x14ac:dyDescent="0.2">
      <c r="A2904" s="6" t="str">
        <f>"ZNF576"</f>
        <v>ZNF576</v>
      </c>
      <c r="B2904" s="6">
        <v>2.6973026973026899E-2</v>
      </c>
      <c r="C2904" s="6">
        <v>0.15434001123833299</v>
      </c>
    </row>
    <row r="2905" spans="1:3" s="7" customFormat="1" x14ac:dyDescent="0.2">
      <c r="A2905" s="6" t="str">
        <f>"HLA-C"</f>
        <v>HLA-C</v>
      </c>
      <c r="B2905" s="6">
        <v>2.6973026973026899E-2</v>
      </c>
      <c r="C2905" s="6">
        <v>0.15434001123833299</v>
      </c>
    </row>
    <row r="2906" spans="1:3" s="7" customFormat="1" x14ac:dyDescent="0.2">
      <c r="A2906" s="6" t="str">
        <f>"TEKT3"</f>
        <v>TEKT3</v>
      </c>
      <c r="B2906" s="6">
        <v>2.6973026973026899E-2</v>
      </c>
      <c r="C2906" s="6">
        <v>0.15434001123833299</v>
      </c>
    </row>
    <row r="2907" spans="1:3" s="7" customFormat="1" x14ac:dyDescent="0.2">
      <c r="A2907" s="6" t="str">
        <f>"SLC39A13"</f>
        <v>SLC39A13</v>
      </c>
      <c r="B2907" s="6">
        <v>2.6973026973026899E-2</v>
      </c>
      <c r="C2907" s="6">
        <v>0.15434001123833299</v>
      </c>
    </row>
    <row r="2908" spans="1:3" s="7" customFormat="1" x14ac:dyDescent="0.2">
      <c r="A2908" s="6" t="str">
        <f>"RBBP4"</f>
        <v>RBBP4</v>
      </c>
      <c r="B2908" s="6">
        <v>2.6973026973026899E-2</v>
      </c>
      <c r="C2908" s="6">
        <v>0.15434001123833299</v>
      </c>
    </row>
    <row r="2909" spans="1:3" s="7" customFormat="1" x14ac:dyDescent="0.2">
      <c r="A2909" s="6" t="str">
        <f>"CDH13"</f>
        <v>CDH13</v>
      </c>
      <c r="B2909" s="6">
        <v>2.6973026973026899E-2</v>
      </c>
      <c r="C2909" s="6">
        <v>0.15434001123833299</v>
      </c>
    </row>
    <row r="2910" spans="1:3" s="7" customFormat="1" x14ac:dyDescent="0.2">
      <c r="A2910" s="6" t="str">
        <f>"FBXO36"</f>
        <v>FBXO36</v>
      </c>
      <c r="B2910" s="6">
        <v>2.6973026973026899E-2</v>
      </c>
      <c r="C2910" s="6">
        <v>0.15434001123833299</v>
      </c>
    </row>
    <row r="2911" spans="1:3" s="7" customFormat="1" x14ac:dyDescent="0.2">
      <c r="A2911" s="6" t="str">
        <f>"ATP2C2"</f>
        <v>ATP2C2</v>
      </c>
      <c r="B2911" s="6">
        <v>2.6973026973026899E-2</v>
      </c>
      <c r="C2911" s="6">
        <v>0.15434001123833299</v>
      </c>
    </row>
    <row r="2912" spans="1:3" s="7" customFormat="1" x14ac:dyDescent="0.2">
      <c r="A2912" s="6" t="str">
        <f>"NSL1"</f>
        <v>NSL1</v>
      </c>
      <c r="B2912" s="6">
        <v>2.6973026973026899E-2</v>
      </c>
      <c r="C2912" s="6">
        <v>0.15434001123833299</v>
      </c>
    </row>
    <row r="2913" spans="1:3" s="7" customFormat="1" x14ac:dyDescent="0.2">
      <c r="A2913" s="6" t="str">
        <f>"PCDHB12"</f>
        <v>PCDHB12</v>
      </c>
      <c r="B2913" s="6">
        <v>2.6973026973026899E-2</v>
      </c>
      <c r="C2913" s="6">
        <v>0.15434001123833299</v>
      </c>
    </row>
    <row r="2914" spans="1:3" s="7" customFormat="1" x14ac:dyDescent="0.2">
      <c r="A2914" s="6" t="str">
        <f>"AC079790.2"</f>
        <v>AC079790.2</v>
      </c>
      <c r="B2914" s="6">
        <v>2.6973026973026899E-2</v>
      </c>
      <c r="C2914" s="6">
        <v>0.15434001123833299</v>
      </c>
    </row>
    <row r="2915" spans="1:3" s="7" customFormat="1" x14ac:dyDescent="0.2">
      <c r="A2915" s="6" t="str">
        <f>"ATP1B1"</f>
        <v>ATP1B1</v>
      </c>
      <c r="B2915" s="6">
        <v>2.6973026973026899E-2</v>
      </c>
      <c r="C2915" s="6">
        <v>0.15434001123833299</v>
      </c>
    </row>
    <row r="2916" spans="1:3" s="7" customFormat="1" x14ac:dyDescent="0.2">
      <c r="A2916" s="6" t="str">
        <f>"DLEC1"</f>
        <v>DLEC1</v>
      </c>
      <c r="B2916" s="6">
        <v>2.6973026973026899E-2</v>
      </c>
      <c r="C2916" s="6">
        <v>0.15434001123833299</v>
      </c>
    </row>
    <row r="2917" spans="1:3" s="7" customFormat="1" x14ac:dyDescent="0.2">
      <c r="A2917" s="6" t="str">
        <f>"FOXL1"</f>
        <v>FOXL1</v>
      </c>
      <c r="B2917" s="6">
        <v>2.6973026973026899E-2</v>
      </c>
      <c r="C2917" s="6">
        <v>0.15434001123833299</v>
      </c>
    </row>
    <row r="2918" spans="1:3" s="7" customFormat="1" x14ac:dyDescent="0.2">
      <c r="A2918" s="6" t="str">
        <f>"MORN5"</f>
        <v>MORN5</v>
      </c>
      <c r="B2918" s="6">
        <v>2.6973026973026899E-2</v>
      </c>
      <c r="C2918" s="6">
        <v>0.15434001123833299</v>
      </c>
    </row>
    <row r="2919" spans="1:3" s="7" customFormat="1" x14ac:dyDescent="0.2">
      <c r="A2919" s="6" t="str">
        <f>"AC138932.2"</f>
        <v>AC138932.2</v>
      </c>
      <c r="B2919" s="6">
        <v>2.6973026973026899E-2</v>
      </c>
      <c r="C2919" s="6">
        <v>0.15434001123833299</v>
      </c>
    </row>
    <row r="2920" spans="1:3" s="7" customFormat="1" x14ac:dyDescent="0.2">
      <c r="A2920" s="6" t="str">
        <f>"SLC30A2"</f>
        <v>SLC30A2</v>
      </c>
      <c r="B2920" s="6">
        <v>2.6973026973026899E-2</v>
      </c>
      <c r="C2920" s="6">
        <v>0.15434001123833299</v>
      </c>
    </row>
    <row r="2921" spans="1:3" s="7" customFormat="1" x14ac:dyDescent="0.2">
      <c r="A2921" s="6" t="str">
        <f>"C12orf75"</f>
        <v>C12orf75</v>
      </c>
      <c r="B2921" s="6">
        <v>2.6973026973026899E-2</v>
      </c>
      <c r="C2921" s="6">
        <v>0.15434001123833299</v>
      </c>
    </row>
    <row r="2922" spans="1:3" s="7" customFormat="1" x14ac:dyDescent="0.2">
      <c r="A2922" s="6" t="str">
        <f>"NAXE"</f>
        <v>NAXE</v>
      </c>
      <c r="B2922" s="6">
        <v>2.6973026973026899E-2</v>
      </c>
      <c r="C2922" s="6">
        <v>0.15434001123833299</v>
      </c>
    </row>
    <row r="2923" spans="1:3" s="7" customFormat="1" x14ac:dyDescent="0.2">
      <c r="A2923" s="6" t="str">
        <f>"FAM21EP"</f>
        <v>FAM21EP</v>
      </c>
      <c r="B2923" s="6">
        <v>2.7E-2</v>
      </c>
      <c r="C2923" s="6">
        <v>0.15444147843942499</v>
      </c>
    </row>
    <row r="2924" spans="1:3" s="7" customFormat="1" x14ac:dyDescent="0.2">
      <c r="A2924" s="6" t="str">
        <f>"HCG4B"</f>
        <v>HCG4B</v>
      </c>
      <c r="B2924" s="6">
        <v>2.73684210526315E-2</v>
      </c>
      <c r="C2924" s="6">
        <v>0.15649530943334999</v>
      </c>
    </row>
    <row r="2925" spans="1:3" s="7" customFormat="1" x14ac:dyDescent="0.2">
      <c r="A2925" s="6" t="str">
        <f>"TNIP1"</f>
        <v>TNIP1</v>
      </c>
      <c r="B2925" s="6">
        <v>2.7972027972027899E-2</v>
      </c>
      <c r="C2925" s="6">
        <v>0.156886356017432</v>
      </c>
    </row>
    <row r="2926" spans="1:3" s="7" customFormat="1" x14ac:dyDescent="0.2">
      <c r="A2926" s="6" t="str">
        <f>"LILRB1"</f>
        <v>LILRB1</v>
      </c>
      <c r="B2926" s="6">
        <v>2.7972027972027899E-2</v>
      </c>
      <c r="C2926" s="6">
        <v>0.156886356017432</v>
      </c>
    </row>
    <row r="2927" spans="1:3" s="7" customFormat="1" x14ac:dyDescent="0.2">
      <c r="A2927" s="6" t="str">
        <f>"GYPC"</f>
        <v>GYPC</v>
      </c>
      <c r="B2927" s="6">
        <v>2.7972027972027899E-2</v>
      </c>
      <c r="C2927" s="6">
        <v>0.156886356017432</v>
      </c>
    </row>
    <row r="2928" spans="1:3" s="7" customFormat="1" x14ac:dyDescent="0.2">
      <c r="A2928" s="6" t="str">
        <f>"ANKRD44"</f>
        <v>ANKRD44</v>
      </c>
      <c r="B2928" s="6">
        <v>2.7972027972027899E-2</v>
      </c>
      <c r="C2928" s="6">
        <v>0.156886356017432</v>
      </c>
    </row>
    <row r="2929" spans="1:3" s="7" customFormat="1" x14ac:dyDescent="0.2">
      <c r="A2929" s="6" t="str">
        <f>"RBKS"</f>
        <v>RBKS</v>
      </c>
      <c r="B2929" s="6">
        <v>2.7972027972027899E-2</v>
      </c>
      <c r="C2929" s="6">
        <v>0.156886356017432</v>
      </c>
    </row>
    <row r="2930" spans="1:3" s="7" customFormat="1" x14ac:dyDescent="0.2">
      <c r="A2930" s="6" t="str">
        <f>"RAB44"</f>
        <v>RAB44</v>
      </c>
      <c r="B2930" s="6">
        <v>2.7972027972027899E-2</v>
      </c>
      <c r="C2930" s="6">
        <v>0.156886356017432</v>
      </c>
    </row>
    <row r="2931" spans="1:3" s="7" customFormat="1" x14ac:dyDescent="0.2">
      <c r="A2931" s="6" t="str">
        <f>"ARHGEF39"</f>
        <v>ARHGEF39</v>
      </c>
      <c r="B2931" s="6">
        <v>2.7972027972027899E-2</v>
      </c>
      <c r="C2931" s="6">
        <v>0.156886356017432</v>
      </c>
    </row>
    <row r="2932" spans="1:3" s="7" customFormat="1" x14ac:dyDescent="0.2">
      <c r="A2932" s="6" t="str">
        <f>"SCEL"</f>
        <v>SCEL</v>
      </c>
      <c r="B2932" s="6">
        <v>2.7972027972027899E-2</v>
      </c>
      <c r="C2932" s="6">
        <v>0.156886356017432</v>
      </c>
    </row>
    <row r="2933" spans="1:3" s="7" customFormat="1" x14ac:dyDescent="0.2">
      <c r="A2933" s="6" t="str">
        <f>"SP110"</f>
        <v>SP110</v>
      </c>
      <c r="B2933" s="6">
        <v>2.7972027972027899E-2</v>
      </c>
      <c r="C2933" s="6">
        <v>0.156886356017432</v>
      </c>
    </row>
    <row r="2934" spans="1:3" s="7" customFormat="1" x14ac:dyDescent="0.2">
      <c r="A2934" s="6" t="str">
        <f>"AP003059.1"</f>
        <v>AP003059.1</v>
      </c>
      <c r="B2934" s="6">
        <v>2.7972027972027899E-2</v>
      </c>
      <c r="C2934" s="6">
        <v>0.156886356017432</v>
      </c>
    </row>
    <row r="2935" spans="1:3" s="7" customFormat="1" x14ac:dyDescent="0.2">
      <c r="A2935" s="6" t="str">
        <f>"FRS2"</f>
        <v>FRS2</v>
      </c>
      <c r="B2935" s="6">
        <v>2.7972027972027899E-2</v>
      </c>
      <c r="C2935" s="6">
        <v>0.156886356017432</v>
      </c>
    </row>
    <row r="2936" spans="1:3" s="7" customFormat="1" x14ac:dyDescent="0.2">
      <c r="A2936" s="6" t="str">
        <f>"ZMAT5"</f>
        <v>ZMAT5</v>
      </c>
      <c r="B2936" s="6">
        <v>2.7972027972027899E-2</v>
      </c>
      <c r="C2936" s="6">
        <v>0.156886356017432</v>
      </c>
    </row>
    <row r="2937" spans="1:3" s="7" customFormat="1" x14ac:dyDescent="0.2">
      <c r="A2937" s="6" t="str">
        <f>"HLA-DRB5"</f>
        <v>HLA-DRB5</v>
      </c>
      <c r="B2937" s="6">
        <v>2.7972027972027899E-2</v>
      </c>
      <c r="C2937" s="6">
        <v>0.156886356017432</v>
      </c>
    </row>
    <row r="2938" spans="1:3" s="7" customFormat="1" x14ac:dyDescent="0.2">
      <c r="A2938" s="6" t="str">
        <f>"AC092145.1"</f>
        <v>AC092145.1</v>
      </c>
      <c r="B2938" s="6">
        <v>2.7972027972027899E-2</v>
      </c>
      <c r="C2938" s="6">
        <v>0.156886356017432</v>
      </c>
    </row>
    <row r="2939" spans="1:3" s="7" customFormat="1" x14ac:dyDescent="0.2">
      <c r="A2939" s="6" t="str">
        <f>"LINC02595"</f>
        <v>LINC02595</v>
      </c>
      <c r="B2939" s="6">
        <v>2.8000000000000001E-2</v>
      </c>
      <c r="C2939" s="6">
        <v>0.156886356017432</v>
      </c>
    </row>
    <row r="2940" spans="1:3" s="7" customFormat="1" x14ac:dyDescent="0.2">
      <c r="A2940" s="6" t="str">
        <f>"COX6B2"</f>
        <v>COX6B2</v>
      </c>
      <c r="B2940" s="6">
        <v>2.7972027972027899E-2</v>
      </c>
      <c r="C2940" s="6">
        <v>0.156886356017432</v>
      </c>
    </row>
    <row r="2941" spans="1:3" s="7" customFormat="1" x14ac:dyDescent="0.2">
      <c r="A2941" s="6" t="str">
        <f>"GEM"</f>
        <v>GEM</v>
      </c>
      <c r="B2941" s="6">
        <v>2.7972027972027899E-2</v>
      </c>
      <c r="C2941" s="6">
        <v>0.156886356017432</v>
      </c>
    </row>
    <row r="2942" spans="1:3" s="7" customFormat="1" x14ac:dyDescent="0.2">
      <c r="A2942" s="6" t="str">
        <f>"LRRIQ3"</f>
        <v>LRRIQ3</v>
      </c>
      <c r="B2942" s="6">
        <v>2.7972027972027899E-2</v>
      </c>
      <c r="C2942" s="6">
        <v>0.156886356017432</v>
      </c>
    </row>
    <row r="2943" spans="1:3" s="7" customFormat="1" x14ac:dyDescent="0.2">
      <c r="A2943" s="6" t="str">
        <f>"MEIS3P2"</f>
        <v>MEIS3P2</v>
      </c>
      <c r="B2943" s="6">
        <v>2.7972027972027899E-2</v>
      </c>
      <c r="C2943" s="6">
        <v>0.156886356017432</v>
      </c>
    </row>
    <row r="2944" spans="1:3" s="7" customFormat="1" x14ac:dyDescent="0.2">
      <c r="A2944" s="6" t="str">
        <f>"SLC35E2B"</f>
        <v>SLC35E2B</v>
      </c>
      <c r="B2944" s="6">
        <v>2.7972027972027899E-2</v>
      </c>
      <c r="C2944" s="6">
        <v>0.156886356017432</v>
      </c>
    </row>
    <row r="2945" spans="1:3" s="7" customFormat="1" x14ac:dyDescent="0.2">
      <c r="A2945" s="6" t="str">
        <f>"ZNF112"</f>
        <v>ZNF112</v>
      </c>
      <c r="B2945" s="6">
        <v>2.7972027972027899E-2</v>
      </c>
      <c r="C2945" s="6">
        <v>0.156886356017432</v>
      </c>
    </row>
    <row r="2946" spans="1:3" s="7" customFormat="1" x14ac:dyDescent="0.2">
      <c r="A2946" s="6" t="str">
        <f>"SLC25A26"</f>
        <v>SLC25A26</v>
      </c>
      <c r="B2946" s="6">
        <v>2.7972027972027899E-2</v>
      </c>
      <c r="C2946" s="6">
        <v>0.156886356017432</v>
      </c>
    </row>
    <row r="2947" spans="1:3" s="7" customFormat="1" x14ac:dyDescent="0.2">
      <c r="A2947" s="6" t="str">
        <f>"CYS1"</f>
        <v>CYS1</v>
      </c>
      <c r="B2947" s="6">
        <v>2.7972027972027899E-2</v>
      </c>
      <c r="C2947" s="6">
        <v>0.156886356017432</v>
      </c>
    </row>
    <row r="2948" spans="1:3" s="7" customFormat="1" x14ac:dyDescent="0.2">
      <c r="A2948" s="6" t="str">
        <f>"CLGN"</f>
        <v>CLGN</v>
      </c>
      <c r="B2948" s="6">
        <v>2.7972027972027899E-2</v>
      </c>
      <c r="C2948" s="6">
        <v>0.156886356017432</v>
      </c>
    </row>
    <row r="2949" spans="1:3" s="7" customFormat="1" x14ac:dyDescent="0.2">
      <c r="A2949" s="6" t="str">
        <f>"KRT23"</f>
        <v>KRT23</v>
      </c>
      <c r="B2949" s="6">
        <v>2.7972027972027899E-2</v>
      </c>
      <c r="C2949" s="6">
        <v>0.156886356017432</v>
      </c>
    </row>
    <row r="2950" spans="1:3" s="7" customFormat="1" x14ac:dyDescent="0.2">
      <c r="A2950" s="6" t="str">
        <f>"KCTD16"</f>
        <v>KCTD16</v>
      </c>
      <c r="B2950" s="6">
        <v>2.7972027972027899E-2</v>
      </c>
      <c r="C2950" s="6">
        <v>0.156886356017432</v>
      </c>
    </row>
    <row r="2951" spans="1:3" s="7" customFormat="1" x14ac:dyDescent="0.2">
      <c r="A2951" s="6" t="str">
        <f>"AGAP3"</f>
        <v>AGAP3</v>
      </c>
      <c r="B2951" s="6">
        <v>2.7972027972027899E-2</v>
      </c>
      <c r="C2951" s="6">
        <v>0.156886356017432</v>
      </c>
    </row>
    <row r="2952" spans="1:3" s="7" customFormat="1" x14ac:dyDescent="0.2">
      <c r="A2952" s="6" t="str">
        <f>"CEPT1"</f>
        <v>CEPT1</v>
      </c>
      <c r="B2952" s="6">
        <v>2.7972027972027899E-2</v>
      </c>
      <c r="C2952" s="6">
        <v>0.156886356017432</v>
      </c>
    </row>
    <row r="2953" spans="1:3" s="7" customFormat="1" x14ac:dyDescent="0.2">
      <c r="A2953" s="6" t="str">
        <f>"PIGF"</f>
        <v>PIGF</v>
      </c>
      <c r="B2953" s="6">
        <v>2.7972027972027899E-2</v>
      </c>
      <c r="C2953" s="6">
        <v>0.156886356017432</v>
      </c>
    </row>
    <row r="2954" spans="1:3" s="7" customFormat="1" x14ac:dyDescent="0.2">
      <c r="A2954" s="6" t="str">
        <f>"FAM174C"</f>
        <v>FAM174C</v>
      </c>
      <c r="B2954" s="6">
        <v>2.7972027972027899E-2</v>
      </c>
      <c r="C2954" s="6">
        <v>0.156886356017432</v>
      </c>
    </row>
    <row r="2955" spans="1:3" s="7" customFormat="1" x14ac:dyDescent="0.2">
      <c r="A2955" s="6" t="str">
        <f>"ZNHIT6"</f>
        <v>ZNHIT6</v>
      </c>
      <c r="B2955" s="6">
        <v>2.7972027972027899E-2</v>
      </c>
      <c r="C2955" s="6">
        <v>0.156886356017432</v>
      </c>
    </row>
    <row r="2956" spans="1:3" s="7" customFormat="1" x14ac:dyDescent="0.2">
      <c r="A2956" s="6" t="str">
        <f>"AP001148.1"</f>
        <v>AP001148.1</v>
      </c>
      <c r="B2956" s="6">
        <v>2.75423728813559E-2</v>
      </c>
      <c r="C2956" s="6">
        <v>0.156886356017432</v>
      </c>
    </row>
    <row r="2957" spans="1:3" s="7" customFormat="1" x14ac:dyDescent="0.2">
      <c r="A2957" s="6" t="str">
        <f>"ZFAND1"</f>
        <v>ZFAND1</v>
      </c>
      <c r="B2957" s="6">
        <v>2.7972027972027899E-2</v>
      </c>
      <c r="C2957" s="6">
        <v>0.156886356017432</v>
      </c>
    </row>
    <row r="2958" spans="1:3" s="7" customFormat="1" x14ac:dyDescent="0.2">
      <c r="A2958" s="6" t="str">
        <f>"ZNF791"</f>
        <v>ZNF791</v>
      </c>
      <c r="B2958" s="6">
        <v>2.7972027972027899E-2</v>
      </c>
      <c r="C2958" s="6">
        <v>0.156886356017432</v>
      </c>
    </row>
    <row r="2959" spans="1:3" s="7" customFormat="1" x14ac:dyDescent="0.2">
      <c r="A2959" s="6" t="str">
        <f>"NT5DC1"</f>
        <v>NT5DC1</v>
      </c>
      <c r="B2959" s="6">
        <v>2.7972027972027899E-2</v>
      </c>
      <c r="C2959" s="6">
        <v>0.156886356017432</v>
      </c>
    </row>
    <row r="2960" spans="1:3" s="7" customFormat="1" x14ac:dyDescent="0.2">
      <c r="A2960" s="6" t="str">
        <f>"RPS27L"</f>
        <v>RPS27L</v>
      </c>
      <c r="B2960" s="6">
        <v>2.7972027972027899E-2</v>
      </c>
      <c r="C2960" s="6">
        <v>0.156886356017432</v>
      </c>
    </row>
    <row r="2961" spans="1:3" s="7" customFormat="1" x14ac:dyDescent="0.2">
      <c r="A2961" s="6" t="str">
        <f>"PRRT2"</f>
        <v>PRRT2</v>
      </c>
      <c r="B2961" s="6">
        <v>2.7972027972027899E-2</v>
      </c>
      <c r="C2961" s="6">
        <v>0.156886356017432</v>
      </c>
    </row>
    <row r="2962" spans="1:3" s="7" customFormat="1" x14ac:dyDescent="0.2">
      <c r="A2962" s="6" t="str">
        <f>"PCBP3"</f>
        <v>PCBP3</v>
      </c>
      <c r="B2962" s="6">
        <v>2.7972027972027899E-2</v>
      </c>
      <c r="C2962" s="6">
        <v>0.156886356017432</v>
      </c>
    </row>
    <row r="2963" spans="1:3" s="7" customFormat="1" x14ac:dyDescent="0.2">
      <c r="A2963" s="6" t="str">
        <f>"CDK10"</f>
        <v>CDK10</v>
      </c>
      <c r="B2963" s="6">
        <v>2.7972027972027899E-2</v>
      </c>
      <c r="C2963" s="6">
        <v>0.156886356017432</v>
      </c>
    </row>
    <row r="2964" spans="1:3" s="7" customFormat="1" x14ac:dyDescent="0.2">
      <c r="A2964" s="6" t="str">
        <f>"LRRC37A5P"</f>
        <v>LRRC37A5P</v>
      </c>
      <c r="B2964" s="6">
        <v>2.7972027972027899E-2</v>
      </c>
      <c r="C2964" s="6">
        <v>0.156886356017432</v>
      </c>
    </row>
    <row r="2965" spans="1:3" s="7" customFormat="1" x14ac:dyDescent="0.2">
      <c r="A2965" s="6" t="str">
        <f>"MTARC1"</f>
        <v>MTARC1</v>
      </c>
      <c r="B2965" s="6">
        <v>2.7972027972027899E-2</v>
      </c>
      <c r="C2965" s="6">
        <v>0.156886356017432</v>
      </c>
    </row>
    <row r="2966" spans="1:3" s="7" customFormat="1" x14ac:dyDescent="0.2">
      <c r="A2966" s="6" t="str">
        <f>"AC104117.3"</f>
        <v>AC104117.3</v>
      </c>
      <c r="B2966" s="6">
        <v>2.7659574468085101E-2</v>
      </c>
      <c r="C2966" s="6">
        <v>0.156886356017432</v>
      </c>
    </row>
    <row r="2967" spans="1:3" s="7" customFormat="1" x14ac:dyDescent="0.2">
      <c r="A2967" s="6" t="str">
        <f>"GANC"</f>
        <v>GANC</v>
      </c>
      <c r="B2967" s="6">
        <v>2.7972027972027899E-2</v>
      </c>
      <c r="C2967" s="6">
        <v>0.156886356017432</v>
      </c>
    </row>
    <row r="2968" spans="1:3" s="7" customFormat="1" x14ac:dyDescent="0.2">
      <c r="A2968" s="6" t="str">
        <f>"C12orf43"</f>
        <v>C12orf43</v>
      </c>
      <c r="B2968" s="6">
        <v>2.7972027972027899E-2</v>
      </c>
      <c r="C2968" s="6">
        <v>0.156886356017432</v>
      </c>
    </row>
    <row r="2969" spans="1:3" s="7" customFormat="1" x14ac:dyDescent="0.2">
      <c r="A2969" s="6" t="str">
        <f>"SLC16A4"</f>
        <v>SLC16A4</v>
      </c>
      <c r="B2969" s="6">
        <v>2.8000000000000001E-2</v>
      </c>
      <c r="C2969" s="6">
        <v>0.156886356017432</v>
      </c>
    </row>
    <row r="2970" spans="1:3" s="7" customFormat="1" x14ac:dyDescent="0.2">
      <c r="A2970" s="6" t="str">
        <f>"GGACT"</f>
        <v>GGACT</v>
      </c>
      <c r="B2970" s="6">
        <v>2.7972027972027899E-2</v>
      </c>
      <c r="C2970" s="6">
        <v>0.156886356017432</v>
      </c>
    </row>
    <row r="2971" spans="1:3" s="7" customFormat="1" x14ac:dyDescent="0.2">
      <c r="A2971" s="6" t="str">
        <f>"CHAF1B"</f>
        <v>CHAF1B</v>
      </c>
      <c r="B2971" s="6">
        <v>2.7972027972027899E-2</v>
      </c>
      <c r="C2971" s="6">
        <v>0.156886356017432</v>
      </c>
    </row>
    <row r="2972" spans="1:3" s="7" customFormat="1" x14ac:dyDescent="0.2">
      <c r="A2972" s="6" t="str">
        <f>"LINC00863"</f>
        <v>LINC00863</v>
      </c>
      <c r="B2972" s="6">
        <v>2.7972027972027899E-2</v>
      </c>
      <c r="C2972" s="6">
        <v>0.156886356017432</v>
      </c>
    </row>
    <row r="2973" spans="1:3" s="7" customFormat="1" x14ac:dyDescent="0.2">
      <c r="A2973" s="6" t="str">
        <f>"AKAP14"</f>
        <v>AKAP14</v>
      </c>
      <c r="B2973" s="6">
        <v>2.7972027972027899E-2</v>
      </c>
      <c r="C2973" s="6">
        <v>0.156886356017432</v>
      </c>
    </row>
    <row r="2974" spans="1:3" s="7" customFormat="1" x14ac:dyDescent="0.2">
      <c r="A2974" s="6" t="str">
        <f>"ZNF701"</f>
        <v>ZNF701</v>
      </c>
      <c r="B2974" s="6">
        <v>2.7972027972027899E-2</v>
      </c>
      <c r="C2974" s="6">
        <v>0.156886356017432</v>
      </c>
    </row>
    <row r="2975" spans="1:3" s="7" customFormat="1" x14ac:dyDescent="0.2">
      <c r="A2975" s="6" t="str">
        <f>"AP003396.3"</f>
        <v>AP003396.3</v>
      </c>
      <c r="B2975" s="6">
        <v>2.7972027972027899E-2</v>
      </c>
      <c r="C2975" s="6">
        <v>0.156886356017432</v>
      </c>
    </row>
    <row r="2976" spans="1:3" s="7" customFormat="1" x14ac:dyDescent="0.2">
      <c r="A2976" s="6" t="str">
        <f>"BMP4"</f>
        <v>BMP4</v>
      </c>
      <c r="B2976" s="6">
        <v>2.7972027972027899E-2</v>
      </c>
      <c r="C2976" s="6">
        <v>0.156886356017432</v>
      </c>
    </row>
    <row r="2977" spans="1:3" s="7" customFormat="1" x14ac:dyDescent="0.2">
      <c r="A2977" s="6" t="str">
        <f>"CCAR1"</f>
        <v>CCAR1</v>
      </c>
      <c r="B2977" s="6">
        <v>2.7972027972027899E-2</v>
      </c>
      <c r="C2977" s="6">
        <v>0.156886356017432</v>
      </c>
    </row>
    <row r="2978" spans="1:3" s="7" customFormat="1" x14ac:dyDescent="0.2">
      <c r="A2978" s="6" t="str">
        <f>"MAP11"</f>
        <v>MAP11</v>
      </c>
      <c r="B2978" s="6">
        <v>2.7972027972027899E-2</v>
      </c>
      <c r="C2978" s="6">
        <v>0.156886356017432</v>
      </c>
    </row>
    <row r="2979" spans="1:3" s="7" customFormat="1" x14ac:dyDescent="0.2">
      <c r="A2979" s="6" t="str">
        <f>"LDHBP1"</f>
        <v>LDHBP1</v>
      </c>
      <c r="B2979" s="6">
        <v>2.7972027972027899E-2</v>
      </c>
      <c r="C2979" s="6">
        <v>0.156886356017432</v>
      </c>
    </row>
    <row r="2980" spans="1:3" s="7" customFormat="1" x14ac:dyDescent="0.2">
      <c r="A2980" s="6" t="str">
        <f>"MYH3"</f>
        <v>MYH3</v>
      </c>
      <c r="B2980" s="6">
        <v>2.8000000000000001E-2</v>
      </c>
      <c r="C2980" s="6">
        <v>0.156886356017432</v>
      </c>
    </row>
    <row r="2981" spans="1:3" s="7" customFormat="1" x14ac:dyDescent="0.2">
      <c r="A2981" s="6" t="str">
        <f>"LMO7-AS1"</f>
        <v>LMO7-AS1</v>
      </c>
      <c r="B2981" s="6">
        <v>2.7972027972027899E-2</v>
      </c>
      <c r="C2981" s="6">
        <v>0.156886356017432</v>
      </c>
    </row>
    <row r="2982" spans="1:3" s="7" customFormat="1" x14ac:dyDescent="0.2">
      <c r="A2982" s="6" t="str">
        <f>"DNAJB4"</f>
        <v>DNAJB4</v>
      </c>
      <c r="B2982" s="6">
        <v>2.7972027972027899E-2</v>
      </c>
      <c r="C2982" s="6">
        <v>0.156886356017432</v>
      </c>
    </row>
    <row r="2983" spans="1:3" s="7" customFormat="1" x14ac:dyDescent="0.2">
      <c r="A2983" s="6" t="str">
        <f>"DDX47"</f>
        <v>DDX47</v>
      </c>
      <c r="B2983" s="6">
        <v>2.7972027972027899E-2</v>
      </c>
      <c r="C2983" s="6">
        <v>0.156886356017432</v>
      </c>
    </row>
    <row r="2984" spans="1:3" s="7" customFormat="1" x14ac:dyDescent="0.2">
      <c r="A2984" s="6" t="str">
        <f>"MRPL51"</f>
        <v>MRPL51</v>
      </c>
      <c r="B2984" s="6">
        <v>2.7972027972027899E-2</v>
      </c>
      <c r="C2984" s="6">
        <v>0.156886356017432</v>
      </c>
    </row>
    <row r="2985" spans="1:3" s="7" customFormat="1" x14ac:dyDescent="0.2">
      <c r="A2985" s="6" t="str">
        <f>"AL592546.2"</f>
        <v>AL592546.2</v>
      </c>
      <c r="B2985" s="6">
        <v>2.8028028028028E-2</v>
      </c>
      <c r="C2985" s="6">
        <v>0.156938177708696</v>
      </c>
    </row>
    <row r="2986" spans="1:3" s="7" customFormat="1" x14ac:dyDescent="0.2">
      <c r="A2986" s="6" t="str">
        <f>"VWA3B"</f>
        <v>VWA3B</v>
      </c>
      <c r="B2986" s="6">
        <v>2.8028028028028E-2</v>
      </c>
      <c r="C2986" s="6">
        <v>0.156938177708696</v>
      </c>
    </row>
    <row r="2987" spans="1:3" s="7" customFormat="1" x14ac:dyDescent="0.2">
      <c r="A2987" s="6" t="str">
        <f>"SEPTIN9-DT"</f>
        <v>SEPTIN9-DT</v>
      </c>
      <c r="B2987" s="6">
        <v>2.8084252758274801E-2</v>
      </c>
      <c r="C2987" s="6">
        <v>0.15720033509772399</v>
      </c>
    </row>
    <row r="2988" spans="1:3" s="7" customFormat="1" x14ac:dyDescent="0.2">
      <c r="A2988" s="6" t="str">
        <f>"PPP2R5CP"</f>
        <v>PPP2R5CP</v>
      </c>
      <c r="B2988" s="6">
        <v>2.81124497991967E-2</v>
      </c>
      <c r="C2988" s="6">
        <v>0.157305485752854</v>
      </c>
    </row>
    <row r="2989" spans="1:3" s="7" customFormat="1" x14ac:dyDescent="0.2">
      <c r="A2989" s="6" t="str">
        <f>"IGKV1-16"</f>
        <v>IGKV1-16</v>
      </c>
      <c r="B2989" s="6">
        <v>2.8140703517587899E-2</v>
      </c>
      <c r="C2989" s="6">
        <v>0.157410883063241</v>
      </c>
    </row>
    <row r="2990" spans="1:3" s="7" customFormat="1" x14ac:dyDescent="0.2">
      <c r="A2990" s="6" t="str">
        <f>"FAM71D"</f>
        <v>FAM71D</v>
      </c>
      <c r="B2990" s="6">
        <v>2.8169014084507001E-2</v>
      </c>
      <c r="C2990" s="6">
        <v>0.15751652773785499</v>
      </c>
    </row>
    <row r="2991" spans="1:3" s="7" customFormat="1" x14ac:dyDescent="0.2">
      <c r="A2991" s="6" t="str">
        <f>"GOLGA8M"</f>
        <v>GOLGA8M</v>
      </c>
      <c r="B2991" s="6">
        <v>2.8197381671701899E-2</v>
      </c>
      <c r="C2991" s="6">
        <v>0.15762242048857</v>
      </c>
    </row>
    <row r="2992" spans="1:3" s="7" customFormat="1" x14ac:dyDescent="0.2">
      <c r="A2992" s="6" t="str">
        <f>"AL606834.1"</f>
        <v>AL606834.1</v>
      </c>
      <c r="B2992" s="6">
        <v>2.8208744710860299E-2</v>
      </c>
      <c r="C2992" s="6">
        <v>0.157633219357178</v>
      </c>
    </row>
    <row r="2993" spans="1:3" s="7" customFormat="1" x14ac:dyDescent="0.2">
      <c r="A2993" s="6" t="str">
        <f>"AC011466.1"</f>
        <v>AC011466.1</v>
      </c>
      <c r="B2993" s="6">
        <v>2.82542885973763E-2</v>
      </c>
      <c r="C2993" s="6">
        <v>0.15783495308039699</v>
      </c>
    </row>
    <row r="2994" spans="1:3" s="7" customFormat="1" x14ac:dyDescent="0.2">
      <c r="A2994" s="6" t="str">
        <f>"RPS27AP16"</f>
        <v>RPS27AP16</v>
      </c>
      <c r="B2994" s="6">
        <v>2.83018867924528E-2</v>
      </c>
      <c r="C2994" s="6">
        <v>0.15804802400569801</v>
      </c>
    </row>
    <row r="2995" spans="1:3" s="7" customFormat="1" x14ac:dyDescent="0.2">
      <c r="A2995" s="6" t="str">
        <f>"CAMK1G"</f>
        <v>CAMK1G</v>
      </c>
      <c r="B2995" s="6">
        <v>2.8971028971028899E-2</v>
      </c>
      <c r="C2995" s="6">
        <v>0.15933793556870399</v>
      </c>
    </row>
    <row r="2996" spans="1:3" s="7" customFormat="1" x14ac:dyDescent="0.2">
      <c r="A2996" s="6" t="str">
        <f>"DAAM2"</f>
        <v>DAAM2</v>
      </c>
      <c r="B2996" s="6">
        <v>2.8971028971028899E-2</v>
      </c>
      <c r="C2996" s="6">
        <v>0.15933793556870399</v>
      </c>
    </row>
    <row r="2997" spans="1:3" s="7" customFormat="1" x14ac:dyDescent="0.2">
      <c r="A2997" s="6" t="str">
        <f>"IKZF1"</f>
        <v>IKZF1</v>
      </c>
      <c r="B2997" s="6">
        <v>2.8971028971028899E-2</v>
      </c>
      <c r="C2997" s="6">
        <v>0.15933793556870399</v>
      </c>
    </row>
    <row r="2998" spans="1:3" s="7" customFormat="1" x14ac:dyDescent="0.2">
      <c r="A2998" s="6" t="str">
        <f>"SH3D21"</f>
        <v>SH3D21</v>
      </c>
      <c r="B2998" s="6">
        <v>2.8971028971028899E-2</v>
      </c>
      <c r="C2998" s="6">
        <v>0.15933793556870399</v>
      </c>
    </row>
    <row r="2999" spans="1:3" s="7" customFormat="1" x14ac:dyDescent="0.2">
      <c r="A2999" s="6" t="str">
        <f>"SEZ6L"</f>
        <v>SEZ6L</v>
      </c>
      <c r="B2999" s="6">
        <v>2.9000000000000001E-2</v>
      </c>
      <c r="C2999" s="6">
        <v>0.15933793556870399</v>
      </c>
    </row>
    <row r="3000" spans="1:3" s="7" customFormat="1" x14ac:dyDescent="0.2">
      <c r="A3000" s="6" t="str">
        <f>"ACTG2"</f>
        <v>ACTG2</v>
      </c>
      <c r="B3000" s="6">
        <v>2.8971028971028899E-2</v>
      </c>
      <c r="C3000" s="6">
        <v>0.15933793556870399</v>
      </c>
    </row>
    <row r="3001" spans="1:3" s="7" customFormat="1" x14ac:dyDescent="0.2">
      <c r="A3001" s="6" t="str">
        <f>"EGF"</f>
        <v>EGF</v>
      </c>
      <c r="B3001" s="6">
        <v>2.8971028971028899E-2</v>
      </c>
      <c r="C3001" s="6">
        <v>0.15933793556870399</v>
      </c>
    </row>
    <row r="3002" spans="1:3" s="7" customFormat="1" x14ac:dyDescent="0.2">
      <c r="A3002" s="6" t="str">
        <f>"SYNM"</f>
        <v>SYNM</v>
      </c>
      <c r="B3002" s="6">
        <v>2.8971028971028899E-2</v>
      </c>
      <c r="C3002" s="6">
        <v>0.15933793556870399</v>
      </c>
    </row>
    <row r="3003" spans="1:3" s="7" customFormat="1" x14ac:dyDescent="0.2">
      <c r="A3003" s="6" t="str">
        <f>"FAM230E"</f>
        <v>FAM230E</v>
      </c>
      <c r="B3003" s="6">
        <v>2.8971028971028899E-2</v>
      </c>
      <c r="C3003" s="6">
        <v>0.15933793556870399</v>
      </c>
    </row>
    <row r="3004" spans="1:3" s="7" customFormat="1" x14ac:dyDescent="0.2">
      <c r="A3004" s="6" t="str">
        <f>"TPTEP2"</f>
        <v>TPTEP2</v>
      </c>
      <c r="B3004" s="6">
        <v>2.8971028971028899E-2</v>
      </c>
      <c r="C3004" s="6">
        <v>0.15933793556870399</v>
      </c>
    </row>
    <row r="3005" spans="1:3" s="7" customFormat="1" x14ac:dyDescent="0.2">
      <c r="A3005" s="6" t="str">
        <f>"CD74"</f>
        <v>CD74</v>
      </c>
      <c r="B3005" s="6">
        <v>2.8971028971028899E-2</v>
      </c>
      <c r="C3005" s="6">
        <v>0.15933793556870399</v>
      </c>
    </row>
    <row r="3006" spans="1:3" s="7" customFormat="1" x14ac:dyDescent="0.2">
      <c r="A3006" s="6" t="str">
        <f>"HIF3A"</f>
        <v>HIF3A</v>
      </c>
      <c r="B3006" s="6">
        <v>2.8971028971028899E-2</v>
      </c>
      <c r="C3006" s="6">
        <v>0.15933793556870399</v>
      </c>
    </row>
    <row r="3007" spans="1:3" s="7" customFormat="1" x14ac:dyDescent="0.2">
      <c r="A3007" s="6" t="str">
        <f>"TCEA1"</f>
        <v>TCEA1</v>
      </c>
      <c r="B3007" s="6">
        <v>2.8971028971028899E-2</v>
      </c>
      <c r="C3007" s="6">
        <v>0.15933793556870399</v>
      </c>
    </row>
    <row r="3008" spans="1:3" s="7" customFormat="1" x14ac:dyDescent="0.2">
      <c r="A3008" s="6" t="str">
        <f>"AC007728.3"</f>
        <v>AC007728.3</v>
      </c>
      <c r="B3008" s="6">
        <v>2.8971028971028899E-2</v>
      </c>
      <c r="C3008" s="6">
        <v>0.15933793556870399</v>
      </c>
    </row>
    <row r="3009" spans="1:3" s="7" customFormat="1" x14ac:dyDescent="0.2">
      <c r="A3009" s="6" t="str">
        <f>"IL17RA"</f>
        <v>IL17RA</v>
      </c>
      <c r="B3009" s="6">
        <v>2.8971028971028899E-2</v>
      </c>
      <c r="C3009" s="6">
        <v>0.15933793556870399</v>
      </c>
    </row>
    <row r="3010" spans="1:3" s="7" customFormat="1" x14ac:dyDescent="0.2">
      <c r="A3010" s="6" t="str">
        <f>"RBX1"</f>
        <v>RBX1</v>
      </c>
      <c r="B3010" s="6">
        <v>2.8971028971028899E-2</v>
      </c>
      <c r="C3010" s="6">
        <v>0.15933793556870399</v>
      </c>
    </row>
    <row r="3011" spans="1:3" s="7" customFormat="1" x14ac:dyDescent="0.2">
      <c r="A3011" s="6" t="str">
        <f>"SEPTIN10"</f>
        <v>SEPTIN10</v>
      </c>
      <c r="B3011" s="6">
        <v>2.8971028971028899E-2</v>
      </c>
      <c r="C3011" s="6">
        <v>0.15933793556870399</v>
      </c>
    </row>
    <row r="3012" spans="1:3" s="7" customFormat="1" x14ac:dyDescent="0.2">
      <c r="A3012" s="6" t="str">
        <f>"PRDX2"</f>
        <v>PRDX2</v>
      </c>
      <c r="B3012" s="6">
        <v>2.8971028971028899E-2</v>
      </c>
      <c r="C3012" s="6">
        <v>0.15933793556870399</v>
      </c>
    </row>
    <row r="3013" spans="1:3" s="7" customFormat="1" x14ac:dyDescent="0.2">
      <c r="A3013" s="6" t="str">
        <f>"ZNF887P"</f>
        <v>ZNF887P</v>
      </c>
      <c r="B3013" s="6">
        <v>2.8971028971028899E-2</v>
      </c>
      <c r="C3013" s="6">
        <v>0.15933793556870399</v>
      </c>
    </row>
    <row r="3014" spans="1:3" s="7" customFormat="1" x14ac:dyDescent="0.2">
      <c r="A3014" s="6" t="str">
        <f>"AC118754.2"</f>
        <v>AC118754.2</v>
      </c>
      <c r="B3014" s="6">
        <v>2.8971028971028899E-2</v>
      </c>
      <c r="C3014" s="6">
        <v>0.15933793556870399</v>
      </c>
    </row>
    <row r="3015" spans="1:3" s="7" customFormat="1" x14ac:dyDescent="0.2">
      <c r="A3015" s="6" t="str">
        <f>"TYMP"</f>
        <v>TYMP</v>
      </c>
      <c r="B3015" s="6">
        <v>2.8971028971028899E-2</v>
      </c>
      <c r="C3015" s="6">
        <v>0.15933793556870399</v>
      </c>
    </row>
    <row r="3016" spans="1:3" s="7" customFormat="1" x14ac:dyDescent="0.2">
      <c r="A3016" s="6" t="str">
        <f>"UBE2D1"</f>
        <v>UBE2D1</v>
      </c>
      <c r="B3016" s="6">
        <v>2.8971028971028899E-2</v>
      </c>
      <c r="C3016" s="6">
        <v>0.15933793556870399</v>
      </c>
    </row>
    <row r="3017" spans="1:3" s="7" customFormat="1" x14ac:dyDescent="0.2">
      <c r="A3017" s="6" t="str">
        <f>"ETFRF1"</f>
        <v>ETFRF1</v>
      </c>
      <c r="B3017" s="6">
        <v>2.8971028971028899E-2</v>
      </c>
      <c r="C3017" s="6">
        <v>0.15933793556870399</v>
      </c>
    </row>
    <row r="3018" spans="1:3" s="7" customFormat="1" x14ac:dyDescent="0.2">
      <c r="A3018" s="6" t="str">
        <f>"NIPSNAP2"</f>
        <v>NIPSNAP2</v>
      </c>
      <c r="B3018" s="6">
        <v>2.8971028971028899E-2</v>
      </c>
      <c r="C3018" s="6">
        <v>0.15933793556870399</v>
      </c>
    </row>
    <row r="3019" spans="1:3" s="7" customFormat="1" x14ac:dyDescent="0.2">
      <c r="A3019" s="6" t="str">
        <f>"KIF21A"</f>
        <v>KIF21A</v>
      </c>
      <c r="B3019" s="6">
        <v>2.8971028971028899E-2</v>
      </c>
      <c r="C3019" s="6">
        <v>0.15933793556870399</v>
      </c>
    </row>
    <row r="3020" spans="1:3" s="7" customFormat="1" x14ac:dyDescent="0.2">
      <c r="A3020" s="6" t="str">
        <f>"CMIP"</f>
        <v>CMIP</v>
      </c>
      <c r="B3020" s="6">
        <v>2.8971028971028899E-2</v>
      </c>
      <c r="C3020" s="6">
        <v>0.15933793556870399</v>
      </c>
    </row>
    <row r="3021" spans="1:3" s="7" customFormat="1" x14ac:dyDescent="0.2">
      <c r="A3021" s="6" t="str">
        <f>"KRIT1"</f>
        <v>KRIT1</v>
      </c>
      <c r="B3021" s="6">
        <v>2.8971028971028899E-2</v>
      </c>
      <c r="C3021" s="6">
        <v>0.15933793556870399</v>
      </c>
    </row>
    <row r="3022" spans="1:3" s="7" customFormat="1" x14ac:dyDescent="0.2">
      <c r="A3022" s="6" t="str">
        <f>"AC133555.3"</f>
        <v>AC133555.3</v>
      </c>
      <c r="B3022" s="6">
        <v>2.8971028971028899E-2</v>
      </c>
      <c r="C3022" s="6">
        <v>0.15933793556870399</v>
      </c>
    </row>
    <row r="3023" spans="1:3" s="7" customFormat="1" x14ac:dyDescent="0.2">
      <c r="A3023" s="6" t="str">
        <f>"RGS9BP"</f>
        <v>RGS9BP</v>
      </c>
      <c r="B3023" s="6">
        <v>2.9000000000000001E-2</v>
      </c>
      <c r="C3023" s="6">
        <v>0.15933793556870399</v>
      </c>
    </row>
    <row r="3024" spans="1:3" s="7" customFormat="1" x14ac:dyDescent="0.2">
      <c r="A3024" s="6" t="str">
        <f>"BOD1"</f>
        <v>BOD1</v>
      </c>
      <c r="B3024" s="6">
        <v>2.8971028971028899E-2</v>
      </c>
      <c r="C3024" s="6">
        <v>0.15933793556870399</v>
      </c>
    </row>
    <row r="3025" spans="1:3" s="7" customFormat="1" x14ac:dyDescent="0.2">
      <c r="A3025" s="6" t="str">
        <f>"AC010547.4"</f>
        <v>AC010547.4</v>
      </c>
      <c r="B3025" s="6">
        <v>2.8971028971028899E-2</v>
      </c>
      <c r="C3025" s="6">
        <v>0.15933793556870399</v>
      </c>
    </row>
    <row r="3026" spans="1:3" s="7" customFormat="1" x14ac:dyDescent="0.2">
      <c r="A3026" s="6" t="str">
        <f>"GIHCG"</f>
        <v>GIHCG</v>
      </c>
      <c r="B3026" s="6">
        <v>2.8971028971028899E-2</v>
      </c>
      <c r="C3026" s="6">
        <v>0.15933793556870399</v>
      </c>
    </row>
    <row r="3027" spans="1:3" s="7" customFormat="1" x14ac:dyDescent="0.2">
      <c r="A3027" s="6" t="str">
        <f>"PCDH12"</f>
        <v>PCDH12</v>
      </c>
      <c r="B3027" s="6">
        <v>2.8971028971028899E-2</v>
      </c>
      <c r="C3027" s="6">
        <v>0.15933793556870399</v>
      </c>
    </row>
    <row r="3028" spans="1:3" s="7" customFormat="1" x14ac:dyDescent="0.2">
      <c r="A3028" s="6" t="str">
        <f>"MAN2B1"</f>
        <v>MAN2B1</v>
      </c>
      <c r="B3028" s="6">
        <v>2.8971028971028899E-2</v>
      </c>
      <c r="C3028" s="6">
        <v>0.15933793556870399</v>
      </c>
    </row>
    <row r="3029" spans="1:3" s="7" customFormat="1" x14ac:dyDescent="0.2">
      <c r="A3029" s="6" t="str">
        <f>"EPPIN"</f>
        <v>EPPIN</v>
      </c>
      <c r="B3029" s="6">
        <v>2.8971028971028899E-2</v>
      </c>
      <c r="C3029" s="6">
        <v>0.15933793556870399</v>
      </c>
    </row>
    <row r="3030" spans="1:3" s="7" customFormat="1" x14ac:dyDescent="0.2">
      <c r="A3030" s="6" t="str">
        <f>"EFHB"</f>
        <v>EFHB</v>
      </c>
      <c r="B3030" s="6">
        <v>2.9000000000000001E-2</v>
      </c>
      <c r="C3030" s="6">
        <v>0.15933793556870399</v>
      </c>
    </row>
    <row r="3031" spans="1:3" s="7" customFormat="1" x14ac:dyDescent="0.2">
      <c r="A3031" s="6" t="str">
        <f>"LRRC36"</f>
        <v>LRRC36</v>
      </c>
      <c r="B3031" s="6">
        <v>2.8971028971028899E-2</v>
      </c>
      <c r="C3031" s="6">
        <v>0.15933793556870399</v>
      </c>
    </row>
    <row r="3032" spans="1:3" s="7" customFormat="1" x14ac:dyDescent="0.2">
      <c r="A3032" s="6" t="str">
        <f>"ORC1"</f>
        <v>ORC1</v>
      </c>
      <c r="B3032" s="6">
        <v>2.8971028971028899E-2</v>
      </c>
      <c r="C3032" s="6">
        <v>0.15933793556870399</v>
      </c>
    </row>
    <row r="3033" spans="1:3" s="7" customFormat="1" x14ac:dyDescent="0.2">
      <c r="A3033" s="6" t="str">
        <f>"FURIN"</f>
        <v>FURIN</v>
      </c>
      <c r="B3033" s="6">
        <v>2.8971028971028899E-2</v>
      </c>
      <c r="C3033" s="6">
        <v>0.15933793556870399</v>
      </c>
    </row>
    <row r="3034" spans="1:3" s="7" customFormat="1" x14ac:dyDescent="0.2">
      <c r="A3034" s="6" t="str">
        <f>"URB1-AS1"</f>
        <v>URB1-AS1</v>
      </c>
      <c r="B3034" s="6">
        <v>2.8971028971028899E-2</v>
      </c>
      <c r="C3034" s="6">
        <v>0.15933793556870399</v>
      </c>
    </row>
    <row r="3035" spans="1:3" s="7" customFormat="1" x14ac:dyDescent="0.2">
      <c r="A3035" s="6" t="str">
        <f>"SAPCD1"</f>
        <v>SAPCD1</v>
      </c>
      <c r="B3035" s="6">
        <v>2.8971028971028899E-2</v>
      </c>
      <c r="C3035" s="6">
        <v>0.15933793556870399</v>
      </c>
    </row>
    <row r="3036" spans="1:3" s="7" customFormat="1" x14ac:dyDescent="0.2">
      <c r="A3036" s="6" t="str">
        <f>"MMGT1"</f>
        <v>MMGT1</v>
      </c>
      <c r="B3036" s="6">
        <v>2.8971028971028899E-2</v>
      </c>
      <c r="C3036" s="6">
        <v>0.15933793556870399</v>
      </c>
    </row>
    <row r="3037" spans="1:3" s="7" customFormat="1" x14ac:dyDescent="0.2">
      <c r="A3037" s="6" t="str">
        <f>"KIAA0100"</f>
        <v>KIAA0100</v>
      </c>
      <c r="B3037" s="6">
        <v>2.8971028971028899E-2</v>
      </c>
      <c r="C3037" s="6">
        <v>0.15933793556870399</v>
      </c>
    </row>
    <row r="3038" spans="1:3" s="7" customFormat="1" x14ac:dyDescent="0.2">
      <c r="A3038" s="6" t="str">
        <f>"UBB"</f>
        <v>UBB</v>
      </c>
      <c r="B3038" s="6">
        <v>2.8971028971028899E-2</v>
      </c>
      <c r="C3038" s="6">
        <v>0.15933793556870399</v>
      </c>
    </row>
    <row r="3039" spans="1:3" s="7" customFormat="1" x14ac:dyDescent="0.2">
      <c r="A3039" s="6" t="str">
        <f>"FAM207A"</f>
        <v>FAM207A</v>
      </c>
      <c r="B3039" s="6">
        <v>2.8971028971028899E-2</v>
      </c>
      <c r="C3039" s="6">
        <v>0.15933793556870399</v>
      </c>
    </row>
    <row r="3040" spans="1:3" s="7" customFormat="1" x14ac:dyDescent="0.2">
      <c r="A3040" s="6" t="str">
        <f>"FXYD1"</f>
        <v>FXYD1</v>
      </c>
      <c r="B3040" s="6">
        <v>2.8971028971028899E-2</v>
      </c>
      <c r="C3040" s="6">
        <v>0.15933793556870399</v>
      </c>
    </row>
    <row r="3041" spans="1:3" s="7" customFormat="1" x14ac:dyDescent="0.2">
      <c r="A3041" s="6" t="str">
        <f>"MYEF2"</f>
        <v>MYEF2</v>
      </c>
      <c r="B3041" s="6">
        <v>2.9000000000000001E-2</v>
      </c>
      <c r="C3041" s="6">
        <v>0.15933793556870399</v>
      </c>
    </row>
    <row r="3042" spans="1:3" s="7" customFormat="1" x14ac:dyDescent="0.2">
      <c r="A3042" s="6" t="str">
        <f>"FIP1L1"</f>
        <v>FIP1L1</v>
      </c>
      <c r="B3042" s="6">
        <v>2.8971028971028899E-2</v>
      </c>
      <c r="C3042" s="6">
        <v>0.15933793556870399</v>
      </c>
    </row>
    <row r="3043" spans="1:3" s="7" customFormat="1" x14ac:dyDescent="0.2">
      <c r="A3043" s="6" t="str">
        <f>"MRPL49"</f>
        <v>MRPL49</v>
      </c>
      <c r="B3043" s="6">
        <v>2.8971028971028899E-2</v>
      </c>
      <c r="C3043" s="6">
        <v>0.15933793556870399</v>
      </c>
    </row>
    <row r="3044" spans="1:3" s="7" customFormat="1" x14ac:dyDescent="0.2">
      <c r="A3044" s="6" t="str">
        <f>"LINC01765"</f>
        <v>LINC01765</v>
      </c>
      <c r="B3044" s="6">
        <v>2.9029029029028999E-2</v>
      </c>
      <c r="C3044" s="6">
        <v>0.15944501846572101</v>
      </c>
    </row>
    <row r="3045" spans="1:3" s="7" customFormat="1" x14ac:dyDescent="0.2">
      <c r="A3045" s="6" t="str">
        <f>"RPSAP11"</f>
        <v>RPSAP11</v>
      </c>
      <c r="B3045" s="6">
        <v>2.9233870967741899E-2</v>
      </c>
      <c r="C3045" s="6">
        <v>0.16051738480776501</v>
      </c>
    </row>
    <row r="3046" spans="1:3" s="7" customFormat="1" x14ac:dyDescent="0.2">
      <c r="A3046" s="6" t="str">
        <f>"AC119424.1"</f>
        <v>AC119424.1</v>
      </c>
      <c r="B3046" s="6">
        <v>2.9319371727748601E-2</v>
      </c>
      <c r="C3046" s="6">
        <v>0.16093398327014499</v>
      </c>
    </row>
    <row r="3047" spans="1:3" s="7" customFormat="1" x14ac:dyDescent="0.2">
      <c r="A3047" s="6" t="str">
        <f>"SIGLEC7"</f>
        <v>SIGLEC7</v>
      </c>
      <c r="B3047" s="6">
        <v>2.9970029970029899E-2</v>
      </c>
      <c r="C3047" s="6">
        <v>0.161383971676858</v>
      </c>
    </row>
    <row r="3048" spans="1:3" s="7" customFormat="1" x14ac:dyDescent="0.2">
      <c r="A3048" s="6" t="str">
        <f>"CFLAR"</f>
        <v>CFLAR</v>
      </c>
      <c r="B3048" s="6">
        <v>2.9970029970029899E-2</v>
      </c>
      <c r="C3048" s="6">
        <v>0.161383971676858</v>
      </c>
    </row>
    <row r="3049" spans="1:3" s="7" customFormat="1" x14ac:dyDescent="0.2">
      <c r="A3049" s="6" t="str">
        <f>"HSD11B1-AS1"</f>
        <v>HSD11B1-AS1</v>
      </c>
      <c r="B3049" s="6">
        <v>2.9970029970029899E-2</v>
      </c>
      <c r="C3049" s="6">
        <v>0.161383971676858</v>
      </c>
    </row>
    <row r="3050" spans="1:3" s="7" customFormat="1" x14ac:dyDescent="0.2">
      <c r="A3050" s="6" t="str">
        <f>"SERPINA11"</f>
        <v>SERPINA11</v>
      </c>
      <c r="B3050" s="6">
        <v>2.9970029970029899E-2</v>
      </c>
      <c r="C3050" s="6">
        <v>0.161383971676858</v>
      </c>
    </row>
    <row r="3051" spans="1:3" s="7" customFormat="1" x14ac:dyDescent="0.2">
      <c r="A3051" s="6" t="str">
        <f>"AL078604.2"</f>
        <v>AL078604.2</v>
      </c>
      <c r="B3051" s="6">
        <v>2.9970029970029899E-2</v>
      </c>
      <c r="C3051" s="6">
        <v>0.161383971676858</v>
      </c>
    </row>
    <row r="3052" spans="1:3" s="7" customFormat="1" x14ac:dyDescent="0.2">
      <c r="A3052" s="6" t="str">
        <f>"TPM3"</f>
        <v>TPM3</v>
      </c>
      <c r="B3052" s="6">
        <v>0.03</v>
      </c>
      <c r="C3052" s="6">
        <v>0.161383971676858</v>
      </c>
    </row>
    <row r="3053" spans="1:3" s="7" customFormat="1" x14ac:dyDescent="0.2">
      <c r="A3053" s="6" t="str">
        <f>"CCDC159"</f>
        <v>CCDC159</v>
      </c>
      <c r="B3053" s="6">
        <v>2.9970029970029899E-2</v>
      </c>
      <c r="C3053" s="6">
        <v>0.161383971676858</v>
      </c>
    </row>
    <row r="3054" spans="1:3" s="7" customFormat="1" x14ac:dyDescent="0.2">
      <c r="A3054" s="6" t="str">
        <f>"LRRC75A"</f>
        <v>LRRC75A</v>
      </c>
      <c r="B3054" s="6">
        <v>0.03</v>
      </c>
      <c r="C3054" s="6">
        <v>0.161383971676858</v>
      </c>
    </row>
    <row r="3055" spans="1:3" s="7" customFormat="1" x14ac:dyDescent="0.2">
      <c r="A3055" s="6" t="str">
        <f>"AL359258.3"</f>
        <v>AL359258.3</v>
      </c>
      <c r="B3055" s="6">
        <v>2.9970029970029899E-2</v>
      </c>
      <c r="C3055" s="6">
        <v>0.161383971676858</v>
      </c>
    </row>
    <row r="3056" spans="1:3" s="7" customFormat="1" x14ac:dyDescent="0.2">
      <c r="A3056" s="6" t="str">
        <f>"ZNF17"</f>
        <v>ZNF17</v>
      </c>
      <c r="B3056" s="6">
        <v>2.9970029970029899E-2</v>
      </c>
      <c r="C3056" s="6">
        <v>0.161383971676858</v>
      </c>
    </row>
    <row r="3057" spans="1:3" s="7" customFormat="1" x14ac:dyDescent="0.2">
      <c r="A3057" s="6" t="str">
        <f>"MAP10"</f>
        <v>MAP10</v>
      </c>
      <c r="B3057" s="6">
        <v>2.9970029970029899E-2</v>
      </c>
      <c r="C3057" s="6">
        <v>0.161383971676858</v>
      </c>
    </row>
    <row r="3058" spans="1:3" s="7" customFormat="1" x14ac:dyDescent="0.2">
      <c r="A3058" s="6" t="str">
        <f>"AC091390.3"</f>
        <v>AC091390.3</v>
      </c>
      <c r="B3058" s="6">
        <v>0.03</v>
      </c>
      <c r="C3058" s="6">
        <v>0.161383971676858</v>
      </c>
    </row>
    <row r="3059" spans="1:3" s="7" customFormat="1" x14ac:dyDescent="0.2">
      <c r="A3059" s="6" t="str">
        <f>"AC116407.1"</f>
        <v>AC116407.1</v>
      </c>
      <c r="B3059" s="6">
        <v>2.9970029970029899E-2</v>
      </c>
      <c r="C3059" s="6">
        <v>0.161383971676858</v>
      </c>
    </row>
    <row r="3060" spans="1:3" s="7" customFormat="1" x14ac:dyDescent="0.2">
      <c r="A3060" s="6" t="str">
        <f>"ADCK2"</f>
        <v>ADCK2</v>
      </c>
      <c r="B3060" s="6">
        <v>2.9970029970029899E-2</v>
      </c>
      <c r="C3060" s="6">
        <v>0.161383971676858</v>
      </c>
    </row>
    <row r="3061" spans="1:3" s="7" customFormat="1" x14ac:dyDescent="0.2">
      <c r="A3061" s="6" t="str">
        <f>"SNHG4"</f>
        <v>SNHG4</v>
      </c>
      <c r="B3061" s="6">
        <v>2.9970029970029899E-2</v>
      </c>
      <c r="C3061" s="6">
        <v>0.161383971676858</v>
      </c>
    </row>
    <row r="3062" spans="1:3" s="7" customFormat="1" x14ac:dyDescent="0.2">
      <c r="A3062" s="6" t="str">
        <f>"AL355377.4"</f>
        <v>AL355377.4</v>
      </c>
      <c r="B3062" s="6">
        <v>2.9970029970029899E-2</v>
      </c>
      <c r="C3062" s="6">
        <v>0.161383971676858</v>
      </c>
    </row>
    <row r="3063" spans="1:3" s="7" customFormat="1" x14ac:dyDescent="0.2">
      <c r="A3063" s="6" t="str">
        <f>"UQCR10"</f>
        <v>UQCR10</v>
      </c>
      <c r="B3063" s="6">
        <v>2.9970029970029899E-2</v>
      </c>
      <c r="C3063" s="6">
        <v>0.161383971676858</v>
      </c>
    </row>
    <row r="3064" spans="1:3" s="7" customFormat="1" x14ac:dyDescent="0.2">
      <c r="A3064" s="6" t="str">
        <f>"LINC01806"</f>
        <v>LINC01806</v>
      </c>
      <c r="B3064" s="6">
        <v>2.9970029970029899E-2</v>
      </c>
      <c r="C3064" s="6">
        <v>0.161383971676858</v>
      </c>
    </row>
    <row r="3065" spans="1:3" s="7" customFormat="1" x14ac:dyDescent="0.2">
      <c r="A3065" s="6" t="str">
        <f>"RHBDF1"</f>
        <v>RHBDF1</v>
      </c>
      <c r="B3065" s="6">
        <v>2.9970029970029899E-2</v>
      </c>
      <c r="C3065" s="6">
        <v>0.161383971676858</v>
      </c>
    </row>
    <row r="3066" spans="1:3" s="7" customFormat="1" x14ac:dyDescent="0.2">
      <c r="A3066" s="6" t="str">
        <f>"RPL22P1"</f>
        <v>RPL22P1</v>
      </c>
      <c r="B3066" s="6">
        <v>2.9970029970029899E-2</v>
      </c>
      <c r="C3066" s="6">
        <v>0.161383971676858</v>
      </c>
    </row>
    <row r="3067" spans="1:3" s="7" customFormat="1" x14ac:dyDescent="0.2">
      <c r="A3067" s="6" t="str">
        <f>"CEP152"</f>
        <v>CEP152</v>
      </c>
      <c r="B3067" s="6">
        <v>2.9970029970029899E-2</v>
      </c>
      <c r="C3067" s="6">
        <v>0.161383971676858</v>
      </c>
    </row>
    <row r="3068" spans="1:3" s="7" customFormat="1" x14ac:dyDescent="0.2">
      <c r="A3068" s="6" t="str">
        <f>"SEC14L5"</f>
        <v>SEC14L5</v>
      </c>
      <c r="B3068" s="6">
        <v>2.9970029970029899E-2</v>
      </c>
      <c r="C3068" s="6">
        <v>0.161383971676858</v>
      </c>
    </row>
    <row r="3069" spans="1:3" s="7" customFormat="1" x14ac:dyDescent="0.2">
      <c r="A3069" s="6" t="str">
        <f>"PRDM2"</f>
        <v>PRDM2</v>
      </c>
      <c r="B3069" s="6">
        <v>2.9970029970029899E-2</v>
      </c>
      <c r="C3069" s="6">
        <v>0.161383971676858</v>
      </c>
    </row>
    <row r="3070" spans="1:3" s="7" customFormat="1" x14ac:dyDescent="0.2">
      <c r="A3070" s="6" t="str">
        <f>"ZNF439"</f>
        <v>ZNF439</v>
      </c>
      <c r="B3070" s="6">
        <v>2.9970029970029899E-2</v>
      </c>
      <c r="C3070" s="6">
        <v>0.161383971676858</v>
      </c>
    </row>
    <row r="3071" spans="1:3" s="7" customFormat="1" x14ac:dyDescent="0.2">
      <c r="A3071" s="6" t="str">
        <f>"BET1"</f>
        <v>BET1</v>
      </c>
      <c r="B3071" s="6">
        <v>2.9970029970029899E-2</v>
      </c>
      <c r="C3071" s="6">
        <v>0.161383971676858</v>
      </c>
    </row>
    <row r="3072" spans="1:3" s="7" customFormat="1" x14ac:dyDescent="0.2">
      <c r="A3072" s="6" t="str">
        <f>"FAM189B"</f>
        <v>FAM189B</v>
      </c>
      <c r="B3072" s="6">
        <v>2.9970029970029899E-2</v>
      </c>
      <c r="C3072" s="6">
        <v>0.161383971676858</v>
      </c>
    </row>
    <row r="3073" spans="1:3" s="7" customFormat="1" x14ac:dyDescent="0.2">
      <c r="A3073" s="6" t="str">
        <f>"ARMCX1"</f>
        <v>ARMCX1</v>
      </c>
      <c r="B3073" s="6">
        <v>2.9970029970029899E-2</v>
      </c>
      <c r="C3073" s="6">
        <v>0.161383971676858</v>
      </c>
    </row>
    <row r="3074" spans="1:3" s="7" customFormat="1" x14ac:dyDescent="0.2">
      <c r="A3074" s="6" t="str">
        <f>"KMT2E-AS1"</f>
        <v>KMT2E-AS1</v>
      </c>
      <c r="B3074" s="6">
        <v>2.9970029970029899E-2</v>
      </c>
      <c r="C3074" s="6">
        <v>0.161383971676858</v>
      </c>
    </row>
    <row r="3075" spans="1:3" s="7" customFormat="1" x14ac:dyDescent="0.2">
      <c r="A3075" s="6" t="str">
        <f>"SMOX"</f>
        <v>SMOX</v>
      </c>
      <c r="B3075" s="6">
        <v>2.9970029970029899E-2</v>
      </c>
      <c r="C3075" s="6">
        <v>0.161383971676858</v>
      </c>
    </row>
    <row r="3076" spans="1:3" s="7" customFormat="1" x14ac:dyDescent="0.2">
      <c r="A3076" s="6" t="str">
        <f>"ZNF483"</f>
        <v>ZNF483</v>
      </c>
      <c r="B3076" s="6">
        <v>2.9970029970029899E-2</v>
      </c>
      <c r="C3076" s="6">
        <v>0.161383971676858</v>
      </c>
    </row>
    <row r="3077" spans="1:3" s="7" customFormat="1" x14ac:dyDescent="0.2">
      <c r="A3077" s="6" t="str">
        <f>"URI1"</f>
        <v>URI1</v>
      </c>
      <c r="B3077" s="6">
        <v>2.9970029970029899E-2</v>
      </c>
      <c r="C3077" s="6">
        <v>0.161383971676858</v>
      </c>
    </row>
    <row r="3078" spans="1:3" s="7" customFormat="1" x14ac:dyDescent="0.2">
      <c r="A3078" s="6" t="str">
        <f>"CENPM"</f>
        <v>CENPM</v>
      </c>
      <c r="B3078" s="6">
        <v>2.9970029970029899E-2</v>
      </c>
      <c r="C3078" s="6">
        <v>0.161383971676858</v>
      </c>
    </row>
    <row r="3079" spans="1:3" s="7" customFormat="1" x14ac:dyDescent="0.2">
      <c r="A3079" s="6" t="str">
        <f>"CBLL1"</f>
        <v>CBLL1</v>
      </c>
      <c r="B3079" s="6">
        <v>2.9970029970029899E-2</v>
      </c>
      <c r="C3079" s="6">
        <v>0.161383971676858</v>
      </c>
    </row>
    <row r="3080" spans="1:3" s="7" customFormat="1" x14ac:dyDescent="0.2">
      <c r="A3080" s="6" t="str">
        <f>"SLC45A1"</f>
        <v>SLC45A1</v>
      </c>
      <c r="B3080" s="6">
        <v>2.9970029970029899E-2</v>
      </c>
      <c r="C3080" s="6">
        <v>0.161383971676858</v>
      </c>
    </row>
    <row r="3081" spans="1:3" s="7" customFormat="1" x14ac:dyDescent="0.2">
      <c r="A3081" s="6" t="str">
        <f>"NR2C2AP"</f>
        <v>NR2C2AP</v>
      </c>
      <c r="B3081" s="6">
        <v>2.9970029970029899E-2</v>
      </c>
      <c r="C3081" s="6">
        <v>0.161383971676858</v>
      </c>
    </row>
    <row r="3082" spans="1:3" s="7" customFormat="1" x14ac:dyDescent="0.2">
      <c r="A3082" s="6" t="str">
        <f>"ZNF658"</f>
        <v>ZNF658</v>
      </c>
      <c r="B3082" s="6">
        <v>2.9970029970029899E-2</v>
      </c>
      <c r="C3082" s="6">
        <v>0.161383971676858</v>
      </c>
    </row>
    <row r="3083" spans="1:3" s="7" customFormat="1" x14ac:dyDescent="0.2">
      <c r="A3083" s="6" t="str">
        <f>"OR7E158P"</f>
        <v>OR7E158P</v>
      </c>
      <c r="B3083" s="6">
        <v>2.9970029970029899E-2</v>
      </c>
      <c r="C3083" s="6">
        <v>0.161383971676858</v>
      </c>
    </row>
    <row r="3084" spans="1:3" s="7" customFormat="1" x14ac:dyDescent="0.2">
      <c r="A3084" s="6" t="str">
        <f>"NUDT17"</f>
        <v>NUDT17</v>
      </c>
      <c r="B3084" s="6">
        <v>2.9970029970029899E-2</v>
      </c>
      <c r="C3084" s="6">
        <v>0.161383971676858</v>
      </c>
    </row>
    <row r="3085" spans="1:3" s="7" customFormat="1" x14ac:dyDescent="0.2">
      <c r="A3085" s="6" t="str">
        <f>"C1orf109"</f>
        <v>C1orf109</v>
      </c>
      <c r="B3085" s="6">
        <v>2.9970029970029899E-2</v>
      </c>
      <c r="C3085" s="6">
        <v>0.161383971676858</v>
      </c>
    </row>
    <row r="3086" spans="1:3" s="7" customFormat="1" x14ac:dyDescent="0.2">
      <c r="A3086" s="6" t="str">
        <f>"LINC02777"</f>
        <v>LINC02777</v>
      </c>
      <c r="B3086" s="6">
        <v>2.9970029970029899E-2</v>
      </c>
      <c r="C3086" s="6">
        <v>0.161383971676858</v>
      </c>
    </row>
    <row r="3087" spans="1:3" s="7" customFormat="1" x14ac:dyDescent="0.2">
      <c r="A3087" s="6" t="str">
        <f>"SNTG2"</f>
        <v>SNTG2</v>
      </c>
      <c r="B3087" s="6">
        <v>2.9970029970029899E-2</v>
      </c>
      <c r="C3087" s="6">
        <v>0.161383971676858</v>
      </c>
    </row>
    <row r="3088" spans="1:3" s="7" customFormat="1" x14ac:dyDescent="0.2">
      <c r="A3088" s="6" t="str">
        <f>"AVEN"</f>
        <v>AVEN</v>
      </c>
      <c r="B3088" s="6">
        <v>2.9970029970029899E-2</v>
      </c>
      <c r="C3088" s="6">
        <v>0.161383971676858</v>
      </c>
    </row>
    <row r="3089" spans="1:3" s="7" customFormat="1" x14ac:dyDescent="0.2">
      <c r="A3089" s="6" t="str">
        <f>"CWF19L2"</f>
        <v>CWF19L2</v>
      </c>
      <c r="B3089" s="6">
        <v>2.9970029970029899E-2</v>
      </c>
      <c r="C3089" s="6">
        <v>0.161383971676858</v>
      </c>
    </row>
    <row r="3090" spans="1:3" s="7" customFormat="1" x14ac:dyDescent="0.2">
      <c r="A3090" s="6" t="str">
        <f>"KIAA1958"</f>
        <v>KIAA1958</v>
      </c>
      <c r="B3090" s="6">
        <v>2.9970029970029899E-2</v>
      </c>
      <c r="C3090" s="6">
        <v>0.161383971676858</v>
      </c>
    </row>
    <row r="3091" spans="1:3" s="7" customFormat="1" x14ac:dyDescent="0.2">
      <c r="A3091" s="6" t="str">
        <f>"CYSTM1"</f>
        <v>CYSTM1</v>
      </c>
      <c r="B3091" s="6">
        <v>2.9970029970029899E-2</v>
      </c>
      <c r="C3091" s="6">
        <v>0.161383971676858</v>
      </c>
    </row>
    <row r="3092" spans="1:3" s="7" customFormat="1" x14ac:dyDescent="0.2">
      <c r="A3092" s="6" t="str">
        <f>"TNNT2"</f>
        <v>TNNT2</v>
      </c>
      <c r="B3092" s="6">
        <v>2.9970029970029899E-2</v>
      </c>
      <c r="C3092" s="6">
        <v>0.161383971676858</v>
      </c>
    </row>
    <row r="3093" spans="1:3" s="7" customFormat="1" x14ac:dyDescent="0.2">
      <c r="A3093" s="6" t="str">
        <f>"SOWAHA"</f>
        <v>SOWAHA</v>
      </c>
      <c r="B3093" s="6">
        <v>2.9970029970029899E-2</v>
      </c>
      <c r="C3093" s="6">
        <v>0.161383971676858</v>
      </c>
    </row>
    <row r="3094" spans="1:3" s="7" customFormat="1" x14ac:dyDescent="0.2">
      <c r="A3094" s="6" t="str">
        <f>"MGME1"</f>
        <v>MGME1</v>
      </c>
      <c r="B3094" s="6">
        <v>2.9970029970029899E-2</v>
      </c>
      <c r="C3094" s="6">
        <v>0.161383971676858</v>
      </c>
    </row>
    <row r="3095" spans="1:3" s="7" customFormat="1" x14ac:dyDescent="0.2">
      <c r="A3095" s="6" t="str">
        <f>"CKAP4"</f>
        <v>CKAP4</v>
      </c>
      <c r="B3095" s="6">
        <v>2.9970029970029899E-2</v>
      </c>
      <c r="C3095" s="6">
        <v>0.161383971676858</v>
      </c>
    </row>
    <row r="3096" spans="1:3" s="7" customFormat="1" x14ac:dyDescent="0.2">
      <c r="A3096" s="6" t="str">
        <f>"PRPH"</f>
        <v>PRPH</v>
      </c>
      <c r="B3096" s="6">
        <v>0.03</v>
      </c>
      <c r="C3096" s="6">
        <v>0.161383971676858</v>
      </c>
    </row>
    <row r="3097" spans="1:3" s="7" customFormat="1" x14ac:dyDescent="0.2">
      <c r="A3097" s="6" t="str">
        <f>"SSBP4"</f>
        <v>SSBP4</v>
      </c>
      <c r="B3097" s="6">
        <v>2.9970029970029899E-2</v>
      </c>
      <c r="C3097" s="6">
        <v>0.161383971676858</v>
      </c>
    </row>
    <row r="3098" spans="1:3" s="7" customFormat="1" x14ac:dyDescent="0.2">
      <c r="A3098" s="6" t="str">
        <f>"CFAP97D2"</f>
        <v>CFAP97D2</v>
      </c>
      <c r="B3098" s="6">
        <v>2.9970029970029899E-2</v>
      </c>
      <c r="C3098" s="6">
        <v>0.161383971676858</v>
      </c>
    </row>
    <row r="3099" spans="1:3" s="7" customFormat="1" x14ac:dyDescent="0.2">
      <c r="A3099" s="6" t="str">
        <f>"NDRG4"</f>
        <v>NDRG4</v>
      </c>
      <c r="B3099" s="6">
        <v>2.9970029970029899E-2</v>
      </c>
      <c r="C3099" s="6">
        <v>0.161383971676858</v>
      </c>
    </row>
    <row r="3100" spans="1:3" s="7" customFormat="1" x14ac:dyDescent="0.2">
      <c r="A3100" s="6" t="str">
        <f>"CDCA2"</f>
        <v>CDCA2</v>
      </c>
      <c r="B3100" s="6">
        <v>2.9970029970029899E-2</v>
      </c>
      <c r="C3100" s="6">
        <v>0.161383971676858</v>
      </c>
    </row>
    <row r="3101" spans="1:3" s="7" customFormat="1" x14ac:dyDescent="0.2">
      <c r="A3101" s="6" t="str">
        <f>"STOX2"</f>
        <v>STOX2</v>
      </c>
      <c r="B3101" s="6">
        <v>2.9970029970029899E-2</v>
      </c>
      <c r="C3101" s="6">
        <v>0.161383971676858</v>
      </c>
    </row>
    <row r="3102" spans="1:3" s="7" customFormat="1" x14ac:dyDescent="0.2">
      <c r="A3102" s="6" t="str">
        <f>"TCIM"</f>
        <v>TCIM</v>
      </c>
      <c r="B3102" s="6">
        <v>2.9970029970029899E-2</v>
      </c>
      <c r="C3102" s="6">
        <v>0.161383971676858</v>
      </c>
    </row>
    <row r="3103" spans="1:3" s="7" customFormat="1" x14ac:dyDescent="0.2">
      <c r="A3103" s="6" t="str">
        <f>"IQSEC2"</f>
        <v>IQSEC2</v>
      </c>
      <c r="B3103" s="6">
        <v>2.9970029970029899E-2</v>
      </c>
      <c r="C3103" s="6">
        <v>0.161383971676858</v>
      </c>
    </row>
    <row r="3104" spans="1:3" s="7" customFormat="1" x14ac:dyDescent="0.2">
      <c r="A3104" s="6" t="str">
        <f>"SNRNP40"</f>
        <v>SNRNP40</v>
      </c>
      <c r="B3104" s="6">
        <v>2.9970029970029899E-2</v>
      </c>
      <c r="C3104" s="6">
        <v>0.161383971676858</v>
      </c>
    </row>
    <row r="3105" spans="1:3" s="7" customFormat="1" x14ac:dyDescent="0.2">
      <c r="A3105" s="6" t="str">
        <f>"UBE2A"</f>
        <v>UBE2A</v>
      </c>
      <c r="B3105" s="6">
        <v>2.9970029970029899E-2</v>
      </c>
      <c r="C3105" s="6">
        <v>0.161383971676858</v>
      </c>
    </row>
    <row r="3106" spans="1:3" s="7" customFormat="1" x14ac:dyDescent="0.2">
      <c r="A3106" s="6" t="str">
        <f>"GCC1"</f>
        <v>GCC1</v>
      </c>
      <c r="B3106" s="6">
        <v>2.9970029970029899E-2</v>
      </c>
      <c r="C3106" s="6">
        <v>0.161383971676858</v>
      </c>
    </row>
    <row r="3107" spans="1:3" s="7" customFormat="1" x14ac:dyDescent="0.2">
      <c r="A3107" s="6" t="str">
        <f>"NDUFA7"</f>
        <v>NDUFA7</v>
      </c>
      <c r="B3107" s="6">
        <v>2.9970029970029899E-2</v>
      </c>
      <c r="C3107" s="6">
        <v>0.161383971676858</v>
      </c>
    </row>
    <row r="3108" spans="1:3" s="7" customFormat="1" x14ac:dyDescent="0.2">
      <c r="A3108" s="6" t="str">
        <f>"DNAJC10"</f>
        <v>DNAJC10</v>
      </c>
      <c r="B3108" s="6">
        <v>0.03</v>
      </c>
      <c r="C3108" s="6">
        <v>0.161383971676858</v>
      </c>
    </row>
    <row r="3109" spans="1:3" s="7" customFormat="1" x14ac:dyDescent="0.2">
      <c r="A3109" s="6" t="str">
        <f>"TYR"</f>
        <v>TYR</v>
      </c>
      <c r="B3109" s="6">
        <v>3.0030030030029999E-2</v>
      </c>
      <c r="C3109" s="6">
        <v>0.161493539871918</v>
      </c>
    </row>
    <row r="3110" spans="1:3" s="7" customFormat="1" x14ac:dyDescent="0.2">
      <c r="A3110" s="6" t="str">
        <f>"SFTPA2"</f>
        <v>SFTPA2</v>
      </c>
      <c r="B3110" s="6">
        <v>3.0364372469635598E-2</v>
      </c>
      <c r="C3110" s="6">
        <v>0.16323902266242801</v>
      </c>
    </row>
    <row r="3111" spans="1:3" s="7" customFormat="1" x14ac:dyDescent="0.2">
      <c r="A3111" s="6" t="str">
        <f>"AC136475.3"</f>
        <v>AC136475.3</v>
      </c>
      <c r="B3111" s="6">
        <v>3.0969030969030899E-2</v>
      </c>
      <c r="C3111" s="6">
        <v>0.16365571699305101</v>
      </c>
    </row>
    <row r="3112" spans="1:3" s="7" customFormat="1" x14ac:dyDescent="0.2">
      <c r="A3112" s="6" t="str">
        <f>"FAM209A"</f>
        <v>FAM209A</v>
      </c>
      <c r="B3112" s="6">
        <v>3.0969030969030899E-2</v>
      </c>
      <c r="C3112" s="6">
        <v>0.16365571699305101</v>
      </c>
    </row>
    <row r="3113" spans="1:3" s="7" customFormat="1" x14ac:dyDescent="0.2">
      <c r="A3113" s="6" t="str">
        <f>"CSF3"</f>
        <v>CSF3</v>
      </c>
      <c r="B3113" s="6">
        <v>3.0969030969030899E-2</v>
      </c>
      <c r="C3113" s="6">
        <v>0.16365571699305101</v>
      </c>
    </row>
    <row r="3114" spans="1:3" s="7" customFormat="1" x14ac:dyDescent="0.2">
      <c r="A3114" s="6" t="str">
        <f>"SMG7"</f>
        <v>SMG7</v>
      </c>
      <c r="B3114" s="6">
        <v>3.0969030969030899E-2</v>
      </c>
      <c r="C3114" s="6">
        <v>0.16365571699305101</v>
      </c>
    </row>
    <row r="3115" spans="1:3" s="7" customFormat="1" x14ac:dyDescent="0.2">
      <c r="A3115" s="6" t="str">
        <f>"AC010641.2"</f>
        <v>AC010641.2</v>
      </c>
      <c r="B3115" s="6">
        <v>3.09633027522935E-2</v>
      </c>
      <c r="C3115" s="6">
        <v>0.16365571699305101</v>
      </c>
    </row>
    <row r="3116" spans="1:3" s="7" customFormat="1" x14ac:dyDescent="0.2">
      <c r="A3116" s="6" t="str">
        <f>"XG"</f>
        <v>XG</v>
      </c>
      <c r="B3116" s="6">
        <v>3.0969030969030899E-2</v>
      </c>
      <c r="C3116" s="6">
        <v>0.16365571699305101</v>
      </c>
    </row>
    <row r="3117" spans="1:3" s="7" customFormat="1" x14ac:dyDescent="0.2">
      <c r="A3117" s="6" t="str">
        <f>"AC018645.3"</f>
        <v>AC018645.3</v>
      </c>
      <c r="B3117" s="6">
        <v>3.1E-2</v>
      </c>
      <c r="C3117" s="6">
        <v>0.16365571699305101</v>
      </c>
    </row>
    <row r="3118" spans="1:3" s="7" customFormat="1" x14ac:dyDescent="0.2">
      <c r="A3118" s="6" t="str">
        <f>"ZNF467"</f>
        <v>ZNF467</v>
      </c>
      <c r="B3118" s="6">
        <v>3.0969030969030899E-2</v>
      </c>
      <c r="C3118" s="6">
        <v>0.16365571699305101</v>
      </c>
    </row>
    <row r="3119" spans="1:3" s="7" customFormat="1" x14ac:dyDescent="0.2">
      <c r="A3119" s="6" t="str">
        <f>"SF3A1"</f>
        <v>SF3A1</v>
      </c>
      <c r="B3119" s="6">
        <v>3.0969030969030899E-2</v>
      </c>
      <c r="C3119" s="6">
        <v>0.16365571699305101</v>
      </c>
    </row>
    <row r="3120" spans="1:3" s="7" customFormat="1" x14ac:dyDescent="0.2">
      <c r="A3120" s="6" t="str">
        <f>"DRAP1"</f>
        <v>DRAP1</v>
      </c>
      <c r="B3120" s="6">
        <v>3.0969030969030899E-2</v>
      </c>
      <c r="C3120" s="6">
        <v>0.16365571699305101</v>
      </c>
    </row>
    <row r="3121" spans="1:3" s="7" customFormat="1" x14ac:dyDescent="0.2">
      <c r="A3121" s="6" t="str">
        <f>"MEP1A"</f>
        <v>MEP1A</v>
      </c>
      <c r="B3121" s="6">
        <v>3.0969030969030899E-2</v>
      </c>
      <c r="C3121" s="6">
        <v>0.16365571699305101</v>
      </c>
    </row>
    <row r="3122" spans="1:3" s="7" customFormat="1" x14ac:dyDescent="0.2">
      <c r="A3122" s="6" t="str">
        <f>"NQO2"</f>
        <v>NQO2</v>
      </c>
      <c r="B3122" s="6">
        <v>3.0969030969030899E-2</v>
      </c>
      <c r="C3122" s="6">
        <v>0.16365571699305101</v>
      </c>
    </row>
    <row r="3123" spans="1:3" s="7" customFormat="1" x14ac:dyDescent="0.2">
      <c r="A3123" s="6" t="str">
        <f>"ERAP2"</f>
        <v>ERAP2</v>
      </c>
      <c r="B3123" s="6">
        <v>3.0969030969030899E-2</v>
      </c>
      <c r="C3123" s="6">
        <v>0.16365571699305101</v>
      </c>
    </row>
    <row r="3124" spans="1:3" s="7" customFormat="1" x14ac:dyDescent="0.2">
      <c r="A3124" s="6" t="str">
        <f>"DSTNP2"</f>
        <v>DSTNP2</v>
      </c>
      <c r="B3124" s="6">
        <v>3.0969030969030899E-2</v>
      </c>
      <c r="C3124" s="6">
        <v>0.16365571699305101</v>
      </c>
    </row>
    <row r="3125" spans="1:3" s="7" customFormat="1" x14ac:dyDescent="0.2">
      <c r="A3125" s="6" t="str">
        <f>"NME1"</f>
        <v>NME1</v>
      </c>
      <c r="B3125" s="6">
        <v>3.0969030969030899E-2</v>
      </c>
      <c r="C3125" s="6">
        <v>0.16365571699305101</v>
      </c>
    </row>
    <row r="3126" spans="1:3" s="7" customFormat="1" x14ac:dyDescent="0.2">
      <c r="A3126" s="6" t="str">
        <f>"DDA1"</f>
        <v>DDA1</v>
      </c>
      <c r="B3126" s="6">
        <v>3.0969030969030899E-2</v>
      </c>
      <c r="C3126" s="6">
        <v>0.16365571699305101</v>
      </c>
    </row>
    <row r="3127" spans="1:3" s="7" customFormat="1" x14ac:dyDescent="0.2">
      <c r="A3127" s="6" t="str">
        <f>"FAM200A"</f>
        <v>FAM200A</v>
      </c>
      <c r="B3127" s="6">
        <v>3.0969030969030899E-2</v>
      </c>
      <c r="C3127" s="6">
        <v>0.16365571699305101</v>
      </c>
    </row>
    <row r="3128" spans="1:3" s="7" customFormat="1" x14ac:dyDescent="0.2">
      <c r="A3128" s="6" t="str">
        <f>"DYM"</f>
        <v>DYM</v>
      </c>
      <c r="B3128" s="6">
        <v>3.0969030969030899E-2</v>
      </c>
      <c r="C3128" s="6">
        <v>0.16365571699305101</v>
      </c>
    </row>
    <row r="3129" spans="1:3" s="7" customFormat="1" x14ac:dyDescent="0.2">
      <c r="A3129" s="6" t="str">
        <f>"TRPV3"</f>
        <v>TRPV3</v>
      </c>
      <c r="B3129" s="6">
        <v>3.0969030969030899E-2</v>
      </c>
      <c r="C3129" s="6">
        <v>0.16365571699305101</v>
      </c>
    </row>
    <row r="3130" spans="1:3" s="7" customFormat="1" x14ac:dyDescent="0.2">
      <c r="A3130" s="6" t="str">
        <f>"ZNF568"</f>
        <v>ZNF568</v>
      </c>
      <c r="B3130" s="6">
        <v>3.0969030969030899E-2</v>
      </c>
      <c r="C3130" s="6">
        <v>0.16365571699305101</v>
      </c>
    </row>
    <row r="3131" spans="1:3" s="7" customFormat="1" x14ac:dyDescent="0.2">
      <c r="A3131" s="6" t="str">
        <f>"PRRG3"</f>
        <v>PRRG3</v>
      </c>
      <c r="B3131" s="6">
        <v>3.0969030969030899E-2</v>
      </c>
      <c r="C3131" s="6">
        <v>0.16365571699305101</v>
      </c>
    </row>
    <row r="3132" spans="1:3" s="7" customFormat="1" x14ac:dyDescent="0.2">
      <c r="A3132" s="6" t="str">
        <f>"PLK4"</f>
        <v>PLK4</v>
      </c>
      <c r="B3132" s="6">
        <v>3.0969030969030899E-2</v>
      </c>
      <c r="C3132" s="6">
        <v>0.16365571699305101</v>
      </c>
    </row>
    <row r="3133" spans="1:3" s="7" customFormat="1" x14ac:dyDescent="0.2">
      <c r="A3133" s="6" t="str">
        <f>"ACD"</f>
        <v>ACD</v>
      </c>
      <c r="B3133" s="6">
        <v>3.0969030969030899E-2</v>
      </c>
      <c r="C3133" s="6">
        <v>0.16365571699305101</v>
      </c>
    </row>
    <row r="3134" spans="1:3" s="7" customFormat="1" x14ac:dyDescent="0.2">
      <c r="A3134" s="6" t="str">
        <f>"SBDSP1"</f>
        <v>SBDSP1</v>
      </c>
      <c r="B3134" s="6">
        <v>3.0969030969030899E-2</v>
      </c>
      <c r="C3134" s="6">
        <v>0.16365571699305101</v>
      </c>
    </row>
    <row r="3135" spans="1:3" s="7" customFormat="1" x14ac:dyDescent="0.2">
      <c r="A3135" s="6" t="str">
        <f>"CDH22"</f>
        <v>CDH22</v>
      </c>
      <c r="B3135" s="6">
        <v>3.0969030969030899E-2</v>
      </c>
      <c r="C3135" s="6">
        <v>0.16365571699305101</v>
      </c>
    </row>
    <row r="3136" spans="1:3" s="7" customFormat="1" x14ac:dyDescent="0.2">
      <c r="A3136" s="6" t="str">
        <f>"TRIP13"</f>
        <v>TRIP13</v>
      </c>
      <c r="B3136" s="6">
        <v>3.1E-2</v>
      </c>
      <c r="C3136" s="6">
        <v>0.16365571699305101</v>
      </c>
    </row>
    <row r="3137" spans="1:3" s="7" customFormat="1" x14ac:dyDescent="0.2">
      <c r="A3137" s="6" t="str">
        <f>"TM9SF3"</f>
        <v>TM9SF3</v>
      </c>
      <c r="B3137" s="6">
        <v>3.0969030969030899E-2</v>
      </c>
      <c r="C3137" s="6">
        <v>0.16365571699305101</v>
      </c>
    </row>
    <row r="3138" spans="1:3" s="7" customFormat="1" x14ac:dyDescent="0.2">
      <c r="A3138" s="6" t="str">
        <f>"CUTC"</f>
        <v>CUTC</v>
      </c>
      <c r="B3138" s="6">
        <v>3.0969030969030899E-2</v>
      </c>
      <c r="C3138" s="6">
        <v>0.16365571699305101</v>
      </c>
    </row>
    <row r="3139" spans="1:3" s="7" customFormat="1" x14ac:dyDescent="0.2">
      <c r="A3139" s="6" t="str">
        <f>"PPP1R32"</f>
        <v>PPP1R32</v>
      </c>
      <c r="B3139" s="6">
        <v>3.0969030969030899E-2</v>
      </c>
      <c r="C3139" s="6">
        <v>0.16365571699305101</v>
      </c>
    </row>
    <row r="3140" spans="1:3" s="7" customFormat="1" x14ac:dyDescent="0.2">
      <c r="A3140" s="6" t="str">
        <f>"OR7E22P"</f>
        <v>OR7E22P</v>
      </c>
      <c r="B3140" s="6">
        <v>3.0969030969030899E-2</v>
      </c>
      <c r="C3140" s="6">
        <v>0.16365571699305101</v>
      </c>
    </row>
    <row r="3141" spans="1:3" s="7" customFormat="1" x14ac:dyDescent="0.2">
      <c r="A3141" s="6" t="str">
        <f>"PSKH1"</f>
        <v>PSKH1</v>
      </c>
      <c r="B3141" s="6">
        <v>3.0969030969030899E-2</v>
      </c>
      <c r="C3141" s="6">
        <v>0.16365571699305101</v>
      </c>
    </row>
    <row r="3142" spans="1:3" s="7" customFormat="1" x14ac:dyDescent="0.2">
      <c r="A3142" s="6" t="str">
        <f>"MIEF2"</f>
        <v>MIEF2</v>
      </c>
      <c r="B3142" s="6">
        <v>3.0969030969030899E-2</v>
      </c>
      <c r="C3142" s="6">
        <v>0.16365571699305101</v>
      </c>
    </row>
    <row r="3143" spans="1:3" s="7" customFormat="1" x14ac:dyDescent="0.2">
      <c r="A3143" s="6" t="str">
        <f>"PPP1R14B"</f>
        <v>PPP1R14B</v>
      </c>
      <c r="B3143" s="6">
        <v>3.0969030969030899E-2</v>
      </c>
      <c r="C3143" s="6">
        <v>0.16365571699305101</v>
      </c>
    </row>
    <row r="3144" spans="1:3" s="7" customFormat="1" x14ac:dyDescent="0.2">
      <c r="A3144" s="6" t="str">
        <f>"PRSS41"</f>
        <v>PRSS41</v>
      </c>
      <c r="B3144" s="6">
        <v>3.0969030969030899E-2</v>
      </c>
      <c r="C3144" s="6">
        <v>0.16365571699305101</v>
      </c>
    </row>
    <row r="3145" spans="1:3" s="7" customFormat="1" x14ac:dyDescent="0.2">
      <c r="A3145" s="6" t="str">
        <f>"RHOB"</f>
        <v>RHOB</v>
      </c>
      <c r="B3145" s="6">
        <v>3.0969030969030899E-2</v>
      </c>
      <c r="C3145" s="6">
        <v>0.16365571699305101</v>
      </c>
    </row>
    <row r="3146" spans="1:3" s="7" customFormat="1" x14ac:dyDescent="0.2">
      <c r="A3146" s="6" t="str">
        <f>"TFAP2A-AS1"</f>
        <v>TFAP2A-AS1</v>
      </c>
      <c r="B3146" s="6">
        <v>3.1E-2</v>
      </c>
      <c r="C3146" s="6">
        <v>0.16365571699305101</v>
      </c>
    </row>
    <row r="3147" spans="1:3" s="7" customFormat="1" x14ac:dyDescent="0.2">
      <c r="A3147" s="6" t="str">
        <f>"ERICH5"</f>
        <v>ERICH5</v>
      </c>
      <c r="B3147" s="6">
        <v>3.0969030969030899E-2</v>
      </c>
      <c r="C3147" s="6">
        <v>0.16365571699305101</v>
      </c>
    </row>
    <row r="3148" spans="1:3" s="7" customFormat="1" x14ac:dyDescent="0.2">
      <c r="A3148" s="6" t="str">
        <f>"AC079447.1"</f>
        <v>AC079447.1</v>
      </c>
      <c r="B3148" s="6">
        <v>3.1E-2</v>
      </c>
      <c r="C3148" s="6">
        <v>0.16365571699305101</v>
      </c>
    </row>
    <row r="3149" spans="1:3" s="7" customFormat="1" x14ac:dyDescent="0.2">
      <c r="A3149" s="6" t="str">
        <f>"KDM5B"</f>
        <v>KDM5B</v>
      </c>
      <c r="B3149" s="6">
        <v>3.0969030969030899E-2</v>
      </c>
      <c r="C3149" s="6">
        <v>0.16365571699305101</v>
      </c>
    </row>
    <row r="3150" spans="1:3" s="7" customFormat="1" x14ac:dyDescent="0.2">
      <c r="A3150" s="6" t="str">
        <f>"ITPKB"</f>
        <v>ITPKB</v>
      </c>
      <c r="B3150" s="6">
        <v>3.0969030969030899E-2</v>
      </c>
      <c r="C3150" s="6">
        <v>0.16365571699305101</v>
      </c>
    </row>
    <row r="3151" spans="1:3" s="7" customFormat="1" x14ac:dyDescent="0.2">
      <c r="A3151" s="6" t="str">
        <f>"LRRC63"</f>
        <v>LRRC63</v>
      </c>
      <c r="B3151" s="6">
        <v>3.0969030969030899E-2</v>
      </c>
      <c r="C3151" s="6">
        <v>0.16365571699305101</v>
      </c>
    </row>
    <row r="3152" spans="1:3" s="7" customFormat="1" x14ac:dyDescent="0.2">
      <c r="A3152" s="6" t="str">
        <f>"PPM1K-DT"</f>
        <v>PPM1K-DT</v>
      </c>
      <c r="B3152" s="6">
        <v>3.0969030969030899E-2</v>
      </c>
      <c r="C3152" s="6">
        <v>0.16365571699305101</v>
      </c>
    </row>
    <row r="3153" spans="1:3" s="7" customFormat="1" x14ac:dyDescent="0.2">
      <c r="A3153" s="6" t="str">
        <f>"RNF25"</f>
        <v>RNF25</v>
      </c>
      <c r="B3153" s="6">
        <v>3.0969030969030899E-2</v>
      </c>
      <c r="C3153" s="6">
        <v>0.16365571699305101</v>
      </c>
    </row>
    <row r="3154" spans="1:3" s="7" customFormat="1" x14ac:dyDescent="0.2">
      <c r="A3154" s="6" t="str">
        <f>"MUC20P1"</f>
        <v>MUC20P1</v>
      </c>
      <c r="B3154" s="6">
        <v>3.0969030969030899E-2</v>
      </c>
      <c r="C3154" s="6">
        <v>0.16365571699305101</v>
      </c>
    </row>
    <row r="3155" spans="1:3" s="7" customFormat="1" x14ac:dyDescent="0.2">
      <c r="A3155" s="6" t="str">
        <f>"TNKS1BP1"</f>
        <v>TNKS1BP1</v>
      </c>
      <c r="B3155" s="6">
        <v>3.0969030969030899E-2</v>
      </c>
      <c r="C3155" s="6">
        <v>0.16365571699305101</v>
      </c>
    </row>
    <row r="3156" spans="1:3" s="7" customFormat="1" x14ac:dyDescent="0.2">
      <c r="A3156" s="6" t="str">
        <f>"SMPD4P1"</f>
        <v>SMPD4P1</v>
      </c>
      <c r="B3156" s="6">
        <v>3.0969030969030899E-2</v>
      </c>
      <c r="C3156" s="6">
        <v>0.16365571699305101</v>
      </c>
    </row>
    <row r="3157" spans="1:3" s="7" customFormat="1" x14ac:dyDescent="0.2">
      <c r="A3157" s="6" t="str">
        <f>"AC010980.1"</f>
        <v>AC010980.1</v>
      </c>
      <c r="B3157" s="6">
        <v>3.0969030969030899E-2</v>
      </c>
      <c r="C3157" s="6">
        <v>0.16365571699305101</v>
      </c>
    </row>
    <row r="3158" spans="1:3" s="7" customFormat="1" x14ac:dyDescent="0.2">
      <c r="A3158" s="6" t="str">
        <f>"LTB4R"</f>
        <v>LTB4R</v>
      </c>
      <c r="B3158" s="6">
        <v>3.0969030969030899E-2</v>
      </c>
      <c r="C3158" s="6">
        <v>0.16365571699305101</v>
      </c>
    </row>
    <row r="3159" spans="1:3" s="7" customFormat="1" x14ac:dyDescent="0.2">
      <c r="A3159" s="6" t="str">
        <f>"ZMYND10"</f>
        <v>ZMYND10</v>
      </c>
      <c r="B3159" s="6">
        <v>3.0969030969030899E-2</v>
      </c>
      <c r="C3159" s="6">
        <v>0.16365571699305101</v>
      </c>
    </row>
    <row r="3160" spans="1:3" s="7" customFormat="1" x14ac:dyDescent="0.2">
      <c r="A3160" s="6" t="str">
        <f>"FBXO10"</f>
        <v>FBXO10</v>
      </c>
      <c r="B3160" s="6">
        <v>3.0969030969030899E-2</v>
      </c>
      <c r="C3160" s="6">
        <v>0.16365571699305101</v>
      </c>
    </row>
    <row r="3161" spans="1:3" s="7" customFormat="1" x14ac:dyDescent="0.2">
      <c r="A3161" s="6" t="str">
        <f>"ERH"</f>
        <v>ERH</v>
      </c>
      <c r="B3161" s="6">
        <v>3.0969030969030899E-2</v>
      </c>
      <c r="C3161" s="6">
        <v>0.16365571699305101</v>
      </c>
    </row>
    <row r="3162" spans="1:3" s="7" customFormat="1" x14ac:dyDescent="0.2">
      <c r="A3162" s="6" t="str">
        <f>"MYH16"</f>
        <v>MYH16</v>
      </c>
      <c r="B3162" s="6">
        <v>3.0969030969030899E-2</v>
      </c>
      <c r="C3162" s="6">
        <v>0.16365571699305101</v>
      </c>
    </row>
    <row r="3163" spans="1:3" s="7" customFormat="1" x14ac:dyDescent="0.2">
      <c r="A3163" s="6" t="str">
        <f>"GPR183"</f>
        <v>GPR183</v>
      </c>
      <c r="B3163" s="6">
        <v>3.0969030969030899E-2</v>
      </c>
      <c r="C3163" s="6">
        <v>0.16365571699305101</v>
      </c>
    </row>
    <row r="3164" spans="1:3" s="7" customFormat="1" x14ac:dyDescent="0.2">
      <c r="A3164" s="6" t="str">
        <f>"GINS2"</f>
        <v>GINS2</v>
      </c>
      <c r="B3164" s="6">
        <v>3.0969030969030899E-2</v>
      </c>
      <c r="C3164" s="6">
        <v>0.16365571699305101</v>
      </c>
    </row>
    <row r="3165" spans="1:3" s="7" customFormat="1" x14ac:dyDescent="0.2">
      <c r="A3165" s="6" t="str">
        <f>"LINC02018"</f>
        <v>LINC02018</v>
      </c>
      <c r="B3165" s="6">
        <v>3.0969030969030899E-2</v>
      </c>
      <c r="C3165" s="6">
        <v>0.16365571699305101</v>
      </c>
    </row>
    <row r="3166" spans="1:3" s="7" customFormat="1" x14ac:dyDescent="0.2">
      <c r="A3166" s="6" t="str">
        <f>"INF2"</f>
        <v>INF2</v>
      </c>
      <c r="B3166" s="6">
        <v>3.0969030969030899E-2</v>
      </c>
      <c r="C3166" s="6">
        <v>0.16365571699305101</v>
      </c>
    </row>
    <row r="3167" spans="1:3" s="7" customFormat="1" x14ac:dyDescent="0.2">
      <c r="A3167" s="6" t="str">
        <f>"POLD2"</f>
        <v>POLD2</v>
      </c>
      <c r="B3167" s="6">
        <v>3.1E-2</v>
      </c>
      <c r="C3167" s="6">
        <v>0.16365571699305101</v>
      </c>
    </row>
    <row r="3168" spans="1:3" s="7" customFormat="1" x14ac:dyDescent="0.2">
      <c r="A3168" s="6" t="str">
        <f>"GNAI2"</f>
        <v>GNAI2</v>
      </c>
      <c r="B3168" s="6">
        <v>3.1031031031031001E-2</v>
      </c>
      <c r="C3168" s="6">
        <v>0.16376780948931199</v>
      </c>
    </row>
    <row r="3169" spans="1:3" s="7" customFormat="1" x14ac:dyDescent="0.2">
      <c r="A3169" s="6" t="str">
        <f>"AC007686.4"</f>
        <v>AC007686.4</v>
      </c>
      <c r="B3169" s="6">
        <v>3.10621242484969E-2</v>
      </c>
      <c r="C3169" s="6">
        <v>0.16388015930851599</v>
      </c>
    </row>
    <row r="3170" spans="1:3" s="7" customFormat="1" x14ac:dyDescent="0.2">
      <c r="A3170" s="6" t="str">
        <f>"AC090587.1"</f>
        <v>AC090587.1</v>
      </c>
      <c r="B3170" s="6">
        <v>3.1117397454031099E-2</v>
      </c>
      <c r="C3170" s="6">
        <v>0.16411996877459001</v>
      </c>
    </row>
    <row r="3171" spans="1:3" s="7" customFormat="1" x14ac:dyDescent="0.2">
      <c r="A3171" s="6" t="str">
        <f>"AC011978.2"</f>
        <v>AC011978.2</v>
      </c>
      <c r="B3171" s="6">
        <v>3.1168831168831099E-2</v>
      </c>
      <c r="C3171" s="6">
        <v>0.16433938301446099</v>
      </c>
    </row>
    <row r="3172" spans="1:3" s="7" customFormat="1" x14ac:dyDescent="0.2">
      <c r="A3172" s="6" t="str">
        <f>"PRR19"</f>
        <v>PRR19</v>
      </c>
      <c r="B3172" s="6">
        <v>3.125E-2</v>
      </c>
      <c r="C3172" s="6">
        <v>0.164715389467045</v>
      </c>
    </row>
    <row r="3173" spans="1:3" s="7" customFormat="1" x14ac:dyDescent="0.2">
      <c r="A3173" s="6" t="str">
        <f>"AC011676.5"</f>
        <v>AC011676.5</v>
      </c>
      <c r="B3173" s="6">
        <v>3.1968031968031899E-2</v>
      </c>
      <c r="C3173" s="6">
        <v>0.16640102345489999</v>
      </c>
    </row>
    <row r="3174" spans="1:3" s="7" customFormat="1" x14ac:dyDescent="0.2">
      <c r="A3174" s="6" t="str">
        <f>"THBD"</f>
        <v>THBD</v>
      </c>
      <c r="B3174" s="6">
        <v>3.1968031968031899E-2</v>
      </c>
      <c r="C3174" s="6">
        <v>0.16640102345489999</v>
      </c>
    </row>
    <row r="3175" spans="1:3" s="7" customFormat="1" x14ac:dyDescent="0.2">
      <c r="A3175" s="6" t="str">
        <f>"MT1M"</f>
        <v>MT1M</v>
      </c>
      <c r="B3175" s="6">
        <v>3.1968031968031899E-2</v>
      </c>
      <c r="C3175" s="6">
        <v>0.16640102345489999</v>
      </c>
    </row>
    <row r="3176" spans="1:3" s="7" customFormat="1" x14ac:dyDescent="0.2">
      <c r="A3176" s="6" t="str">
        <f>"AC099568.2"</f>
        <v>AC099568.2</v>
      </c>
      <c r="B3176" s="6">
        <v>3.1968031968031899E-2</v>
      </c>
      <c r="C3176" s="6">
        <v>0.16640102345489999</v>
      </c>
    </row>
    <row r="3177" spans="1:3" s="7" customFormat="1" x14ac:dyDescent="0.2">
      <c r="A3177" s="6" t="str">
        <f>"MUCL1"</f>
        <v>MUCL1</v>
      </c>
      <c r="B3177" s="6">
        <v>3.1968031968031899E-2</v>
      </c>
      <c r="C3177" s="6">
        <v>0.16640102345489999</v>
      </c>
    </row>
    <row r="3178" spans="1:3" s="7" customFormat="1" x14ac:dyDescent="0.2">
      <c r="A3178" s="6" t="str">
        <f>"LINC00343"</f>
        <v>LINC00343</v>
      </c>
      <c r="B3178" s="6">
        <v>3.1968031968031899E-2</v>
      </c>
      <c r="C3178" s="6">
        <v>0.16640102345489999</v>
      </c>
    </row>
    <row r="3179" spans="1:3" s="7" customFormat="1" x14ac:dyDescent="0.2">
      <c r="A3179" s="6" t="str">
        <f>"IQSEC1"</f>
        <v>IQSEC1</v>
      </c>
      <c r="B3179" s="6">
        <v>3.1968031968031899E-2</v>
      </c>
      <c r="C3179" s="6">
        <v>0.16640102345489999</v>
      </c>
    </row>
    <row r="3180" spans="1:3" s="7" customFormat="1" x14ac:dyDescent="0.2">
      <c r="A3180" s="6" t="str">
        <f>"SH2B3"</f>
        <v>SH2B3</v>
      </c>
      <c r="B3180" s="6">
        <v>3.1968031968031899E-2</v>
      </c>
      <c r="C3180" s="6">
        <v>0.16640102345489999</v>
      </c>
    </row>
    <row r="3181" spans="1:3" s="7" customFormat="1" x14ac:dyDescent="0.2">
      <c r="A3181" s="6" t="str">
        <f>"SEPTIN1"</f>
        <v>SEPTIN1</v>
      </c>
      <c r="B3181" s="6">
        <v>3.1968031968031899E-2</v>
      </c>
      <c r="C3181" s="6">
        <v>0.16640102345489999</v>
      </c>
    </row>
    <row r="3182" spans="1:3" s="7" customFormat="1" x14ac:dyDescent="0.2">
      <c r="A3182" s="6" t="str">
        <f>"BUB1"</f>
        <v>BUB1</v>
      </c>
      <c r="B3182" s="6">
        <v>3.1968031968031899E-2</v>
      </c>
      <c r="C3182" s="6">
        <v>0.16640102345489999</v>
      </c>
    </row>
    <row r="3183" spans="1:3" s="7" customFormat="1" x14ac:dyDescent="0.2">
      <c r="A3183" s="6" t="str">
        <f>"ARHGEF16"</f>
        <v>ARHGEF16</v>
      </c>
      <c r="B3183" s="6">
        <v>3.1968031968031899E-2</v>
      </c>
      <c r="C3183" s="6">
        <v>0.16640102345489999</v>
      </c>
    </row>
    <row r="3184" spans="1:3" s="7" customFormat="1" x14ac:dyDescent="0.2">
      <c r="A3184" s="6" t="str">
        <f>"SDC2"</f>
        <v>SDC2</v>
      </c>
      <c r="B3184" s="6">
        <v>3.1968031968031899E-2</v>
      </c>
      <c r="C3184" s="6">
        <v>0.16640102345489999</v>
      </c>
    </row>
    <row r="3185" spans="1:3" s="7" customFormat="1" x14ac:dyDescent="0.2">
      <c r="A3185" s="6" t="str">
        <f>"MIIP"</f>
        <v>MIIP</v>
      </c>
      <c r="B3185" s="6">
        <v>3.1968031968031899E-2</v>
      </c>
      <c r="C3185" s="6">
        <v>0.16640102345489999</v>
      </c>
    </row>
    <row r="3186" spans="1:3" s="7" customFormat="1" x14ac:dyDescent="0.2">
      <c r="A3186" s="6" t="str">
        <f>"ABHD11"</f>
        <v>ABHD11</v>
      </c>
      <c r="B3186" s="6">
        <v>3.1968031968031899E-2</v>
      </c>
      <c r="C3186" s="6">
        <v>0.16640102345489999</v>
      </c>
    </row>
    <row r="3187" spans="1:3" s="7" customFormat="1" x14ac:dyDescent="0.2">
      <c r="A3187" s="6" t="str">
        <f>"COMMD1"</f>
        <v>COMMD1</v>
      </c>
      <c r="B3187" s="6">
        <v>3.1968031968031899E-2</v>
      </c>
      <c r="C3187" s="6">
        <v>0.16640102345489999</v>
      </c>
    </row>
    <row r="3188" spans="1:3" s="7" customFormat="1" x14ac:dyDescent="0.2">
      <c r="A3188" s="6" t="str">
        <f>"BIRC2"</f>
        <v>BIRC2</v>
      </c>
      <c r="B3188" s="6">
        <v>3.1968031968031899E-2</v>
      </c>
      <c r="C3188" s="6">
        <v>0.16640102345489999</v>
      </c>
    </row>
    <row r="3189" spans="1:3" s="7" customFormat="1" x14ac:dyDescent="0.2">
      <c r="A3189" s="6" t="str">
        <f>"FBXO8"</f>
        <v>FBXO8</v>
      </c>
      <c r="B3189" s="6">
        <v>3.1968031968031899E-2</v>
      </c>
      <c r="C3189" s="6">
        <v>0.16640102345489999</v>
      </c>
    </row>
    <row r="3190" spans="1:3" s="7" customFormat="1" x14ac:dyDescent="0.2">
      <c r="A3190" s="6" t="str">
        <f>"LINC01732"</f>
        <v>LINC01732</v>
      </c>
      <c r="B3190" s="6">
        <v>3.1968031968031899E-2</v>
      </c>
      <c r="C3190" s="6">
        <v>0.16640102345489999</v>
      </c>
    </row>
    <row r="3191" spans="1:3" s="7" customFormat="1" x14ac:dyDescent="0.2">
      <c r="A3191" s="6" t="str">
        <f>"CLCN2"</f>
        <v>CLCN2</v>
      </c>
      <c r="B3191" s="6">
        <v>3.1968031968031899E-2</v>
      </c>
      <c r="C3191" s="6">
        <v>0.16640102345489999</v>
      </c>
    </row>
    <row r="3192" spans="1:3" s="7" customFormat="1" x14ac:dyDescent="0.2">
      <c r="A3192" s="6" t="str">
        <f>"POLE4"</f>
        <v>POLE4</v>
      </c>
      <c r="B3192" s="6">
        <v>3.1968031968031899E-2</v>
      </c>
      <c r="C3192" s="6">
        <v>0.16640102345489999</v>
      </c>
    </row>
    <row r="3193" spans="1:3" s="7" customFormat="1" x14ac:dyDescent="0.2">
      <c r="A3193" s="6" t="str">
        <f>"AC097625.1"</f>
        <v>AC097625.1</v>
      </c>
      <c r="B3193" s="6">
        <v>3.1968031968031899E-2</v>
      </c>
      <c r="C3193" s="6">
        <v>0.16640102345489999</v>
      </c>
    </row>
    <row r="3194" spans="1:3" s="7" customFormat="1" x14ac:dyDescent="0.2">
      <c r="A3194" s="6" t="str">
        <f>"CTF1"</f>
        <v>CTF1</v>
      </c>
      <c r="B3194" s="6">
        <v>3.1968031968031899E-2</v>
      </c>
      <c r="C3194" s="6">
        <v>0.16640102345489999</v>
      </c>
    </row>
    <row r="3195" spans="1:3" s="7" customFormat="1" x14ac:dyDescent="0.2">
      <c r="A3195" s="6" t="str">
        <f>"AL596442.4"</f>
        <v>AL596442.4</v>
      </c>
      <c r="B3195" s="6">
        <v>3.1968031968031899E-2</v>
      </c>
      <c r="C3195" s="6">
        <v>0.16640102345489999</v>
      </c>
    </row>
    <row r="3196" spans="1:3" s="7" customFormat="1" x14ac:dyDescent="0.2">
      <c r="A3196" s="6" t="str">
        <f>"CXCL12"</f>
        <v>CXCL12</v>
      </c>
      <c r="B3196" s="6">
        <v>3.1968031968031899E-2</v>
      </c>
      <c r="C3196" s="6">
        <v>0.16640102345489999</v>
      </c>
    </row>
    <row r="3197" spans="1:3" s="7" customFormat="1" x14ac:dyDescent="0.2">
      <c r="A3197" s="6" t="str">
        <f>"PRR7"</f>
        <v>PRR7</v>
      </c>
      <c r="B3197" s="6">
        <v>3.1968031968031899E-2</v>
      </c>
      <c r="C3197" s="6">
        <v>0.16640102345489999</v>
      </c>
    </row>
    <row r="3198" spans="1:3" s="7" customFormat="1" x14ac:dyDescent="0.2">
      <c r="A3198" s="6" t="str">
        <f>"AL513303.1"</f>
        <v>AL513303.1</v>
      </c>
      <c r="B3198" s="6">
        <v>3.1968031968031899E-2</v>
      </c>
      <c r="C3198" s="6">
        <v>0.16640102345489999</v>
      </c>
    </row>
    <row r="3199" spans="1:3" s="7" customFormat="1" x14ac:dyDescent="0.2">
      <c r="A3199" s="6" t="str">
        <f>"ZNF56"</f>
        <v>ZNF56</v>
      </c>
      <c r="B3199" s="6">
        <v>3.1968031968031899E-2</v>
      </c>
      <c r="C3199" s="6">
        <v>0.16640102345489999</v>
      </c>
    </row>
    <row r="3200" spans="1:3" s="7" customFormat="1" x14ac:dyDescent="0.2">
      <c r="A3200" s="6" t="str">
        <f>"UBL7-AS1"</f>
        <v>UBL7-AS1</v>
      </c>
      <c r="B3200" s="6">
        <v>3.1968031968031899E-2</v>
      </c>
      <c r="C3200" s="6">
        <v>0.16640102345489999</v>
      </c>
    </row>
    <row r="3201" spans="1:3" s="7" customFormat="1" x14ac:dyDescent="0.2">
      <c r="A3201" s="6" t="str">
        <f>"PRR34-AS1"</f>
        <v>PRR34-AS1</v>
      </c>
      <c r="B3201" s="6">
        <v>3.1968031968031899E-2</v>
      </c>
      <c r="C3201" s="6">
        <v>0.16640102345489999</v>
      </c>
    </row>
    <row r="3202" spans="1:3" s="7" customFormat="1" x14ac:dyDescent="0.2">
      <c r="A3202" s="6" t="str">
        <f>"PKP3"</f>
        <v>PKP3</v>
      </c>
      <c r="B3202" s="6">
        <v>3.1968031968031899E-2</v>
      </c>
      <c r="C3202" s="6">
        <v>0.16640102345489999</v>
      </c>
    </row>
    <row r="3203" spans="1:3" s="7" customFormat="1" x14ac:dyDescent="0.2">
      <c r="A3203" s="6" t="str">
        <f>"AL137781.1"</f>
        <v>AL137781.1</v>
      </c>
      <c r="B3203" s="6">
        <v>3.1968031968031899E-2</v>
      </c>
      <c r="C3203" s="6">
        <v>0.16640102345489999</v>
      </c>
    </row>
    <row r="3204" spans="1:3" s="7" customFormat="1" x14ac:dyDescent="0.2">
      <c r="A3204" s="6" t="str">
        <f>"WDR97"</f>
        <v>WDR97</v>
      </c>
      <c r="B3204" s="6">
        <v>3.1968031968031899E-2</v>
      </c>
      <c r="C3204" s="6">
        <v>0.16640102345489999</v>
      </c>
    </row>
    <row r="3205" spans="1:3" s="7" customFormat="1" x14ac:dyDescent="0.2">
      <c r="A3205" s="6" t="str">
        <f>"HSDL2"</f>
        <v>HSDL2</v>
      </c>
      <c r="B3205" s="6">
        <v>3.1968031968031899E-2</v>
      </c>
      <c r="C3205" s="6">
        <v>0.16640102345489999</v>
      </c>
    </row>
    <row r="3206" spans="1:3" s="7" customFormat="1" x14ac:dyDescent="0.2">
      <c r="A3206" s="6" t="str">
        <f>"EFCAB2"</f>
        <v>EFCAB2</v>
      </c>
      <c r="B3206" s="6">
        <v>3.1968031968031899E-2</v>
      </c>
      <c r="C3206" s="6">
        <v>0.16640102345489999</v>
      </c>
    </row>
    <row r="3207" spans="1:3" s="7" customFormat="1" x14ac:dyDescent="0.2">
      <c r="A3207" s="6" t="str">
        <f>"MOK"</f>
        <v>MOK</v>
      </c>
      <c r="B3207" s="6">
        <v>3.1968031968031899E-2</v>
      </c>
      <c r="C3207" s="6">
        <v>0.16640102345489999</v>
      </c>
    </row>
    <row r="3208" spans="1:3" s="7" customFormat="1" x14ac:dyDescent="0.2">
      <c r="A3208" s="6" t="str">
        <f>"HS2ST1"</f>
        <v>HS2ST1</v>
      </c>
      <c r="B3208" s="6">
        <v>3.1968031968031899E-2</v>
      </c>
      <c r="C3208" s="6">
        <v>0.16640102345489999</v>
      </c>
    </row>
    <row r="3209" spans="1:3" s="7" customFormat="1" x14ac:dyDescent="0.2">
      <c r="A3209" s="6" t="str">
        <f>"LCE3E"</f>
        <v>LCE3E</v>
      </c>
      <c r="B3209" s="6">
        <v>3.1968031968031899E-2</v>
      </c>
      <c r="C3209" s="6">
        <v>0.16640102345489999</v>
      </c>
    </row>
    <row r="3210" spans="1:3" s="7" customFormat="1" x14ac:dyDescent="0.2">
      <c r="A3210" s="6" t="str">
        <f>"MYCT1"</f>
        <v>MYCT1</v>
      </c>
      <c r="B3210" s="6">
        <v>3.1968031968031899E-2</v>
      </c>
      <c r="C3210" s="6">
        <v>0.16640102345489999</v>
      </c>
    </row>
    <row r="3211" spans="1:3" s="7" customFormat="1" x14ac:dyDescent="0.2">
      <c r="A3211" s="6" t="str">
        <f>"LYRM1"</f>
        <v>LYRM1</v>
      </c>
      <c r="B3211" s="6">
        <v>3.1968031968031899E-2</v>
      </c>
      <c r="C3211" s="6">
        <v>0.16640102345489999</v>
      </c>
    </row>
    <row r="3212" spans="1:3" s="7" customFormat="1" x14ac:dyDescent="0.2">
      <c r="A3212" s="6" t="str">
        <f>"HLCS"</f>
        <v>HLCS</v>
      </c>
      <c r="B3212" s="6">
        <v>3.1968031968031899E-2</v>
      </c>
      <c r="C3212" s="6">
        <v>0.16640102345489999</v>
      </c>
    </row>
    <row r="3213" spans="1:3" s="7" customFormat="1" x14ac:dyDescent="0.2">
      <c r="A3213" s="6" t="str">
        <f>"AC005306.1"</f>
        <v>AC005306.1</v>
      </c>
      <c r="B3213" s="6">
        <v>3.2000000000000001E-2</v>
      </c>
      <c r="C3213" s="6">
        <v>0.166411947728686</v>
      </c>
    </row>
    <row r="3214" spans="1:3" s="7" customFormat="1" x14ac:dyDescent="0.2">
      <c r="A3214" s="6" t="str">
        <f>"AP2A2"</f>
        <v>AP2A2</v>
      </c>
      <c r="B3214" s="6">
        <v>3.2000000000000001E-2</v>
      </c>
      <c r="C3214" s="6">
        <v>0.166411947728686</v>
      </c>
    </row>
    <row r="3215" spans="1:3" s="7" customFormat="1" x14ac:dyDescent="0.2">
      <c r="A3215" s="6" t="str">
        <f>"SNX18P7"</f>
        <v>SNX18P7</v>
      </c>
      <c r="B3215" s="6">
        <v>3.2000000000000001E-2</v>
      </c>
      <c r="C3215" s="6">
        <v>0.166411947728686</v>
      </c>
    </row>
    <row r="3216" spans="1:3" s="7" customFormat="1" x14ac:dyDescent="0.2">
      <c r="A3216" s="6" t="str">
        <f>"LINC00565"</f>
        <v>LINC00565</v>
      </c>
      <c r="B3216" s="6">
        <v>3.2064128256513003E-2</v>
      </c>
      <c r="C3216" s="6">
        <v>0.166693573772739</v>
      </c>
    </row>
    <row r="3217" spans="1:3" s="7" customFormat="1" x14ac:dyDescent="0.2">
      <c r="A3217" s="6" t="str">
        <f>"RCN1P2"</f>
        <v>RCN1P2</v>
      </c>
      <c r="B3217" s="6">
        <v>3.2193158953722302E-2</v>
      </c>
      <c r="C3217" s="6">
        <v>0.167312331701652</v>
      </c>
    </row>
    <row r="3218" spans="1:3" s="7" customFormat="1" x14ac:dyDescent="0.2">
      <c r="A3218" s="6" t="str">
        <f>"AC100812.1"</f>
        <v>AC100812.1</v>
      </c>
      <c r="B3218" s="6">
        <v>3.2225579053373601E-2</v>
      </c>
      <c r="C3218" s="6">
        <v>0.16742876229346701</v>
      </c>
    </row>
    <row r="3219" spans="1:3" s="7" customFormat="1" x14ac:dyDescent="0.2">
      <c r="A3219" s="6" t="str">
        <f>"EIF4BP6"</f>
        <v>EIF4BP6</v>
      </c>
      <c r="B3219" s="6">
        <v>3.2355915065722898E-2</v>
      </c>
      <c r="C3219" s="6">
        <v>0.16805368688890401</v>
      </c>
    </row>
    <row r="3220" spans="1:3" s="7" customFormat="1" x14ac:dyDescent="0.2">
      <c r="A3220" s="6" t="str">
        <f>"BCL6"</f>
        <v>BCL6</v>
      </c>
      <c r="B3220" s="6">
        <v>3.2967032967032898E-2</v>
      </c>
      <c r="C3220" s="6">
        <v>0.16829901924587301</v>
      </c>
    </row>
    <row r="3221" spans="1:3" s="7" customFormat="1" x14ac:dyDescent="0.2">
      <c r="A3221" s="6" t="str">
        <f>"PLK2"</f>
        <v>PLK2</v>
      </c>
      <c r="B3221" s="6">
        <v>3.2967032967032898E-2</v>
      </c>
      <c r="C3221" s="6">
        <v>0.16829901924587301</v>
      </c>
    </row>
    <row r="3222" spans="1:3" s="7" customFormat="1" x14ac:dyDescent="0.2">
      <c r="A3222" s="6" t="str">
        <f>"VPS9D1"</f>
        <v>VPS9D1</v>
      </c>
      <c r="B3222" s="6">
        <v>3.2967032967032898E-2</v>
      </c>
      <c r="C3222" s="6">
        <v>0.16829901924587301</v>
      </c>
    </row>
    <row r="3223" spans="1:3" s="7" customFormat="1" x14ac:dyDescent="0.2">
      <c r="A3223" s="6" t="str">
        <f>"KIF20B"</f>
        <v>KIF20B</v>
      </c>
      <c r="B3223" s="6">
        <v>3.2967032967032898E-2</v>
      </c>
      <c r="C3223" s="6">
        <v>0.16829901924587301</v>
      </c>
    </row>
    <row r="3224" spans="1:3" s="7" customFormat="1" x14ac:dyDescent="0.2">
      <c r="A3224" s="6" t="str">
        <f>"NPRL2"</f>
        <v>NPRL2</v>
      </c>
      <c r="B3224" s="6">
        <v>3.2967032967032898E-2</v>
      </c>
      <c r="C3224" s="6">
        <v>0.16829901924587301</v>
      </c>
    </row>
    <row r="3225" spans="1:3" s="7" customFormat="1" x14ac:dyDescent="0.2">
      <c r="A3225" s="6" t="str">
        <f>"TM4SF1-AS1"</f>
        <v>TM4SF1-AS1</v>
      </c>
      <c r="B3225" s="6">
        <v>3.2967032967032898E-2</v>
      </c>
      <c r="C3225" s="6">
        <v>0.16829901924587301</v>
      </c>
    </row>
    <row r="3226" spans="1:3" s="7" customFormat="1" x14ac:dyDescent="0.2">
      <c r="A3226" s="6" t="str">
        <f>"DCLK2"</f>
        <v>DCLK2</v>
      </c>
      <c r="B3226" s="6">
        <v>3.2967032967032898E-2</v>
      </c>
      <c r="C3226" s="6">
        <v>0.16829901924587301</v>
      </c>
    </row>
    <row r="3227" spans="1:3" s="7" customFormat="1" x14ac:dyDescent="0.2">
      <c r="A3227" s="6" t="str">
        <f>"AC016629.3"</f>
        <v>AC016629.3</v>
      </c>
      <c r="B3227" s="6">
        <v>3.2967032967032898E-2</v>
      </c>
      <c r="C3227" s="6">
        <v>0.16829901924587301</v>
      </c>
    </row>
    <row r="3228" spans="1:3" s="7" customFormat="1" x14ac:dyDescent="0.2">
      <c r="A3228" s="6" t="str">
        <f>"SIGIRR"</f>
        <v>SIGIRR</v>
      </c>
      <c r="B3228" s="6">
        <v>3.2967032967032898E-2</v>
      </c>
      <c r="C3228" s="6">
        <v>0.16829901924587301</v>
      </c>
    </row>
    <row r="3229" spans="1:3" s="7" customFormat="1" x14ac:dyDescent="0.2">
      <c r="A3229" s="6" t="str">
        <f>"YPEL3"</f>
        <v>YPEL3</v>
      </c>
      <c r="B3229" s="6">
        <v>3.2967032967032898E-2</v>
      </c>
      <c r="C3229" s="6">
        <v>0.16829901924587301</v>
      </c>
    </row>
    <row r="3230" spans="1:3" s="7" customFormat="1" x14ac:dyDescent="0.2">
      <c r="A3230" s="6" t="str">
        <f>"WDHD1"</f>
        <v>WDHD1</v>
      </c>
      <c r="B3230" s="6">
        <v>3.2967032967032898E-2</v>
      </c>
      <c r="C3230" s="6">
        <v>0.16829901924587301</v>
      </c>
    </row>
    <row r="3231" spans="1:3" s="7" customFormat="1" x14ac:dyDescent="0.2">
      <c r="A3231" s="6" t="str">
        <f>"SEMA4F"</f>
        <v>SEMA4F</v>
      </c>
      <c r="B3231" s="6">
        <v>3.2967032967032898E-2</v>
      </c>
      <c r="C3231" s="6">
        <v>0.16829901924587301</v>
      </c>
    </row>
    <row r="3232" spans="1:3" s="7" customFormat="1" x14ac:dyDescent="0.2">
      <c r="A3232" s="6" t="str">
        <f>"TIAF1"</f>
        <v>TIAF1</v>
      </c>
      <c r="B3232" s="6">
        <v>3.2967032967032898E-2</v>
      </c>
      <c r="C3232" s="6">
        <v>0.16829901924587301</v>
      </c>
    </row>
    <row r="3233" spans="1:3" s="7" customFormat="1" x14ac:dyDescent="0.2">
      <c r="A3233" s="6" t="str">
        <f>"TET3"</f>
        <v>TET3</v>
      </c>
      <c r="B3233" s="6">
        <v>3.2967032967032898E-2</v>
      </c>
      <c r="C3233" s="6">
        <v>0.16829901924587301</v>
      </c>
    </row>
    <row r="3234" spans="1:3" s="7" customFormat="1" x14ac:dyDescent="0.2">
      <c r="A3234" s="6" t="str">
        <f>"SPTBN2"</f>
        <v>SPTBN2</v>
      </c>
      <c r="B3234" s="6">
        <v>3.2967032967032898E-2</v>
      </c>
      <c r="C3234" s="6">
        <v>0.16829901924587301</v>
      </c>
    </row>
    <row r="3235" spans="1:3" s="7" customFormat="1" x14ac:dyDescent="0.2">
      <c r="A3235" s="6" t="str">
        <f>"GHR"</f>
        <v>GHR</v>
      </c>
      <c r="B3235" s="6">
        <v>3.2967032967032898E-2</v>
      </c>
      <c r="C3235" s="6">
        <v>0.16829901924587301</v>
      </c>
    </row>
    <row r="3236" spans="1:3" s="7" customFormat="1" x14ac:dyDescent="0.2">
      <c r="A3236" s="6" t="str">
        <f>"MRPL18"</f>
        <v>MRPL18</v>
      </c>
      <c r="B3236" s="6">
        <v>3.2967032967032898E-2</v>
      </c>
      <c r="C3236" s="6">
        <v>0.16829901924587301</v>
      </c>
    </row>
    <row r="3237" spans="1:3" s="7" customFormat="1" x14ac:dyDescent="0.2">
      <c r="A3237" s="6" t="str">
        <f>"ACTR5"</f>
        <v>ACTR5</v>
      </c>
      <c r="B3237" s="6">
        <v>3.2967032967032898E-2</v>
      </c>
      <c r="C3237" s="6">
        <v>0.16829901924587301</v>
      </c>
    </row>
    <row r="3238" spans="1:3" s="7" customFormat="1" x14ac:dyDescent="0.2">
      <c r="A3238" s="6" t="str">
        <f>"CCDC122"</f>
        <v>CCDC122</v>
      </c>
      <c r="B3238" s="6">
        <v>3.2967032967032898E-2</v>
      </c>
      <c r="C3238" s="6">
        <v>0.16829901924587301</v>
      </c>
    </row>
    <row r="3239" spans="1:3" s="7" customFormat="1" x14ac:dyDescent="0.2">
      <c r="A3239" s="6" t="str">
        <f>"FNBP1L"</f>
        <v>FNBP1L</v>
      </c>
      <c r="B3239" s="6">
        <v>3.2967032967032898E-2</v>
      </c>
      <c r="C3239" s="6">
        <v>0.16829901924587301</v>
      </c>
    </row>
    <row r="3240" spans="1:3" s="7" customFormat="1" x14ac:dyDescent="0.2">
      <c r="A3240" s="6" t="str">
        <f>"AKR1B10"</f>
        <v>AKR1B10</v>
      </c>
      <c r="B3240" s="6">
        <v>3.2967032967032898E-2</v>
      </c>
      <c r="C3240" s="6">
        <v>0.16829901924587301</v>
      </c>
    </row>
    <row r="3241" spans="1:3" s="7" customFormat="1" x14ac:dyDescent="0.2">
      <c r="A3241" s="6" t="str">
        <f>"SINHCAF"</f>
        <v>SINHCAF</v>
      </c>
      <c r="B3241" s="6">
        <v>3.2967032967032898E-2</v>
      </c>
      <c r="C3241" s="6">
        <v>0.16829901924587301</v>
      </c>
    </row>
    <row r="3242" spans="1:3" s="7" customFormat="1" x14ac:dyDescent="0.2">
      <c r="A3242" s="6" t="str">
        <f>"IRAG1-AS1"</f>
        <v>IRAG1-AS1</v>
      </c>
      <c r="B3242" s="6">
        <v>3.2967032967032898E-2</v>
      </c>
      <c r="C3242" s="6">
        <v>0.16829901924587301</v>
      </c>
    </row>
    <row r="3243" spans="1:3" s="7" customFormat="1" x14ac:dyDescent="0.2">
      <c r="A3243" s="6" t="str">
        <f>"AKR1B15"</f>
        <v>AKR1B15</v>
      </c>
      <c r="B3243" s="6">
        <v>3.2967032967032898E-2</v>
      </c>
      <c r="C3243" s="6">
        <v>0.16829901924587301</v>
      </c>
    </row>
    <row r="3244" spans="1:3" s="7" customFormat="1" x14ac:dyDescent="0.2">
      <c r="A3244" s="6" t="str">
        <f>"MAP3K8"</f>
        <v>MAP3K8</v>
      </c>
      <c r="B3244" s="6">
        <v>3.2967032967032898E-2</v>
      </c>
      <c r="C3244" s="6">
        <v>0.16829901924587301</v>
      </c>
    </row>
    <row r="3245" spans="1:3" s="7" customFormat="1" x14ac:dyDescent="0.2">
      <c r="A3245" s="6" t="str">
        <f>"IRX3"</f>
        <v>IRX3</v>
      </c>
      <c r="B3245" s="6">
        <v>3.2967032967032898E-2</v>
      </c>
      <c r="C3245" s="6">
        <v>0.16829901924587301</v>
      </c>
    </row>
    <row r="3246" spans="1:3" s="7" customFormat="1" x14ac:dyDescent="0.2">
      <c r="A3246" s="6" t="str">
        <f>"STAG3L5P"</f>
        <v>STAG3L5P</v>
      </c>
      <c r="B3246" s="6">
        <v>3.2967032967032898E-2</v>
      </c>
      <c r="C3246" s="6">
        <v>0.16829901924587301</v>
      </c>
    </row>
    <row r="3247" spans="1:3" s="7" customFormat="1" x14ac:dyDescent="0.2">
      <c r="A3247" s="6" t="str">
        <f>"NENF"</f>
        <v>NENF</v>
      </c>
      <c r="B3247" s="6">
        <v>3.2967032967032898E-2</v>
      </c>
      <c r="C3247" s="6">
        <v>0.16829901924587301</v>
      </c>
    </row>
    <row r="3248" spans="1:3" s="7" customFormat="1" x14ac:dyDescent="0.2">
      <c r="A3248" s="6" t="str">
        <f>"RPA2"</f>
        <v>RPA2</v>
      </c>
      <c r="B3248" s="6">
        <v>3.2967032967032898E-2</v>
      </c>
      <c r="C3248" s="6">
        <v>0.16829901924587301</v>
      </c>
    </row>
    <row r="3249" spans="1:3" s="7" customFormat="1" x14ac:dyDescent="0.2">
      <c r="A3249" s="6" t="str">
        <f>"LINC00638"</f>
        <v>LINC00638</v>
      </c>
      <c r="B3249" s="6">
        <v>3.2967032967032898E-2</v>
      </c>
      <c r="C3249" s="6">
        <v>0.16829901924587301</v>
      </c>
    </row>
    <row r="3250" spans="1:3" s="7" customFormat="1" x14ac:dyDescent="0.2">
      <c r="A3250" s="6" t="str">
        <f>"DHPS"</f>
        <v>DHPS</v>
      </c>
      <c r="B3250" s="6">
        <v>3.2967032967032898E-2</v>
      </c>
      <c r="C3250" s="6">
        <v>0.16829901924587301</v>
      </c>
    </row>
    <row r="3251" spans="1:3" s="7" customFormat="1" x14ac:dyDescent="0.2">
      <c r="A3251" s="6" t="str">
        <f>"FRMD3"</f>
        <v>FRMD3</v>
      </c>
      <c r="B3251" s="6">
        <v>3.2967032967032898E-2</v>
      </c>
      <c r="C3251" s="6">
        <v>0.16829901924587301</v>
      </c>
    </row>
    <row r="3252" spans="1:3" s="7" customFormat="1" x14ac:dyDescent="0.2">
      <c r="A3252" s="6" t="str">
        <f>"ABCA13"</f>
        <v>ABCA13</v>
      </c>
      <c r="B3252" s="6">
        <v>3.2967032967032898E-2</v>
      </c>
      <c r="C3252" s="6">
        <v>0.16829901924587301</v>
      </c>
    </row>
    <row r="3253" spans="1:3" s="7" customFormat="1" x14ac:dyDescent="0.2">
      <c r="A3253" s="6" t="str">
        <f>"TBCB"</f>
        <v>TBCB</v>
      </c>
      <c r="B3253" s="6">
        <v>3.2967032967032898E-2</v>
      </c>
      <c r="C3253" s="6">
        <v>0.16829901924587301</v>
      </c>
    </row>
    <row r="3254" spans="1:3" s="7" customFormat="1" x14ac:dyDescent="0.2">
      <c r="A3254" s="6" t="str">
        <f>"SYNPR-AS1"</f>
        <v>SYNPR-AS1</v>
      </c>
      <c r="B3254" s="6">
        <v>3.2967032967032898E-2</v>
      </c>
      <c r="C3254" s="6">
        <v>0.16829901924587301</v>
      </c>
    </row>
    <row r="3255" spans="1:3" s="7" customFormat="1" x14ac:dyDescent="0.2">
      <c r="A3255" s="6" t="str">
        <f>"SCO1"</f>
        <v>SCO1</v>
      </c>
      <c r="B3255" s="6">
        <v>3.2967032967032898E-2</v>
      </c>
      <c r="C3255" s="6">
        <v>0.16829901924587301</v>
      </c>
    </row>
    <row r="3256" spans="1:3" s="7" customFormat="1" x14ac:dyDescent="0.2">
      <c r="A3256" s="6" t="str">
        <f>"SLC35C1"</f>
        <v>SLC35C1</v>
      </c>
      <c r="B3256" s="6">
        <v>3.2967032967032898E-2</v>
      </c>
      <c r="C3256" s="6">
        <v>0.16829901924587301</v>
      </c>
    </row>
    <row r="3257" spans="1:3" s="7" customFormat="1" x14ac:dyDescent="0.2">
      <c r="A3257" s="6" t="str">
        <f>"SILC1"</f>
        <v>SILC1</v>
      </c>
      <c r="B3257" s="6">
        <v>3.2967032967032898E-2</v>
      </c>
      <c r="C3257" s="6">
        <v>0.16829901924587301</v>
      </c>
    </row>
    <row r="3258" spans="1:3" s="7" customFormat="1" x14ac:dyDescent="0.2">
      <c r="A3258" s="6" t="str">
        <f>"TDRD1"</f>
        <v>TDRD1</v>
      </c>
      <c r="B3258" s="6">
        <v>3.2967032967032898E-2</v>
      </c>
      <c r="C3258" s="6">
        <v>0.16829901924587301</v>
      </c>
    </row>
    <row r="3259" spans="1:3" s="7" customFormat="1" x14ac:dyDescent="0.2">
      <c r="A3259" s="6" t="str">
        <f>"IMPA1"</f>
        <v>IMPA1</v>
      </c>
      <c r="B3259" s="6">
        <v>3.2967032967032898E-2</v>
      </c>
      <c r="C3259" s="6">
        <v>0.16829901924587301</v>
      </c>
    </row>
    <row r="3260" spans="1:3" s="7" customFormat="1" x14ac:dyDescent="0.2">
      <c r="A3260" s="6" t="str">
        <f>"MMP23B"</f>
        <v>MMP23B</v>
      </c>
      <c r="B3260" s="6">
        <v>3.2967032967032898E-2</v>
      </c>
      <c r="C3260" s="6">
        <v>0.16829901924587301</v>
      </c>
    </row>
    <row r="3261" spans="1:3" s="7" customFormat="1" x14ac:dyDescent="0.2">
      <c r="A3261" s="6" t="str">
        <f>"ZMYM5"</f>
        <v>ZMYM5</v>
      </c>
      <c r="B3261" s="6">
        <v>3.2967032967032898E-2</v>
      </c>
      <c r="C3261" s="6">
        <v>0.16829901924587301</v>
      </c>
    </row>
    <row r="3262" spans="1:3" s="7" customFormat="1" x14ac:dyDescent="0.2">
      <c r="A3262" s="6" t="str">
        <f>"NUDT14"</f>
        <v>NUDT14</v>
      </c>
      <c r="B3262" s="6">
        <v>3.2967032967032898E-2</v>
      </c>
      <c r="C3262" s="6">
        <v>0.16829901924587301</v>
      </c>
    </row>
    <row r="3263" spans="1:3" s="7" customFormat="1" x14ac:dyDescent="0.2">
      <c r="A3263" s="6" t="str">
        <f>"C11orf65"</f>
        <v>C11orf65</v>
      </c>
      <c r="B3263" s="6">
        <v>3.2967032967032898E-2</v>
      </c>
      <c r="C3263" s="6">
        <v>0.16829901924587301</v>
      </c>
    </row>
    <row r="3264" spans="1:3" s="7" customFormat="1" x14ac:dyDescent="0.2">
      <c r="A3264" s="6" t="str">
        <f>"RCAN3AS"</f>
        <v>RCAN3AS</v>
      </c>
      <c r="B3264" s="6">
        <v>3.2967032967032898E-2</v>
      </c>
      <c r="C3264" s="6">
        <v>0.16829901924587301</v>
      </c>
    </row>
    <row r="3265" spans="1:3" s="7" customFormat="1" x14ac:dyDescent="0.2">
      <c r="A3265" s="6" t="str">
        <f>"PRDM11"</f>
        <v>PRDM11</v>
      </c>
      <c r="B3265" s="6">
        <v>3.2967032967032898E-2</v>
      </c>
      <c r="C3265" s="6">
        <v>0.16829901924587301</v>
      </c>
    </row>
    <row r="3266" spans="1:3" s="7" customFormat="1" x14ac:dyDescent="0.2">
      <c r="A3266" s="6" t="str">
        <f>"AC109583.1"</f>
        <v>AC109583.1</v>
      </c>
      <c r="B3266" s="6">
        <v>3.2967032967032898E-2</v>
      </c>
      <c r="C3266" s="6">
        <v>0.16829901924587301</v>
      </c>
    </row>
    <row r="3267" spans="1:3" s="7" customFormat="1" x14ac:dyDescent="0.2">
      <c r="A3267" s="6" t="str">
        <f>"GMPS"</f>
        <v>GMPS</v>
      </c>
      <c r="B3267" s="6">
        <v>3.2967032967032898E-2</v>
      </c>
      <c r="C3267" s="6">
        <v>0.16829901924587301</v>
      </c>
    </row>
    <row r="3268" spans="1:3" s="7" customFormat="1" x14ac:dyDescent="0.2">
      <c r="A3268" s="6" t="str">
        <f>"AC010997.4"</f>
        <v>AC010997.4</v>
      </c>
      <c r="B3268" s="6">
        <v>3.2967032967032898E-2</v>
      </c>
      <c r="C3268" s="6">
        <v>0.16829901924587301</v>
      </c>
    </row>
    <row r="3269" spans="1:3" s="7" customFormat="1" x14ac:dyDescent="0.2">
      <c r="A3269" s="6" t="str">
        <f>"MEOX1"</f>
        <v>MEOX1</v>
      </c>
      <c r="B3269" s="6">
        <v>3.2967032967032898E-2</v>
      </c>
      <c r="C3269" s="6">
        <v>0.16829901924587301</v>
      </c>
    </row>
    <row r="3270" spans="1:3" s="7" customFormat="1" x14ac:dyDescent="0.2">
      <c r="A3270" s="6" t="str">
        <f>"AL591926.6"</f>
        <v>AL591926.6</v>
      </c>
      <c r="B3270" s="6">
        <v>3.2967032967032898E-2</v>
      </c>
      <c r="C3270" s="6">
        <v>0.16829901924587301</v>
      </c>
    </row>
    <row r="3271" spans="1:3" s="7" customFormat="1" x14ac:dyDescent="0.2">
      <c r="A3271" s="6" t="str">
        <f>"PCDHAC2"</f>
        <v>PCDHAC2</v>
      </c>
      <c r="B3271" s="6">
        <v>3.2967032967032898E-2</v>
      </c>
      <c r="C3271" s="6">
        <v>0.16829901924587301</v>
      </c>
    </row>
    <row r="3272" spans="1:3" s="7" customFormat="1" x14ac:dyDescent="0.2">
      <c r="A3272" s="6" t="str">
        <f>"AHSA1"</f>
        <v>AHSA1</v>
      </c>
      <c r="B3272" s="6">
        <v>3.2967032967032898E-2</v>
      </c>
      <c r="C3272" s="6">
        <v>0.16829901924587301</v>
      </c>
    </row>
    <row r="3273" spans="1:3" s="7" customFormat="1" x14ac:dyDescent="0.2">
      <c r="A3273" s="6" t="str">
        <f>"SCN2B"</f>
        <v>SCN2B</v>
      </c>
      <c r="B3273" s="6">
        <v>3.2967032967032898E-2</v>
      </c>
      <c r="C3273" s="6">
        <v>0.16829901924587301</v>
      </c>
    </row>
    <row r="3274" spans="1:3" s="7" customFormat="1" x14ac:dyDescent="0.2">
      <c r="A3274" s="6" t="str">
        <f>"ERC1"</f>
        <v>ERC1</v>
      </c>
      <c r="B3274" s="6">
        <v>3.2967032967032898E-2</v>
      </c>
      <c r="C3274" s="6">
        <v>0.16829901924587301</v>
      </c>
    </row>
    <row r="3275" spans="1:3" s="7" customFormat="1" x14ac:dyDescent="0.2">
      <c r="A3275" s="6" t="str">
        <f>"LCMT2"</f>
        <v>LCMT2</v>
      </c>
      <c r="B3275" s="6">
        <v>3.2967032967032898E-2</v>
      </c>
      <c r="C3275" s="6">
        <v>0.16829901924587301</v>
      </c>
    </row>
    <row r="3276" spans="1:3" s="7" customFormat="1" x14ac:dyDescent="0.2">
      <c r="A3276" s="6" t="str">
        <f>"RPS6KA4"</f>
        <v>RPS6KA4</v>
      </c>
      <c r="B3276" s="6">
        <v>3.3000000000000002E-2</v>
      </c>
      <c r="C3276" s="6">
        <v>0.16836446886446799</v>
      </c>
    </row>
    <row r="3277" spans="1:3" s="7" customFormat="1" x14ac:dyDescent="0.2">
      <c r="A3277" s="6" t="str">
        <f>"RBM24"</f>
        <v>RBM24</v>
      </c>
      <c r="B3277" s="6">
        <v>3.3000000000000002E-2</v>
      </c>
      <c r="C3277" s="6">
        <v>0.16836446886446799</v>
      </c>
    </row>
    <row r="3278" spans="1:3" s="7" customFormat="1" x14ac:dyDescent="0.2">
      <c r="A3278" s="6" t="str">
        <f>"TMEM252-DT"</f>
        <v>TMEM252-DT</v>
      </c>
      <c r="B3278" s="6">
        <v>3.3033033033033003E-2</v>
      </c>
      <c r="C3278" s="6">
        <v>0.168481572814804</v>
      </c>
    </row>
    <row r="3279" spans="1:3" s="7" customFormat="1" x14ac:dyDescent="0.2">
      <c r="A3279" s="6" t="str">
        <f>"AC008438.1"</f>
        <v>AC008438.1</v>
      </c>
      <c r="B3279" s="6">
        <v>3.3132530120481903E-2</v>
      </c>
      <c r="C3279" s="6">
        <v>0.16888597390476801</v>
      </c>
    </row>
    <row r="3280" spans="1:3" s="7" customFormat="1" x14ac:dyDescent="0.2">
      <c r="A3280" s="6" t="str">
        <f>"TCAP"</f>
        <v>TCAP</v>
      </c>
      <c r="B3280" s="6">
        <v>3.3132530120481903E-2</v>
      </c>
      <c r="C3280" s="6">
        <v>0.16888597390476801</v>
      </c>
    </row>
    <row r="3281" spans="1:3" s="7" customFormat="1" x14ac:dyDescent="0.2">
      <c r="A3281" s="6" t="str">
        <f>"CFL1P1"</f>
        <v>CFL1P1</v>
      </c>
      <c r="B3281" s="6">
        <v>3.3199195171026097E-2</v>
      </c>
      <c r="C3281" s="6">
        <v>0.169174191490405</v>
      </c>
    </row>
    <row r="3282" spans="1:3" s="7" customFormat="1" x14ac:dyDescent="0.2">
      <c r="A3282" s="6" t="str">
        <f>"MARK2P16"</f>
        <v>MARK2P16</v>
      </c>
      <c r="B3282" s="6">
        <v>3.3264033264033203E-2</v>
      </c>
      <c r="C3282" s="6">
        <v>0.16945292653918001</v>
      </c>
    </row>
    <row r="3283" spans="1:3" s="7" customFormat="1" x14ac:dyDescent="0.2">
      <c r="A3283" s="6" t="str">
        <f>"BX679664.3"</f>
        <v>BX679664.3</v>
      </c>
      <c r="B3283" s="6">
        <v>3.3287101248266199E-2</v>
      </c>
      <c r="C3283" s="6">
        <v>0.169518772170482</v>
      </c>
    </row>
    <row r="3284" spans="1:3" s="7" customFormat="1" x14ac:dyDescent="0.2">
      <c r="A3284" s="6" t="str">
        <f>"AC008760.1"</f>
        <v>AC008760.1</v>
      </c>
      <c r="B3284" s="6">
        <v>3.3400809716599103E-2</v>
      </c>
      <c r="C3284" s="6">
        <v>0.17004603521268299</v>
      </c>
    </row>
    <row r="3285" spans="1:3" s="7" customFormat="1" x14ac:dyDescent="0.2">
      <c r="A3285" s="6" t="str">
        <f>"SCN1B"</f>
        <v>SCN1B</v>
      </c>
      <c r="B3285" s="6">
        <v>3.3966033966033898E-2</v>
      </c>
      <c r="C3285" s="6">
        <v>0.17089352549918399</v>
      </c>
    </row>
    <row r="3286" spans="1:3" s="7" customFormat="1" x14ac:dyDescent="0.2">
      <c r="A3286" s="6" t="str">
        <f>"EFHD2"</f>
        <v>EFHD2</v>
      </c>
      <c r="B3286" s="6">
        <v>3.3966033966033898E-2</v>
      </c>
      <c r="C3286" s="6">
        <v>0.17089352549918399</v>
      </c>
    </row>
    <row r="3287" spans="1:3" s="7" customFormat="1" x14ac:dyDescent="0.2">
      <c r="A3287" s="6" t="str">
        <f>"MAP3K11"</f>
        <v>MAP3K11</v>
      </c>
      <c r="B3287" s="6">
        <v>3.3966033966033898E-2</v>
      </c>
      <c r="C3287" s="6">
        <v>0.17089352549918399</v>
      </c>
    </row>
    <row r="3288" spans="1:3" s="7" customFormat="1" x14ac:dyDescent="0.2">
      <c r="A3288" s="6" t="str">
        <f>"MMP9"</f>
        <v>MMP9</v>
      </c>
      <c r="B3288" s="6">
        <v>3.3966033966033898E-2</v>
      </c>
      <c r="C3288" s="6">
        <v>0.17089352549918399</v>
      </c>
    </row>
    <row r="3289" spans="1:3" s="7" customFormat="1" x14ac:dyDescent="0.2">
      <c r="A3289" s="6" t="str">
        <f>"AC091182.1"</f>
        <v>AC091182.1</v>
      </c>
      <c r="B3289" s="6">
        <v>3.3966033966033898E-2</v>
      </c>
      <c r="C3289" s="6">
        <v>0.17089352549918399</v>
      </c>
    </row>
    <row r="3290" spans="1:3" s="7" customFormat="1" x14ac:dyDescent="0.2">
      <c r="A3290" s="6" t="str">
        <f>"RAB24"</f>
        <v>RAB24</v>
      </c>
      <c r="B3290" s="6">
        <v>3.3966033966033898E-2</v>
      </c>
      <c r="C3290" s="6">
        <v>0.17089352549918399</v>
      </c>
    </row>
    <row r="3291" spans="1:3" s="7" customFormat="1" x14ac:dyDescent="0.2">
      <c r="A3291" s="6" t="str">
        <f>"ATP11A"</f>
        <v>ATP11A</v>
      </c>
      <c r="B3291" s="6">
        <v>3.3966033966033898E-2</v>
      </c>
      <c r="C3291" s="6">
        <v>0.17089352549918399</v>
      </c>
    </row>
    <row r="3292" spans="1:3" s="7" customFormat="1" x14ac:dyDescent="0.2">
      <c r="A3292" s="6" t="str">
        <f>"BMI1"</f>
        <v>BMI1</v>
      </c>
      <c r="B3292" s="6">
        <v>3.3966033966033898E-2</v>
      </c>
      <c r="C3292" s="6">
        <v>0.17089352549918399</v>
      </c>
    </row>
    <row r="3293" spans="1:3" s="7" customFormat="1" x14ac:dyDescent="0.2">
      <c r="A3293" s="6" t="str">
        <f>"POM121"</f>
        <v>POM121</v>
      </c>
      <c r="B3293" s="6">
        <v>3.3966033966033898E-2</v>
      </c>
      <c r="C3293" s="6">
        <v>0.17089352549918399</v>
      </c>
    </row>
    <row r="3294" spans="1:3" s="7" customFormat="1" x14ac:dyDescent="0.2">
      <c r="A3294" s="6" t="str">
        <f>"RAB15"</f>
        <v>RAB15</v>
      </c>
      <c r="B3294" s="6">
        <v>3.3966033966033898E-2</v>
      </c>
      <c r="C3294" s="6">
        <v>0.17089352549918399</v>
      </c>
    </row>
    <row r="3295" spans="1:3" s="7" customFormat="1" x14ac:dyDescent="0.2">
      <c r="A3295" s="6" t="str">
        <f>"CD7"</f>
        <v>CD7</v>
      </c>
      <c r="B3295" s="6">
        <v>3.3966033966033898E-2</v>
      </c>
      <c r="C3295" s="6">
        <v>0.17089352549918399</v>
      </c>
    </row>
    <row r="3296" spans="1:3" s="7" customFormat="1" x14ac:dyDescent="0.2">
      <c r="A3296" s="6" t="str">
        <f>"CH25H"</f>
        <v>CH25H</v>
      </c>
      <c r="B3296" s="6">
        <v>3.3966033966033898E-2</v>
      </c>
      <c r="C3296" s="6">
        <v>0.17089352549918399</v>
      </c>
    </row>
    <row r="3297" spans="1:3" s="7" customFormat="1" x14ac:dyDescent="0.2">
      <c r="A3297" s="6" t="str">
        <f>"TYK2"</f>
        <v>TYK2</v>
      </c>
      <c r="B3297" s="6">
        <v>3.3966033966033898E-2</v>
      </c>
      <c r="C3297" s="6">
        <v>0.17089352549918399</v>
      </c>
    </row>
    <row r="3298" spans="1:3" s="7" customFormat="1" x14ac:dyDescent="0.2">
      <c r="A3298" s="6" t="str">
        <f>"DUS4L-BCAP29"</f>
        <v>DUS4L-BCAP29</v>
      </c>
      <c r="B3298" s="6">
        <v>3.3966033966033898E-2</v>
      </c>
      <c r="C3298" s="6">
        <v>0.17089352549918399</v>
      </c>
    </row>
    <row r="3299" spans="1:3" s="7" customFormat="1" x14ac:dyDescent="0.2">
      <c r="A3299" s="6" t="str">
        <f>"GUCY1B1"</f>
        <v>GUCY1B1</v>
      </c>
      <c r="B3299" s="6">
        <v>3.3966033966033898E-2</v>
      </c>
      <c r="C3299" s="6">
        <v>0.17089352549918399</v>
      </c>
    </row>
    <row r="3300" spans="1:3" s="7" customFormat="1" x14ac:dyDescent="0.2">
      <c r="A3300" s="6" t="str">
        <f>"AC008760.2"</f>
        <v>AC008760.2</v>
      </c>
      <c r="B3300" s="6">
        <v>3.3966033966033898E-2</v>
      </c>
      <c r="C3300" s="6">
        <v>0.17089352549918399</v>
      </c>
    </row>
    <row r="3301" spans="1:3" s="7" customFormat="1" x14ac:dyDescent="0.2">
      <c r="A3301" s="6" t="str">
        <f>"KRTCAP3"</f>
        <v>KRTCAP3</v>
      </c>
      <c r="B3301" s="6">
        <v>3.3966033966033898E-2</v>
      </c>
      <c r="C3301" s="6">
        <v>0.17089352549918399</v>
      </c>
    </row>
    <row r="3302" spans="1:3" s="7" customFormat="1" x14ac:dyDescent="0.2">
      <c r="A3302" s="6" t="str">
        <f>"HEMK1"</f>
        <v>HEMK1</v>
      </c>
      <c r="B3302" s="6">
        <v>3.3966033966033898E-2</v>
      </c>
      <c r="C3302" s="6">
        <v>0.17089352549918399</v>
      </c>
    </row>
    <row r="3303" spans="1:3" s="7" customFormat="1" x14ac:dyDescent="0.2">
      <c r="A3303" s="6" t="str">
        <f>"SEMA5A"</f>
        <v>SEMA5A</v>
      </c>
      <c r="B3303" s="6">
        <v>3.3966033966033898E-2</v>
      </c>
      <c r="C3303" s="6">
        <v>0.17089352549918399</v>
      </c>
    </row>
    <row r="3304" spans="1:3" s="7" customFormat="1" x14ac:dyDescent="0.2">
      <c r="A3304" s="6" t="str">
        <f>"MRPL24"</f>
        <v>MRPL24</v>
      </c>
      <c r="B3304" s="6">
        <v>3.3966033966033898E-2</v>
      </c>
      <c r="C3304" s="6">
        <v>0.17089352549918399</v>
      </c>
    </row>
    <row r="3305" spans="1:3" s="7" customFormat="1" x14ac:dyDescent="0.2">
      <c r="A3305" s="6" t="str">
        <f>"NSD3"</f>
        <v>NSD3</v>
      </c>
      <c r="B3305" s="6">
        <v>3.3966033966033898E-2</v>
      </c>
      <c r="C3305" s="6">
        <v>0.17089352549918399</v>
      </c>
    </row>
    <row r="3306" spans="1:3" s="7" customFormat="1" x14ac:dyDescent="0.2">
      <c r="A3306" s="6" t="str">
        <f>"LINGO4"</f>
        <v>LINGO4</v>
      </c>
      <c r="B3306" s="6">
        <v>3.3966033966033898E-2</v>
      </c>
      <c r="C3306" s="6">
        <v>0.17089352549918399</v>
      </c>
    </row>
    <row r="3307" spans="1:3" s="7" customFormat="1" x14ac:dyDescent="0.2">
      <c r="A3307" s="6" t="str">
        <f>"ZNF749"</f>
        <v>ZNF749</v>
      </c>
      <c r="B3307" s="6">
        <v>3.3966033966033898E-2</v>
      </c>
      <c r="C3307" s="6">
        <v>0.17089352549918399</v>
      </c>
    </row>
    <row r="3308" spans="1:3" s="7" customFormat="1" x14ac:dyDescent="0.2">
      <c r="A3308" s="6" t="str">
        <f>"UBE2V2"</f>
        <v>UBE2V2</v>
      </c>
      <c r="B3308" s="6">
        <v>3.3966033966033898E-2</v>
      </c>
      <c r="C3308" s="6">
        <v>0.17089352549918399</v>
      </c>
    </row>
    <row r="3309" spans="1:3" s="7" customFormat="1" x14ac:dyDescent="0.2">
      <c r="A3309" s="6" t="str">
        <f>"TRPM2"</f>
        <v>TRPM2</v>
      </c>
      <c r="B3309" s="6">
        <v>3.3966033966033898E-2</v>
      </c>
      <c r="C3309" s="6">
        <v>0.17089352549918399</v>
      </c>
    </row>
    <row r="3310" spans="1:3" s="7" customFormat="1" x14ac:dyDescent="0.2">
      <c r="A3310" s="6" t="str">
        <f>"LURAP1L"</f>
        <v>LURAP1L</v>
      </c>
      <c r="B3310" s="6">
        <v>3.3966033966033898E-2</v>
      </c>
      <c r="C3310" s="6">
        <v>0.17089352549918399</v>
      </c>
    </row>
    <row r="3311" spans="1:3" s="7" customFormat="1" x14ac:dyDescent="0.2">
      <c r="A3311" s="6" t="str">
        <f>"RAB11FIP1"</f>
        <v>RAB11FIP1</v>
      </c>
      <c r="B3311" s="6">
        <v>3.3966033966033898E-2</v>
      </c>
      <c r="C3311" s="6">
        <v>0.17089352549918399</v>
      </c>
    </row>
    <row r="3312" spans="1:3" s="7" customFormat="1" x14ac:dyDescent="0.2">
      <c r="A3312" s="6" t="str">
        <f>"ZG16"</f>
        <v>ZG16</v>
      </c>
      <c r="B3312" s="6">
        <v>3.3966033966033898E-2</v>
      </c>
      <c r="C3312" s="6">
        <v>0.17089352549918399</v>
      </c>
    </row>
    <row r="3313" spans="1:3" s="7" customFormat="1" x14ac:dyDescent="0.2">
      <c r="A3313" s="6" t="str">
        <f>"COPB2"</f>
        <v>COPB2</v>
      </c>
      <c r="B3313" s="6">
        <v>3.3966033966033898E-2</v>
      </c>
      <c r="C3313" s="6">
        <v>0.17089352549918399</v>
      </c>
    </row>
    <row r="3314" spans="1:3" s="7" customFormat="1" x14ac:dyDescent="0.2">
      <c r="A3314" s="6" t="str">
        <f>"FBP2"</f>
        <v>FBP2</v>
      </c>
      <c r="B3314" s="6">
        <v>3.3915724563206497E-2</v>
      </c>
      <c r="C3314" s="6">
        <v>0.17089352549918399</v>
      </c>
    </row>
    <row r="3315" spans="1:3" s="7" customFormat="1" x14ac:dyDescent="0.2">
      <c r="A3315" s="6" t="str">
        <f>"SLAMF6"</f>
        <v>SLAMF6</v>
      </c>
      <c r="B3315" s="6">
        <v>3.3966033966033898E-2</v>
      </c>
      <c r="C3315" s="6">
        <v>0.17089352549918399</v>
      </c>
    </row>
    <row r="3316" spans="1:3" s="7" customFormat="1" x14ac:dyDescent="0.2">
      <c r="A3316" s="6" t="str">
        <f>"SLC38A1"</f>
        <v>SLC38A1</v>
      </c>
      <c r="B3316" s="6">
        <v>3.3966033966033898E-2</v>
      </c>
      <c r="C3316" s="6">
        <v>0.17089352549918399</v>
      </c>
    </row>
    <row r="3317" spans="1:3" s="7" customFormat="1" x14ac:dyDescent="0.2">
      <c r="A3317" s="6" t="str">
        <f>"ICA1L"</f>
        <v>ICA1L</v>
      </c>
      <c r="B3317" s="6">
        <v>3.3966033966033898E-2</v>
      </c>
      <c r="C3317" s="6">
        <v>0.17089352549918399</v>
      </c>
    </row>
    <row r="3318" spans="1:3" s="7" customFormat="1" x14ac:dyDescent="0.2">
      <c r="A3318" s="6" t="str">
        <f>"MANBAL"</f>
        <v>MANBAL</v>
      </c>
      <c r="B3318" s="6">
        <v>3.3966033966033898E-2</v>
      </c>
      <c r="C3318" s="6">
        <v>0.17089352549918399</v>
      </c>
    </row>
    <row r="3319" spans="1:3" s="7" customFormat="1" x14ac:dyDescent="0.2">
      <c r="A3319" s="6" t="str">
        <f>"FAM20A"</f>
        <v>FAM20A</v>
      </c>
      <c r="B3319" s="6">
        <v>3.3966033966033898E-2</v>
      </c>
      <c r="C3319" s="6">
        <v>0.17089352549918399</v>
      </c>
    </row>
    <row r="3320" spans="1:3" s="7" customFormat="1" x14ac:dyDescent="0.2">
      <c r="A3320" s="6" t="str">
        <f>"SLC35G2"</f>
        <v>SLC35G2</v>
      </c>
      <c r="B3320" s="6">
        <v>3.3966033966033898E-2</v>
      </c>
      <c r="C3320" s="6">
        <v>0.17089352549918399</v>
      </c>
    </row>
    <row r="3321" spans="1:3" s="7" customFormat="1" x14ac:dyDescent="0.2">
      <c r="A3321" s="6" t="str">
        <f>"C1orf158"</f>
        <v>C1orf158</v>
      </c>
      <c r="B3321" s="6">
        <v>3.3966033966033898E-2</v>
      </c>
      <c r="C3321" s="6">
        <v>0.17089352549918399</v>
      </c>
    </row>
    <row r="3322" spans="1:3" s="7" customFormat="1" x14ac:dyDescent="0.2">
      <c r="A3322" s="6" t="str">
        <f>"PCDHA11"</f>
        <v>PCDHA11</v>
      </c>
      <c r="B3322" s="6">
        <v>3.3966033966033898E-2</v>
      </c>
      <c r="C3322" s="6">
        <v>0.17089352549918399</v>
      </c>
    </row>
    <row r="3323" spans="1:3" s="7" customFormat="1" x14ac:dyDescent="0.2">
      <c r="A3323" s="6" t="str">
        <f>"AD000090.1"</f>
        <v>AD000090.1</v>
      </c>
      <c r="B3323" s="6">
        <v>3.3966033966033898E-2</v>
      </c>
      <c r="C3323" s="6">
        <v>0.17089352549918399</v>
      </c>
    </row>
    <row r="3324" spans="1:3" s="7" customFormat="1" x14ac:dyDescent="0.2">
      <c r="A3324" s="6" t="str">
        <f>"CEP126"</f>
        <v>CEP126</v>
      </c>
      <c r="B3324" s="6">
        <v>3.4000000000000002E-2</v>
      </c>
      <c r="C3324" s="6">
        <v>0.171012940114354</v>
      </c>
    </row>
    <row r="3325" spans="1:3" s="7" customFormat="1" x14ac:dyDescent="0.2">
      <c r="A3325" s="6" t="str">
        <f>"ATXN1"</f>
        <v>ATXN1</v>
      </c>
      <c r="B3325" s="6">
        <v>3.4965034965034898E-2</v>
      </c>
      <c r="C3325" s="6">
        <v>0.17331126761731699</v>
      </c>
    </row>
    <row r="3326" spans="1:3" s="7" customFormat="1" x14ac:dyDescent="0.2">
      <c r="A3326" s="6" t="str">
        <f>"C15orf39"</f>
        <v>C15orf39</v>
      </c>
      <c r="B3326" s="6">
        <v>3.4965034965034898E-2</v>
      </c>
      <c r="C3326" s="6">
        <v>0.17331126761731699</v>
      </c>
    </row>
    <row r="3327" spans="1:3" s="7" customFormat="1" x14ac:dyDescent="0.2">
      <c r="A3327" s="6" t="str">
        <f>"PFN1"</f>
        <v>PFN1</v>
      </c>
      <c r="B3327" s="6">
        <v>3.4965034965034898E-2</v>
      </c>
      <c r="C3327" s="6">
        <v>0.17331126761731699</v>
      </c>
    </row>
    <row r="3328" spans="1:3" s="7" customFormat="1" x14ac:dyDescent="0.2">
      <c r="A3328" s="6" t="str">
        <f>"SIX1"</f>
        <v>SIX1</v>
      </c>
      <c r="B3328" s="6">
        <v>3.4965034965034898E-2</v>
      </c>
      <c r="C3328" s="6">
        <v>0.17331126761731699</v>
      </c>
    </row>
    <row r="3329" spans="1:3" s="7" customFormat="1" x14ac:dyDescent="0.2">
      <c r="A3329" s="6" t="str">
        <f>"BEND5"</f>
        <v>BEND5</v>
      </c>
      <c r="B3329" s="6">
        <v>3.4965034965034898E-2</v>
      </c>
      <c r="C3329" s="6">
        <v>0.17331126761731699</v>
      </c>
    </row>
    <row r="3330" spans="1:3" s="7" customFormat="1" x14ac:dyDescent="0.2">
      <c r="A3330" s="6" t="str">
        <f>"CABIN1"</f>
        <v>CABIN1</v>
      </c>
      <c r="B3330" s="6">
        <v>3.4965034965034898E-2</v>
      </c>
      <c r="C3330" s="6">
        <v>0.17331126761731699</v>
      </c>
    </row>
    <row r="3331" spans="1:3" s="7" customFormat="1" x14ac:dyDescent="0.2">
      <c r="A3331" s="6" t="str">
        <f>"SOX21-AS1"</f>
        <v>SOX21-AS1</v>
      </c>
      <c r="B3331" s="6">
        <v>3.4965034965034898E-2</v>
      </c>
      <c r="C3331" s="6">
        <v>0.17331126761731699</v>
      </c>
    </row>
    <row r="3332" spans="1:3" s="7" customFormat="1" x14ac:dyDescent="0.2">
      <c r="A3332" s="6" t="str">
        <f>"LAP3"</f>
        <v>LAP3</v>
      </c>
      <c r="B3332" s="6">
        <v>3.4965034965034898E-2</v>
      </c>
      <c r="C3332" s="6">
        <v>0.17331126761731699</v>
      </c>
    </row>
    <row r="3333" spans="1:3" s="7" customFormat="1" x14ac:dyDescent="0.2">
      <c r="A3333" s="6" t="str">
        <f>"C10orf143"</f>
        <v>C10orf143</v>
      </c>
      <c r="B3333" s="6">
        <v>3.4965034965034898E-2</v>
      </c>
      <c r="C3333" s="6">
        <v>0.17331126761731699</v>
      </c>
    </row>
    <row r="3334" spans="1:3" s="7" customFormat="1" x14ac:dyDescent="0.2">
      <c r="A3334" s="6" t="str">
        <f>"ICMT"</f>
        <v>ICMT</v>
      </c>
      <c r="B3334" s="6">
        <v>3.4965034965034898E-2</v>
      </c>
      <c r="C3334" s="6">
        <v>0.17331126761731699</v>
      </c>
    </row>
    <row r="3335" spans="1:3" s="7" customFormat="1" x14ac:dyDescent="0.2">
      <c r="A3335" s="6" t="str">
        <f>"ANO8"</f>
        <v>ANO8</v>
      </c>
      <c r="B3335" s="6">
        <v>3.4965034965034898E-2</v>
      </c>
      <c r="C3335" s="6">
        <v>0.17331126761731699</v>
      </c>
    </row>
    <row r="3336" spans="1:3" s="7" customFormat="1" x14ac:dyDescent="0.2">
      <c r="A3336" s="6" t="str">
        <f>"UMAD1"</f>
        <v>UMAD1</v>
      </c>
      <c r="B3336" s="6">
        <v>3.4965034965034898E-2</v>
      </c>
      <c r="C3336" s="6">
        <v>0.17331126761731699</v>
      </c>
    </row>
    <row r="3337" spans="1:3" s="7" customFormat="1" x14ac:dyDescent="0.2">
      <c r="A3337" s="6" t="str">
        <f>"COL9A2"</f>
        <v>COL9A2</v>
      </c>
      <c r="B3337" s="6">
        <v>3.4965034965034898E-2</v>
      </c>
      <c r="C3337" s="6">
        <v>0.17331126761731699</v>
      </c>
    </row>
    <row r="3338" spans="1:3" s="7" customFormat="1" x14ac:dyDescent="0.2">
      <c r="A3338" s="6" t="str">
        <f>"IL34"</f>
        <v>IL34</v>
      </c>
      <c r="B3338" s="6">
        <v>3.4965034965034898E-2</v>
      </c>
      <c r="C3338" s="6">
        <v>0.17331126761731699</v>
      </c>
    </row>
    <row r="3339" spans="1:3" s="7" customFormat="1" x14ac:dyDescent="0.2">
      <c r="A3339" s="6" t="str">
        <f>"SEPHS1"</f>
        <v>SEPHS1</v>
      </c>
      <c r="B3339" s="6">
        <v>3.4965034965034898E-2</v>
      </c>
      <c r="C3339" s="6">
        <v>0.17331126761731699</v>
      </c>
    </row>
    <row r="3340" spans="1:3" s="7" customFormat="1" x14ac:dyDescent="0.2">
      <c r="A3340" s="6" t="str">
        <f>"AC010503.4"</f>
        <v>AC010503.4</v>
      </c>
      <c r="B3340" s="6">
        <v>3.4965034965034898E-2</v>
      </c>
      <c r="C3340" s="6">
        <v>0.17331126761731699</v>
      </c>
    </row>
    <row r="3341" spans="1:3" s="7" customFormat="1" x14ac:dyDescent="0.2">
      <c r="A3341" s="6" t="str">
        <f>"AL137018.1"</f>
        <v>AL137018.1</v>
      </c>
      <c r="B3341" s="6">
        <v>3.4965034965034898E-2</v>
      </c>
      <c r="C3341" s="6">
        <v>0.17331126761731699</v>
      </c>
    </row>
    <row r="3342" spans="1:3" s="7" customFormat="1" x14ac:dyDescent="0.2">
      <c r="A3342" s="6" t="str">
        <f>"C1orf112"</f>
        <v>C1orf112</v>
      </c>
      <c r="B3342" s="6">
        <v>3.4965034965034898E-2</v>
      </c>
      <c r="C3342" s="6">
        <v>0.17331126761731699</v>
      </c>
    </row>
    <row r="3343" spans="1:3" s="7" customFormat="1" x14ac:dyDescent="0.2">
      <c r="A3343" s="6" t="str">
        <f>"ATP6V1B2"</f>
        <v>ATP6V1B2</v>
      </c>
      <c r="B3343" s="6">
        <v>3.4965034965034898E-2</v>
      </c>
      <c r="C3343" s="6">
        <v>0.17331126761731699</v>
      </c>
    </row>
    <row r="3344" spans="1:3" s="7" customFormat="1" x14ac:dyDescent="0.2">
      <c r="A3344" s="6" t="str">
        <f>"MBOAT1"</f>
        <v>MBOAT1</v>
      </c>
      <c r="B3344" s="6">
        <v>3.4965034965034898E-2</v>
      </c>
      <c r="C3344" s="6">
        <v>0.17331126761731699</v>
      </c>
    </row>
    <row r="3345" spans="1:3" s="7" customFormat="1" x14ac:dyDescent="0.2">
      <c r="A3345" s="6" t="str">
        <f>"AC006213.2"</f>
        <v>AC006213.2</v>
      </c>
      <c r="B3345" s="6">
        <v>3.4965034965034898E-2</v>
      </c>
      <c r="C3345" s="6">
        <v>0.17331126761731699</v>
      </c>
    </row>
    <row r="3346" spans="1:3" s="7" customFormat="1" x14ac:dyDescent="0.2">
      <c r="A3346" s="6" t="str">
        <f>"SPINK6"</f>
        <v>SPINK6</v>
      </c>
      <c r="B3346" s="6">
        <v>3.4965034965034898E-2</v>
      </c>
      <c r="C3346" s="6">
        <v>0.17331126761731699</v>
      </c>
    </row>
    <row r="3347" spans="1:3" s="7" customFormat="1" x14ac:dyDescent="0.2">
      <c r="A3347" s="6" t="str">
        <f>"ADAT3"</f>
        <v>ADAT3</v>
      </c>
      <c r="B3347" s="6">
        <v>3.4965034965034898E-2</v>
      </c>
      <c r="C3347" s="6">
        <v>0.17331126761731699</v>
      </c>
    </row>
    <row r="3348" spans="1:3" s="7" customFormat="1" x14ac:dyDescent="0.2">
      <c r="A3348" s="6" t="str">
        <f>"ZNF648"</f>
        <v>ZNF648</v>
      </c>
      <c r="B3348" s="6">
        <v>3.4965034965034898E-2</v>
      </c>
      <c r="C3348" s="6">
        <v>0.17331126761731699</v>
      </c>
    </row>
    <row r="3349" spans="1:3" s="7" customFormat="1" x14ac:dyDescent="0.2">
      <c r="A3349" s="6" t="str">
        <f>"BCCIP"</f>
        <v>BCCIP</v>
      </c>
      <c r="B3349" s="6">
        <v>3.4965034965034898E-2</v>
      </c>
      <c r="C3349" s="6">
        <v>0.17331126761731699</v>
      </c>
    </row>
    <row r="3350" spans="1:3" s="7" customFormat="1" x14ac:dyDescent="0.2">
      <c r="A3350" s="6" t="str">
        <f>"EPHB4"</f>
        <v>EPHB4</v>
      </c>
      <c r="B3350" s="6">
        <v>3.4965034965034898E-2</v>
      </c>
      <c r="C3350" s="6">
        <v>0.17331126761731699</v>
      </c>
    </row>
    <row r="3351" spans="1:3" s="7" customFormat="1" x14ac:dyDescent="0.2">
      <c r="A3351" s="6" t="str">
        <f>"EPS8L3"</f>
        <v>EPS8L3</v>
      </c>
      <c r="B3351" s="6">
        <v>3.4965034965034898E-2</v>
      </c>
      <c r="C3351" s="6">
        <v>0.17331126761731699</v>
      </c>
    </row>
    <row r="3352" spans="1:3" s="7" customFormat="1" x14ac:dyDescent="0.2">
      <c r="A3352" s="6" t="str">
        <f>"C14orf93"</f>
        <v>C14orf93</v>
      </c>
      <c r="B3352" s="6">
        <v>3.4965034965034898E-2</v>
      </c>
      <c r="C3352" s="6">
        <v>0.17331126761731699</v>
      </c>
    </row>
    <row r="3353" spans="1:3" s="7" customFormat="1" x14ac:dyDescent="0.2">
      <c r="A3353" s="6" t="str">
        <f>"NAA25"</f>
        <v>NAA25</v>
      </c>
      <c r="B3353" s="6">
        <v>3.4965034965034898E-2</v>
      </c>
      <c r="C3353" s="6">
        <v>0.17331126761731699</v>
      </c>
    </row>
    <row r="3354" spans="1:3" s="7" customFormat="1" x14ac:dyDescent="0.2">
      <c r="A3354" s="6" t="str">
        <f>"TTC27"</f>
        <v>TTC27</v>
      </c>
      <c r="B3354" s="6">
        <v>3.4965034965034898E-2</v>
      </c>
      <c r="C3354" s="6">
        <v>0.17331126761731699</v>
      </c>
    </row>
    <row r="3355" spans="1:3" s="7" customFormat="1" x14ac:dyDescent="0.2">
      <c r="A3355" s="6" t="str">
        <f>"PIAS2"</f>
        <v>PIAS2</v>
      </c>
      <c r="B3355" s="6">
        <v>3.4965034965034898E-2</v>
      </c>
      <c r="C3355" s="6">
        <v>0.17331126761731699</v>
      </c>
    </row>
    <row r="3356" spans="1:3" s="7" customFormat="1" x14ac:dyDescent="0.2">
      <c r="A3356" s="6" t="str">
        <f>"SLC39A8"</f>
        <v>SLC39A8</v>
      </c>
      <c r="B3356" s="6">
        <v>3.4965034965034898E-2</v>
      </c>
      <c r="C3356" s="6">
        <v>0.17331126761731699</v>
      </c>
    </row>
    <row r="3357" spans="1:3" s="7" customFormat="1" x14ac:dyDescent="0.2">
      <c r="A3357" s="6" t="str">
        <f>"PPP1R12C"</f>
        <v>PPP1R12C</v>
      </c>
      <c r="B3357" s="6">
        <v>3.4965034965034898E-2</v>
      </c>
      <c r="C3357" s="6">
        <v>0.17331126761731699</v>
      </c>
    </row>
    <row r="3358" spans="1:3" s="7" customFormat="1" x14ac:dyDescent="0.2">
      <c r="A3358" s="6" t="str">
        <f>"NADK"</f>
        <v>NADK</v>
      </c>
      <c r="B3358" s="6">
        <v>3.4965034965034898E-2</v>
      </c>
      <c r="C3358" s="6">
        <v>0.17331126761731699</v>
      </c>
    </row>
    <row r="3359" spans="1:3" s="7" customFormat="1" x14ac:dyDescent="0.2">
      <c r="A3359" s="6" t="str">
        <f>"AP003068.4"</f>
        <v>AP003068.4</v>
      </c>
      <c r="B3359" s="6">
        <v>3.4965034965034898E-2</v>
      </c>
      <c r="C3359" s="6">
        <v>0.17331126761731699</v>
      </c>
    </row>
    <row r="3360" spans="1:3" s="7" customFormat="1" x14ac:dyDescent="0.2">
      <c r="A3360" s="6" t="str">
        <f>"ADAMTS6"</f>
        <v>ADAMTS6</v>
      </c>
      <c r="B3360" s="6">
        <v>3.4965034965034898E-2</v>
      </c>
      <c r="C3360" s="6">
        <v>0.17331126761731699</v>
      </c>
    </row>
    <row r="3361" spans="1:3" s="7" customFormat="1" x14ac:dyDescent="0.2">
      <c r="A3361" s="6" t="str">
        <f>"TAF6"</f>
        <v>TAF6</v>
      </c>
      <c r="B3361" s="6">
        <v>3.4965034965034898E-2</v>
      </c>
      <c r="C3361" s="6">
        <v>0.17331126761731699</v>
      </c>
    </row>
    <row r="3362" spans="1:3" s="7" customFormat="1" x14ac:dyDescent="0.2">
      <c r="A3362" s="6" t="str">
        <f>"TMEM263"</f>
        <v>TMEM263</v>
      </c>
      <c r="B3362" s="6">
        <v>3.4965034965034898E-2</v>
      </c>
      <c r="C3362" s="6">
        <v>0.17331126761731699</v>
      </c>
    </row>
    <row r="3363" spans="1:3" s="7" customFormat="1" x14ac:dyDescent="0.2">
      <c r="A3363" s="6" t="str">
        <f>"SPPL2B"</f>
        <v>SPPL2B</v>
      </c>
      <c r="B3363" s="6">
        <v>3.4965034965034898E-2</v>
      </c>
      <c r="C3363" s="6">
        <v>0.17331126761731699</v>
      </c>
    </row>
    <row r="3364" spans="1:3" s="7" customFormat="1" x14ac:dyDescent="0.2">
      <c r="A3364" s="6" t="str">
        <f>"IKZF5"</f>
        <v>IKZF5</v>
      </c>
      <c r="B3364" s="6">
        <v>3.4965034965034898E-2</v>
      </c>
      <c r="C3364" s="6">
        <v>0.17331126761731699</v>
      </c>
    </row>
    <row r="3365" spans="1:3" s="7" customFormat="1" x14ac:dyDescent="0.2">
      <c r="A3365" s="6" t="str">
        <f>"Z82243.1"</f>
        <v>Z82243.1</v>
      </c>
      <c r="B3365" s="6">
        <v>3.4663865546218399E-2</v>
      </c>
      <c r="C3365" s="6">
        <v>0.17331126761731699</v>
      </c>
    </row>
    <row r="3366" spans="1:3" s="7" customFormat="1" x14ac:dyDescent="0.2">
      <c r="A3366" s="6" t="str">
        <f>"TTC16"</f>
        <v>TTC16</v>
      </c>
      <c r="B3366" s="6">
        <v>3.4965034965034898E-2</v>
      </c>
      <c r="C3366" s="6">
        <v>0.17331126761731699</v>
      </c>
    </row>
    <row r="3367" spans="1:3" s="7" customFormat="1" x14ac:dyDescent="0.2">
      <c r="A3367" s="6" t="str">
        <f>"RPS5"</f>
        <v>RPS5</v>
      </c>
      <c r="B3367" s="6">
        <v>3.4965034965034898E-2</v>
      </c>
      <c r="C3367" s="6">
        <v>0.17331126761731699</v>
      </c>
    </row>
    <row r="3368" spans="1:3" s="7" customFormat="1" x14ac:dyDescent="0.2">
      <c r="A3368" s="6" t="str">
        <f>"MVP"</f>
        <v>MVP</v>
      </c>
      <c r="B3368" s="6">
        <v>3.4965034965034898E-2</v>
      </c>
      <c r="C3368" s="6">
        <v>0.17331126761731699</v>
      </c>
    </row>
    <row r="3369" spans="1:3" s="7" customFormat="1" x14ac:dyDescent="0.2">
      <c r="A3369" s="6" t="str">
        <f>"HHLA2"</f>
        <v>HHLA2</v>
      </c>
      <c r="B3369" s="6">
        <v>3.4965034965034898E-2</v>
      </c>
      <c r="C3369" s="6">
        <v>0.17331126761731699</v>
      </c>
    </row>
    <row r="3370" spans="1:3" s="7" customFormat="1" x14ac:dyDescent="0.2">
      <c r="A3370" s="6" t="str">
        <f>"ATP6V0E1"</f>
        <v>ATP6V0E1</v>
      </c>
      <c r="B3370" s="6">
        <v>3.4965034965034898E-2</v>
      </c>
      <c r="C3370" s="6">
        <v>0.17331126761731699</v>
      </c>
    </row>
    <row r="3371" spans="1:3" s="7" customFormat="1" x14ac:dyDescent="0.2">
      <c r="A3371" s="6" t="str">
        <f>"HLA-U"</f>
        <v>HLA-U</v>
      </c>
      <c r="B3371" s="6">
        <v>3.4693877551020401E-2</v>
      </c>
      <c r="C3371" s="6">
        <v>0.17331126761731699</v>
      </c>
    </row>
    <row r="3372" spans="1:3" s="7" customFormat="1" x14ac:dyDescent="0.2">
      <c r="A3372" s="6" t="str">
        <f>"CCT6P3"</f>
        <v>CCT6P3</v>
      </c>
      <c r="B3372" s="6">
        <v>3.4965034965034898E-2</v>
      </c>
      <c r="C3372" s="6">
        <v>0.17331126761731699</v>
      </c>
    </row>
    <row r="3373" spans="1:3" s="7" customFormat="1" x14ac:dyDescent="0.2">
      <c r="A3373" s="6" t="str">
        <f>"LCAT"</f>
        <v>LCAT</v>
      </c>
      <c r="B3373" s="6">
        <v>3.4965034965034898E-2</v>
      </c>
      <c r="C3373" s="6">
        <v>0.17331126761731699</v>
      </c>
    </row>
    <row r="3374" spans="1:3" s="7" customFormat="1" x14ac:dyDescent="0.2">
      <c r="A3374" s="6" t="str">
        <f>"SLC25A36"</f>
        <v>SLC25A36</v>
      </c>
      <c r="B3374" s="6">
        <v>3.5000000000000003E-2</v>
      </c>
      <c r="C3374" s="6">
        <v>0.17333037037037</v>
      </c>
    </row>
    <row r="3375" spans="1:3" s="7" customFormat="1" x14ac:dyDescent="0.2">
      <c r="A3375" s="6" t="str">
        <f>"RBMXL1"</f>
        <v>RBMXL1</v>
      </c>
      <c r="B3375" s="6">
        <v>3.5000000000000003E-2</v>
      </c>
      <c r="C3375" s="6">
        <v>0.17333037037037</v>
      </c>
    </row>
    <row r="3376" spans="1:3" s="7" customFormat="1" x14ac:dyDescent="0.2">
      <c r="A3376" s="6" t="str">
        <f>"TUBA4B"</f>
        <v>TUBA4B</v>
      </c>
      <c r="B3376" s="6">
        <v>3.5000000000000003E-2</v>
      </c>
      <c r="C3376" s="6">
        <v>0.17333037037037</v>
      </c>
    </row>
    <row r="3377" spans="1:3" s="7" customFormat="1" x14ac:dyDescent="0.2">
      <c r="A3377" s="6" t="str">
        <f>"INMT"</f>
        <v>INMT</v>
      </c>
      <c r="B3377" s="6">
        <v>3.5035035035035002E-2</v>
      </c>
      <c r="C3377" s="6">
        <v>0.17345248091693499</v>
      </c>
    </row>
    <row r="3378" spans="1:3" s="7" customFormat="1" x14ac:dyDescent="0.2">
      <c r="A3378" s="6" t="str">
        <f>"FBXO24"</f>
        <v>FBXO24</v>
      </c>
      <c r="B3378" s="6">
        <v>3.5105315947843503E-2</v>
      </c>
      <c r="C3378" s="6">
        <v>0.17369752834584201</v>
      </c>
    </row>
    <row r="3379" spans="1:3" s="7" customFormat="1" x14ac:dyDescent="0.2">
      <c r="A3379" s="6" t="str">
        <f>"FGF14-IT1"</f>
        <v>FGF14-IT1</v>
      </c>
      <c r="B3379" s="6">
        <v>3.5105315947843503E-2</v>
      </c>
      <c r="C3379" s="6">
        <v>0.17369752834584201</v>
      </c>
    </row>
    <row r="3380" spans="1:3" s="7" customFormat="1" x14ac:dyDescent="0.2">
      <c r="A3380" s="6" t="str">
        <f>"MTND5P32"</f>
        <v>MTND5P32</v>
      </c>
      <c r="B3380" s="6">
        <v>3.5964035964035898E-2</v>
      </c>
      <c r="C3380" s="6">
        <v>0.175232591542621</v>
      </c>
    </row>
    <row r="3381" spans="1:3" s="7" customFormat="1" x14ac:dyDescent="0.2">
      <c r="A3381" s="6" t="str">
        <f>"AL118508.2"</f>
        <v>AL118508.2</v>
      </c>
      <c r="B3381" s="6">
        <v>3.5964035964035898E-2</v>
      </c>
      <c r="C3381" s="6">
        <v>0.175232591542621</v>
      </c>
    </row>
    <row r="3382" spans="1:3" s="7" customFormat="1" x14ac:dyDescent="0.2">
      <c r="A3382" s="6" t="str">
        <f>"AC010735.2"</f>
        <v>AC010735.2</v>
      </c>
      <c r="B3382" s="6">
        <v>3.5964035964035898E-2</v>
      </c>
      <c r="C3382" s="6">
        <v>0.175232591542621</v>
      </c>
    </row>
    <row r="3383" spans="1:3" s="7" customFormat="1" x14ac:dyDescent="0.2">
      <c r="A3383" s="6" t="str">
        <f>"ABHD17A"</f>
        <v>ABHD17A</v>
      </c>
      <c r="B3383" s="6">
        <v>3.5964035964035898E-2</v>
      </c>
      <c r="C3383" s="6">
        <v>0.175232591542621</v>
      </c>
    </row>
    <row r="3384" spans="1:3" s="7" customFormat="1" x14ac:dyDescent="0.2">
      <c r="A3384" s="6" t="str">
        <f>"AC134682.1"</f>
        <v>AC134682.1</v>
      </c>
      <c r="B3384" s="6">
        <v>3.5964035964035898E-2</v>
      </c>
      <c r="C3384" s="6">
        <v>0.175232591542621</v>
      </c>
    </row>
    <row r="3385" spans="1:3" s="7" customFormat="1" x14ac:dyDescent="0.2">
      <c r="A3385" s="6" t="str">
        <f>"ZNF541"</f>
        <v>ZNF541</v>
      </c>
      <c r="B3385" s="6">
        <v>3.5964035964035898E-2</v>
      </c>
      <c r="C3385" s="6">
        <v>0.175232591542621</v>
      </c>
    </row>
    <row r="3386" spans="1:3" s="7" customFormat="1" x14ac:dyDescent="0.2">
      <c r="A3386" s="6" t="str">
        <f>"PAXBP1-AS1"</f>
        <v>PAXBP1-AS1</v>
      </c>
      <c r="B3386" s="6">
        <v>3.5964035964035898E-2</v>
      </c>
      <c r="C3386" s="6">
        <v>0.175232591542621</v>
      </c>
    </row>
    <row r="3387" spans="1:3" s="7" customFormat="1" x14ac:dyDescent="0.2">
      <c r="A3387" s="6" t="str">
        <f>"SLC25A1"</f>
        <v>SLC25A1</v>
      </c>
      <c r="B3387" s="6">
        <v>3.5964035964035898E-2</v>
      </c>
      <c r="C3387" s="6">
        <v>0.175232591542621</v>
      </c>
    </row>
    <row r="3388" spans="1:3" s="7" customFormat="1" x14ac:dyDescent="0.2">
      <c r="A3388" s="6" t="str">
        <f>"ZNF208"</f>
        <v>ZNF208</v>
      </c>
      <c r="B3388" s="6">
        <v>3.5964035964035898E-2</v>
      </c>
      <c r="C3388" s="6">
        <v>0.175232591542621</v>
      </c>
    </row>
    <row r="3389" spans="1:3" s="7" customFormat="1" x14ac:dyDescent="0.2">
      <c r="A3389" s="6" t="str">
        <f>"IL17REL"</f>
        <v>IL17REL</v>
      </c>
      <c r="B3389" s="6">
        <v>3.5964035964035898E-2</v>
      </c>
      <c r="C3389" s="6">
        <v>0.175232591542621</v>
      </c>
    </row>
    <row r="3390" spans="1:3" s="7" customFormat="1" x14ac:dyDescent="0.2">
      <c r="A3390" s="6" t="str">
        <f>"CACNA1B"</f>
        <v>CACNA1B</v>
      </c>
      <c r="B3390" s="6">
        <v>3.5964035964035898E-2</v>
      </c>
      <c r="C3390" s="6">
        <v>0.175232591542621</v>
      </c>
    </row>
    <row r="3391" spans="1:3" s="7" customFormat="1" x14ac:dyDescent="0.2">
      <c r="A3391" s="6" t="str">
        <f>"PRRX2"</f>
        <v>PRRX2</v>
      </c>
      <c r="B3391" s="6">
        <v>3.5964035964035898E-2</v>
      </c>
      <c r="C3391" s="6">
        <v>0.175232591542621</v>
      </c>
    </row>
    <row r="3392" spans="1:3" s="7" customFormat="1" x14ac:dyDescent="0.2">
      <c r="A3392" s="6" t="str">
        <f>"LINC02487"</f>
        <v>LINC02487</v>
      </c>
      <c r="B3392" s="6">
        <v>3.5964035964035898E-2</v>
      </c>
      <c r="C3392" s="6">
        <v>0.175232591542621</v>
      </c>
    </row>
    <row r="3393" spans="1:3" s="7" customFormat="1" x14ac:dyDescent="0.2">
      <c r="A3393" s="6" t="str">
        <f>"TINCR"</f>
        <v>TINCR</v>
      </c>
      <c r="B3393" s="6">
        <v>3.5964035964035898E-2</v>
      </c>
      <c r="C3393" s="6">
        <v>0.175232591542621</v>
      </c>
    </row>
    <row r="3394" spans="1:3" s="7" customFormat="1" x14ac:dyDescent="0.2">
      <c r="A3394" s="6" t="str">
        <f>"AC006064.2"</f>
        <v>AC006064.2</v>
      </c>
      <c r="B3394" s="6">
        <v>3.5964035964035898E-2</v>
      </c>
      <c r="C3394" s="6">
        <v>0.175232591542621</v>
      </c>
    </row>
    <row r="3395" spans="1:3" s="7" customFormat="1" x14ac:dyDescent="0.2">
      <c r="A3395" s="6" t="str">
        <f>"SAP30-DT"</f>
        <v>SAP30-DT</v>
      </c>
      <c r="B3395" s="6">
        <v>3.5964035964035898E-2</v>
      </c>
      <c r="C3395" s="6">
        <v>0.175232591542621</v>
      </c>
    </row>
    <row r="3396" spans="1:3" s="7" customFormat="1" x14ac:dyDescent="0.2">
      <c r="A3396" s="6" t="str">
        <f>"SDCBP2"</f>
        <v>SDCBP2</v>
      </c>
      <c r="B3396" s="6">
        <v>3.5964035964035898E-2</v>
      </c>
      <c r="C3396" s="6">
        <v>0.175232591542621</v>
      </c>
    </row>
    <row r="3397" spans="1:3" s="7" customFormat="1" x14ac:dyDescent="0.2">
      <c r="A3397" s="6" t="str">
        <f>"DUS4L"</f>
        <v>DUS4L</v>
      </c>
      <c r="B3397" s="6">
        <v>3.5964035964035898E-2</v>
      </c>
      <c r="C3397" s="6">
        <v>0.175232591542621</v>
      </c>
    </row>
    <row r="3398" spans="1:3" s="7" customFormat="1" x14ac:dyDescent="0.2">
      <c r="A3398" s="6" t="str">
        <f>"RHBDF2"</f>
        <v>RHBDF2</v>
      </c>
      <c r="B3398" s="6">
        <v>3.5964035964035898E-2</v>
      </c>
      <c r="C3398" s="6">
        <v>0.175232591542621</v>
      </c>
    </row>
    <row r="3399" spans="1:3" s="7" customFormat="1" x14ac:dyDescent="0.2">
      <c r="A3399" s="6" t="str">
        <f>"AL035685.1"</f>
        <v>AL035685.1</v>
      </c>
      <c r="B3399" s="6">
        <v>3.5964035964035898E-2</v>
      </c>
      <c r="C3399" s="6">
        <v>0.175232591542621</v>
      </c>
    </row>
    <row r="3400" spans="1:3" s="7" customFormat="1" x14ac:dyDescent="0.2">
      <c r="A3400" s="6" t="str">
        <f>"AC005262.2"</f>
        <v>AC005262.2</v>
      </c>
      <c r="B3400" s="6">
        <v>3.5964035964035898E-2</v>
      </c>
      <c r="C3400" s="6">
        <v>0.175232591542621</v>
      </c>
    </row>
    <row r="3401" spans="1:3" s="7" customFormat="1" x14ac:dyDescent="0.2">
      <c r="A3401" s="6" t="str">
        <f>"FSD1"</f>
        <v>FSD1</v>
      </c>
      <c r="B3401" s="6">
        <v>3.5964035964035898E-2</v>
      </c>
      <c r="C3401" s="6">
        <v>0.175232591542621</v>
      </c>
    </row>
    <row r="3402" spans="1:3" s="7" customFormat="1" x14ac:dyDescent="0.2">
      <c r="A3402" s="6" t="str">
        <f>"XRCC6"</f>
        <v>XRCC6</v>
      </c>
      <c r="B3402" s="6">
        <v>3.5964035964035898E-2</v>
      </c>
      <c r="C3402" s="6">
        <v>0.175232591542621</v>
      </c>
    </row>
    <row r="3403" spans="1:3" s="7" customFormat="1" x14ac:dyDescent="0.2">
      <c r="A3403" s="6" t="str">
        <f>"TP73-AS1"</f>
        <v>TP73-AS1</v>
      </c>
      <c r="B3403" s="6">
        <v>3.5964035964035898E-2</v>
      </c>
      <c r="C3403" s="6">
        <v>0.175232591542621</v>
      </c>
    </row>
    <row r="3404" spans="1:3" s="7" customFormat="1" x14ac:dyDescent="0.2">
      <c r="A3404" s="6" t="str">
        <f>"MINDY2"</f>
        <v>MINDY2</v>
      </c>
      <c r="B3404" s="6">
        <v>3.5964035964035898E-2</v>
      </c>
      <c r="C3404" s="6">
        <v>0.175232591542621</v>
      </c>
    </row>
    <row r="3405" spans="1:3" s="7" customFormat="1" x14ac:dyDescent="0.2">
      <c r="A3405" s="6" t="str">
        <f>"IL10"</f>
        <v>IL10</v>
      </c>
      <c r="B3405" s="6">
        <v>3.5964035964035898E-2</v>
      </c>
      <c r="C3405" s="6">
        <v>0.175232591542621</v>
      </c>
    </row>
    <row r="3406" spans="1:3" s="7" customFormat="1" x14ac:dyDescent="0.2">
      <c r="A3406" s="6" t="str">
        <f>"AL139384.2"</f>
        <v>AL139384.2</v>
      </c>
      <c r="B3406" s="6">
        <v>3.5971223021582698E-2</v>
      </c>
      <c r="C3406" s="6">
        <v>0.175232591542621</v>
      </c>
    </row>
    <row r="3407" spans="1:3" s="7" customFormat="1" x14ac:dyDescent="0.2">
      <c r="A3407" s="6" t="str">
        <f>"PLBD2"</f>
        <v>PLBD2</v>
      </c>
      <c r="B3407" s="6">
        <v>3.5964035964035898E-2</v>
      </c>
      <c r="C3407" s="6">
        <v>0.175232591542621</v>
      </c>
    </row>
    <row r="3408" spans="1:3" s="7" customFormat="1" x14ac:dyDescent="0.2">
      <c r="A3408" s="6" t="str">
        <f>"AC096772.1"</f>
        <v>AC096772.1</v>
      </c>
      <c r="B3408" s="6">
        <v>3.5964035964035898E-2</v>
      </c>
      <c r="C3408" s="6">
        <v>0.175232591542621</v>
      </c>
    </row>
    <row r="3409" spans="1:3" s="7" customFormat="1" x14ac:dyDescent="0.2">
      <c r="A3409" s="6" t="str">
        <f>"TMPRSS7"</f>
        <v>TMPRSS7</v>
      </c>
      <c r="B3409" s="6">
        <v>3.5964035964035898E-2</v>
      </c>
      <c r="C3409" s="6">
        <v>0.175232591542621</v>
      </c>
    </row>
    <row r="3410" spans="1:3" s="7" customFormat="1" x14ac:dyDescent="0.2">
      <c r="A3410" s="6" t="str">
        <f>"TRMT9B"</f>
        <v>TRMT9B</v>
      </c>
      <c r="B3410" s="6">
        <v>3.5964035964035898E-2</v>
      </c>
      <c r="C3410" s="6">
        <v>0.175232591542621</v>
      </c>
    </row>
    <row r="3411" spans="1:3" s="7" customFormat="1" x14ac:dyDescent="0.2">
      <c r="A3411" s="6" t="str">
        <f>"IYD"</f>
        <v>IYD</v>
      </c>
      <c r="B3411" s="6">
        <v>3.5964035964035898E-2</v>
      </c>
      <c r="C3411" s="6">
        <v>0.175232591542621</v>
      </c>
    </row>
    <row r="3412" spans="1:3" s="7" customFormat="1" x14ac:dyDescent="0.2">
      <c r="A3412" s="6" t="str">
        <f>"AC104506.1"</f>
        <v>AC104506.1</v>
      </c>
      <c r="B3412" s="6">
        <v>3.5964035964035898E-2</v>
      </c>
      <c r="C3412" s="6">
        <v>0.175232591542621</v>
      </c>
    </row>
    <row r="3413" spans="1:3" s="7" customFormat="1" x14ac:dyDescent="0.2">
      <c r="A3413" s="6" t="str">
        <f>"PPP1R14B-AS1"</f>
        <v>PPP1R14B-AS1</v>
      </c>
      <c r="B3413" s="6">
        <v>3.5964035964035898E-2</v>
      </c>
      <c r="C3413" s="6">
        <v>0.175232591542621</v>
      </c>
    </row>
    <row r="3414" spans="1:3" s="7" customFormat="1" x14ac:dyDescent="0.2">
      <c r="A3414" s="6" t="str">
        <f>"FAM230B"</f>
        <v>FAM230B</v>
      </c>
      <c r="B3414" s="6">
        <v>3.5964035964035898E-2</v>
      </c>
      <c r="C3414" s="6">
        <v>0.175232591542621</v>
      </c>
    </row>
    <row r="3415" spans="1:3" s="7" customFormat="1" x14ac:dyDescent="0.2">
      <c r="A3415" s="6" t="str">
        <f>"WASH8P"</f>
        <v>WASH8P</v>
      </c>
      <c r="B3415" s="6">
        <v>3.5964035964035898E-2</v>
      </c>
      <c r="C3415" s="6">
        <v>0.175232591542621</v>
      </c>
    </row>
    <row r="3416" spans="1:3" s="7" customFormat="1" x14ac:dyDescent="0.2">
      <c r="A3416" s="6" t="str">
        <f>"AGAP10P"</f>
        <v>AGAP10P</v>
      </c>
      <c r="B3416" s="6">
        <v>3.5964035964035898E-2</v>
      </c>
      <c r="C3416" s="6">
        <v>0.175232591542621</v>
      </c>
    </row>
    <row r="3417" spans="1:3" s="7" customFormat="1" x14ac:dyDescent="0.2">
      <c r="A3417" s="6" t="str">
        <f>"ADAM15"</f>
        <v>ADAM15</v>
      </c>
      <c r="B3417" s="6">
        <v>3.5964035964035898E-2</v>
      </c>
      <c r="C3417" s="6">
        <v>0.175232591542621</v>
      </c>
    </row>
    <row r="3418" spans="1:3" s="7" customFormat="1" x14ac:dyDescent="0.2">
      <c r="A3418" s="6" t="str">
        <f>"SESN1"</f>
        <v>SESN1</v>
      </c>
      <c r="B3418" s="6">
        <v>3.5964035964035898E-2</v>
      </c>
      <c r="C3418" s="6">
        <v>0.175232591542621</v>
      </c>
    </row>
    <row r="3419" spans="1:3" s="7" customFormat="1" x14ac:dyDescent="0.2">
      <c r="A3419" s="6" t="str">
        <f>"RGS14"</f>
        <v>RGS14</v>
      </c>
      <c r="B3419" s="6">
        <v>3.5964035964035898E-2</v>
      </c>
      <c r="C3419" s="6">
        <v>0.175232591542621</v>
      </c>
    </row>
    <row r="3420" spans="1:3" s="7" customFormat="1" x14ac:dyDescent="0.2">
      <c r="A3420" s="6" t="str">
        <f>"ATF7-NPFF"</f>
        <v>ATF7-NPFF</v>
      </c>
      <c r="B3420" s="6">
        <v>3.5964035964035898E-2</v>
      </c>
      <c r="C3420" s="6">
        <v>0.175232591542621</v>
      </c>
    </row>
    <row r="3421" spans="1:3" s="7" customFormat="1" x14ac:dyDescent="0.2">
      <c r="A3421" s="6" t="str">
        <f>"CCDC130"</f>
        <v>CCDC130</v>
      </c>
      <c r="B3421" s="6">
        <v>3.5964035964035898E-2</v>
      </c>
      <c r="C3421" s="6">
        <v>0.175232591542621</v>
      </c>
    </row>
    <row r="3422" spans="1:3" s="7" customFormat="1" x14ac:dyDescent="0.2">
      <c r="A3422" s="6" t="str">
        <f>"AKAP1"</f>
        <v>AKAP1</v>
      </c>
      <c r="B3422" s="6">
        <v>3.5964035964035898E-2</v>
      </c>
      <c r="C3422" s="6">
        <v>0.175232591542621</v>
      </c>
    </row>
    <row r="3423" spans="1:3" s="7" customFormat="1" x14ac:dyDescent="0.2">
      <c r="A3423" s="6" t="str">
        <f>"C8orf37-AS1"</f>
        <v>C8orf37-AS1</v>
      </c>
      <c r="B3423" s="6">
        <v>3.5964035964035898E-2</v>
      </c>
      <c r="C3423" s="6">
        <v>0.175232591542621</v>
      </c>
    </row>
    <row r="3424" spans="1:3" s="7" customFormat="1" x14ac:dyDescent="0.2">
      <c r="A3424" s="6" t="str">
        <f>"TMEM52"</f>
        <v>TMEM52</v>
      </c>
      <c r="B3424" s="6">
        <v>3.5964035964035898E-2</v>
      </c>
      <c r="C3424" s="6">
        <v>0.175232591542621</v>
      </c>
    </row>
    <row r="3425" spans="1:3" s="7" customFormat="1" x14ac:dyDescent="0.2">
      <c r="A3425" s="6" t="str">
        <f>"HSD17B14"</f>
        <v>HSD17B14</v>
      </c>
      <c r="B3425" s="6">
        <v>3.5964035964035898E-2</v>
      </c>
      <c r="C3425" s="6">
        <v>0.175232591542621</v>
      </c>
    </row>
    <row r="3426" spans="1:3" s="7" customFormat="1" x14ac:dyDescent="0.2">
      <c r="A3426" s="6" t="str">
        <f>"TMA16"</f>
        <v>TMA16</v>
      </c>
      <c r="B3426" s="6">
        <v>3.5964035964035898E-2</v>
      </c>
      <c r="C3426" s="6">
        <v>0.175232591542621</v>
      </c>
    </row>
    <row r="3427" spans="1:3" s="7" customFormat="1" x14ac:dyDescent="0.2">
      <c r="A3427" s="6" t="str">
        <f>"ABCA10"</f>
        <v>ABCA10</v>
      </c>
      <c r="B3427" s="6">
        <v>3.5964035964035898E-2</v>
      </c>
      <c r="C3427" s="6">
        <v>0.175232591542621</v>
      </c>
    </row>
    <row r="3428" spans="1:3" s="7" customFormat="1" x14ac:dyDescent="0.2">
      <c r="A3428" s="6" t="str">
        <f>"LINC00167"</f>
        <v>LINC00167</v>
      </c>
      <c r="B3428" s="6">
        <v>3.5587188612099599E-2</v>
      </c>
      <c r="C3428" s="6">
        <v>0.175232591542621</v>
      </c>
    </row>
    <row r="3429" spans="1:3" s="7" customFormat="1" x14ac:dyDescent="0.2">
      <c r="A3429" s="6" t="str">
        <f>"PLAA"</f>
        <v>PLAA</v>
      </c>
      <c r="B3429" s="6">
        <v>3.5964035964035898E-2</v>
      </c>
      <c r="C3429" s="6">
        <v>0.175232591542621</v>
      </c>
    </row>
    <row r="3430" spans="1:3" s="7" customFormat="1" x14ac:dyDescent="0.2">
      <c r="A3430" s="6" t="str">
        <f>"LMCD1-AS1"</f>
        <v>LMCD1-AS1</v>
      </c>
      <c r="B3430" s="6">
        <v>3.5964035964035898E-2</v>
      </c>
      <c r="C3430" s="6">
        <v>0.175232591542621</v>
      </c>
    </row>
    <row r="3431" spans="1:3" s="7" customFormat="1" x14ac:dyDescent="0.2">
      <c r="A3431" s="6" t="str">
        <f>"LYSMD3"</f>
        <v>LYSMD3</v>
      </c>
      <c r="B3431" s="6">
        <v>3.5964035964035898E-2</v>
      </c>
      <c r="C3431" s="6">
        <v>0.175232591542621</v>
      </c>
    </row>
    <row r="3432" spans="1:3" s="7" customFormat="1" x14ac:dyDescent="0.2">
      <c r="A3432" s="6" t="str">
        <f>"LYRM7"</f>
        <v>LYRM7</v>
      </c>
      <c r="B3432" s="6">
        <v>3.5964035964035898E-2</v>
      </c>
      <c r="C3432" s="6">
        <v>0.175232591542621</v>
      </c>
    </row>
    <row r="3433" spans="1:3" s="7" customFormat="1" x14ac:dyDescent="0.2">
      <c r="A3433" s="6" t="str">
        <f>"LINC02765"</f>
        <v>LINC02765</v>
      </c>
      <c r="B3433" s="6">
        <v>3.5999999999999997E-2</v>
      </c>
      <c r="C3433" s="6">
        <v>0.175321678321678</v>
      </c>
    </row>
    <row r="3434" spans="1:3" s="7" customFormat="1" x14ac:dyDescent="0.2">
      <c r="A3434" s="6" t="str">
        <f>"LINC02664"</f>
        <v>LINC02664</v>
      </c>
      <c r="B3434" s="6">
        <v>3.6108324974924701E-2</v>
      </c>
      <c r="C3434" s="6">
        <v>0.17579800280538599</v>
      </c>
    </row>
    <row r="3435" spans="1:3" s="7" customFormat="1" x14ac:dyDescent="0.2">
      <c r="A3435" s="6" t="str">
        <f>"AC011374.2"</f>
        <v>AC011374.2</v>
      </c>
      <c r="B3435" s="6">
        <v>3.6284470246734299E-2</v>
      </c>
      <c r="C3435" s="6">
        <v>0.176604145516575</v>
      </c>
    </row>
    <row r="3436" spans="1:3" s="7" customFormat="1" x14ac:dyDescent="0.2">
      <c r="A3436" s="6" t="str">
        <f>"STK4"</f>
        <v>STK4</v>
      </c>
      <c r="B3436" s="6">
        <v>3.6963036963036898E-2</v>
      </c>
      <c r="C3436" s="6">
        <v>0.17757982173043901</v>
      </c>
    </row>
    <row r="3437" spans="1:3" s="7" customFormat="1" x14ac:dyDescent="0.2">
      <c r="A3437" s="6" t="str">
        <f>"KIF1A"</f>
        <v>KIF1A</v>
      </c>
      <c r="B3437" s="6">
        <v>3.6963036963036898E-2</v>
      </c>
      <c r="C3437" s="6">
        <v>0.17757982173043901</v>
      </c>
    </row>
    <row r="3438" spans="1:3" s="7" customFormat="1" x14ac:dyDescent="0.2">
      <c r="A3438" s="6" t="str">
        <f>"MTCL1"</f>
        <v>MTCL1</v>
      </c>
      <c r="B3438" s="6">
        <v>3.6963036963036898E-2</v>
      </c>
      <c r="C3438" s="6">
        <v>0.17757982173043901</v>
      </c>
    </row>
    <row r="3439" spans="1:3" s="7" customFormat="1" x14ac:dyDescent="0.2">
      <c r="A3439" s="6" t="str">
        <f>"SLFN14"</f>
        <v>SLFN14</v>
      </c>
      <c r="B3439" s="6">
        <v>3.6963036963036898E-2</v>
      </c>
      <c r="C3439" s="6">
        <v>0.17757982173043901</v>
      </c>
    </row>
    <row r="3440" spans="1:3" s="7" customFormat="1" x14ac:dyDescent="0.2">
      <c r="A3440" s="6" t="str">
        <f>"DLG4"</f>
        <v>DLG4</v>
      </c>
      <c r="B3440" s="6">
        <v>3.6963036963036898E-2</v>
      </c>
      <c r="C3440" s="6">
        <v>0.17757982173043901</v>
      </c>
    </row>
    <row r="3441" spans="1:3" s="7" customFormat="1" x14ac:dyDescent="0.2">
      <c r="A3441" s="6" t="str">
        <f>"WDR11"</f>
        <v>WDR11</v>
      </c>
      <c r="B3441" s="6">
        <v>3.6963036963036898E-2</v>
      </c>
      <c r="C3441" s="6">
        <v>0.17757982173043901</v>
      </c>
    </row>
    <row r="3442" spans="1:3" s="7" customFormat="1" x14ac:dyDescent="0.2">
      <c r="A3442" s="6" t="str">
        <f>"AGER"</f>
        <v>AGER</v>
      </c>
      <c r="B3442" s="6">
        <v>3.6963036963036898E-2</v>
      </c>
      <c r="C3442" s="6">
        <v>0.17757982173043901</v>
      </c>
    </row>
    <row r="3443" spans="1:3" s="7" customFormat="1" x14ac:dyDescent="0.2">
      <c r="A3443" s="6" t="str">
        <f>"SLCO1B3"</f>
        <v>SLCO1B3</v>
      </c>
      <c r="B3443" s="6">
        <v>3.6963036963036898E-2</v>
      </c>
      <c r="C3443" s="6">
        <v>0.17757982173043901</v>
      </c>
    </row>
    <row r="3444" spans="1:3" s="7" customFormat="1" x14ac:dyDescent="0.2">
      <c r="A3444" s="6" t="str">
        <f>"ZFYVE9"</f>
        <v>ZFYVE9</v>
      </c>
      <c r="B3444" s="6">
        <v>3.6963036963036898E-2</v>
      </c>
      <c r="C3444" s="6">
        <v>0.17757982173043901</v>
      </c>
    </row>
    <row r="3445" spans="1:3" s="7" customFormat="1" x14ac:dyDescent="0.2">
      <c r="A3445" s="6" t="str">
        <f>"TENT4A"</f>
        <v>TENT4A</v>
      </c>
      <c r="B3445" s="6">
        <v>3.6963036963036898E-2</v>
      </c>
      <c r="C3445" s="6">
        <v>0.17757982173043901</v>
      </c>
    </row>
    <row r="3446" spans="1:3" s="7" customFormat="1" x14ac:dyDescent="0.2">
      <c r="A3446" s="6" t="str">
        <f>"MTX3"</f>
        <v>MTX3</v>
      </c>
      <c r="B3446" s="6">
        <v>3.6963036963036898E-2</v>
      </c>
      <c r="C3446" s="6">
        <v>0.17757982173043901</v>
      </c>
    </row>
    <row r="3447" spans="1:3" s="7" customFormat="1" x14ac:dyDescent="0.2">
      <c r="A3447" s="6" t="str">
        <f>"PPP2R3A"</f>
        <v>PPP2R3A</v>
      </c>
      <c r="B3447" s="6">
        <v>3.6963036963036898E-2</v>
      </c>
      <c r="C3447" s="6">
        <v>0.17757982173043901</v>
      </c>
    </row>
    <row r="3448" spans="1:3" s="7" customFormat="1" x14ac:dyDescent="0.2">
      <c r="A3448" s="6" t="str">
        <f>"CCDC124"</f>
        <v>CCDC124</v>
      </c>
      <c r="B3448" s="6">
        <v>3.6963036963036898E-2</v>
      </c>
      <c r="C3448" s="6">
        <v>0.17757982173043901</v>
      </c>
    </row>
    <row r="3449" spans="1:3" s="7" customFormat="1" x14ac:dyDescent="0.2">
      <c r="A3449" s="6" t="str">
        <f>"CHAF1A"</f>
        <v>CHAF1A</v>
      </c>
      <c r="B3449" s="6">
        <v>3.6963036963036898E-2</v>
      </c>
      <c r="C3449" s="6">
        <v>0.17757982173043901</v>
      </c>
    </row>
    <row r="3450" spans="1:3" s="7" customFormat="1" x14ac:dyDescent="0.2">
      <c r="A3450" s="6" t="str">
        <f>"ZBTB10"</f>
        <v>ZBTB10</v>
      </c>
      <c r="B3450" s="6">
        <v>3.6963036963036898E-2</v>
      </c>
      <c r="C3450" s="6">
        <v>0.17757982173043901</v>
      </c>
    </row>
    <row r="3451" spans="1:3" s="7" customFormat="1" x14ac:dyDescent="0.2">
      <c r="A3451" s="6" t="str">
        <f>"CYP4F8"</f>
        <v>CYP4F8</v>
      </c>
      <c r="B3451" s="6">
        <v>3.6963036963036898E-2</v>
      </c>
      <c r="C3451" s="6">
        <v>0.17757982173043901</v>
      </c>
    </row>
    <row r="3452" spans="1:3" s="7" customFormat="1" x14ac:dyDescent="0.2">
      <c r="A3452" s="6" t="str">
        <f>"SSNA1"</f>
        <v>SSNA1</v>
      </c>
      <c r="B3452" s="6">
        <v>3.6963036963036898E-2</v>
      </c>
      <c r="C3452" s="6">
        <v>0.17757982173043901</v>
      </c>
    </row>
    <row r="3453" spans="1:3" s="7" customFormat="1" x14ac:dyDescent="0.2">
      <c r="A3453" s="6" t="str">
        <f>"TRIM4"</f>
        <v>TRIM4</v>
      </c>
      <c r="B3453" s="6">
        <v>3.6963036963036898E-2</v>
      </c>
      <c r="C3453" s="6">
        <v>0.17757982173043901</v>
      </c>
    </row>
    <row r="3454" spans="1:3" s="7" customFormat="1" x14ac:dyDescent="0.2">
      <c r="A3454" s="6" t="str">
        <f>"GATAD2B"</f>
        <v>GATAD2B</v>
      </c>
      <c r="B3454" s="6">
        <v>3.6963036963036898E-2</v>
      </c>
      <c r="C3454" s="6">
        <v>0.17757982173043901</v>
      </c>
    </row>
    <row r="3455" spans="1:3" s="7" customFormat="1" x14ac:dyDescent="0.2">
      <c r="A3455" s="6" t="str">
        <f>"MT3"</f>
        <v>MT3</v>
      </c>
      <c r="B3455" s="6">
        <v>3.6963036963036898E-2</v>
      </c>
      <c r="C3455" s="6">
        <v>0.17757982173043901</v>
      </c>
    </row>
    <row r="3456" spans="1:3" s="7" customFormat="1" x14ac:dyDescent="0.2">
      <c r="A3456" s="6" t="str">
        <f>"NUDT15"</f>
        <v>NUDT15</v>
      </c>
      <c r="B3456" s="6">
        <v>3.6963036963036898E-2</v>
      </c>
      <c r="C3456" s="6">
        <v>0.17757982173043901</v>
      </c>
    </row>
    <row r="3457" spans="1:3" s="7" customFormat="1" x14ac:dyDescent="0.2">
      <c r="A3457" s="6" t="str">
        <f>"ADAM23"</f>
        <v>ADAM23</v>
      </c>
      <c r="B3457" s="6">
        <v>3.6963036963036898E-2</v>
      </c>
      <c r="C3457" s="6">
        <v>0.17757982173043901</v>
      </c>
    </row>
    <row r="3458" spans="1:3" s="7" customFormat="1" x14ac:dyDescent="0.2">
      <c r="A3458" s="6" t="str">
        <f>"ABCB11"</f>
        <v>ABCB11</v>
      </c>
      <c r="B3458" s="6">
        <v>3.6963036963036898E-2</v>
      </c>
      <c r="C3458" s="6">
        <v>0.17757982173043901</v>
      </c>
    </row>
    <row r="3459" spans="1:3" s="7" customFormat="1" x14ac:dyDescent="0.2">
      <c r="A3459" s="6" t="str">
        <f>"SLC25A17"</f>
        <v>SLC25A17</v>
      </c>
      <c r="B3459" s="6">
        <v>3.6963036963036898E-2</v>
      </c>
      <c r="C3459" s="6">
        <v>0.17757982173043901</v>
      </c>
    </row>
    <row r="3460" spans="1:3" s="7" customFormat="1" x14ac:dyDescent="0.2">
      <c r="A3460" s="6" t="str">
        <f>"LINC01315"</f>
        <v>LINC01315</v>
      </c>
      <c r="B3460" s="6">
        <v>3.6963036963036898E-2</v>
      </c>
      <c r="C3460" s="6">
        <v>0.17757982173043901</v>
      </c>
    </row>
    <row r="3461" spans="1:3" s="7" customFormat="1" x14ac:dyDescent="0.2">
      <c r="A3461" s="6" t="str">
        <f>"KIF5A"</f>
        <v>KIF5A</v>
      </c>
      <c r="B3461" s="6">
        <v>3.6963036963036898E-2</v>
      </c>
      <c r="C3461" s="6">
        <v>0.17757982173043901</v>
      </c>
    </row>
    <row r="3462" spans="1:3" s="7" customFormat="1" x14ac:dyDescent="0.2">
      <c r="A3462" s="6" t="str">
        <f>"ADARB1"</f>
        <v>ADARB1</v>
      </c>
      <c r="B3462" s="6">
        <v>3.6963036963036898E-2</v>
      </c>
      <c r="C3462" s="6">
        <v>0.17757982173043901</v>
      </c>
    </row>
    <row r="3463" spans="1:3" s="7" customFormat="1" x14ac:dyDescent="0.2">
      <c r="A3463" s="6" t="str">
        <f>"EFHC2"</f>
        <v>EFHC2</v>
      </c>
      <c r="B3463" s="6">
        <v>3.6963036963036898E-2</v>
      </c>
      <c r="C3463" s="6">
        <v>0.17757982173043901</v>
      </c>
    </row>
    <row r="3464" spans="1:3" s="7" customFormat="1" x14ac:dyDescent="0.2">
      <c r="A3464" s="6" t="str">
        <f>"NKAP"</f>
        <v>NKAP</v>
      </c>
      <c r="B3464" s="6">
        <v>3.6963036963036898E-2</v>
      </c>
      <c r="C3464" s="6">
        <v>0.17757982173043901</v>
      </c>
    </row>
    <row r="3465" spans="1:3" s="7" customFormat="1" x14ac:dyDescent="0.2">
      <c r="A3465" s="6" t="str">
        <f>"AC079848.1"</f>
        <v>AC079848.1</v>
      </c>
      <c r="B3465" s="6">
        <v>3.6963036963036898E-2</v>
      </c>
      <c r="C3465" s="6">
        <v>0.17757982173043901</v>
      </c>
    </row>
    <row r="3466" spans="1:3" s="7" customFormat="1" x14ac:dyDescent="0.2">
      <c r="A3466" s="6" t="str">
        <f>"UBFD1"</f>
        <v>UBFD1</v>
      </c>
      <c r="B3466" s="6">
        <v>3.6963036963036898E-2</v>
      </c>
      <c r="C3466" s="6">
        <v>0.17757982173043901</v>
      </c>
    </row>
    <row r="3467" spans="1:3" s="7" customFormat="1" x14ac:dyDescent="0.2">
      <c r="A3467" s="6" t="str">
        <f>"SNRNP27"</f>
        <v>SNRNP27</v>
      </c>
      <c r="B3467" s="6">
        <v>3.6963036963036898E-2</v>
      </c>
      <c r="C3467" s="6">
        <v>0.17757982173043901</v>
      </c>
    </row>
    <row r="3468" spans="1:3" s="7" customFormat="1" x14ac:dyDescent="0.2">
      <c r="A3468" s="6" t="str">
        <f>"TMEM232"</f>
        <v>TMEM232</v>
      </c>
      <c r="B3468" s="6">
        <v>3.6963036963036898E-2</v>
      </c>
      <c r="C3468" s="6">
        <v>0.17757982173043901</v>
      </c>
    </row>
    <row r="3469" spans="1:3" s="7" customFormat="1" x14ac:dyDescent="0.2">
      <c r="A3469" s="6" t="str">
        <f>"GRK6"</f>
        <v>GRK6</v>
      </c>
      <c r="B3469" s="6">
        <v>3.6963036963036898E-2</v>
      </c>
      <c r="C3469" s="6">
        <v>0.17757982173043901</v>
      </c>
    </row>
    <row r="3470" spans="1:3" s="7" customFormat="1" x14ac:dyDescent="0.2">
      <c r="A3470" s="6" t="str">
        <f>"ZBBX"</f>
        <v>ZBBX</v>
      </c>
      <c r="B3470" s="6">
        <v>3.6963036963036898E-2</v>
      </c>
      <c r="C3470" s="6">
        <v>0.17757982173043901</v>
      </c>
    </row>
    <row r="3471" spans="1:3" s="7" customFormat="1" x14ac:dyDescent="0.2">
      <c r="A3471" s="6" t="str">
        <f>"HIBADH"</f>
        <v>HIBADH</v>
      </c>
      <c r="B3471" s="6">
        <v>3.6963036963036898E-2</v>
      </c>
      <c r="C3471" s="6">
        <v>0.17757982173043901</v>
      </c>
    </row>
    <row r="3472" spans="1:3" s="7" customFormat="1" x14ac:dyDescent="0.2">
      <c r="A3472" s="6" t="str">
        <f>"ZCCHC9"</f>
        <v>ZCCHC9</v>
      </c>
      <c r="B3472" s="6">
        <v>3.6963036963036898E-2</v>
      </c>
      <c r="C3472" s="6">
        <v>0.17757982173043901</v>
      </c>
    </row>
    <row r="3473" spans="1:3" s="7" customFormat="1" x14ac:dyDescent="0.2">
      <c r="A3473" s="6" t="str">
        <f>"COLGALT1"</f>
        <v>COLGALT1</v>
      </c>
      <c r="B3473" s="6">
        <v>3.6963036963036898E-2</v>
      </c>
      <c r="C3473" s="6">
        <v>0.17757982173043901</v>
      </c>
    </row>
    <row r="3474" spans="1:3" s="7" customFormat="1" x14ac:dyDescent="0.2">
      <c r="A3474" s="6" t="str">
        <f>"GSKIP"</f>
        <v>GSKIP</v>
      </c>
      <c r="B3474" s="6">
        <v>3.6963036963036898E-2</v>
      </c>
      <c r="C3474" s="6">
        <v>0.17757982173043901</v>
      </c>
    </row>
    <row r="3475" spans="1:3" s="7" customFormat="1" x14ac:dyDescent="0.2">
      <c r="A3475" s="6" t="str">
        <f>"GOLPH3"</f>
        <v>GOLPH3</v>
      </c>
      <c r="B3475" s="6">
        <v>3.6963036963036898E-2</v>
      </c>
      <c r="C3475" s="6">
        <v>0.17757982173043901</v>
      </c>
    </row>
    <row r="3476" spans="1:3" s="7" customFormat="1" x14ac:dyDescent="0.2">
      <c r="A3476" s="6" t="str">
        <f>"DNAI4"</f>
        <v>DNAI4</v>
      </c>
      <c r="B3476" s="6">
        <v>3.6963036963036898E-2</v>
      </c>
      <c r="C3476" s="6">
        <v>0.17757982173043901</v>
      </c>
    </row>
    <row r="3477" spans="1:3" s="7" customFormat="1" x14ac:dyDescent="0.2">
      <c r="A3477" s="6" t="str">
        <f>"HFM1"</f>
        <v>HFM1</v>
      </c>
      <c r="B3477" s="6">
        <v>3.6963036963036898E-2</v>
      </c>
      <c r="C3477" s="6">
        <v>0.17757982173043901</v>
      </c>
    </row>
    <row r="3478" spans="1:3" s="7" customFormat="1" x14ac:dyDescent="0.2">
      <c r="A3478" s="6" t="str">
        <f>"MCF2L2"</f>
        <v>MCF2L2</v>
      </c>
      <c r="B3478" s="6">
        <v>3.6963036963036898E-2</v>
      </c>
      <c r="C3478" s="6">
        <v>0.17757982173043901</v>
      </c>
    </row>
    <row r="3479" spans="1:3" s="7" customFormat="1" x14ac:dyDescent="0.2">
      <c r="A3479" s="6" t="str">
        <f>"DDX50"</f>
        <v>DDX50</v>
      </c>
      <c r="B3479" s="6">
        <v>3.6963036963036898E-2</v>
      </c>
      <c r="C3479" s="6">
        <v>0.17757982173043901</v>
      </c>
    </row>
    <row r="3480" spans="1:3" s="7" customFormat="1" x14ac:dyDescent="0.2">
      <c r="A3480" s="6" t="str">
        <f>"KLF4"</f>
        <v>KLF4</v>
      </c>
      <c r="B3480" s="6">
        <v>3.6963036963036898E-2</v>
      </c>
      <c r="C3480" s="6">
        <v>0.17757982173043901</v>
      </c>
    </row>
    <row r="3481" spans="1:3" s="7" customFormat="1" x14ac:dyDescent="0.2">
      <c r="A3481" s="6" t="str">
        <f>"AC109583.4"</f>
        <v>AC109583.4</v>
      </c>
      <c r="B3481" s="6">
        <v>3.6999999999999998E-2</v>
      </c>
      <c r="C3481" s="6">
        <v>0.17770632183908</v>
      </c>
    </row>
    <row r="3482" spans="1:3" s="7" customFormat="1" x14ac:dyDescent="0.2">
      <c r="A3482" s="6" t="str">
        <f>"LINC02551"</f>
        <v>LINC02551</v>
      </c>
      <c r="B3482" s="6">
        <v>3.7037037037037E-2</v>
      </c>
      <c r="C3482" s="6">
        <v>0.17778203246325</v>
      </c>
    </row>
    <row r="3483" spans="1:3" s="7" customFormat="1" x14ac:dyDescent="0.2">
      <c r="A3483" s="6" t="str">
        <f>"ZFHX2-AS1"</f>
        <v>ZFHX2-AS1</v>
      </c>
      <c r="B3483" s="6">
        <v>3.7037037037037E-2</v>
      </c>
      <c r="C3483" s="6">
        <v>0.17778203246325</v>
      </c>
    </row>
    <row r="3484" spans="1:3" s="7" customFormat="1" x14ac:dyDescent="0.2">
      <c r="A3484" s="6" t="str">
        <f>"LINC02886"</f>
        <v>LINC02886</v>
      </c>
      <c r="B3484" s="6">
        <v>3.70762711864406E-2</v>
      </c>
      <c r="C3484" s="6">
        <v>0.177919264028185</v>
      </c>
    </row>
    <row r="3485" spans="1:3" s="7" customFormat="1" x14ac:dyDescent="0.2">
      <c r="A3485" s="6" t="str">
        <f>"BID"</f>
        <v>BID</v>
      </c>
      <c r="B3485" s="6">
        <v>3.7962037962037898E-2</v>
      </c>
      <c r="C3485" s="6">
        <v>0.17908481583333399</v>
      </c>
    </row>
    <row r="3486" spans="1:3" s="7" customFormat="1" x14ac:dyDescent="0.2">
      <c r="A3486" s="6" t="str">
        <f>"NR1D2"</f>
        <v>NR1D2</v>
      </c>
      <c r="B3486" s="6">
        <v>3.7962037962037898E-2</v>
      </c>
      <c r="C3486" s="6">
        <v>0.17908481583333399</v>
      </c>
    </row>
    <row r="3487" spans="1:3" s="7" customFormat="1" x14ac:dyDescent="0.2">
      <c r="A3487" s="6" t="str">
        <f>"DHX34"</f>
        <v>DHX34</v>
      </c>
      <c r="B3487" s="6">
        <v>3.7962037962037898E-2</v>
      </c>
      <c r="C3487" s="6">
        <v>0.17908481583333399</v>
      </c>
    </row>
    <row r="3488" spans="1:3" s="7" customFormat="1" x14ac:dyDescent="0.2">
      <c r="A3488" s="6" t="str">
        <f>"MIDN"</f>
        <v>MIDN</v>
      </c>
      <c r="B3488" s="6">
        <v>3.7962037962037898E-2</v>
      </c>
      <c r="C3488" s="6">
        <v>0.17908481583333399</v>
      </c>
    </row>
    <row r="3489" spans="1:3" s="7" customFormat="1" x14ac:dyDescent="0.2">
      <c r="A3489" s="6" t="str">
        <f>"ISG20"</f>
        <v>ISG20</v>
      </c>
      <c r="B3489" s="6">
        <v>3.7962037962037898E-2</v>
      </c>
      <c r="C3489" s="6">
        <v>0.17908481583333399</v>
      </c>
    </row>
    <row r="3490" spans="1:3" s="7" customFormat="1" x14ac:dyDescent="0.2">
      <c r="A3490" s="6" t="str">
        <f>"GUSBP11"</f>
        <v>GUSBP11</v>
      </c>
      <c r="B3490" s="6">
        <v>3.7962037962037898E-2</v>
      </c>
      <c r="C3490" s="6">
        <v>0.17908481583333399</v>
      </c>
    </row>
    <row r="3491" spans="1:3" s="7" customFormat="1" x14ac:dyDescent="0.2">
      <c r="A3491" s="6" t="str">
        <f>"ITPKA"</f>
        <v>ITPKA</v>
      </c>
      <c r="B3491" s="6">
        <v>3.7962037962037898E-2</v>
      </c>
      <c r="C3491" s="6">
        <v>0.17908481583333399</v>
      </c>
    </row>
    <row r="3492" spans="1:3" s="7" customFormat="1" x14ac:dyDescent="0.2">
      <c r="A3492" s="6" t="str">
        <f>"CD69"</f>
        <v>CD69</v>
      </c>
      <c r="B3492" s="6">
        <v>3.7962037962037898E-2</v>
      </c>
      <c r="C3492" s="6">
        <v>0.17908481583333399</v>
      </c>
    </row>
    <row r="3493" spans="1:3" s="7" customFormat="1" x14ac:dyDescent="0.2">
      <c r="A3493" s="6" t="str">
        <f>"AC016831.1"</f>
        <v>AC016831.1</v>
      </c>
      <c r="B3493" s="6">
        <v>3.7962037962037898E-2</v>
      </c>
      <c r="C3493" s="6">
        <v>0.17908481583333399</v>
      </c>
    </row>
    <row r="3494" spans="1:3" s="7" customFormat="1" x14ac:dyDescent="0.2">
      <c r="A3494" s="6" t="str">
        <f>"ALPK2"</f>
        <v>ALPK2</v>
      </c>
      <c r="B3494" s="6">
        <v>3.7962037962037898E-2</v>
      </c>
      <c r="C3494" s="6">
        <v>0.17908481583333399</v>
      </c>
    </row>
    <row r="3495" spans="1:3" s="7" customFormat="1" x14ac:dyDescent="0.2">
      <c r="A3495" s="6" t="str">
        <f>"DLX6-AS1"</f>
        <v>DLX6-AS1</v>
      </c>
      <c r="B3495" s="6">
        <v>3.7962037962037898E-2</v>
      </c>
      <c r="C3495" s="6">
        <v>0.17908481583333399</v>
      </c>
    </row>
    <row r="3496" spans="1:3" s="7" customFormat="1" x14ac:dyDescent="0.2">
      <c r="A3496" s="6" t="str">
        <f>"MTA3"</f>
        <v>MTA3</v>
      </c>
      <c r="B3496" s="6">
        <v>3.7962037962037898E-2</v>
      </c>
      <c r="C3496" s="6">
        <v>0.17908481583333399</v>
      </c>
    </row>
    <row r="3497" spans="1:3" s="7" customFormat="1" x14ac:dyDescent="0.2">
      <c r="A3497" s="6" t="str">
        <f>"LINC00857"</f>
        <v>LINC00857</v>
      </c>
      <c r="B3497" s="6">
        <v>3.7962037962037898E-2</v>
      </c>
      <c r="C3497" s="6">
        <v>0.17908481583333399</v>
      </c>
    </row>
    <row r="3498" spans="1:3" s="7" customFormat="1" x14ac:dyDescent="0.2">
      <c r="A3498" s="6" t="str">
        <f>"RAB11FIP5"</f>
        <v>RAB11FIP5</v>
      </c>
      <c r="B3498" s="6">
        <v>3.7962037962037898E-2</v>
      </c>
      <c r="C3498" s="6">
        <v>0.17908481583333399</v>
      </c>
    </row>
    <row r="3499" spans="1:3" s="7" customFormat="1" x14ac:dyDescent="0.2">
      <c r="A3499" s="6" t="str">
        <f>"TBC1D9"</f>
        <v>TBC1D9</v>
      </c>
      <c r="B3499" s="6">
        <v>3.7962037962037898E-2</v>
      </c>
      <c r="C3499" s="6">
        <v>0.17908481583333399</v>
      </c>
    </row>
    <row r="3500" spans="1:3" s="7" customFormat="1" x14ac:dyDescent="0.2">
      <c r="A3500" s="6" t="str">
        <f>"ZNF746"</f>
        <v>ZNF746</v>
      </c>
      <c r="B3500" s="6">
        <v>3.7962037962037898E-2</v>
      </c>
      <c r="C3500" s="6">
        <v>0.17908481583333399</v>
      </c>
    </row>
    <row r="3501" spans="1:3" s="7" customFormat="1" x14ac:dyDescent="0.2">
      <c r="A3501" s="6" t="str">
        <f>"GDPD2"</f>
        <v>GDPD2</v>
      </c>
      <c r="B3501" s="6">
        <v>3.7962037962037898E-2</v>
      </c>
      <c r="C3501" s="6">
        <v>0.17908481583333399</v>
      </c>
    </row>
    <row r="3502" spans="1:3" s="7" customFormat="1" x14ac:dyDescent="0.2">
      <c r="A3502" s="6" t="str">
        <f>"KIN"</f>
        <v>KIN</v>
      </c>
      <c r="B3502" s="6">
        <v>3.7962037962037898E-2</v>
      </c>
      <c r="C3502" s="6">
        <v>0.17908481583333399</v>
      </c>
    </row>
    <row r="3503" spans="1:3" s="7" customFormat="1" x14ac:dyDescent="0.2">
      <c r="A3503" s="6" t="str">
        <f>"SMOC2"</f>
        <v>SMOC2</v>
      </c>
      <c r="B3503" s="6">
        <v>3.7962037962037898E-2</v>
      </c>
      <c r="C3503" s="6">
        <v>0.17908481583333399</v>
      </c>
    </row>
    <row r="3504" spans="1:3" s="7" customFormat="1" x14ac:dyDescent="0.2">
      <c r="A3504" s="6" t="str">
        <f>"TMEM254-AS1"</f>
        <v>TMEM254-AS1</v>
      </c>
      <c r="B3504" s="6">
        <v>3.7962037962037898E-2</v>
      </c>
      <c r="C3504" s="6">
        <v>0.17908481583333399</v>
      </c>
    </row>
    <row r="3505" spans="1:3" s="7" customFormat="1" x14ac:dyDescent="0.2">
      <c r="A3505" s="6" t="str">
        <f>"GMPR"</f>
        <v>GMPR</v>
      </c>
      <c r="B3505" s="6">
        <v>3.7962037962037898E-2</v>
      </c>
      <c r="C3505" s="6">
        <v>0.17908481583333399</v>
      </c>
    </row>
    <row r="3506" spans="1:3" s="7" customFormat="1" x14ac:dyDescent="0.2">
      <c r="A3506" s="6" t="str">
        <f>"ZNF79"</f>
        <v>ZNF79</v>
      </c>
      <c r="B3506" s="6">
        <v>3.7962037962037898E-2</v>
      </c>
      <c r="C3506" s="6">
        <v>0.17908481583333399</v>
      </c>
    </row>
    <row r="3507" spans="1:3" s="7" customFormat="1" x14ac:dyDescent="0.2">
      <c r="A3507" s="6" t="str">
        <f>"CA8"</f>
        <v>CA8</v>
      </c>
      <c r="B3507" s="6">
        <v>3.7962037962037898E-2</v>
      </c>
      <c r="C3507" s="6">
        <v>0.17908481583333399</v>
      </c>
    </row>
    <row r="3508" spans="1:3" s="7" customFormat="1" x14ac:dyDescent="0.2">
      <c r="A3508" s="6" t="str">
        <f>"AC091167.2"</f>
        <v>AC091167.2</v>
      </c>
      <c r="B3508" s="6">
        <v>3.7962037962037898E-2</v>
      </c>
      <c r="C3508" s="6">
        <v>0.17908481583333399</v>
      </c>
    </row>
    <row r="3509" spans="1:3" s="7" customFormat="1" x14ac:dyDescent="0.2">
      <c r="A3509" s="6" t="str">
        <f>"FBXL4"</f>
        <v>FBXL4</v>
      </c>
      <c r="B3509" s="6">
        <v>3.7962037962037898E-2</v>
      </c>
      <c r="C3509" s="6">
        <v>0.17908481583333399</v>
      </c>
    </row>
    <row r="3510" spans="1:3" s="7" customFormat="1" x14ac:dyDescent="0.2">
      <c r="A3510" s="6" t="str">
        <f>"KU-MEL-3"</f>
        <v>KU-MEL-3</v>
      </c>
      <c r="B3510" s="6">
        <v>3.7962037962037898E-2</v>
      </c>
      <c r="C3510" s="6">
        <v>0.17908481583333399</v>
      </c>
    </row>
    <row r="3511" spans="1:3" s="7" customFormat="1" x14ac:dyDescent="0.2">
      <c r="A3511" s="6" t="str">
        <f>"FAM13A-AS1"</f>
        <v>FAM13A-AS1</v>
      </c>
      <c r="B3511" s="6">
        <v>3.7962037962037898E-2</v>
      </c>
      <c r="C3511" s="6">
        <v>0.17908481583333399</v>
      </c>
    </row>
    <row r="3512" spans="1:3" s="7" customFormat="1" x14ac:dyDescent="0.2">
      <c r="A3512" s="6" t="str">
        <f>"SLC7A7"</f>
        <v>SLC7A7</v>
      </c>
      <c r="B3512" s="6">
        <v>3.7962037962037898E-2</v>
      </c>
      <c r="C3512" s="6">
        <v>0.17908481583333399</v>
      </c>
    </row>
    <row r="3513" spans="1:3" s="7" customFormat="1" x14ac:dyDescent="0.2">
      <c r="A3513" s="6" t="str">
        <f>"FAM193B"</f>
        <v>FAM193B</v>
      </c>
      <c r="B3513" s="6">
        <v>3.7962037962037898E-2</v>
      </c>
      <c r="C3513" s="6">
        <v>0.17908481583333399</v>
      </c>
    </row>
    <row r="3514" spans="1:3" s="7" customFormat="1" x14ac:dyDescent="0.2">
      <c r="A3514" s="6" t="str">
        <f>"ZNF507"</f>
        <v>ZNF507</v>
      </c>
      <c r="B3514" s="6">
        <v>3.7962037962037898E-2</v>
      </c>
      <c r="C3514" s="6">
        <v>0.17908481583333399</v>
      </c>
    </row>
    <row r="3515" spans="1:3" s="7" customFormat="1" x14ac:dyDescent="0.2">
      <c r="A3515" s="6" t="str">
        <f>"TSPYL2"</f>
        <v>TSPYL2</v>
      </c>
      <c r="B3515" s="6">
        <v>3.7962037962037898E-2</v>
      </c>
      <c r="C3515" s="6">
        <v>0.17908481583333399</v>
      </c>
    </row>
    <row r="3516" spans="1:3" s="7" customFormat="1" x14ac:dyDescent="0.2">
      <c r="A3516" s="6" t="str">
        <f>"LINC-ROR"</f>
        <v>LINC-ROR</v>
      </c>
      <c r="B3516" s="6">
        <v>3.7962037962037898E-2</v>
      </c>
      <c r="C3516" s="6">
        <v>0.17908481583333399</v>
      </c>
    </row>
    <row r="3517" spans="1:3" s="7" customFormat="1" x14ac:dyDescent="0.2">
      <c r="A3517" s="6" t="str">
        <f>"PAX3"</f>
        <v>PAX3</v>
      </c>
      <c r="B3517" s="6">
        <v>3.7962037962037898E-2</v>
      </c>
      <c r="C3517" s="6">
        <v>0.17908481583333399</v>
      </c>
    </row>
    <row r="3518" spans="1:3" s="7" customFormat="1" x14ac:dyDescent="0.2">
      <c r="A3518" s="6" t="str">
        <f>"ZNF343"</f>
        <v>ZNF343</v>
      </c>
      <c r="B3518" s="6">
        <v>3.7962037962037898E-2</v>
      </c>
      <c r="C3518" s="6">
        <v>0.17908481583333399</v>
      </c>
    </row>
    <row r="3519" spans="1:3" s="7" customFormat="1" x14ac:dyDescent="0.2">
      <c r="A3519" s="6" t="str">
        <f>"DGKQ"</f>
        <v>DGKQ</v>
      </c>
      <c r="B3519" s="6">
        <v>3.7962037962037898E-2</v>
      </c>
      <c r="C3519" s="6">
        <v>0.17908481583333399</v>
      </c>
    </row>
    <row r="3520" spans="1:3" s="7" customFormat="1" x14ac:dyDescent="0.2">
      <c r="A3520" s="6" t="str">
        <f>"ZNF764"</f>
        <v>ZNF764</v>
      </c>
      <c r="B3520" s="6">
        <v>3.7962037962037898E-2</v>
      </c>
      <c r="C3520" s="6">
        <v>0.17908481583333399</v>
      </c>
    </row>
    <row r="3521" spans="1:3" s="7" customFormat="1" x14ac:dyDescent="0.2">
      <c r="A3521" s="6" t="str">
        <f>"ACOT1"</f>
        <v>ACOT1</v>
      </c>
      <c r="B3521" s="6">
        <v>3.7962037962037898E-2</v>
      </c>
      <c r="C3521" s="6">
        <v>0.17908481583333399</v>
      </c>
    </row>
    <row r="3522" spans="1:3" s="7" customFormat="1" x14ac:dyDescent="0.2">
      <c r="A3522" s="6" t="str">
        <f>"ERMARD"</f>
        <v>ERMARD</v>
      </c>
      <c r="B3522" s="6">
        <v>3.7962037962037898E-2</v>
      </c>
      <c r="C3522" s="6">
        <v>0.17908481583333399</v>
      </c>
    </row>
    <row r="3523" spans="1:3" s="7" customFormat="1" x14ac:dyDescent="0.2">
      <c r="A3523" s="6" t="str">
        <f>"RPL12P4"</f>
        <v>RPL12P4</v>
      </c>
      <c r="B3523" s="6">
        <v>3.7793667007150103E-2</v>
      </c>
      <c r="C3523" s="6">
        <v>0.17908481583333399</v>
      </c>
    </row>
    <row r="3524" spans="1:3" s="7" customFormat="1" x14ac:dyDescent="0.2">
      <c r="A3524" s="6" t="str">
        <f>"TMEM39A"</f>
        <v>TMEM39A</v>
      </c>
      <c r="B3524" s="6">
        <v>3.7962037962037898E-2</v>
      </c>
      <c r="C3524" s="6">
        <v>0.17908481583333399</v>
      </c>
    </row>
    <row r="3525" spans="1:3" s="7" customFormat="1" x14ac:dyDescent="0.2">
      <c r="A3525" s="6" t="str">
        <f>"WDR62"</f>
        <v>WDR62</v>
      </c>
      <c r="B3525" s="6">
        <v>3.7962037962037898E-2</v>
      </c>
      <c r="C3525" s="6">
        <v>0.17908481583333399</v>
      </c>
    </row>
    <row r="3526" spans="1:3" s="7" customFormat="1" x14ac:dyDescent="0.2">
      <c r="A3526" s="6" t="str">
        <f>"AC018512.1"</f>
        <v>AC018512.1</v>
      </c>
      <c r="B3526" s="6">
        <v>3.7962037962037898E-2</v>
      </c>
      <c r="C3526" s="6">
        <v>0.17908481583333399</v>
      </c>
    </row>
    <row r="3527" spans="1:3" s="7" customFormat="1" x14ac:dyDescent="0.2">
      <c r="A3527" s="6" t="str">
        <f>"ERCC6L"</f>
        <v>ERCC6L</v>
      </c>
      <c r="B3527" s="6">
        <v>3.7962037962037898E-2</v>
      </c>
      <c r="C3527" s="6">
        <v>0.17908481583333399</v>
      </c>
    </row>
    <row r="3528" spans="1:3" s="7" customFormat="1" x14ac:dyDescent="0.2">
      <c r="A3528" s="6" t="str">
        <f>"AC009053.1"</f>
        <v>AC009053.1</v>
      </c>
      <c r="B3528" s="6">
        <v>3.7962037962037898E-2</v>
      </c>
      <c r="C3528" s="6">
        <v>0.17908481583333399</v>
      </c>
    </row>
    <row r="3529" spans="1:3" s="7" customFormat="1" x14ac:dyDescent="0.2">
      <c r="A3529" s="6" t="str">
        <f>"PLCB3"</f>
        <v>PLCB3</v>
      </c>
      <c r="B3529" s="6">
        <v>3.7962037962037898E-2</v>
      </c>
      <c r="C3529" s="6">
        <v>0.17908481583333399</v>
      </c>
    </row>
    <row r="3530" spans="1:3" s="7" customFormat="1" x14ac:dyDescent="0.2">
      <c r="A3530" s="6" t="str">
        <f>"CCDC173"</f>
        <v>CCDC173</v>
      </c>
      <c r="B3530" s="6">
        <v>3.7962037962037898E-2</v>
      </c>
      <c r="C3530" s="6">
        <v>0.17908481583333399</v>
      </c>
    </row>
    <row r="3531" spans="1:3" s="7" customFormat="1" x14ac:dyDescent="0.2">
      <c r="A3531" s="6" t="str">
        <f>"AC010422.3"</f>
        <v>AC010422.3</v>
      </c>
      <c r="B3531" s="6">
        <v>3.7962037962037898E-2</v>
      </c>
      <c r="C3531" s="6">
        <v>0.17908481583333399</v>
      </c>
    </row>
    <row r="3532" spans="1:3" s="7" customFormat="1" x14ac:dyDescent="0.2">
      <c r="A3532" s="6" t="str">
        <f>"AC110285.2"</f>
        <v>AC110285.2</v>
      </c>
      <c r="B3532" s="6">
        <v>3.7962037962037898E-2</v>
      </c>
      <c r="C3532" s="6">
        <v>0.17908481583333399</v>
      </c>
    </row>
    <row r="3533" spans="1:3" s="7" customFormat="1" x14ac:dyDescent="0.2">
      <c r="A3533" s="6" t="str">
        <f>"CCDC40"</f>
        <v>CCDC40</v>
      </c>
      <c r="B3533" s="6">
        <v>3.7962037962037898E-2</v>
      </c>
      <c r="C3533" s="6">
        <v>0.17908481583333399</v>
      </c>
    </row>
    <row r="3534" spans="1:3" s="7" customFormat="1" x14ac:dyDescent="0.2">
      <c r="A3534" s="6" t="str">
        <f>"PRR3"</f>
        <v>PRR3</v>
      </c>
      <c r="B3534" s="6">
        <v>3.7962037962037898E-2</v>
      </c>
      <c r="C3534" s="6">
        <v>0.17908481583333399</v>
      </c>
    </row>
    <row r="3535" spans="1:3" s="7" customFormat="1" x14ac:dyDescent="0.2">
      <c r="A3535" s="6" t="str">
        <f>"DCP1B"</f>
        <v>DCP1B</v>
      </c>
      <c r="B3535" s="6">
        <v>3.7962037962037898E-2</v>
      </c>
      <c r="C3535" s="6">
        <v>0.17908481583333399</v>
      </c>
    </row>
    <row r="3536" spans="1:3" s="7" customFormat="1" x14ac:dyDescent="0.2">
      <c r="A3536" s="6" t="str">
        <f>"RSPH10B"</f>
        <v>RSPH10B</v>
      </c>
      <c r="B3536" s="6">
        <v>3.7962037962037898E-2</v>
      </c>
      <c r="C3536" s="6">
        <v>0.17908481583333399</v>
      </c>
    </row>
    <row r="3537" spans="1:3" s="7" customFormat="1" x14ac:dyDescent="0.2">
      <c r="A3537" s="6" t="str">
        <f>"CLMP"</f>
        <v>CLMP</v>
      </c>
      <c r="B3537" s="6">
        <v>3.7962037962037898E-2</v>
      </c>
      <c r="C3537" s="6">
        <v>0.17908481583333399</v>
      </c>
    </row>
    <row r="3538" spans="1:3" s="7" customFormat="1" x14ac:dyDescent="0.2">
      <c r="A3538" s="6" t="str">
        <f>"JCAD"</f>
        <v>JCAD</v>
      </c>
      <c r="B3538" s="6">
        <v>3.7962037962037898E-2</v>
      </c>
      <c r="C3538" s="6">
        <v>0.17908481583333399</v>
      </c>
    </row>
    <row r="3539" spans="1:3" s="7" customFormat="1" x14ac:dyDescent="0.2">
      <c r="A3539" s="6" t="str">
        <f>"FBXO30"</f>
        <v>FBXO30</v>
      </c>
      <c r="B3539" s="6">
        <v>3.7962037962037898E-2</v>
      </c>
      <c r="C3539" s="6">
        <v>0.17908481583333399</v>
      </c>
    </row>
    <row r="3540" spans="1:3" s="7" customFormat="1" x14ac:dyDescent="0.2">
      <c r="A3540" s="6" t="str">
        <f>"PRDX1"</f>
        <v>PRDX1</v>
      </c>
      <c r="B3540" s="6">
        <v>3.7962037962037898E-2</v>
      </c>
      <c r="C3540" s="6">
        <v>0.17908481583333399</v>
      </c>
    </row>
    <row r="3541" spans="1:3" s="7" customFormat="1" x14ac:dyDescent="0.2">
      <c r="A3541" s="6" t="str">
        <f>"AC025048.6"</f>
        <v>AC025048.6</v>
      </c>
      <c r="B3541" s="6">
        <v>3.7962037962037898E-2</v>
      </c>
      <c r="C3541" s="6">
        <v>0.17908481583333399</v>
      </c>
    </row>
    <row r="3542" spans="1:3" s="7" customFormat="1" x14ac:dyDescent="0.2">
      <c r="A3542" s="6" t="str">
        <f>"PSAP"</f>
        <v>PSAP</v>
      </c>
      <c r="B3542" s="6">
        <v>3.7962037962037898E-2</v>
      </c>
      <c r="C3542" s="6">
        <v>0.17908481583333399</v>
      </c>
    </row>
    <row r="3543" spans="1:3" s="7" customFormat="1" x14ac:dyDescent="0.2">
      <c r="A3543" s="6" t="str">
        <f>"NOL10"</f>
        <v>NOL10</v>
      </c>
      <c r="B3543" s="6">
        <v>3.7962037962037898E-2</v>
      </c>
      <c r="C3543" s="6">
        <v>0.17908481583333399</v>
      </c>
    </row>
    <row r="3544" spans="1:3" s="7" customFormat="1" x14ac:dyDescent="0.2">
      <c r="A3544" s="6" t="str">
        <f>"KLF16"</f>
        <v>KLF16</v>
      </c>
      <c r="B3544" s="6">
        <v>3.7962037962037898E-2</v>
      </c>
      <c r="C3544" s="6">
        <v>0.17908481583333399</v>
      </c>
    </row>
    <row r="3545" spans="1:3" s="7" customFormat="1" x14ac:dyDescent="0.2">
      <c r="A3545" s="6" t="str">
        <f>"LAMB2P1"</f>
        <v>LAMB2P1</v>
      </c>
      <c r="B3545" s="6">
        <v>3.8038038038038E-2</v>
      </c>
      <c r="C3545" s="6">
        <v>0.17939271099541901</v>
      </c>
    </row>
    <row r="3546" spans="1:3" s="7" customFormat="1" x14ac:dyDescent="0.2">
      <c r="A3546" s="6" t="str">
        <f>"ZNF426-DT"</f>
        <v>ZNF426-DT</v>
      </c>
      <c r="B3546" s="6">
        <v>3.8152610441767001E-2</v>
      </c>
      <c r="C3546" s="6">
        <v>0.17988229363150701</v>
      </c>
    </row>
    <row r="3547" spans="1:3" s="7" customFormat="1" x14ac:dyDescent="0.2">
      <c r="A3547" s="6" t="str">
        <f>"AL365272.1"</f>
        <v>AL365272.1</v>
      </c>
      <c r="B3547" s="6">
        <v>3.8461538461538401E-2</v>
      </c>
      <c r="C3547" s="6">
        <v>0.181287691439975</v>
      </c>
    </row>
    <row r="3548" spans="1:3" s="7" customFormat="1" x14ac:dyDescent="0.2">
      <c r="A3548" s="6" t="str">
        <f>"PNRC1"</f>
        <v>PNRC1</v>
      </c>
      <c r="B3548" s="6">
        <v>3.8961038961038898E-2</v>
      </c>
      <c r="C3548" s="6">
        <v>0.18187667410714201</v>
      </c>
    </row>
    <row r="3549" spans="1:3" s="7" customFormat="1" x14ac:dyDescent="0.2">
      <c r="A3549" s="6" t="str">
        <f>"PDGFD"</f>
        <v>PDGFD</v>
      </c>
      <c r="B3549" s="6">
        <v>3.8961038961038898E-2</v>
      </c>
      <c r="C3549" s="6">
        <v>0.18187667410714201</v>
      </c>
    </row>
    <row r="3550" spans="1:3" s="7" customFormat="1" x14ac:dyDescent="0.2">
      <c r="A3550" s="6" t="str">
        <f>"TRMT1"</f>
        <v>TRMT1</v>
      </c>
      <c r="B3550" s="6">
        <v>3.8961038961038898E-2</v>
      </c>
      <c r="C3550" s="6">
        <v>0.18187667410714201</v>
      </c>
    </row>
    <row r="3551" spans="1:3" s="7" customFormat="1" x14ac:dyDescent="0.2">
      <c r="A3551" s="6" t="str">
        <f>"AC090617.10"</f>
        <v>AC090617.10</v>
      </c>
      <c r="B3551" s="6">
        <v>3.8961038961038898E-2</v>
      </c>
      <c r="C3551" s="6">
        <v>0.18187667410714201</v>
      </c>
    </row>
    <row r="3552" spans="1:3" s="7" customFormat="1" x14ac:dyDescent="0.2">
      <c r="A3552" s="6" t="str">
        <f>"TRPM7"</f>
        <v>TRPM7</v>
      </c>
      <c r="B3552" s="6">
        <v>3.8961038961038898E-2</v>
      </c>
      <c r="C3552" s="6">
        <v>0.18187667410714201</v>
      </c>
    </row>
    <row r="3553" spans="1:3" s="7" customFormat="1" x14ac:dyDescent="0.2">
      <c r="A3553" s="6" t="str">
        <f>"PLCB4"</f>
        <v>PLCB4</v>
      </c>
      <c r="B3553" s="6">
        <v>3.8961038961038898E-2</v>
      </c>
      <c r="C3553" s="6">
        <v>0.18187667410714201</v>
      </c>
    </row>
    <row r="3554" spans="1:3" s="7" customFormat="1" x14ac:dyDescent="0.2">
      <c r="A3554" s="6" t="str">
        <f>"PMS2P4"</f>
        <v>PMS2P4</v>
      </c>
      <c r="B3554" s="6">
        <v>3.8961038961038898E-2</v>
      </c>
      <c r="C3554" s="6">
        <v>0.18187667410714201</v>
      </c>
    </row>
    <row r="3555" spans="1:3" s="7" customFormat="1" x14ac:dyDescent="0.2">
      <c r="A3555" s="6" t="str">
        <f>"GAS1"</f>
        <v>GAS1</v>
      </c>
      <c r="B3555" s="6">
        <v>3.8961038961038898E-2</v>
      </c>
      <c r="C3555" s="6">
        <v>0.18187667410714201</v>
      </c>
    </row>
    <row r="3556" spans="1:3" s="7" customFormat="1" x14ac:dyDescent="0.2">
      <c r="A3556" s="6" t="str">
        <f>"LINC01535"</f>
        <v>LINC01535</v>
      </c>
      <c r="B3556" s="6">
        <v>3.8961038961038898E-2</v>
      </c>
      <c r="C3556" s="6">
        <v>0.18187667410714201</v>
      </c>
    </row>
    <row r="3557" spans="1:3" s="7" customFormat="1" x14ac:dyDescent="0.2">
      <c r="A3557" s="6" t="str">
        <f>"RPSAP58"</f>
        <v>RPSAP58</v>
      </c>
      <c r="B3557" s="6">
        <v>3.9E-2</v>
      </c>
      <c r="C3557" s="6">
        <v>0.18187667410714201</v>
      </c>
    </row>
    <row r="3558" spans="1:3" s="7" customFormat="1" x14ac:dyDescent="0.2">
      <c r="A3558" s="6" t="str">
        <f>"TRPV6"</f>
        <v>TRPV6</v>
      </c>
      <c r="B3558" s="6">
        <v>3.8961038961038898E-2</v>
      </c>
      <c r="C3558" s="6">
        <v>0.18187667410714201</v>
      </c>
    </row>
    <row r="3559" spans="1:3" s="7" customFormat="1" x14ac:dyDescent="0.2">
      <c r="A3559" s="6" t="str">
        <f>"AC090877.2"</f>
        <v>AC090877.2</v>
      </c>
      <c r="B3559" s="6">
        <v>3.8961038961038898E-2</v>
      </c>
      <c r="C3559" s="6">
        <v>0.18187667410714201</v>
      </c>
    </row>
    <row r="3560" spans="1:3" s="7" customFormat="1" x14ac:dyDescent="0.2">
      <c r="A3560" s="6" t="str">
        <f>"ZNF19"</f>
        <v>ZNF19</v>
      </c>
      <c r="B3560" s="6">
        <v>3.8961038961038898E-2</v>
      </c>
      <c r="C3560" s="6">
        <v>0.18187667410714201</v>
      </c>
    </row>
    <row r="3561" spans="1:3" s="7" customFormat="1" x14ac:dyDescent="0.2">
      <c r="A3561" s="6" t="str">
        <f>"ZBTB25"</f>
        <v>ZBTB25</v>
      </c>
      <c r="B3561" s="6">
        <v>3.8961038961038898E-2</v>
      </c>
      <c r="C3561" s="6">
        <v>0.18187667410714201</v>
      </c>
    </row>
    <row r="3562" spans="1:3" s="7" customFormat="1" x14ac:dyDescent="0.2">
      <c r="A3562" s="6" t="str">
        <f>"CPSF3"</f>
        <v>CPSF3</v>
      </c>
      <c r="B3562" s="6">
        <v>3.9E-2</v>
      </c>
      <c r="C3562" s="6">
        <v>0.18187667410714201</v>
      </c>
    </row>
    <row r="3563" spans="1:3" s="7" customFormat="1" x14ac:dyDescent="0.2">
      <c r="A3563" s="6" t="str">
        <f>"PNPLA2"</f>
        <v>PNPLA2</v>
      </c>
      <c r="B3563" s="6">
        <v>3.8961038961038898E-2</v>
      </c>
      <c r="C3563" s="6">
        <v>0.18187667410714201</v>
      </c>
    </row>
    <row r="3564" spans="1:3" s="7" customFormat="1" x14ac:dyDescent="0.2">
      <c r="A3564" s="6" t="str">
        <f>"TMEM200B"</f>
        <v>TMEM200B</v>
      </c>
      <c r="B3564" s="6">
        <v>3.8961038961038898E-2</v>
      </c>
      <c r="C3564" s="6">
        <v>0.18187667410714201</v>
      </c>
    </row>
    <row r="3565" spans="1:3" s="7" customFormat="1" x14ac:dyDescent="0.2">
      <c r="A3565" s="6" t="str">
        <f>"LAMB3"</f>
        <v>LAMB3</v>
      </c>
      <c r="B3565" s="6">
        <v>3.8961038961038898E-2</v>
      </c>
      <c r="C3565" s="6">
        <v>0.18187667410714201</v>
      </c>
    </row>
    <row r="3566" spans="1:3" s="7" customFormat="1" x14ac:dyDescent="0.2">
      <c r="A3566" s="6" t="str">
        <f>"RPARP-AS1"</f>
        <v>RPARP-AS1</v>
      </c>
      <c r="B3566" s="6">
        <v>3.8961038961038898E-2</v>
      </c>
      <c r="C3566" s="6">
        <v>0.18187667410714201</v>
      </c>
    </row>
    <row r="3567" spans="1:3" s="7" customFormat="1" x14ac:dyDescent="0.2">
      <c r="A3567" s="6" t="str">
        <f>"COPZ1"</f>
        <v>COPZ1</v>
      </c>
      <c r="B3567" s="6">
        <v>3.8961038961038898E-2</v>
      </c>
      <c r="C3567" s="6">
        <v>0.18187667410714201</v>
      </c>
    </row>
    <row r="3568" spans="1:3" s="7" customFormat="1" x14ac:dyDescent="0.2">
      <c r="A3568" s="6" t="str">
        <f>"AL139125.1"</f>
        <v>AL139125.1</v>
      </c>
      <c r="B3568" s="6">
        <v>3.8961038961038898E-2</v>
      </c>
      <c r="C3568" s="6">
        <v>0.18187667410714201</v>
      </c>
    </row>
    <row r="3569" spans="1:3" s="7" customFormat="1" x14ac:dyDescent="0.2">
      <c r="A3569" s="6" t="str">
        <f>"AL356740.1"</f>
        <v>AL356740.1</v>
      </c>
      <c r="B3569" s="6">
        <v>3.8961038961038898E-2</v>
      </c>
      <c r="C3569" s="6">
        <v>0.18187667410714201</v>
      </c>
    </row>
    <row r="3570" spans="1:3" s="7" customFormat="1" x14ac:dyDescent="0.2">
      <c r="A3570" s="6" t="str">
        <f>"SOX5"</f>
        <v>SOX5</v>
      </c>
      <c r="B3570" s="6">
        <v>3.9E-2</v>
      </c>
      <c r="C3570" s="6">
        <v>0.18187667410714201</v>
      </c>
    </row>
    <row r="3571" spans="1:3" s="7" customFormat="1" x14ac:dyDescent="0.2">
      <c r="A3571" s="6" t="str">
        <f>"ZMYND15"</f>
        <v>ZMYND15</v>
      </c>
      <c r="B3571" s="6">
        <v>3.8961038961038898E-2</v>
      </c>
      <c r="C3571" s="6">
        <v>0.18187667410714201</v>
      </c>
    </row>
    <row r="3572" spans="1:3" s="7" customFormat="1" x14ac:dyDescent="0.2">
      <c r="A3572" s="6" t="str">
        <f>"AVPI1"</f>
        <v>AVPI1</v>
      </c>
      <c r="B3572" s="6">
        <v>3.8961038961038898E-2</v>
      </c>
      <c r="C3572" s="6">
        <v>0.18187667410714201</v>
      </c>
    </row>
    <row r="3573" spans="1:3" s="7" customFormat="1" x14ac:dyDescent="0.2">
      <c r="A3573" s="6" t="str">
        <f>"SNRPD3"</f>
        <v>SNRPD3</v>
      </c>
      <c r="B3573" s="6">
        <v>3.8961038961038898E-2</v>
      </c>
      <c r="C3573" s="6">
        <v>0.18187667410714201</v>
      </c>
    </row>
    <row r="3574" spans="1:3" s="7" customFormat="1" x14ac:dyDescent="0.2">
      <c r="A3574" s="6" t="str">
        <f>"AL121832.2"</f>
        <v>AL121832.2</v>
      </c>
      <c r="B3574" s="6">
        <v>3.8961038961038898E-2</v>
      </c>
      <c r="C3574" s="6">
        <v>0.18187667410714201</v>
      </c>
    </row>
    <row r="3575" spans="1:3" s="7" customFormat="1" x14ac:dyDescent="0.2">
      <c r="A3575" s="6" t="str">
        <f>"AL109918.1"</f>
        <v>AL109918.1</v>
      </c>
      <c r="B3575" s="6">
        <v>3.8961038961038898E-2</v>
      </c>
      <c r="C3575" s="6">
        <v>0.18187667410714201</v>
      </c>
    </row>
    <row r="3576" spans="1:3" s="7" customFormat="1" x14ac:dyDescent="0.2">
      <c r="A3576" s="6" t="str">
        <f>"STAC2"</f>
        <v>STAC2</v>
      </c>
      <c r="B3576" s="6">
        <v>3.8961038961038898E-2</v>
      </c>
      <c r="C3576" s="6">
        <v>0.18187667410714201</v>
      </c>
    </row>
    <row r="3577" spans="1:3" s="7" customFormat="1" x14ac:dyDescent="0.2">
      <c r="A3577" s="6" t="str">
        <f>"CCT6A"</f>
        <v>CCT6A</v>
      </c>
      <c r="B3577" s="6">
        <v>3.8961038961038898E-2</v>
      </c>
      <c r="C3577" s="6">
        <v>0.18187667410714201</v>
      </c>
    </row>
    <row r="3578" spans="1:3" s="7" customFormat="1" x14ac:dyDescent="0.2">
      <c r="A3578" s="6" t="str">
        <f>"NBPF19"</f>
        <v>NBPF19</v>
      </c>
      <c r="B3578" s="6">
        <v>3.8961038961038898E-2</v>
      </c>
      <c r="C3578" s="6">
        <v>0.18187667410714201</v>
      </c>
    </row>
    <row r="3579" spans="1:3" s="7" customFormat="1" x14ac:dyDescent="0.2">
      <c r="A3579" s="6" t="str">
        <f>"CETN2"</f>
        <v>CETN2</v>
      </c>
      <c r="B3579" s="6">
        <v>3.8961038961038898E-2</v>
      </c>
      <c r="C3579" s="6">
        <v>0.18187667410714201</v>
      </c>
    </row>
    <row r="3580" spans="1:3" s="7" customFormat="1" x14ac:dyDescent="0.2">
      <c r="A3580" s="6" t="str">
        <f>"CD33"</f>
        <v>CD33</v>
      </c>
      <c r="B3580" s="6">
        <v>3.8961038961038898E-2</v>
      </c>
      <c r="C3580" s="6">
        <v>0.18187667410714201</v>
      </c>
    </row>
    <row r="3581" spans="1:3" s="7" customFormat="1" x14ac:dyDescent="0.2">
      <c r="A3581" s="6" t="str">
        <f>"SEPTIN5"</f>
        <v>SEPTIN5</v>
      </c>
      <c r="B3581" s="6">
        <v>3.8961038961038898E-2</v>
      </c>
      <c r="C3581" s="6">
        <v>0.18187667410714201</v>
      </c>
    </row>
    <row r="3582" spans="1:3" s="7" customFormat="1" x14ac:dyDescent="0.2">
      <c r="A3582" s="6" t="str">
        <f>"RPL13"</f>
        <v>RPL13</v>
      </c>
      <c r="B3582" s="6">
        <v>3.9E-2</v>
      </c>
      <c r="C3582" s="6">
        <v>0.18187667410714201</v>
      </c>
    </row>
    <row r="3583" spans="1:3" s="7" customFormat="1" x14ac:dyDescent="0.2">
      <c r="A3583" s="6" t="str">
        <f>"POLR2G"</f>
        <v>POLR2G</v>
      </c>
      <c r="B3583" s="6">
        <v>3.9E-2</v>
      </c>
      <c r="C3583" s="6">
        <v>0.18187667410714201</v>
      </c>
    </row>
    <row r="3584" spans="1:3" s="7" customFormat="1" x14ac:dyDescent="0.2">
      <c r="A3584" s="6" t="str">
        <f>"CORO1B"</f>
        <v>CORO1B</v>
      </c>
      <c r="B3584" s="6">
        <v>3.8961038961038898E-2</v>
      </c>
      <c r="C3584" s="6">
        <v>0.18187667410714201</v>
      </c>
    </row>
    <row r="3585" spans="1:3" s="7" customFormat="1" x14ac:dyDescent="0.2">
      <c r="A3585" s="6" t="str">
        <f>"LINC01973"</f>
        <v>LINC01973</v>
      </c>
      <c r="B3585" s="6">
        <v>3.8961038961038898E-2</v>
      </c>
      <c r="C3585" s="6">
        <v>0.18187667410714201</v>
      </c>
    </row>
    <row r="3586" spans="1:3" s="7" customFormat="1" x14ac:dyDescent="0.2">
      <c r="A3586" s="6" t="str">
        <f>"AC116049.1"</f>
        <v>AC116049.1</v>
      </c>
      <c r="B3586" s="6">
        <v>3.9156626506024098E-2</v>
      </c>
      <c r="C3586" s="6">
        <v>0.182556166086941</v>
      </c>
    </row>
    <row r="3587" spans="1:3" s="7" customFormat="1" x14ac:dyDescent="0.2">
      <c r="A3587" s="6" t="str">
        <f>"LINC02359"</f>
        <v>LINC02359</v>
      </c>
      <c r="B3587" s="6">
        <v>3.9274924471299003E-2</v>
      </c>
      <c r="C3587" s="6">
        <v>0.18305663346717599</v>
      </c>
    </row>
    <row r="3588" spans="1:3" s="7" customFormat="1" x14ac:dyDescent="0.2">
      <c r="A3588" s="6" t="str">
        <f>"AC124254.2"</f>
        <v>AC124254.2</v>
      </c>
      <c r="B3588" s="6">
        <v>3.9314516129032202E-2</v>
      </c>
      <c r="C3588" s="6">
        <v>0.18319008156694799</v>
      </c>
    </row>
    <row r="3589" spans="1:3" s="7" customFormat="1" x14ac:dyDescent="0.2">
      <c r="A3589" s="6" t="str">
        <f>"AC008739.6"</f>
        <v>AC008739.6</v>
      </c>
      <c r="B3589" s="6">
        <v>3.94736842105263E-2</v>
      </c>
      <c r="C3589" s="6">
        <v>0.18388047878894501</v>
      </c>
    </row>
    <row r="3590" spans="1:3" s="7" customFormat="1" x14ac:dyDescent="0.2">
      <c r="A3590" s="6" t="str">
        <f>"RAB7A"</f>
        <v>RAB7A</v>
      </c>
      <c r="B3590" s="6">
        <v>3.9960039960039898E-2</v>
      </c>
      <c r="C3590" s="6">
        <v>0.183941643594631</v>
      </c>
    </row>
    <row r="3591" spans="1:3" s="7" customFormat="1" x14ac:dyDescent="0.2">
      <c r="A3591" s="6" t="str">
        <f>"DUSP2"</f>
        <v>DUSP2</v>
      </c>
      <c r="B3591" s="6">
        <v>3.9960039960039898E-2</v>
      </c>
      <c r="C3591" s="6">
        <v>0.183941643594631</v>
      </c>
    </row>
    <row r="3592" spans="1:3" s="7" customFormat="1" x14ac:dyDescent="0.2">
      <c r="A3592" s="6" t="str">
        <f>"KRBA2"</f>
        <v>KRBA2</v>
      </c>
      <c r="B3592" s="6">
        <v>3.9960039960039898E-2</v>
      </c>
      <c r="C3592" s="6">
        <v>0.183941643594631</v>
      </c>
    </row>
    <row r="3593" spans="1:3" s="7" customFormat="1" x14ac:dyDescent="0.2">
      <c r="A3593" s="6" t="str">
        <f>"C4orf51"</f>
        <v>C4orf51</v>
      </c>
      <c r="B3593" s="6">
        <v>3.9960039960039898E-2</v>
      </c>
      <c r="C3593" s="6">
        <v>0.183941643594631</v>
      </c>
    </row>
    <row r="3594" spans="1:3" s="7" customFormat="1" x14ac:dyDescent="0.2">
      <c r="A3594" s="6" t="str">
        <f>"AC008763.3"</f>
        <v>AC008763.3</v>
      </c>
      <c r="B3594" s="6">
        <v>3.9960039960039898E-2</v>
      </c>
      <c r="C3594" s="6">
        <v>0.183941643594631</v>
      </c>
    </row>
    <row r="3595" spans="1:3" s="7" customFormat="1" x14ac:dyDescent="0.2">
      <c r="A3595" s="6" t="str">
        <f>"POMK"</f>
        <v>POMK</v>
      </c>
      <c r="B3595" s="6">
        <v>3.9960039960039898E-2</v>
      </c>
      <c r="C3595" s="6">
        <v>0.183941643594631</v>
      </c>
    </row>
    <row r="3596" spans="1:3" s="7" customFormat="1" x14ac:dyDescent="0.2">
      <c r="A3596" s="6" t="str">
        <f>"HDGFP1"</f>
        <v>HDGFP1</v>
      </c>
      <c r="B3596" s="6">
        <v>3.9867109634551402E-2</v>
      </c>
      <c r="C3596" s="6">
        <v>0.183941643594631</v>
      </c>
    </row>
    <row r="3597" spans="1:3" s="7" customFormat="1" x14ac:dyDescent="0.2">
      <c r="A3597" s="6" t="str">
        <f>"SLC4A5"</f>
        <v>SLC4A5</v>
      </c>
      <c r="B3597" s="6">
        <v>3.9960039960039898E-2</v>
      </c>
      <c r="C3597" s="6">
        <v>0.183941643594631</v>
      </c>
    </row>
    <row r="3598" spans="1:3" s="7" customFormat="1" x14ac:dyDescent="0.2">
      <c r="A3598" s="6" t="str">
        <f>"ARMCX5"</f>
        <v>ARMCX5</v>
      </c>
      <c r="B3598" s="6">
        <v>3.9960039960039898E-2</v>
      </c>
      <c r="C3598" s="6">
        <v>0.183941643594631</v>
      </c>
    </row>
    <row r="3599" spans="1:3" s="7" customFormat="1" x14ac:dyDescent="0.2">
      <c r="A3599" s="6" t="str">
        <f>"ERICH1"</f>
        <v>ERICH1</v>
      </c>
      <c r="B3599" s="6">
        <v>3.9960039960039898E-2</v>
      </c>
      <c r="C3599" s="6">
        <v>0.183941643594631</v>
      </c>
    </row>
    <row r="3600" spans="1:3" s="7" customFormat="1" x14ac:dyDescent="0.2">
      <c r="A3600" s="6" t="str">
        <f>"RUNDC3B"</f>
        <v>RUNDC3B</v>
      </c>
      <c r="B3600" s="6">
        <v>3.9960039960039898E-2</v>
      </c>
      <c r="C3600" s="6">
        <v>0.183941643594631</v>
      </c>
    </row>
    <row r="3601" spans="1:3" s="7" customFormat="1" x14ac:dyDescent="0.2">
      <c r="A3601" s="6" t="str">
        <f>"AC073611.1"</f>
        <v>AC073611.1</v>
      </c>
      <c r="B3601" s="6">
        <v>3.9960039960039898E-2</v>
      </c>
      <c r="C3601" s="6">
        <v>0.183941643594631</v>
      </c>
    </row>
    <row r="3602" spans="1:3" s="7" customFormat="1" x14ac:dyDescent="0.2">
      <c r="A3602" s="6" t="str">
        <f>"RIT1"</f>
        <v>RIT1</v>
      </c>
      <c r="B3602" s="6">
        <v>3.9960039960039898E-2</v>
      </c>
      <c r="C3602" s="6">
        <v>0.183941643594631</v>
      </c>
    </row>
    <row r="3603" spans="1:3" s="7" customFormat="1" x14ac:dyDescent="0.2">
      <c r="A3603" s="6" t="str">
        <f>"TSC22D4"</f>
        <v>TSC22D4</v>
      </c>
      <c r="B3603" s="6">
        <v>3.9960039960039898E-2</v>
      </c>
      <c r="C3603" s="6">
        <v>0.183941643594631</v>
      </c>
    </row>
    <row r="3604" spans="1:3" s="7" customFormat="1" x14ac:dyDescent="0.2">
      <c r="A3604" s="6" t="str">
        <f>"ERVE-1"</f>
        <v>ERVE-1</v>
      </c>
      <c r="B3604" s="6">
        <v>3.9960039960039898E-2</v>
      </c>
      <c r="C3604" s="6">
        <v>0.183941643594631</v>
      </c>
    </row>
    <row r="3605" spans="1:3" s="7" customFormat="1" x14ac:dyDescent="0.2">
      <c r="A3605" s="6" t="str">
        <f>"ZNF385B"</f>
        <v>ZNF385B</v>
      </c>
      <c r="B3605" s="6">
        <v>3.9960039960039898E-2</v>
      </c>
      <c r="C3605" s="6">
        <v>0.183941643594631</v>
      </c>
    </row>
    <row r="3606" spans="1:3" s="7" customFormat="1" x14ac:dyDescent="0.2">
      <c r="A3606" s="6" t="str">
        <f>"TMEM251"</f>
        <v>TMEM251</v>
      </c>
      <c r="B3606" s="6">
        <v>3.9960039960039898E-2</v>
      </c>
      <c r="C3606" s="6">
        <v>0.183941643594631</v>
      </c>
    </row>
    <row r="3607" spans="1:3" s="7" customFormat="1" x14ac:dyDescent="0.2">
      <c r="A3607" s="6" t="str">
        <f>"LSP1P4"</f>
        <v>LSP1P4</v>
      </c>
      <c r="B3607" s="6">
        <v>3.9960039960039898E-2</v>
      </c>
      <c r="C3607" s="6">
        <v>0.183941643594631</v>
      </c>
    </row>
    <row r="3608" spans="1:3" s="7" customFormat="1" x14ac:dyDescent="0.2">
      <c r="A3608" s="6" t="str">
        <f>"CLCNKB"</f>
        <v>CLCNKB</v>
      </c>
      <c r="B3608" s="6">
        <v>3.9960039960039898E-2</v>
      </c>
      <c r="C3608" s="6">
        <v>0.183941643594631</v>
      </c>
    </row>
    <row r="3609" spans="1:3" s="7" customFormat="1" x14ac:dyDescent="0.2">
      <c r="A3609" s="6" t="str">
        <f>"TSPAN7"</f>
        <v>TSPAN7</v>
      </c>
      <c r="B3609" s="6">
        <v>3.9960039960039898E-2</v>
      </c>
      <c r="C3609" s="6">
        <v>0.183941643594631</v>
      </c>
    </row>
    <row r="3610" spans="1:3" s="7" customFormat="1" x14ac:dyDescent="0.2">
      <c r="A3610" s="6" t="str">
        <f>"SLC19A3"</f>
        <v>SLC19A3</v>
      </c>
      <c r="B3610" s="6">
        <v>3.9960039960039898E-2</v>
      </c>
      <c r="C3610" s="6">
        <v>0.183941643594631</v>
      </c>
    </row>
    <row r="3611" spans="1:3" s="7" customFormat="1" x14ac:dyDescent="0.2">
      <c r="A3611" s="6" t="str">
        <f>"SLC52A3"</f>
        <v>SLC52A3</v>
      </c>
      <c r="B3611" s="6">
        <v>3.9960039960039898E-2</v>
      </c>
      <c r="C3611" s="6">
        <v>0.183941643594631</v>
      </c>
    </row>
    <row r="3612" spans="1:3" s="7" customFormat="1" x14ac:dyDescent="0.2">
      <c r="A3612" s="6" t="str">
        <f>"AC138207.2"</f>
        <v>AC138207.2</v>
      </c>
      <c r="B3612" s="6">
        <v>3.9513677811550102E-2</v>
      </c>
      <c r="C3612" s="6">
        <v>0.183941643594631</v>
      </c>
    </row>
    <row r="3613" spans="1:3" s="7" customFormat="1" x14ac:dyDescent="0.2">
      <c r="A3613" s="6" t="str">
        <f>"AL158055.1"</f>
        <v>AL158055.1</v>
      </c>
      <c r="B3613" s="6">
        <v>3.9960039960039898E-2</v>
      </c>
      <c r="C3613" s="6">
        <v>0.183941643594631</v>
      </c>
    </row>
    <row r="3614" spans="1:3" s="7" customFormat="1" x14ac:dyDescent="0.2">
      <c r="A3614" s="6" t="str">
        <f>"LASP1"</f>
        <v>LASP1</v>
      </c>
      <c r="B3614" s="6">
        <v>3.9960039960039898E-2</v>
      </c>
      <c r="C3614" s="6">
        <v>0.183941643594631</v>
      </c>
    </row>
    <row r="3615" spans="1:3" s="7" customFormat="1" x14ac:dyDescent="0.2">
      <c r="A3615" s="6" t="str">
        <f>"PTPRU"</f>
        <v>PTPRU</v>
      </c>
      <c r="B3615" s="6">
        <v>3.9960039960039898E-2</v>
      </c>
      <c r="C3615" s="6">
        <v>0.183941643594631</v>
      </c>
    </row>
    <row r="3616" spans="1:3" s="7" customFormat="1" x14ac:dyDescent="0.2">
      <c r="A3616" s="6" t="str">
        <f>"LIG4"</f>
        <v>LIG4</v>
      </c>
      <c r="B3616" s="6">
        <v>3.9960039960039898E-2</v>
      </c>
      <c r="C3616" s="6">
        <v>0.183941643594631</v>
      </c>
    </row>
    <row r="3617" spans="1:3" s="7" customFormat="1" x14ac:dyDescent="0.2">
      <c r="A3617" s="6" t="str">
        <f>"RASSF10-DT"</f>
        <v>RASSF10-DT</v>
      </c>
      <c r="B3617" s="6">
        <v>3.9960039960039898E-2</v>
      </c>
      <c r="C3617" s="6">
        <v>0.183941643594631</v>
      </c>
    </row>
    <row r="3618" spans="1:3" s="7" customFormat="1" x14ac:dyDescent="0.2">
      <c r="A3618" s="6" t="str">
        <f>"LINC01708"</f>
        <v>LINC01708</v>
      </c>
      <c r="B3618" s="6">
        <v>3.9960039960039898E-2</v>
      </c>
      <c r="C3618" s="6">
        <v>0.183941643594631</v>
      </c>
    </row>
    <row r="3619" spans="1:3" s="7" customFormat="1" x14ac:dyDescent="0.2">
      <c r="A3619" s="6" t="str">
        <f>"GNA14"</f>
        <v>GNA14</v>
      </c>
      <c r="B3619" s="6">
        <v>3.9960039960039898E-2</v>
      </c>
      <c r="C3619" s="6">
        <v>0.183941643594631</v>
      </c>
    </row>
    <row r="3620" spans="1:3" s="7" customFormat="1" x14ac:dyDescent="0.2">
      <c r="A3620" s="6" t="str">
        <f>"LRRC6"</f>
        <v>LRRC6</v>
      </c>
      <c r="B3620" s="6">
        <v>3.9960039960039898E-2</v>
      </c>
      <c r="C3620" s="6">
        <v>0.183941643594631</v>
      </c>
    </row>
    <row r="3621" spans="1:3" s="7" customFormat="1" x14ac:dyDescent="0.2">
      <c r="A3621" s="6" t="str">
        <f>"MST1P2"</f>
        <v>MST1P2</v>
      </c>
      <c r="B3621" s="6">
        <v>3.9960039960039898E-2</v>
      </c>
      <c r="C3621" s="6">
        <v>0.183941643594631</v>
      </c>
    </row>
    <row r="3622" spans="1:3" s="7" customFormat="1" x14ac:dyDescent="0.2">
      <c r="A3622" s="6" t="str">
        <f>"TOX3"</f>
        <v>TOX3</v>
      </c>
      <c r="B3622" s="6">
        <v>3.9960039960039898E-2</v>
      </c>
      <c r="C3622" s="6">
        <v>0.183941643594631</v>
      </c>
    </row>
    <row r="3623" spans="1:3" s="7" customFormat="1" x14ac:dyDescent="0.2">
      <c r="A3623" s="6" t="str">
        <f>"PITX1"</f>
        <v>PITX1</v>
      </c>
      <c r="B3623" s="6">
        <v>3.9960039960039898E-2</v>
      </c>
      <c r="C3623" s="6">
        <v>0.183941643594631</v>
      </c>
    </row>
    <row r="3624" spans="1:3" s="7" customFormat="1" x14ac:dyDescent="0.2">
      <c r="A3624" s="6" t="str">
        <f>"WDR86"</f>
        <v>WDR86</v>
      </c>
      <c r="B3624" s="6">
        <v>3.9960039960039898E-2</v>
      </c>
      <c r="C3624" s="6">
        <v>0.183941643594631</v>
      </c>
    </row>
    <row r="3625" spans="1:3" s="7" customFormat="1" x14ac:dyDescent="0.2">
      <c r="A3625" s="6" t="str">
        <f>"CFAP53"</f>
        <v>CFAP53</v>
      </c>
      <c r="B3625" s="6">
        <v>3.9960039960039898E-2</v>
      </c>
      <c r="C3625" s="6">
        <v>0.183941643594631</v>
      </c>
    </row>
    <row r="3626" spans="1:3" s="7" customFormat="1" x14ac:dyDescent="0.2">
      <c r="A3626" s="6" t="str">
        <f>"IL20RB"</f>
        <v>IL20RB</v>
      </c>
      <c r="B3626" s="6">
        <v>3.9960039960039898E-2</v>
      </c>
      <c r="C3626" s="6">
        <v>0.183941643594631</v>
      </c>
    </row>
    <row r="3627" spans="1:3" s="7" customFormat="1" x14ac:dyDescent="0.2">
      <c r="A3627" s="6" t="str">
        <f>"HK2"</f>
        <v>HK2</v>
      </c>
      <c r="B3627" s="6">
        <v>3.9960039960039898E-2</v>
      </c>
      <c r="C3627" s="6">
        <v>0.183941643594631</v>
      </c>
    </row>
    <row r="3628" spans="1:3" s="7" customFormat="1" x14ac:dyDescent="0.2">
      <c r="A3628" s="6" t="str">
        <f>"C17orf50"</f>
        <v>C17orf50</v>
      </c>
      <c r="B3628" s="6">
        <v>3.9960039960039898E-2</v>
      </c>
      <c r="C3628" s="6">
        <v>0.183941643594631</v>
      </c>
    </row>
    <row r="3629" spans="1:3" s="7" customFormat="1" x14ac:dyDescent="0.2">
      <c r="A3629" s="6" t="str">
        <f>"AP003119.3"</f>
        <v>AP003119.3</v>
      </c>
      <c r="B3629" s="6">
        <v>3.9960039960039898E-2</v>
      </c>
      <c r="C3629" s="6">
        <v>0.183941643594631</v>
      </c>
    </row>
    <row r="3630" spans="1:3" s="7" customFormat="1" x14ac:dyDescent="0.2">
      <c r="A3630" s="6" t="str">
        <f>"AC073389.1"</f>
        <v>AC073389.1</v>
      </c>
      <c r="B3630" s="6">
        <v>3.9759036144578298E-2</v>
      </c>
      <c r="C3630" s="6">
        <v>0.183941643594631</v>
      </c>
    </row>
    <row r="3631" spans="1:3" s="7" customFormat="1" x14ac:dyDescent="0.2">
      <c r="A3631" s="6" t="str">
        <f>"SMG1P4"</f>
        <v>SMG1P4</v>
      </c>
      <c r="B3631" s="6">
        <v>3.9960039960039898E-2</v>
      </c>
      <c r="C3631" s="6">
        <v>0.183941643594631</v>
      </c>
    </row>
    <row r="3632" spans="1:3" s="7" customFormat="1" x14ac:dyDescent="0.2">
      <c r="A3632" s="6" t="str">
        <f>"PCDHGB2"</f>
        <v>PCDHGB2</v>
      </c>
      <c r="B3632" s="6">
        <v>3.9960039960039898E-2</v>
      </c>
      <c r="C3632" s="6">
        <v>0.183941643594631</v>
      </c>
    </row>
    <row r="3633" spans="1:3" s="7" customFormat="1" x14ac:dyDescent="0.2">
      <c r="A3633" s="6" t="str">
        <f>"LINC02607"</f>
        <v>LINC02607</v>
      </c>
      <c r="B3633" s="6">
        <v>0.04</v>
      </c>
      <c r="C3633" s="6">
        <v>0.18397358282883799</v>
      </c>
    </row>
    <row r="3634" spans="1:3" s="7" customFormat="1" x14ac:dyDescent="0.2">
      <c r="A3634" s="6" t="str">
        <f>"AL139246.3"</f>
        <v>AL139246.3</v>
      </c>
      <c r="B3634" s="6">
        <v>0.04</v>
      </c>
      <c r="C3634" s="6">
        <v>0.18397358282883799</v>
      </c>
    </row>
    <row r="3635" spans="1:3" s="7" customFormat="1" x14ac:dyDescent="0.2">
      <c r="A3635" s="6" t="str">
        <f>"RIF1"</f>
        <v>RIF1</v>
      </c>
      <c r="B3635" s="6">
        <v>0.04</v>
      </c>
      <c r="C3635" s="6">
        <v>0.18397358282883799</v>
      </c>
    </row>
    <row r="3636" spans="1:3" s="7" customFormat="1" x14ac:dyDescent="0.2">
      <c r="A3636" s="6" t="str">
        <f>"RN7SL832P"</f>
        <v>RN7SL832P</v>
      </c>
      <c r="B3636" s="6">
        <v>4.0040040040039998E-2</v>
      </c>
      <c r="C3636" s="6">
        <v>0.18410707819236</v>
      </c>
    </row>
    <row r="3637" spans="1:3" s="7" customFormat="1" x14ac:dyDescent="0.2">
      <c r="A3637" s="6" t="str">
        <f>"RABGGTB"</f>
        <v>RABGGTB</v>
      </c>
      <c r="B3637" s="6">
        <v>4.0959040959040897E-2</v>
      </c>
      <c r="C3637" s="6">
        <v>0.18648581056644201</v>
      </c>
    </row>
    <row r="3638" spans="1:3" s="7" customFormat="1" x14ac:dyDescent="0.2">
      <c r="A3638" s="6" t="str">
        <f>"RAPGEF2"</f>
        <v>RAPGEF2</v>
      </c>
      <c r="B3638" s="6">
        <v>4.0959040959040897E-2</v>
      </c>
      <c r="C3638" s="6">
        <v>0.18648581056644201</v>
      </c>
    </row>
    <row r="3639" spans="1:3" s="7" customFormat="1" x14ac:dyDescent="0.2">
      <c r="A3639" s="6" t="str">
        <f>"CD86"</f>
        <v>CD86</v>
      </c>
      <c r="B3639" s="6">
        <v>4.0959040959040897E-2</v>
      </c>
      <c r="C3639" s="6">
        <v>0.18648581056644201</v>
      </c>
    </row>
    <row r="3640" spans="1:3" s="7" customFormat="1" x14ac:dyDescent="0.2">
      <c r="A3640" s="6" t="str">
        <f>"CDH2"</f>
        <v>CDH2</v>
      </c>
      <c r="B3640" s="6">
        <v>4.0959040959040897E-2</v>
      </c>
      <c r="C3640" s="6">
        <v>0.18648581056644201</v>
      </c>
    </row>
    <row r="3641" spans="1:3" s="7" customFormat="1" x14ac:dyDescent="0.2">
      <c r="A3641" s="6" t="str">
        <f>"GEMIN4"</f>
        <v>GEMIN4</v>
      </c>
      <c r="B3641" s="6">
        <v>4.0959040959040897E-2</v>
      </c>
      <c r="C3641" s="6">
        <v>0.18648581056644201</v>
      </c>
    </row>
    <row r="3642" spans="1:3" s="7" customFormat="1" x14ac:dyDescent="0.2">
      <c r="A3642" s="6" t="str">
        <f>"CSNK2B"</f>
        <v>CSNK2B</v>
      </c>
      <c r="B3642" s="6">
        <v>4.0959040959040897E-2</v>
      </c>
      <c r="C3642" s="6">
        <v>0.18648581056644201</v>
      </c>
    </row>
    <row r="3643" spans="1:3" s="7" customFormat="1" x14ac:dyDescent="0.2">
      <c r="A3643" s="6" t="str">
        <f>"SASH1"</f>
        <v>SASH1</v>
      </c>
      <c r="B3643" s="6">
        <v>4.0959040959040897E-2</v>
      </c>
      <c r="C3643" s="6">
        <v>0.18648581056644201</v>
      </c>
    </row>
    <row r="3644" spans="1:3" s="7" customFormat="1" x14ac:dyDescent="0.2">
      <c r="A3644" s="6" t="str">
        <f>"LINC00852"</f>
        <v>LINC00852</v>
      </c>
      <c r="B3644" s="6">
        <v>4.0959040959040897E-2</v>
      </c>
      <c r="C3644" s="6">
        <v>0.18648581056644201</v>
      </c>
    </row>
    <row r="3645" spans="1:3" s="7" customFormat="1" x14ac:dyDescent="0.2">
      <c r="A3645" s="6" t="str">
        <f>"AC025580.1"</f>
        <v>AC025580.1</v>
      </c>
      <c r="B3645" s="6">
        <v>4.0959040959040897E-2</v>
      </c>
      <c r="C3645" s="6">
        <v>0.18648581056644201</v>
      </c>
    </row>
    <row r="3646" spans="1:3" s="7" customFormat="1" x14ac:dyDescent="0.2">
      <c r="A3646" s="6" t="str">
        <f>"EPHA6"</f>
        <v>EPHA6</v>
      </c>
      <c r="B3646" s="6">
        <v>4.0959040959040897E-2</v>
      </c>
      <c r="C3646" s="6">
        <v>0.18648581056644201</v>
      </c>
    </row>
    <row r="3647" spans="1:3" s="7" customFormat="1" x14ac:dyDescent="0.2">
      <c r="A3647" s="6" t="str">
        <f>"BLVRB"</f>
        <v>BLVRB</v>
      </c>
      <c r="B3647" s="6">
        <v>4.0959040959040897E-2</v>
      </c>
      <c r="C3647" s="6">
        <v>0.18648581056644201</v>
      </c>
    </row>
    <row r="3648" spans="1:3" s="7" customFormat="1" x14ac:dyDescent="0.2">
      <c r="A3648" s="6" t="str">
        <f>"DDX28"</f>
        <v>DDX28</v>
      </c>
      <c r="B3648" s="6">
        <v>4.0959040959040897E-2</v>
      </c>
      <c r="C3648" s="6">
        <v>0.18648581056644201</v>
      </c>
    </row>
    <row r="3649" spans="1:3" s="7" customFormat="1" x14ac:dyDescent="0.2">
      <c r="A3649" s="6" t="str">
        <f>"TRIM31"</f>
        <v>TRIM31</v>
      </c>
      <c r="B3649" s="6">
        <v>4.0959040959040897E-2</v>
      </c>
      <c r="C3649" s="6">
        <v>0.18648581056644201</v>
      </c>
    </row>
    <row r="3650" spans="1:3" s="7" customFormat="1" x14ac:dyDescent="0.2">
      <c r="A3650" s="6" t="str">
        <f>"ZBTB1"</f>
        <v>ZBTB1</v>
      </c>
      <c r="B3650" s="6">
        <v>4.0959040959040897E-2</v>
      </c>
      <c r="C3650" s="6">
        <v>0.18648581056644201</v>
      </c>
    </row>
    <row r="3651" spans="1:3" s="7" customFormat="1" x14ac:dyDescent="0.2">
      <c r="A3651" s="6" t="str">
        <f>"PCDHB9"</f>
        <v>PCDHB9</v>
      </c>
      <c r="B3651" s="6">
        <v>4.0959040959040897E-2</v>
      </c>
      <c r="C3651" s="6">
        <v>0.18648581056644201</v>
      </c>
    </row>
    <row r="3652" spans="1:3" s="7" customFormat="1" x14ac:dyDescent="0.2">
      <c r="A3652" s="6" t="str">
        <f>"ARHGEF11"</f>
        <v>ARHGEF11</v>
      </c>
      <c r="B3652" s="6">
        <v>4.0959040959040897E-2</v>
      </c>
      <c r="C3652" s="6">
        <v>0.18648581056644201</v>
      </c>
    </row>
    <row r="3653" spans="1:3" s="7" customFormat="1" x14ac:dyDescent="0.2">
      <c r="A3653" s="6" t="str">
        <f>"ARHGAP5-AS1"</f>
        <v>ARHGAP5-AS1</v>
      </c>
      <c r="B3653" s="6">
        <v>4.0959040959040897E-2</v>
      </c>
      <c r="C3653" s="6">
        <v>0.18648581056644201</v>
      </c>
    </row>
    <row r="3654" spans="1:3" s="7" customFormat="1" x14ac:dyDescent="0.2">
      <c r="A3654" s="6" t="str">
        <f>"KRT42P"</f>
        <v>KRT42P</v>
      </c>
      <c r="B3654" s="6">
        <v>4.0959040959040897E-2</v>
      </c>
      <c r="C3654" s="6">
        <v>0.18648581056644201</v>
      </c>
    </row>
    <row r="3655" spans="1:3" s="7" customFormat="1" x14ac:dyDescent="0.2">
      <c r="A3655" s="6" t="str">
        <f>"TRMT5"</f>
        <v>TRMT5</v>
      </c>
      <c r="B3655" s="6">
        <v>4.0959040959040897E-2</v>
      </c>
      <c r="C3655" s="6">
        <v>0.18648581056644201</v>
      </c>
    </row>
    <row r="3656" spans="1:3" s="7" customFormat="1" x14ac:dyDescent="0.2">
      <c r="A3656" s="6" t="str">
        <f>"SP4"</f>
        <v>SP4</v>
      </c>
      <c r="B3656" s="6">
        <v>4.0959040959040897E-2</v>
      </c>
      <c r="C3656" s="6">
        <v>0.18648581056644201</v>
      </c>
    </row>
    <row r="3657" spans="1:3" s="7" customFormat="1" x14ac:dyDescent="0.2">
      <c r="A3657" s="6" t="str">
        <f>"HLA-G"</f>
        <v>HLA-G</v>
      </c>
      <c r="B3657" s="6">
        <v>4.0959040959040897E-2</v>
      </c>
      <c r="C3657" s="6">
        <v>0.18648581056644201</v>
      </c>
    </row>
    <row r="3658" spans="1:3" s="7" customFormat="1" x14ac:dyDescent="0.2">
      <c r="A3658" s="6" t="str">
        <f>"PRUNE1"</f>
        <v>PRUNE1</v>
      </c>
      <c r="B3658" s="6">
        <v>4.0959040959040897E-2</v>
      </c>
      <c r="C3658" s="6">
        <v>0.18648581056644201</v>
      </c>
    </row>
    <row r="3659" spans="1:3" s="7" customFormat="1" x14ac:dyDescent="0.2">
      <c r="A3659" s="6" t="str">
        <f>"PIF1"</f>
        <v>PIF1</v>
      </c>
      <c r="B3659" s="6">
        <v>4.0959040959040897E-2</v>
      </c>
      <c r="C3659" s="6">
        <v>0.18648581056644201</v>
      </c>
    </row>
    <row r="3660" spans="1:3" s="7" customFormat="1" x14ac:dyDescent="0.2">
      <c r="A3660" s="6" t="str">
        <f>"DDN-AS1"</f>
        <v>DDN-AS1</v>
      </c>
      <c r="B3660" s="6">
        <v>4.0959040959040897E-2</v>
      </c>
      <c r="C3660" s="6">
        <v>0.18648581056644201</v>
      </c>
    </row>
    <row r="3661" spans="1:3" s="7" customFormat="1" x14ac:dyDescent="0.2">
      <c r="A3661" s="6" t="str">
        <f>"RTTN"</f>
        <v>RTTN</v>
      </c>
      <c r="B3661" s="6">
        <v>4.0959040959040897E-2</v>
      </c>
      <c r="C3661" s="6">
        <v>0.18648581056644201</v>
      </c>
    </row>
    <row r="3662" spans="1:3" s="7" customFormat="1" x14ac:dyDescent="0.2">
      <c r="A3662" s="6" t="str">
        <f>"IGSF10"</f>
        <v>IGSF10</v>
      </c>
      <c r="B3662" s="6">
        <v>4.0959040959040897E-2</v>
      </c>
      <c r="C3662" s="6">
        <v>0.18648581056644201</v>
      </c>
    </row>
    <row r="3663" spans="1:3" s="7" customFormat="1" x14ac:dyDescent="0.2">
      <c r="A3663" s="6" t="str">
        <f>"ZNF367"</f>
        <v>ZNF367</v>
      </c>
      <c r="B3663" s="6">
        <v>4.0959040959040897E-2</v>
      </c>
      <c r="C3663" s="6">
        <v>0.18648581056644201</v>
      </c>
    </row>
    <row r="3664" spans="1:3" s="7" customFormat="1" x14ac:dyDescent="0.2">
      <c r="A3664" s="6" t="str">
        <f>"SLC38A8"</f>
        <v>SLC38A8</v>
      </c>
      <c r="B3664" s="6">
        <v>4.0959040959040897E-2</v>
      </c>
      <c r="C3664" s="6">
        <v>0.18648581056644201</v>
      </c>
    </row>
    <row r="3665" spans="1:3" s="7" customFormat="1" x14ac:dyDescent="0.2">
      <c r="A3665" s="6" t="str">
        <f>"AL049839.3"</f>
        <v>AL049839.3</v>
      </c>
      <c r="B3665" s="6">
        <v>4.08163265306122E-2</v>
      </c>
      <c r="C3665" s="6">
        <v>0.18648581056644201</v>
      </c>
    </row>
    <row r="3666" spans="1:3" s="7" customFormat="1" x14ac:dyDescent="0.2">
      <c r="A3666" s="6" t="str">
        <f>"CDHR4"</f>
        <v>CDHR4</v>
      </c>
      <c r="B3666" s="6">
        <v>4.0959040959040897E-2</v>
      </c>
      <c r="C3666" s="6">
        <v>0.18648581056644201</v>
      </c>
    </row>
    <row r="3667" spans="1:3" s="7" customFormat="1" x14ac:dyDescent="0.2">
      <c r="A3667" s="6" t="str">
        <f>"PGM2"</f>
        <v>PGM2</v>
      </c>
      <c r="B3667" s="6">
        <v>4.0959040959040897E-2</v>
      </c>
      <c r="C3667" s="6">
        <v>0.18648581056644201</v>
      </c>
    </row>
    <row r="3668" spans="1:3" s="7" customFormat="1" x14ac:dyDescent="0.2">
      <c r="A3668" s="6" t="str">
        <f>"SURF2"</f>
        <v>SURF2</v>
      </c>
      <c r="B3668" s="6">
        <v>4.0959040959040897E-2</v>
      </c>
      <c r="C3668" s="6">
        <v>0.18648581056644201</v>
      </c>
    </row>
    <row r="3669" spans="1:3" s="7" customFormat="1" x14ac:dyDescent="0.2">
      <c r="A3669" s="6" t="str">
        <f>"LILRB5"</f>
        <v>LILRB5</v>
      </c>
      <c r="B3669" s="6">
        <v>4.0959040959040897E-2</v>
      </c>
      <c r="C3669" s="6">
        <v>0.18648581056644201</v>
      </c>
    </row>
    <row r="3670" spans="1:3" s="7" customFormat="1" x14ac:dyDescent="0.2">
      <c r="A3670" s="6" t="str">
        <f>"GSTZ1"</f>
        <v>GSTZ1</v>
      </c>
      <c r="B3670" s="6">
        <v>4.0959040959040897E-2</v>
      </c>
      <c r="C3670" s="6">
        <v>0.18648581056644201</v>
      </c>
    </row>
    <row r="3671" spans="1:3" s="7" customFormat="1" x14ac:dyDescent="0.2">
      <c r="A3671" s="6" t="str">
        <f>"TXLNA"</f>
        <v>TXLNA</v>
      </c>
      <c r="B3671" s="6">
        <v>4.0959040959040897E-2</v>
      </c>
      <c r="C3671" s="6">
        <v>0.18648581056644201</v>
      </c>
    </row>
    <row r="3672" spans="1:3" s="7" customFormat="1" x14ac:dyDescent="0.2">
      <c r="A3672" s="6" t="str">
        <f>"LMCD1"</f>
        <v>LMCD1</v>
      </c>
      <c r="B3672" s="6">
        <v>4.0959040959040897E-2</v>
      </c>
      <c r="C3672" s="6">
        <v>0.18648581056644201</v>
      </c>
    </row>
    <row r="3673" spans="1:3" s="7" customFormat="1" x14ac:dyDescent="0.2">
      <c r="A3673" s="6" t="str">
        <f>"MUC15"</f>
        <v>MUC15</v>
      </c>
      <c r="B3673" s="6">
        <v>4.1000000000000002E-2</v>
      </c>
      <c r="C3673" s="6">
        <v>0.18657065069425499</v>
      </c>
    </row>
    <row r="3674" spans="1:3" s="7" customFormat="1" x14ac:dyDescent="0.2">
      <c r="A3674" s="6" t="str">
        <f>"SDCBP"</f>
        <v>SDCBP</v>
      </c>
      <c r="B3674" s="6">
        <v>4.1000000000000002E-2</v>
      </c>
      <c r="C3674" s="6">
        <v>0.18657065069425499</v>
      </c>
    </row>
    <row r="3675" spans="1:3" s="7" customFormat="1" x14ac:dyDescent="0.2">
      <c r="A3675" s="6" t="str">
        <f>"FAM30A"</f>
        <v>FAM30A</v>
      </c>
      <c r="B3675" s="6">
        <v>4.1041041041040997E-2</v>
      </c>
      <c r="C3675" s="6">
        <v>0.186706575928132</v>
      </c>
    </row>
    <row r="3676" spans="1:3" s="7" customFormat="1" x14ac:dyDescent="0.2">
      <c r="A3676" s="6" t="str">
        <f>"PRELID1P6"</f>
        <v>PRELID1P6</v>
      </c>
      <c r="B3676" s="6">
        <v>4.1109969167523103E-2</v>
      </c>
      <c r="C3676" s="6">
        <v>0.186969258412511</v>
      </c>
    </row>
    <row r="3677" spans="1:3" s="7" customFormat="1" x14ac:dyDescent="0.2">
      <c r="A3677" s="6" t="str">
        <f>"GGCTP1"</f>
        <v>GGCTP1</v>
      </c>
      <c r="B3677" s="6">
        <v>4.1164658634538102E-2</v>
      </c>
      <c r="C3677" s="6">
        <v>0.18716705778500201</v>
      </c>
    </row>
    <row r="3678" spans="1:3" s="7" customFormat="1" x14ac:dyDescent="0.2">
      <c r="A3678" s="6" t="str">
        <f>"AC012020.1"</f>
        <v>AC012020.1</v>
      </c>
      <c r="B3678" s="6">
        <v>4.1958041958041897E-2</v>
      </c>
      <c r="C3678" s="6">
        <v>0.18840257648953301</v>
      </c>
    </row>
    <row r="3679" spans="1:3" s="7" customFormat="1" x14ac:dyDescent="0.2">
      <c r="A3679" s="6" t="str">
        <f>"NRBF2"</f>
        <v>NRBF2</v>
      </c>
      <c r="B3679" s="6">
        <v>4.1958041958041897E-2</v>
      </c>
      <c r="C3679" s="6">
        <v>0.18840257648953301</v>
      </c>
    </row>
    <row r="3680" spans="1:3" s="7" customFormat="1" x14ac:dyDescent="0.2">
      <c r="A3680" s="6" t="str">
        <f>"KISS1R"</f>
        <v>KISS1R</v>
      </c>
      <c r="B3680" s="6">
        <v>4.1958041958041897E-2</v>
      </c>
      <c r="C3680" s="6">
        <v>0.18840257648953301</v>
      </c>
    </row>
    <row r="3681" spans="1:3" s="7" customFormat="1" x14ac:dyDescent="0.2">
      <c r="A3681" s="6" t="str">
        <f>"METTL25"</f>
        <v>METTL25</v>
      </c>
      <c r="B3681" s="6">
        <v>4.1958041958041897E-2</v>
      </c>
      <c r="C3681" s="6">
        <v>0.18840257648953301</v>
      </c>
    </row>
    <row r="3682" spans="1:3" s="7" customFormat="1" x14ac:dyDescent="0.2">
      <c r="A3682" s="6" t="str">
        <f>"IGLC2"</f>
        <v>IGLC2</v>
      </c>
      <c r="B3682" s="6">
        <v>4.1958041958041897E-2</v>
      </c>
      <c r="C3682" s="6">
        <v>0.18840257648953301</v>
      </c>
    </row>
    <row r="3683" spans="1:3" s="7" customFormat="1" x14ac:dyDescent="0.2">
      <c r="A3683" s="6" t="str">
        <f>"TMEM99"</f>
        <v>TMEM99</v>
      </c>
      <c r="B3683" s="6">
        <v>4.1958041958041897E-2</v>
      </c>
      <c r="C3683" s="6">
        <v>0.18840257648953301</v>
      </c>
    </row>
    <row r="3684" spans="1:3" s="7" customFormat="1" x14ac:dyDescent="0.2">
      <c r="A3684" s="6" t="str">
        <f>"GSTM3"</f>
        <v>GSTM3</v>
      </c>
      <c r="B3684" s="6">
        <v>4.1958041958041897E-2</v>
      </c>
      <c r="C3684" s="6">
        <v>0.18840257648953301</v>
      </c>
    </row>
    <row r="3685" spans="1:3" s="7" customFormat="1" x14ac:dyDescent="0.2">
      <c r="A3685" s="6" t="str">
        <f>"CD302"</f>
        <v>CD302</v>
      </c>
      <c r="B3685" s="6">
        <v>4.1958041958041897E-2</v>
      </c>
      <c r="C3685" s="6">
        <v>0.18840257648953301</v>
      </c>
    </row>
    <row r="3686" spans="1:3" s="7" customFormat="1" x14ac:dyDescent="0.2">
      <c r="A3686" s="6" t="str">
        <f>"HSD17B2"</f>
        <v>HSD17B2</v>
      </c>
      <c r="B3686" s="6">
        <v>4.1958041958041897E-2</v>
      </c>
      <c r="C3686" s="6">
        <v>0.18840257648953301</v>
      </c>
    </row>
    <row r="3687" spans="1:3" s="7" customFormat="1" x14ac:dyDescent="0.2">
      <c r="A3687" s="6" t="str">
        <f>"ARHGAP23"</f>
        <v>ARHGAP23</v>
      </c>
      <c r="B3687" s="6">
        <v>4.1958041958041897E-2</v>
      </c>
      <c r="C3687" s="6">
        <v>0.18840257648953301</v>
      </c>
    </row>
    <row r="3688" spans="1:3" s="7" customFormat="1" x14ac:dyDescent="0.2">
      <c r="A3688" s="6" t="str">
        <f>"RTN4RL1"</f>
        <v>RTN4RL1</v>
      </c>
      <c r="B3688" s="6">
        <v>4.1958041958041897E-2</v>
      </c>
      <c r="C3688" s="6">
        <v>0.18840257648953301</v>
      </c>
    </row>
    <row r="3689" spans="1:3" s="7" customFormat="1" x14ac:dyDescent="0.2">
      <c r="A3689" s="6" t="str">
        <f>"TNNC2"</f>
        <v>TNNC2</v>
      </c>
      <c r="B3689" s="6">
        <v>4.1958041958041897E-2</v>
      </c>
      <c r="C3689" s="6">
        <v>0.18840257648953301</v>
      </c>
    </row>
    <row r="3690" spans="1:3" s="7" customFormat="1" x14ac:dyDescent="0.2">
      <c r="A3690" s="6" t="str">
        <f>"PITPNA-AS1"</f>
        <v>PITPNA-AS1</v>
      </c>
      <c r="B3690" s="6">
        <v>4.1958041958041897E-2</v>
      </c>
      <c r="C3690" s="6">
        <v>0.18840257648953301</v>
      </c>
    </row>
    <row r="3691" spans="1:3" s="7" customFormat="1" x14ac:dyDescent="0.2">
      <c r="A3691" s="6" t="str">
        <f>"AC003102.1"</f>
        <v>AC003102.1</v>
      </c>
      <c r="B3691" s="6">
        <v>4.1958041958041897E-2</v>
      </c>
      <c r="C3691" s="6">
        <v>0.18840257648953301</v>
      </c>
    </row>
    <row r="3692" spans="1:3" s="7" customFormat="1" x14ac:dyDescent="0.2">
      <c r="A3692" s="6" t="str">
        <f>"GTPBP10"</f>
        <v>GTPBP10</v>
      </c>
      <c r="B3692" s="6">
        <v>4.1958041958041897E-2</v>
      </c>
      <c r="C3692" s="6">
        <v>0.18840257648953301</v>
      </c>
    </row>
    <row r="3693" spans="1:3" s="7" customFormat="1" x14ac:dyDescent="0.2">
      <c r="A3693" s="6" t="str">
        <f>"SV2A"</f>
        <v>SV2A</v>
      </c>
      <c r="B3693" s="6">
        <v>4.1958041958041897E-2</v>
      </c>
      <c r="C3693" s="6">
        <v>0.18840257648953301</v>
      </c>
    </row>
    <row r="3694" spans="1:3" s="7" customFormat="1" x14ac:dyDescent="0.2">
      <c r="A3694" s="6" t="str">
        <f>"MPP7"</f>
        <v>MPP7</v>
      </c>
      <c r="B3694" s="6">
        <v>4.1958041958041897E-2</v>
      </c>
      <c r="C3694" s="6">
        <v>0.18840257648953301</v>
      </c>
    </row>
    <row r="3695" spans="1:3" s="7" customFormat="1" x14ac:dyDescent="0.2">
      <c r="A3695" s="6" t="str">
        <f>"FAM227B"</f>
        <v>FAM227B</v>
      </c>
      <c r="B3695" s="6">
        <v>4.1958041958041897E-2</v>
      </c>
      <c r="C3695" s="6">
        <v>0.18840257648953301</v>
      </c>
    </row>
    <row r="3696" spans="1:3" s="7" customFormat="1" x14ac:dyDescent="0.2">
      <c r="A3696" s="6" t="str">
        <f>"GOT1"</f>
        <v>GOT1</v>
      </c>
      <c r="B3696" s="6">
        <v>4.2000000000000003E-2</v>
      </c>
      <c r="C3696" s="6">
        <v>0.18840257648953301</v>
      </c>
    </row>
    <row r="3697" spans="1:3" s="7" customFormat="1" x14ac:dyDescent="0.2">
      <c r="A3697" s="6" t="str">
        <f>"HINFP"</f>
        <v>HINFP</v>
      </c>
      <c r="B3697" s="6">
        <v>4.1958041958041897E-2</v>
      </c>
      <c r="C3697" s="6">
        <v>0.18840257648953301</v>
      </c>
    </row>
    <row r="3698" spans="1:3" s="7" customFormat="1" x14ac:dyDescent="0.2">
      <c r="A3698" s="6" t="str">
        <f>"C17orf58"</f>
        <v>C17orf58</v>
      </c>
      <c r="B3698" s="6">
        <v>4.1958041958041897E-2</v>
      </c>
      <c r="C3698" s="6">
        <v>0.18840257648953301</v>
      </c>
    </row>
    <row r="3699" spans="1:3" s="7" customFormat="1" x14ac:dyDescent="0.2">
      <c r="A3699" s="6" t="str">
        <f>"DPY19L2P1"</f>
        <v>DPY19L2P1</v>
      </c>
      <c r="B3699" s="6">
        <v>4.1958041958041897E-2</v>
      </c>
      <c r="C3699" s="6">
        <v>0.18840257648953301</v>
      </c>
    </row>
    <row r="3700" spans="1:3" s="7" customFormat="1" x14ac:dyDescent="0.2">
      <c r="A3700" s="6" t="str">
        <f>"AC091074.2"</f>
        <v>AC091074.2</v>
      </c>
      <c r="B3700" s="6">
        <v>4.1714947856315097E-2</v>
      </c>
      <c r="C3700" s="6">
        <v>0.18840257648953301</v>
      </c>
    </row>
    <row r="3701" spans="1:3" s="7" customFormat="1" x14ac:dyDescent="0.2">
      <c r="A3701" s="6" t="str">
        <f>"C12orf50"</f>
        <v>C12orf50</v>
      </c>
      <c r="B3701" s="6">
        <v>4.1958041958041897E-2</v>
      </c>
      <c r="C3701" s="6">
        <v>0.18840257648953301</v>
      </c>
    </row>
    <row r="3702" spans="1:3" s="7" customFormat="1" x14ac:dyDescent="0.2">
      <c r="A3702" s="6" t="str">
        <f>"OSBP2"</f>
        <v>OSBP2</v>
      </c>
      <c r="B3702" s="6">
        <v>4.1958041958041897E-2</v>
      </c>
      <c r="C3702" s="6">
        <v>0.18840257648953301</v>
      </c>
    </row>
    <row r="3703" spans="1:3" s="7" customFormat="1" x14ac:dyDescent="0.2">
      <c r="A3703" s="6" t="str">
        <f>"TRIM46"</f>
        <v>TRIM46</v>
      </c>
      <c r="B3703" s="6">
        <v>4.1958041958041897E-2</v>
      </c>
      <c r="C3703" s="6">
        <v>0.18840257648953301</v>
      </c>
    </row>
    <row r="3704" spans="1:3" s="7" customFormat="1" x14ac:dyDescent="0.2">
      <c r="A3704" s="6" t="str">
        <f>"MAPK10"</f>
        <v>MAPK10</v>
      </c>
      <c r="B3704" s="6">
        <v>4.2000000000000003E-2</v>
      </c>
      <c r="C3704" s="6">
        <v>0.18840257648953301</v>
      </c>
    </row>
    <row r="3705" spans="1:3" s="7" customFormat="1" x14ac:dyDescent="0.2">
      <c r="A3705" s="6" t="str">
        <f>"BLOC1S3"</f>
        <v>BLOC1S3</v>
      </c>
      <c r="B3705" s="6">
        <v>4.1958041958041897E-2</v>
      </c>
      <c r="C3705" s="6">
        <v>0.18840257648953301</v>
      </c>
    </row>
    <row r="3706" spans="1:3" s="7" customFormat="1" x14ac:dyDescent="0.2">
      <c r="A3706" s="6" t="str">
        <f>"PRCC"</f>
        <v>PRCC</v>
      </c>
      <c r="B3706" s="6">
        <v>4.1958041958041897E-2</v>
      </c>
      <c r="C3706" s="6">
        <v>0.18840257648953301</v>
      </c>
    </row>
    <row r="3707" spans="1:3" s="7" customFormat="1" x14ac:dyDescent="0.2">
      <c r="A3707" s="6" t="str">
        <f>"CTNNA2"</f>
        <v>CTNNA2</v>
      </c>
      <c r="B3707" s="6">
        <v>4.1958041958041897E-2</v>
      </c>
      <c r="C3707" s="6">
        <v>0.18840257648953301</v>
      </c>
    </row>
    <row r="3708" spans="1:3" s="7" customFormat="1" x14ac:dyDescent="0.2">
      <c r="A3708" s="6" t="str">
        <f>"RGCC"</f>
        <v>RGCC</v>
      </c>
      <c r="B3708" s="6">
        <v>4.1958041958041897E-2</v>
      </c>
      <c r="C3708" s="6">
        <v>0.18840257648953301</v>
      </c>
    </row>
    <row r="3709" spans="1:3" s="7" customFormat="1" x14ac:dyDescent="0.2">
      <c r="A3709" s="6" t="str">
        <f>"FOXJ2"</f>
        <v>FOXJ2</v>
      </c>
      <c r="B3709" s="6">
        <v>4.1958041958041897E-2</v>
      </c>
      <c r="C3709" s="6">
        <v>0.18840257648953301</v>
      </c>
    </row>
    <row r="3710" spans="1:3" s="7" customFormat="1" x14ac:dyDescent="0.2">
      <c r="A3710" s="6" t="str">
        <f>"MEIS1"</f>
        <v>MEIS1</v>
      </c>
      <c r="B3710" s="6">
        <v>4.1958041958041897E-2</v>
      </c>
      <c r="C3710" s="6">
        <v>0.18840257648953301</v>
      </c>
    </row>
    <row r="3711" spans="1:3" s="7" customFormat="1" x14ac:dyDescent="0.2">
      <c r="A3711" s="6" t="str">
        <f>"ZBTB2"</f>
        <v>ZBTB2</v>
      </c>
      <c r="B3711" s="6">
        <v>4.1958041958041897E-2</v>
      </c>
      <c r="C3711" s="6">
        <v>0.18840257648953301</v>
      </c>
    </row>
    <row r="3712" spans="1:3" s="7" customFormat="1" x14ac:dyDescent="0.2">
      <c r="A3712" s="6" t="str">
        <f>"SLC35D1"</f>
        <v>SLC35D1</v>
      </c>
      <c r="B3712" s="6">
        <v>4.1958041958041897E-2</v>
      </c>
      <c r="C3712" s="6">
        <v>0.18840257648953301</v>
      </c>
    </row>
    <row r="3713" spans="1:3" s="7" customFormat="1" x14ac:dyDescent="0.2">
      <c r="A3713" s="6" t="str">
        <f>"CCDC33"</f>
        <v>CCDC33</v>
      </c>
      <c r="B3713" s="6">
        <v>4.1958041958041897E-2</v>
      </c>
      <c r="C3713" s="6">
        <v>0.18840257648953301</v>
      </c>
    </row>
    <row r="3714" spans="1:3" s="7" customFormat="1" x14ac:dyDescent="0.2">
      <c r="A3714" s="6" t="str">
        <f>"AC188616.1"</f>
        <v>AC188616.1</v>
      </c>
      <c r="B3714" s="6">
        <v>4.1958041958041897E-2</v>
      </c>
      <c r="C3714" s="6">
        <v>0.18840257648953301</v>
      </c>
    </row>
    <row r="3715" spans="1:3" s="7" customFormat="1" x14ac:dyDescent="0.2">
      <c r="A3715" s="6" t="str">
        <f>"SLC8B1"</f>
        <v>SLC8B1</v>
      </c>
      <c r="B3715" s="6">
        <v>4.1958041958041897E-2</v>
      </c>
      <c r="C3715" s="6">
        <v>0.18840257648953301</v>
      </c>
    </row>
    <row r="3716" spans="1:3" s="7" customFormat="1" x14ac:dyDescent="0.2">
      <c r="A3716" s="6" t="str">
        <f>"TTC29"</f>
        <v>TTC29</v>
      </c>
      <c r="B3716" s="6">
        <v>4.1958041958041897E-2</v>
      </c>
      <c r="C3716" s="6">
        <v>0.18840257648953301</v>
      </c>
    </row>
    <row r="3717" spans="1:3" s="7" customFormat="1" x14ac:dyDescent="0.2">
      <c r="A3717" s="6" t="str">
        <f>"ETV6"</f>
        <v>ETV6</v>
      </c>
      <c r="B3717" s="6">
        <v>4.1958041958041897E-2</v>
      </c>
      <c r="C3717" s="6">
        <v>0.18840257648953301</v>
      </c>
    </row>
    <row r="3718" spans="1:3" s="7" customFormat="1" x14ac:dyDescent="0.2">
      <c r="A3718" s="6" t="str">
        <f>"AC145098.2"</f>
        <v>AC145098.2</v>
      </c>
      <c r="B3718" s="6">
        <v>4.1958041958041897E-2</v>
      </c>
      <c r="C3718" s="6">
        <v>0.18840257648953301</v>
      </c>
    </row>
    <row r="3719" spans="1:3" s="7" customFormat="1" x14ac:dyDescent="0.2">
      <c r="A3719" s="6" t="str">
        <f>"C5orf49"</f>
        <v>C5orf49</v>
      </c>
      <c r="B3719" s="6">
        <v>4.1958041958041897E-2</v>
      </c>
      <c r="C3719" s="6">
        <v>0.18840257648953301</v>
      </c>
    </row>
    <row r="3720" spans="1:3" s="7" customFormat="1" x14ac:dyDescent="0.2">
      <c r="A3720" s="6" t="str">
        <f>"CFAP221"</f>
        <v>CFAP221</v>
      </c>
      <c r="B3720" s="6">
        <v>4.1958041958041897E-2</v>
      </c>
      <c r="C3720" s="6">
        <v>0.18840257648953301</v>
      </c>
    </row>
    <row r="3721" spans="1:3" s="7" customFormat="1" x14ac:dyDescent="0.2">
      <c r="A3721" s="6" t="str">
        <f>"MYB"</f>
        <v>MYB</v>
      </c>
      <c r="B3721" s="6">
        <v>4.2000000000000003E-2</v>
      </c>
      <c r="C3721" s="6">
        <v>0.18840257648953301</v>
      </c>
    </row>
    <row r="3722" spans="1:3" s="7" customFormat="1" x14ac:dyDescent="0.2">
      <c r="A3722" s="6" t="str">
        <f>"CYP4F3"</f>
        <v>CYP4F3</v>
      </c>
      <c r="B3722" s="6">
        <v>4.1958041958041897E-2</v>
      </c>
      <c r="C3722" s="6">
        <v>0.18840257648953301</v>
      </c>
    </row>
    <row r="3723" spans="1:3" s="7" customFormat="1" x14ac:dyDescent="0.2">
      <c r="A3723" s="6" t="str">
        <f>"LRRC43"</f>
        <v>LRRC43</v>
      </c>
      <c r="B3723" s="6">
        <v>4.1958041958041897E-2</v>
      </c>
      <c r="C3723" s="6">
        <v>0.18840257648953301</v>
      </c>
    </row>
    <row r="3724" spans="1:3" s="7" customFormat="1" x14ac:dyDescent="0.2">
      <c r="A3724" s="6" t="str">
        <f>"AGBL2"</f>
        <v>AGBL2</v>
      </c>
      <c r="B3724" s="6">
        <v>4.2000000000000003E-2</v>
      </c>
      <c r="C3724" s="6">
        <v>0.18840257648953301</v>
      </c>
    </row>
    <row r="3725" spans="1:3" s="7" customFormat="1" x14ac:dyDescent="0.2">
      <c r="A3725" s="6" t="str">
        <f>"AC104564.5"</f>
        <v>AC104564.5</v>
      </c>
      <c r="B3725" s="6">
        <v>4.1958041958041897E-2</v>
      </c>
      <c r="C3725" s="6">
        <v>0.18840257648953301</v>
      </c>
    </row>
    <row r="3726" spans="1:3" s="7" customFormat="1" x14ac:dyDescent="0.2">
      <c r="A3726" s="6" t="str">
        <f>"RIPK3"</f>
        <v>RIPK3</v>
      </c>
      <c r="B3726" s="6">
        <v>4.1958041958041897E-2</v>
      </c>
      <c r="C3726" s="6">
        <v>0.18840257648953301</v>
      </c>
    </row>
    <row r="3727" spans="1:3" s="7" customFormat="1" x14ac:dyDescent="0.2">
      <c r="A3727" s="6" t="str">
        <f>"AL159163.1"</f>
        <v>AL159163.1</v>
      </c>
      <c r="B3727" s="6">
        <v>4.2000000000000003E-2</v>
      </c>
      <c r="C3727" s="6">
        <v>0.18840257648953301</v>
      </c>
    </row>
    <row r="3728" spans="1:3" s="7" customFormat="1" x14ac:dyDescent="0.2">
      <c r="A3728" s="6" t="str">
        <f>"AC096636.1"</f>
        <v>AC096636.1</v>
      </c>
      <c r="B3728" s="6">
        <v>4.2126379137412198E-2</v>
      </c>
      <c r="C3728" s="6">
        <v>0.188918782104295</v>
      </c>
    </row>
    <row r="3729" spans="1:3" s="7" customFormat="1" x14ac:dyDescent="0.2">
      <c r="A3729" s="6" t="str">
        <f>"AL049780.2"</f>
        <v>AL049780.2</v>
      </c>
      <c r="B3729" s="6">
        <v>4.2168674698795101E-2</v>
      </c>
      <c r="C3729" s="6">
        <v>0.18905773307823501</v>
      </c>
    </row>
    <row r="3730" spans="1:3" s="7" customFormat="1" x14ac:dyDescent="0.2">
      <c r="A3730" s="6" t="str">
        <f>"ZNF460-AS1"</f>
        <v>ZNF460-AS1</v>
      </c>
      <c r="B3730" s="6">
        <v>4.2296072507552802E-2</v>
      </c>
      <c r="C3730" s="6">
        <v>0.18957805199550501</v>
      </c>
    </row>
    <row r="3731" spans="1:3" s="7" customFormat="1" x14ac:dyDescent="0.2">
      <c r="A3731" s="6" t="str">
        <f>"IL6R"</f>
        <v>IL6R</v>
      </c>
      <c r="B3731" s="6">
        <v>4.2957042957042897E-2</v>
      </c>
      <c r="C3731" s="6">
        <v>0.18959176550937801</v>
      </c>
    </row>
    <row r="3732" spans="1:3" s="7" customFormat="1" x14ac:dyDescent="0.2">
      <c r="A3732" s="6" t="str">
        <f>"LYN"</f>
        <v>LYN</v>
      </c>
      <c r="B3732" s="6">
        <v>4.2957042957042897E-2</v>
      </c>
      <c r="C3732" s="6">
        <v>0.18959176550937801</v>
      </c>
    </row>
    <row r="3733" spans="1:3" s="7" customFormat="1" x14ac:dyDescent="0.2">
      <c r="A3733" s="6" t="str">
        <f>"AL121899.4"</f>
        <v>AL121899.4</v>
      </c>
      <c r="B3733" s="6">
        <v>4.2957042957042897E-2</v>
      </c>
      <c r="C3733" s="6">
        <v>0.18959176550937801</v>
      </c>
    </row>
    <row r="3734" spans="1:3" s="7" customFormat="1" x14ac:dyDescent="0.2">
      <c r="A3734" s="6" t="str">
        <f>"AC008691.1"</f>
        <v>AC008691.1</v>
      </c>
      <c r="B3734" s="6">
        <v>4.2957042957042897E-2</v>
      </c>
      <c r="C3734" s="6">
        <v>0.18959176550937801</v>
      </c>
    </row>
    <row r="3735" spans="1:3" s="7" customFormat="1" x14ac:dyDescent="0.2">
      <c r="A3735" s="6" t="str">
        <f>"AL158211.5"</f>
        <v>AL158211.5</v>
      </c>
      <c r="B3735" s="6">
        <v>4.2957042957042897E-2</v>
      </c>
      <c r="C3735" s="6">
        <v>0.18959176550937801</v>
      </c>
    </row>
    <row r="3736" spans="1:3" s="7" customFormat="1" x14ac:dyDescent="0.2">
      <c r="A3736" s="6" t="str">
        <f>"OST4"</f>
        <v>OST4</v>
      </c>
      <c r="B3736" s="6">
        <v>4.2957042957042897E-2</v>
      </c>
      <c r="C3736" s="6">
        <v>0.18959176550937801</v>
      </c>
    </row>
    <row r="3737" spans="1:3" s="7" customFormat="1" x14ac:dyDescent="0.2">
      <c r="A3737" s="6" t="str">
        <f>"AL109809.1"</f>
        <v>AL109809.1</v>
      </c>
      <c r="B3737" s="6">
        <v>4.2957042957042897E-2</v>
      </c>
      <c r="C3737" s="6">
        <v>0.18959176550937801</v>
      </c>
    </row>
    <row r="3738" spans="1:3" s="7" customFormat="1" x14ac:dyDescent="0.2">
      <c r="A3738" s="6" t="str">
        <f>"TIMM21"</f>
        <v>TIMM21</v>
      </c>
      <c r="B3738" s="6">
        <v>4.2957042957042897E-2</v>
      </c>
      <c r="C3738" s="6">
        <v>0.18959176550937801</v>
      </c>
    </row>
    <row r="3739" spans="1:3" s="7" customFormat="1" x14ac:dyDescent="0.2">
      <c r="A3739" s="6" t="str">
        <f>"CPE"</f>
        <v>CPE</v>
      </c>
      <c r="B3739" s="6">
        <v>4.2957042957042897E-2</v>
      </c>
      <c r="C3739" s="6">
        <v>0.18959176550937801</v>
      </c>
    </row>
    <row r="3740" spans="1:3" s="7" customFormat="1" x14ac:dyDescent="0.2">
      <c r="A3740" s="6" t="str">
        <f>"CDC26"</f>
        <v>CDC26</v>
      </c>
      <c r="B3740" s="6">
        <v>4.2957042957042897E-2</v>
      </c>
      <c r="C3740" s="6">
        <v>0.18959176550937801</v>
      </c>
    </row>
    <row r="3741" spans="1:3" s="7" customFormat="1" x14ac:dyDescent="0.2">
      <c r="A3741" s="6" t="str">
        <f>"AC005944.1"</f>
        <v>AC005944.1</v>
      </c>
      <c r="B3741" s="6">
        <v>4.2957042957042897E-2</v>
      </c>
      <c r="C3741" s="6">
        <v>0.18959176550937801</v>
      </c>
    </row>
    <row r="3742" spans="1:3" s="7" customFormat="1" x14ac:dyDescent="0.2">
      <c r="A3742" s="6" t="str">
        <f>"SEMA7A"</f>
        <v>SEMA7A</v>
      </c>
      <c r="B3742" s="6">
        <v>4.2957042957042897E-2</v>
      </c>
      <c r="C3742" s="6">
        <v>0.18959176550937801</v>
      </c>
    </row>
    <row r="3743" spans="1:3" s="7" customFormat="1" x14ac:dyDescent="0.2">
      <c r="A3743" s="6" t="str">
        <f>"AL512625.2"</f>
        <v>AL512625.2</v>
      </c>
      <c r="B3743" s="6">
        <v>4.2957042957042897E-2</v>
      </c>
      <c r="C3743" s="6">
        <v>0.18959176550937801</v>
      </c>
    </row>
    <row r="3744" spans="1:3" s="7" customFormat="1" x14ac:dyDescent="0.2">
      <c r="A3744" s="6" t="str">
        <f>"RASA2"</f>
        <v>RASA2</v>
      </c>
      <c r="B3744" s="6">
        <v>4.2957042957042897E-2</v>
      </c>
      <c r="C3744" s="6">
        <v>0.18959176550937801</v>
      </c>
    </row>
    <row r="3745" spans="1:3" s="7" customFormat="1" x14ac:dyDescent="0.2">
      <c r="A3745" s="6" t="str">
        <f>"PERCC1"</f>
        <v>PERCC1</v>
      </c>
      <c r="B3745" s="6">
        <v>4.2957042957042897E-2</v>
      </c>
      <c r="C3745" s="6">
        <v>0.18959176550937801</v>
      </c>
    </row>
    <row r="3746" spans="1:3" s="7" customFormat="1" x14ac:dyDescent="0.2">
      <c r="A3746" s="6" t="str">
        <f>"AMN1"</f>
        <v>AMN1</v>
      </c>
      <c r="B3746" s="6">
        <v>4.2957042957042897E-2</v>
      </c>
      <c r="C3746" s="6">
        <v>0.18959176550937801</v>
      </c>
    </row>
    <row r="3747" spans="1:3" s="7" customFormat="1" x14ac:dyDescent="0.2">
      <c r="A3747" s="6" t="str">
        <f>"MELTF"</f>
        <v>MELTF</v>
      </c>
      <c r="B3747" s="6">
        <v>4.2957042957042897E-2</v>
      </c>
      <c r="C3747" s="6">
        <v>0.18959176550937801</v>
      </c>
    </row>
    <row r="3748" spans="1:3" s="7" customFormat="1" x14ac:dyDescent="0.2">
      <c r="A3748" s="6" t="str">
        <f>"TLR1"</f>
        <v>TLR1</v>
      </c>
      <c r="B3748" s="6">
        <v>4.2957042957042897E-2</v>
      </c>
      <c r="C3748" s="6">
        <v>0.18959176550937801</v>
      </c>
    </row>
    <row r="3749" spans="1:3" s="7" customFormat="1" x14ac:dyDescent="0.2">
      <c r="A3749" s="6" t="str">
        <f>"CLNS1A"</f>
        <v>CLNS1A</v>
      </c>
      <c r="B3749" s="6">
        <v>4.2957042957042897E-2</v>
      </c>
      <c r="C3749" s="6">
        <v>0.18959176550937801</v>
      </c>
    </row>
    <row r="3750" spans="1:3" s="7" customFormat="1" x14ac:dyDescent="0.2">
      <c r="A3750" s="6" t="str">
        <f>"SSU72"</f>
        <v>SSU72</v>
      </c>
      <c r="B3750" s="6">
        <v>4.2957042957042897E-2</v>
      </c>
      <c r="C3750" s="6">
        <v>0.18959176550937801</v>
      </c>
    </row>
    <row r="3751" spans="1:3" s="7" customFormat="1" x14ac:dyDescent="0.2">
      <c r="A3751" s="6" t="str">
        <f>"DACT2"</f>
        <v>DACT2</v>
      </c>
      <c r="B3751" s="6">
        <v>4.2957042957042897E-2</v>
      </c>
      <c r="C3751" s="6">
        <v>0.18959176550937801</v>
      </c>
    </row>
    <row r="3752" spans="1:3" s="7" customFormat="1" x14ac:dyDescent="0.2">
      <c r="A3752" s="6" t="str">
        <f>"TF"</f>
        <v>TF</v>
      </c>
      <c r="B3752" s="6">
        <v>4.2957042957042897E-2</v>
      </c>
      <c r="C3752" s="6">
        <v>0.18959176550937801</v>
      </c>
    </row>
    <row r="3753" spans="1:3" s="7" customFormat="1" x14ac:dyDescent="0.2">
      <c r="A3753" s="6" t="str">
        <f>"GRM8"</f>
        <v>GRM8</v>
      </c>
      <c r="B3753" s="6">
        <v>4.2957042957042897E-2</v>
      </c>
      <c r="C3753" s="6">
        <v>0.18959176550937801</v>
      </c>
    </row>
    <row r="3754" spans="1:3" s="7" customFormat="1" x14ac:dyDescent="0.2">
      <c r="A3754" s="6" t="str">
        <f>"CENPT"</f>
        <v>CENPT</v>
      </c>
      <c r="B3754" s="6">
        <v>4.2957042957042897E-2</v>
      </c>
      <c r="C3754" s="6">
        <v>0.18959176550937801</v>
      </c>
    </row>
    <row r="3755" spans="1:3" s="7" customFormat="1" x14ac:dyDescent="0.2">
      <c r="A3755" s="6" t="str">
        <f>"AC037459.2"</f>
        <v>AC037459.2</v>
      </c>
      <c r="B3755" s="6">
        <v>4.2957042957042897E-2</v>
      </c>
      <c r="C3755" s="6">
        <v>0.18959176550937801</v>
      </c>
    </row>
    <row r="3756" spans="1:3" s="7" customFormat="1" x14ac:dyDescent="0.2">
      <c r="A3756" s="6" t="str">
        <f>"SPINT1"</f>
        <v>SPINT1</v>
      </c>
      <c r="B3756" s="6">
        <v>4.2957042957042897E-2</v>
      </c>
      <c r="C3756" s="6">
        <v>0.18959176550937801</v>
      </c>
    </row>
    <row r="3757" spans="1:3" s="7" customFormat="1" x14ac:dyDescent="0.2">
      <c r="A3757" s="6" t="str">
        <f>"MED9"</f>
        <v>MED9</v>
      </c>
      <c r="B3757" s="6">
        <v>4.2957042957042897E-2</v>
      </c>
      <c r="C3757" s="6">
        <v>0.18959176550937801</v>
      </c>
    </row>
    <row r="3758" spans="1:3" s="7" customFormat="1" x14ac:dyDescent="0.2">
      <c r="A3758" s="6" t="str">
        <f>"TPD52L1"</f>
        <v>TPD52L1</v>
      </c>
      <c r="B3758" s="6">
        <v>4.2957042957042897E-2</v>
      </c>
      <c r="C3758" s="6">
        <v>0.18959176550937801</v>
      </c>
    </row>
    <row r="3759" spans="1:3" s="7" customFormat="1" x14ac:dyDescent="0.2">
      <c r="A3759" s="6" t="str">
        <f>"OGDH"</f>
        <v>OGDH</v>
      </c>
      <c r="B3759" s="6">
        <v>4.2957042957042897E-2</v>
      </c>
      <c r="C3759" s="6">
        <v>0.18959176550937801</v>
      </c>
    </row>
    <row r="3760" spans="1:3" s="7" customFormat="1" x14ac:dyDescent="0.2">
      <c r="A3760" s="6" t="str">
        <f>"NAXD"</f>
        <v>NAXD</v>
      </c>
      <c r="B3760" s="6">
        <v>4.2957042957042897E-2</v>
      </c>
      <c r="C3760" s="6">
        <v>0.18959176550937801</v>
      </c>
    </row>
    <row r="3761" spans="1:3" s="7" customFormat="1" x14ac:dyDescent="0.2">
      <c r="A3761" s="6" t="str">
        <f>"ARMT1"</f>
        <v>ARMT1</v>
      </c>
      <c r="B3761" s="6">
        <v>4.2957042957042897E-2</v>
      </c>
      <c r="C3761" s="6">
        <v>0.18959176550937801</v>
      </c>
    </row>
    <row r="3762" spans="1:3" s="7" customFormat="1" x14ac:dyDescent="0.2">
      <c r="A3762" s="6" t="str">
        <f>"TAF9B"</f>
        <v>TAF9B</v>
      </c>
      <c r="B3762" s="6">
        <v>4.2957042957042897E-2</v>
      </c>
      <c r="C3762" s="6">
        <v>0.18959176550937801</v>
      </c>
    </row>
    <row r="3763" spans="1:3" s="7" customFormat="1" x14ac:dyDescent="0.2">
      <c r="A3763" s="6" t="str">
        <f>"CDC37L1"</f>
        <v>CDC37L1</v>
      </c>
      <c r="B3763" s="6">
        <v>4.2957042957042897E-2</v>
      </c>
      <c r="C3763" s="6">
        <v>0.18959176550937801</v>
      </c>
    </row>
    <row r="3764" spans="1:3" s="7" customFormat="1" x14ac:dyDescent="0.2">
      <c r="A3764" s="6" t="str">
        <f>"CDH17"</f>
        <v>CDH17</v>
      </c>
      <c r="B3764" s="6">
        <v>4.2957042957042897E-2</v>
      </c>
      <c r="C3764" s="6">
        <v>0.18959176550937801</v>
      </c>
    </row>
    <row r="3765" spans="1:3" s="7" customFormat="1" x14ac:dyDescent="0.2">
      <c r="A3765" s="6" t="str">
        <f>"GOLIM4"</f>
        <v>GOLIM4</v>
      </c>
      <c r="B3765" s="6">
        <v>4.2957042957042897E-2</v>
      </c>
      <c r="C3765" s="6">
        <v>0.18959176550937801</v>
      </c>
    </row>
    <row r="3766" spans="1:3" s="7" customFormat="1" x14ac:dyDescent="0.2">
      <c r="A3766" s="6" t="str">
        <f>"KY"</f>
        <v>KY</v>
      </c>
      <c r="B3766" s="6">
        <v>4.2957042957042897E-2</v>
      </c>
      <c r="C3766" s="6">
        <v>0.18959176550937801</v>
      </c>
    </row>
    <row r="3767" spans="1:3" s="7" customFormat="1" x14ac:dyDescent="0.2">
      <c r="A3767" s="6" t="str">
        <f>"CTBP2P8"</f>
        <v>CTBP2P8</v>
      </c>
      <c r="B3767" s="6">
        <v>4.2957042957042897E-2</v>
      </c>
      <c r="C3767" s="6">
        <v>0.18959176550937801</v>
      </c>
    </row>
    <row r="3768" spans="1:3" s="7" customFormat="1" x14ac:dyDescent="0.2">
      <c r="A3768" s="6" t="str">
        <f>"BCL6B"</f>
        <v>BCL6B</v>
      </c>
      <c r="B3768" s="6">
        <v>4.2957042957042897E-2</v>
      </c>
      <c r="C3768" s="6">
        <v>0.18959176550937801</v>
      </c>
    </row>
    <row r="3769" spans="1:3" s="7" customFormat="1" x14ac:dyDescent="0.2">
      <c r="A3769" s="6" t="str">
        <f>"AMACR"</f>
        <v>AMACR</v>
      </c>
      <c r="B3769" s="6">
        <v>4.2957042957042897E-2</v>
      </c>
      <c r="C3769" s="6">
        <v>0.18959176550937801</v>
      </c>
    </row>
    <row r="3770" spans="1:3" s="7" customFormat="1" x14ac:dyDescent="0.2">
      <c r="A3770" s="6" t="str">
        <f>"SERPINE1"</f>
        <v>SERPINE1</v>
      </c>
      <c r="B3770" s="6">
        <v>4.2957042957042897E-2</v>
      </c>
      <c r="C3770" s="6">
        <v>0.18959176550937801</v>
      </c>
    </row>
    <row r="3771" spans="1:3" s="7" customFormat="1" x14ac:dyDescent="0.2">
      <c r="A3771" s="6" t="str">
        <f>"OR1M1"</f>
        <v>OR1M1</v>
      </c>
      <c r="B3771" s="6">
        <v>4.2957042957042897E-2</v>
      </c>
      <c r="C3771" s="6">
        <v>0.18959176550937801</v>
      </c>
    </row>
    <row r="3772" spans="1:3" s="7" customFormat="1" x14ac:dyDescent="0.2">
      <c r="A3772" s="6" t="str">
        <f>"WDR91"</f>
        <v>WDR91</v>
      </c>
      <c r="B3772" s="6">
        <v>4.2957042957042897E-2</v>
      </c>
      <c r="C3772" s="6">
        <v>0.18959176550937801</v>
      </c>
    </row>
    <row r="3773" spans="1:3" s="7" customFormat="1" x14ac:dyDescent="0.2">
      <c r="A3773" s="6" t="str">
        <f>"KIAA1522"</f>
        <v>KIAA1522</v>
      </c>
      <c r="B3773" s="6">
        <v>4.2957042957042897E-2</v>
      </c>
      <c r="C3773" s="6">
        <v>0.18959176550937801</v>
      </c>
    </row>
    <row r="3774" spans="1:3" s="7" customFormat="1" x14ac:dyDescent="0.2">
      <c r="A3774" s="6" t="str">
        <f>"NAIPP2"</f>
        <v>NAIPP2</v>
      </c>
      <c r="B3774" s="6">
        <v>4.2957042957042897E-2</v>
      </c>
      <c r="C3774" s="6">
        <v>0.18959176550937801</v>
      </c>
    </row>
    <row r="3775" spans="1:3" s="7" customFormat="1" x14ac:dyDescent="0.2">
      <c r="A3775" s="6" t="str">
        <f>"RAB33B"</f>
        <v>RAB33B</v>
      </c>
      <c r="B3775" s="6">
        <v>4.2957042957042897E-2</v>
      </c>
      <c r="C3775" s="6">
        <v>0.18959176550937801</v>
      </c>
    </row>
    <row r="3776" spans="1:3" s="7" customFormat="1" x14ac:dyDescent="0.2">
      <c r="A3776" s="6" t="str">
        <f>"GNG10"</f>
        <v>GNG10</v>
      </c>
      <c r="B3776" s="6">
        <v>4.2957042957042897E-2</v>
      </c>
      <c r="C3776" s="6">
        <v>0.18959176550937801</v>
      </c>
    </row>
    <row r="3777" spans="1:3" s="7" customFormat="1" x14ac:dyDescent="0.2">
      <c r="A3777" s="6" t="str">
        <f>"USP51"</f>
        <v>USP51</v>
      </c>
      <c r="B3777" s="6">
        <v>4.2957042957042897E-2</v>
      </c>
      <c r="C3777" s="6">
        <v>0.18959176550937801</v>
      </c>
    </row>
    <row r="3778" spans="1:3" s="7" customFormat="1" x14ac:dyDescent="0.2">
      <c r="A3778" s="6" t="str">
        <f>"RASSF4"</f>
        <v>RASSF4</v>
      </c>
      <c r="B3778" s="6">
        <v>4.2957042957042897E-2</v>
      </c>
      <c r="C3778" s="6">
        <v>0.18959176550937801</v>
      </c>
    </row>
    <row r="3779" spans="1:3" s="7" customFormat="1" x14ac:dyDescent="0.2">
      <c r="A3779" s="6" t="str">
        <f>"MTX2"</f>
        <v>MTX2</v>
      </c>
      <c r="B3779" s="6">
        <v>4.2957042957042897E-2</v>
      </c>
      <c r="C3779" s="6">
        <v>0.18959176550937801</v>
      </c>
    </row>
    <row r="3780" spans="1:3" s="7" customFormat="1" x14ac:dyDescent="0.2">
      <c r="A3780" s="6" t="str">
        <f>"HYDIN"</f>
        <v>HYDIN</v>
      </c>
      <c r="B3780" s="6">
        <v>4.2957042957042897E-2</v>
      </c>
      <c r="C3780" s="6">
        <v>0.18959176550937801</v>
      </c>
    </row>
    <row r="3781" spans="1:3" s="7" customFormat="1" x14ac:dyDescent="0.2">
      <c r="A3781" s="6" t="str">
        <f>"MBOAT2"</f>
        <v>MBOAT2</v>
      </c>
      <c r="B3781" s="6">
        <v>4.2957042957042897E-2</v>
      </c>
      <c r="C3781" s="6">
        <v>0.18959176550937801</v>
      </c>
    </row>
    <row r="3782" spans="1:3" s="7" customFormat="1" x14ac:dyDescent="0.2">
      <c r="A3782" s="6" t="str">
        <f>"AL360014.1"</f>
        <v>AL360014.1</v>
      </c>
      <c r="B3782" s="6">
        <v>4.2531120331950202E-2</v>
      </c>
      <c r="C3782" s="6">
        <v>0.18959176550937801</v>
      </c>
    </row>
    <row r="3783" spans="1:3" s="7" customFormat="1" x14ac:dyDescent="0.2">
      <c r="A3783" s="6" t="str">
        <f>"ARL4D"</f>
        <v>ARL4D</v>
      </c>
      <c r="B3783" s="6">
        <v>4.2957042957042897E-2</v>
      </c>
      <c r="C3783" s="6">
        <v>0.18959176550937801</v>
      </c>
    </row>
    <row r="3784" spans="1:3" s="7" customFormat="1" x14ac:dyDescent="0.2">
      <c r="A3784" s="6" t="str">
        <f>"MIATNB"</f>
        <v>MIATNB</v>
      </c>
      <c r="B3784" s="6">
        <v>4.2957042957042897E-2</v>
      </c>
      <c r="C3784" s="6">
        <v>0.18959176550937801</v>
      </c>
    </row>
    <row r="3785" spans="1:3" s="7" customFormat="1" x14ac:dyDescent="0.2">
      <c r="A3785" s="6" t="str">
        <f>"PIGB"</f>
        <v>PIGB</v>
      </c>
      <c r="B3785" s="6">
        <v>4.2957042957042897E-2</v>
      </c>
      <c r="C3785" s="6">
        <v>0.18959176550937801</v>
      </c>
    </row>
    <row r="3786" spans="1:3" s="7" customFormat="1" x14ac:dyDescent="0.2">
      <c r="A3786" s="6" t="str">
        <f>"LINC00920"</f>
        <v>LINC00920</v>
      </c>
      <c r="B3786" s="6">
        <v>4.2957042957042897E-2</v>
      </c>
      <c r="C3786" s="6">
        <v>0.18959176550937801</v>
      </c>
    </row>
    <row r="3787" spans="1:3" s="7" customFormat="1" x14ac:dyDescent="0.2">
      <c r="A3787" s="6" t="str">
        <f>"LINC00909"</f>
        <v>LINC00909</v>
      </c>
      <c r="B3787" s="6">
        <v>4.2957042957042897E-2</v>
      </c>
      <c r="C3787" s="6">
        <v>0.18959176550937801</v>
      </c>
    </row>
    <row r="3788" spans="1:3" s="7" customFormat="1" x14ac:dyDescent="0.2">
      <c r="A3788" s="6" t="str">
        <f>"KLF2"</f>
        <v>KLF2</v>
      </c>
      <c r="B3788" s="6">
        <v>4.2957042957042897E-2</v>
      </c>
      <c r="C3788" s="6">
        <v>0.18959176550937801</v>
      </c>
    </row>
    <row r="3789" spans="1:3" s="7" customFormat="1" x14ac:dyDescent="0.2">
      <c r="A3789" s="6" t="str">
        <f>"SKA3"</f>
        <v>SKA3</v>
      </c>
      <c r="B3789" s="6">
        <v>4.2999999999999997E-2</v>
      </c>
      <c r="C3789" s="6">
        <v>0.18963113456464301</v>
      </c>
    </row>
    <row r="3790" spans="1:3" s="7" customFormat="1" x14ac:dyDescent="0.2">
      <c r="A3790" s="6" t="str">
        <f>"DUOX1"</f>
        <v>DUOX1</v>
      </c>
      <c r="B3790" s="6">
        <v>4.2999999999999997E-2</v>
      </c>
      <c r="C3790" s="6">
        <v>0.18963113456464301</v>
      </c>
    </row>
    <row r="3791" spans="1:3" s="7" customFormat="1" x14ac:dyDescent="0.2">
      <c r="A3791" s="6" t="str">
        <f>"IRF2"</f>
        <v>IRF2</v>
      </c>
      <c r="B3791" s="6">
        <v>4.2999999999999997E-2</v>
      </c>
      <c r="C3791" s="6">
        <v>0.18963113456464301</v>
      </c>
    </row>
    <row r="3792" spans="1:3" s="7" customFormat="1" x14ac:dyDescent="0.2">
      <c r="A3792" s="6" t="str">
        <f>"AC008875.2"</f>
        <v>AC008875.2</v>
      </c>
      <c r="B3792" s="6">
        <v>4.3172690763052197E-2</v>
      </c>
      <c r="C3792" s="6">
        <v>0.19034248309513399</v>
      </c>
    </row>
    <row r="3793" spans="1:3" s="7" customFormat="1" x14ac:dyDescent="0.2">
      <c r="A3793" s="6" t="str">
        <f>"AC011498.4"</f>
        <v>AC011498.4</v>
      </c>
      <c r="B3793" s="6">
        <v>4.3956043956043897E-2</v>
      </c>
      <c r="C3793" s="6">
        <v>0.19136507936507899</v>
      </c>
    </row>
    <row r="3794" spans="1:3" s="7" customFormat="1" x14ac:dyDescent="0.2">
      <c r="A3794" s="6" t="str">
        <f>"IGKV1-33"</f>
        <v>IGKV1-33</v>
      </c>
      <c r="B3794" s="6">
        <v>4.3956043956043897E-2</v>
      </c>
      <c r="C3794" s="6">
        <v>0.19136507936507899</v>
      </c>
    </row>
    <row r="3795" spans="1:3" s="7" customFormat="1" x14ac:dyDescent="0.2">
      <c r="A3795" s="6" t="str">
        <f>"ZNF788P"</f>
        <v>ZNF788P</v>
      </c>
      <c r="B3795" s="6">
        <v>4.3999999999999997E-2</v>
      </c>
      <c r="C3795" s="6">
        <v>0.19136507936507899</v>
      </c>
    </row>
    <row r="3796" spans="1:3" s="7" customFormat="1" x14ac:dyDescent="0.2">
      <c r="A3796" s="6" t="str">
        <f>"RAP1GAP"</f>
        <v>RAP1GAP</v>
      </c>
      <c r="B3796" s="6">
        <v>4.3956043956043897E-2</v>
      </c>
      <c r="C3796" s="6">
        <v>0.19136507936507899</v>
      </c>
    </row>
    <row r="3797" spans="1:3" s="7" customFormat="1" x14ac:dyDescent="0.2">
      <c r="A3797" s="6" t="str">
        <f>"NTRK3"</f>
        <v>NTRK3</v>
      </c>
      <c r="B3797" s="6">
        <v>4.3956043956043897E-2</v>
      </c>
      <c r="C3797" s="6">
        <v>0.19136507936507899</v>
      </c>
    </row>
    <row r="3798" spans="1:3" s="7" customFormat="1" x14ac:dyDescent="0.2">
      <c r="A3798" s="6" t="str">
        <f>"XAF1"</f>
        <v>XAF1</v>
      </c>
      <c r="B3798" s="6">
        <v>4.3956043956043897E-2</v>
      </c>
      <c r="C3798" s="6">
        <v>0.19136507936507899</v>
      </c>
    </row>
    <row r="3799" spans="1:3" s="7" customFormat="1" x14ac:dyDescent="0.2">
      <c r="A3799" s="6" t="str">
        <f>"AL118516.1"</f>
        <v>AL118516.1</v>
      </c>
      <c r="B3799" s="6">
        <v>4.3956043956043897E-2</v>
      </c>
      <c r="C3799" s="6">
        <v>0.19136507936507899</v>
      </c>
    </row>
    <row r="3800" spans="1:3" s="7" customFormat="1" x14ac:dyDescent="0.2">
      <c r="A3800" s="6" t="str">
        <f>"ZNF551"</f>
        <v>ZNF551</v>
      </c>
      <c r="B3800" s="6">
        <v>4.3956043956043897E-2</v>
      </c>
      <c r="C3800" s="6">
        <v>0.19136507936507899</v>
      </c>
    </row>
    <row r="3801" spans="1:3" s="7" customFormat="1" x14ac:dyDescent="0.2">
      <c r="A3801" s="6" t="str">
        <f>"AL357673.2"</f>
        <v>AL357673.2</v>
      </c>
      <c r="B3801" s="6">
        <v>4.3999999999999997E-2</v>
      </c>
      <c r="C3801" s="6">
        <v>0.19136507936507899</v>
      </c>
    </row>
    <row r="3802" spans="1:3" s="7" customFormat="1" x14ac:dyDescent="0.2">
      <c r="A3802" s="6" t="str">
        <f>"AC069360.1"</f>
        <v>AC069360.1</v>
      </c>
      <c r="B3802" s="6">
        <v>4.3478260869565202E-2</v>
      </c>
      <c r="C3802" s="6">
        <v>0.19136507936507899</v>
      </c>
    </row>
    <row r="3803" spans="1:3" s="7" customFormat="1" x14ac:dyDescent="0.2">
      <c r="A3803" s="6" t="str">
        <f>"NSG1"</f>
        <v>NSG1</v>
      </c>
      <c r="B3803" s="6">
        <v>4.3956043956043897E-2</v>
      </c>
      <c r="C3803" s="6">
        <v>0.19136507936507899</v>
      </c>
    </row>
    <row r="3804" spans="1:3" s="7" customFormat="1" x14ac:dyDescent="0.2">
      <c r="A3804" s="6" t="str">
        <f>"TMEM102"</f>
        <v>TMEM102</v>
      </c>
      <c r="B3804" s="6">
        <v>4.3956043956043897E-2</v>
      </c>
      <c r="C3804" s="6">
        <v>0.19136507936507899</v>
      </c>
    </row>
    <row r="3805" spans="1:3" s="7" customFormat="1" x14ac:dyDescent="0.2">
      <c r="A3805" s="6" t="str">
        <f>"FAM151B"</f>
        <v>FAM151B</v>
      </c>
      <c r="B3805" s="6">
        <v>4.3956043956043897E-2</v>
      </c>
      <c r="C3805" s="6">
        <v>0.19136507936507899</v>
      </c>
    </row>
    <row r="3806" spans="1:3" s="7" customFormat="1" x14ac:dyDescent="0.2">
      <c r="A3806" s="6" t="str">
        <f>"HDC"</f>
        <v>HDC</v>
      </c>
      <c r="B3806" s="6">
        <v>4.3956043956043897E-2</v>
      </c>
      <c r="C3806" s="6">
        <v>0.19136507936507899</v>
      </c>
    </row>
    <row r="3807" spans="1:3" s="7" customFormat="1" x14ac:dyDescent="0.2">
      <c r="A3807" s="6" t="str">
        <f>"TRMT10C"</f>
        <v>TRMT10C</v>
      </c>
      <c r="B3807" s="6">
        <v>4.3956043956043897E-2</v>
      </c>
      <c r="C3807" s="6">
        <v>0.19136507936507899</v>
      </c>
    </row>
    <row r="3808" spans="1:3" s="7" customFormat="1" x14ac:dyDescent="0.2">
      <c r="A3808" s="6" t="str">
        <f>"PRRT1B"</f>
        <v>PRRT1B</v>
      </c>
      <c r="B3808" s="6">
        <v>4.3956043956043897E-2</v>
      </c>
      <c r="C3808" s="6">
        <v>0.19136507936507899</v>
      </c>
    </row>
    <row r="3809" spans="1:3" s="7" customFormat="1" x14ac:dyDescent="0.2">
      <c r="A3809" s="6" t="str">
        <f>"PSMD10"</f>
        <v>PSMD10</v>
      </c>
      <c r="B3809" s="6">
        <v>4.3999999999999997E-2</v>
      </c>
      <c r="C3809" s="6">
        <v>0.19136507936507899</v>
      </c>
    </row>
    <row r="3810" spans="1:3" s="7" customFormat="1" x14ac:dyDescent="0.2">
      <c r="A3810" s="6" t="str">
        <f>"ANGPT1"</f>
        <v>ANGPT1</v>
      </c>
      <c r="B3810" s="6">
        <v>4.3956043956043897E-2</v>
      </c>
      <c r="C3810" s="6">
        <v>0.19136507936507899</v>
      </c>
    </row>
    <row r="3811" spans="1:3" s="7" customFormat="1" x14ac:dyDescent="0.2">
      <c r="A3811" s="6" t="str">
        <f>"ACTBP13"</f>
        <v>ACTBP13</v>
      </c>
      <c r="B3811" s="6">
        <v>4.3956043956043897E-2</v>
      </c>
      <c r="C3811" s="6">
        <v>0.19136507936507899</v>
      </c>
    </row>
    <row r="3812" spans="1:3" s="7" customFormat="1" x14ac:dyDescent="0.2">
      <c r="A3812" s="6" t="str">
        <f>"AC090061.1"</f>
        <v>AC090061.1</v>
      </c>
      <c r="B3812" s="6">
        <v>4.3956043956043897E-2</v>
      </c>
      <c r="C3812" s="6">
        <v>0.19136507936507899</v>
      </c>
    </row>
    <row r="3813" spans="1:3" s="7" customFormat="1" x14ac:dyDescent="0.2">
      <c r="A3813" s="6" t="str">
        <f>"HLA-F"</f>
        <v>HLA-F</v>
      </c>
      <c r="B3813" s="6">
        <v>4.3956043956043897E-2</v>
      </c>
      <c r="C3813" s="6">
        <v>0.19136507936507899</v>
      </c>
    </row>
    <row r="3814" spans="1:3" s="7" customFormat="1" x14ac:dyDescent="0.2">
      <c r="A3814" s="6" t="str">
        <f>"ISLR"</f>
        <v>ISLR</v>
      </c>
      <c r="B3814" s="6">
        <v>4.3956043956043897E-2</v>
      </c>
      <c r="C3814" s="6">
        <v>0.19136507936507899</v>
      </c>
    </row>
    <row r="3815" spans="1:3" s="7" customFormat="1" x14ac:dyDescent="0.2">
      <c r="A3815" s="6" t="str">
        <f>"DDHD1"</f>
        <v>DDHD1</v>
      </c>
      <c r="B3815" s="6">
        <v>4.3956043956043897E-2</v>
      </c>
      <c r="C3815" s="6">
        <v>0.19136507936507899</v>
      </c>
    </row>
    <row r="3816" spans="1:3" s="7" customFormat="1" x14ac:dyDescent="0.2">
      <c r="A3816" s="6" t="str">
        <f>"ARHGAP42"</f>
        <v>ARHGAP42</v>
      </c>
      <c r="B3816" s="6">
        <v>4.3956043956043897E-2</v>
      </c>
      <c r="C3816" s="6">
        <v>0.19136507936507899</v>
      </c>
    </row>
    <row r="3817" spans="1:3" s="7" customFormat="1" x14ac:dyDescent="0.2">
      <c r="A3817" s="6" t="str">
        <f>"LINC01607"</f>
        <v>LINC01607</v>
      </c>
      <c r="B3817" s="6">
        <v>4.3956043956043897E-2</v>
      </c>
      <c r="C3817" s="6">
        <v>0.19136507936507899</v>
      </c>
    </row>
    <row r="3818" spans="1:3" s="7" customFormat="1" x14ac:dyDescent="0.2">
      <c r="A3818" s="6" t="str">
        <f>"ATP6V0A1"</f>
        <v>ATP6V0A1</v>
      </c>
      <c r="B3818" s="6">
        <v>4.3956043956043897E-2</v>
      </c>
      <c r="C3818" s="6">
        <v>0.19136507936507899</v>
      </c>
    </row>
    <row r="3819" spans="1:3" s="7" customFormat="1" x14ac:dyDescent="0.2">
      <c r="A3819" s="6" t="str">
        <f>"ATP5PB"</f>
        <v>ATP5PB</v>
      </c>
      <c r="B3819" s="6">
        <v>4.3956043956043897E-2</v>
      </c>
      <c r="C3819" s="6">
        <v>0.19136507936507899</v>
      </c>
    </row>
    <row r="3820" spans="1:3" s="7" customFormat="1" x14ac:dyDescent="0.2">
      <c r="A3820" s="6" t="str">
        <f>"CLEC12A"</f>
        <v>CLEC12A</v>
      </c>
      <c r="B3820" s="6">
        <v>4.3956043956043897E-2</v>
      </c>
      <c r="C3820" s="6">
        <v>0.19136507936507899</v>
      </c>
    </row>
    <row r="3821" spans="1:3" s="7" customFormat="1" x14ac:dyDescent="0.2">
      <c r="A3821" s="6" t="str">
        <f>"CDC5L"</f>
        <v>CDC5L</v>
      </c>
      <c r="B3821" s="6">
        <v>4.3956043956043897E-2</v>
      </c>
      <c r="C3821" s="6">
        <v>0.19136507936507899</v>
      </c>
    </row>
    <row r="3822" spans="1:3" s="7" customFormat="1" x14ac:dyDescent="0.2">
      <c r="A3822" s="6" t="str">
        <f>"EVPLL"</f>
        <v>EVPLL</v>
      </c>
      <c r="B3822" s="6">
        <v>4.3956043956043897E-2</v>
      </c>
      <c r="C3822" s="6">
        <v>0.19136507936507899</v>
      </c>
    </row>
    <row r="3823" spans="1:3" s="7" customFormat="1" x14ac:dyDescent="0.2">
      <c r="A3823" s="6" t="str">
        <f>"GNPAT"</f>
        <v>GNPAT</v>
      </c>
      <c r="B3823" s="6">
        <v>4.3956043956043897E-2</v>
      </c>
      <c r="C3823" s="6">
        <v>0.19136507936507899</v>
      </c>
    </row>
    <row r="3824" spans="1:3" s="7" customFormat="1" x14ac:dyDescent="0.2">
      <c r="A3824" s="6" t="str">
        <f>"FRMPD2B"</f>
        <v>FRMPD2B</v>
      </c>
      <c r="B3824" s="6">
        <v>4.3956043956043897E-2</v>
      </c>
      <c r="C3824" s="6">
        <v>0.19136507936507899</v>
      </c>
    </row>
    <row r="3825" spans="1:3" s="7" customFormat="1" x14ac:dyDescent="0.2">
      <c r="A3825" s="6" t="str">
        <f>"NAPRT"</f>
        <v>NAPRT</v>
      </c>
      <c r="B3825" s="6">
        <v>4.3956043956043897E-2</v>
      </c>
      <c r="C3825" s="6">
        <v>0.19136507936507899</v>
      </c>
    </row>
    <row r="3826" spans="1:3" s="7" customFormat="1" x14ac:dyDescent="0.2">
      <c r="A3826" s="6" t="str">
        <f>"GOLGA8A"</f>
        <v>GOLGA8A</v>
      </c>
      <c r="B3826" s="6">
        <v>4.3956043956043897E-2</v>
      </c>
      <c r="C3826" s="6">
        <v>0.19136507936507899</v>
      </c>
    </row>
    <row r="3827" spans="1:3" s="7" customFormat="1" x14ac:dyDescent="0.2">
      <c r="A3827" s="6" t="str">
        <f>"PARVA"</f>
        <v>PARVA</v>
      </c>
      <c r="B3827" s="6">
        <v>4.3956043956043897E-2</v>
      </c>
      <c r="C3827" s="6">
        <v>0.19136507936507899</v>
      </c>
    </row>
    <row r="3828" spans="1:3" s="7" customFormat="1" x14ac:dyDescent="0.2">
      <c r="A3828" s="6" t="str">
        <f>"RPF1"</f>
        <v>RPF1</v>
      </c>
      <c r="B3828" s="6">
        <v>4.3956043956043897E-2</v>
      </c>
      <c r="C3828" s="6">
        <v>0.19136507936507899</v>
      </c>
    </row>
    <row r="3829" spans="1:3" s="7" customFormat="1" x14ac:dyDescent="0.2">
      <c r="A3829" s="6" t="str">
        <f>"AC002460.2"</f>
        <v>AC002460.2</v>
      </c>
      <c r="B3829" s="6">
        <v>4.3956043956043897E-2</v>
      </c>
      <c r="C3829" s="6">
        <v>0.19136507936507899</v>
      </c>
    </row>
    <row r="3830" spans="1:3" s="7" customFormat="1" x14ac:dyDescent="0.2">
      <c r="A3830" s="6" t="str">
        <f>"KRT17P5"</f>
        <v>KRT17P5</v>
      </c>
      <c r="B3830" s="6">
        <v>4.3956043956043897E-2</v>
      </c>
      <c r="C3830" s="6">
        <v>0.19136507936507899</v>
      </c>
    </row>
    <row r="3831" spans="1:3" s="7" customFormat="1" x14ac:dyDescent="0.2">
      <c r="A3831" s="6" t="str">
        <f>"KIAA0586"</f>
        <v>KIAA0586</v>
      </c>
      <c r="B3831" s="6">
        <v>4.3999999999999997E-2</v>
      </c>
      <c r="C3831" s="6">
        <v>0.19136507936507899</v>
      </c>
    </row>
    <row r="3832" spans="1:3" s="7" customFormat="1" x14ac:dyDescent="0.2">
      <c r="A3832" s="6" t="str">
        <f>"AC008278.2"</f>
        <v>AC008278.2</v>
      </c>
      <c r="B3832" s="6">
        <v>4.3999999999999997E-2</v>
      </c>
      <c r="C3832" s="6">
        <v>0.19136507936507899</v>
      </c>
    </row>
    <row r="3833" spans="1:3" s="7" customFormat="1" x14ac:dyDescent="0.2">
      <c r="A3833" s="6" t="str">
        <f>"CD59"</f>
        <v>CD59</v>
      </c>
      <c r="B3833" s="6">
        <v>4.3956043956043897E-2</v>
      </c>
      <c r="C3833" s="6">
        <v>0.19136507936507899</v>
      </c>
    </row>
    <row r="3834" spans="1:3" s="7" customFormat="1" x14ac:dyDescent="0.2">
      <c r="A3834" s="6" t="str">
        <f>"RNF208"</f>
        <v>RNF208</v>
      </c>
      <c r="B3834" s="6">
        <v>4.3956043956043897E-2</v>
      </c>
      <c r="C3834" s="6">
        <v>0.19136507936507899</v>
      </c>
    </row>
    <row r="3835" spans="1:3" s="7" customFormat="1" x14ac:dyDescent="0.2">
      <c r="A3835" s="6" t="str">
        <f>"AC010624.1"</f>
        <v>AC010624.1</v>
      </c>
      <c r="B3835" s="6">
        <v>4.3956043956043897E-2</v>
      </c>
      <c r="C3835" s="6">
        <v>0.19136507936507899</v>
      </c>
    </row>
    <row r="3836" spans="1:3" s="7" customFormat="1" x14ac:dyDescent="0.2">
      <c r="A3836" s="6" t="str">
        <f>"LRRC46"</f>
        <v>LRRC46</v>
      </c>
      <c r="B3836" s="6">
        <v>4.3956043956043897E-2</v>
      </c>
      <c r="C3836" s="6">
        <v>0.19136507936507899</v>
      </c>
    </row>
    <row r="3837" spans="1:3" s="7" customFormat="1" x14ac:dyDescent="0.2">
      <c r="A3837" s="6" t="str">
        <f>"CCDC114"</f>
        <v>CCDC114</v>
      </c>
      <c r="B3837" s="6">
        <v>4.3956043956043897E-2</v>
      </c>
      <c r="C3837" s="6">
        <v>0.19136507936507899</v>
      </c>
    </row>
    <row r="3838" spans="1:3" s="7" customFormat="1" x14ac:dyDescent="0.2">
      <c r="A3838" s="6" t="str">
        <f>"NKG7"</f>
        <v>NKG7</v>
      </c>
      <c r="B3838" s="6">
        <v>4.3956043956043897E-2</v>
      </c>
      <c r="C3838" s="6">
        <v>0.19136507936507899</v>
      </c>
    </row>
    <row r="3839" spans="1:3" s="7" customFormat="1" x14ac:dyDescent="0.2">
      <c r="A3839" s="6" t="str">
        <f>"MARVELD3"</f>
        <v>MARVELD3</v>
      </c>
      <c r="B3839" s="6">
        <v>4.3956043956043897E-2</v>
      </c>
      <c r="C3839" s="6">
        <v>0.19136507936507899</v>
      </c>
    </row>
    <row r="3840" spans="1:3" s="7" customFormat="1" x14ac:dyDescent="0.2">
      <c r="A3840" s="6" t="str">
        <f>"WWOX"</f>
        <v>WWOX</v>
      </c>
      <c r="B3840" s="6">
        <v>4.3956043956043897E-2</v>
      </c>
      <c r="C3840" s="6">
        <v>0.19136507936507899</v>
      </c>
    </row>
    <row r="3841" spans="1:3" s="7" customFormat="1" x14ac:dyDescent="0.2">
      <c r="A3841" s="6" t="str">
        <f>"FAM81A"</f>
        <v>FAM81A</v>
      </c>
      <c r="B3841" s="6">
        <v>4.3956043956043897E-2</v>
      </c>
      <c r="C3841" s="6">
        <v>0.19136507936507899</v>
      </c>
    </row>
    <row r="3842" spans="1:3" s="7" customFormat="1" x14ac:dyDescent="0.2">
      <c r="A3842" s="6" t="str">
        <f>"MRPL57"</f>
        <v>MRPL57</v>
      </c>
      <c r="B3842" s="6">
        <v>4.3956043956043897E-2</v>
      </c>
      <c r="C3842" s="6">
        <v>0.19136507936507899</v>
      </c>
    </row>
    <row r="3843" spans="1:3" s="7" customFormat="1" x14ac:dyDescent="0.2">
      <c r="A3843" s="6" t="str">
        <f>"NDUFA2"</f>
        <v>NDUFA2</v>
      </c>
      <c r="B3843" s="6">
        <v>4.3999999999999997E-2</v>
      </c>
      <c r="C3843" s="6">
        <v>0.19136507936507899</v>
      </c>
    </row>
    <row r="3844" spans="1:3" s="7" customFormat="1" x14ac:dyDescent="0.2">
      <c r="A3844" s="6" t="str">
        <f>"MYH14"</f>
        <v>MYH14</v>
      </c>
      <c r="B3844" s="6">
        <v>4.3956043956043897E-2</v>
      </c>
      <c r="C3844" s="6">
        <v>0.19136507936507899</v>
      </c>
    </row>
    <row r="3845" spans="1:3" s="7" customFormat="1" x14ac:dyDescent="0.2">
      <c r="A3845" s="6" t="str">
        <f>"LINC01990"</f>
        <v>LINC01990</v>
      </c>
      <c r="B3845" s="6">
        <v>4.4221105527638097E-2</v>
      </c>
      <c r="C3845" s="6">
        <v>0.192276679965906</v>
      </c>
    </row>
    <row r="3846" spans="1:3" s="7" customFormat="1" x14ac:dyDescent="0.2">
      <c r="A3846" s="6" t="str">
        <f>"DDIT3"</f>
        <v>DDIT3</v>
      </c>
      <c r="B3846" s="6">
        <v>4.4955044955044897E-2</v>
      </c>
      <c r="C3846" s="6">
        <v>0.19340505054790699</v>
      </c>
    </row>
    <row r="3847" spans="1:3" s="7" customFormat="1" x14ac:dyDescent="0.2">
      <c r="A3847" s="6" t="str">
        <f>"ST3GAL2"</f>
        <v>ST3GAL2</v>
      </c>
      <c r="B3847" s="6">
        <v>4.4955044955044897E-2</v>
      </c>
      <c r="C3847" s="6">
        <v>0.19340505054790699</v>
      </c>
    </row>
    <row r="3848" spans="1:3" s="7" customFormat="1" x14ac:dyDescent="0.2">
      <c r="A3848" s="6" t="str">
        <f>"AC005523.2"</f>
        <v>AC005523.2</v>
      </c>
      <c r="B3848" s="6">
        <v>4.46521287642783E-2</v>
      </c>
      <c r="C3848" s="6">
        <v>0.19340505054790699</v>
      </c>
    </row>
    <row r="3849" spans="1:3" s="7" customFormat="1" x14ac:dyDescent="0.2">
      <c r="A3849" s="6" t="str">
        <f>"PLAGL2"</f>
        <v>PLAGL2</v>
      </c>
      <c r="B3849" s="6">
        <v>4.4955044955044897E-2</v>
      </c>
      <c r="C3849" s="6">
        <v>0.19340505054790699</v>
      </c>
    </row>
    <row r="3850" spans="1:3" s="7" customFormat="1" x14ac:dyDescent="0.2">
      <c r="A3850" s="6" t="str">
        <f>"RSF1"</f>
        <v>RSF1</v>
      </c>
      <c r="B3850" s="6">
        <v>4.4955044955044897E-2</v>
      </c>
      <c r="C3850" s="6">
        <v>0.19340505054790699</v>
      </c>
    </row>
    <row r="3851" spans="1:3" s="7" customFormat="1" x14ac:dyDescent="0.2">
      <c r="A3851" s="6" t="str">
        <f>"RASSF8"</f>
        <v>RASSF8</v>
      </c>
      <c r="B3851" s="6">
        <v>4.4955044955044897E-2</v>
      </c>
      <c r="C3851" s="6">
        <v>0.19340505054790699</v>
      </c>
    </row>
    <row r="3852" spans="1:3" s="7" customFormat="1" x14ac:dyDescent="0.2">
      <c r="A3852" s="6" t="str">
        <f>"AC005329.1"</f>
        <v>AC005329.1</v>
      </c>
      <c r="B3852" s="6">
        <v>4.4955044955044897E-2</v>
      </c>
      <c r="C3852" s="6">
        <v>0.19340505054790699</v>
      </c>
    </row>
    <row r="3853" spans="1:3" s="7" customFormat="1" x14ac:dyDescent="0.2">
      <c r="A3853" s="6" t="str">
        <f>"NBPF3"</f>
        <v>NBPF3</v>
      </c>
      <c r="B3853" s="6">
        <v>4.4955044955044897E-2</v>
      </c>
      <c r="C3853" s="6">
        <v>0.19340505054790699</v>
      </c>
    </row>
    <row r="3854" spans="1:3" s="7" customFormat="1" x14ac:dyDescent="0.2">
      <c r="A3854" s="6" t="str">
        <f>"NRIR"</f>
        <v>NRIR</v>
      </c>
      <c r="B3854" s="6">
        <v>4.4955044955044897E-2</v>
      </c>
      <c r="C3854" s="6">
        <v>0.19340505054790699</v>
      </c>
    </row>
    <row r="3855" spans="1:3" s="7" customFormat="1" x14ac:dyDescent="0.2">
      <c r="A3855" s="6" t="str">
        <f>"C6orf15"</f>
        <v>C6orf15</v>
      </c>
      <c r="B3855" s="6">
        <v>4.4955044955044897E-2</v>
      </c>
      <c r="C3855" s="6">
        <v>0.19340505054790699</v>
      </c>
    </row>
    <row r="3856" spans="1:3" s="7" customFormat="1" x14ac:dyDescent="0.2">
      <c r="A3856" s="6" t="str">
        <f>"DIRAS3"</f>
        <v>DIRAS3</v>
      </c>
      <c r="B3856" s="6">
        <v>4.4955044955044897E-2</v>
      </c>
      <c r="C3856" s="6">
        <v>0.19340505054790699</v>
      </c>
    </row>
    <row r="3857" spans="1:3" s="7" customFormat="1" x14ac:dyDescent="0.2">
      <c r="A3857" s="6" t="str">
        <f>"NUDT16L1"</f>
        <v>NUDT16L1</v>
      </c>
      <c r="B3857" s="6">
        <v>4.4955044955044897E-2</v>
      </c>
      <c r="C3857" s="6">
        <v>0.19340505054790699</v>
      </c>
    </row>
    <row r="3858" spans="1:3" s="7" customFormat="1" x14ac:dyDescent="0.2">
      <c r="A3858" s="6" t="str">
        <f>"ZNHIT1"</f>
        <v>ZNHIT1</v>
      </c>
      <c r="B3858" s="6">
        <v>4.4955044955044897E-2</v>
      </c>
      <c r="C3858" s="6">
        <v>0.19340505054790699</v>
      </c>
    </row>
    <row r="3859" spans="1:3" s="7" customFormat="1" x14ac:dyDescent="0.2">
      <c r="A3859" s="6" t="str">
        <f>"WBP1L"</f>
        <v>WBP1L</v>
      </c>
      <c r="B3859" s="6">
        <v>4.4955044955044897E-2</v>
      </c>
      <c r="C3859" s="6">
        <v>0.19340505054790699</v>
      </c>
    </row>
    <row r="3860" spans="1:3" s="7" customFormat="1" x14ac:dyDescent="0.2">
      <c r="A3860" s="6" t="str">
        <f>"AC016773.1"</f>
        <v>AC016773.1</v>
      </c>
      <c r="B3860" s="6">
        <v>4.4955044955044897E-2</v>
      </c>
      <c r="C3860" s="6">
        <v>0.19340505054790699</v>
      </c>
    </row>
    <row r="3861" spans="1:3" s="7" customFormat="1" x14ac:dyDescent="0.2">
      <c r="A3861" s="6" t="str">
        <f>"DAPK1"</f>
        <v>DAPK1</v>
      </c>
      <c r="B3861" s="6">
        <v>4.4955044955044897E-2</v>
      </c>
      <c r="C3861" s="6">
        <v>0.19340505054790699</v>
      </c>
    </row>
    <row r="3862" spans="1:3" s="7" customFormat="1" x14ac:dyDescent="0.2">
      <c r="A3862" s="6" t="str">
        <f>"ZFP37"</f>
        <v>ZFP37</v>
      </c>
      <c r="B3862" s="6">
        <v>4.4955044955044897E-2</v>
      </c>
      <c r="C3862" s="6">
        <v>0.19340505054790699</v>
      </c>
    </row>
    <row r="3863" spans="1:3" s="7" customFormat="1" x14ac:dyDescent="0.2">
      <c r="A3863" s="6" t="str">
        <f>"LAMA5"</f>
        <v>LAMA5</v>
      </c>
      <c r="B3863" s="6">
        <v>4.4955044955044897E-2</v>
      </c>
      <c r="C3863" s="6">
        <v>0.19340505054790699</v>
      </c>
    </row>
    <row r="3864" spans="1:3" s="7" customFormat="1" x14ac:dyDescent="0.2">
      <c r="A3864" s="6" t="str">
        <f>"SLC25A25"</f>
        <v>SLC25A25</v>
      </c>
      <c r="B3864" s="6">
        <v>4.4955044955044897E-2</v>
      </c>
      <c r="C3864" s="6">
        <v>0.19340505054790699</v>
      </c>
    </row>
    <row r="3865" spans="1:3" s="7" customFormat="1" x14ac:dyDescent="0.2">
      <c r="A3865" s="6" t="str">
        <f>"FBXO32"</f>
        <v>FBXO32</v>
      </c>
      <c r="B3865" s="6">
        <v>4.4955044955044897E-2</v>
      </c>
      <c r="C3865" s="6">
        <v>0.19340505054790699</v>
      </c>
    </row>
    <row r="3866" spans="1:3" s="7" customFormat="1" x14ac:dyDescent="0.2">
      <c r="A3866" s="6" t="str">
        <f>"STN1"</f>
        <v>STN1</v>
      </c>
      <c r="B3866" s="6">
        <v>4.4955044955044897E-2</v>
      </c>
      <c r="C3866" s="6">
        <v>0.19340505054790699</v>
      </c>
    </row>
    <row r="3867" spans="1:3" s="7" customFormat="1" x14ac:dyDescent="0.2">
      <c r="A3867" s="6" t="str">
        <f>"OLIG1"</f>
        <v>OLIG1</v>
      </c>
      <c r="B3867" s="6">
        <v>4.4955044955044897E-2</v>
      </c>
      <c r="C3867" s="6">
        <v>0.19340505054790699</v>
      </c>
    </row>
    <row r="3868" spans="1:3" s="7" customFormat="1" x14ac:dyDescent="0.2">
      <c r="A3868" s="6" t="str">
        <f>"ARHGEF10L"</f>
        <v>ARHGEF10L</v>
      </c>
      <c r="B3868" s="6">
        <v>4.4955044955044897E-2</v>
      </c>
      <c r="C3868" s="6">
        <v>0.19340505054790699</v>
      </c>
    </row>
    <row r="3869" spans="1:3" s="7" customFormat="1" x14ac:dyDescent="0.2">
      <c r="A3869" s="6" t="str">
        <f>"SH2D1B"</f>
        <v>SH2D1B</v>
      </c>
      <c r="B3869" s="6">
        <v>4.4955044955044897E-2</v>
      </c>
      <c r="C3869" s="6">
        <v>0.19340505054790699</v>
      </c>
    </row>
    <row r="3870" spans="1:3" s="7" customFormat="1" x14ac:dyDescent="0.2">
      <c r="A3870" s="6" t="str">
        <f>"HJURP"</f>
        <v>HJURP</v>
      </c>
      <c r="B3870" s="6">
        <v>4.4955044955044897E-2</v>
      </c>
      <c r="C3870" s="6">
        <v>0.19340505054790699</v>
      </c>
    </row>
    <row r="3871" spans="1:3" s="7" customFormat="1" x14ac:dyDescent="0.2">
      <c r="A3871" s="6" t="str">
        <f>"JAKMIP2-AS1"</f>
        <v>JAKMIP2-AS1</v>
      </c>
      <c r="B3871" s="6">
        <v>4.4955044955044897E-2</v>
      </c>
      <c r="C3871" s="6">
        <v>0.19340505054790699</v>
      </c>
    </row>
    <row r="3872" spans="1:3" s="7" customFormat="1" x14ac:dyDescent="0.2">
      <c r="A3872" s="6" t="str">
        <f>"CFAP299"</f>
        <v>CFAP299</v>
      </c>
      <c r="B3872" s="6">
        <v>4.4955044955044897E-2</v>
      </c>
      <c r="C3872" s="6">
        <v>0.19340505054790699</v>
      </c>
    </row>
    <row r="3873" spans="1:3" s="7" customFormat="1" x14ac:dyDescent="0.2">
      <c r="A3873" s="6" t="str">
        <f>"DCDC1"</f>
        <v>DCDC1</v>
      </c>
      <c r="B3873" s="6">
        <v>4.4955044955044897E-2</v>
      </c>
      <c r="C3873" s="6">
        <v>0.19340505054790699</v>
      </c>
    </row>
    <row r="3874" spans="1:3" s="7" customFormat="1" x14ac:dyDescent="0.2">
      <c r="A3874" s="6" t="str">
        <f>"PCAT14"</f>
        <v>PCAT14</v>
      </c>
      <c r="B3874" s="6">
        <v>4.4955044955044897E-2</v>
      </c>
      <c r="C3874" s="6">
        <v>0.19340505054790699</v>
      </c>
    </row>
    <row r="3875" spans="1:3" s="7" customFormat="1" x14ac:dyDescent="0.2">
      <c r="A3875" s="6" t="str">
        <f>"ACSBG1"</f>
        <v>ACSBG1</v>
      </c>
      <c r="B3875" s="6">
        <v>4.4955044955044897E-2</v>
      </c>
      <c r="C3875" s="6">
        <v>0.19340505054790699</v>
      </c>
    </row>
    <row r="3876" spans="1:3" s="7" customFormat="1" x14ac:dyDescent="0.2">
      <c r="A3876" s="6" t="str">
        <f>"RCC2"</f>
        <v>RCC2</v>
      </c>
      <c r="B3876" s="6">
        <v>4.4955044955044897E-2</v>
      </c>
      <c r="C3876" s="6">
        <v>0.19340505054790699</v>
      </c>
    </row>
    <row r="3877" spans="1:3" s="7" customFormat="1" x14ac:dyDescent="0.2">
      <c r="A3877" s="6" t="str">
        <f>"KIAA0895L"</f>
        <v>KIAA0895L</v>
      </c>
      <c r="B3877" s="6">
        <v>4.4955044955044897E-2</v>
      </c>
      <c r="C3877" s="6">
        <v>0.19340505054790699</v>
      </c>
    </row>
    <row r="3878" spans="1:3" s="7" customFormat="1" x14ac:dyDescent="0.2">
      <c r="A3878" s="6" t="str">
        <f>"CCDC170"</f>
        <v>CCDC170</v>
      </c>
      <c r="B3878" s="6">
        <v>4.4955044955044897E-2</v>
      </c>
      <c r="C3878" s="6">
        <v>0.19340505054790699</v>
      </c>
    </row>
    <row r="3879" spans="1:3" s="7" customFormat="1" x14ac:dyDescent="0.2">
      <c r="A3879" s="6" t="str">
        <f>"ARMC4"</f>
        <v>ARMC4</v>
      </c>
      <c r="B3879" s="6">
        <v>4.4955044955044897E-2</v>
      </c>
      <c r="C3879" s="6">
        <v>0.19340505054790699</v>
      </c>
    </row>
    <row r="3880" spans="1:3" s="7" customFormat="1" x14ac:dyDescent="0.2">
      <c r="A3880" s="6" t="str">
        <f>"IRF6"</f>
        <v>IRF6</v>
      </c>
      <c r="B3880" s="6">
        <v>4.4955044955044897E-2</v>
      </c>
      <c r="C3880" s="6">
        <v>0.19340505054790699</v>
      </c>
    </row>
    <row r="3881" spans="1:3" s="7" customFormat="1" x14ac:dyDescent="0.2">
      <c r="A3881" s="6" t="str">
        <f>"STARD7-AS1"</f>
        <v>STARD7-AS1</v>
      </c>
      <c r="B3881" s="6">
        <v>4.4955044955044897E-2</v>
      </c>
      <c r="C3881" s="6">
        <v>0.19340505054790699</v>
      </c>
    </row>
    <row r="3882" spans="1:3" s="7" customFormat="1" x14ac:dyDescent="0.2">
      <c r="A3882" s="6" t="str">
        <f>"ZDHHC11B"</f>
        <v>ZDHHC11B</v>
      </c>
      <c r="B3882" s="6">
        <v>4.4955044955044897E-2</v>
      </c>
      <c r="C3882" s="6">
        <v>0.19340505054790699</v>
      </c>
    </row>
    <row r="3883" spans="1:3" s="7" customFormat="1" x14ac:dyDescent="0.2">
      <c r="A3883" s="6" t="str">
        <f>"SH2B1"</f>
        <v>SH2B1</v>
      </c>
      <c r="B3883" s="6">
        <v>4.4955044955044897E-2</v>
      </c>
      <c r="C3883" s="6">
        <v>0.19340505054790699</v>
      </c>
    </row>
    <row r="3884" spans="1:3" s="7" customFormat="1" x14ac:dyDescent="0.2">
      <c r="A3884" s="6" t="str">
        <f>"SMCO2"</f>
        <v>SMCO2</v>
      </c>
      <c r="B3884" s="6">
        <v>4.4955044955044897E-2</v>
      </c>
      <c r="C3884" s="6">
        <v>0.19340505054790699</v>
      </c>
    </row>
    <row r="3885" spans="1:3" s="7" customFormat="1" x14ac:dyDescent="0.2">
      <c r="A3885" s="6" t="str">
        <f>"CDC42"</f>
        <v>CDC42</v>
      </c>
      <c r="B3885" s="6">
        <v>4.4955044955044897E-2</v>
      </c>
      <c r="C3885" s="6">
        <v>0.19340505054790699</v>
      </c>
    </row>
    <row r="3886" spans="1:3" s="7" customFormat="1" x14ac:dyDescent="0.2">
      <c r="A3886" s="6" t="str">
        <f>"MIR1915HG"</f>
        <v>MIR1915HG</v>
      </c>
      <c r="B3886" s="6">
        <v>4.4955044955044897E-2</v>
      </c>
      <c r="C3886" s="6">
        <v>0.19340505054790699</v>
      </c>
    </row>
    <row r="3887" spans="1:3" s="7" customFormat="1" x14ac:dyDescent="0.2">
      <c r="A3887" s="6" t="str">
        <f>"CAMK2A"</f>
        <v>CAMK2A</v>
      </c>
      <c r="B3887" s="6">
        <v>4.4999999999999998E-2</v>
      </c>
      <c r="C3887" s="6">
        <v>0.193548636129696</v>
      </c>
    </row>
    <row r="3888" spans="1:3" s="7" customFormat="1" x14ac:dyDescent="0.2">
      <c r="A3888" s="6" t="str">
        <f>"CLEC5A"</f>
        <v>CLEC5A</v>
      </c>
      <c r="B3888" s="6">
        <v>4.5954045954045897E-2</v>
      </c>
      <c r="C3888" s="6">
        <v>0.19513807106598899</v>
      </c>
    </row>
    <row r="3889" spans="1:3" s="7" customFormat="1" x14ac:dyDescent="0.2">
      <c r="A3889" s="6" t="str">
        <f>"AL109806.1"</f>
        <v>AL109806.1</v>
      </c>
      <c r="B3889" s="6">
        <v>4.5954045954045897E-2</v>
      </c>
      <c r="C3889" s="6">
        <v>0.19513807106598899</v>
      </c>
    </row>
    <row r="3890" spans="1:3" s="7" customFormat="1" x14ac:dyDescent="0.2">
      <c r="A3890" s="6" t="str">
        <f>"FAM214B"</f>
        <v>FAM214B</v>
      </c>
      <c r="B3890" s="6">
        <v>4.5954045954045897E-2</v>
      </c>
      <c r="C3890" s="6">
        <v>0.19513807106598899</v>
      </c>
    </row>
    <row r="3891" spans="1:3" s="7" customFormat="1" x14ac:dyDescent="0.2">
      <c r="A3891" s="6" t="str">
        <f>"AURKA"</f>
        <v>AURKA</v>
      </c>
      <c r="B3891" s="6">
        <v>4.5999999999999999E-2</v>
      </c>
      <c r="C3891" s="6">
        <v>0.19513807106598899</v>
      </c>
    </row>
    <row r="3892" spans="1:3" s="7" customFormat="1" x14ac:dyDescent="0.2">
      <c r="A3892" s="6" t="str">
        <f>"ZMIZ1"</f>
        <v>ZMIZ1</v>
      </c>
      <c r="B3892" s="6">
        <v>4.5954045954045897E-2</v>
      </c>
      <c r="C3892" s="6">
        <v>0.19513807106598899</v>
      </c>
    </row>
    <row r="3893" spans="1:3" s="7" customFormat="1" x14ac:dyDescent="0.2">
      <c r="A3893" s="6" t="str">
        <f>"PGLYRP3"</f>
        <v>PGLYRP3</v>
      </c>
      <c r="B3893" s="6">
        <v>4.5954045954045897E-2</v>
      </c>
      <c r="C3893" s="6">
        <v>0.19513807106598899</v>
      </c>
    </row>
    <row r="3894" spans="1:3" s="7" customFormat="1" x14ac:dyDescent="0.2">
      <c r="A3894" s="6" t="str">
        <f>"AL359258.2"</f>
        <v>AL359258.2</v>
      </c>
      <c r="B3894" s="6">
        <v>4.5954045954045897E-2</v>
      </c>
      <c r="C3894" s="6">
        <v>0.19513807106598899</v>
      </c>
    </row>
    <row r="3895" spans="1:3" s="7" customFormat="1" x14ac:dyDescent="0.2">
      <c r="A3895" s="6" t="str">
        <f>"KRT14"</f>
        <v>KRT14</v>
      </c>
      <c r="B3895" s="6">
        <v>4.5954045954045897E-2</v>
      </c>
      <c r="C3895" s="6">
        <v>0.19513807106598899</v>
      </c>
    </row>
    <row r="3896" spans="1:3" s="7" customFormat="1" x14ac:dyDescent="0.2">
      <c r="A3896" s="6" t="str">
        <f>"PFAS"</f>
        <v>PFAS</v>
      </c>
      <c r="B3896" s="6">
        <v>4.5954045954045897E-2</v>
      </c>
      <c r="C3896" s="6">
        <v>0.19513807106598899</v>
      </c>
    </row>
    <row r="3897" spans="1:3" s="7" customFormat="1" x14ac:dyDescent="0.2">
      <c r="A3897" s="6" t="str">
        <f>"AC099563.2"</f>
        <v>AC099563.2</v>
      </c>
      <c r="B3897" s="6">
        <v>4.5954045954045897E-2</v>
      </c>
      <c r="C3897" s="6">
        <v>0.19513807106598899</v>
      </c>
    </row>
    <row r="3898" spans="1:3" s="7" customFormat="1" x14ac:dyDescent="0.2">
      <c r="A3898" s="6" t="str">
        <f>"AIG1"</f>
        <v>AIG1</v>
      </c>
      <c r="B3898" s="6">
        <v>4.5954045954045897E-2</v>
      </c>
      <c r="C3898" s="6">
        <v>0.19513807106598899</v>
      </c>
    </row>
    <row r="3899" spans="1:3" s="7" customFormat="1" x14ac:dyDescent="0.2">
      <c r="A3899" s="6" t="str">
        <f>"SPATA2"</f>
        <v>SPATA2</v>
      </c>
      <c r="B3899" s="6">
        <v>4.5954045954045897E-2</v>
      </c>
      <c r="C3899" s="6">
        <v>0.19513807106598899</v>
      </c>
    </row>
    <row r="3900" spans="1:3" s="7" customFormat="1" x14ac:dyDescent="0.2">
      <c r="A3900" s="6" t="str">
        <f>"LINC00662"</f>
        <v>LINC00662</v>
      </c>
      <c r="B3900" s="6">
        <v>4.5954045954045897E-2</v>
      </c>
      <c r="C3900" s="6">
        <v>0.19513807106598899</v>
      </c>
    </row>
    <row r="3901" spans="1:3" s="7" customFormat="1" x14ac:dyDescent="0.2">
      <c r="A3901" s="6" t="str">
        <f>"UBA3"</f>
        <v>UBA3</v>
      </c>
      <c r="B3901" s="6">
        <v>4.5954045954045897E-2</v>
      </c>
      <c r="C3901" s="6">
        <v>0.19513807106598899</v>
      </c>
    </row>
    <row r="3902" spans="1:3" s="7" customFormat="1" x14ac:dyDescent="0.2">
      <c r="A3902" s="6" t="str">
        <f>"RDM1"</f>
        <v>RDM1</v>
      </c>
      <c r="B3902" s="6">
        <v>4.5954045954045897E-2</v>
      </c>
      <c r="C3902" s="6">
        <v>0.19513807106598899</v>
      </c>
    </row>
    <row r="3903" spans="1:3" s="7" customFormat="1" x14ac:dyDescent="0.2">
      <c r="A3903" s="6" t="str">
        <f>"LINC00520"</f>
        <v>LINC00520</v>
      </c>
      <c r="B3903" s="6">
        <v>4.5954045954045897E-2</v>
      </c>
      <c r="C3903" s="6">
        <v>0.19513807106598899</v>
      </c>
    </row>
    <row r="3904" spans="1:3" s="7" customFormat="1" x14ac:dyDescent="0.2">
      <c r="A3904" s="6" t="str">
        <f>"OTOP2"</f>
        <v>OTOP2</v>
      </c>
      <c r="B3904" s="6">
        <v>4.5954045954045897E-2</v>
      </c>
      <c r="C3904" s="6">
        <v>0.19513807106598899</v>
      </c>
    </row>
    <row r="3905" spans="1:3" s="7" customFormat="1" x14ac:dyDescent="0.2">
      <c r="A3905" s="6" t="str">
        <f>"IKBKE"</f>
        <v>IKBKE</v>
      </c>
      <c r="B3905" s="6">
        <v>4.5954045954045897E-2</v>
      </c>
      <c r="C3905" s="6">
        <v>0.19513807106598899</v>
      </c>
    </row>
    <row r="3906" spans="1:3" s="7" customFormat="1" x14ac:dyDescent="0.2">
      <c r="A3906" s="6" t="str">
        <f>"PDE4C"</f>
        <v>PDE4C</v>
      </c>
      <c r="B3906" s="6">
        <v>4.5999999999999999E-2</v>
      </c>
      <c r="C3906" s="6">
        <v>0.19513807106598899</v>
      </c>
    </row>
    <row r="3907" spans="1:3" s="7" customFormat="1" x14ac:dyDescent="0.2">
      <c r="A3907" s="6" t="str">
        <f>"RARA-AS1"</f>
        <v>RARA-AS1</v>
      </c>
      <c r="B3907" s="6">
        <v>4.5954045954045897E-2</v>
      </c>
      <c r="C3907" s="6">
        <v>0.19513807106598899</v>
      </c>
    </row>
    <row r="3908" spans="1:3" s="7" customFormat="1" x14ac:dyDescent="0.2">
      <c r="A3908" s="6" t="str">
        <f>"ABCB10"</f>
        <v>ABCB10</v>
      </c>
      <c r="B3908" s="6">
        <v>4.5954045954045897E-2</v>
      </c>
      <c r="C3908" s="6">
        <v>0.19513807106598899</v>
      </c>
    </row>
    <row r="3909" spans="1:3" s="7" customFormat="1" x14ac:dyDescent="0.2">
      <c r="A3909" s="6" t="str">
        <f>"CMBL"</f>
        <v>CMBL</v>
      </c>
      <c r="B3909" s="6">
        <v>4.5954045954045897E-2</v>
      </c>
      <c r="C3909" s="6">
        <v>0.19513807106598899</v>
      </c>
    </row>
    <row r="3910" spans="1:3" s="7" customFormat="1" x14ac:dyDescent="0.2">
      <c r="A3910" s="6" t="str">
        <f>"CPNE4"</f>
        <v>CPNE4</v>
      </c>
      <c r="B3910" s="6">
        <v>4.5954045954045897E-2</v>
      </c>
      <c r="C3910" s="6">
        <v>0.19513807106598899</v>
      </c>
    </row>
    <row r="3911" spans="1:3" s="7" customFormat="1" x14ac:dyDescent="0.2">
      <c r="A3911" s="6" t="str">
        <f>"AC134772.1"</f>
        <v>AC134772.1</v>
      </c>
      <c r="B3911" s="6">
        <v>4.5999999999999999E-2</v>
      </c>
      <c r="C3911" s="6">
        <v>0.19513807106598899</v>
      </c>
    </row>
    <row r="3912" spans="1:3" s="7" customFormat="1" x14ac:dyDescent="0.2">
      <c r="A3912" s="6" t="str">
        <f>"PDZRN4"</f>
        <v>PDZRN4</v>
      </c>
      <c r="B3912" s="6">
        <v>4.5999999999999999E-2</v>
      </c>
      <c r="C3912" s="6">
        <v>0.19513807106598899</v>
      </c>
    </row>
    <row r="3913" spans="1:3" s="7" customFormat="1" x14ac:dyDescent="0.2">
      <c r="A3913" s="6" t="str">
        <f>"ZNF197"</f>
        <v>ZNF197</v>
      </c>
      <c r="B3913" s="6">
        <v>4.5954045954045897E-2</v>
      </c>
      <c r="C3913" s="6">
        <v>0.19513807106598899</v>
      </c>
    </row>
    <row r="3914" spans="1:3" s="7" customFormat="1" x14ac:dyDescent="0.2">
      <c r="A3914" s="6" t="str">
        <f>"FRA10AC1"</f>
        <v>FRA10AC1</v>
      </c>
      <c r="B3914" s="6">
        <v>4.5954045954045897E-2</v>
      </c>
      <c r="C3914" s="6">
        <v>0.19513807106598899</v>
      </c>
    </row>
    <row r="3915" spans="1:3" s="7" customFormat="1" x14ac:dyDescent="0.2">
      <c r="A3915" s="6" t="str">
        <f>"TENT5C"</f>
        <v>TENT5C</v>
      </c>
      <c r="B3915" s="6">
        <v>4.5954045954045897E-2</v>
      </c>
      <c r="C3915" s="6">
        <v>0.19513807106598899</v>
      </c>
    </row>
    <row r="3916" spans="1:3" s="7" customFormat="1" x14ac:dyDescent="0.2">
      <c r="A3916" s="6" t="str">
        <f>"DPY19L2P4"</f>
        <v>DPY19L2P4</v>
      </c>
      <c r="B3916" s="6">
        <v>4.5999999999999999E-2</v>
      </c>
      <c r="C3916" s="6">
        <v>0.19513807106598899</v>
      </c>
    </row>
    <row r="3917" spans="1:3" s="7" customFormat="1" x14ac:dyDescent="0.2">
      <c r="A3917" s="6" t="str">
        <f>"DOCK8"</f>
        <v>DOCK8</v>
      </c>
      <c r="B3917" s="6">
        <v>4.5954045954045897E-2</v>
      </c>
      <c r="C3917" s="6">
        <v>0.19513807106598899</v>
      </c>
    </row>
    <row r="3918" spans="1:3" s="7" customFormat="1" x14ac:dyDescent="0.2">
      <c r="A3918" s="6" t="str">
        <f>"BCO2"</f>
        <v>BCO2</v>
      </c>
      <c r="B3918" s="6">
        <v>4.5954045954045897E-2</v>
      </c>
      <c r="C3918" s="6">
        <v>0.19513807106598899</v>
      </c>
    </row>
    <row r="3919" spans="1:3" s="7" customFormat="1" x14ac:dyDescent="0.2">
      <c r="A3919" s="6" t="str">
        <f>"TRIP10"</f>
        <v>TRIP10</v>
      </c>
      <c r="B3919" s="6">
        <v>4.5954045954045897E-2</v>
      </c>
      <c r="C3919" s="6">
        <v>0.19513807106598899</v>
      </c>
    </row>
    <row r="3920" spans="1:3" s="7" customFormat="1" x14ac:dyDescent="0.2">
      <c r="A3920" s="6" t="str">
        <f>"GOLGA2P10"</f>
        <v>GOLGA2P10</v>
      </c>
      <c r="B3920" s="6">
        <v>4.5954045954045897E-2</v>
      </c>
      <c r="C3920" s="6">
        <v>0.19513807106598899</v>
      </c>
    </row>
    <row r="3921" spans="1:3" s="7" customFormat="1" x14ac:dyDescent="0.2">
      <c r="A3921" s="6" t="str">
        <f>"SPATA24"</f>
        <v>SPATA24</v>
      </c>
      <c r="B3921" s="6">
        <v>4.5954045954045897E-2</v>
      </c>
      <c r="C3921" s="6">
        <v>0.19513807106598899</v>
      </c>
    </row>
    <row r="3922" spans="1:3" s="7" customFormat="1" x14ac:dyDescent="0.2">
      <c r="A3922" s="6" t="str">
        <f>"SLC23A2"</f>
        <v>SLC23A2</v>
      </c>
      <c r="B3922" s="6">
        <v>4.5954045954045897E-2</v>
      </c>
      <c r="C3922" s="6">
        <v>0.19513807106598899</v>
      </c>
    </row>
    <row r="3923" spans="1:3" s="7" customFormat="1" x14ac:dyDescent="0.2">
      <c r="A3923" s="6" t="str">
        <f>"BMP1"</f>
        <v>BMP1</v>
      </c>
      <c r="B3923" s="6">
        <v>4.5999999999999999E-2</v>
      </c>
      <c r="C3923" s="6">
        <v>0.19513807106598899</v>
      </c>
    </row>
    <row r="3924" spans="1:3" s="7" customFormat="1" x14ac:dyDescent="0.2">
      <c r="A3924" s="6" t="str">
        <f>"THTPA"</f>
        <v>THTPA</v>
      </c>
      <c r="B3924" s="6">
        <v>4.5954045954045897E-2</v>
      </c>
      <c r="C3924" s="6">
        <v>0.19513807106598899</v>
      </c>
    </row>
    <row r="3925" spans="1:3" s="7" customFormat="1" x14ac:dyDescent="0.2">
      <c r="A3925" s="6" t="str">
        <f>"PRSS36"</f>
        <v>PRSS36</v>
      </c>
      <c r="B3925" s="6">
        <v>4.5954045954045897E-2</v>
      </c>
      <c r="C3925" s="6">
        <v>0.19513807106598899</v>
      </c>
    </row>
    <row r="3926" spans="1:3" s="7" customFormat="1" x14ac:dyDescent="0.2">
      <c r="A3926" s="6" t="str">
        <f>"TRAPPC6A"</f>
        <v>TRAPPC6A</v>
      </c>
      <c r="B3926" s="6">
        <v>4.5954045954045897E-2</v>
      </c>
      <c r="C3926" s="6">
        <v>0.19513807106598899</v>
      </c>
    </row>
    <row r="3927" spans="1:3" s="7" customFormat="1" x14ac:dyDescent="0.2">
      <c r="A3927" s="6" t="str">
        <f>"RP1"</f>
        <v>RP1</v>
      </c>
      <c r="B3927" s="6">
        <v>4.5954045954045897E-2</v>
      </c>
      <c r="C3927" s="6">
        <v>0.19513807106598899</v>
      </c>
    </row>
    <row r="3928" spans="1:3" s="7" customFormat="1" x14ac:dyDescent="0.2">
      <c r="A3928" s="6" t="str">
        <f>"CCDC191"</f>
        <v>CCDC191</v>
      </c>
      <c r="B3928" s="6">
        <v>4.5954045954045897E-2</v>
      </c>
      <c r="C3928" s="6">
        <v>0.19513807106598899</v>
      </c>
    </row>
    <row r="3929" spans="1:3" s="7" customFormat="1" x14ac:dyDescent="0.2">
      <c r="A3929" s="6" t="str">
        <f>"C6orf118"</f>
        <v>C6orf118</v>
      </c>
      <c r="B3929" s="6">
        <v>4.5954045954045897E-2</v>
      </c>
      <c r="C3929" s="6">
        <v>0.19513807106598899</v>
      </c>
    </row>
    <row r="3930" spans="1:3" s="7" customFormat="1" x14ac:dyDescent="0.2">
      <c r="A3930" s="6" t="str">
        <f>"LINC01513"</f>
        <v>LINC01513</v>
      </c>
      <c r="B3930" s="6">
        <v>4.5954045954045897E-2</v>
      </c>
      <c r="C3930" s="6">
        <v>0.19513807106598899</v>
      </c>
    </row>
    <row r="3931" spans="1:3" s="7" customFormat="1" x14ac:dyDescent="0.2">
      <c r="A3931" s="6" t="str">
        <f>"PLS3"</f>
        <v>PLS3</v>
      </c>
      <c r="B3931" s="6">
        <v>4.5954045954045897E-2</v>
      </c>
      <c r="C3931" s="6">
        <v>0.19513807106598899</v>
      </c>
    </row>
    <row r="3932" spans="1:3" s="7" customFormat="1" x14ac:dyDescent="0.2">
      <c r="A3932" s="6" t="str">
        <f>"ZNF542P"</f>
        <v>ZNF542P</v>
      </c>
      <c r="B3932" s="6">
        <v>4.5954045954045897E-2</v>
      </c>
      <c r="C3932" s="6">
        <v>0.19513807106598899</v>
      </c>
    </row>
    <row r="3933" spans="1:3" s="7" customFormat="1" x14ac:dyDescent="0.2">
      <c r="A3933" s="6" t="str">
        <f>"AC091181.2"</f>
        <v>AC091181.2</v>
      </c>
      <c r="B3933" s="6">
        <v>4.5999999999999999E-2</v>
      </c>
      <c r="C3933" s="6">
        <v>0.19513807106598899</v>
      </c>
    </row>
    <row r="3934" spans="1:3" s="7" customFormat="1" x14ac:dyDescent="0.2">
      <c r="A3934" s="6" t="str">
        <f>"LRRC73"</f>
        <v>LRRC73</v>
      </c>
      <c r="B3934" s="6">
        <v>4.5954045954045897E-2</v>
      </c>
      <c r="C3934" s="6">
        <v>0.19513807106598899</v>
      </c>
    </row>
    <row r="3935" spans="1:3" s="7" customFormat="1" x14ac:dyDescent="0.2">
      <c r="A3935" s="6" t="str">
        <f>"C1orf131"</f>
        <v>C1orf131</v>
      </c>
      <c r="B3935" s="6">
        <v>4.5954045954045897E-2</v>
      </c>
      <c r="C3935" s="6">
        <v>0.19513807106598899</v>
      </c>
    </row>
    <row r="3936" spans="1:3" s="7" customFormat="1" x14ac:dyDescent="0.2">
      <c r="A3936" s="6" t="str">
        <f>"TSPAN14"</f>
        <v>TSPAN14</v>
      </c>
      <c r="B3936" s="6">
        <v>4.5999999999999999E-2</v>
      </c>
      <c r="C3936" s="6">
        <v>0.19513807106598899</v>
      </c>
    </row>
    <row r="3937" spans="1:3" s="7" customFormat="1" x14ac:dyDescent="0.2">
      <c r="A3937" s="6" t="str">
        <f>"ULK1"</f>
        <v>ULK1</v>
      </c>
      <c r="B3937" s="6">
        <v>4.5954045954045897E-2</v>
      </c>
      <c r="C3937" s="6">
        <v>0.19513807106598899</v>
      </c>
    </row>
    <row r="3938" spans="1:3" s="7" customFormat="1" x14ac:dyDescent="0.2">
      <c r="A3938" s="6" t="str">
        <f>"CTR9"</f>
        <v>CTR9</v>
      </c>
      <c r="B3938" s="6">
        <v>4.5954045954045897E-2</v>
      </c>
      <c r="C3938" s="6">
        <v>0.19513807106598899</v>
      </c>
    </row>
    <row r="3939" spans="1:3" s="7" customFormat="1" x14ac:dyDescent="0.2">
      <c r="A3939" s="6" t="str">
        <f>"MAP3K1"</f>
        <v>MAP3K1</v>
      </c>
      <c r="B3939" s="6">
        <v>4.5954045954045897E-2</v>
      </c>
      <c r="C3939" s="6">
        <v>0.19513807106598899</v>
      </c>
    </row>
    <row r="3940" spans="1:3" s="7" customFormat="1" x14ac:dyDescent="0.2">
      <c r="A3940" s="6" t="str">
        <f>"TMCO1"</f>
        <v>TMCO1</v>
      </c>
      <c r="B3940" s="6">
        <v>4.5954045954045897E-2</v>
      </c>
      <c r="C3940" s="6">
        <v>0.19513807106598899</v>
      </c>
    </row>
    <row r="3941" spans="1:3" s="7" customFormat="1" x14ac:dyDescent="0.2">
      <c r="A3941" s="6" t="str">
        <f>"GIMAP8"</f>
        <v>GIMAP8</v>
      </c>
      <c r="B3941" s="6">
        <v>4.5954045954045897E-2</v>
      </c>
      <c r="C3941" s="6">
        <v>0.19513807106598899</v>
      </c>
    </row>
    <row r="3942" spans="1:3" s="7" customFormat="1" x14ac:dyDescent="0.2">
      <c r="A3942" s="6" t="str">
        <f>"AC073655.2"</f>
        <v>AC073655.2</v>
      </c>
      <c r="B3942" s="6">
        <v>4.6046046046046001E-2</v>
      </c>
      <c r="C3942" s="6">
        <v>0.195283840044053</v>
      </c>
    </row>
    <row r="3943" spans="1:3" s="7" customFormat="1" x14ac:dyDescent="0.2">
      <c r="A3943" s="6" t="str">
        <f>"AC092171.2"</f>
        <v>AC092171.2</v>
      </c>
      <c r="B3943" s="6">
        <v>4.6315789473684199E-2</v>
      </c>
      <c r="C3943" s="6">
        <v>0.19637800742342901</v>
      </c>
    </row>
    <row r="3944" spans="1:3" s="7" customFormat="1" x14ac:dyDescent="0.2">
      <c r="A3944" s="6" t="str">
        <f>"RAB9B"</f>
        <v>RAB9B</v>
      </c>
      <c r="B3944" s="6">
        <v>4.6391752577319499E-2</v>
      </c>
      <c r="C3944" s="6">
        <v>0.196650203544843</v>
      </c>
    </row>
    <row r="3945" spans="1:3" s="7" customFormat="1" x14ac:dyDescent="0.2">
      <c r="A3945" s="6" t="str">
        <f>"KIAA0040"</f>
        <v>KIAA0040</v>
      </c>
      <c r="B3945" s="6">
        <v>4.6953046953046897E-2</v>
      </c>
      <c r="C3945" s="6">
        <v>0.19673432609005401</v>
      </c>
    </row>
    <row r="3946" spans="1:3" s="7" customFormat="1" x14ac:dyDescent="0.2">
      <c r="A3946" s="6" t="str">
        <f>"LIMK2"</f>
        <v>LIMK2</v>
      </c>
      <c r="B3946" s="6">
        <v>4.6953046953046897E-2</v>
      </c>
      <c r="C3946" s="6">
        <v>0.19673432609005401</v>
      </c>
    </row>
    <row r="3947" spans="1:3" s="7" customFormat="1" x14ac:dyDescent="0.2">
      <c r="A3947" s="6" t="str">
        <f>"ARPC2"</f>
        <v>ARPC2</v>
      </c>
      <c r="B3947" s="6">
        <v>4.6953046953046897E-2</v>
      </c>
      <c r="C3947" s="6">
        <v>0.19673432609005401</v>
      </c>
    </row>
    <row r="3948" spans="1:3" s="7" customFormat="1" x14ac:dyDescent="0.2">
      <c r="A3948" s="6" t="str">
        <f>"CD8A"</f>
        <v>CD8A</v>
      </c>
      <c r="B3948" s="6">
        <v>4.6953046953046897E-2</v>
      </c>
      <c r="C3948" s="6">
        <v>0.19673432609005401</v>
      </c>
    </row>
    <row r="3949" spans="1:3" s="7" customFormat="1" x14ac:dyDescent="0.2">
      <c r="A3949" s="6" t="str">
        <f>"ACAP1"</f>
        <v>ACAP1</v>
      </c>
      <c r="B3949" s="6">
        <v>4.6953046953046897E-2</v>
      </c>
      <c r="C3949" s="6">
        <v>0.19673432609005401</v>
      </c>
    </row>
    <row r="3950" spans="1:3" s="7" customFormat="1" x14ac:dyDescent="0.2">
      <c r="A3950" s="6" t="str">
        <f>"C9orf147"</f>
        <v>C9orf147</v>
      </c>
      <c r="B3950" s="6">
        <v>4.6953046953046897E-2</v>
      </c>
      <c r="C3950" s="6">
        <v>0.19673432609005401</v>
      </c>
    </row>
    <row r="3951" spans="1:3" s="7" customFormat="1" x14ac:dyDescent="0.2">
      <c r="A3951" s="6" t="str">
        <f>"AL359715.1"</f>
        <v>AL359715.1</v>
      </c>
      <c r="B3951" s="6">
        <v>4.6953046953046897E-2</v>
      </c>
      <c r="C3951" s="6">
        <v>0.19673432609005401</v>
      </c>
    </row>
    <row r="3952" spans="1:3" s="7" customFormat="1" x14ac:dyDescent="0.2">
      <c r="A3952" s="6" t="str">
        <f>"PUS7"</f>
        <v>PUS7</v>
      </c>
      <c r="B3952" s="6">
        <v>4.6953046953046897E-2</v>
      </c>
      <c r="C3952" s="6">
        <v>0.19673432609005401</v>
      </c>
    </row>
    <row r="3953" spans="1:3" s="7" customFormat="1" x14ac:dyDescent="0.2">
      <c r="A3953" s="6" t="str">
        <f>"AL513550.1"</f>
        <v>AL513550.1</v>
      </c>
      <c r="B3953" s="6">
        <v>4.6953046953046897E-2</v>
      </c>
      <c r="C3953" s="6">
        <v>0.19673432609005401</v>
      </c>
    </row>
    <row r="3954" spans="1:3" s="7" customFormat="1" x14ac:dyDescent="0.2">
      <c r="A3954" s="6" t="str">
        <f>"TPT1-AS1"</f>
        <v>TPT1-AS1</v>
      </c>
      <c r="B3954" s="6">
        <v>4.6953046953046897E-2</v>
      </c>
      <c r="C3954" s="6">
        <v>0.19673432609005401</v>
      </c>
    </row>
    <row r="3955" spans="1:3" s="7" customFormat="1" x14ac:dyDescent="0.2">
      <c r="A3955" s="6" t="str">
        <f>"NAA16"</f>
        <v>NAA16</v>
      </c>
      <c r="B3955" s="6">
        <v>4.6953046953046897E-2</v>
      </c>
      <c r="C3955" s="6">
        <v>0.19673432609005401</v>
      </c>
    </row>
    <row r="3956" spans="1:3" s="7" customFormat="1" x14ac:dyDescent="0.2">
      <c r="A3956" s="6" t="str">
        <f>"HEATR1"</f>
        <v>HEATR1</v>
      </c>
      <c r="B3956" s="6">
        <v>4.6953046953046897E-2</v>
      </c>
      <c r="C3956" s="6">
        <v>0.19673432609005401</v>
      </c>
    </row>
    <row r="3957" spans="1:3" s="7" customFormat="1" x14ac:dyDescent="0.2">
      <c r="A3957" s="6" t="str">
        <f>"ZNF334"</f>
        <v>ZNF334</v>
      </c>
      <c r="B3957" s="6">
        <v>4.6953046953046897E-2</v>
      </c>
      <c r="C3957" s="6">
        <v>0.19673432609005401</v>
      </c>
    </row>
    <row r="3958" spans="1:3" s="7" customFormat="1" x14ac:dyDescent="0.2">
      <c r="A3958" s="6" t="str">
        <f>"ARMC5"</f>
        <v>ARMC5</v>
      </c>
      <c r="B3958" s="6">
        <v>4.6953046953046897E-2</v>
      </c>
      <c r="C3958" s="6">
        <v>0.19673432609005401</v>
      </c>
    </row>
    <row r="3959" spans="1:3" s="7" customFormat="1" x14ac:dyDescent="0.2">
      <c r="A3959" s="6" t="str">
        <f>"CFL1P5"</f>
        <v>CFL1P5</v>
      </c>
      <c r="B3959" s="6">
        <v>4.6953046953046897E-2</v>
      </c>
      <c r="C3959" s="6">
        <v>0.19673432609005401</v>
      </c>
    </row>
    <row r="3960" spans="1:3" s="7" customFormat="1" x14ac:dyDescent="0.2">
      <c r="A3960" s="6" t="str">
        <f>"CSMD1"</f>
        <v>CSMD1</v>
      </c>
      <c r="B3960" s="6">
        <v>4.6953046953046897E-2</v>
      </c>
      <c r="C3960" s="6">
        <v>0.19673432609005401</v>
      </c>
    </row>
    <row r="3961" spans="1:3" s="7" customFormat="1" x14ac:dyDescent="0.2">
      <c r="A3961" s="6" t="str">
        <f>"WDR3"</f>
        <v>WDR3</v>
      </c>
      <c r="B3961" s="6">
        <v>4.6953046953046897E-2</v>
      </c>
      <c r="C3961" s="6">
        <v>0.19673432609005401</v>
      </c>
    </row>
    <row r="3962" spans="1:3" s="7" customFormat="1" x14ac:dyDescent="0.2">
      <c r="A3962" s="6" t="str">
        <f>"LINC01554"</f>
        <v>LINC01554</v>
      </c>
      <c r="B3962" s="6">
        <v>4.6953046953046897E-2</v>
      </c>
      <c r="C3962" s="6">
        <v>0.19673432609005401</v>
      </c>
    </row>
    <row r="3963" spans="1:3" s="7" customFormat="1" x14ac:dyDescent="0.2">
      <c r="A3963" s="6" t="str">
        <f>"LINC01550"</f>
        <v>LINC01550</v>
      </c>
      <c r="B3963" s="6">
        <v>4.6953046953046897E-2</v>
      </c>
      <c r="C3963" s="6">
        <v>0.19673432609005401</v>
      </c>
    </row>
    <row r="3964" spans="1:3" s="7" customFormat="1" x14ac:dyDescent="0.2">
      <c r="A3964" s="6" t="str">
        <f>"RXYLT1"</f>
        <v>RXYLT1</v>
      </c>
      <c r="B3964" s="6">
        <v>4.6953046953046897E-2</v>
      </c>
      <c r="C3964" s="6">
        <v>0.19673432609005401</v>
      </c>
    </row>
    <row r="3965" spans="1:3" s="7" customFormat="1" x14ac:dyDescent="0.2">
      <c r="A3965" s="6" t="str">
        <f>"RPS6KB1"</f>
        <v>RPS6KB1</v>
      </c>
      <c r="B3965" s="6">
        <v>4.6953046953046897E-2</v>
      </c>
      <c r="C3965" s="6">
        <v>0.19673432609005401</v>
      </c>
    </row>
    <row r="3966" spans="1:3" s="7" customFormat="1" x14ac:dyDescent="0.2">
      <c r="A3966" s="6" t="str">
        <f>"GOLGA6D"</f>
        <v>GOLGA6D</v>
      </c>
      <c r="B3966" s="6">
        <v>4.6953046953046897E-2</v>
      </c>
      <c r="C3966" s="6">
        <v>0.19673432609005401</v>
      </c>
    </row>
    <row r="3967" spans="1:3" s="7" customFormat="1" x14ac:dyDescent="0.2">
      <c r="A3967" s="6" t="str">
        <f>"ZMYND11"</f>
        <v>ZMYND11</v>
      </c>
      <c r="B3967" s="6">
        <v>4.6953046953046897E-2</v>
      </c>
      <c r="C3967" s="6">
        <v>0.19673432609005401</v>
      </c>
    </row>
    <row r="3968" spans="1:3" s="7" customFormat="1" x14ac:dyDescent="0.2">
      <c r="A3968" s="6" t="str">
        <f>"SPOP"</f>
        <v>SPOP</v>
      </c>
      <c r="B3968" s="6">
        <v>4.6953046953046897E-2</v>
      </c>
      <c r="C3968" s="6">
        <v>0.19673432609005401</v>
      </c>
    </row>
    <row r="3969" spans="1:3" s="7" customFormat="1" x14ac:dyDescent="0.2">
      <c r="A3969" s="6" t="str">
        <f>"PALM"</f>
        <v>PALM</v>
      </c>
      <c r="B3969" s="6">
        <v>4.6953046953046897E-2</v>
      </c>
      <c r="C3969" s="6">
        <v>0.19673432609005401</v>
      </c>
    </row>
    <row r="3970" spans="1:3" s="7" customFormat="1" x14ac:dyDescent="0.2">
      <c r="A3970" s="6" t="str">
        <f>"TYMSOS"</f>
        <v>TYMSOS</v>
      </c>
      <c r="B3970" s="6">
        <v>4.6953046953046897E-2</v>
      </c>
      <c r="C3970" s="6">
        <v>0.19673432609005401</v>
      </c>
    </row>
    <row r="3971" spans="1:3" s="7" customFormat="1" x14ac:dyDescent="0.2">
      <c r="A3971" s="6" t="str">
        <f>"AC018521.5"</f>
        <v>AC018521.5</v>
      </c>
      <c r="B3971" s="6">
        <v>4.6953046953046897E-2</v>
      </c>
      <c r="C3971" s="6">
        <v>0.19673432609005401</v>
      </c>
    </row>
    <row r="3972" spans="1:3" s="7" customFormat="1" x14ac:dyDescent="0.2">
      <c r="A3972" s="6" t="str">
        <f>"SOX4"</f>
        <v>SOX4</v>
      </c>
      <c r="B3972" s="6">
        <v>4.6953046953046897E-2</v>
      </c>
      <c r="C3972" s="6">
        <v>0.19673432609005401</v>
      </c>
    </row>
    <row r="3973" spans="1:3" s="7" customFormat="1" x14ac:dyDescent="0.2">
      <c r="A3973" s="6" t="str">
        <f>"IRS4"</f>
        <v>IRS4</v>
      </c>
      <c r="B3973" s="6">
        <v>4.6953046953046897E-2</v>
      </c>
      <c r="C3973" s="6">
        <v>0.19673432609005401</v>
      </c>
    </row>
    <row r="3974" spans="1:3" s="7" customFormat="1" x14ac:dyDescent="0.2">
      <c r="A3974" s="6" t="str">
        <f>"C9orf43"</f>
        <v>C9orf43</v>
      </c>
      <c r="B3974" s="6">
        <v>4.6953046953046897E-2</v>
      </c>
      <c r="C3974" s="6">
        <v>0.19673432609005401</v>
      </c>
    </row>
    <row r="3975" spans="1:3" s="7" customFormat="1" x14ac:dyDescent="0.2">
      <c r="A3975" s="6" t="str">
        <f>"AC007780.1"</f>
        <v>AC007780.1</v>
      </c>
      <c r="B3975" s="6">
        <v>4.6953046953046897E-2</v>
      </c>
      <c r="C3975" s="6">
        <v>0.19673432609005401</v>
      </c>
    </row>
    <row r="3976" spans="1:3" s="7" customFormat="1" x14ac:dyDescent="0.2">
      <c r="A3976" s="6" t="str">
        <f>"ZNF853"</f>
        <v>ZNF853</v>
      </c>
      <c r="B3976" s="6">
        <v>4.6953046953046897E-2</v>
      </c>
      <c r="C3976" s="6">
        <v>0.19673432609005401</v>
      </c>
    </row>
    <row r="3977" spans="1:3" s="7" customFormat="1" x14ac:dyDescent="0.2">
      <c r="A3977" s="6" t="str">
        <f>"OPRM1"</f>
        <v>OPRM1</v>
      </c>
      <c r="B3977" s="6">
        <v>4.6953046953046897E-2</v>
      </c>
      <c r="C3977" s="6">
        <v>0.19673432609005401</v>
      </c>
    </row>
    <row r="3978" spans="1:3" s="7" customFormat="1" x14ac:dyDescent="0.2">
      <c r="A3978" s="6" t="str">
        <f>"GUCY1B2"</f>
        <v>GUCY1B2</v>
      </c>
      <c r="B3978" s="6">
        <v>4.6953046953046897E-2</v>
      </c>
      <c r="C3978" s="6">
        <v>0.19673432609005401</v>
      </c>
    </row>
    <row r="3979" spans="1:3" s="7" customFormat="1" x14ac:dyDescent="0.2">
      <c r="A3979" s="6" t="str">
        <f>"TCTEX1D4"</f>
        <v>TCTEX1D4</v>
      </c>
      <c r="B3979" s="6">
        <v>4.6953046953046897E-2</v>
      </c>
      <c r="C3979" s="6">
        <v>0.19673432609005401</v>
      </c>
    </row>
    <row r="3980" spans="1:3" s="7" customFormat="1" x14ac:dyDescent="0.2">
      <c r="A3980" s="6" t="str">
        <f>"ATP7A"</f>
        <v>ATP7A</v>
      </c>
      <c r="B3980" s="6">
        <v>4.6953046953046897E-2</v>
      </c>
      <c r="C3980" s="6">
        <v>0.19673432609005401</v>
      </c>
    </row>
    <row r="3981" spans="1:3" s="7" customFormat="1" x14ac:dyDescent="0.2">
      <c r="A3981" s="6" t="str">
        <f>"WASH5P"</f>
        <v>WASH5P</v>
      </c>
      <c r="B3981" s="6">
        <v>4.6953046953046897E-2</v>
      </c>
      <c r="C3981" s="6">
        <v>0.19673432609005401</v>
      </c>
    </row>
    <row r="3982" spans="1:3" s="7" customFormat="1" x14ac:dyDescent="0.2">
      <c r="A3982" s="6" t="str">
        <f>"LINC00689"</f>
        <v>LINC00689</v>
      </c>
      <c r="B3982" s="6">
        <v>4.6953046953046897E-2</v>
      </c>
      <c r="C3982" s="6">
        <v>0.19673432609005401</v>
      </c>
    </row>
    <row r="3983" spans="1:3" s="7" customFormat="1" x14ac:dyDescent="0.2">
      <c r="A3983" s="6" t="str">
        <f>"CFAP69"</f>
        <v>CFAP69</v>
      </c>
      <c r="B3983" s="6">
        <v>4.6953046953046897E-2</v>
      </c>
      <c r="C3983" s="6">
        <v>0.19673432609005401</v>
      </c>
    </row>
    <row r="3984" spans="1:3" s="7" customFormat="1" x14ac:dyDescent="0.2">
      <c r="A3984" s="6" t="str">
        <f>"ARGLU1"</f>
        <v>ARGLU1</v>
      </c>
      <c r="B3984" s="6">
        <v>4.6953046953046897E-2</v>
      </c>
      <c r="C3984" s="6">
        <v>0.19673432609005401</v>
      </c>
    </row>
    <row r="3985" spans="1:3" s="7" customFormat="1" x14ac:dyDescent="0.2">
      <c r="A3985" s="6" t="str">
        <f>"SPHK2"</f>
        <v>SPHK2</v>
      </c>
      <c r="B3985" s="6">
        <v>4.6953046953046897E-2</v>
      </c>
      <c r="C3985" s="6">
        <v>0.19673432609005401</v>
      </c>
    </row>
    <row r="3986" spans="1:3" s="7" customFormat="1" x14ac:dyDescent="0.2">
      <c r="A3986" s="6" t="str">
        <f>"ZFP91-CNTF"</f>
        <v>ZFP91-CNTF</v>
      </c>
      <c r="B3986" s="6">
        <v>4.6953046953046897E-2</v>
      </c>
      <c r="C3986" s="6">
        <v>0.19673432609005401</v>
      </c>
    </row>
    <row r="3987" spans="1:3" s="7" customFormat="1" x14ac:dyDescent="0.2">
      <c r="A3987" s="6" t="str">
        <f>"H4-16"</f>
        <v>H4-16</v>
      </c>
      <c r="B3987" s="6">
        <v>4.6953046953046897E-2</v>
      </c>
      <c r="C3987" s="6">
        <v>0.19673432609005401</v>
      </c>
    </row>
    <row r="3988" spans="1:3" s="7" customFormat="1" x14ac:dyDescent="0.2">
      <c r="A3988" s="6" t="str">
        <f>"FYN"</f>
        <v>FYN</v>
      </c>
      <c r="B3988" s="6">
        <v>4.6953046953046897E-2</v>
      </c>
      <c r="C3988" s="6">
        <v>0.19673432609005401</v>
      </c>
    </row>
    <row r="3989" spans="1:3" s="7" customFormat="1" x14ac:dyDescent="0.2">
      <c r="A3989" s="6" t="str">
        <f>"DNAJC1"</f>
        <v>DNAJC1</v>
      </c>
      <c r="B3989" s="6">
        <v>4.6953046953046897E-2</v>
      </c>
      <c r="C3989" s="6">
        <v>0.19673432609005401</v>
      </c>
    </row>
    <row r="3990" spans="1:3" s="7" customFormat="1" x14ac:dyDescent="0.2">
      <c r="A3990" s="6" t="str">
        <f>"IDS"</f>
        <v>IDS</v>
      </c>
      <c r="B3990" s="6">
        <v>4.6953046953046897E-2</v>
      </c>
      <c r="C3990" s="6">
        <v>0.19673432609005401</v>
      </c>
    </row>
    <row r="3991" spans="1:3" s="7" customFormat="1" x14ac:dyDescent="0.2">
      <c r="A3991" s="6" t="str">
        <f>"AF287957.1"</f>
        <v>AF287957.1</v>
      </c>
      <c r="B3991" s="6">
        <v>4.7E-2</v>
      </c>
      <c r="C3991" s="6">
        <v>0.19683237283888699</v>
      </c>
    </row>
    <row r="3992" spans="1:3" s="7" customFormat="1" x14ac:dyDescent="0.2">
      <c r="A3992" s="6" t="str">
        <f>"HEXIM1"</f>
        <v>HEXIM1</v>
      </c>
      <c r="B3992" s="6">
        <v>4.7E-2</v>
      </c>
      <c r="C3992" s="6">
        <v>0.19683237283888699</v>
      </c>
    </row>
    <row r="3993" spans="1:3" s="7" customFormat="1" x14ac:dyDescent="0.2">
      <c r="A3993" s="6" t="str">
        <f>"TOM1L1"</f>
        <v>TOM1L1</v>
      </c>
      <c r="B3993" s="6">
        <v>4.7047047047047E-2</v>
      </c>
      <c r="C3993" s="6">
        <v>0.196980046178442</v>
      </c>
    </row>
    <row r="3994" spans="1:3" s="7" customFormat="1" x14ac:dyDescent="0.2">
      <c r="A3994" s="6" t="str">
        <f>"AL591848.3"</f>
        <v>AL591848.3</v>
      </c>
      <c r="B3994" s="6">
        <v>4.7094188376753499E-2</v>
      </c>
      <c r="C3994" s="6">
        <v>0.19712804020261901</v>
      </c>
    </row>
    <row r="3995" spans="1:3" s="7" customFormat="1" x14ac:dyDescent="0.2">
      <c r="A3995" s="6" t="str">
        <f>"NFKBIZ"</f>
        <v>NFKBIZ</v>
      </c>
      <c r="B3995" s="6">
        <v>4.7952047952047903E-2</v>
      </c>
      <c r="C3995" s="6">
        <v>0.19907493796525999</v>
      </c>
    </row>
    <row r="3996" spans="1:3" s="7" customFormat="1" x14ac:dyDescent="0.2">
      <c r="A3996" s="6" t="str">
        <f>"CD72"</f>
        <v>CD72</v>
      </c>
      <c r="B3996" s="6">
        <v>4.7952047952047903E-2</v>
      </c>
      <c r="C3996" s="6">
        <v>0.19907493796525999</v>
      </c>
    </row>
    <row r="3997" spans="1:3" s="7" customFormat="1" x14ac:dyDescent="0.2">
      <c r="A3997" s="6" t="str">
        <f>"AP002360.1"</f>
        <v>AP002360.1</v>
      </c>
      <c r="B3997" s="6">
        <v>4.7952047952047903E-2</v>
      </c>
      <c r="C3997" s="6">
        <v>0.19907493796525999</v>
      </c>
    </row>
    <row r="3998" spans="1:3" s="7" customFormat="1" x14ac:dyDescent="0.2">
      <c r="A3998" s="6" t="str">
        <f>"PET100"</f>
        <v>PET100</v>
      </c>
      <c r="B3998" s="6">
        <v>4.7952047952047903E-2</v>
      </c>
      <c r="C3998" s="6">
        <v>0.19907493796525999</v>
      </c>
    </row>
    <row r="3999" spans="1:3" s="7" customFormat="1" x14ac:dyDescent="0.2">
      <c r="A3999" s="6" t="str">
        <f>"AC103691.1"</f>
        <v>AC103691.1</v>
      </c>
      <c r="B3999" s="6">
        <v>4.7861507128309499E-2</v>
      </c>
      <c r="C3999" s="6">
        <v>0.19907493796525999</v>
      </c>
    </row>
    <row r="4000" spans="1:3" s="7" customFormat="1" x14ac:dyDescent="0.2">
      <c r="A4000" s="6" t="str">
        <f>"ZNF543"</f>
        <v>ZNF543</v>
      </c>
      <c r="B4000" s="6">
        <v>4.7952047952047903E-2</v>
      </c>
      <c r="C4000" s="6">
        <v>0.19907493796525999</v>
      </c>
    </row>
    <row r="4001" spans="1:3" s="7" customFormat="1" x14ac:dyDescent="0.2">
      <c r="A4001" s="6" t="str">
        <f>"SYNC"</f>
        <v>SYNC</v>
      </c>
      <c r="B4001" s="6">
        <v>4.7952047952047903E-2</v>
      </c>
      <c r="C4001" s="6">
        <v>0.19907493796525999</v>
      </c>
    </row>
    <row r="4002" spans="1:3" s="7" customFormat="1" x14ac:dyDescent="0.2">
      <c r="A4002" s="6" t="str">
        <f>"MAPK8"</f>
        <v>MAPK8</v>
      </c>
      <c r="B4002" s="6">
        <v>4.7952047952047903E-2</v>
      </c>
      <c r="C4002" s="6">
        <v>0.19907493796525999</v>
      </c>
    </row>
    <row r="4003" spans="1:3" s="7" customFormat="1" x14ac:dyDescent="0.2">
      <c r="A4003" s="6" t="str">
        <f>"FGF7"</f>
        <v>FGF7</v>
      </c>
      <c r="B4003" s="6">
        <v>4.8000000000000001E-2</v>
      </c>
      <c r="C4003" s="6">
        <v>0.19907493796525999</v>
      </c>
    </row>
    <row r="4004" spans="1:3" s="7" customFormat="1" x14ac:dyDescent="0.2">
      <c r="A4004" s="6" t="str">
        <f>"FAM220A"</f>
        <v>FAM220A</v>
      </c>
      <c r="B4004" s="6">
        <v>4.7952047952047903E-2</v>
      </c>
      <c r="C4004" s="6">
        <v>0.19907493796525999</v>
      </c>
    </row>
    <row r="4005" spans="1:3" s="7" customFormat="1" x14ac:dyDescent="0.2">
      <c r="A4005" s="6" t="str">
        <f>"AL356867.1"</f>
        <v>AL356867.1</v>
      </c>
      <c r="B4005" s="6">
        <v>4.7952047952047903E-2</v>
      </c>
      <c r="C4005" s="6">
        <v>0.19907493796525999</v>
      </c>
    </row>
    <row r="4006" spans="1:3" s="7" customFormat="1" x14ac:dyDescent="0.2">
      <c r="A4006" s="6" t="str">
        <f>"ZNF800"</f>
        <v>ZNF800</v>
      </c>
      <c r="B4006" s="6">
        <v>4.7952047952047903E-2</v>
      </c>
      <c r="C4006" s="6">
        <v>0.19907493796525999</v>
      </c>
    </row>
    <row r="4007" spans="1:3" s="7" customFormat="1" x14ac:dyDescent="0.2">
      <c r="A4007" s="6" t="str">
        <f>"AC069503.1"</f>
        <v>AC069503.1</v>
      </c>
      <c r="B4007" s="6">
        <v>4.7952047952047903E-2</v>
      </c>
      <c r="C4007" s="6">
        <v>0.19907493796525999</v>
      </c>
    </row>
    <row r="4008" spans="1:3" s="7" customFormat="1" x14ac:dyDescent="0.2">
      <c r="A4008" s="6" t="str">
        <f>"TUT7"</f>
        <v>TUT7</v>
      </c>
      <c r="B4008" s="6">
        <v>4.8000000000000001E-2</v>
      </c>
      <c r="C4008" s="6">
        <v>0.19907493796525999</v>
      </c>
    </row>
    <row r="4009" spans="1:3" s="7" customFormat="1" x14ac:dyDescent="0.2">
      <c r="A4009" s="6" t="str">
        <f>"AC091965.4"</f>
        <v>AC091965.4</v>
      </c>
      <c r="B4009" s="6">
        <v>4.7952047952047903E-2</v>
      </c>
      <c r="C4009" s="6">
        <v>0.19907493796525999</v>
      </c>
    </row>
    <row r="4010" spans="1:3" s="7" customFormat="1" x14ac:dyDescent="0.2">
      <c r="A4010" s="6" t="str">
        <f>"RFPL1S"</f>
        <v>RFPL1S</v>
      </c>
      <c r="B4010" s="6">
        <v>4.7952047952047903E-2</v>
      </c>
      <c r="C4010" s="6">
        <v>0.19907493796525999</v>
      </c>
    </row>
    <row r="4011" spans="1:3" s="7" customFormat="1" x14ac:dyDescent="0.2">
      <c r="A4011" s="6" t="str">
        <f>"SLC35F3"</f>
        <v>SLC35F3</v>
      </c>
      <c r="B4011" s="6">
        <v>4.7952047952047903E-2</v>
      </c>
      <c r="C4011" s="6">
        <v>0.19907493796525999</v>
      </c>
    </row>
    <row r="4012" spans="1:3" s="7" customFormat="1" x14ac:dyDescent="0.2">
      <c r="A4012" s="6" t="str">
        <f>"LAYN"</f>
        <v>LAYN</v>
      </c>
      <c r="B4012" s="6">
        <v>4.7952047952047903E-2</v>
      </c>
      <c r="C4012" s="6">
        <v>0.19907493796525999</v>
      </c>
    </row>
    <row r="4013" spans="1:3" s="7" customFormat="1" x14ac:dyDescent="0.2">
      <c r="A4013" s="6" t="str">
        <f>"MTFR1L"</f>
        <v>MTFR1L</v>
      </c>
      <c r="B4013" s="6">
        <v>4.7952047952047903E-2</v>
      </c>
      <c r="C4013" s="6">
        <v>0.19907493796525999</v>
      </c>
    </row>
    <row r="4014" spans="1:3" s="7" customFormat="1" x14ac:dyDescent="0.2">
      <c r="A4014" s="6" t="str">
        <f>"AC008393.1"</f>
        <v>AC008393.1</v>
      </c>
      <c r="B4014" s="6">
        <v>4.7952047952047903E-2</v>
      </c>
      <c r="C4014" s="6">
        <v>0.19907493796525999</v>
      </c>
    </row>
    <row r="4015" spans="1:3" s="7" customFormat="1" x14ac:dyDescent="0.2">
      <c r="A4015" s="6" t="str">
        <f>"HLA-A"</f>
        <v>HLA-A</v>
      </c>
      <c r="B4015" s="6">
        <v>4.7952047952047903E-2</v>
      </c>
      <c r="C4015" s="6">
        <v>0.19907493796525999</v>
      </c>
    </row>
    <row r="4016" spans="1:3" s="7" customFormat="1" x14ac:dyDescent="0.2">
      <c r="A4016" s="6" t="str">
        <f>"DNAH5"</f>
        <v>DNAH5</v>
      </c>
      <c r="B4016" s="6">
        <v>4.7952047952047903E-2</v>
      </c>
      <c r="C4016" s="6">
        <v>0.19907493796525999</v>
      </c>
    </row>
    <row r="4017" spans="1:3" s="7" customFormat="1" x14ac:dyDescent="0.2">
      <c r="A4017" s="6" t="str">
        <f>"ANTXR1"</f>
        <v>ANTXR1</v>
      </c>
      <c r="B4017" s="6">
        <v>4.7952047952047903E-2</v>
      </c>
      <c r="C4017" s="6">
        <v>0.19907493796525999</v>
      </c>
    </row>
    <row r="4018" spans="1:3" s="7" customFormat="1" x14ac:dyDescent="0.2">
      <c r="A4018" s="6" t="str">
        <f>"LTBP2"</f>
        <v>LTBP2</v>
      </c>
      <c r="B4018" s="6">
        <v>4.7952047952047903E-2</v>
      </c>
      <c r="C4018" s="6">
        <v>0.19907493796525999</v>
      </c>
    </row>
    <row r="4019" spans="1:3" s="7" customFormat="1" x14ac:dyDescent="0.2">
      <c r="A4019" s="6" t="str">
        <f>"RPL3"</f>
        <v>RPL3</v>
      </c>
      <c r="B4019" s="6">
        <v>4.7952047952047903E-2</v>
      </c>
      <c r="C4019" s="6">
        <v>0.19907493796525999</v>
      </c>
    </row>
    <row r="4020" spans="1:3" s="7" customFormat="1" x14ac:dyDescent="0.2">
      <c r="A4020" s="6" t="str">
        <f>"AL035078.4"</f>
        <v>AL035078.4</v>
      </c>
      <c r="B4020" s="6">
        <v>4.8000000000000001E-2</v>
      </c>
      <c r="C4020" s="6">
        <v>0.19907493796525999</v>
      </c>
    </row>
    <row r="4021" spans="1:3" s="7" customFormat="1" x14ac:dyDescent="0.2">
      <c r="A4021" s="6" t="str">
        <f>"PLBD1-AS1"</f>
        <v>PLBD1-AS1</v>
      </c>
      <c r="B4021" s="6">
        <v>4.7952047952047903E-2</v>
      </c>
      <c r="C4021" s="6">
        <v>0.19907493796525999</v>
      </c>
    </row>
    <row r="4022" spans="1:3" s="7" customFormat="1" x14ac:dyDescent="0.2">
      <c r="A4022" s="6" t="str">
        <f>"CCDC28A-AS1"</f>
        <v>CCDC28A-AS1</v>
      </c>
      <c r="B4022" s="6">
        <v>4.8000000000000001E-2</v>
      </c>
      <c r="C4022" s="6">
        <v>0.19907493796525999</v>
      </c>
    </row>
    <row r="4023" spans="1:3" s="7" customFormat="1" x14ac:dyDescent="0.2">
      <c r="A4023" s="6" t="str">
        <f>"SNHG29"</f>
        <v>SNHG29</v>
      </c>
      <c r="B4023" s="6">
        <v>4.7952047952047903E-2</v>
      </c>
      <c r="C4023" s="6">
        <v>0.19907493796525999</v>
      </c>
    </row>
    <row r="4024" spans="1:3" s="7" customFormat="1" x14ac:dyDescent="0.2">
      <c r="A4024" s="6" t="str">
        <f>"AKR1A1"</f>
        <v>AKR1A1</v>
      </c>
      <c r="B4024" s="6">
        <v>4.7952047952047903E-2</v>
      </c>
      <c r="C4024" s="6">
        <v>0.19907493796525999</v>
      </c>
    </row>
    <row r="4025" spans="1:3" s="7" customFormat="1" x14ac:dyDescent="0.2">
      <c r="A4025" s="6" t="str">
        <f>"PRRC2C"</f>
        <v>PRRC2C</v>
      </c>
      <c r="B4025" s="6">
        <v>4.8000000000000001E-2</v>
      </c>
      <c r="C4025" s="6">
        <v>0.19907493796525999</v>
      </c>
    </row>
    <row r="4026" spans="1:3" s="7" customFormat="1" x14ac:dyDescent="0.2">
      <c r="A4026" s="6" t="str">
        <f>"RPS4X"</f>
        <v>RPS4X</v>
      </c>
      <c r="B4026" s="6">
        <v>4.7952047952047903E-2</v>
      </c>
      <c r="C4026" s="6">
        <v>0.19907493796525999</v>
      </c>
    </row>
    <row r="4027" spans="1:3" s="7" customFormat="1" x14ac:dyDescent="0.2">
      <c r="A4027" s="6" t="str">
        <f>"TMEM67"</f>
        <v>TMEM67</v>
      </c>
      <c r="B4027" s="6">
        <v>4.7952047952047903E-2</v>
      </c>
      <c r="C4027" s="6">
        <v>0.19907493796525999</v>
      </c>
    </row>
    <row r="4028" spans="1:3" s="7" customFormat="1" x14ac:dyDescent="0.2">
      <c r="A4028" s="6" t="str">
        <f>"SGPP1"</f>
        <v>SGPP1</v>
      </c>
      <c r="B4028" s="6">
        <v>4.7952047952047903E-2</v>
      </c>
      <c r="C4028" s="6">
        <v>0.19907493796525999</v>
      </c>
    </row>
    <row r="4029" spans="1:3" s="7" customFormat="1" x14ac:dyDescent="0.2">
      <c r="A4029" s="6" t="str">
        <f>"HVCN1"</f>
        <v>HVCN1</v>
      </c>
      <c r="B4029" s="6">
        <v>4.7952047952047903E-2</v>
      </c>
      <c r="C4029" s="6">
        <v>0.19907493796525999</v>
      </c>
    </row>
    <row r="4030" spans="1:3" s="7" customFormat="1" x14ac:dyDescent="0.2">
      <c r="A4030" s="6" t="str">
        <f>"ATP5F1B"</f>
        <v>ATP5F1B</v>
      </c>
      <c r="B4030" s="6">
        <v>4.7952047952047903E-2</v>
      </c>
      <c r="C4030" s="6">
        <v>0.19907493796525999</v>
      </c>
    </row>
    <row r="4031" spans="1:3" s="7" customFormat="1" x14ac:dyDescent="0.2">
      <c r="A4031" s="6" t="str">
        <f>"KITLG"</f>
        <v>KITLG</v>
      </c>
      <c r="B4031" s="6">
        <v>4.7952047952047903E-2</v>
      </c>
      <c r="C4031" s="6">
        <v>0.19907493796525999</v>
      </c>
    </row>
    <row r="4032" spans="1:3" s="7" customFormat="1" x14ac:dyDescent="0.2">
      <c r="A4032" s="6" t="str">
        <f>"RASL10B"</f>
        <v>RASL10B</v>
      </c>
      <c r="B4032" s="6">
        <v>4.8048048048047999E-2</v>
      </c>
      <c r="C4032" s="6">
        <v>0.19922477674896399</v>
      </c>
    </row>
    <row r="4033" spans="1:3" s="7" customFormat="1" x14ac:dyDescent="0.2">
      <c r="A4033" s="6" t="str">
        <f>"FAM185BP"</f>
        <v>FAM185BP</v>
      </c>
      <c r="B4033" s="6">
        <v>4.8096192384769497E-2</v>
      </c>
      <c r="C4033" s="6">
        <v>0.19937494035690401</v>
      </c>
    </row>
    <row r="4034" spans="1:3" s="7" customFormat="1" x14ac:dyDescent="0.2">
      <c r="A4034" s="6" t="str">
        <f>"CBFA2T3"</f>
        <v>CBFA2T3</v>
      </c>
      <c r="B4034" s="6">
        <v>4.8951048951048903E-2</v>
      </c>
      <c r="C4034" s="6">
        <v>0.20082666474419</v>
      </c>
    </row>
    <row r="4035" spans="1:3" s="7" customFormat="1" x14ac:dyDescent="0.2">
      <c r="A4035" s="6" t="str">
        <f>"RBM23"</f>
        <v>RBM23</v>
      </c>
      <c r="B4035" s="6">
        <v>4.8951048951048903E-2</v>
      </c>
      <c r="C4035" s="6">
        <v>0.20082666474419</v>
      </c>
    </row>
    <row r="4036" spans="1:3" s="7" customFormat="1" x14ac:dyDescent="0.2">
      <c r="A4036" s="6" t="str">
        <f>"YIF1B"</f>
        <v>YIF1B</v>
      </c>
      <c r="B4036" s="6">
        <v>4.8951048951048903E-2</v>
      </c>
      <c r="C4036" s="6">
        <v>0.20082666474419</v>
      </c>
    </row>
    <row r="4037" spans="1:3" s="7" customFormat="1" x14ac:dyDescent="0.2">
      <c r="A4037" s="6" t="str">
        <f>"JCHAIN"</f>
        <v>JCHAIN</v>
      </c>
      <c r="B4037" s="6">
        <v>4.8951048951048903E-2</v>
      </c>
      <c r="C4037" s="6">
        <v>0.20082666474419</v>
      </c>
    </row>
    <row r="4038" spans="1:3" s="7" customFormat="1" x14ac:dyDescent="0.2">
      <c r="A4038" s="6" t="str">
        <f>"AC011479.1"</f>
        <v>AC011479.1</v>
      </c>
      <c r="B4038" s="6">
        <v>4.8951048951048903E-2</v>
      </c>
      <c r="C4038" s="6">
        <v>0.20082666474419</v>
      </c>
    </row>
    <row r="4039" spans="1:3" s="7" customFormat="1" x14ac:dyDescent="0.2">
      <c r="A4039" s="6" t="str">
        <f>"AC079753.2"</f>
        <v>AC079753.2</v>
      </c>
      <c r="B4039" s="6">
        <v>4.8951048951048903E-2</v>
      </c>
      <c r="C4039" s="6">
        <v>0.20082666474419</v>
      </c>
    </row>
    <row r="4040" spans="1:3" s="7" customFormat="1" x14ac:dyDescent="0.2">
      <c r="A4040" s="6" t="str">
        <f>"BCKDHB"</f>
        <v>BCKDHB</v>
      </c>
      <c r="B4040" s="6">
        <v>4.8951048951048903E-2</v>
      </c>
      <c r="C4040" s="6">
        <v>0.20082666474419</v>
      </c>
    </row>
    <row r="4041" spans="1:3" s="7" customFormat="1" x14ac:dyDescent="0.2">
      <c r="A4041" s="6" t="str">
        <f>"SFRP2"</f>
        <v>SFRP2</v>
      </c>
      <c r="B4041" s="6">
        <v>4.8951048951048903E-2</v>
      </c>
      <c r="C4041" s="6">
        <v>0.20082666474419</v>
      </c>
    </row>
    <row r="4042" spans="1:3" s="7" customFormat="1" x14ac:dyDescent="0.2">
      <c r="A4042" s="6" t="str">
        <f>"GCOM1"</f>
        <v>GCOM1</v>
      </c>
      <c r="B4042" s="6">
        <v>4.8951048951048903E-2</v>
      </c>
      <c r="C4042" s="6">
        <v>0.20082666474419</v>
      </c>
    </row>
    <row r="4043" spans="1:3" s="7" customFormat="1" x14ac:dyDescent="0.2">
      <c r="A4043" s="6" t="str">
        <f>"ARHGAP12"</f>
        <v>ARHGAP12</v>
      </c>
      <c r="B4043" s="6">
        <v>4.8951048951048903E-2</v>
      </c>
      <c r="C4043" s="6">
        <v>0.20082666474419</v>
      </c>
    </row>
    <row r="4044" spans="1:3" s="7" customFormat="1" x14ac:dyDescent="0.2">
      <c r="A4044" s="6" t="str">
        <f>"TMEM198"</f>
        <v>TMEM198</v>
      </c>
      <c r="B4044" s="6">
        <v>4.8951048951048903E-2</v>
      </c>
      <c r="C4044" s="6">
        <v>0.20082666474419</v>
      </c>
    </row>
    <row r="4045" spans="1:3" s="7" customFormat="1" x14ac:dyDescent="0.2">
      <c r="A4045" s="6" t="str">
        <f>"RASAL3"</f>
        <v>RASAL3</v>
      </c>
      <c r="B4045" s="6">
        <v>4.8951048951048903E-2</v>
      </c>
      <c r="C4045" s="6">
        <v>0.20082666474419</v>
      </c>
    </row>
    <row r="4046" spans="1:3" s="7" customFormat="1" x14ac:dyDescent="0.2">
      <c r="A4046" s="6" t="str">
        <f>"CTTNBP2"</f>
        <v>CTTNBP2</v>
      </c>
      <c r="B4046" s="6">
        <v>4.8951048951048903E-2</v>
      </c>
      <c r="C4046" s="6">
        <v>0.20082666474419</v>
      </c>
    </row>
    <row r="4047" spans="1:3" s="7" customFormat="1" x14ac:dyDescent="0.2">
      <c r="A4047" s="6" t="str">
        <f>"MRPL21"</f>
        <v>MRPL21</v>
      </c>
      <c r="B4047" s="6">
        <v>4.8951048951048903E-2</v>
      </c>
      <c r="C4047" s="6">
        <v>0.20082666474419</v>
      </c>
    </row>
    <row r="4048" spans="1:3" s="7" customFormat="1" x14ac:dyDescent="0.2">
      <c r="A4048" s="6" t="str">
        <f>"BICDL1"</f>
        <v>BICDL1</v>
      </c>
      <c r="B4048" s="6">
        <v>4.8951048951048903E-2</v>
      </c>
      <c r="C4048" s="6">
        <v>0.20082666474419</v>
      </c>
    </row>
    <row r="4049" spans="1:3" s="7" customFormat="1" x14ac:dyDescent="0.2">
      <c r="A4049" s="6" t="str">
        <f>"MMP15"</f>
        <v>MMP15</v>
      </c>
      <c r="B4049" s="6">
        <v>4.8951048951048903E-2</v>
      </c>
      <c r="C4049" s="6">
        <v>0.20082666474419</v>
      </c>
    </row>
    <row r="4050" spans="1:3" s="7" customFormat="1" x14ac:dyDescent="0.2">
      <c r="A4050" s="6" t="str">
        <f>"TMSB4X"</f>
        <v>TMSB4X</v>
      </c>
      <c r="B4050" s="6">
        <v>4.8951048951048903E-2</v>
      </c>
      <c r="C4050" s="6">
        <v>0.20082666474419</v>
      </c>
    </row>
    <row r="4051" spans="1:3" s="7" customFormat="1" x14ac:dyDescent="0.2">
      <c r="A4051" s="6" t="str">
        <f>"LINC02814"</f>
        <v>LINC02814</v>
      </c>
      <c r="B4051" s="6">
        <v>4.8951048951048903E-2</v>
      </c>
      <c r="C4051" s="6">
        <v>0.20082666474419</v>
      </c>
    </row>
    <row r="4052" spans="1:3" s="7" customFormat="1" x14ac:dyDescent="0.2">
      <c r="A4052" s="6" t="str">
        <f>"AC073348.2"</f>
        <v>AC073348.2</v>
      </c>
      <c r="B4052" s="6">
        <v>4.8951048951048903E-2</v>
      </c>
      <c r="C4052" s="6">
        <v>0.20082666474419</v>
      </c>
    </row>
    <row r="4053" spans="1:3" s="7" customFormat="1" x14ac:dyDescent="0.2">
      <c r="A4053" s="6" t="str">
        <f>"ACSM3"</f>
        <v>ACSM3</v>
      </c>
      <c r="B4053" s="6">
        <v>4.8951048951048903E-2</v>
      </c>
      <c r="C4053" s="6">
        <v>0.20082666474419</v>
      </c>
    </row>
    <row r="4054" spans="1:3" s="7" customFormat="1" x14ac:dyDescent="0.2">
      <c r="A4054" s="6" t="str">
        <f>"DCAF4"</f>
        <v>DCAF4</v>
      </c>
      <c r="B4054" s="6">
        <v>4.8951048951048903E-2</v>
      </c>
      <c r="C4054" s="6">
        <v>0.20082666474419</v>
      </c>
    </row>
    <row r="4055" spans="1:3" s="7" customFormat="1" x14ac:dyDescent="0.2">
      <c r="A4055" s="6" t="str">
        <f>"SMIM24"</f>
        <v>SMIM24</v>
      </c>
      <c r="B4055" s="6">
        <v>4.8951048951048903E-2</v>
      </c>
      <c r="C4055" s="6">
        <v>0.20082666474419</v>
      </c>
    </row>
    <row r="4056" spans="1:3" s="7" customFormat="1" x14ac:dyDescent="0.2">
      <c r="A4056" s="6" t="str">
        <f>"STARD13"</f>
        <v>STARD13</v>
      </c>
      <c r="B4056" s="6">
        <v>4.8951048951048903E-2</v>
      </c>
      <c r="C4056" s="6">
        <v>0.20082666474419</v>
      </c>
    </row>
    <row r="4057" spans="1:3" s="7" customFormat="1" x14ac:dyDescent="0.2">
      <c r="A4057" s="6" t="str">
        <f>"GATAD1"</f>
        <v>GATAD1</v>
      </c>
      <c r="B4057" s="6">
        <v>4.8951048951048903E-2</v>
      </c>
      <c r="C4057" s="6">
        <v>0.20082666474419</v>
      </c>
    </row>
    <row r="4058" spans="1:3" s="7" customFormat="1" x14ac:dyDescent="0.2">
      <c r="A4058" s="6" t="str">
        <f>"SLC35E4"</f>
        <v>SLC35E4</v>
      </c>
      <c r="B4058" s="6">
        <v>4.8951048951048903E-2</v>
      </c>
      <c r="C4058" s="6">
        <v>0.20082666474419</v>
      </c>
    </row>
    <row r="4059" spans="1:3" s="7" customFormat="1" x14ac:dyDescent="0.2">
      <c r="A4059" s="6" t="str">
        <f>"FNTA"</f>
        <v>FNTA</v>
      </c>
      <c r="B4059" s="6">
        <v>4.8951048951048903E-2</v>
      </c>
      <c r="C4059" s="6">
        <v>0.20082666474419</v>
      </c>
    </row>
    <row r="4060" spans="1:3" s="7" customFormat="1" x14ac:dyDescent="0.2">
      <c r="A4060" s="6" t="str">
        <f>"FBXO5"</f>
        <v>FBXO5</v>
      </c>
      <c r="B4060" s="6">
        <v>4.8951048951048903E-2</v>
      </c>
      <c r="C4060" s="6">
        <v>0.20082666474419</v>
      </c>
    </row>
    <row r="4061" spans="1:3" s="7" customFormat="1" x14ac:dyDescent="0.2">
      <c r="A4061" s="6" t="str">
        <f>"GSTK1"</f>
        <v>GSTK1</v>
      </c>
      <c r="B4061" s="6">
        <v>4.8951048951048903E-2</v>
      </c>
      <c r="C4061" s="6">
        <v>0.20082666474419</v>
      </c>
    </row>
    <row r="4062" spans="1:3" s="7" customFormat="1" x14ac:dyDescent="0.2">
      <c r="A4062" s="6" t="str">
        <f>"RASSF9"</f>
        <v>RASSF9</v>
      </c>
      <c r="B4062" s="6">
        <v>4.8951048951048903E-2</v>
      </c>
      <c r="C4062" s="6">
        <v>0.20082666474419</v>
      </c>
    </row>
    <row r="4063" spans="1:3" s="7" customFormat="1" x14ac:dyDescent="0.2">
      <c r="A4063" s="6" t="str">
        <f>"TSTD2"</f>
        <v>TSTD2</v>
      </c>
      <c r="B4063" s="6">
        <v>4.8951048951048903E-2</v>
      </c>
      <c r="C4063" s="6">
        <v>0.20082666474419</v>
      </c>
    </row>
    <row r="4064" spans="1:3" s="7" customFormat="1" x14ac:dyDescent="0.2">
      <c r="A4064" s="6" t="str">
        <f>"USP31"</f>
        <v>USP31</v>
      </c>
      <c r="B4064" s="6">
        <v>4.8951048951048903E-2</v>
      </c>
      <c r="C4064" s="6">
        <v>0.20082666474419</v>
      </c>
    </row>
    <row r="4065" spans="1:3" s="7" customFormat="1" x14ac:dyDescent="0.2">
      <c r="A4065" s="6" t="str">
        <f>"RIBC1"</f>
        <v>RIBC1</v>
      </c>
      <c r="B4065" s="6">
        <v>4.8951048951048903E-2</v>
      </c>
      <c r="C4065" s="6">
        <v>0.20082666474419</v>
      </c>
    </row>
    <row r="4066" spans="1:3" s="7" customFormat="1" x14ac:dyDescent="0.2">
      <c r="A4066" s="6" t="str">
        <f>"LRRC37A3"</f>
        <v>LRRC37A3</v>
      </c>
      <c r="B4066" s="6">
        <v>4.8951048951048903E-2</v>
      </c>
      <c r="C4066" s="6">
        <v>0.20082666474419</v>
      </c>
    </row>
    <row r="4067" spans="1:3" s="7" customFormat="1" x14ac:dyDescent="0.2">
      <c r="A4067" s="6" t="str">
        <f>"SH2D4A"</f>
        <v>SH2D4A</v>
      </c>
      <c r="B4067" s="6">
        <v>4.8951048951048903E-2</v>
      </c>
      <c r="C4067" s="6">
        <v>0.20082666474419</v>
      </c>
    </row>
    <row r="4068" spans="1:3" s="7" customFormat="1" x14ac:dyDescent="0.2">
      <c r="A4068" s="6" t="str">
        <f>"AC138627.1"</f>
        <v>AC138627.1</v>
      </c>
      <c r="B4068" s="6">
        <v>4.8951048951048903E-2</v>
      </c>
      <c r="C4068" s="6">
        <v>0.20082666474419</v>
      </c>
    </row>
    <row r="4069" spans="1:3" s="7" customFormat="1" x14ac:dyDescent="0.2">
      <c r="A4069" s="6" t="str">
        <f>"EIF2AK2"</f>
        <v>EIF2AK2</v>
      </c>
      <c r="B4069" s="6">
        <v>4.8951048951048903E-2</v>
      </c>
      <c r="C4069" s="6">
        <v>0.20082666474419</v>
      </c>
    </row>
    <row r="4070" spans="1:3" s="7" customFormat="1" x14ac:dyDescent="0.2">
      <c r="A4070" s="6" t="str">
        <f>"AL049839.2"</f>
        <v>AL049839.2</v>
      </c>
      <c r="B4070" s="6">
        <v>4.8951048951048903E-2</v>
      </c>
      <c r="C4070" s="6">
        <v>0.20082666474419</v>
      </c>
    </row>
    <row r="4071" spans="1:3" s="7" customFormat="1" x14ac:dyDescent="0.2">
      <c r="A4071" s="6" t="str">
        <f>"FRMPD2"</f>
        <v>FRMPD2</v>
      </c>
      <c r="B4071" s="6">
        <v>4.8951048951048903E-2</v>
      </c>
      <c r="C4071" s="6">
        <v>0.20082666474419</v>
      </c>
    </row>
    <row r="4072" spans="1:3" s="7" customFormat="1" x14ac:dyDescent="0.2">
      <c r="A4072" s="6" t="str">
        <f>"DCTN6"</f>
        <v>DCTN6</v>
      </c>
      <c r="B4072" s="6">
        <v>4.8951048951048903E-2</v>
      </c>
      <c r="C4072" s="6">
        <v>0.20082666474419</v>
      </c>
    </row>
    <row r="4073" spans="1:3" s="7" customFormat="1" x14ac:dyDescent="0.2">
      <c r="A4073" s="6" t="str">
        <f>"GDF11"</f>
        <v>GDF11</v>
      </c>
      <c r="B4073" s="6">
        <v>4.8951048951048903E-2</v>
      </c>
      <c r="C4073" s="6">
        <v>0.20082666474419</v>
      </c>
    </row>
    <row r="4074" spans="1:3" s="7" customFormat="1" x14ac:dyDescent="0.2">
      <c r="A4074" s="6" t="str">
        <f>"ATP13A1"</f>
        <v>ATP13A1</v>
      </c>
      <c r="B4074" s="6">
        <v>4.8951048951048903E-2</v>
      </c>
      <c r="C4074" s="6">
        <v>0.20082666474419</v>
      </c>
    </row>
    <row r="4075" spans="1:3" s="7" customFormat="1" x14ac:dyDescent="0.2">
      <c r="A4075" s="6" t="str">
        <f>"MAPKAPK5"</f>
        <v>MAPKAPK5</v>
      </c>
      <c r="B4075" s="6">
        <v>4.8951048951048903E-2</v>
      </c>
      <c r="C4075" s="6">
        <v>0.20082666474419</v>
      </c>
    </row>
    <row r="4076" spans="1:3" s="7" customFormat="1" x14ac:dyDescent="0.2">
      <c r="A4076" s="6" t="str">
        <f>"CDC37L1-DT"</f>
        <v>CDC37L1-DT</v>
      </c>
      <c r="B4076" s="6">
        <v>4.9000000000000002E-2</v>
      </c>
      <c r="C4076" s="6">
        <v>0.20092885181550499</v>
      </c>
    </row>
    <row r="4077" spans="1:3" s="7" customFormat="1" x14ac:dyDescent="0.2">
      <c r="A4077" s="6" t="str">
        <f>"AC092745.1"</f>
        <v>AC092745.1</v>
      </c>
      <c r="B4077" s="6">
        <v>4.9000000000000002E-2</v>
      </c>
      <c r="C4077" s="6">
        <v>0.20092885181550499</v>
      </c>
    </row>
    <row r="4078" spans="1:3" s="7" customFormat="1" x14ac:dyDescent="0.2">
      <c r="A4078" s="6" t="str">
        <f>"ACTN1"</f>
        <v>ACTN1</v>
      </c>
      <c r="B4078" s="6">
        <v>4.9950049950049903E-2</v>
      </c>
      <c r="C4078" s="6">
        <v>0.20347675721792199</v>
      </c>
    </row>
    <row r="4079" spans="1:3" s="7" customFormat="1" x14ac:dyDescent="0.2">
      <c r="A4079" s="6" t="str">
        <f>"DPYSL3"</f>
        <v>DPYSL3</v>
      </c>
      <c r="B4079" s="6">
        <v>4.9950049950049903E-2</v>
      </c>
      <c r="C4079" s="6">
        <v>0.20347675721792199</v>
      </c>
    </row>
    <row r="4080" spans="1:3" s="7" customFormat="1" x14ac:dyDescent="0.2">
      <c r="A4080" s="6" t="str">
        <f>"ABHD15"</f>
        <v>ABHD15</v>
      </c>
      <c r="B4080" s="6">
        <v>4.9950049950049903E-2</v>
      </c>
      <c r="C4080" s="6">
        <v>0.20347675721792199</v>
      </c>
    </row>
    <row r="4081" spans="1:3" s="7" customFormat="1" x14ac:dyDescent="0.2">
      <c r="A4081" s="6" t="str">
        <f>"GGT1"</f>
        <v>GGT1</v>
      </c>
      <c r="B4081" s="6">
        <v>4.9950049950049903E-2</v>
      </c>
      <c r="C4081" s="6">
        <v>0.20347675721792199</v>
      </c>
    </row>
    <row r="4082" spans="1:3" s="7" customFormat="1" x14ac:dyDescent="0.2">
      <c r="A4082" s="6" t="str">
        <f>"AL627309.1"</f>
        <v>AL627309.1</v>
      </c>
      <c r="B4082" s="6">
        <v>4.9950049950049903E-2</v>
      </c>
      <c r="C4082" s="6">
        <v>0.20347675721792199</v>
      </c>
    </row>
    <row r="4083" spans="1:3" s="7" customFormat="1" x14ac:dyDescent="0.2">
      <c r="A4083" s="6" t="str">
        <f>"ATP1B2"</f>
        <v>ATP1B2</v>
      </c>
      <c r="B4083" s="6">
        <v>4.9950049950049903E-2</v>
      </c>
      <c r="C4083" s="6">
        <v>0.20347675721792199</v>
      </c>
    </row>
    <row r="4084" spans="1:3" s="7" customFormat="1" x14ac:dyDescent="0.2">
      <c r="A4084" s="6" t="str">
        <f>"LRRC1"</f>
        <v>LRRC1</v>
      </c>
      <c r="B4084" s="6">
        <v>4.9950049950049903E-2</v>
      </c>
      <c r="C4084" s="6">
        <v>0.20347675721792199</v>
      </c>
    </row>
    <row r="4085" spans="1:3" s="7" customFormat="1" x14ac:dyDescent="0.2">
      <c r="A4085" s="6" t="str">
        <f>"IL17RB"</f>
        <v>IL17RB</v>
      </c>
      <c r="B4085" s="6">
        <v>4.9950049950049903E-2</v>
      </c>
      <c r="C4085" s="6">
        <v>0.20347675721792199</v>
      </c>
    </row>
    <row r="4086" spans="1:3" s="7" customFormat="1" x14ac:dyDescent="0.2">
      <c r="A4086" s="6" t="str">
        <f>"TNNI2"</f>
        <v>TNNI2</v>
      </c>
      <c r="B4086" s="6">
        <v>4.9950049950049903E-2</v>
      </c>
      <c r="C4086" s="6">
        <v>0.20347675721792199</v>
      </c>
    </row>
    <row r="4087" spans="1:3" s="7" customFormat="1" x14ac:dyDescent="0.2">
      <c r="A4087" s="6" t="str">
        <f>"SLC6A14"</f>
        <v>SLC6A14</v>
      </c>
      <c r="B4087" s="6">
        <v>4.9950049950049903E-2</v>
      </c>
      <c r="C4087" s="6">
        <v>0.20347675721792199</v>
      </c>
    </row>
    <row r="4088" spans="1:3" s="7" customFormat="1" x14ac:dyDescent="0.2">
      <c r="A4088" s="6" t="str">
        <f>"FOSB"</f>
        <v>FOSB</v>
      </c>
      <c r="B4088" s="6">
        <v>4.9950049950049903E-2</v>
      </c>
      <c r="C4088" s="6">
        <v>0.20347675721792199</v>
      </c>
    </row>
    <row r="4089" spans="1:3" s="7" customFormat="1" x14ac:dyDescent="0.2">
      <c r="A4089" s="6" t="str">
        <f>"BEST3"</f>
        <v>BEST3</v>
      </c>
      <c r="B4089" s="6">
        <v>4.9950049950049903E-2</v>
      </c>
      <c r="C4089" s="6">
        <v>0.20347675721792199</v>
      </c>
    </row>
    <row r="4090" spans="1:3" s="7" customFormat="1" x14ac:dyDescent="0.2">
      <c r="A4090" s="6" t="str">
        <f>"PRIM2"</f>
        <v>PRIM2</v>
      </c>
      <c r="B4090" s="6">
        <v>4.9950049950049903E-2</v>
      </c>
      <c r="C4090" s="6">
        <v>0.20347675721792199</v>
      </c>
    </row>
    <row r="4091" spans="1:3" s="7" customFormat="1" x14ac:dyDescent="0.2">
      <c r="A4091" s="6" t="str">
        <f>"TMLHE-AS1"</f>
        <v>TMLHE-AS1</v>
      </c>
      <c r="B4091" s="6">
        <v>4.9950049950049903E-2</v>
      </c>
      <c r="C4091" s="6">
        <v>0.20347675721792199</v>
      </c>
    </row>
    <row r="4092" spans="1:3" s="7" customFormat="1" x14ac:dyDescent="0.2">
      <c r="A4092" s="6" t="str">
        <f>"AC008555.4"</f>
        <v>AC008555.4</v>
      </c>
      <c r="B4092" s="6">
        <v>4.9950049950049903E-2</v>
      </c>
      <c r="C4092" s="6">
        <v>0.20347675721792199</v>
      </c>
    </row>
    <row r="4093" spans="1:3" s="7" customFormat="1" x14ac:dyDescent="0.2">
      <c r="A4093" s="6" t="str">
        <f>"ARMC1"</f>
        <v>ARMC1</v>
      </c>
      <c r="B4093" s="6">
        <v>4.9950049950049903E-2</v>
      </c>
      <c r="C4093" s="6">
        <v>0.20347675721792199</v>
      </c>
    </row>
    <row r="4094" spans="1:3" s="7" customFormat="1" x14ac:dyDescent="0.2">
      <c r="A4094" s="6" t="str">
        <f>"THBS3-AS1"</f>
        <v>THBS3-AS1</v>
      </c>
      <c r="B4094" s="6">
        <v>4.9950049950049903E-2</v>
      </c>
      <c r="C4094" s="6">
        <v>0.20347675721792199</v>
      </c>
    </row>
    <row r="4095" spans="1:3" s="7" customFormat="1" x14ac:dyDescent="0.2">
      <c r="A4095" s="6" t="str">
        <f>"TPM4"</f>
        <v>TPM4</v>
      </c>
      <c r="B4095" s="6">
        <v>4.9950049950049903E-2</v>
      </c>
      <c r="C4095" s="6">
        <v>0.20347675721792199</v>
      </c>
    </row>
    <row r="4096" spans="1:3" s="7" customFormat="1" x14ac:dyDescent="0.2">
      <c r="A4096" s="6" t="str">
        <f>"DHRS4"</f>
        <v>DHRS4</v>
      </c>
      <c r="B4096" s="6">
        <v>4.9950049950049903E-2</v>
      </c>
      <c r="C4096" s="6">
        <v>0.20347675721792199</v>
      </c>
    </row>
    <row r="4097" spans="1:3" s="7" customFormat="1" x14ac:dyDescent="0.2">
      <c r="A4097" s="6" t="str">
        <f>"NAIPP1"</f>
        <v>NAIPP1</v>
      </c>
      <c r="B4097" s="6">
        <v>4.9950049950049903E-2</v>
      </c>
      <c r="C4097" s="6">
        <v>0.20347675721792199</v>
      </c>
    </row>
    <row r="4098" spans="1:3" s="7" customFormat="1" x14ac:dyDescent="0.2">
      <c r="A4098" s="6" t="str">
        <f>"AC008747.1"</f>
        <v>AC008747.1</v>
      </c>
      <c r="B4098" s="6">
        <v>4.9950049950049903E-2</v>
      </c>
      <c r="C4098" s="6">
        <v>0.20347675721792199</v>
      </c>
    </row>
    <row r="4099" spans="1:3" s="7" customFormat="1" x14ac:dyDescent="0.2">
      <c r="A4099" s="6" t="str">
        <f>"RAD1"</f>
        <v>RAD1</v>
      </c>
      <c r="B4099" s="6">
        <v>4.9950049950049903E-2</v>
      </c>
      <c r="C4099" s="6">
        <v>0.20347675721792199</v>
      </c>
    </row>
    <row r="4100" spans="1:3" s="7" customFormat="1" x14ac:dyDescent="0.2">
      <c r="A4100" s="6" t="str">
        <f>"ZCCHC7"</f>
        <v>ZCCHC7</v>
      </c>
      <c r="B4100" s="6">
        <v>4.9950049950049903E-2</v>
      </c>
      <c r="C4100" s="6">
        <v>0.20347675721792199</v>
      </c>
    </row>
    <row r="4101" spans="1:3" s="7" customFormat="1" x14ac:dyDescent="0.2">
      <c r="A4101" s="6" t="str">
        <f>"SPAG17"</f>
        <v>SPAG17</v>
      </c>
      <c r="B4101" s="6">
        <v>4.9950049950049903E-2</v>
      </c>
      <c r="C4101" s="6">
        <v>0.20347675721792199</v>
      </c>
    </row>
    <row r="4102" spans="1:3" s="7" customFormat="1" x14ac:dyDescent="0.2">
      <c r="A4102" s="6" t="str">
        <f>"TUBB3"</f>
        <v>TUBB3</v>
      </c>
      <c r="B4102" s="6">
        <v>4.9950049950049903E-2</v>
      </c>
      <c r="C4102" s="6">
        <v>0.20347675721792199</v>
      </c>
    </row>
    <row r="4103" spans="1:3" s="7" customFormat="1" x14ac:dyDescent="0.2">
      <c r="A4103" s="6" t="str">
        <f>"SLC39A6"</f>
        <v>SLC39A6</v>
      </c>
      <c r="B4103" s="6">
        <v>4.9950049950049903E-2</v>
      </c>
      <c r="C4103" s="6">
        <v>0.20347675721792199</v>
      </c>
    </row>
    <row r="4104" spans="1:3" s="7" customFormat="1" x14ac:dyDescent="0.2">
      <c r="A4104" s="6" t="str">
        <f>"SLC3A2"</f>
        <v>SLC3A2</v>
      </c>
      <c r="B4104" s="6">
        <v>4.9950049950049903E-2</v>
      </c>
      <c r="C4104" s="6">
        <v>0.20347675721792199</v>
      </c>
    </row>
    <row r="4105" spans="1:3" s="7" customFormat="1" x14ac:dyDescent="0.2">
      <c r="A4105" s="6" t="str">
        <f>"SMIM10L2B"</f>
        <v>SMIM10L2B</v>
      </c>
      <c r="B4105" s="6">
        <v>0.05</v>
      </c>
      <c r="C4105" s="6">
        <v>0.203580998781973</v>
      </c>
    </row>
    <row r="4106" spans="1:3" s="7" customFormat="1" x14ac:dyDescent="0.2">
      <c r="A4106" s="6" t="str">
        <f>"MATN3"</f>
        <v>MATN3</v>
      </c>
      <c r="B4106" s="6">
        <v>0.05</v>
      </c>
      <c r="C4106" s="6">
        <v>0.203580998781973</v>
      </c>
    </row>
    <row r="4107" spans="1:3" s="7" customFormat="1" x14ac:dyDescent="0.2">
      <c r="A4107" s="6" t="str">
        <f>"RIPK2"</f>
        <v>RIPK2</v>
      </c>
      <c r="B4107" s="6">
        <v>5.0050050050049998E-2</v>
      </c>
      <c r="C4107" s="6">
        <v>0.203735152590486</v>
      </c>
    </row>
    <row r="4108" spans="1:3" s="7" customFormat="1" x14ac:dyDescent="0.2">
      <c r="A4108" s="6" t="str">
        <f>"ZFP57"</f>
        <v>ZFP57</v>
      </c>
      <c r="B4108" s="6">
        <v>5.0100200400801598E-2</v>
      </c>
      <c r="C4108" s="6">
        <v>0.20388963951765199</v>
      </c>
    </row>
    <row r="4109" spans="1:3" s="7" customFormat="1" x14ac:dyDescent="0.2">
      <c r="A4109" s="6" t="str">
        <f>"AC005746.1"</f>
        <v>AC005746.1</v>
      </c>
      <c r="B4109" s="6">
        <v>5.0150451354062098E-2</v>
      </c>
      <c r="C4109" s="6">
        <v>0.20404446054814801</v>
      </c>
    </row>
    <row r="4110" spans="1:3" s="7" customFormat="1" x14ac:dyDescent="0.2">
      <c r="A4110" s="6" t="str">
        <f>"RUSC1-AS1"</f>
        <v>RUSC1-AS1</v>
      </c>
      <c r="B4110" s="6">
        <v>5.0204918032786802E-2</v>
      </c>
      <c r="C4110" s="6">
        <v>0.204216354344122</v>
      </c>
    </row>
    <row r="4111" spans="1:3" s="7" customFormat="1" x14ac:dyDescent="0.2">
      <c r="A4111" s="6" t="str">
        <f>"TEX45"</f>
        <v>TEX45</v>
      </c>
      <c r="B4111" s="6">
        <v>5.0403225806451603E-2</v>
      </c>
      <c r="C4111" s="6">
        <v>0.20497311827956899</v>
      </c>
    </row>
    <row r="4112" spans="1:3" s="7" customFormat="1" x14ac:dyDescent="0.2">
      <c r="A4112" s="6" t="str">
        <f>"TXN2"</f>
        <v>TXN2</v>
      </c>
      <c r="B4112" s="6">
        <v>5.0949050949050903E-2</v>
      </c>
      <c r="C4112" s="6">
        <v>0.20514633523546999</v>
      </c>
    </row>
    <row r="4113" spans="1:3" s="7" customFormat="1" x14ac:dyDescent="0.2">
      <c r="A4113" s="6" t="str">
        <f>"MAP2K3"</f>
        <v>MAP2K3</v>
      </c>
      <c r="B4113" s="6">
        <v>5.0949050949050903E-2</v>
      </c>
      <c r="C4113" s="6">
        <v>0.20514633523546999</v>
      </c>
    </row>
    <row r="4114" spans="1:3" s="7" customFormat="1" x14ac:dyDescent="0.2">
      <c r="A4114" s="6" t="str">
        <f>"ITGAD"</f>
        <v>ITGAD</v>
      </c>
      <c r="B4114" s="6">
        <v>5.0949050949050903E-2</v>
      </c>
      <c r="C4114" s="6">
        <v>0.20514633523546999</v>
      </c>
    </row>
    <row r="4115" spans="1:3" s="7" customFormat="1" x14ac:dyDescent="0.2">
      <c r="A4115" s="6" t="str">
        <f>"FCER2"</f>
        <v>FCER2</v>
      </c>
      <c r="B4115" s="6">
        <v>5.0949050949050903E-2</v>
      </c>
      <c r="C4115" s="6">
        <v>0.20514633523546999</v>
      </c>
    </row>
    <row r="4116" spans="1:3" s="7" customFormat="1" x14ac:dyDescent="0.2">
      <c r="A4116" s="6" t="str">
        <f>"RTKN2"</f>
        <v>RTKN2</v>
      </c>
      <c r="B4116" s="6">
        <v>5.0949050949050903E-2</v>
      </c>
      <c r="C4116" s="6">
        <v>0.20514633523546999</v>
      </c>
    </row>
    <row r="4117" spans="1:3" s="7" customFormat="1" x14ac:dyDescent="0.2">
      <c r="A4117" s="6" t="str">
        <f>"PNP"</f>
        <v>PNP</v>
      </c>
      <c r="B4117" s="6">
        <v>5.0949050949050903E-2</v>
      </c>
      <c r="C4117" s="6">
        <v>0.20514633523546999</v>
      </c>
    </row>
    <row r="4118" spans="1:3" s="7" customFormat="1" x14ac:dyDescent="0.2">
      <c r="A4118" s="6" t="str">
        <f>"ARHGEF35"</f>
        <v>ARHGEF35</v>
      </c>
      <c r="B4118" s="6">
        <v>5.0949050949050903E-2</v>
      </c>
      <c r="C4118" s="6">
        <v>0.20514633523546999</v>
      </c>
    </row>
    <row r="4119" spans="1:3" s="7" customFormat="1" x14ac:dyDescent="0.2">
      <c r="A4119" s="6" t="str">
        <f>"PSMD6"</f>
        <v>PSMD6</v>
      </c>
      <c r="B4119" s="6">
        <v>5.0949050949050903E-2</v>
      </c>
      <c r="C4119" s="6">
        <v>0.20514633523546999</v>
      </c>
    </row>
    <row r="4120" spans="1:3" s="7" customFormat="1" x14ac:dyDescent="0.2">
      <c r="A4120" s="6" t="str">
        <f>"MTOR"</f>
        <v>MTOR</v>
      </c>
      <c r="B4120" s="6">
        <v>5.0949050949050903E-2</v>
      </c>
      <c r="C4120" s="6">
        <v>0.20514633523546999</v>
      </c>
    </row>
    <row r="4121" spans="1:3" s="7" customFormat="1" x14ac:dyDescent="0.2">
      <c r="A4121" s="6" t="str">
        <f>"TRIM55"</f>
        <v>TRIM55</v>
      </c>
      <c r="B4121" s="6">
        <v>5.0949050949050903E-2</v>
      </c>
      <c r="C4121" s="6">
        <v>0.20514633523546999</v>
      </c>
    </row>
    <row r="4122" spans="1:3" s="7" customFormat="1" x14ac:dyDescent="0.2">
      <c r="A4122" s="6" t="str">
        <f>"CACNA1C"</f>
        <v>CACNA1C</v>
      </c>
      <c r="B4122" s="6">
        <v>5.0949050949050903E-2</v>
      </c>
      <c r="C4122" s="6">
        <v>0.20514633523546999</v>
      </c>
    </row>
    <row r="4123" spans="1:3" s="7" customFormat="1" x14ac:dyDescent="0.2">
      <c r="A4123" s="6" t="str">
        <f>"SLC16A11"</f>
        <v>SLC16A11</v>
      </c>
      <c r="B4123" s="6">
        <v>5.0949050949050903E-2</v>
      </c>
      <c r="C4123" s="6">
        <v>0.20514633523546999</v>
      </c>
    </row>
    <row r="4124" spans="1:3" s="7" customFormat="1" x14ac:dyDescent="0.2">
      <c r="A4124" s="6" t="str">
        <f>"CHCHD1"</f>
        <v>CHCHD1</v>
      </c>
      <c r="B4124" s="6">
        <v>5.0949050949050903E-2</v>
      </c>
      <c r="C4124" s="6">
        <v>0.20514633523546999</v>
      </c>
    </row>
    <row r="4125" spans="1:3" s="7" customFormat="1" x14ac:dyDescent="0.2">
      <c r="A4125" s="6" t="str">
        <f>"IRF8"</f>
        <v>IRF8</v>
      </c>
      <c r="B4125" s="6">
        <v>5.0949050949050903E-2</v>
      </c>
      <c r="C4125" s="6">
        <v>0.20514633523546999</v>
      </c>
    </row>
    <row r="4126" spans="1:3" s="7" customFormat="1" x14ac:dyDescent="0.2">
      <c r="A4126" s="6" t="str">
        <f>"SCN5A"</f>
        <v>SCN5A</v>
      </c>
      <c r="B4126" s="6">
        <v>5.0949050949050903E-2</v>
      </c>
      <c r="C4126" s="6">
        <v>0.20514633523546999</v>
      </c>
    </row>
    <row r="4127" spans="1:3" s="7" customFormat="1" x14ac:dyDescent="0.2">
      <c r="A4127" s="6" t="str">
        <f>"LINC00632"</f>
        <v>LINC00632</v>
      </c>
      <c r="B4127" s="6">
        <v>5.0949050949050903E-2</v>
      </c>
      <c r="C4127" s="6">
        <v>0.20514633523546999</v>
      </c>
    </row>
    <row r="4128" spans="1:3" s="7" customFormat="1" x14ac:dyDescent="0.2">
      <c r="A4128" s="6" t="str">
        <f>"CPEB3"</f>
        <v>CPEB3</v>
      </c>
      <c r="B4128" s="6">
        <v>5.0949050949050903E-2</v>
      </c>
      <c r="C4128" s="6">
        <v>0.20514633523546999</v>
      </c>
    </row>
    <row r="4129" spans="1:3" s="7" customFormat="1" x14ac:dyDescent="0.2">
      <c r="A4129" s="6" t="str">
        <f>"POFUT1"</f>
        <v>POFUT1</v>
      </c>
      <c r="B4129" s="6">
        <v>5.0949050949050903E-2</v>
      </c>
      <c r="C4129" s="6">
        <v>0.20514633523546999</v>
      </c>
    </row>
    <row r="4130" spans="1:3" s="7" customFormat="1" x14ac:dyDescent="0.2">
      <c r="A4130" s="6" t="str">
        <f>"GEMIN5"</f>
        <v>GEMIN5</v>
      </c>
      <c r="B4130" s="6">
        <v>5.0949050949050903E-2</v>
      </c>
      <c r="C4130" s="6">
        <v>0.20514633523546999</v>
      </c>
    </row>
    <row r="4131" spans="1:3" s="7" customFormat="1" x14ac:dyDescent="0.2">
      <c r="A4131" s="6" t="str">
        <f>"AC090004.2"</f>
        <v>AC090004.2</v>
      </c>
      <c r="B4131" s="6">
        <v>5.0949050949050903E-2</v>
      </c>
      <c r="C4131" s="6">
        <v>0.20514633523546999</v>
      </c>
    </row>
    <row r="4132" spans="1:3" s="7" customFormat="1" x14ac:dyDescent="0.2">
      <c r="A4132" s="6" t="str">
        <f>"PCDH7"</f>
        <v>PCDH7</v>
      </c>
      <c r="B4132" s="6">
        <v>5.0949050949050903E-2</v>
      </c>
      <c r="C4132" s="6">
        <v>0.20514633523546999</v>
      </c>
    </row>
    <row r="4133" spans="1:3" s="7" customFormat="1" x14ac:dyDescent="0.2">
      <c r="A4133" s="6" t="str">
        <f>"PARS2"</f>
        <v>PARS2</v>
      </c>
      <c r="B4133" s="6">
        <v>5.0949050949050903E-2</v>
      </c>
      <c r="C4133" s="6">
        <v>0.20514633523546999</v>
      </c>
    </row>
    <row r="4134" spans="1:3" s="7" customFormat="1" x14ac:dyDescent="0.2">
      <c r="A4134" s="6" t="str">
        <f>"AC073476.2"</f>
        <v>AC073476.2</v>
      </c>
      <c r="B4134" s="6">
        <v>5.0709939148073001E-2</v>
      </c>
      <c r="C4134" s="6">
        <v>0.20514633523546999</v>
      </c>
    </row>
    <row r="4135" spans="1:3" s="7" customFormat="1" x14ac:dyDescent="0.2">
      <c r="A4135" s="6" t="str">
        <f>"ZNF140"</f>
        <v>ZNF140</v>
      </c>
      <c r="B4135" s="6">
        <v>5.0949050949050903E-2</v>
      </c>
      <c r="C4135" s="6">
        <v>0.20514633523546999</v>
      </c>
    </row>
    <row r="4136" spans="1:3" s="7" customFormat="1" x14ac:dyDescent="0.2">
      <c r="A4136" s="6" t="str">
        <f>"TPCN1"</f>
        <v>TPCN1</v>
      </c>
      <c r="B4136" s="6">
        <v>5.0949050949050903E-2</v>
      </c>
      <c r="C4136" s="6">
        <v>0.20514633523546999</v>
      </c>
    </row>
    <row r="4137" spans="1:3" s="7" customFormat="1" x14ac:dyDescent="0.2">
      <c r="A4137" s="6" t="str">
        <f>"NME3"</f>
        <v>NME3</v>
      </c>
      <c r="B4137" s="6">
        <v>5.0949050949050903E-2</v>
      </c>
      <c r="C4137" s="6">
        <v>0.20514633523546999</v>
      </c>
    </row>
    <row r="4138" spans="1:3" s="7" customFormat="1" x14ac:dyDescent="0.2">
      <c r="A4138" s="6" t="str">
        <f>"RGP1"</f>
        <v>RGP1</v>
      </c>
      <c r="B4138" s="6">
        <v>5.0949050949050903E-2</v>
      </c>
      <c r="C4138" s="6">
        <v>0.20514633523546999</v>
      </c>
    </row>
    <row r="4139" spans="1:3" s="7" customFormat="1" x14ac:dyDescent="0.2">
      <c r="A4139" s="6" t="str">
        <f>"TIMP4"</f>
        <v>TIMP4</v>
      </c>
      <c r="B4139" s="6">
        <v>5.0949050949050903E-2</v>
      </c>
      <c r="C4139" s="6">
        <v>0.20514633523546999</v>
      </c>
    </row>
    <row r="4140" spans="1:3" s="7" customFormat="1" x14ac:dyDescent="0.2">
      <c r="A4140" s="6" t="str">
        <f>"EPS8L2"</f>
        <v>EPS8L2</v>
      </c>
      <c r="B4140" s="6">
        <v>5.0949050949050903E-2</v>
      </c>
      <c r="C4140" s="6">
        <v>0.20514633523546999</v>
      </c>
    </row>
    <row r="4141" spans="1:3" s="7" customFormat="1" x14ac:dyDescent="0.2">
      <c r="A4141" s="6" t="str">
        <f>"ADAM9"</f>
        <v>ADAM9</v>
      </c>
      <c r="B4141" s="6">
        <v>5.0949050949050903E-2</v>
      </c>
      <c r="C4141" s="6">
        <v>0.20514633523546999</v>
      </c>
    </row>
    <row r="4142" spans="1:3" s="7" customFormat="1" x14ac:dyDescent="0.2">
      <c r="A4142" s="6" t="str">
        <f>"HS3ST6"</f>
        <v>HS3ST6</v>
      </c>
      <c r="B4142" s="6">
        <v>5.0949050949050903E-2</v>
      </c>
      <c r="C4142" s="6">
        <v>0.20514633523546999</v>
      </c>
    </row>
    <row r="4143" spans="1:3" s="7" customFormat="1" x14ac:dyDescent="0.2">
      <c r="A4143" s="6" t="str">
        <f>"LRTOMT"</f>
        <v>LRTOMT</v>
      </c>
      <c r="B4143" s="6">
        <v>5.0949050949050903E-2</v>
      </c>
      <c r="C4143" s="6">
        <v>0.20514633523546999</v>
      </c>
    </row>
    <row r="4144" spans="1:3" s="7" customFormat="1" x14ac:dyDescent="0.2">
      <c r="A4144" s="6" t="str">
        <f>"PRDX5"</f>
        <v>PRDX5</v>
      </c>
      <c r="B4144" s="6">
        <v>5.0949050949050903E-2</v>
      </c>
      <c r="C4144" s="6">
        <v>0.20514633523546999</v>
      </c>
    </row>
    <row r="4145" spans="1:3" s="7" customFormat="1" x14ac:dyDescent="0.2">
      <c r="A4145" s="6" t="str">
        <f>"FPR3"</f>
        <v>FPR3</v>
      </c>
      <c r="B4145" s="6">
        <v>5.0949050949050903E-2</v>
      </c>
      <c r="C4145" s="6">
        <v>0.20514633523546999</v>
      </c>
    </row>
    <row r="4146" spans="1:3" s="7" customFormat="1" x14ac:dyDescent="0.2">
      <c r="A4146" s="6" t="str">
        <f>"SLC15A2"</f>
        <v>SLC15A2</v>
      </c>
      <c r="B4146" s="6">
        <v>5.0949050949050903E-2</v>
      </c>
      <c r="C4146" s="6">
        <v>0.20514633523546999</v>
      </c>
    </row>
    <row r="4147" spans="1:3" s="7" customFormat="1" x14ac:dyDescent="0.2">
      <c r="A4147" s="6" t="str">
        <f>"DYNLL1"</f>
        <v>DYNLL1</v>
      </c>
      <c r="B4147" s="6">
        <v>5.0949050949050903E-2</v>
      </c>
      <c r="C4147" s="6">
        <v>0.20514633523546999</v>
      </c>
    </row>
    <row r="4148" spans="1:3" s="7" customFormat="1" x14ac:dyDescent="0.2">
      <c r="A4148" s="6" t="str">
        <f>"YWHAE"</f>
        <v>YWHAE</v>
      </c>
      <c r="B4148" s="6">
        <v>5.0949050949050903E-2</v>
      </c>
      <c r="C4148" s="6">
        <v>0.20514633523546999</v>
      </c>
    </row>
    <row r="4149" spans="1:3" s="7" customFormat="1" x14ac:dyDescent="0.2">
      <c r="A4149" s="6" t="str">
        <f>"LDHAP3"</f>
        <v>LDHAP3</v>
      </c>
      <c r="B4149" s="6">
        <v>5.0949050949050903E-2</v>
      </c>
      <c r="C4149" s="6">
        <v>0.20514633523546999</v>
      </c>
    </row>
    <row r="4150" spans="1:3" s="7" customFormat="1" x14ac:dyDescent="0.2">
      <c r="A4150" s="6" t="str">
        <f>"MIR194-2HG"</f>
        <v>MIR194-2HG</v>
      </c>
      <c r="B4150" s="6">
        <v>5.0949050949050903E-2</v>
      </c>
      <c r="C4150" s="6">
        <v>0.20514633523546999</v>
      </c>
    </row>
    <row r="4151" spans="1:3" s="7" customFormat="1" x14ac:dyDescent="0.2">
      <c r="A4151" s="6" t="str">
        <f>"MIPOL1"</f>
        <v>MIPOL1</v>
      </c>
      <c r="B4151" s="6">
        <v>5.0949050949050903E-2</v>
      </c>
      <c r="C4151" s="6">
        <v>0.20514633523546999</v>
      </c>
    </row>
    <row r="4152" spans="1:3" s="7" customFormat="1" x14ac:dyDescent="0.2">
      <c r="A4152" s="6" t="str">
        <f>"GIT1"</f>
        <v>GIT1</v>
      </c>
      <c r="B4152" s="6">
        <v>5.0949050949050903E-2</v>
      </c>
      <c r="C4152" s="6">
        <v>0.20514633523546999</v>
      </c>
    </row>
    <row r="4153" spans="1:3" s="7" customFormat="1" x14ac:dyDescent="0.2">
      <c r="A4153" s="6" t="str">
        <f>"AL591845.1"</f>
        <v>AL591845.1</v>
      </c>
      <c r="B4153" s="6">
        <v>5.0999999999999997E-2</v>
      </c>
      <c r="C4153" s="6">
        <v>0.20530202312138701</v>
      </c>
    </row>
    <row r="4154" spans="1:3" s="7" customFormat="1" x14ac:dyDescent="0.2">
      <c r="A4154" s="6" t="str">
        <f>"SPART-AS1"</f>
        <v>SPART-AS1</v>
      </c>
      <c r="B4154" s="6">
        <v>5.1051051051050997E-2</v>
      </c>
      <c r="C4154" s="6">
        <v>0.20540858624633199</v>
      </c>
    </row>
    <row r="4155" spans="1:3" s="7" customFormat="1" x14ac:dyDescent="0.2">
      <c r="A4155" s="6" t="str">
        <f>"SEPTIN7P9"</f>
        <v>SEPTIN7P9</v>
      </c>
      <c r="B4155" s="6">
        <v>5.1051051051050997E-2</v>
      </c>
      <c r="C4155" s="6">
        <v>0.20540858624633199</v>
      </c>
    </row>
    <row r="4156" spans="1:3" s="7" customFormat="1" x14ac:dyDescent="0.2">
      <c r="A4156" s="6" t="str">
        <f>"AC116407.2"</f>
        <v>AC116407.2</v>
      </c>
      <c r="B4156" s="6">
        <v>5.1102204408817603E-2</v>
      </c>
      <c r="C4156" s="6">
        <v>0.20551545825047501</v>
      </c>
    </row>
    <row r="4157" spans="1:3" s="7" customFormat="1" x14ac:dyDescent="0.2">
      <c r="A4157" s="6" t="str">
        <f>"AC024361.2"</f>
        <v>AC024361.2</v>
      </c>
      <c r="B4157" s="6">
        <v>5.1102204408817603E-2</v>
      </c>
      <c r="C4157" s="6">
        <v>0.20551545825047501</v>
      </c>
    </row>
    <row r="4158" spans="1:3" s="7" customFormat="1" x14ac:dyDescent="0.2">
      <c r="A4158" s="6" t="str">
        <f>"ARNT"</f>
        <v>ARNT</v>
      </c>
      <c r="B4158" s="6">
        <v>5.1948051948051903E-2</v>
      </c>
      <c r="C4158" s="6">
        <v>0.20682699863262</v>
      </c>
    </row>
    <row r="4159" spans="1:3" s="7" customFormat="1" x14ac:dyDescent="0.2">
      <c r="A4159" s="6" t="str">
        <f>"HPCAL1"</f>
        <v>HPCAL1</v>
      </c>
      <c r="B4159" s="6">
        <v>5.1948051948051903E-2</v>
      </c>
      <c r="C4159" s="6">
        <v>0.20682699863262</v>
      </c>
    </row>
    <row r="4160" spans="1:3" s="7" customFormat="1" x14ac:dyDescent="0.2">
      <c r="A4160" s="6" t="str">
        <f>"SLC43A2"</f>
        <v>SLC43A2</v>
      </c>
      <c r="B4160" s="6">
        <v>5.1948051948051903E-2</v>
      </c>
      <c r="C4160" s="6">
        <v>0.20682699863262</v>
      </c>
    </row>
    <row r="4161" spans="1:3" s="7" customFormat="1" x14ac:dyDescent="0.2">
      <c r="A4161" s="6" t="str">
        <f>"SCNN1G"</f>
        <v>SCNN1G</v>
      </c>
      <c r="B4161" s="6">
        <v>5.1948051948051903E-2</v>
      </c>
      <c r="C4161" s="6">
        <v>0.20682699863262</v>
      </c>
    </row>
    <row r="4162" spans="1:3" s="7" customFormat="1" x14ac:dyDescent="0.2">
      <c r="A4162" s="6" t="str">
        <f>"AC018755.2"</f>
        <v>AC018755.2</v>
      </c>
      <c r="B4162" s="6">
        <v>5.1948051948051903E-2</v>
      </c>
      <c r="C4162" s="6">
        <v>0.20682699863262</v>
      </c>
    </row>
    <row r="4163" spans="1:3" s="7" customFormat="1" x14ac:dyDescent="0.2">
      <c r="A4163" s="6" t="str">
        <f>"WDR11-AS1"</f>
        <v>WDR11-AS1</v>
      </c>
      <c r="B4163" s="6">
        <v>5.1948051948051903E-2</v>
      </c>
      <c r="C4163" s="6">
        <v>0.20682699863262</v>
      </c>
    </row>
    <row r="4164" spans="1:3" s="7" customFormat="1" x14ac:dyDescent="0.2">
      <c r="A4164" s="6" t="str">
        <f>"IGKC"</f>
        <v>IGKC</v>
      </c>
      <c r="B4164" s="6">
        <v>5.1948051948051903E-2</v>
      </c>
      <c r="C4164" s="6">
        <v>0.20682699863262</v>
      </c>
    </row>
    <row r="4165" spans="1:3" s="7" customFormat="1" x14ac:dyDescent="0.2">
      <c r="A4165" s="6" t="str">
        <f>"PTER"</f>
        <v>PTER</v>
      </c>
      <c r="B4165" s="6">
        <v>5.1948051948051903E-2</v>
      </c>
      <c r="C4165" s="6">
        <v>0.20682699863262</v>
      </c>
    </row>
    <row r="4166" spans="1:3" s="7" customFormat="1" x14ac:dyDescent="0.2">
      <c r="A4166" s="6" t="str">
        <f>"BCAN"</f>
        <v>BCAN</v>
      </c>
      <c r="B4166" s="6">
        <v>5.1948051948051903E-2</v>
      </c>
      <c r="C4166" s="6">
        <v>0.20682699863262</v>
      </c>
    </row>
    <row r="4167" spans="1:3" s="7" customFormat="1" x14ac:dyDescent="0.2">
      <c r="A4167" s="6" t="str">
        <f>"SNAPIN"</f>
        <v>SNAPIN</v>
      </c>
      <c r="B4167" s="6">
        <v>5.1948051948051903E-2</v>
      </c>
      <c r="C4167" s="6">
        <v>0.20682699863262</v>
      </c>
    </row>
    <row r="4168" spans="1:3" s="7" customFormat="1" x14ac:dyDescent="0.2">
      <c r="A4168" s="6" t="str">
        <f>"AL590062.1"</f>
        <v>AL590062.1</v>
      </c>
      <c r="B4168" s="6">
        <v>5.1948051948051903E-2</v>
      </c>
      <c r="C4168" s="6">
        <v>0.20682699863262</v>
      </c>
    </row>
    <row r="4169" spans="1:3" s="7" customFormat="1" x14ac:dyDescent="0.2">
      <c r="A4169" s="6" t="str">
        <f>"SNIP1"</f>
        <v>SNIP1</v>
      </c>
      <c r="B4169" s="6">
        <v>5.1948051948051903E-2</v>
      </c>
      <c r="C4169" s="6">
        <v>0.20682699863262</v>
      </c>
    </row>
    <row r="4170" spans="1:3" s="7" customFormat="1" x14ac:dyDescent="0.2">
      <c r="A4170" s="6" t="str">
        <f>"MTND5P10"</f>
        <v>MTND5P10</v>
      </c>
      <c r="B4170" s="6">
        <v>5.17647058823529E-2</v>
      </c>
      <c r="C4170" s="6">
        <v>0.20682699863262</v>
      </c>
    </row>
    <row r="4171" spans="1:3" s="7" customFormat="1" x14ac:dyDescent="0.2">
      <c r="A4171" s="6" t="str">
        <f>"OGFOD1"</f>
        <v>OGFOD1</v>
      </c>
      <c r="B4171" s="6">
        <v>5.1948051948051903E-2</v>
      </c>
      <c r="C4171" s="6">
        <v>0.20682699863262</v>
      </c>
    </row>
    <row r="4172" spans="1:3" s="7" customFormat="1" x14ac:dyDescent="0.2">
      <c r="A4172" s="6" t="str">
        <f>"FAM185A"</f>
        <v>FAM185A</v>
      </c>
      <c r="B4172" s="6">
        <v>5.1948051948051903E-2</v>
      </c>
      <c r="C4172" s="6">
        <v>0.20682699863262</v>
      </c>
    </row>
    <row r="4173" spans="1:3" s="7" customFormat="1" x14ac:dyDescent="0.2">
      <c r="A4173" s="6" t="str">
        <f>"COL24A1"</f>
        <v>COL24A1</v>
      </c>
      <c r="B4173" s="6">
        <v>5.1948051948051903E-2</v>
      </c>
      <c r="C4173" s="6">
        <v>0.20682699863262</v>
      </c>
    </row>
    <row r="4174" spans="1:3" s="7" customFormat="1" x14ac:dyDescent="0.2">
      <c r="A4174" s="6" t="str">
        <f>"ARHGAP29"</f>
        <v>ARHGAP29</v>
      </c>
      <c r="B4174" s="6">
        <v>5.1948051948051903E-2</v>
      </c>
      <c r="C4174" s="6">
        <v>0.20682699863262</v>
      </c>
    </row>
    <row r="4175" spans="1:3" s="7" customFormat="1" x14ac:dyDescent="0.2">
      <c r="A4175" s="6" t="str">
        <f>"LINC01705"</f>
        <v>LINC01705</v>
      </c>
      <c r="B4175" s="6">
        <v>5.1948051948051903E-2</v>
      </c>
      <c r="C4175" s="6">
        <v>0.20682699863262</v>
      </c>
    </row>
    <row r="4176" spans="1:3" s="7" customFormat="1" x14ac:dyDescent="0.2">
      <c r="A4176" s="6" t="str">
        <f>"USF3"</f>
        <v>USF3</v>
      </c>
      <c r="B4176" s="6">
        <v>5.1948051948051903E-2</v>
      </c>
      <c r="C4176" s="6">
        <v>0.20682699863262</v>
      </c>
    </row>
    <row r="4177" spans="1:3" s="7" customFormat="1" x14ac:dyDescent="0.2">
      <c r="A4177" s="6" t="str">
        <f>"MBLAC2"</f>
        <v>MBLAC2</v>
      </c>
      <c r="B4177" s="6">
        <v>5.1948051948051903E-2</v>
      </c>
      <c r="C4177" s="6">
        <v>0.20682699863262</v>
      </c>
    </row>
    <row r="4178" spans="1:3" s="7" customFormat="1" x14ac:dyDescent="0.2">
      <c r="A4178" s="6" t="str">
        <f>"GPN1"</f>
        <v>GPN1</v>
      </c>
      <c r="B4178" s="6">
        <v>5.1948051948051903E-2</v>
      </c>
      <c r="C4178" s="6">
        <v>0.20682699863262</v>
      </c>
    </row>
    <row r="4179" spans="1:3" s="7" customFormat="1" x14ac:dyDescent="0.2">
      <c r="A4179" s="6" t="str">
        <f>"KPRP"</f>
        <v>KPRP</v>
      </c>
      <c r="B4179" s="6">
        <v>5.1948051948051903E-2</v>
      </c>
      <c r="C4179" s="6">
        <v>0.20682699863262</v>
      </c>
    </row>
    <row r="4180" spans="1:3" s="7" customFormat="1" x14ac:dyDescent="0.2">
      <c r="A4180" s="6" t="str">
        <f>"RAVER1"</f>
        <v>RAVER1</v>
      </c>
      <c r="B4180" s="6">
        <v>5.1948051948051903E-2</v>
      </c>
      <c r="C4180" s="6">
        <v>0.20682699863262</v>
      </c>
    </row>
    <row r="4181" spans="1:3" s="7" customFormat="1" x14ac:dyDescent="0.2">
      <c r="A4181" s="6" t="str">
        <f>"SLC16A5"</f>
        <v>SLC16A5</v>
      </c>
      <c r="B4181" s="6">
        <v>5.1948051948051903E-2</v>
      </c>
      <c r="C4181" s="6">
        <v>0.20682699863262</v>
      </c>
    </row>
    <row r="4182" spans="1:3" s="7" customFormat="1" x14ac:dyDescent="0.2">
      <c r="A4182" s="6" t="str">
        <f>"ANKDD1B"</f>
        <v>ANKDD1B</v>
      </c>
      <c r="B4182" s="6">
        <v>5.1948051948051903E-2</v>
      </c>
      <c r="C4182" s="6">
        <v>0.20682699863262</v>
      </c>
    </row>
    <row r="4183" spans="1:3" s="7" customFormat="1" x14ac:dyDescent="0.2">
      <c r="A4183" s="6" t="str">
        <f>"AC100810.1"</f>
        <v>AC100810.1</v>
      </c>
      <c r="B4183" s="6">
        <v>5.1948051948051903E-2</v>
      </c>
      <c r="C4183" s="6">
        <v>0.20682699863262</v>
      </c>
    </row>
    <row r="4184" spans="1:3" s="7" customFormat="1" x14ac:dyDescent="0.2">
      <c r="A4184" s="6" t="str">
        <f>"PRSS22"</f>
        <v>PRSS22</v>
      </c>
      <c r="B4184" s="6">
        <v>5.1948051948051903E-2</v>
      </c>
      <c r="C4184" s="6">
        <v>0.20682699863262</v>
      </c>
    </row>
    <row r="4185" spans="1:3" s="7" customFormat="1" x14ac:dyDescent="0.2">
      <c r="A4185" s="6" t="str">
        <f>"SLC35E1"</f>
        <v>SLC35E1</v>
      </c>
      <c r="B4185" s="6">
        <v>5.1948051948051903E-2</v>
      </c>
      <c r="C4185" s="6">
        <v>0.20682699863262</v>
      </c>
    </row>
    <row r="4186" spans="1:3" s="7" customFormat="1" x14ac:dyDescent="0.2">
      <c r="A4186" s="6" t="str">
        <f>"PTPRQ"</f>
        <v>PTPRQ</v>
      </c>
      <c r="B4186" s="6">
        <v>5.1948051948051903E-2</v>
      </c>
      <c r="C4186" s="6">
        <v>0.20682699863262</v>
      </c>
    </row>
    <row r="4187" spans="1:3" s="7" customFormat="1" x14ac:dyDescent="0.2">
      <c r="A4187" s="6" t="str">
        <f>"KIF6"</f>
        <v>KIF6</v>
      </c>
      <c r="B4187" s="6">
        <v>5.1948051948051903E-2</v>
      </c>
      <c r="C4187" s="6">
        <v>0.20682699863262</v>
      </c>
    </row>
    <row r="4188" spans="1:3" s="7" customFormat="1" x14ac:dyDescent="0.2">
      <c r="A4188" s="6" t="str">
        <f>"PIGX"</f>
        <v>PIGX</v>
      </c>
      <c r="B4188" s="6">
        <v>5.1948051948051903E-2</v>
      </c>
      <c r="C4188" s="6">
        <v>0.20682699863262</v>
      </c>
    </row>
    <row r="4189" spans="1:3" s="7" customFormat="1" x14ac:dyDescent="0.2">
      <c r="A4189" s="6" t="str">
        <f>"METTL5"</f>
        <v>METTL5</v>
      </c>
      <c r="B4189" s="6">
        <v>5.1948051948051903E-2</v>
      </c>
      <c r="C4189" s="6">
        <v>0.20682699863262</v>
      </c>
    </row>
    <row r="4190" spans="1:3" s="7" customFormat="1" x14ac:dyDescent="0.2">
      <c r="A4190" s="6" t="str">
        <f>"CDC25C"</f>
        <v>CDC25C</v>
      </c>
      <c r="B4190" s="6">
        <v>5.1948051948051903E-2</v>
      </c>
      <c r="C4190" s="6">
        <v>0.20682699863262</v>
      </c>
    </row>
    <row r="4191" spans="1:3" s="7" customFormat="1" x14ac:dyDescent="0.2">
      <c r="A4191" s="6" t="str">
        <f>"POLL"</f>
        <v>POLL</v>
      </c>
      <c r="B4191" s="6">
        <v>5.1948051948051903E-2</v>
      </c>
      <c r="C4191" s="6">
        <v>0.20682699863262</v>
      </c>
    </row>
    <row r="4192" spans="1:3" s="7" customFormat="1" x14ac:dyDescent="0.2">
      <c r="A4192" s="6" t="str">
        <f>"CD4"</f>
        <v>CD4</v>
      </c>
      <c r="B4192" s="6">
        <v>5.1948051948051903E-2</v>
      </c>
      <c r="C4192" s="6">
        <v>0.20682699863262</v>
      </c>
    </row>
    <row r="4193" spans="1:3" s="7" customFormat="1" x14ac:dyDescent="0.2">
      <c r="A4193" s="6" t="str">
        <f>"CCDC17"</f>
        <v>CCDC17</v>
      </c>
      <c r="B4193" s="6">
        <v>5.1948051948051903E-2</v>
      </c>
      <c r="C4193" s="6">
        <v>0.20682699863262</v>
      </c>
    </row>
    <row r="4194" spans="1:3" s="7" customFormat="1" x14ac:dyDescent="0.2">
      <c r="A4194" s="6" t="str">
        <f>"KMT2C"</f>
        <v>KMT2C</v>
      </c>
      <c r="B4194" s="6">
        <v>5.1948051948051903E-2</v>
      </c>
      <c r="C4194" s="6">
        <v>0.20682699863262</v>
      </c>
    </row>
    <row r="4195" spans="1:3" s="7" customFormat="1" x14ac:dyDescent="0.2">
      <c r="A4195" s="6" t="str">
        <f>"TIFA"</f>
        <v>TIFA</v>
      </c>
      <c r="B4195" s="6">
        <v>5.1948051948051903E-2</v>
      </c>
      <c r="C4195" s="6">
        <v>0.20682699863262</v>
      </c>
    </row>
    <row r="4196" spans="1:3" s="7" customFormat="1" x14ac:dyDescent="0.2">
      <c r="A4196" s="6" t="str">
        <f>"STAMBP"</f>
        <v>STAMBP</v>
      </c>
      <c r="B4196" s="6">
        <v>5.1948051948051903E-2</v>
      </c>
      <c r="C4196" s="6">
        <v>0.20682699863262</v>
      </c>
    </row>
    <row r="4197" spans="1:3" s="7" customFormat="1" x14ac:dyDescent="0.2">
      <c r="A4197" s="6" t="str">
        <f>"GSS"</f>
        <v>GSS</v>
      </c>
      <c r="B4197" s="6">
        <v>5.1948051948051903E-2</v>
      </c>
      <c r="C4197" s="6">
        <v>0.20682699863262</v>
      </c>
    </row>
    <row r="4198" spans="1:3" s="7" customFormat="1" x14ac:dyDescent="0.2">
      <c r="A4198" s="6" t="str">
        <f>"CMAHP"</f>
        <v>CMAHP</v>
      </c>
      <c r="B4198" s="6">
        <v>5.1948051948051903E-2</v>
      </c>
      <c r="C4198" s="6">
        <v>0.20682699863262</v>
      </c>
    </row>
    <row r="4199" spans="1:3" s="7" customFormat="1" x14ac:dyDescent="0.2">
      <c r="A4199" s="6" t="str">
        <f>"TMEM260"</f>
        <v>TMEM260</v>
      </c>
      <c r="B4199" s="6">
        <v>5.1948051948051903E-2</v>
      </c>
      <c r="C4199" s="6">
        <v>0.20682699863262</v>
      </c>
    </row>
    <row r="4200" spans="1:3" s="7" customFormat="1" x14ac:dyDescent="0.2">
      <c r="A4200" s="6" t="str">
        <f>"RBPJ"</f>
        <v>RBPJ</v>
      </c>
      <c r="B4200" s="6">
        <v>5.1999999999999998E-2</v>
      </c>
      <c r="C4200" s="6">
        <v>0.206984520123839</v>
      </c>
    </row>
    <row r="4201" spans="1:3" s="7" customFormat="1" x14ac:dyDescent="0.2">
      <c r="A4201" s="6" t="str">
        <f>"RBBP8NL"</f>
        <v>RBBP8NL</v>
      </c>
      <c r="B4201" s="6">
        <v>5.2052052052052003E-2</v>
      </c>
      <c r="C4201" s="6">
        <v>0.20709307260128401</v>
      </c>
    </row>
    <row r="4202" spans="1:3" s="7" customFormat="1" x14ac:dyDescent="0.2">
      <c r="A4202" s="6" t="str">
        <f>"UROC1"</f>
        <v>UROC1</v>
      </c>
      <c r="B4202" s="6">
        <v>5.2052052052052003E-2</v>
      </c>
      <c r="C4202" s="6">
        <v>0.20709307260128401</v>
      </c>
    </row>
    <row r="4203" spans="1:3" s="7" customFormat="1" x14ac:dyDescent="0.2">
      <c r="A4203" s="6" t="str">
        <f>"SLC43A3"</f>
        <v>SLC43A3</v>
      </c>
      <c r="B4203" s="6">
        <v>5.2947052947052903E-2</v>
      </c>
      <c r="C4203" s="6">
        <v>0.208777280226255</v>
      </c>
    </row>
    <row r="4204" spans="1:3" s="7" customFormat="1" x14ac:dyDescent="0.2">
      <c r="A4204" s="6" t="str">
        <f>"TAF10"</f>
        <v>TAF10</v>
      </c>
      <c r="B4204" s="6">
        <v>5.2947052947052903E-2</v>
      </c>
      <c r="C4204" s="6">
        <v>0.208777280226255</v>
      </c>
    </row>
    <row r="4205" spans="1:3" s="7" customFormat="1" x14ac:dyDescent="0.2">
      <c r="A4205" s="6" t="str">
        <f>"GOPC"</f>
        <v>GOPC</v>
      </c>
      <c r="B4205" s="6">
        <v>5.2947052947052903E-2</v>
      </c>
      <c r="C4205" s="6">
        <v>0.208777280226255</v>
      </c>
    </row>
    <row r="4206" spans="1:3" s="7" customFormat="1" x14ac:dyDescent="0.2">
      <c r="A4206" s="6" t="str">
        <f>"AL035071.1"</f>
        <v>AL035071.1</v>
      </c>
      <c r="B4206" s="6">
        <v>5.2999999999999999E-2</v>
      </c>
      <c r="C4206" s="6">
        <v>0.208777280226255</v>
      </c>
    </row>
    <row r="4207" spans="1:3" s="7" customFormat="1" x14ac:dyDescent="0.2">
      <c r="A4207" s="6" t="str">
        <f>"SERPINB5"</f>
        <v>SERPINB5</v>
      </c>
      <c r="B4207" s="6">
        <v>5.2947052947052903E-2</v>
      </c>
      <c r="C4207" s="6">
        <v>0.208777280226255</v>
      </c>
    </row>
    <row r="4208" spans="1:3" s="7" customFormat="1" x14ac:dyDescent="0.2">
      <c r="A4208" s="6" t="str">
        <f>"TIMM17B"</f>
        <v>TIMM17B</v>
      </c>
      <c r="B4208" s="6">
        <v>5.2947052947052903E-2</v>
      </c>
      <c r="C4208" s="6">
        <v>0.208777280226255</v>
      </c>
    </row>
    <row r="4209" spans="1:3" s="7" customFormat="1" x14ac:dyDescent="0.2">
      <c r="A4209" s="6" t="str">
        <f>"KRT16P6"</f>
        <v>KRT16P6</v>
      </c>
      <c r="B4209" s="6">
        <v>5.2947052947052903E-2</v>
      </c>
      <c r="C4209" s="6">
        <v>0.208777280226255</v>
      </c>
    </row>
    <row r="4210" spans="1:3" s="7" customFormat="1" x14ac:dyDescent="0.2">
      <c r="A4210" s="6" t="str">
        <f>"GRSF1"</f>
        <v>GRSF1</v>
      </c>
      <c r="B4210" s="6">
        <v>5.2947052947052903E-2</v>
      </c>
      <c r="C4210" s="6">
        <v>0.208777280226255</v>
      </c>
    </row>
    <row r="4211" spans="1:3" s="7" customFormat="1" x14ac:dyDescent="0.2">
      <c r="A4211" s="6" t="str">
        <f>"ZNF671"</f>
        <v>ZNF671</v>
      </c>
      <c r="B4211" s="6">
        <v>5.2947052947052903E-2</v>
      </c>
      <c r="C4211" s="6">
        <v>0.208777280226255</v>
      </c>
    </row>
    <row r="4212" spans="1:3" s="7" customFormat="1" x14ac:dyDescent="0.2">
      <c r="A4212" s="6" t="str">
        <f>"MAP3K21"</f>
        <v>MAP3K21</v>
      </c>
      <c r="B4212" s="6">
        <v>5.2947052947052903E-2</v>
      </c>
      <c r="C4212" s="6">
        <v>0.208777280226255</v>
      </c>
    </row>
    <row r="4213" spans="1:3" s="7" customFormat="1" x14ac:dyDescent="0.2">
      <c r="A4213" s="6" t="str">
        <f>"URM1"</f>
        <v>URM1</v>
      </c>
      <c r="B4213" s="6">
        <v>5.2947052947052903E-2</v>
      </c>
      <c r="C4213" s="6">
        <v>0.208777280226255</v>
      </c>
    </row>
    <row r="4214" spans="1:3" s="7" customFormat="1" x14ac:dyDescent="0.2">
      <c r="A4214" s="6" t="str">
        <f>"LRRC31"</f>
        <v>LRRC31</v>
      </c>
      <c r="B4214" s="6">
        <v>5.2947052947052903E-2</v>
      </c>
      <c r="C4214" s="6">
        <v>0.208777280226255</v>
      </c>
    </row>
    <row r="4215" spans="1:3" s="7" customFormat="1" x14ac:dyDescent="0.2">
      <c r="A4215" s="6" t="str">
        <f>"NCBP2AS2"</f>
        <v>NCBP2AS2</v>
      </c>
      <c r="B4215" s="6">
        <v>5.2947052947052903E-2</v>
      </c>
      <c r="C4215" s="6">
        <v>0.208777280226255</v>
      </c>
    </row>
    <row r="4216" spans="1:3" s="7" customFormat="1" x14ac:dyDescent="0.2">
      <c r="A4216" s="6" t="str">
        <f>"PSPH"</f>
        <v>PSPH</v>
      </c>
      <c r="B4216" s="6">
        <v>5.2999999999999999E-2</v>
      </c>
      <c r="C4216" s="6">
        <v>0.208777280226255</v>
      </c>
    </row>
    <row r="4217" spans="1:3" s="7" customFormat="1" x14ac:dyDescent="0.2">
      <c r="A4217" s="6" t="str">
        <f>"PRRT1"</f>
        <v>PRRT1</v>
      </c>
      <c r="B4217" s="6">
        <v>5.2947052947052903E-2</v>
      </c>
      <c r="C4217" s="6">
        <v>0.208777280226255</v>
      </c>
    </row>
    <row r="4218" spans="1:3" s="7" customFormat="1" x14ac:dyDescent="0.2">
      <c r="A4218" s="6" t="str">
        <f>"SLC15A4"</f>
        <v>SLC15A4</v>
      </c>
      <c r="B4218" s="6">
        <v>5.2947052947052903E-2</v>
      </c>
      <c r="C4218" s="6">
        <v>0.208777280226255</v>
      </c>
    </row>
    <row r="4219" spans="1:3" s="7" customFormat="1" x14ac:dyDescent="0.2">
      <c r="A4219" s="6" t="str">
        <f>"AL139082.1"</f>
        <v>AL139082.1</v>
      </c>
      <c r="B4219" s="6">
        <v>5.2999999999999999E-2</v>
      </c>
      <c r="C4219" s="6">
        <v>0.208777280226255</v>
      </c>
    </row>
    <row r="4220" spans="1:3" s="7" customFormat="1" x14ac:dyDescent="0.2">
      <c r="A4220" s="6" t="str">
        <f>"SPRYD7"</f>
        <v>SPRYD7</v>
      </c>
      <c r="B4220" s="6">
        <v>5.2947052947052903E-2</v>
      </c>
      <c r="C4220" s="6">
        <v>0.208777280226255</v>
      </c>
    </row>
    <row r="4221" spans="1:3" s="7" customFormat="1" x14ac:dyDescent="0.2">
      <c r="A4221" s="6" t="str">
        <f>"HESX1"</f>
        <v>HESX1</v>
      </c>
      <c r="B4221" s="6">
        <v>5.2999999999999999E-2</v>
      </c>
      <c r="C4221" s="6">
        <v>0.208777280226255</v>
      </c>
    </row>
    <row r="4222" spans="1:3" s="7" customFormat="1" x14ac:dyDescent="0.2">
      <c r="A4222" s="6" t="str">
        <f>"AL160270.1"</f>
        <v>AL160270.1</v>
      </c>
      <c r="B4222" s="6">
        <v>5.2511415525114097E-2</v>
      </c>
      <c r="C4222" s="6">
        <v>0.208777280226255</v>
      </c>
    </row>
    <row r="4223" spans="1:3" s="7" customFormat="1" x14ac:dyDescent="0.2">
      <c r="A4223" s="6" t="str">
        <f>"SERINC2"</f>
        <v>SERINC2</v>
      </c>
      <c r="B4223" s="6">
        <v>5.2947052947052903E-2</v>
      </c>
      <c r="C4223" s="6">
        <v>0.208777280226255</v>
      </c>
    </row>
    <row r="4224" spans="1:3" s="7" customFormat="1" x14ac:dyDescent="0.2">
      <c r="A4224" s="6" t="str">
        <f>"ACTL6A"</f>
        <v>ACTL6A</v>
      </c>
      <c r="B4224" s="6">
        <v>5.2947052947052903E-2</v>
      </c>
      <c r="C4224" s="6">
        <v>0.208777280226255</v>
      </c>
    </row>
    <row r="4225" spans="1:3" s="7" customFormat="1" x14ac:dyDescent="0.2">
      <c r="A4225" s="6" t="str">
        <f>"SLC49A3"</f>
        <v>SLC49A3</v>
      </c>
      <c r="B4225" s="6">
        <v>5.2947052947052903E-2</v>
      </c>
      <c r="C4225" s="6">
        <v>0.208777280226255</v>
      </c>
    </row>
    <row r="4226" spans="1:3" s="7" customFormat="1" x14ac:dyDescent="0.2">
      <c r="A4226" s="6" t="str">
        <f>"CFAP54"</f>
        <v>CFAP54</v>
      </c>
      <c r="B4226" s="6">
        <v>5.2947052947052903E-2</v>
      </c>
      <c r="C4226" s="6">
        <v>0.208777280226255</v>
      </c>
    </row>
    <row r="4227" spans="1:3" s="7" customFormat="1" x14ac:dyDescent="0.2">
      <c r="A4227" s="6" t="str">
        <f>"CPM"</f>
        <v>CPM</v>
      </c>
      <c r="B4227" s="6">
        <v>5.2947052947052903E-2</v>
      </c>
      <c r="C4227" s="6">
        <v>0.208777280226255</v>
      </c>
    </row>
    <row r="4228" spans="1:3" s="7" customFormat="1" x14ac:dyDescent="0.2">
      <c r="A4228" s="6" t="str">
        <f>"DTD2"</f>
        <v>DTD2</v>
      </c>
      <c r="B4228" s="6">
        <v>5.2947052947052903E-2</v>
      </c>
      <c r="C4228" s="6">
        <v>0.208777280226255</v>
      </c>
    </row>
    <row r="4229" spans="1:3" s="7" customFormat="1" x14ac:dyDescent="0.2">
      <c r="A4229" s="6" t="str">
        <f>"RPL37A-DT"</f>
        <v>RPL37A-DT</v>
      </c>
      <c r="B4229" s="6">
        <v>5.2999999999999999E-2</v>
      </c>
      <c r="C4229" s="6">
        <v>0.208777280226255</v>
      </c>
    </row>
    <row r="4230" spans="1:3" s="7" customFormat="1" x14ac:dyDescent="0.2">
      <c r="A4230" s="6" t="str">
        <f>"CFAP52"</f>
        <v>CFAP52</v>
      </c>
      <c r="B4230" s="6">
        <v>5.2999999999999999E-2</v>
      </c>
      <c r="C4230" s="6">
        <v>0.208777280226255</v>
      </c>
    </row>
    <row r="4231" spans="1:3" s="7" customFormat="1" x14ac:dyDescent="0.2">
      <c r="A4231" s="6" t="str">
        <f>"FOXC2"</f>
        <v>FOXC2</v>
      </c>
      <c r="B4231" s="6">
        <v>5.2947052947052903E-2</v>
      </c>
      <c r="C4231" s="6">
        <v>0.208777280226255</v>
      </c>
    </row>
    <row r="4232" spans="1:3" s="7" customFormat="1" x14ac:dyDescent="0.2">
      <c r="A4232" s="6" t="str">
        <f>"ATRN"</f>
        <v>ATRN</v>
      </c>
      <c r="B4232" s="6">
        <v>5.2947052947052903E-2</v>
      </c>
      <c r="C4232" s="6">
        <v>0.208777280226255</v>
      </c>
    </row>
    <row r="4233" spans="1:3" s="7" customFormat="1" x14ac:dyDescent="0.2">
      <c r="A4233" s="6" t="str">
        <f>"KCNRG"</f>
        <v>KCNRG</v>
      </c>
      <c r="B4233" s="6">
        <v>5.2947052947052903E-2</v>
      </c>
      <c r="C4233" s="6">
        <v>0.208777280226255</v>
      </c>
    </row>
    <row r="4234" spans="1:3" s="7" customFormat="1" x14ac:dyDescent="0.2">
      <c r="A4234" s="6" t="str">
        <f>"AFF2"</f>
        <v>AFF2</v>
      </c>
      <c r="B4234" s="6">
        <v>5.2947052947052903E-2</v>
      </c>
      <c r="C4234" s="6">
        <v>0.208777280226255</v>
      </c>
    </row>
    <row r="4235" spans="1:3" s="7" customFormat="1" x14ac:dyDescent="0.2">
      <c r="A4235" s="6" t="str">
        <f>"LINC02345"</f>
        <v>LINC02345</v>
      </c>
      <c r="B4235" s="6">
        <v>5.2947052947052903E-2</v>
      </c>
      <c r="C4235" s="6">
        <v>0.208777280226255</v>
      </c>
    </row>
    <row r="4236" spans="1:3" s="7" customFormat="1" x14ac:dyDescent="0.2">
      <c r="A4236" s="6" t="str">
        <f>"AL592295.4"</f>
        <v>AL592295.4</v>
      </c>
      <c r="B4236" s="6">
        <v>5.2999999999999999E-2</v>
      </c>
      <c r="C4236" s="6">
        <v>0.208777280226255</v>
      </c>
    </row>
    <row r="4237" spans="1:3" s="7" customFormat="1" x14ac:dyDescent="0.2">
      <c r="A4237" s="6" t="str">
        <f>"PPM1M"</f>
        <v>PPM1M</v>
      </c>
      <c r="B4237" s="6">
        <v>5.2947052947052903E-2</v>
      </c>
      <c r="C4237" s="6">
        <v>0.208777280226255</v>
      </c>
    </row>
    <row r="4238" spans="1:3" s="7" customFormat="1" x14ac:dyDescent="0.2">
      <c r="A4238" s="6" t="str">
        <f>"CALCRL"</f>
        <v>CALCRL</v>
      </c>
      <c r="B4238" s="6">
        <v>5.2947052947052903E-2</v>
      </c>
      <c r="C4238" s="6">
        <v>0.208777280226255</v>
      </c>
    </row>
    <row r="4239" spans="1:3" s="7" customFormat="1" x14ac:dyDescent="0.2">
      <c r="A4239" s="6" t="str">
        <f>"LYPLAL1-DT"</f>
        <v>LYPLAL1-DT</v>
      </c>
      <c r="B4239" s="6">
        <v>5.2999999999999999E-2</v>
      </c>
      <c r="C4239" s="6">
        <v>0.208777280226255</v>
      </c>
    </row>
    <row r="4240" spans="1:3" s="7" customFormat="1" x14ac:dyDescent="0.2">
      <c r="A4240" s="6" t="str">
        <f>"PCED1B-AS1"</f>
        <v>PCED1B-AS1</v>
      </c>
      <c r="B4240" s="6">
        <v>5.2947052947052903E-2</v>
      </c>
      <c r="C4240" s="6">
        <v>0.208777280226255</v>
      </c>
    </row>
    <row r="4241" spans="1:3" s="7" customFormat="1" x14ac:dyDescent="0.2">
      <c r="A4241" s="6" t="str">
        <f>"MCF2L-AS1"</f>
        <v>MCF2L-AS1</v>
      </c>
      <c r="B4241" s="6">
        <v>5.2947052947052903E-2</v>
      </c>
      <c r="C4241" s="6">
        <v>0.208777280226255</v>
      </c>
    </row>
    <row r="4242" spans="1:3" s="7" customFormat="1" x14ac:dyDescent="0.2">
      <c r="A4242" s="6" t="str">
        <f>"LBX2-AS1"</f>
        <v>LBX2-AS1</v>
      </c>
      <c r="B4242" s="6">
        <v>5.2947052947052903E-2</v>
      </c>
      <c r="C4242" s="6">
        <v>0.208777280226255</v>
      </c>
    </row>
    <row r="4243" spans="1:3" s="7" customFormat="1" x14ac:dyDescent="0.2">
      <c r="A4243" s="6" t="str">
        <f>"LYSMD2"</f>
        <v>LYSMD2</v>
      </c>
      <c r="B4243" s="6">
        <v>5.2947052947052903E-2</v>
      </c>
      <c r="C4243" s="6">
        <v>0.208777280226255</v>
      </c>
    </row>
    <row r="4244" spans="1:3" s="7" customFormat="1" x14ac:dyDescent="0.2">
      <c r="A4244" s="6" t="str">
        <f>"PCGF2"</f>
        <v>PCGF2</v>
      </c>
      <c r="B4244" s="6">
        <v>5.2947052947052903E-2</v>
      </c>
      <c r="C4244" s="6">
        <v>0.208777280226255</v>
      </c>
    </row>
    <row r="4245" spans="1:3" s="7" customFormat="1" x14ac:dyDescent="0.2">
      <c r="A4245" s="6" t="str">
        <f>"STPG2"</f>
        <v>STPG2</v>
      </c>
      <c r="B4245" s="6">
        <v>5.3106212424849697E-2</v>
      </c>
      <c r="C4245" s="6">
        <v>0.209146379469589</v>
      </c>
    </row>
    <row r="4246" spans="1:3" s="7" customFormat="1" x14ac:dyDescent="0.2">
      <c r="A4246" s="6" t="str">
        <f>"CDC42EP2"</f>
        <v>CDC42EP2</v>
      </c>
      <c r="B4246" s="6">
        <v>5.3946053946053903E-2</v>
      </c>
      <c r="C4246" s="6">
        <v>0.210519342903185</v>
      </c>
    </row>
    <row r="4247" spans="1:3" s="7" customFormat="1" x14ac:dyDescent="0.2">
      <c r="A4247" s="6" t="str">
        <f>"ERN1"</f>
        <v>ERN1</v>
      </c>
      <c r="B4247" s="6">
        <v>5.3946053946053903E-2</v>
      </c>
      <c r="C4247" s="6">
        <v>0.210519342903185</v>
      </c>
    </row>
    <row r="4248" spans="1:3" s="7" customFormat="1" x14ac:dyDescent="0.2">
      <c r="A4248" s="6" t="str">
        <f>"SLC16A12"</f>
        <v>SLC16A12</v>
      </c>
      <c r="B4248" s="6">
        <v>5.3946053946053903E-2</v>
      </c>
      <c r="C4248" s="6">
        <v>0.210519342903185</v>
      </c>
    </row>
    <row r="4249" spans="1:3" s="7" customFormat="1" x14ac:dyDescent="0.2">
      <c r="A4249" s="6" t="str">
        <f>"TSPAN8"</f>
        <v>TSPAN8</v>
      </c>
      <c r="B4249" s="6">
        <v>5.3946053946053903E-2</v>
      </c>
      <c r="C4249" s="6">
        <v>0.210519342903185</v>
      </c>
    </row>
    <row r="4250" spans="1:3" s="7" customFormat="1" x14ac:dyDescent="0.2">
      <c r="A4250" s="6" t="str">
        <f>"LINC00882"</f>
        <v>LINC00882</v>
      </c>
      <c r="B4250" s="6">
        <v>5.3946053946053903E-2</v>
      </c>
      <c r="C4250" s="6">
        <v>0.210519342903185</v>
      </c>
    </row>
    <row r="4251" spans="1:3" s="7" customFormat="1" x14ac:dyDescent="0.2">
      <c r="A4251" s="6" t="str">
        <f>"SYT11"</f>
        <v>SYT11</v>
      </c>
      <c r="B4251" s="6">
        <v>5.3946053946053903E-2</v>
      </c>
      <c r="C4251" s="6">
        <v>0.210519342903185</v>
      </c>
    </row>
    <row r="4252" spans="1:3" s="7" customFormat="1" x14ac:dyDescent="0.2">
      <c r="A4252" s="6" t="str">
        <f>"ZNF704"</f>
        <v>ZNF704</v>
      </c>
      <c r="B4252" s="6">
        <v>5.3946053946053903E-2</v>
      </c>
      <c r="C4252" s="6">
        <v>0.210519342903185</v>
      </c>
    </row>
    <row r="4253" spans="1:3" s="7" customFormat="1" x14ac:dyDescent="0.2">
      <c r="A4253" s="6" t="str">
        <f>"TM4SF1"</f>
        <v>TM4SF1</v>
      </c>
      <c r="B4253" s="6">
        <v>5.3946053946053903E-2</v>
      </c>
      <c r="C4253" s="6">
        <v>0.210519342903185</v>
      </c>
    </row>
    <row r="4254" spans="1:3" s="7" customFormat="1" x14ac:dyDescent="0.2">
      <c r="A4254" s="6" t="str">
        <f>"AMPD1"</f>
        <v>AMPD1</v>
      </c>
      <c r="B4254" s="6">
        <v>5.3946053946053903E-2</v>
      </c>
      <c r="C4254" s="6">
        <v>0.210519342903185</v>
      </c>
    </row>
    <row r="4255" spans="1:3" s="7" customFormat="1" x14ac:dyDescent="0.2">
      <c r="A4255" s="6" t="str">
        <f>"GNA13"</f>
        <v>GNA13</v>
      </c>
      <c r="B4255" s="6">
        <v>5.3946053946053903E-2</v>
      </c>
      <c r="C4255" s="6">
        <v>0.210519342903185</v>
      </c>
    </row>
    <row r="4256" spans="1:3" s="7" customFormat="1" x14ac:dyDescent="0.2">
      <c r="A4256" s="6" t="str">
        <f>"CENPU"</f>
        <v>CENPU</v>
      </c>
      <c r="B4256" s="6">
        <v>5.3946053946053903E-2</v>
      </c>
      <c r="C4256" s="6">
        <v>0.210519342903185</v>
      </c>
    </row>
    <row r="4257" spans="1:3" s="7" customFormat="1" x14ac:dyDescent="0.2">
      <c r="A4257" s="6" t="str">
        <f>"PDE6B"</f>
        <v>PDE6B</v>
      </c>
      <c r="B4257" s="6">
        <v>5.3946053946053903E-2</v>
      </c>
      <c r="C4257" s="6">
        <v>0.210519342903185</v>
      </c>
    </row>
    <row r="4258" spans="1:3" s="7" customFormat="1" x14ac:dyDescent="0.2">
      <c r="A4258" s="6" t="str">
        <f>"NAALADL1"</f>
        <v>NAALADL1</v>
      </c>
      <c r="B4258" s="6">
        <v>5.3946053946053903E-2</v>
      </c>
      <c r="C4258" s="6">
        <v>0.210519342903185</v>
      </c>
    </row>
    <row r="4259" spans="1:3" s="7" customFormat="1" x14ac:dyDescent="0.2">
      <c r="A4259" s="6" t="str">
        <f>"ZNF503-AS1"</f>
        <v>ZNF503-AS1</v>
      </c>
      <c r="B4259" s="6">
        <v>5.3946053946053903E-2</v>
      </c>
      <c r="C4259" s="6">
        <v>0.210519342903185</v>
      </c>
    </row>
    <row r="4260" spans="1:3" s="7" customFormat="1" x14ac:dyDescent="0.2">
      <c r="A4260" s="6" t="str">
        <f>"AC100858.2"</f>
        <v>AC100858.2</v>
      </c>
      <c r="B4260" s="6">
        <v>5.3946053946053903E-2</v>
      </c>
      <c r="C4260" s="6">
        <v>0.210519342903185</v>
      </c>
    </row>
    <row r="4261" spans="1:3" s="7" customFormat="1" x14ac:dyDescent="0.2">
      <c r="A4261" s="6" t="str">
        <f>"LY6E"</f>
        <v>LY6E</v>
      </c>
      <c r="B4261" s="6">
        <v>5.3946053946053903E-2</v>
      </c>
      <c r="C4261" s="6">
        <v>0.210519342903185</v>
      </c>
    </row>
    <row r="4262" spans="1:3" s="7" customFormat="1" x14ac:dyDescent="0.2">
      <c r="A4262" s="6" t="str">
        <f>"AL590764.2"</f>
        <v>AL590764.2</v>
      </c>
      <c r="B4262" s="6">
        <v>5.3946053946053903E-2</v>
      </c>
      <c r="C4262" s="6">
        <v>0.210519342903185</v>
      </c>
    </row>
    <row r="4263" spans="1:3" s="7" customFormat="1" x14ac:dyDescent="0.2">
      <c r="A4263" s="6" t="str">
        <f>"LINC01889"</f>
        <v>LINC01889</v>
      </c>
      <c r="B4263" s="6">
        <v>5.3946053946053903E-2</v>
      </c>
      <c r="C4263" s="6">
        <v>0.210519342903185</v>
      </c>
    </row>
    <row r="4264" spans="1:3" s="7" customFormat="1" x14ac:dyDescent="0.2">
      <c r="A4264" s="6" t="str">
        <f>"AL158071.4"</f>
        <v>AL158071.4</v>
      </c>
      <c r="B4264" s="6">
        <v>5.3589484327603597E-2</v>
      </c>
      <c r="C4264" s="6">
        <v>0.210519342903185</v>
      </c>
    </row>
    <row r="4265" spans="1:3" s="7" customFormat="1" x14ac:dyDescent="0.2">
      <c r="A4265" s="6" t="str">
        <f>"RASSF6"</f>
        <v>RASSF6</v>
      </c>
      <c r="B4265" s="6">
        <v>5.3946053946053903E-2</v>
      </c>
      <c r="C4265" s="6">
        <v>0.210519342903185</v>
      </c>
    </row>
    <row r="4266" spans="1:3" s="7" customFormat="1" x14ac:dyDescent="0.2">
      <c r="A4266" s="6" t="str">
        <f>"IRF5"</f>
        <v>IRF5</v>
      </c>
      <c r="B4266" s="6">
        <v>5.3946053946053903E-2</v>
      </c>
      <c r="C4266" s="6">
        <v>0.210519342903185</v>
      </c>
    </row>
    <row r="4267" spans="1:3" s="7" customFormat="1" x14ac:dyDescent="0.2">
      <c r="A4267" s="6" t="str">
        <f>"ESPN"</f>
        <v>ESPN</v>
      </c>
      <c r="B4267" s="6">
        <v>5.3946053946053903E-2</v>
      </c>
      <c r="C4267" s="6">
        <v>0.210519342903185</v>
      </c>
    </row>
    <row r="4268" spans="1:3" s="7" customFormat="1" x14ac:dyDescent="0.2">
      <c r="A4268" s="6" t="str">
        <f>"CSE1L"</f>
        <v>CSE1L</v>
      </c>
      <c r="B4268" s="6">
        <v>5.3946053946053903E-2</v>
      </c>
      <c r="C4268" s="6">
        <v>0.210519342903185</v>
      </c>
    </row>
    <row r="4269" spans="1:3" s="7" customFormat="1" x14ac:dyDescent="0.2">
      <c r="A4269" s="6" t="str">
        <f>"RBM45"</f>
        <v>RBM45</v>
      </c>
      <c r="B4269" s="6">
        <v>5.3946053946053903E-2</v>
      </c>
      <c r="C4269" s="6">
        <v>0.210519342903185</v>
      </c>
    </row>
    <row r="4270" spans="1:3" s="7" customFormat="1" x14ac:dyDescent="0.2">
      <c r="A4270" s="6" t="str">
        <f>"WBP11P2"</f>
        <v>WBP11P2</v>
      </c>
      <c r="B4270" s="6">
        <v>5.3698074974670697E-2</v>
      </c>
      <c r="C4270" s="6">
        <v>0.210519342903185</v>
      </c>
    </row>
    <row r="4271" spans="1:3" s="7" customFormat="1" x14ac:dyDescent="0.2">
      <c r="A4271" s="6" t="str">
        <f>"ABI2"</f>
        <v>ABI2</v>
      </c>
      <c r="B4271" s="6">
        <v>5.3946053946053903E-2</v>
      </c>
      <c r="C4271" s="6">
        <v>0.210519342903185</v>
      </c>
    </row>
    <row r="4272" spans="1:3" s="7" customFormat="1" x14ac:dyDescent="0.2">
      <c r="A4272" s="6" t="str">
        <f>"HERC5"</f>
        <v>HERC5</v>
      </c>
      <c r="B4272" s="6">
        <v>5.3946053946053903E-2</v>
      </c>
      <c r="C4272" s="6">
        <v>0.210519342903185</v>
      </c>
    </row>
    <row r="4273" spans="1:3" s="7" customFormat="1" x14ac:dyDescent="0.2">
      <c r="A4273" s="6" t="str">
        <f>"DUBR"</f>
        <v>DUBR</v>
      </c>
      <c r="B4273" s="6">
        <v>5.3946053946053903E-2</v>
      </c>
      <c r="C4273" s="6">
        <v>0.210519342903185</v>
      </c>
    </row>
    <row r="4274" spans="1:3" s="7" customFormat="1" x14ac:dyDescent="0.2">
      <c r="A4274" s="6" t="str">
        <f>"SDCBP2-AS1"</f>
        <v>SDCBP2-AS1</v>
      </c>
      <c r="B4274" s="6">
        <v>5.3946053946053903E-2</v>
      </c>
      <c r="C4274" s="6">
        <v>0.210519342903185</v>
      </c>
    </row>
    <row r="4275" spans="1:3" s="7" customFormat="1" x14ac:dyDescent="0.2">
      <c r="A4275" s="6" t="str">
        <f>"HSD11B1L"</f>
        <v>HSD11B1L</v>
      </c>
      <c r="B4275" s="6">
        <v>5.3946053946053903E-2</v>
      </c>
      <c r="C4275" s="6">
        <v>0.210519342903185</v>
      </c>
    </row>
    <row r="4276" spans="1:3" s="7" customFormat="1" x14ac:dyDescent="0.2">
      <c r="A4276" s="6" t="str">
        <f>"ACSM2B"</f>
        <v>ACSM2B</v>
      </c>
      <c r="B4276" s="6">
        <v>5.3946053946053903E-2</v>
      </c>
      <c r="C4276" s="6">
        <v>0.210519342903185</v>
      </c>
    </row>
    <row r="4277" spans="1:3" s="7" customFormat="1" x14ac:dyDescent="0.2">
      <c r="A4277" s="6" t="str">
        <f>"C10orf105"</f>
        <v>C10orf105</v>
      </c>
      <c r="B4277" s="6">
        <v>5.3946053946053903E-2</v>
      </c>
      <c r="C4277" s="6">
        <v>0.210519342903185</v>
      </c>
    </row>
    <row r="4278" spans="1:3" s="7" customFormat="1" x14ac:dyDescent="0.2">
      <c r="A4278" s="6" t="str">
        <f>"PIFO"</f>
        <v>PIFO</v>
      </c>
      <c r="B4278" s="6">
        <v>5.3946053946053903E-2</v>
      </c>
      <c r="C4278" s="6">
        <v>0.210519342903185</v>
      </c>
    </row>
    <row r="4279" spans="1:3" s="7" customFormat="1" x14ac:dyDescent="0.2">
      <c r="A4279" s="6" t="str">
        <f>"GSTA4"</f>
        <v>GSTA4</v>
      </c>
      <c r="B4279" s="6">
        <v>5.3946053946053903E-2</v>
      </c>
      <c r="C4279" s="6">
        <v>0.210519342903185</v>
      </c>
    </row>
    <row r="4280" spans="1:3" s="7" customFormat="1" x14ac:dyDescent="0.2">
      <c r="A4280" s="6" t="str">
        <f>"C16orf71"</f>
        <v>C16orf71</v>
      </c>
      <c r="B4280" s="6">
        <v>5.3946053946053903E-2</v>
      </c>
      <c r="C4280" s="6">
        <v>0.210519342903185</v>
      </c>
    </row>
    <row r="4281" spans="1:3" s="7" customFormat="1" x14ac:dyDescent="0.2">
      <c r="A4281" s="6" t="str">
        <f>"C17orf97"</f>
        <v>C17orf97</v>
      </c>
      <c r="B4281" s="6">
        <v>5.3946053946053903E-2</v>
      </c>
      <c r="C4281" s="6">
        <v>0.210519342903185</v>
      </c>
    </row>
    <row r="4282" spans="1:3" s="7" customFormat="1" x14ac:dyDescent="0.2">
      <c r="A4282" s="6" t="str">
        <f>"OLMALINC"</f>
        <v>OLMALINC</v>
      </c>
      <c r="B4282" s="6">
        <v>5.3946053946053903E-2</v>
      </c>
      <c r="C4282" s="6">
        <v>0.210519342903185</v>
      </c>
    </row>
    <row r="4283" spans="1:3" s="7" customFormat="1" x14ac:dyDescent="0.2">
      <c r="A4283" s="6" t="str">
        <f>"NPM1"</f>
        <v>NPM1</v>
      </c>
      <c r="B4283" s="6">
        <v>5.3946053946053903E-2</v>
      </c>
      <c r="C4283" s="6">
        <v>0.210519342903185</v>
      </c>
    </row>
    <row r="4284" spans="1:3" s="7" customFormat="1" x14ac:dyDescent="0.2">
      <c r="A4284" s="6" t="str">
        <f>"LMBRD2"</f>
        <v>LMBRD2</v>
      </c>
      <c r="B4284" s="6">
        <v>5.3946053946053903E-2</v>
      </c>
      <c r="C4284" s="6">
        <v>0.210519342903185</v>
      </c>
    </row>
    <row r="4285" spans="1:3" s="7" customFormat="1" x14ac:dyDescent="0.2">
      <c r="A4285" s="6" t="str">
        <f>"RRBP1"</f>
        <v>RRBP1</v>
      </c>
      <c r="B4285" s="6">
        <v>5.3999999999999999E-2</v>
      </c>
      <c r="C4285" s="6">
        <v>0.21053324002799101</v>
      </c>
    </row>
    <row r="4286" spans="1:3" s="7" customFormat="1" x14ac:dyDescent="0.2">
      <c r="A4286" s="6" t="str">
        <f>"CCDC146"</f>
        <v>CCDC146</v>
      </c>
      <c r="B4286" s="6">
        <v>5.3999999999999999E-2</v>
      </c>
      <c r="C4286" s="6">
        <v>0.21053324002799101</v>
      </c>
    </row>
    <row r="4287" spans="1:3" s="7" customFormat="1" x14ac:dyDescent="0.2">
      <c r="A4287" s="6" t="str">
        <f>"EXOC5P1"</f>
        <v>EXOC5P1</v>
      </c>
      <c r="B4287" s="6">
        <v>5.3999999999999999E-2</v>
      </c>
      <c r="C4287" s="6">
        <v>0.21053324002799101</v>
      </c>
    </row>
    <row r="4288" spans="1:3" s="7" customFormat="1" x14ac:dyDescent="0.2">
      <c r="A4288" s="6" t="str">
        <f>"LINC00906"</f>
        <v>LINC00906</v>
      </c>
      <c r="B4288" s="6">
        <v>5.3999999999999999E-2</v>
      </c>
      <c r="C4288" s="6">
        <v>0.21053324002799101</v>
      </c>
    </row>
    <row r="4289" spans="1:3" s="7" customFormat="1" x14ac:dyDescent="0.2">
      <c r="A4289" s="6" t="str">
        <f>"AC097518.2"</f>
        <v>AC097518.2</v>
      </c>
      <c r="B4289" s="6">
        <v>5.42476970317297E-2</v>
      </c>
      <c r="C4289" s="6">
        <v>0.21144962877526299</v>
      </c>
    </row>
    <row r="4290" spans="1:3" s="7" customFormat="1" x14ac:dyDescent="0.2">
      <c r="A4290" s="6" t="str">
        <f>"MGAT4D"</f>
        <v>MGAT4D</v>
      </c>
      <c r="B4290" s="6">
        <v>5.4435483870967701E-2</v>
      </c>
      <c r="C4290" s="6">
        <v>0.212132123436548</v>
      </c>
    </row>
    <row r="4291" spans="1:3" s="7" customFormat="1" x14ac:dyDescent="0.2">
      <c r="A4291" s="6" t="str">
        <f>"PELI1"</f>
        <v>PELI1</v>
      </c>
      <c r="B4291" s="6">
        <v>5.4945054945054903E-2</v>
      </c>
      <c r="C4291" s="6">
        <v>0.21228655764023299</v>
      </c>
    </row>
    <row r="4292" spans="1:3" s="7" customFormat="1" x14ac:dyDescent="0.2">
      <c r="A4292" s="6" t="str">
        <f>"TM2D3"</f>
        <v>TM2D3</v>
      </c>
      <c r="B4292" s="6">
        <v>5.4945054945054903E-2</v>
      </c>
      <c r="C4292" s="6">
        <v>0.21228655764023299</v>
      </c>
    </row>
    <row r="4293" spans="1:3" s="7" customFormat="1" x14ac:dyDescent="0.2">
      <c r="A4293" s="6" t="str">
        <f>"SARNP"</f>
        <v>SARNP</v>
      </c>
      <c r="B4293" s="6">
        <v>5.4945054945054903E-2</v>
      </c>
      <c r="C4293" s="6">
        <v>0.21228655764023299</v>
      </c>
    </row>
    <row r="4294" spans="1:3" s="7" customFormat="1" x14ac:dyDescent="0.2">
      <c r="A4294" s="6" t="str">
        <f>"PEAR1"</f>
        <v>PEAR1</v>
      </c>
      <c r="B4294" s="6">
        <v>5.4945054945054903E-2</v>
      </c>
      <c r="C4294" s="6">
        <v>0.21228655764023299</v>
      </c>
    </row>
    <row r="4295" spans="1:3" s="7" customFormat="1" x14ac:dyDescent="0.2">
      <c r="A4295" s="6" t="str">
        <f>"ANKRD50"</f>
        <v>ANKRD50</v>
      </c>
      <c r="B4295" s="6">
        <v>5.4945054945054903E-2</v>
      </c>
      <c r="C4295" s="6">
        <v>0.21228655764023299</v>
      </c>
    </row>
    <row r="4296" spans="1:3" s="7" customFormat="1" x14ac:dyDescent="0.2">
      <c r="A4296" s="6" t="str">
        <f>"AC026748.3"</f>
        <v>AC026748.3</v>
      </c>
      <c r="B4296" s="6">
        <v>5.4945054945054903E-2</v>
      </c>
      <c r="C4296" s="6">
        <v>0.21228655764023299</v>
      </c>
    </row>
    <row r="4297" spans="1:3" s="7" customFormat="1" x14ac:dyDescent="0.2">
      <c r="A4297" s="6" t="str">
        <f>"DRG2"</f>
        <v>DRG2</v>
      </c>
      <c r="B4297" s="6">
        <v>5.4945054945054903E-2</v>
      </c>
      <c r="C4297" s="6">
        <v>0.21228655764023299</v>
      </c>
    </row>
    <row r="4298" spans="1:3" s="7" customFormat="1" x14ac:dyDescent="0.2">
      <c r="A4298" s="6" t="str">
        <f>"FERMT2"</f>
        <v>FERMT2</v>
      </c>
      <c r="B4298" s="6">
        <v>5.4945054945054903E-2</v>
      </c>
      <c r="C4298" s="6">
        <v>0.21228655764023299</v>
      </c>
    </row>
    <row r="4299" spans="1:3" s="7" customFormat="1" x14ac:dyDescent="0.2">
      <c r="A4299" s="6" t="str">
        <f>"ZNF526"</f>
        <v>ZNF526</v>
      </c>
      <c r="B4299" s="6">
        <v>5.4945054945054903E-2</v>
      </c>
      <c r="C4299" s="6">
        <v>0.21228655764023299</v>
      </c>
    </row>
    <row r="4300" spans="1:3" s="7" customFormat="1" x14ac:dyDescent="0.2">
      <c r="A4300" s="6" t="str">
        <f>"ARL13B"</f>
        <v>ARL13B</v>
      </c>
      <c r="B4300" s="6">
        <v>5.4945054945054903E-2</v>
      </c>
      <c r="C4300" s="6">
        <v>0.21228655764023299</v>
      </c>
    </row>
    <row r="4301" spans="1:3" s="7" customFormat="1" x14ac:dyDescent="0.2">
      <c r="A4301" s="6" t="str">
        <f>"SLC7A9"</f>
        <v>SLC7A9</v>
      </c>
      <c r="B4301" s="6">
        <v>5.4945054945054903E-2</v>
      </c>
      <c r="C4301" s="6">
        <v>0.21228655764023299</v>
      </c>
    </row>
    <row r="4302" spans="1:3" s="7" customFormat="1" x14ac:dyDescent="0.2">
      <c r="A4302" s="6" t="str">
        <f>"ZNF7"</f>
        <v>ZNF7</v>
      </c>
      <c r="B4302" s="6">
        <v>5.4945054945054903E-2</v>
      </c>
      <c r="C4302" s="6">
        <v>0.21228655764023299</v>
      </c>
    </row>
    <row r="4303" spans="1:3" s="7" customFormat="1" x14ac:dyDescent="0.2">
      <c r="A4303" s="6" t="str">
        <f>"LRRCC1"</f>
        <v>LRRCC1</v>
      </c>
      <c r="B4303" s="6">
        <v>5.4945054945054903E-2</v>
      </c>
      <c r="C4303" s="6">
        <v>0.21228655764023299</v>
      </c>
    </row>
    <row r="4304" spans="1:3" s="7" customFormat="1" x14ac:dyDescent="0.2">
      <c r="A4304" s="6" t="str">
        <f>"DDX27"</f>
        <v>DDX27</v>
      </c>
      <c r="B4304" s="6">
        <v>5.4945054945054903E-2</v>
      </c>
      <c r="C4304" s="6">
        <v>0.21228655764023299</v>
      </c>
    </row>
    <row r="4305" spans="1:3" s="7" customFormat="1" x14ac:dyDescent="0.2">
      <c r="A4305" s="6" t="str">
        <f>"ZNF440"</f>
        <v>ZNF440</v>
      </c>
      <c r="B4305" s="6">
        <v>5.4945054945054903E-2</v>
      </c>
      <c r="C4305" s="6">
        <v>0.21228655764023299</v>
      </c>
    </row>
    <row r="4306" spans="1:3" s="7" customFormat="1" x14ac:dyDescent="0.2">
      <c r="A4306" s="6" t="str">
        <f>"SNHG12"</f>
        <v>SNHG12</v>
      </c>
      <c r="B4306" s="6">
        <v>5.4945054945054903E-2</v>
      </c>
      <c r="C4306" s="6">
        <v>0.21228655764023299</v>
      </c>
    </row>
    <row r="4307" spans="1:3" s="7" customFormat="1" x14ac:dyDescent="0.2">
      <c r="A4307" s="6" t="str">
        <f>"ZNF320"</f>
        <v>ZNF320</v>
      </c>
      <c r="B4307" s="6">
        <v>5.4945054945054903E-2</v>
      </c>
      <c r="C4307" s="6">
        <v>0.21228655764023299</v>
      </c>
    </row>
    <row r="4308" spans="1:3" s="7" customFormat="1" x14ac:dyDescent="0.2">
      <c r="A4308" s="6" t="str">
        <f>"SERAC1"</f>
        <v>SERAC1</v>
      </c>
      <c r="B4308" s="6">
        <v>5.4945054945054903E-2</v>
      </c>
      <c r="C4308" s="6">
        <v>0.21228655764023299</v>
      </c>
    </row>
    <row r="4309" spans="1:3" s="7" customFormat="1" x14ac:dyDescent="0.2">
      <c r="A4309" s="6" t="str">
        <f>"ZKSCAN4"</f>
        <v>ZKSCAN4</v>
      </c>
      <c r="B4309" s="6">
        <v>5.4945054945054903E-2</v>
      </c>
      <c r="C4309" s="6">
        <v>0.21228655764023299</v>
      </c>
    </row>
    <row r="4310" spans="1:3" s="7" customFormat="1" x14ac:dyDescent="0.2">
      <c r="A4310" s="6" t="str">
        <f>"SOX30"</f>
        <v>SOX30</v>
      </c>
      <c r="B4310" s="6">
        <v>5.4945054945054903E-2</v>
      </c>
      <c r="C4310" s="6">
        <v>0.21228655764023299</v>
      </c>
    </row>
    <row r="4311" spans="1:3" s="7" customFormat="1" x14ac:dyDescent="0.2">
      <c r="A4311" s="6" t="str">
        <f>"AC010969.2"</f>
        <v>AC010969.2</v>
      </c>
      <c r="B4311" s="6">
        <v>5.4945054945054903E-2</v>
      </c>
      <c r="C4311" s="6">
        <v>0.21228655764023299</v>
      </c>
    </row>
    <row r="4312" spans="1:3" s="7" customFormat="1" x14ac:dyDescent="0.2">
      <c r="A4312" s="6" t="str">
        <f>"TSBP1-AS1"</f>
        <v>TSBP1-AS1</v>
      </c>
      <c r="B4312" s="6">
        <v>5.4945054945054903E-2</v>
      </c>
      <c r="C4312" s="6">
        <v>0.21228655764023299</v>
      </c>
    </row>
    <row r="4313" spans="1:3" s="7" customFormat="1" x14ac:dyDescent="0.2">
      <c r="A4313" s="6" t="str">
        <f>"AC097636.1"</f>
        <v>AC097636.1</v>
      </c>
      <c r="B4313" s="6">
        <v>5.4945054945054903E-2</v>
      </c>
      <c r="C4313" s="6">
        <v>0.21228655764023299</v>
      </c>
    </row>
    <row r="4314" spans="1:3" s="7" customFormat="1" x14ac:dyDescent="0.2">
      <c r="A4314" s="6" t="str">
        <f>"SPATA6"</f>
        <v>SPATA6</v>
      </c>
      <c r="B4314" s="6">
        <v>5.4945054945054903E-2</v>
      </c>
      <c r="C4314" s="6">
        <v>0.21228655764023299</v>
      </c>
    </row>
    <row r="4315" spans="1:3" s="7" customFormat="1" x14ac:dyDescent="0.2">
      <c r="A4315" s="6" t="str">
        <f>"POLR3D"</f>
        <v>POLR3D</v>
      </c>
      <c r="B4315" s="6">
        <v>5.4945054945054903E-2</v>
      </c>
      <c r="C4315" s="6">
        <v>0.21228655764023299</v>
      </c>
    </row>
    <row r="4316" spans="1:3" s="7" customFormat="1" x14ac:dyDescent="0.2">
      <c r="A4316" s="6" t="str">
        <f>"THOC3"</f>
        <v>THOC3</v>
      </c>
      <c r="B4316" s="6">
        <v>5.4945054945054903E-2</v>
      </c>
      <c r="C4316" s="6">
        <v>0.21228655764023299</v>
      </c>
    </row>
    <row r="4317" spans="1:3" s="7" customFormat="1" x14ac:dyDescent="0.2">
      <c r="A4317" s="6" t="str">
        <f>"NFATC2"</f>
        <v>NFATC2</v>
      </c>
      <c r="B4317" s="6">
        <v>5.4945054945054903E-2</v>
      </c>
      <c r="C4317" s="6">
        <v>0.21228655764023299</v>
      </c>
    </row>
    <row r="4318" spans="1:3" s="7" customFormat="1" x14ac:dyDescent="0.2">
      <c r="A4318" s="6" t="str">
        <f>"ZNF653"</f>
        <v>ZNF653</v>
      </c>
      <c r="B4318" s="6">
        <v>5.4945054945054903E-2</v>
      </c>
      <c r="C4318" s="6">
        <v>0.21228655764023299</v>
      </c>
    </row>
    <row r="4319" spans="1:3" s="7" customFormat="1" x14ac:dyDescent="0.2">
      <c r="A4319" s="6" t="str">
        <f>"HHATL"</f>
        <v>HHATL</v>
      </c>
      <c r="B4319" s="6">
        <v>5.4945054945054903E-2</v>
      </c>
      <c r="C4319" s="6">
        <v>0.21228655764023299</v>
      </c>
    </row>
    <row r="4320" spans="1:3" s="7" customFormat="1" x14ac:dyDescent="0.2">
      <c r="A4320" s="6" t="str">
        <f>"DNAI3"</f>
        <v>DNAI3</v>
      </c>
      <c r="B4320" s="6">
        <v>5.4945054945054903E-2</v>
      </c>
      <c r="C4320" s="6">
        <v>0.21228655764023299</v>
      </c>
    </row>
    <row r="4321" spans="1:3" s="7" customFormat="1" x14ac:dyDescent="0.2">
      <c r="A4321" s="6" t="str">
        <f>"DTHD1"</f>
        <v>DTHD1</v>
      </c>
      <c r="B4321" s="6">
        <v>5.4945054945054903E-2</v>
      </c>
      <c r="C4321" s="6">
        <v>0.21228655764023299</v>
      </c>
    </row>
    <row r="4322" spans="1:3" s="7" customFormat="1" x14ac:dyDescent="0.2">
      <c r="A4322" s="6" t="str">
        <f>"SLC9A3R1"</f>
        <v>SLC9A3R1</v>
      </c>
      <c r="B4322" s="6">
        <v>5.4945054945054903E-2</v>
      </c>
      <c r="C4322" s="6">
        <v>0.21228655764023299</v>
      </c>
    </row>
    <row r="4323" spans="1:3" s="7" customFormat="1" x14ac:dyDescent="0.2">
      <c r="A4323" s="6" t="str">
        <f>"EIF3J-DT"</f>
        <v>EIF3J-DT</v>
      </c>
      <c r="B4323" s="6">
        <v>5.4945054945054903E-2</v>
      </c>
      <c r="C4323" s="6">
        <v>0.21228655764023299</v>
      </c>
    </row>
    <row r="4324" spans="1:3" s="7" customFormat="1" x14ac:dyDescent="0.2">
      <c r="A4324" s="6" t="str">
        <f>"MEX3D"</f>
        <v>MEX3D</v>
      </c>
      <c r="B4324" s="6">
        <v>5.4945054945054903E-2</v>
      </c>
      <c r="C4324" s="6">
        <v>0.21228655764023299</v>
      </c>
    </row>
    <row r="4325" spans="1:3" s="7" customFormat="1" x14ac:dyDescent="0.2">
      <c r="A4325" s="6" t="str">
        <f>"PDLIM1"</f>
        <v>PDLIM1</v>
      </c>
      <c r="B4325" s="6">
        <v>5.4945054945054903E-2</v>
      </c>
      <c r="C4325" s="6">
        <v>0.21228655764023299</v>
      </c>
    </row>
    <row r="4326" spans="1:3" s="7" customFormat="1" x14ac:dyDescent="0.2">
      <c r="A4326" s="6" t="str">
        <f>"SEPTIN2"</f>
        <v>SEPTIN2</v>
      </c>
      <c r="B4326" s="6">
        <v>5.4945054945054903E-2</v>
      </c>
      <c r="C4326" s="6">
        <v>0.21228655764023299</v>
      </c>
    </row>
    <row r="4327" spans="1:3" s="7" customFormat="1" x14ac:dyDescent="0.2">
      <c r="A4327" s="6" t="str">
        <f>"FHL2"</f>
        <v>FHL2</v>
      </c>
      <c r="B4327" s="6">
        <v>5.4945054945054903E-2</v>
      </c>
      <c r="C4327" s="6">
        <v>0.21228655764023299</v>
      </c>
    </row>
    <row r="4328" spans="1:3" s="7" customFormat="1" x14ac:dyDescent="0.2">
      <c r="A4328" s="6" t="str">
        <f>"MIF-AS1"</f>
        <v>MIF-AS1</v>
      </c>
      <c r="B4328" s="6">
        <v>5.5E-2</v>
      </c>
      <c r="C4328" s="6">
        <v>0.212351582351582</v>
      </c>
    </row>
    <row r="4329" spans="1:3" s="7" customFormat="1" x14ac:dyDescent="0.2">
      <c r="A4329" s="6" t="str">
        <f>"CDCA5"</f>
        <v>CDCA5</v>
      </c>
      <c r="B4329" s="6">
        <v>5.5E-2</v>
      </c>
      <c r="C4329" s="6">
        <v>0.212351582351582</v>
      </c>
    </row>
    <row r="4330" spans="1:3" s="7" customFormat="1" x14ac:dyDescent="0.2">
      <c r="A4330" s="6" t="str">
        <f>"CDC45"</f>
        <v>CDC45</v>
      </c>
      <c r="B4330" s="6">
        <v>5.5E-2</v>
      </c>
      <c r="C4330" s="6">
        <v>0.212351582351582</v>
      </c>
    </row>
    <row r="4331" spans="1:3" s="7" customFormat="1" x14ac:dyDescent="0.2">
      <c r="A4331" s="6" t="str">
        <f>"PIK3IP1-DT"</f>
        <v>PIK3IP1-DT</v>
      </c>
      <c r="B4331" s="6">
        <v>5.5055055055055001E-2</v>
      </c>
      <c r="C4331" s="6">
        <v>0.21246598711387399</v>
      </c>
    </row>
    <row r="4332" spans="1:3" s="7" customFormat="1" x14ac:dyDescent="0.2">
      <c r="A4332" s="6" t="str">
        <f>"AP003393.1"</f>
        <v>AP003393.1</v>
      </c>
      <c r="B4332" s="6">
        <v>5.5055055055055001E-2</v>
      </c>
      <c r="C4332" s="6">
        <v>0.21246598711387399</v>
      </c>
    </row>
    <row r="4333" spans="1:3" s="7" customFormat="1" x14ac:dyDescent="0.2">
      <c r="A4333" s="6" t="str">
        <f>"AC002451.2"</f>
        <v>AC002451.2</v>
      </c>
      <c r="B4333" s="6">
        <v>5.5084745762711801E-2</v>
      </c>
      <c r="C4333" s="6">
        <v>0.212531496001377</v>
      </c>
    </row>
    <row r="4334" spans="1:3" s="7" customFormat="1" x14ac:dyDescent="0.2">
      <c r="A4334" s="6" t="str">
        <f>"CSPG4P10"</f>
        <v>CSPG4P10</v>
      </c>
      <c r="B4334" s="6">
        <v>5.52763819095477E-2</v>
      </c>
      <c r="C4334" s="6">
        <v>0.21322165872055801</v>
      </c>
    </row>
    <row r="4335" spans="1:3" s="7" customFormat="1" x14ac:dyDescent="0.2">
      <c r="A4335" s="6" t="str">
        <f>"PLB1"</f>
        <v>PLB1</v>
      </c>
      <c r="B4335" s="6">
        <v>5.5944055944055902E-2</v>
      </c>
      <c r="C4335" s="6">
        <v>0.213743777118063</v>
      </c>
    </row>
    <row r="4336" spans="1:3" s="7" customFormat="1" x14ac:dyDescent="0.2">
      <c r="A4336" s="6" t="str">
        <f>"FCRL2"</f>
        <v>FCRL2</v>
      </c>
      <c r="B4336" s="6">
        <v>5.5944055944055902E-2</v>
      </c>
      <c r="C4336" s="6">
        <v>0.213743777118063</v>
      </c>
    </row>
    <row r="4337" spans="1:3" s="7" customFormat="1" x14ac:dyDescent="0.2">
      <c r="A4337" s="6" t="str">
        <f>"PPM1F"</f>
        <v>PPM1F</v>
      </c>
      <c r="B4337" s="6">
        <v>5.5944055944055902E-2</v>
      </c>
      <c r="C4337" s="6">
        <v>0.213743777118063</v>
      </c>
    </row>
    <row r="4338" spans="1:3" s="7" customFormat="1" x14ac:dyDescent="0.2">
      <c r="A4338" s="6" t="str">
        <f>"LANCL3"</f>
        <v>LANCL3</v>
      </c>
      <c r="B4338" s="6">
        <v>5.6000000000000001E-2</v>
      </c>
      <c r="C4338" s="6">
        <v>0.213743777118063</v>
      </c>
    </row>
    <row r="4339" spans="1:3" s="7" customFormat="1" x14ac:dyDescent="0.2">
      <c r="A4339" s="6" t="str">
        <f>"AHNAK"</f>
        <v>AHNAK</v>
      </c>
      <c r="B4339" s="6">
        <v>5.5944055944055902E-2</v>
      </c>
      <c r="C4339" s="6">
        <v>0.213743777118063</v>
      </c>
    </row>
    <row r="4340" spans="1:3" s="7" customFormat="1" x14ac:dyDescent="0.2">
      <c r="A4340" s="6" t="str">
        <f>"CD58"</f>
        <v>CD58</v>
      </c>
      <c r="B4340" s="6">
        <v>5.5944055944055902E-2</v>
      </c>
      <c r="C4340" s="6">
        <v>0.213743777118063</v>
      </c>
    </row>
    <row r="4341" spans="1:3" s="7" customFormat="1" x14ac:dyDescent="0.2">
      <c r="A4341" s="6" t="str">
        <f>"ZHX1"</f>
        <v>ZHX1</v>
      </c>
      <c r="B4341" s="6">
        <v>5.5944055944055902E-2</v>
      </c>
      <c r="C4341" s="6">
        <v>0.213743777118063</v>
      </c>
    </row>
    <row r="4342" spans="1:3" s="7" customFormat="1" x14ac:dyDescent="0.2">
      <c r="A4342" s="6" t="str">
        <f>"MATN1-AS1"</f>
        <v>MATN1-AS1</v>
      </c>
      <c r="B4342" s="6">
        <v>5.5944055944055902E-2</v>
      </c>
      <c r="C4342" s="6">
        <v>0.213743777118063</v>
      </c>
    </row>
    <row r="4343" spans="1:3" s="7" customFormat="1" x14ac:dyDescent="0.2">
      <c r="A4343" s="6" t="str">
        <f>"DHX37"</f>
        <v>DHX37</v>
      </c>
      <c r="B4343" s="6">
        <v>5.5944055944055902E-2</v>
      </c>
      <c r="C4343" s="6">
        <v>0.213743777118063</v>
      </c>
    </row>
    <row r="4344" spans="1:3" s="7" customFormat="1" x14ac:dyDescent="0.2">
      <c r="A4344" s="6" t="str">
        <f>"DOCK9"</f>
        <v>DOCK9</v>
      </c>
      <c r="B4344" s="6">
        <v>5.6000000000000001E-2</v>
      </c>
      <c r="C4344" s="6">
        <v>0.213743777118063</v>
      </c>
    </row>
    <row r="4345" spans="1:3" s="7" customFormat="1" x14ac:dyDescent="0.2">
      <c r="A4345" s="6" t="str">
        <f>"SCN11A"</f>
        <v>SCN11A</v>
      </c>
      <c r="B4345" s="6">
        <v>5.5944055944055902E-2</v>
      </c>
      <c r="C4345" s="6">
        <v>0.213743777118063</v>
      </c>
    </row>
    <row r="4346" spans="1:3" s="7" customFormat="1" x14ac:dyDescent="0.2">
      <c r="A4346" s="6" t="str">
        <f>"COMMD3"</f>
        <v>COMMD3</v>
      </c>
      <c r="B4346" s="6">
        <v>5.5944055944055902E-2</v>
      </c>
      <c r="C4346" s="6">
        <v>0.213743777118063</v>
      </c>
    </row>
    <row r="4347" spans="1:3" s="7" customFormat="1" x14ac:dyDescent="0.2">
      <c r="A4347" s="6" t="str">
        <f>"ZNF491"</f>
        <v>ZNF491</v>
      </c>
      <c r="B4347" s="6">
        <v>5.5944055944055902E-2</v>
      </c>
      <c r="C4347" s="6">
        <v>0.213743777118063</v>
      </c>
    </row>
    <row r="4348" spans="1:3" s="7" customFormat="1" x14ac:dyDescent="0.2">
      <c r="A4348" s="6" t="str">
        <f>"VASH1-AS1"</f>
        <v>VASH1-AS1</v>
      </c>
      <c r="B4348" s="6">
        <v>5.5944055944055902E-2</v>
      </c>
      <c r="C4348" s="6">
        <v>0.213743777118063</v>
      </c>
    </row>
    <row r="4349" spans="1:3" s="7" customFormat="1" x14ac:dyDescent="0.2">
      <c r="A4349" s="6" t="str">
        <f>"POGK"</f>
        <v>POGK</v>
      </c>
      <c r="B4349" s="6">
        <v>5.5944055944055902E-2</v>
      </c>
      <c r="C4349" s="6">
        <v>0.213743777118063</v>
      </c>
    </row>
    <row r="4350" spans="1:3" s="7" customFormat="1" x14ac:dyDescent="0.2">
      <c r="A4350" s="6" t="str">
        <f>"SLC6A12"</f>
        <v>SLC6A12</v>
      </c>
      <c r="B4350" s="6">
        <v>5.5944055944055902E-2</v>
      </c>
      <c r="C4350" s="6">
        <v>0.213743777118063</v>
      </c>
    </row>
    <row r="4351" spans="1:3" s="7" customFormat="1" x14ac:dyDescent="0.2">
      <c r="A4351" s="6" t="str">
        <f>"HSPA4L"</f>
        <v>HSPA4L</v>
      </c>
      <c r="B4351" s="6">
        <v>5.5944055944055902E-2</v>
      </c>
      <c r="C4351" s="6">
        <v>0.213743777118063</v>
      </c>
    </row>
    <row r="4352" spans="1:3" s="7" customFormat="1" x14ac:dyDescent="0.2">
      <c r="A4352" s="6" t="str">
        <f>"PATL2"</f>
        <v>PATL2</v>
      </c>
      <c r="B4352" s="6">
        <v>5.5944055944055902E-2</v>
      </c>
      <c r="C4352" s="6">
        <v>0.213743777118063</v>
      </c>
    </row>
    <row r="4353" spans="1:3" s="7" customFormat="1" x14ac:dyDescent="0.2">
      <c r="A4353" s="6" t="str">
        <f>"FOXH1"</f>
        <v>FOXH1</v>
      </c>
      <c r="B4353" s="6">
        <v>5.5944055944055902E-2</v>
      </c>
      <c r="C4353" s="6">
        <v>0.213743777118063</v>
      </c>
    </row>
    <row r="4354" spans="1:3" s="7" customFormat="1" x14ac:dyDescent="0.2">
      <c r="A4354" s="6" t="str">
        <f>"C1D"</f>
        <v>C1D</v>
      </c>
      <c r="B4354" s="6">
        <v>5.5944055944055902E-2</v>
      </c>
      <c r="C4354" s="6">
        <v>0.213743777118063</v>
      </c>
    </row>
    <row r="4355" spans="1:3" s="7" customFormat="1" x14ac:dyDescent="0.2">
      <c r="A4355" s="6" t="str">
        <f>"AC036176.1"</f>
        <v>AC036176.1</v>
      </c>
      <c r="B4355" s="6">
        <v>5.6000000000000001E-2</v>
      </c>
      <c r="C4355" s="6">
        <v>0.213743777118063</v>
      </c>
    </row>
    <row r="4356" spans="1:3" s="7" customFormat="1" x14ac:dyDescent="0.2">
      <c r="A4356" s="6" t="str">
        <f>"LINC00326"</f>
        <v>LINC00326</v>
      </c>
      <c r="B4356" s="6">
        <v>5.5944055944055902E-2</v>
      </c>
      <c r="C4356" s="6">
        <v>0.213743777118063</v>
      </c>
    </row>
    <row r="4357" spans="1:3" s="7" customFormat="1" x14ac:dyDescent="0.2">
      <c r="A4357" s="6" t="str">
        <f>"COQ2"</f>
        <v>COQ2</v>
      </c>
      <c r="B4357" s="6">
        <v>5.5944055944055902E-2</v>
      </c>
      <c r="C4357" s="6">
        <v>0.213743777118063</v>
      </c>
    </row>
    <row r="4358" spans="1:3" s="7" customFormat="1" x14ac:dyDescent="0.2">
      <c r="A4358" s="6" t="str">
        <f>"CERCAM"</f>
        <v>CERCAM</v>
      </c>
      <c r="B4358" s="6">
        <v>5.5944055944055902E-2</v>
      </c>
      <c r="C4358" s="6">
        <v>0.213743777118063</v>
      </c>
    </row>
    <row r="4359" spans="1:3" s="7" customFormat="1" x14ac:dyDescent="0.2">
      <c r="A4359" s="6" t="str">
        <f>"AC005840.4"</f>
        <v>AC005840.4</v>
      </c>
      <c r="B4359" s="6">
        <v>5.5944055944055902E-2</v>
      </c>
      <c r="C4359" s="6">
        <v>0.213743777118063</v>
      </c>
    </row>
    <row r="4360" spans="1:3" s="7" customFormat="1" x14ac:dyDescent="0.2">
      <c r="A4360" s="6" t="str">
        <f>"GP1BB"</f>
        <v>GP1BB</v>
      </c>
      <c r="B4360" s="6">
        <v>5.6000000000000001E-2</v>
      </c>
      <c r="C4360" s="6">
        <v>0.213743777118063</v>
      </c>
    </row>
    <row r="4361" spans="1:3" s="7" customFormat="1" x14ac:dyDescent="0.2">
      <c r="A4361" s="6" t="str">
        <f>"EFCAB3"</f>
        <v>EFCAB3</v>
      </c>
      <c r="B4361" s="6">
        <v>5.5614973262031998E-2</v>
      </c>
      <c r="C4361" s="6">
        <v>0.213743777118063</v>
      </c>
    </row>
    <row r="4362" spans="1:3" s="7" customFormat="1" x14ac:dyDescent="0.2">
      <c r="A4362" s="6" t="str">
        <f>"MROH6"</f>
        <v>MROH6</v>
      </c>
      <c r="B4362" s="6">
        <v>5.5944055944055902E-2</v>
      </c>
      <c r="C4362" s="6">
        <v>0.213743777118063</v>
      </c>
    </row>
    <row r="4363" spans="1:3" s="7" customFormat="1" x14ac:dyDescent="0.2">
      <c r="A4363" s="6" t="str">
        <f>"ZFP90"</f>
        <v>ZFP90</v>
      </c>
      <c r="B4363" s="6">
        <v>5.5944055944055902E-2</v>
      </c>
      <c r="C4363" s="6">
        <v>0.213743777118063</v>
      </c>
    </row>
    <row r="4364" spans="1:3" s="7" customFormat="1" x14ac:dyDescent="0.2">
      <c r="A4364" s="6" t="str">
        <f>"AL590491.2"</f>
        <v>AL590491.2</v>
      </c>
      <c r="B4364" s="6">
        <v>5.5944055944055902E-2</v>
      </c>
      <c r="C4364" s="6">
        <v>0.213743777118063</v>
      </c>
    </row>
    <row r="4365" spans="1:3" s="7" customFormat="1" x14ac:dyDescent="0.2">
      <c r="A4365" s="6" t="str">
        <f>"AC092718.7"</f>
        <v>AC092718.7</v>
      </c>
      <c r="B4365" s="6">
        <v>5.6000000000000001E-2</v>
      </c>
      <c r="C4365" s="6">
        <v>0.213743777118063</v>
      </c>
    </row>
    <row r="4366" spans="1:3" s="7" customFormat="1" x14ac:dyDescent="0.2">
      <c r="A4366" s="6" t="str">
        <f>"DPP10"</f>
        <v>DPP10</v>
      </c>
      <c r="B4366" s="6">
        <v>5.5944055944055902E-2</v>
      </c>
      <c r="C4366" s="6">
        <v>0.213743777118063</v>
      </c>
    </row>
    <row r="4367" spans="1:3" s="7" customFormat="1" x14ac:dyDescent="0.2">
      <c r="A4367" s="6" t="str">
        <f>"AL606760.1"</f>
        <v>AL606760.1</v>
      </c>
      <c r="B4367" s="6">
        <v>5.5944055944055902E-2</v>
      </c>
      <c r="C4367" s="6">
        <v>0.213743777118063</v>
      </c>
    </row>
    <row r="4368" spans="1:3" s="7" customFormat="1" x14ac:dyDescent="0.2">
      <c r="A4368" s="6" t="str">
        <f>"ITFG2-AS1"</f>
        <v>ITFG2-AS1</v>
      </c>
      <c r="B4368" s="6">
        <v>5.5611729019211298E-2</v>
      </c>
      <c r="C4368" s="6">
        <v>0.213743777118063</v>
      </c>
    </row>
    <row r="4369" spans="1:3" s="7" customFormat="1" x14ac:dyDescent="0.2">
      <c r="A4369" s="6" t="str">
        <f>"AC011442.1"</f>
        <v>AC011442.1</v>
      </c>
      <c r="B4369" s="6">
        <v>5.5958549222797901E-2</v>
      </c>
      <c r="C4369" s="6">
        <v>0.213743777118063</v>
      </c>
    </row>
    <row r="4370" spans="1:3" s="7" customFormat="1" x14ac:dyDescent="0.2">
      <c r="A4370" s="6" t="str">
        <f>"CCDC12"</f>
        <v>CCDC12</v>
      </c>
      <c r="B4370" s="6">
        <v>5.5944055944055902E-2</v>
      </c>
      <c r="C4370" s="6">
        <v>0.213743777118063</v>
      </c>
    </row>
    <row r="4371" spans="1:3" s="7" customFormat="1" x14ac:dyDescent="0.2">
      <c r="A4371" s="6" t="str">
        <f>"VWA1"</f>
        <v>VWA1</v>
      </c>
      <c r="B4371" s="6">
        <v>5.5944055944055902E-2</v>
      </c>
      <c r="C4371" s="6">
        <v>0.213743777118063</v>
      </c>
    </row>
    <row r="4372" spans="1:3" s="7" customFormat="1" x14ac:dyDescent="0.2">
      <c r="A4372" s="6" t="str">
        <f>"SNHG30"</f>
        <v>SNHG30</v>
      </c>
      <c r="B4372" s="6">
        <v>5.5944055944055902E-2</v>
      </c>
      <c r="C4372" s="6">
        <v>0.213743777118063</v>
      </c>
    </row>
    <row r="4373" spans="1:3" s="7" customFormat="1" x14ac:dyDescent="0.2">
      <c r="A4373" s="6" t="str">
        <f>"SPHK1"</f>
        <v>SPHK1</v>
      </c>
      <c r="B4373" s="6">
        <v>5.5944055944055902E-2</v>
      </c>
      <c r="C4373" s="6">
        <v>0.213743777118063</v>
      </c>
    </row>
    <row r="4374" spans="1:3" s="7" customFormat="1" x14ac:dyDescent="0.2">
      <c r="A4374" s="6" t="str">
        <f>"MSRA"</f>
        <v>MSRA</v>
      </c>
      <c r="B4374" s="6">
        <v>5.5944055944055902E-2</v>
      </c>
      <c r="C4374" s="6">
        <v>0.213743777118063</v>
      </c>
    </row>
    <row r="4375" spans="1:3" s="7" customFormat="1" x14ac:dyDescent="0.2">
      <c r="A4375" s="6" t="str">
        <f>"SIPA1"</f>
        <v>SIPA1</v>
      </c>
      <c r="B4375" s="6">
        <v>5.5944055944055902E-2</v>
      </c>
      <c r="C4375" s="6">
        <v>0.213743777118063</v>
      </c>
    </row>
    <row r="4376" spans="1:3" s="7" customFormat="1" x14ac:dyDescent="0.2">
      <c r="A4376" s="6" t="str">
        <f>"UMODL1-AS1"</f>
        <v>UMODL1-AS1</v>
      </c>
      <c r="B4376" s="6">
        <v>5.5944055944055902E-2</v>
      </c>
      <c r="C4376" s="6">
        <v>0.213743777118063</v>
      </c>
    </row>
    <row r="4377" spans="1:3" s="7" customFormat="1" x14ac:dyDescent="0.2">
      <c r="A4377" s="6" t="str">
        <f>"MGAT4A"</f>
        <v>MGAT4A</v>
      </c>
      <c r="B4377" s="6">
        <v>5.5944055944055902E-2</v>
      </c>
      <c r="C4377" s="6">
        <v>0.213743777118063</v>
      </c>
    </row>
    <row r="4378" spans="1:3" s="7" customFormat="1" x14ac:dyDescent="0.2">
      <c r="A4378" s="6" t="str">
        <f>"ELF1"</f>
        <v>ELF1</v>
      </c>
      <c r="B4378" s="6">
        <v>5.6000000000000001E-2</v>
      </c>
      <c r="C4378" s="6">
        <v>0.213743777118063</v>
      </c>
    </row>
    <row r="4379" spans="1:3" s="7" customFormat="1" x14ac:dyDescent="0.2">
      <c r="A4379" s="6" t="str">
        <f>"BMT2"</f>
        <v>BMT2</v>
      </c>
      <c r="B4379" s="6">
        <v>5.5944055944055902E-2</v>
      </c>
      <c r="C4379" s="6">
        <v>0.213743777118063</v>
      </c>
    </row>
    <row r="4380" spans="1:3" s="7" customFormat="1" x14ac:dyDescent="0.2">
      <c r="A4380" s="6" t="str">
        <f>"KLF3"</f>
        <v>KLF3</v>
      </c>
      <c r="B4380" s="6">
        <v>5.5944055944055902E-2</v>
      </c>
      <c r="C4380" s="6">
        <v>0.213743777118063</v>
      </c>
    </row>
    <row r="4381" spans="1:3" s="7" customFormat="1" x14ac:dyDescent="0.2">
      <c r="A4381" s="6" t="str">
        <f>"AC145207.3"</f>
        <v>AC145207.3</v>
      </c>
      <c r="B4381" s="6">
        <v>5.6056056056056E-2</v>
      </c>
      <c r="C4381" s="6">
        <v>0.21390888605500399</v>
      </c>
    </row>
    <row r="4382" spans="1:3" s="7" customFormat="1" x14ac:dyDescent="0.2">
      <c r="A4382" s="6" t="str">
        <f>"AL603840.1"</f>
        <v>AL603840.1</v>
      </c>
      <c r="B4382" s="6">
        <v>5.6116722783389403E-2</v>
      </c>
      <c r="C4382" s="6">
        <v>0.214091509838295</v>
      </c>
    </row>
    <row r="4383" spans="1:3" s="7" customFormat="1" x14ac:dyDescent="0.2">
      <c r="A4383" s="6" t="str">
        <f>"QKI"</f>
        <v>QKI</v>
      </c>
      <c r="B4383" s="6">
        <v>5.6943056943056902E-2</v>
      </c>
      <c r="C4383" s="6">
        <v>0.21571764590803499</v>
      </c>
    </row>
    <row r="4384" spans="1:3" s="7" customFormat="1" x14ac:dyDescent="0.2">
      <c r="A4384" s="6" t="str">
        <f>"USP32"</f>
        <v>USP32</v>
      </c>
      <c r="B4384" s="6">
        <v>5.6943056943056902E-2</v>
      </c>
      <c r="C4384" s="6">
        <v>0.21571764590803499</v>
      </c>
    </row>
    <row r="4385" spans="1:3" s="7" customFormat="1" x14ac:dyDescent="0.2">
      <c r="A4385" s="6" t="str">
        <f>"NRIP3"</f>
        <v>NRIP3</v>
      </c>
      <c r="B4385" s="6">
        <v>5.6943056943056902E-2</v>
      </c>
      <c r="C4385" s="6">
        <v>0.21571764590803499</v>
      </c>
    </row>
    <row r="4386" spans="1:3" s="7" customFormat="1" x14ac:dyDescent="0.2">
      <c r="A4386" s="6" t="str">
        <f>"PFKFB4"</f>
        <v>PFKFB4</v>
      </c>
      <c r="B4386" s="6">
        <v>5.6943056943056902E-2</v>
      </c>
      <c r="C4386" s="6">
        <v>0.21571764590803499</v>
      </c>
    </row>
    <row r="4387" spans="1:3" s="7" customFormat="1" x14ac:dyDescent="0.2">
      <c r="A4387" s="6" t="str">
        <f>"SYT16"</f>
        <v>SYT16</v>
      </c>
      <c r="B4387" s="6">
        <v>5.6943056943056902E-2</v>
      </c>
      <c r="C4387" s="6">
        <v>0.21571764590803499</v>
      </c>
    </row>
    <row r="4388" spans="1:3" s="7" customFormat="1" x14ac:dyDescent="0.2">
      <c r="A4388" s="6" t="str">
        <f>"HLA-DRA"</f>
        <v>HLA-DRA</v>
      </c>
      <c r="B4388" s="6">
        <v>5.6943056943056902E-2</v>
      </c>
      <c r="C4388" s="6">
        <v>0.21571764590803499</v>
      </c>
    </row>
    <row r="4389" spans="1:3" s="7" customFormat="1" x14ac:dyDescent="0.2">
      <c r="A4389" s="6" t="str">
        <f>"TMEM63C"</f>
        <v>TMEM63C</v>
      </c>
      <c r="B4389" s="6">
        <v>5.6943056943056902E-2</v>
      </c>
      <c r="C4389" s="6">
        <v>0.21571764590803499</v>
      </c>
    </row>
    <row r="4390" spans="1:3" s="7" customFormat="1" x14ac:dyDescent="0.2">
      <c r="A4390" s="6" t="str">
        <f>"GPA33"</f>
        <v>GPA33</v>
      </c>
      <c r="B4390" s="6">
        <v>5.6943056943056902E-2</v>
      </c>
      <c r="C4390" s="6">
        <v>0.21571764590803499</v>
      </c>
    </row>
    <row r="4391" spans="1:3" s="7" customFormat="1" x14ac:dyDescent="0.2">
      <c r="A4391" s="6" t="str">
        <f>"FOXQ1"</f>
        <v>FOXQ1</v>
      </c>
      <c r="B4391" s="6">
        <v>5.6943056943056902E-2</v>
      </c>
      <c r="C4391" s="6">
        <v>0.21571764590803499</v>
      </c>
    </row>
    <row r="4392" spans="1:3" s="7" customFormat="1" x14ac:dyDescent="0.2">
      <c r="A4392" s="6" t="str">
        <f>"VAMP5"</f>
        <v>VAMP5</v>
      </c>
      <c r="B4392" s="6">
        <v>5.6943056943056902E-2</v>
      </c>
      <c r="C4392" s="6">
        <v>0.21571764590803499</v>
      </c>
    </row>
    <row r="4393" spans="1:3" s="7" customFormat="1" x14ac:dyDescent="0.2">
      <c r="A4393" s="6" t="str">
        <f>"KRCC1"</f>
        <v>KRCC1</v>
      </c>
      <c r="B4393" s="6">
        <v>5.6943056943056902E-2</v>
      </c>
      <c r="C4393" s="6">
        <v>0.21571764590803499</v>
      </c>
    </row>
    <row r="4394" spans="1:3" s="7" customFormat="1" x14ac:dyDescent="0.2">
      <c r="A4394" s="6" t="str">
        <f>"TMEM61"</f>
        <v>TMEM61</v>
      </c>
      <c r="B4394" s="6">
        <v>5.6943056943056902E-2</v>
      </c>
      <c r="C4394" s="6">
        <v>0.21571764590803499</v>
      </c>
    </row>
    <row r="4395" spans="1:3" s="7" customFormat="1" x14ac:dyDescent="0.2">
      <c r="A4395" s="6" t="str">
        <f>"RABEPK"</f>
        <v>RABEPK</v>
      </c>
      <c r="B4395" s="6">
        <v>5.6943056943056902E-2</v>
      </c>
      <c r="C4395" s="6">
        <v>0.21571764590803499</v>
      </c>
    </row>
    <row r="4396" spans="1:3" s="7" customFormat="1" x14ac:dyDescent="0.2">
      <c r="A4396" s="6" t="str">
        <f>"RAB38"</f>
        <v>RAB38</v>
      </c>
      <c r="B4396" s="6">
        <v>5.6943056943056902E-2</v>
      </c>
      <c r="C4396" s="6">
        <v>0.21571764590803499</v>
      </c>
    </row>
    <row r="4397" spans="1:3" s="7" customFormat="1" x14ac:dyDescent="0.2">
      <c r="A4397" s="6" t="str">
        <f>"GPM6B"</f>
        <v>GPM6B</v>
      </c>
      <c r="B4397" s="6">
        <v>5.6943056943056902E-2</v>
      </c>
      <c r="C4397" s="6">
        <v>0.21571764590803499</v>
      </c>
    </row>
    <row r="4398" spans="1:3" s="7" customFormat="1" x14ac:dyDescent="0.2">
      <c r="A4398" s="6" t="str">
        <f>"GNB1L"</f>
        <v>GNB1L</v>
      </c>
      <c r="B4398" s="6">
        <v>5.6943056943056902E-2</v>
      </c>
      <c r="C4398" s="6">
        <v>0.21571764590803499</v>
      </c>
    </row>
    <row r="4399" spans="1:3" s="7" customFormat="1" x14ac:dyDescent="0.2">
      <c r="A4399" s="6" t="str">
        <f>"MOSPD1"</f>
        <v>MOSPD1</v>
      </c>
      <c r="B4399" s="6">
        <v>5.6943056943056902E-2</v>
      </c>
      <c r="C4399" s="6">
        <v>0.21571764590803499</v>
      </c>
    </row>
    <row r="4400" spans="1:3" s="7" customFormat="1" x14ac:dyDescent="0.2">
      <c r="A4400" s="6" t="str">
        <f>"PDXDC2P-NPIPB14P"</f>
        <v>PDXDC2P-NPIPB14P</v>
      </c>
      <c r="B4400" s="6">
        <v>5.6943056943056902E-2</v>
      </c>
      <c r="C4400" s="6">
        <v>0.21571764590803499</v>
      </c>
    </row>
    <row r="4401" spans="1:3" s="7" customFormat="1" x14ac:dyDescent="0.2">
      <c r="A4401" s="6" t="str">
        <f>"AGBL4"</f>
        <v>AGBL4</v>
      </c>
      <c r="B4401" s="6">
        <v>5.6943056943056902E-2</v>
      </c>
      <c r="C4401" s="6">
        <v>0.21571764590803499</v>
      </c>
    </row>
    <row r="4402" spans="1:3" s="7" customFormat="1" x14ac:dyDescent="0.2">
      <c r="A4402" s="6" t="str">
        <f>"GARRE1"</f>
        <v>GARRE1</v>
      </c>
      <c r="B4402" s="6">
        <v>5.6943056943056902E-2</v>
      </c>
      <c r="C4402" s="6">
        <v>0.21571764590803499</v>
      </c>
    </row>
    <row r="4403" spans="1:3" s="7" customFormat="1" x14ac:dyDescent="0.2">
      <c r="A4403" s="6" t="str">
        <f>"OGFR-AS1"</f>
        <v>OGFR-AS1</v>
      </c>
      <c r="B4403" s="6">
        <v>5.6943056943056902E-2</v>
      </c>
      <c r="C4403" s="6">
        <v>0.21571764590803499</v>
      </c>
    </row>
    <row r="4404" spans="1:3" s="7" customFormat="1" x14ac:dyDescent="0.2">
      <c r="A4404" s="6" t="str">
        <f>"ABCA5"</f>
        <v>ABCA5</v>
      </c>
      <c r="B4404" s="6">
        <v>5.6943056943056902E-2</v>
      </c>
      <c r="C4404" s="6">
        <v>0.21571764590803499</v>
      </c>
    </row>
    <row r="4405" spans="1:3" s="7" customFormat="1" x14ac:dyDescent="0.2">
      <c r="A4405" s="6" t="str">
        <f>"PPP1R36"</f>
        <v>PPP1R36</v>
      </c>
      <c r="B4405" s="6">
        <v>5.6943056943056902E-2</v>
      </c>
      <c r="C4405" s="6">
        <v>0.21571764590803499</v>
      </c>
    </row>
    <row r="4406" spans="1:3" s="7" customFormat="1" x14ac:dyDescent="0.2">
      <c r="A4406" s="6" t="str">
        <f>"SMIM10L2A"</f>
        <v>SMIM10L2A</v>
      </c>
      <c r="B4406" s="6">
        <v>5.6943056943056902E-2</v>
      </c>
      <c r="C4406" s="6">
        <v>0.21571764590803499</v>
      </c>
    </row>
    <row r="4407" spans="1:3" s="7" customFormat="1" x14ac:dyDescent="0.2">
      <c r="A4407" s="6" t="str">
        <f>"HOXB2"</f>
        <v>HOXB2</v>
      </c>
      <c r="B4407" s="6">
        <v>5.6943056943056902E-2</v>
      </c>
      <c r="C4407" s="6">
        <v>0.21571764590803499</v>
      </c>
    </row>
    <row r="4408" spans="1:3" s="7" customFormat="1" x14ac:dyDescent="0.2">
      <c r="A4408" s="6" t="str">
        <f>"TEKT2"</f>
        <v>TEKT2</v>
      </c>
      <c r="B4408" s="6">
        <v>5.6943056943056902E-2</v>
      </c>
      <c r="C4408" s="6">
        <v>0.21571764590803499</v>
      </c>
    </row>
    <row r="4409" spans="1:3" s="7" customFormat="1" x14ac:dyDescent="0.2">
      <c r="A4409" s="6" t="str">
        <f>"TPMT"</f>
        <v>TPMT</v>
      </c>
      <c r="B4409" s="6">
        <v>5.6943056943056902E-2</v>
      </c>
      <c r="C4409" s="6">
        <v>0.21571764590803499</v>
      </c>
    </row>
    <row r="4410" spans="1:3" s="7" customFormat="1" x14ac:dyDescent="0.2">
      <c r="A4410" s="6" t="str">
        <f>"CDH1"</f>
        <v>CDH1</v>
      </c>
      <c r="B4410" s="6">
        <v>5.6943056943056902E-2</v>
      </c>
      <c r="C4410" s="6">
        <v>0.21571764590803499</v>
      </c>
    </row>
    <row r="4411" spans="1:3" s="7" customFormat="1" x14ac:dyDescent="0.2">
      <c r="A4411" s="6" t="str">
        <f>"ARHGEF18"</f>
        <v>ARHGEF18</v>
      </c>
      <c r="B4411" s="6">
        <v>5.6943056943056902E-2</v>
      </c>
      <c r="C4411" s="6">
        <v>0.21571764590803499</v>
      </c>
    </row>
    <row r="4412" spans="1:3" s="7" customFormat="1" x14ac:dyDescent="0.2">
      <c r="A4412" s="6" t="str">
        <f>"HP"</f>
        <v>HP</v>
      </c>
      <c r="B4412" s="6">
        <v>5.6943056943056902E-2</v>
      </c>
      <c r="C4412" s="6">
        <v>0.21571764590803499</v>
      </c>
    </row>
    <row r="4413" spans="1:3" s="7" customFormat="1" x14ac:dyDescent="0.2">
      <c r="A4413" s="6" t="str">
        <f>"LCK"</f>
        <v>LCK</v>
      </c>
      <c r="B4413" s="6">
        <v>5.6943056943056902E-2</v>
      </c>
      <c r="C4413" s="6">
        <v>0.21571764590803499</v>
      </c>
    </row>
    <row r="4414" spans="1:3" s="7" customFormat="1" x14ac:dyDescent="0.2">
      <c r="A4414" s="6" t="str">
        <f>"AKAP8L"</f>
        <v>AKAP8L</v>
      </c>
      <c r="B4414" s="6">
        <v>5.7000000000000002E-2</v>
      </c>
      <c r="C4414" s="6">
        <v>0.21583552333484299</v>
      </c>
    </row>
    <row r="4415" spans="1:3" s="7" customFormat="1" x14ac:dyDescent="0.2">
      <c r="A4415" s="6" t="str">
        <f>"WDR38"</f>
        <v>WDR38</v>
      </c>
      <c r="B4415" s="6">
        <v>5.7000000000000002E-2</v>
      </c>
      <c r="C4415" s="6">
        <v>0.21583552333484299</v>
      </c>
    </row>
    <row r="4416" spans="1:3" s="7" customFormat="1" x14ac:dyDescent="0.2">
      <c r="A4416" s="6" t="str">
        <f>"DDX11L2"</f>
        <v>DDX11L2</v>
      </c>
      <c r="B4416" s="6">
        <v>5.7057057057056999E-2</v>
      </c>
      <c r="C4416" s="6">
        <v>0.216002639105696</v>
      </c>
    </row>
    <row r="4417" spans="1:3" s="7" customFormat="1" x14ac:dyDescent="0.2">
      <c r="A4417" s="6" t="str">
        <f>"STK40"</f>
        <v>STK40</v>
      </c>
      <c r="B4417" s="6">
        <v>5.7942057942057902E-2</v>
      </c>
      <c r="C4417" s="6">
        <v>0.21718850783663499</v>
      </c>
    </row>
    <row r="4418" spans="1:3" s="7" customFormat="1" x14ac:dyDescent="0.2">
      <c r="A4418" s="6" t="str">
        <f>"IL22RA2"</f>
        <v>IL22RA2</v>
      </c>
      <c r="B4418" s="6">
        <v>5.7942057942057902E-2</v>
      </c>
      <c r="C4418" s="6">
        <v>0.21718850783663499</v>
      </c>
    </row>
    <row r="4419" spans="1:3" s="7" customFormat="1" x14ac:dyDescent="0.2">
      <c r="A4419" s="6" t="str">
        <f>"SEMA6B"</f>
        <v>SEMA6B</v>
      </c>
      <c r="B4419" s="6">
        <v>5.7942057942057902E-2</v>
      </c>
      <c r="C4419" s="6">
        <v>0.21718850783663499</v>
      </c>
    </row>
    <row r="4420" spans="1:3" s="7" customFormat="1" x14ac:dyDescent="0.2">
      <c r="A4420" s="6" t="str">
        <f>"CKLF"</f>
        <v>CKLF</v>
      </c>
      <c r="B4420" s="6">
        <v>5.7942057942057902E-2</v>
      </c>
      <c r="C4420" s="6">
        <v>0.21718850783663499</v>
      </c>
    </row>
    <row r="4421" spans="1:3" s="7" customFormat="1" x14ac:dyDescent="0.2">
      <c r="A4421" s="6" t="str">
        <f>"RHOF"</f>
        <v>RHOF</v>
      </c>
      <c r="B4421" s="6">
        <v>5.7942057942057902E-2</v>
      </c>
      <c r="C4421" s="6">
        <v>0.21718850783663499</v>
      </c>
    </row>
    <row r="4422" spans="1:3" s="7" customFormat="1" x14ac:dyDescent="0.2">
      <c r="A4422" s="6" t="str">
        <f>"UBAP1"</f>
        <v>UBAP1</v>
      </c>
      <c r="B4422" s="6">
        <v>5.7942057942057902E-2</v>
      </c>
      <c r="C4422" s="6">
        <v>0.21718850783663499</v>
      </c>
    </row>
    <row r="4423" spans="1:3" s="7" customFormat="1" x14ac:dyDescent="0.2">
      <c r="A4423" s="6" t="str">
        <f>"IRF1"</f>
        <v>IRF1</v>
      </c>
      <c r="B4423" s="6">
        <v>5.7942057942057902E-2</v>
      </c>
      <c r="C4423" s="6">
        <v>0.21718850783663499</v>
      </c>
    </row>
    <row r="4424" spans="1:3" s="7" customFormat="1" x14ac:dyDescent="0.2">
      <c r="A4424" s="6" t="str">
        <f>"ZNF121"</f>
        <v>ZNF121</v>
      </c>
      <c r="B4424" s="6">
        <v>5.7942057942057902E-2</v>
      </c>
      <c r="C4424" s="6">
        <v>0.21718850783663499</v>
      </c>
    </row>
    <row r="4425" spans="1:3" s="7" customFormat="1" x14ac:dyDescent="0.2">
      <c r="A4425" s="6" t="str">
        <f>"AC099850.1"</f>
        <v>AC099850.1</v>
      </c>
      <c r="B4425" s="6">
        <v>5.7868020304568502E-2</v>
      </c>
      <c r="C4425" s="6">
        <v>0.21718850783663499</v>
      </c>
    </row>
    <row r="4426" spans="1:3" s="7" customFormat="1" x14ac:dyDescent="0.2">
      <c r="A4426" s="6" t="str">
        <f>"SYT8"</f>
        <v>SYT8</v>
      </c>
      <c r="B4426" s="6">
        <v>5.7942057942057902E-2</v>
      </c>
      <c r="C4426" s="6">
        <v>0.21718850783663499</v>
      </c>
    </row>
    <row r="4427" spans="1:3" s="7" customFormat="1" x14ac:dyDescent="0.2">
      <c r="A4427" s="6" t="str">
        <f>"BIN3"</f>
        <v>BIN3</v>
      </c>
      <c r="B4427" s="6">
        <v>5.7942057942057902E-2</v>
      </c>
      <c r="C4427" s="6">
        <v>0.21718850783663499</v>
      </c>
    </row>
    <row r="4428" spans="1:3" s="7" customFormat="1" x14ac:dyDescent="0.2">
      <c r="A4428" s="6" t="str">
        <f>"CLDND2"</f>
        <v>CLDND2</v>
      </c>
      <c r="B4428" s="6">
        <v>5.7942057942057902E-2</v>
      </c>
      <c r="C4428" s="6">
        <v>0.21718850783663499</v>
      </c>
    </row>
    <row r="4429" spans="1:3" s="7" customFormat="1" x14ac:dyDescent="0.2">
      <c r="A4429" s="6" t="str">
        <f>"AP006222.2"</f>
        <v>AP006222.2</v>
      </c>
      <c r="B4429" s="6">
        <v>5.7942057942057902E-2</v>
      </c>
      <c r="C4429" s="6">
        <v>0.21718850783663499</v>
      </c>
    </row>
    <row r="4430" spans="1:3" s="7" customFormat="1" x14ac:dyDescent="0.2">
      <c r="A4430" s="6" t="str">
        <f>"CBWD2"</f>
        <v>CBWD2</v>
      </c>
      <c r="B4430" s="6">
        <v>5.7942057942057902E-2</v>
      </c>
      <c r="C4430" s="6">
        <v>0.21718850783663499</v>
      </c>
    </row>
    <row r="4431" spans="1:3" s="7" customFormat="1" x14ac:dyDescent="0.2">
      <c r="A4431" s="6" t="str">
        <f>"UTP11"</f>
        <v>UTP11</v>
      </c>
      <c r="B4431" s="6">
        <v>5.7942057942057902E-2</v>
      </c>
      <c r="C4431" s="6">
        <v>0.21718850783663499</v>
      </c>
    </row>
    <row r="4432" spans="1:3" s="7" customFormat="1" x14ac:dyDescent="0.2">
      <c r="A4432" s="6" t="str">
        <f>"CENPL"</f>
        <v>CENPL</v>
      </c>
      <c r="B4432" s="6">
        <v>5.7942057942057902E-2</v>
      </c>
      <c r="C4432" s="6">
        <v>0.21718850783663499</v>
      </c>
    </row>
    <row r="4433" spans="1:3" s="7" customFormat="1" x14ac:dyDescent="0.2">
      <c r="A4433" s="6" t="str">
        <f>"ORC6"</f>
        <v>ORC6</v>
      </c>
      <c r="B4433" s="6">
        <v>5.7942057942057902E-2</v>
      </c>
      <c r="C4433" s="6">
        <v>0.21718850783663499</v>
      </c>
    </row>
    <row r="4434" spans="1:3" s="7" customFormat="1" x14ac:dyDescent="0.2">
      <c r="A4434" s="6" t="str">
        <f>"CLPP"</f>
        <v>CLPP</v>
      </c>
      <c r="B4434" s="6">
        <v>5.7942057942057902E-2</v>
      </c>
      <c r="C4434" s="6">
        <v>0.21718850783663499</v>
      </c>
    </row>
    <row r="4435" spans="1:3" s="7" customFormat="1" x14ac:dyDescent="0.2">
      <c r="A4435" s="6" t="str">
        <f>"MEF2B"</f>
        <v>MEF2B</v>
      </c>
      <c r="B4435" s="6">
        <v>5.7942057942057902E-2</v>
      </c>
      <c r="C4435" s="6">
        <v>0.21718850783663499</v>
      </c>
    </row>
    <row r="4436" spans="1:3" s="7" customFormat="1" x14ac:dyDescent="0.2">
      <c r="A4436" s="6" t="str">
        <f>"BNIP1"</f>
        <v>BNIP1</v>
      </c>
      <c r="B4436" s="6">
        <v>5.7942057942057902E-2</v>
      </c>
      <c r="C4436" s="6">
        <v>0.21718850783663499</v>
      </c>
    </row>
    <row r="4437" spans="1:3" s="7" customFormat="1" x14ac:dyDescent="0.2">
      <c r="A4437" s="6" t="str">
        <f>"ZNF784"</f>
        <v>ZNF784</v>
      </c>
      <c r="B4437" s="6">
        <v>5.7942057942057902E-2</v>
      </c>
      <c r="C4437" s="6">
        <v>0.21718850783663499</v>
      </c>
    </row>
    <row r="4438" spans="1:3" s="7" customFormat="1" x14ac:dyDescent="0.2">
      <c r="A4438" s="6" t="str">
        <f>"AC010273.3"</f>
        <v>AC010273.3</v>
      </c>
      <c r="B4438" s="6">
        <v>5.7942057942057902E-2</v>
      </c>
      <c r="C4438" s="6">
        <v>0.21718850783663499</v>
      </c>
    </row>
    <row r="4439" spans="1:3" s="7" customFormat="1" x14ac:dyDescent="0.2">
      <c r="A4439" s="6" t="str">
        <f>"PKMYT1"</f>
        <v>PKMYT1</v>
      </c>
      <c r="B4439" s="6">
        <v>5.7942057942057902E-2</v>
      </c>
      <c r="C4439" s="6">
        <v>0.21718850783663499</v>
      </c>
    </row>
    <row r="4440" spans="1:3" s="7" customFormat="1" x14ac:dyDescent="0.2">
      <c r="A4440" s="6" t="str">
        <f>"IL17C"</f>
        <v>IL17C</v>
      </c>
      <c r="B4440" s="6">
        <v>5.7942057942057902E-2</v>
      </c>
      <c r="C4440" s="6">
        <v>0.21718850783663499</v>
      </c>
    </row>
    <row r="4441" spans="1:3" s="7" customFormat="1" x14ac:dyDescent="0.2">
      <c r="A4441" s="6" t="str">
        <f>"ITPRID2"</f>
        <v>ITPRID2</v>
      </c>
      <c r="B4441" s="6">
        <v>5.7942057942057902E-2</v>
      </c>
      <c r="C4441" s="6">
        <v>0.21718850783663499</v>
      </c>
    </row>
    <row r="4442" spans="1:3" s="7" customFormat="1" x14ac:dyDescent="0.2">
      <c r="A4442" s="6" t="str">
        <f>"AGO2"</f>
        <v>AGO2</v>
      </c>
      <c r="B4442" s="6">
        <v>5.7942057942057902E-2</v>
      </c>
      <c r="C4442" s="6">
        <v>0.21718850783663499</v>
      </c>
    </row>
    <row r="4443" spans="1:3" s="7" customFormat="1" x14ac:dyDescent="0.2">
      <c r="A4443" s="6" t="str">
        <f>"MTMR12"</f>
        <v>MTMR12</v>
      </c>
      <c r="B4443" s="6">
        <v>5.7942057942057902E-2</v>
      </c>
      <c r="C4443" s="6">
        <v>0.21718850783663499</v>
      </c>
    </row>
    <row r="4444" spans="1:3" s="7" customFormat="1" x14ac:dyDescent="0.2">
      <c r="A4444" s="6" t="str">
        <f>"BHLHB9"</f>
        <v>BHLHB9</v>
      </c>
      <c r="B4444" s="6">
        <v>5.7942057942057902E-2</v>
      </c>
      <c r="C4444" s="6">
        <v>0.21718850783663499</v>
      </c>
    </row>
    <row r="4445" spans="1:3" s="7" customFormat="1" x14ac:dyDescent="0.2">
      <c r="A4445" s="6" t="str">
        <f>"KDR"</f>
        <v>KDR</v>
      </c>
      <c r="B4445" s="6">
        <v>5.7942057942057902E-2</v>
      </c>
      <c r="C4445" s="6">
        <v>0.21718850783663499</v>
      </c>
    </row>
    <row r="4446" spans="1:3" s="7" customFormat="1" x14ac:dyDescent="0.2">
      <c r="A4446" s="6" t="str">
        <f>"ZFP3"</f>
        <v>ZFP3</v>
      </c>
      <c r="B4446" s="6">
        <v>5.7942057942057902E-2</v>
      </c>
      <c r="C4446" s="6">
        <v>0.21718850783663499</v>
      </c>
    </row>
    <row r="4447" spans="1:3" s="7" customFormat="1" x14ac:dyDescent="0.2">
      <c r="A4447" s="6" t="str">
        <f>"TEKT4P2"</f>
        <v>TEKT4P2</v>
      </c>
      <c r="B4447" s="6">
        <v>5.7942057942057902E-2</v>
      </c>
      <c r="C4447" s="6">
        <v>0.21718850783663499</v>
      </c>
    </row>
    <row r="4448" spans="1:3" s="7" customFormat="1" x14ac:dyDescent="0.2">
      <c r="A4448" s="6" t="str">
        <f>"EIF4A2"</f>
        <v>EIF4A2</v>
      </c>
      <c r="B4448" s="6">
        <v>5.7942057942057902E-2</v>
      </c>
      <c r="C4448" s="6">
        <v>0.21718850783663499</v>
      </c>
    </row>
    <row r="4449" spans="1:3" s="7" customFormat="1" x14ac:dyDescent="0.2">
      <c r="A4449" s="6" t="str">
        <f>"ITPKC"</f>
        <v>ITPKC</v>
      </c>
      <c r="B4449" s="6">
        <v>5.7942057942057902E-2</v>
      </c>
      <c r="C4449" s="6">
        <v>0.21718850783663499</v>
      </c>
    </row>
    <row r="4450" spans="1:3" s="7" customFormat="1" x14ac:dyDescent="0.2">
      <c r="A4450" s="6" t="str">
        <f>"RBM22"</f>
        <v>RBM22</v>
      </c>
      <c r="B4450" s="6">
        <v>5.7942057942057902E-2</v>
      </c>
      <c r="C4450" s="6">
        <v>0.21718850783663499</v>
      </c>
    </row>
    <row r="4451" spans="1:3" s="7" customFormat="1" x14ac:dyDescent="0.2">
      <c r="A4451" s="6" t="str">
        <f>"MEPCE"</f>
        <v>MEPCE</v>
      </c>
      <c r="B4451" s="6">
        <v>5.7942057942057902E-2</v>
      </c>
      <c r="C4451" s="6">
        <v>0.21718850783663499</v>
      </c>
    </row>
    <row r="4452" spans="1:3" s="7" customFormat="1" x14ac:dyDescent="0.2">
      <c r="A4452" s="6" t="str">
        <f>"FAM47E"</f>
        <v>FAM47E</v>
      </c>
      <c r="B4452" s="6">
        <v>5.7942057942057902E-2</v>
      </c>
      <c r="C4452" s="6">
        <v>0.21718850783663499</v>
      </c>
    </row>
    <row r="4453" spans="1:3" s="7" customFormat="1" x14ac:dyDescent="0.2">
      <c r="A4453" s="6" t="str">
        <f>"NCOR2"</f>
        <v>NCOR2</v>
      </c>
      <c r="B4453" s="6">
        <v>5.7942057942057902E-2</v>
      </c>
      <c r="C4453" s="6">
        <v>0.21718850783663499</v>
      </c>
    </row>
    <row r="4454" spans="1:3" s="7" customFormat="1" x14ac:dyDescent="0.2">
      <c r="A4454" s="6" t="str">
        <f>"ANKRD66"</f>
        <v>ANKRD66</v>
      </c>
      <c r="B4454" s="6">
        <v>5.7942057942057902E-2</v>
      </c>
      <c r="C4454" s="6">
        <v>0.21718850783663499</v>
      </c>
    </row>
    <row r="4455" spans="1:3" s="7" customFormat="1" x14ac:dyDescent="0.2">
      <c r="A4455" s="6" t="str">
        <f>"DPCD"</f>
        <v>DPCD</v>
      </c>
      <c r="B4455" s="6">
        <v>5.7942057942057902E-2</v>
      </c>
      <c r="C4455" s="6">
        <v>0.21718850783663499</v>
      </c>
    </row>
    <row r="4456" spans="1:3" s="7" customFormat="1" x14ac:dyDescent="0.2">
      <c r="A4456" s="6" t="str">
        <f>"HOXB3"</f>
        <v>HOXB3</v>
      </c>
      <c r="B4456" s="6">
        <v>5.7942057942057902E-2</v>
      </c>
      <c r="C4456" s="6">
        <v>0.21718850783663499</v>
      </c>
    </row>
    <row r="4457" spans="1:3" s="7" customFormat="1" x14ac:dyDescent="0.2">
      <c r="A4457" s="6" t="str">
        <f>"LRRC18"</f>
        <v>LRRC18</v>
      </c>
      <c r="B4457" s="6">
        <v>5.7942057942057902E-2</v>
      </c>
      <c r="C4457" s="6">
        <v>0.21718850783663499</v>
      </c>
    </row>
    <row r="4458" spans="1:3" s="7" customFormat="1" x14ac:dyDescent="0.2">
      <c r="A4458" s="6" t="str">
        <f>"OR2A20P"</f>
        <v>OR2A20P</v>
      </c>
      <c r="B4458" s="6">
        <v>5.7942057942057902E-2</v>
      </c>
      <c r="C4458" s="6">
        <v>0.21718850783663499</v>
      </c>
    </row>
    <row r="4459" spans="1:3" s="7" customFormat="1" x14ac:dyDescent="0.2">
      <c r="A4459" s="6" t="str">
        <f>"MCEE"</f>
        <v>MCEE</v>
      </c>
      <c r="B4459" s="6">
        <v>5.7942057942057902E-2</v>
      </c>
      <c r="C4459" s="6">
        <v>0.21718850783663499</v>
      </c>
    </row>
    <row r="4460" spans="1:3" s="7" customFormat="1" x14ac:dyDescent="0.2">
      <c r="A4460" s="6" t="str">
        <f>"MCL1"</f>
        <v>MCL1</v>
      </c>
      <c r="B4460" s="6">
        <v>5.7942057942057902E-2</v>
      </c>
      <c r="C4460" s="6">
        <v>0.21718850783663499</v>
      </c>
    </row>
    <row r="4461" spans="1:3" s="7" customFormat="1" x14ac:dyDescent="0.2">
      <c r="A4461" s="6" t="str">
        <f>"AC007686.2"</f>
        <v>AC007686.2</v>
      </c>
      <c r="B4461" s="6">
        <v>5.8000000000000003E-2</v>
      </c>
      <c r="C4461" s="6">
        <v>0.217259524876736</v>
      </c>
    </row>
    <row r="4462" spans="1:3" s="7" customFormat="1" x14ac:dyDescent="0.2">
      <c r="A4462" s="6" t="str">
        <f>"MAP4"</f>
        <v>MAP4</v>
      </c>
      <c r="B4462" s="6">
        <v>5.8000000000000003E-2</v>
      </c>
      <c r="C4462" s="6">
        <v>0.217259524876736</v>
      </c>
    </row>
    <row r="4463" spans="1:3" s="7" customFormat="1" x14ac:dyDescent="0.2">
      <c r="A4463" s="6" t="str">
        <f>"LMNA"</f>
        <v>LMNA</v>
      </c>
      <c r="B4463" s="6">
        <v>5.8000000000000003E-2</v>
      </c>
      <c r="C4463" s="6">
        <v>0.217259524876736</v>
      </c>
    </row>
    <row r="4464" spans="1:3" s="7" customFormat="1" x14ac:dyDescent="0.2">
      <c r="A4464" s="6" t="str">
        <f>"UBQLNL"</f>
        <v>UBQLNL</v>
      </c>
      <c r="B4464" s="6">
        <v>5.8058058058057999E-2</v>
      </c>
      <c r="C4464" s="6">
        <v>0.21737956594587399</v>
      </c>
    </row>
    <row r="4465" spans="1:3" s="7" customFormat="1" x14ac:dyDescent="0.2">
      <c r="A4465" s="6" t="str">
        <f>"FAM201A"</f>
        <v>FAM201A</v>
      </c>
      <c r="B4465" s="6">
        <v>5.8058058058057999E-2</v>
      </c>
      <c r="C4465" s="6">
        <v>0.21737956594587399</v>
      </c>
    </row>
    <row r="4466" spans="1:3" s="7" customFormat="1" x14ac:dyDescent="0.2">
      <c r="A4466" s="6" t="str">
        <f>"CETN4P"</f>
        <v>CETN4P</v>
      </c>
      <c r="B4466" s="6">
        <v>5.81162324649298E-2</v>
      </c>
      <c r="C4466" s="6">
        <v>0.217548647126279</v>
      </c>
    </row>
    <row r="4467" spans="1:3" s="7" customFormat="1" x14ac:dyDescent="0.2">
      <c r="A4467" s="6" t="str">
        <f>"CKS2"</f>
        <v>CKS2</v>
      </c>
      <c r="B4467" s="6">
        <v>5.8941058941058902E-2</v>
      </c>
      <c r="C4467" s="6">
        <v>0.21916370614924499</v>
      </c>
    </row>
    <row r="4468" spans="1:3" s="7" customFormat="1" x14ac:dyDescent="0.2">
      <c r="A4468" s="6" t="str">
        <f>"CLEC2B"</f>
        <v>CLEC2B</v>
      </c>
      <c r="B4468" s="6">
        <v>5.8941058941058902E-2</v>
      </c>
      <c r="C4468" s="6">
        <v>0.21916370614924499</v>
      </c>
    </row>
    <row r="4469" spans="1:3" s="7" customFormat="1" x14ac:dyDescent="0.2">
      <c r="A4469" s="6" t="str">
        <f>"CCBE1"</f>
        <v>CCBE1</v>
      </c>
      <c r="B4469" s="6">
        <v>5.8941058941058902E-2</v>
      </c>
      <c r="C4469" s="6">
        <v>0.21916370614924499</v>
      </c>
    </row>
    <row r="4470" spans="1:3" s="7" customFormat="1" x14ac:dyDescent="0.2">
      <c r="A4470" s="6" t="str">
        <f>"DAD1"</f>
        <v>DAD1</v>
      </c>
      <c r="B4470" s="6">
        <v>5.8941058941058902E-2</v>
      </c>
      <c r="C4470" s="6">
        <v>0.21916370614924499</v>
      </c>
    </row>
    <row r="4471" spans="1:3" s="7" customFormat="1" x14ac:dyDescent="0.2">
      <c r="A4471" s="6" t="str">
        <f>"DOT1L"</f>
        <v>DOT1L</v>
      </c>
      <c r="B4471" s="6">
        <v>5.8941058941058902E-2</v>
      </c>
      <c r="C4471" s="6">
        <v>0.21916370614924499</v>
      </c>
    </row>
    <row r="4472" spans="1:3" s="7" customFormat="1" x14ac:dyDescent="0.2">
      <c r="A4472" s="6" t="str">
        <f>"PAWR"</f>
        <v>PAWR</v>
      </c>
      <c r="B4472" s="6">
        <v>5.8941058941058902E-2</v>
      </c>
      <c r="C4472" s="6">
        <v>0.21916370614924499</v>
      </c>
    </row>
    <row r="4473" spans="1:3" s="7" customFormat="1" x14ac:dyDescent="0.2">
      <c r="A4473" s="6" t="str">
        <f>"SMTN"</f>
        <v>SMTN</v>
      </c>
      <c r="B4473" s="6">
        <v>5.8941058941058902E-2</v>
      </c>
      <c r="C4473" s="6">
        <v>0.21916370614924499</v>
      </c>
    </row>
    <row r="4474" spans="1:3" s="7" customFormat="1" x14ac:dyDescent="0.2">
      <c r="A4474" s="6" t="str">
        <f>"H1-3"</f>
        <v>H1-3</v>
      </c>
      <c r="B4474" s="6">
        <v>5.8941058941058902E-2</v>
      </c>
      <c r="C4474" s="6">
        <v>0.21916370614924499</v>
      </c>
    </row>
    <row r="4475" spans="1:3" s="7" customFormat="1" x14ac:dyDescent="0.2">
      <c r="A4475" s="6" t="str">
        <f>"CA5B"</f>
        <v>CA5B</v>
      </c>
      <c r="B4475" s="6">
        <v>5.8941058941058902E-2</v>
      </c>
      <c r="C4475" s="6">
        <v>0.21916370614924499</v>
      </c>
    </row>
    <row r="4476" spans="1:3" s="7" customFormat="1" x14ac:dyDescent="0.2">
      <c r="A4476" s="6" t="str">
        <f>"PTCD2"</f>
        <v>PTCD2</v>
      </c>
      <c r="B4476" s="6">
        <v>5.8941058941058902E-2</v>
      </c>
      <c r="C4476" s="6">
        <v>0.21916370614924499</v>
      </c>
    </row>
    <row r="4477" spans="1:3" s="7" customFormat="1" x14ac:dyDescent="0.2">
      <c r="A4477" s="6" t="str">
        <f>"C12orf73"</f>
        <v>C12orf73</v>
      </c>
      <c r="B4477" s="6">
        <v>5.8941058941058902E-2</v>
      </c>
      <c r="C4477" s="6">
        <v>0.21916370614924499</v>
      </c>
    </row>
    <row r="4478" spans="1:3" s="7" customFormat="1" x14ac:dyDescent="0.2">
      <c r="A4478" s="6" t="str">
        <f>"SPIN4"</f>
        <v>SPIN4</v>
      </c>
      <c r="B4478" s="6">
        <v>5.8941058941058902E-2</v>
      </c>
      <c r="C4478" s="6">
        <v>0.21916370614924499</v>
      </c>
    </row>
    <row r="4479" spans="1:3" s="7" customFormat="1" x14ac:dyDescent="0.2">
      <c r="A4479" s="6" t="str">
        <f>"TPRG1-AS1"</f>
        <v>TPRG1-AS1</v>
      </c>
      <c r="B4479" s="6">
        <v>5.8941058941058902E-2</v>
      </c>
      <c r="C4479" s="6">
        <v>0.21916370614924499</v>
      </c>
    </row>
    <row r="4480" spans="1:3" s="7" customFormat="1" x14ac:dyDescent="0.2">
      <c r="A4480" s="6" t="str">
        <f>"NAPB"</f>
        <v>NAPB</v>
      </c>
      <c r="B4480" s="6">
        <v>5.8941058941058902E-2</v>
      </c>
      <c r="C4480" s="6">
        <v>0.21916370614924499</v>
      </c>
    </row>
    <row r="4481" spans="1:3" s="7" customFormat="1" x14ac:dyDescent="0.2">
      <c r="A4481" s="6" t="str">
        <f>"FUT2"</f>
        <v>FUT2</v>
      </c>
      <c r="B4481" s="6">
        <v>5.8941058941058902E-2</v>
      </c>
      <c r="C4481" s="6">
        <v>0.21916370614924499</v>
      </c>
    </row>
    <row r="4482" spans="1:3" s="7" customFormat="1" x14ac:dyDescent="0.2">
      <c r="A4482" s="6" t="str">
        <f>"TRAV12-2"</f>
        <v>TRAV12-2</v>
      </c>
      <c r="B4482" s="6">
        <v>5.8941058941058902E-2</v>
      </c>
      <c r="C4482" s="6">
        <v>0.21916370614924499</v>
      </c>
    </row>
    <row r="4483" spans="1:3" s="7" customFormat="1" x14ac:dyDescent="0.2">
      <c r="A4483" s="6" t="str">
        <f>"SNTA1"</f>
        <v>SNTA1</v>
      </c>
      <c r="B4483" s="6">
        <v>5.8941058941058902E-2</v>
      </c>
      <c r="C4483" s="6">
        <v>0.21916370614924499</v>
      </c>
    </row>
    <row r="4484" spans="1:3" s="7" customFormat="1" x14ac:dyDescent="0.2">
      <c r="A4484" s="6" t="str">
        <f>"TMEM45A"</f>
        <v>TMEM45A</v>
      </c>
      <c r="B4484" s="6">
        <v>5.8941058941058902E-2</v>
      </c>
      <c r="C4484" s="6">
        <v>0.21916370614924499</v>
      </c>
    </row>
    <row r="4485" spans="1:3" s="7" customFormat="1" x14ac:dyDescent="0.2">
      <c r="A4485" s="6" t="str">
        <f>"ARHGAP21"</f>
        <v>ARHGAP21</v>
      </c>
      <c r="B4485" s="6">
        <v>5.8941058941058902E-2</v>
      </c>
      <c r="C4485" s="6">
        <v>0.21916370614924499</v>
      </c>
    </row>
    <row r="4486" spans="1:3" s="7" customFormat="1" x14ac:dyDescent="0.2">
      <c r="A4486" s="6" t="str">
        <f>"TP63"</f>
        <v>TP63</v>
      </c>
      <c r="B4486" s="6">
        <v>5.8941058941058902E-2</v>
      </c>
      <c r="C4486" s="6">
        <v>0.21916370614924499</v>
      </c>
    </row>
    <row r="4487" spans="1:3" s="7" customFormat="1" x14ac:dyDescent="0.2">
      <c r="A4487" s="6" t="str">
        <f>"CFH"</f>
        <v>CFH</v>
      </c>
      <c r="B4487" s="6">
        <v>5.8941058941058902E-2</v>
      </c>
      <c r="C4487" s="6">
        <v>0.21916370614924499</v>
      </c>
    </row>
    <row r="4488" spans="1:3" s="7" customFormat="1" x14ac:dyDescent="0.2">
      <c r="A4488" s="6" t="str">
        <f>"ITPR3"</f>
        <v>ITPR3</v>
      </c>
      <c r="B4488" s="6">
        <v>5.8941058941058902E-2</v>
      </c>
      <c r="C4488" s="6">
        <v>0.21916370614924499</v>
      </c>
    </row>
    <row r="4489" spans="1:3" s="7" customFormat="1" x14ac:dyDescent="0.2">
      <c r="A4489" s="6" t="str">
        <f>"DNAI1"</f>
        <v>DNAI1</v>
      </c>
      <c r="B4489" s="6">
        <v>5.8941058941058902E-2</v>
      </c>
      <c r="C4489" s="6">
        <v>0.21916370614924499</v>
      </c>
    </row>
    <row r="4490" spans="1:3" s="7" customFormat="1" x14ac:dyDescent="0.2">
      <c r="A4490" s="6" t="str">
        <f>"HSPD1"</f>
        <v>HSPD1</v>
      </c>
      <c r="B4490" s="6">
        <v>5.8941058941058902E-2</v>
      </c>
      <c r="C4490" s="6">
        <v>0.21916370614924499</v>
      </c>
    </row>
    <row r="4491" spans="1:3" s="7" customFormat="1" x14ac:dyDescent="0.2">
      <c r="A4491" s="6" t="str">
        <f>"CFAP61"</f>
        <v>CFAP61</v>
      </c>
      <c r="B4491" s="6">
        <v>5.8941058941058902E-2</v>
      </c>
      <c r="C4491" s="6">
        <v>0.21916370614924499</v>
      </c>
    </row>
    <row r="4492" spans="1:3" s="7" customFormat="1" x14ac:dyDescent="0.2">
      <c r="A4492" s="6" t="str">
        <f>"AL121753.2"</f>
        <v>AL121753.2</v>
      </c>
      <c r="B4492" s="6">
        <v>5.8941058941058902E-2</v>
      </c>
      <c r="C4492" s="6">
        <v>0.21916370614924499</v>
      </c>
    </row>
    <row r="4493" spans="1:3" s="7" customFormat="1" x14ac:dyDescent="0.2">
      <c r="A4493" s="6" t="str">
        <f>"CIZ1"</f>
        <v>CIZ1</v>
      </c>
      <c r="B4493" s="6">
        <v>5.8941058941058902E-2</v>
      </c>
      <c r="C4493" s="6">
        <v>0.21916370614924499</v>
      </c>
    </row>
    <row r="4494" spans="1:3" s="7" customFormat="1" x14ac:dyDescent="0.2">
      <c r="A4494" s="6" t="str">
        <f>"C18orf32"</f>
        <v>C18orf32</v>
      </c>
      <c r="B4494" s="6">
        <v>5.8941058941058902E-2</v>
      </c>
      <c r="C4494" s="6">
        <v>0.21916370614924499</v>
      </c>
    </row>
    <row r="4495" spans="1:3" s="7" customFormat="1" x14ac:dyDescent="0.2">
      <c r="A4495" s="6" t="str">
        <f>"MFSD11"</f>
        <v>MFSD11</v>
      </c>
      <c r="B4495" s="6">
        <v>5.8941058941058902E-2</v>
      </c>
      <c r="C4495" s="6">
        <v>0.21916370614924499</v>
      </c>
    </row>
    <row r="4496" spans="1:3" s="7" customFormat="1" x14ac:dyDescent="0.2">
      <c r="A4496" s="6" t="str">
        <f>"PPT2"</f>
        <v>PPT2</v>
      </c>
      <c r="B4496" s="6">
        <v>5.8941058941058902E-2</v>
      </c>
      <c r="C4496" s="6">
        <v>0.21916370614924499</v>
      </c>
    </row>
    <row r="4497" spans="1:3" s="7" customFormat="1" x14ac:dyDescent="0.2">
      <c r="A4497" s="6" t="str">
        <f>"BLCAP"</f>
        <v>BLCAP</v>
      </c>
      <c r="B4497" s="6">
        <v>5.9059059059058998E-2</v>
      </c>
      <c r="C4497" s="6">
        <v>0.219504806118103</v>
      </c>
    </row>
    <row r="4498" spans="1:3" s="7" customFormat="1" x14ac:dyDescent="0.2">
      <c r="A4498" s="6" t="str">
        <f>"AC036214.4"</f>
        <v>AC036214.4</v>
      </c>
      <c r="B4498" s="6">
        <v>5.9059059059058998E-2</v>
      </c>
      <c r="C4498" s="6">
        <v>0.219504806118103</v>
      </c>
    </row>
    <row r="4499" spans="1:3" s="7" customFormat="1" x14ac:dyDescent="0.2">
      <c r="A4499" s="6" t="str">
        <f>"AL590705.1"</f>
        <v>AL590705.1</v>
      </c>
      <c r="B4499" s="6">
        <v>5.9236947791164597E-2</v>
      </c>
      <c r="C4499" s="6">
        <v>0.22011701764818201</v>
      </c>
    </row>
    <row r="4500" spans="1:3" s="7" customFormat="1" x14ac:dyDescent="0.2">
      <c r="A4500" s="6" t="str">
        <f>"AC016027.1"</f>
        <v>AC016027.1</v>
      </c>
      <c r="B4500" s="6">
        <v>5.9940059940059902E-2</v>
      </c>
      <c r="C4500" s="6">
        <v>0.22108465608465599</v>
      </c>
    </row>
    <row r="4501" spans="1:3" s="7" customFormat="1" x14ac:dyDescent="0.2">
      <c r="A4501" s="6" t="str">
        <f>"ZDHHC17"</f>
        <v>ZDHHC17</v>
      </c>
      <c r="B4501" s="6">
        <v>5.9940059940059902E-2</v>
      </c>
      <c r="C4501" s="6">
        <v>0.22108465608465599</v>
      </c>
    </row>
    <row r="4502" spans="1:3" s="7" customFormat="1" x14ac:dyDescent="0.2">
      <c r="A4502" s="6" t="str">
        <f>"PRDM10"</f>
        <v>PRDM10</v>
      </c>
      <c r="B4502" s="6">
        <v>5.9940059940059902E-2</v>
      </c>
      <c r="C4502" s="6">
        <v>0.22108465608465599</v>
      </c>
    </row>
    <row r="4503" spans="1:3" s="7" customFormat="1" x14ac:dyDescent="0.2">
      <c r="A4503" s="6" t="str">
        <f>"TRAPPC1"</f>
        <v>TRAPPC1</v>
      </c>
      <c r="B4503" s="6">
        <v>5.9940059940059902E-2</v>
      </c>
      <c r="C4503" s="6">
        <v>0.22108465608465599</v>
      </c>
    </row>
    <row r="4504" spans="1:3" s="7" customFormat="1" x14ac:dyDescent="0.2">
      <c r="A4504" s="6" t="str">
        <f>"PEX11A"</f>
        <v>PEX11A</v>
      </c>
      <c r="B4504" s="6">
        <v>5.9940059940059902E-2</v>
      </c>
      <c r="C4504" s="6">
        <v>0.22108465608465599</v>
      </c>
    </row>
    <row r="4505" spans="1:3" s="7" customFormat="1" x14ac:dyDescent="0.2">
      <c r="A4505" s="6" t="str">
        <f>"CLEC1A"</f>
        <v>CLEC1A</v>
      </c>
      <c r="B4505" s="6">
        <v>5.9940059940059902E-2</v>
      </c>
      <c r="C4505" s="6">
        <v>0.22108465608465599</v>
      </c>
    </row>
    <row r="4506" spans="1:3" s="7" customFormat="1" x14ac:dyDescent="0.2">
      <c r="A4506" s="6" t="str">
        <f>"AARSD1"</f>
        <v>AARSD1</v>
      </c>
      <c r="B4506" s="6">
        <v>5.9940059940059902E-2</v>
      </c>
      <c r="C4506" s="6">
        <v>0.22108465608465599</v>
      </c>
    </row>
    <row r="4507" spans="1:3" s="7" customFormat="1" x14ac:dyDescent="0.2">
      <c r="A4507" s="6" t="str">
        <f>"ZNF540"</f>
        <v>ZNF540</v>
      </c>
      <c r="B4507" s="6">
        <v>5.9940059940059902E-2</v>
      </c>
      <c r="C4507" s="6">
        <v>0.22108465608465599</v>
      </c>
    </row>
    <row r="4508" spans="1:3" s="7" customFormat="1" x14ac:dyDescent="0.2">
      <c r="A4508" s="6" t="str">
        <f>"DIP2A"</f>
        <v>DIP2A</v>
      </c>
      <c r="B4508" s="6">
        <v>5.9940059940059902E-2</v>
      </c>
      <c r="C4508" s="6">
        <v>0.22108465608465599</v>
      </c>
    </row>
    <row r="4509" spans="1:3" s="7" customFormat="1" x14ac:dyDescent="0.2">
      <c r="A4509" s="6" t="str">
        <f>"AC091180.2"</f>
        <v>AC091180.2</v>
      </c>
      <c r="B4509" s="6">
        <v>5.9940059940059902E-2</v>
      </c>
      <c r="C4509" s="6">
        <v>0.22108465608465599</v>
      </c>
    </row>
    <row r="4510" spans="1:3" s="7" customFormat="1" x14ac:dyDescent="0.2">
      <c r="A4510" s="6" t="str">
        <f>"PSME2"</f>
        <v>PSME2</v>
      </c>
      <c r="B4510" s="6">
        <v>5.9940059940059902E-2</v>
      </c>
      <c r="C4510" s="6">
        <v>0.22108465608465599</v>
      </c>
    </row>
    <row r="4511" spans="1:3" s="7" customFormat="1" x14ac:dyDescent="0.2">
      <c r="A4511" s="6" t="str">
        <f>"LINC00853"</f>
        <v>LINC00853</v>
      </c>
      <c r="B4511" s="6">
        <v>5.9940059940059902E-2</v>
      </c>
      <c r="C4511" s="6">
        <v>0.22108465608465599</v>
      </c>
    </row>
    <row r="4512" spans="1:3" s="7" customFormat="1" x14ac:dyDescent="0.2">
      <c r="A4512" s="6" t="str">
        <f>"AC091982.3"</f>
        <v>AC091982.3</v>
      </c>
      <c r="B4512" s="6">
        <v>5.9940059940059902E-2</v>
      </c>
      <c r="C4512" s="6">
        <v>0.22108465608465599</v>
      </c>
    </row>
    <row r="4513" spans="1:3" s="7" customFormat="1" x14ac:dyDescent="0.2">
      <c r="A4513" s="6" t="str">
        <f>"MTO1"</f>
        <v>MTO1</v>
      </c>
      <c r="B4513" s="6">
        <v>5.9940059940059902E-2</v>
      </c>
      <c r="C4513" s="6">
        <v>0.22108465608465599</v>
      </c>
    </row>
    <row r="4514" spans="1:3" s="7" customFormat="1" x14ac:dyDescent="0.2">
      <c r="A4514" s="6" t="str">
        <f>"POM121L7P"</f>
        <v>POM121L7P</v>
      </c>
      <c r="B4514" s="6">
        <v>5.9940059940059902E-2</v>
      </c>
      <c r="C4514" s="6">
        <v>0.22108465608465599</v>
      </c>
    </row>
    <row r="4515" spans="1:3" s="7" customFormat="1" x14ac:dyDescent="0.2">
      <c r="A4515" s="6" t="str">
        <f>"AL138778.1"</f>
        <v>AL138778.1</v>
      </c>
      <c r="B4515" s="6">
        <v>0.06</v>
      </c>
      <c r="C4515" s="6">
        <v>0.22108465608465599</v>
      </c>
    </row>
    <row r="4516" spans="1:3" s="7" customFormat="1" x14ac:dyDescent="0.2">
      <c r="A4516" s="6" t="str">
        <f>"AP002990.1"</f>
        <v>AP002990.1</v>
      </c>
      <c r="B4516" s="6">
        <v>5.9940059940059902E-2</v>
      </c>
      <c r="C4516" s="6">
        <v>0.22108465608465599</v>
      </c>
    </row>
    <row r="4517" spans="1:3" s="7" customFormat="1" x14ac:dyDescent="0.2">
      <c r="A4517" s="6" t="str">
        <f>"ZNF761"</f>
        <v>ZNF761</v>
      </c>
      <c r="B4517" s="6">
        <v>5.9940059940059902E-2</v>
      </c>
      <c r="C4517" s="6">
        <v>0.22108465608465599</v>
      </c>
    </row>
    <row r="4518" spans="1:3" s="7" customFormat="1" x14ac:dyDescent="0.2">
      <c r="A4518" s="6" t="str">
        <f>"PDGFC"</f>
        <v>PDGFC</v>
      </c>
      <c r="B4518" s="6">
        <v>5.9940059940059902E-2</v>
      </c>
      <c r="C4518" s="6">
        <v>0.22108465608465599</v>
      </c>
    </row>
    <row r="4519" spans="1:3" s="7" customFormat="1" x14ac:dyDescent="0.2">
      <c r="A4519" s="6" t="str">
        <f>"THAP9-AS1"</f>
        <v>THAP9-AS1</v>
      </c>
      <c r="B4519" s="6">
        <v>5.9940059940059902E-2</v>
      </c>
      <c r="C4519" s="6">
        <v>0.22108465608465599</v>
      </c>
    </row>
    <row r="4520" spans="1:3" s="7" customFormat="1" x14ac:dyDescent="0.2">
      <c r="A4520" s="6" t="str">
        <f>"PER2"</f>
        <v>PER2</v>
      </c>
      <c r="B4520" s="6">
        <v>5.9940059940059902E-2</v>
      </c>
      <c r="C4520" s="6">
        <v>0.22108465608465599</v>
      </c>
    </row>
    <row r="4521" spans="1:3" s="7" customFormat="1" x14ac:dyDescent="0.2">
      <c r="A4521" s="6" t="str">
        <f>"ATP5MC1"</f>
        <v>ATP5MC1</v>
      </c>
      <c r="B4521" s="6">
        <v>5.9940059940059902E-2</v>
      </c>
      <c r="C4521" s="6">
        <v>0.22108465608465599</v>
      </c>
    </row>
    <row r="4522" spans="1:3" s="7" customFormat="1" x14ac:dyDescent="0.2">
      <c r="A4522" s="6" t="str">
        <f>"ORC2"</f>
        <v>ORC2</v>
      </c>
      <c r="B4522" s="6">
        <v>5.9940059940059902E-2</v>
      </c>
      <c r="C4522" s="6">
        <v>0.22108465608465599</v>
      </c>
    </row>
    <row r="4523" spans="1:3" s="7" customFormat="1" x14ac:dyDescent="0.2">
      <c r="A4523" s="6" t="str">
        <f>"ATF7IP2"</f>
        <v>ATF7IP2</v>
      </c>
      <c r="B4523" s="6">
        <v>5.9940059940059902E-2</v>
      </c>
      <c r="C4523" s="6">
        <v>0.22108465608465599</v>
      </c>
    </row>
    <row r="4524" spans="1:3" s="7" customFormat="1" x14ac:dyDescent="0.2">
      <c r="A4524" s="6" t="str">
        <f>"PLSCR2"</f>
        <v>PLSCR2</v>
      </c>
      <c r="B4524" s="6">
        <v>0.06</v>
      </c>
      <c r="C4524" s="6">
        <v>0.22108465608465599</v>
      </c>
    </row>
    <row r="4525" spans="1:3" s="7" customFormat="1" x14ac:dyDescent="0.2">
      <c r="A4525" s="6" t="str">
        <f>"AC137630.4"</f>
        <v>AC137630.4</v>
      </c>
      <c r="B4525" s="6">
        <v>0.06</v>
      </c>
      <c r="C4525" s="6">
        <v>0.22108465608465599</v>
      </c>
    </row>
    <row r="4526" spans="1:3" s="7" customFormat="1" x14ac:dyDescent="0.2">
      <c r="A4526" s="6" t="str">
        <f>"CCDC157"</f>
        <v>CCDC157</v>
      </c>
      <c r="B4526" s="6">
        <v>5.9940059940059902E-2</v>
      </c>
      <c r="C4526" s="6">
        <v>0.22108465608465599</v>
      </c>
    </row>
    <row r="4527" spans="1:3" s="7" customFormat="1" x14ac:dyDescent="0.2">
      <c r="A4527" s="6" t="str">
        <f>"ZNF92"</f>
        <v>ZNF92</v>
      </c>
      <c r="B4527" s="6">
        <v>5.9940059940059902E-2</v>
      </c>
      <c r="C4527" s="6">
        <v>0.22108465608465599</v>
      </c>
    </row>
    <row r="4528" spans="1:3" s="7" customFormat="1" x14ac:dyDescent="0.2">
      <c r="A4528" s="6" t="str">
        <f>"SLC25A23"</f>
        <v>SLC25A23</v>
      </c>
      <c r="B4528" s="6">
        <v>5.9940059940059902E-2</v>
      </c>
      <c r="C4528" s="6">
        <v>0.22108465608465599</v>
      </c>
    </row>
    <row r="4529" spans="1:3" s="7" customFormat="1" x14ac:dyDescent="0.2">
      <c r="A4529" s="6" t="str">
        <f>"ARL2BP"</f>
        <v>ARL2BP</v>
      </c>
      <c r="B4529" s="6">
        <v>0.06</v>
      </c>
      <c r="C4529" s="6">
        <v>0.22108465608465599</v>
      </c>
    </row>
    <row r="4530" spans="1:3" s="7" customFormat="1" x14ac:dyDescent="0.2">
      <c r="A4530" s="6" t="str">
        <f>"LINC00390"</f>
        <v>LINC00390</v>
      </c>
      <c r="B4530" s="6">
        <v>5.9940059940059902E-2</v>
      </c>
      <c r="C4530" s="6">
        <v>0.22108465608465599</v>
      </c>
    </row>
    <row r="4531" spans="1:3" s="7" customFormat="1" x14ac:dyDescent="0.2">
      <c r="A4531" s="6" t="str">
        <f>"HECA"</f>
        <v>HECA</v>
      </c>
      <c r="B4531" s="6">
        <v>5.9940059940059902E-2</v>
      </c>
      <c r="C4531" s="6">
        <v>0.22108465608465599</v>
      </c>
    </row>
    <row r="4532" spans="1:3" s="7" customFormat="1" x14ac:dyDescent="0.2">
      <c r="A4532" s="6" t="str">
        <f>"EIF4B"</f>
        <v>EIF4B</v>
      </c>
      <c r="B4532" s="6">
        <v>0.06</v>
      </c>
      <c r="C4532" s="6">
        <v>0.22108465608465599</v>
      </c>
    </row>
    <row r="4533" spans="1:3" s="7" customFormat="1" x14ac:dyDescent="0.2">
      <c r="A4533" s="6" t="str">
        <f>"RAB42"</f>
        <v>RAB42</v>
      </c>
      <c r="B4533" s="6">
        <v>0.06</v>
      </c>
      <c r="C4533" s="6">
        <v>0.22108465608465599</v>
      </c>
    </row>
    <row r="4534" spans="1:3" s="7" customFormat="1" x14ac:dyDescent="0.2">
      <c r="A4534" s="6" t="str">
        <f>"TTC23L"</f>
        <v>TTC23L</v>
      </c>
      <c r="B4534" s="6">
        <v>5.9940059940059902E-2</v>
      </c>
      <c r="C4534" s="6">
        <v>0.22108465608465599</v>
      </c>
    </row>
    <row r="4535" spans="1:3" s="7" customFormat="1" x14ac:dyDescent="0.2">
      <c r="A4535" s="6" t="str">
        <f>"ATP9A"</f>
        <v>ATP9A</v>
      </c>
      <c r="B4535" s="6">
        <v>5.9940059940059902E-2</v>
      </c>
      <c r="C4535" s="6">
        <v>0.22108465608465599</v>
      </c>
    </row>
    <row r="4536" spans="1:3" s="7" customFormat="1" x14ac:dyDescent="0.2">
      <c r="A4536" s="6" t="str">
        <f>"H3C14"</f>
        <v>H3C14</v>
      </c>
      <c r="B4536" s="6">
        <v>5.9940059940059902E-2</v>
      </c>
      <c r="C4536" s="6">
        <v>0.22108465608465599</v>
      </c>
    </row>
    <row r="4537" spans="1:3" s="7" customFormat="1" x14ac:dyDescent="0.2">
      <c r="A4537" s="6" t="str">
        <f>"LINC00996"</f>
        <v>LINC00996</v>
      </c>
      <c r="B4537" s="6">
        <v>5.9940059940059902E-2</v>
      </c>
      <c r="C4537" s="6">
        <v>0.22108465608465599</v>
      </c>
    </row>
    <row r="4538" spans="1:3" s="7" customFormat="1" x14ac:dyDescent="0.2">
      <c r="A4538" s="6" t="str">
        <f>"AL049637.1"</f>
        <v>AL049637.1</v>
      </c>
      <c r="B4538" s="6">
        <v>6.0120240480961901E-2</v>
      </c>
      <c r="C4538" s="6">
        <v>0.22147888459307799</v>
      </c>
    </row>
    <row r="4539" spans="1:3" s="7" customFormat="1" x14ac:dyDescent="0.2">
      <c r="A4539" s="6" t="str">
        <f>"USHBP1"</f>
        <v>USHBP1</v>
      </c>
      <c r="B4539" s="6">
        <v>6.0422960725075497E-2</v>
      </c>
      <c r="C4539" s="6">
        <v>0.22254503427917799</v>
      </c>
    </row>
    <row r="4540" spans="1:3" s="7" customFormat="1" x14ac:dyDescent="0.2">
      <c r="A4540" s="6" t="str">
        <f>"NPM2"</f>
        <v>NPM2</v>
      </c>
      <c r="B4540" s="6">
        <v>6.0939060939060902E-2</v>
      </c>
      <c r="C4540" s="6">
        <v>0.22258205081631599</v>
      </c>
    </row>
    <row r="4541" spans="1:3" s="7" customFormat="1" x14ac:dyDescent="0.2">
      <c r="A4541" s="6" t="str">
        <f>"TSEN34"</f>
        <v>TSEN34</v>
      </c>
      <c r="B4541" s="6">
        <v>6.0939060939060902E-2</v>
      </c>
      <c r="C4541" s="6">
        <v>0.22258205081631599</v>
      </c>
    </row>
    <row r="4542" spans="1:3" s="7" customFormat="1" x14ac:dyDescent="0.2">
      <c r="A4542" s="6" t="str">
        <f>"AC005280.2"</f>
        <v>AC005280.2</v>
      </c>
      <c r="B4542" s="6">
        <v>6.0939060939060902E-2</v>
      </c>
      <c r="C4542" s="6">
        <v>0.22258205081631599</v>
      </c>
    </row>
    <row r="4543" spans="1:3" s="7" customFormat="1" x14ac:dyDescent="0.2">
      <c r="A4543" s="6" t="str">
        <f>"PARP15"</f>
        <v>PARP15</v>
      </c>
      <c r="B4543" s="6">
        <v>6.0939060939060902E-2</v>
      </c>
      <c r="C4543" s="6">
        <v>0.22258205081631599</v>
      </c>
    </row>
    <row r="4544" spans="1:3" s="7" customFormat="1" x14ac:dyDescent="0.2">
      <c r="A4544" s="6" t="str">
        <f>"U2AF1"</f>
        <v>U2AF1</v>
      </c>
      <c r="B4544" s="6">
        <v>6.0939060939060902E-2</v>
      </c>
      <c r="C4544" s="6">
        <v>0.22258205081631599</v>
      </c>
    </row>
    <row r="4545" spans="1:3" s="7" customFormat="1" x14ac:dyDescent="0.2">
      <c r="A4545" s="6" t="str">
        <f>"NEURL3"</f>
        <v>NEURL3</v>
      </c>
      <c r="B4545" s="6">
        <v>6.0939060939060902E-2</v>
      </c>
      <c r="C4545" s="6">
        <v>0.22258205081631599</v>
      </c>
    </row>
    <row r="4546" spans="1:3" s="7" customFormat="1" x14ac:dyDescent="0.2">
      <c r="A4546" s="6" t="str">
        <f>"DHX35"</f>
        <v>DHX35</v>
      </c>
      <c r="B4546" s="6">
        <v>6.0939060939060902E-2</v>
      </c>
      <c r="C4546" s="6">
        <v>0.22258205081631599</v>
      </c>
    </row>
    <row r="4547" spans="1:3" s="7" customFormat="1" x14ac:dyDescent="0.2">
      <c r="A4547" s="6" t="str">
        <f>"SNHG31"</f>
        <v>SNHG31</v>
      </c>
      <c r="B4547" s="6">
        <v>6.0939060939060902E-2</v>
      </c>
      <c r="C4547" s="6">
        <v>0.22258205081631599</v>
      </c>
    </row>
    <row r="4548" spans="1:3" s="7" customFormat="1" x14ac:dyDescent="0.2">
      <c r="A4548" s="6" t="str">
        <f>"TAF5"</f>
        <v>TAF5</v>
      </c>
      <c r="B4548" s="6">
        <v>6.0939060939060902E-2</v>
      </c>
      <c r="C4548" s="6">
        <v>0.22258205081631599</v>
      </c>
    </row>
    <row r="4549" spans="1:3" s="7" customFormat="1" x14ac:dyDescent="0.2">
      <c r="A4549" s="6" t="str">
        <f>"TUBA5P"</f>
        <v>TUBA5P</v>
      </c>
      <c r="B4549" s="6">
        <v>6.0939060939060902E-2</v>
      </c>
      <c r="C4549" s="6">
        <v>0.22258205081631599</v>
      </c>
    </row>
    <row r="4550" spans="1:3" s="7" customFormat="1" x14ac:dyDescent="0.2">
      <c r="A4550" s="6" t="str">
        <f>"PANK1"</f>
        <v>PANK1</v>
      </c>
      <c r="B4550" s="6">
        <v>6.0939060939060902E-2</v>
      </c>
      <c r="C4550" s="6">
        <v>0.22258205081631599</v>
      </c>
    </row>
    <row r="4551" spans="1:3" s="7" customFormat="1" x14ac:dyDescent="0.2">
      <c r="A4551" s="6" t="str">
        <f>"PCDHA6"</f>
        <v>PCDHA6</v>
      </c>
      <c r="B4551" s="6">
        <v>6.0939060939060902E-2</v>
      </c>
      <c r="C4551" s="6">
        <v>0.22258205081631599</v>
      </c>
    </row>
    <row r="4552" spans="1:3" s="7" customFormat="1" x14ac:dyDescent="0.2">
      <c r="A4552" s="6" t="str">
        <f>"LINC00847"</f>
        <v>LINC00847</v>
      </c>
      <c r="B4552" s="6">
        <v>6.0939060939060902E-2</v>
      </c>
      <c r="C4552" s="6">
        <v>0.22258205081631599</v>
      </c>
    </row>
    <row r="4553" spans="1:3" s="7" customFormat="1" x14ac:dyDescent="0.2">
      <c r="A4553" s="6" t="str">
        <f>"CLDN19"</f>
        <v>CLDN19</v>
      </c>
      <c r="B4553" s="6">
        <v>6.0939060939060902E-2</v>
      </c>
      <c r="C4553" s="6">
        <v>0.22258205081631599</v>
      </c>
    </row>
    <row r="4554" spans="1:3" s="7" customFormat="1" x14ac:dyDescent="0.2">
      <c r="A4554" s="6" t="str">
        <f>"TMEM38B"</f>
        <v>TMEM38B</v>
      </c>
      <c r="B4554" s="6">
        <v>6.0939060939060902E-2</v>
      </c>
      <c r="C4554" s="6">
        <v>0.22258205081631599</v>
      </c>
    </row>
    <row r="4555" spans="1:3" s="7" customFormat="1" x14ac:dyDescent="0.2">
      <c r="A4555" s="6" t="str">
        <f>"USP27X-AS1"</f>
        <v>USP27X-AS1</v>
      </c>
      <c r="B4555" s="6">
        <v>6.0939060939060902E-2</v>
      </c>
      <c r="C4555" s="6">
        <v>0.22258205081631599</v>
      </c>
    </row>
    <row r="4556" spans="1:3" s="7" customFormat="1" x14ac:dyDescent="0.2">
      <c r="A4556" s="6" t="str">
        <f>"SIMC1"</f>
        <v>SIMC1</v>
      </c>
      <c r="B4556" s="6">
        <v>6.0939060939060902E-2</v>
      </c>
      <c r="C4556" s="6">
        <v>0.22258205081631599</v>
      </c>
    </row>
    <row r="4557" spans="1:3" s="7" customFormat="1" x14ac:dyDescent="0.2">
      <c r="A4557" s="6" t="str">
        <f>"AP003119.2"</f>
        <v>AP003119.2</v>
      </c>
      <c r="B4557" s="6">
        <v>6.0939060939060902E-2</v>
      </c>
      <c r="C4557" s="6">
        <v>0.22258205081631599</v>
      </c>
    </row>
    <row r="4558" spans="1:3" s="7" customFormat="1" x14ac:dyDescent="0.2">
      <c r="A4558" s="6" t="str">
        <f>"MPG"</f>
        <v>MPG</v>
      </c>
      <c r="B4558" s="6">
        <v>6.0939060939060902E-2</v>
      </c>
      <c r="C4558" s="6">
        <v>0.22258205081631599</v>
      </c>
    </row>
    <row r="4559" spans="1:3" s="7" customFormat="1" x14ac:dyDescent="0.2">
      <c r="A4559" s="6" t="str">
        <f>"PARP9"</f>
        <v>PARP9</v>
      </c>
      <c r="B4559" s="6">
        <v>6.0939060939060902E-2</v>
      </c>
      <c r="C4559" s="6">
        <v>0.22258205081631599</v>
      </c>
    </row>
    <row r="4560" spans="1:3" s="7" customFormat="1" x14ac:dyDescent="0.2">
      <c r="A4560" s="6" t="str">
        <f>"TMEM198B"</f>
        <v>TMEM198B</v>
      </c>
      <c r="B4560" s="6">
        <v>6.0939060939060902E-2</v>
      </c>
      <c r="C4560" s="6">
        <v>0.22258205081631599</v>
      </c>
    </row>
    <row r="4561" spans="1:3" s="7" customFormat="1" x14ac:dyDescent="0.2">
      <c r="A4561" s="6" t="str">
        <f>"DOK7"</f>
        <v>DOK7</v>
      </c>
      <c r="B4561" s="6">
        <v>6.0939060939060902E-2</v>
      </c>
      <c r="C4561" s="6">
        <v>0.22258205081631599</v>
      </c>
    </row>
    <row r="4562" spans="1:3" s="7" customFormat="1" x14ac:dyDescent="0.2">
      <c r="A4562" s="6" t="str">
        <f>"TRAPPC6B"</f>
        <v>TRAPPC6B</v>
      </c>
      <c r="B4562" s="6">
        <v>6.0939060939060902E-2</v>
      </c>
      <c r="C4562" s="6">
        <v>0.22258205081631599</v>
      </c>
    </row>
    <row r="4563" spans="1:3" s="7" customFormat="1" x14ac:dyDescent="0.2">
      <c r="A4563" s="6" t="str">
        <f>"AP001267.5"</f>
        <v>AP001267.5</v>
      </c>
      <c r="B4563" s="6">
        <v>6.0939060939060902E-2</v>
      </c>
      <c r="C4563" s="6">
        <v>0.22258205081631599</v>
      </c>
    </row>
    <row r="4564" spans="1:3" s="7" customFormat="1" x14ac:dyDescent="0.2">
      <c r="A4564" s="6" t="str">
        <f>"TTC14"</f>
        <v>TTC14</v>
      </c>
      <c r="B4564" s="6">
        <v>6.0939060939060902E-2</v>
      </c>
      <c r="C4564" s="6">
        <v>0.22258205081631599</v>
      </c>
    </row>
    <row r="4565" spans="1:3" s="7" customFormat="1" x14ac:dyDescent="0.2">
      <c r="A4565" s="6" t="str">
        <f>"WDR4"</f>
        <v>WDR4</v>
      </c>
      <c r="B4565" s="6">
        <v>6.0939060939060902E-2</v>
      </c>
      <c r="C4565" s="6">
        <v>0.22258205081631599</v>
      </c>
    </row>
    <row r="4566" spans="1:3" s="7" customFormat="1" x14ac:dyDescent="0.2">
      <c r="A4566" s="6" t="str">
        <f>"ARHGEF25"</f>
        <v>ARHGEF25</v>
      </c>
      <c r="B4566" s="6">
        <v>6.0939060939060902E-2</v>
      </c>
      <c r="C4566" s="6">
        <v>0.22258205081631599</v>
      </c>
    </row>
    <row r="4567" spans="1:3" s="7" customFormat="1" x14ac:dyDescent="0.2">
      <c r="A4567" s="6" t="str">
        <f>"RAB11B-AS1"</f>
        <v>RAB11B-AS1</v>
      </c>
      <c r="B4567" s="6">
        <v>6.0939060939060902E-2</v>
      </c>
      <c r="C4567" s="6">
        <v>0.22258205081631599</v>
      </c>
    </row>
    <row r="4568" spans="1:3" s="7" customFormat="1" x14ac:dyDescent="0.2">
      <c r="A4568" s="6" t="str">
        <f>"SIX4"</f>
        <v>SIX4</v>
      </c>
      <c r="B4568" s="6">
        <v>6.0939060939060902E-2</v>
      </c>
      <c r="C4568" s="6">
        <v>0.22258205081631599</v>
      </c>
    </row>
    <row r="4569" spans="1:3" s="7" customFormat="1" x14ac:dyDescent="0.2">
      <c r="A4569" s="6" t="str">
        <f>"NTS"</f>
        <v>NTS</v>
      </c>
      <c r="B4569" s="6">
        <v>6.0939060939060902E-2</v>
      </c>
      <c r="C4569" s="6">
        <v>0.22258205081631599</v>
      </c>
    </row>
    <row r="4570" spans="1:3" s="7" customFormat="1" x14ac:dyDescent="0.2">
      <c r="A4570" s="6" t="str">
        <f>"AP001207.3"</f>
        <v>AP001207.3</v>
      </c>
      <c r="B4570" s="6">
        <v>6.0939060939060902E-2</v>
      </c>
      <c r="C4570" s="6">
        <v>0.22258205081631599</v>
      </c>
    </row>
    <row r="4571" spans="1:3" s="7" customFormat="1" x14ac:dyDescent="0.2">
      <c r="A4571" s="6" t="str">
        <f>"HLA-DRB6"</f>
        <v>HLA-DRB6</v>
      </c>
      <c r="B4571" s="6">
        <v>6.0939060939060902E-2</v>
      </c>
      <c r="C4571" s="6">
        <v>0.22258205081631599</v>
      </c>
    </row>
    <row r="4572" spans="1:3" s="7" customFormat="1" x14ac:dyDescent="0.2">
      <c r="A4572" s="6" t="str">
        <f>"LIX1L"</f>
        <v>LIX1L</v>
      </c>
      <c r="B4572" s="6">
        <v>6.0939060939060902E-2</v>
      </c>
      <c r="C4572" s="6">
        <v>0.22258205081631599</v>
      </c>
    </row>
    <row r="4573" spans="1:3" s="7" customFormat="1" x14ac:dyDescent="0.2">
      <c r="A4573" s="6" t="str">
        <f>"C11orf80"</f>
        <v>C11orf80</v>
      </c>
      <c r="B4573" s="6">
        <v>6.0939060939060902E-2</v>
      </c>
      <c r="C4573" s="6">
        <v>0.22258205081631599</v>
      </c>
    </row>
    <row r="4574" spans="1:3" s="7" customFormat="1" x14ac:dyDescent="0.2">
      <c r="A4574" s="6" t="str">
        <f>"AL158195.1"</f>
        <v>AL158195.1</v>
      </c>
      <c r="B4574" s="6">
        <v>6.0939060939060902E-2</v>
      </c>
      <c r="C4574" s="6">
        <v>0.22258205081631599</v>
      </c>
    </row>
    <row r="4575" spans="1:3" s="7" customFormat="1" x14ac:dyDescent="0.2">
      <c r="A4575" s="6" t="str">
        <f>"SDS"</f>
        <v>SDS</v>
      </c>
      <c r="B4575" s="6">
        <v>6.0939060939060902E-2</v>
      </c>
      <c r="C4575" s="6">
        <v>0.22258205081631599</v>
      </c>
    </row>
    <row r="4576" spans="1:3" s="7" customFormat="1" x14ac:dyDescent="0.2">
      <c r="A4576" s="6" t="str">
        <f>"RTF2"</f>
        <v>RTF2</v>
      </c>
      <c r="B4576" s="6">
        <v>6.0939060939060902E-2</v>
      </c>
      <c r="C4576" s="6">
        <v>0.22258205081631599</v>
      </c>
    </row>
    <row r="4577" spans="1:3" s="7" customFormat="1" x14ac:dyDescent="0.2">
      <c r="A4577" s="6" t="str">
        <f>"TUFM"</f>
        <v>TUFM</v>
      </c>
      <c r="B4577" s="6">
        <v>6.0939060939060902E-2</v>
      </c>
      <c r="C4577" s="6">
        <v>0.22258205081631599</v>
      </c>
    </row>
    <row r="4578" spans="1:3" s="7" customFormat="1" x14ac:dyDescent="0.2">
      <c r="A4578" s="6" t="str">
        <f>"LINC01277"</f>
        <v>LINC01277</v>
      </c>
      <c r="B4578" s="6">
        <v>6.1306532663316503E-2</v>
      </c>
      <c r="C4578" s="6">
        <v>0.22387533033311599</v>
      </c>
    </row>
    <row r="4579" spans="1:3" s="7" customFormat="1" x14ac:dyDescent="0.2">
      <c r="A4579" s="6" t="str">
        <f>"CHCHD2"</f>
        <v>CHCHD2</v>
      </c>
      <c r="B4579" s="6">
        <v>6.1938061938061902E-2</v>
      </c>
      <c r="C4579" s="6">
        <v>0.224027865663875</v>
      </c>
    </row>
    <row r="4580" spans="1:3" s="7" customFormat="1" x14ac:dyDescent="0.2">
      <c r="A4580" s="6" t="str">
        <f>"U2AF1L4"</f>
        <v>U2AF1L4</v>
      </c>
      <c r="B4580" s="6">
        <v>6.1938061938061902E-2</v>
      </c>
      <c r="C4580" s="6">
        <v>0.224027865663875</v>
      </c>
    </row>
    <row r="4581" spans="1:3" s="7" customFormat="1" x14ac:dyDescent="0.2">
      <c r="A4581" s="6" t="str">
        <f>"TLR6"</f>
        <v>TLR6</v>
      </c>
      <c r="B4581" s="6">
        <v>6.1938061938061902E-2</v>
      </c>
      <c r="C4581" s="6">
        <v>0.224027865663875</v>
      </c>
    </row>
    <row r="4582" spans="1:3" s="7" customFormat="1" x14ac:dyDescent="0.2">
      <c r="A4582" s="6" t="str">
        <f>"MTCYBP23"</f>
        <v>MTCYBP23</v>
      </c>
      <c r="B4582" s="6">
        <v>6.1938061938061902E-2</v>
      </c>
      <c r="C4582" s="6">
        <v>0.224027865663875</v>
      </c>
    </row>
    <row r="4583" spans="1:3" s="7" customFormat="1" x14ac:dyDescent="0.2">
      <c r="A4583" s="6" t="str">
        <f>"FBXO30-DT"</f>
        <v>FBXO30-DT</v>
      </c>
      <c r="B4583" s="6">
        <v>6.1938061938061902E-2</v>
      </c>
      <c r="C4583" s="6">
        <v>0.224027865663875</v>
      </c>
    </row>
    <row r="4584" spans="1:3" s="7" customFormat="1" x14ac:dyDescent="0.2">
      <c r="A4584" s="6" t="str">
        <f>"WDCP"</f>
        <v>WDCP</v>
      </c>
      <c r="B4584" s="6">
        <v>6.1938061938061902E-2</v>
      </c>
      <c r="C4584" s="6">
        <v>0.224027865663875</v>
      </c>
    </row>
    <row r="4585" spans="1:3" s="7" customFormat="1" x14ac:dyDescent="0.2">
      <c r="A4585" s="6" t="str">
        <f>"MMP19"</f>
        <v>MMP19</v>
      </c>
      <c r="B4585" s="6">
        <v>6.1938061938061902E-2</v>
      </c>
      <c r="C4585" s="6">
        <v>0.224027865663875</v>
      </c>
    </row>
    <row r="4586" spans="1:3" s="7" customFormat="1" x14ac:dyDescent="0.2">
      <c r="A4586" s="6" t="str">
        <f>"RAB13"</f>
        <v>RAB13</v>
      </c>
      <c r="B4586" s="6">
        <v>6.1938061938061902E-2</v>
      </c>
      <c r="C4586" s="6">
        <v>0.224027865663875</v>
      </c>
    </row>
    <row r="4587" spans="1:3" s="7" customFormat="1" x14ac:dyDescent="0.2">
      <c r="A4587" s="6" t="str">
        <f>"PHC1"</f>
        <v>PHC1</v>
      </c>
      <c r="B4587" s="6">
        <v>6.1938061938061902E-2</v>
      </c>
      <c r="C4587" s="6">
        <v>0.224027865663875</v>
      </c>
    </row>
    <row r="4588" spans="1:3" s="7" customFormat="1" x14ac:dyDescent="0.2">
      <c r="A4588" s="6" t="str">
        <f>"AC144831.1"</f>
        <v>AC144831.1</v>
      </c>
      <c r="B4588" s="6">
        <v>6.1938061938061902E-2</v>
      </c>
      <c r="C4588" s="6">
        <v>0.224027865663875</v>
      </c>
    </row>
    <row r="4589" spans="1:3" s="7" customFormat="1" x14ac:dyDescent="0.2">
      <c r="A4589" s="6" t="str">
        <f>"ANO9"</f>
        <v>ANO9</v>
      </c>
      <c r="B4589" s="6">
        <v>6.1938061938061902E-2</v>
      </c>
      <c r="C4589" s="6">
        <v>0.224027865663875</v>
      </c>
    </row>
    <row r="4590" spans="1:3" s="7" customFormat="1" x14ac:dyDescent="0.2">
      <c r="A4590" s="6" t="str">
        <f>"OSBPL5"</f>
        <v>OSBPL5</v>
      </c>
      <c r="B4590" s="6">
        <v>6.1938061938061902E-2</v>
      </c>
      <c r="C4590" s="6">
        <v>0.224027865663875</v>
      </c>
    </row>
    <row r="4591" spans="1:3" s="7" customFormat="1" x14ac:dyDescent="0.2">
      <c r="A4591" s="6" t="str">
        <f>"IL6"</f>
        <v>IL6</v>
      </c>
      <c r="B4591" s="6">
        <v>6.1938061938061902E-2</v>
      </c>
      <c r="C4591" s="6">
        <v>0.224027865663875</v>
      </c>
    </row>
    <row r="4592" spans="1:3" s="7" customFormat="1" x14ac:dyDescent="0.2">
      <c r="A4592" s="6" t="str">
        <f>"ARHGAP10"</f>
        <v>ARHGAP10</v>
      </c>
      <c r="B4592" s="6">
        <v>6.1938061938061902E-2</v>
      </c>
      <c r="C4592" s="6">
        <v>0.224027865663875</v>
      </c>
    </row>
    <row r="4593" spans="1:3" s="7" customFormat="1" x14ac:dyDescent="0.2">
      <c r="A4593" s="6" t="str">
        <f>"C8orf37"</f>
        <v>C8orf37</v>
      </c>
      <c r="B4593" s="6">
        <v>6.1938061938061902E-2</v>
      </c>
      <c r="C4593" s="6">
        <v>0.224027865663875</v>
      </c>
    </row>
    <row r="4594" spans="1:3" s="7" customFormat="1" x14ac:dyDescent="0.2">
      <c r="A4594" s="6" t="str">
        <f>"AUNIP"</f>
        <v>AUNIP</v>
      </c>
      <c r="B4594" s="6">
        <v>6.1938061938061902E-2</v>
      </c>
      <c r="C4594" s="6">
        <v>0.224027865663875</v>
      </c>
    </row>
    <row r="4595" spans="1:3" s="7" customFormat="1" x14ac:dyDescent="0.2">
      <c r="A4595" s="6" t="str">
        <f>"ST6GAL2"</f>
        <v>ST6GAL2</v>
      </c>
      <c r="B4595" s="6">
        <v>6.1938061938061902E-2</v>
      </c>
      <c r="C4595" s="6">
        <v>0.224027865663875</v>
      </c>
    </row>
    <row r="4596" spans="1:3" s="7" customFormat="1" x14ac:dyDescent="0.2">
      <c r="A4596" s="6" t="str">
        <f>"ZNF32"</f>
        <v>ZNF32</v>
      </c>
      <c r="B4596" s="6">
        <v>6.1938061938061902E-2</v>
      </c>
      <c r="C4596" s="6">
        <v>0.224027865663875</v>
      </c>
    </row>
    <row r="4597" spans="1:3" s="7" customFormat="1" x14ac:dyDescent="0.2">
      <c r="A4597" s="6" t="str">
        <f>"WDSUB1"</f>
        <v>WDSUB1</v>
      </c>
      <c r="B4597" s="6">
        <v>6.1938061938061902E-2</v>
      </c>
      <c r="C4597" s="6">
        <v>0.224027865663875</v>
      </c>
    </row>
    <row r="4598" spans="1:3" s="7" customFormat="1" x14ac:dyDescent="0.2">
      <c r="A4598" s="6" t="str">
        <f>"ZMAT1"</f>
        <v>ZMAT1</v>
      </c>
      <c r="B4598" s="6">
        <v>6.1938061938061902E-2</v>
      </c>
      <c r="C4598" s="6">
        <v>0.224027865663875</v>
      </c>
    </row>
    <row r="4599" spans="1:3" s="7" customFormat="1" x14ac:dyDescent="0.2">
      <c r="A4599" s="6" t="str">
        <f>"HLA-DQA2"</f>
        <v>HLA-DQA2</v>
      </c>
      <c r="B4599" s="6">
        <v>6.1938061938061902E-2</v>
      </c>
      <c r="C4599" s="6">
        <v>0.224027865663875</v>
      </c>
    </row>
    <row r="4600" spans="1:3" s="7" customFormat="1" x14ac:dyDescent="0.2">
      <c r="A4600" s="6" t="str">
        <f>"SYTL2"</f>
        <v>SYTL2</v>
      </c>
      <c r="B4600" s="6">
        <v>6.1938061938061902E-2</v>
      </c>
      <c r="C4600" s="6">
        <v>0.224027865663875</v>
      </c>
    </row>
    <row r="4601" spans="1:3" s="7" customFormat="1" x14ac:dyDescent="0.2">
      <c r="A4601" s="6" t="str">
        <f>"AC003975.1"</f>
        <v>AC003975.1</v>
      </c>
      <c r="B4601" s="6">
        <v>6.1928934010152203E-2</v>
      </c>
      <c r="C4601" s="6">
        <v>0.224027865663875</v>
      </c>
    </row>
    <row r="4602" spans="1:3" s="7" customFormat="1" x14ac:dyDescent="0.2">
      <c r="A4602" s="6" t="str">
        <f>"SNRPEP4"</f>
        <v>SNRPEP4</v>
      </c>
      <c r="B4602" s="6">
        <v>6.1938061938061902E-2</v>
      </c>
      <c r="C4602" s="6">
        <v>0.224027865663875</v>
      </c>
    </row>
    <row r="4603" spans="1:3" s="7" customFormat="1" x14ac:dyDescent="0.2">
      <c r="A4603" s="6" t="str">
        <f>"ZNF76"</f>
        <v>ZNF76</v>
      </c>
      <c r="B4603" s="6">
        <v>6.1938061938061902E-2</v>
      </c>
      <c r="C4603" s="6">
        <v>0.224027865663875</v>
      </c>
    </row>
    <row r="4604" spans="1:3" s="7" customFormat="1" x14ac:dyDescent="0.2">
      <c r="A4604" s="6" t="str">
        <f>"KCTD18"</f>
        <v>KCTD18</v>
      </c>
      <c r="B4604" s="6">
        <v>6.1938061938061902E-2</v>
      </c>
      <c r="C4604" s="6">
        <v>0.224027865663875</v>
      </c>
    </row>
    <row r="4605" spans="1:3" s="7" customFormat="1" x14ac:dyDescent="0.2">
      <c r="A4605" s="6" t="str">
        <f>"AGBL1"</f>
        <v>AGBL1</v>
      </c>
      <c r="B4605" s="6">
        <v>6.1938061938061902E-2</v>
      </c>
      <c r="C4605" s="6">
        <v>0.224027865663875</v>
      </c>
    </row>
    <row r="4606" spans="1:3" s="7" customFormat="1" x14ac:dyDescent="0.2">
      <c r="A4606" s="6" t="str">
        <f>"ABCB1"</f>
        <v>ABCB1</v>
      </c>
      <c r="B4606" s="6">
        <v>6.1938061938061902E-2</v>
      </c>
      <c r="C4606" s="6">
        <v>0.224027865663875</v>
      </c>
    </row>
    <row r="4607" spans="1:3" s="7" customFormat="1" x14ac:dyDescent="0.2">
      <c r="A4607" s="6" t="str">
        <f>"AC104472.4"</f>
        <v>AC104472.4</v>
      </c>
      <c r="B4607" s="6">
        <v>6.15563298490127E-2</v>
      </c>
      <c r="C4607" s="6">
        <v>0.224027865663875</v>
      </c>
    </row>
    <row r="4608" spans="1:3" s="7" customFormat="1" x14ac:dyDescent="0.2">
      <c r="A4608" s="6" t="str">
        <f>"AL049838.1"</f>
        <v>AL049838.1</v>
      </c>
      <c r="B4608" s="6">
        <v>6.1938061938061902E-2</v>
      </c>
      <c r="C4608" s="6">
        <v>0.224027865663875</v>
      </c>
    </row>
    <row r="4609" spans="1:3" s="7" customFormat="1" x14ac:dyDescent="0.2">
      <c r="A4609" s="6" t="str">
        <f>"CCDC18"</f>
        <v>CCDC18</v>
      </c>
      <c r="B4609" s="6">
        <v>6.1938061938061902E-2</v>
      </c>
      <c r="C4609" s="6">
        <v>0.224027865663875</v>
      </c>
    </row>
    <row r="4610" spans="1:3" s="7" customFormat="1" x14ac:dyDescent="0.2">
      <c r="A4610" s="6" t="str">
        <f>"PCDH20"</f>
        <v>PCDH20</v>
      </c>
      <c r="B4610" s="6">
        <v>6.1938061938061902E-2</v>
      </c>
      <c r="C4610" s="6">
        <v>0.224027865663875</v>
      </c>
    </row>
    <row r="4611" spans="1:3" s="7" customFormat="1" x14ac:dyDescent="0.2">
      <c r="A4611" s="6" t="str">
        <f>"SLC7A11"</f>
        <v>SLC7A11</v>
      </c>
      <c r="B4611" s="6">
        <v>6.1938061938061902E-2</v>
      </c>
      <c r="C4611" s="6">
        <v>0.224027865663875</v>
      </c>
    </row>
    <row r="4612" spans="1:3" s="7" customFormat="1" x14ac:dyDescent="0.2">
      <c r="A4612" s="6" t="str">
        <f>"CCDC183"</f>
        <v>CCDC183</v>
      </c>
      <c r="B4612" s="6">
        <v>6.1938061938061902E-2</v>
      </c>
      <c r="C4612" s="6">
        <v>0.224027865663875</v>
      </c>
    </row>
    <row r="4613" spans="1:3" s="7" customFormat="1" x14ac:dyDescent="0.2">
      <c r="A4613" s="6" t="str">
        <f>"CFAP126"</f>
        <v>CFAP126</v>
      </c>
      <c r="B4613" s="6">
        <v>6.1938061938061902E-2</v>
      </c>
      <c r="C4613" s="6">
        <v>0.224027865663875</v>
      </c>
    </row>
    <row r="4614" spans="1:3" s="7" customFormat="1" x14ac:dyDescent="0.2">
      <c r="A4614" s="6" t="str">
        <f>"GRXCR2"</f>
        <v>GRXCR2</v>
      </c>
      <c r="B4614" s="6">
        <v>6.1938061938061902E-2</v>
      </c>
      <c r="C4614" s="6">
        <v>0.224027865663875</v>
      </c>
    </row>
    <row r="4615" spans="1:3" s="7" customFormat="1" x14ac:dyDescent="0.2">
      <c r="A4615" s="6" t="str">
        <f>"CAMKK1"</f>
        <v>CAMKK1</v>
      </c>
      <c r="B4615" s="6">
        <v>6.1938061938061902E-2</v>
      </c>
      <c r="C4615" s="6">
        <v>0.224027865663875</v>
      </c>
    </row>
    <row r="4616" spans="1:3" s="7" customFormat="1" x14ac:dyDescent="0.2">
      <c r="A4616" s="6" t="str">
        <f>"ZCRB1"</f>
        <v>ZCRB1</v>
      </c>
      <c r="B4616" s="6">
        <v>6.1938061938061902E-2</v>
      </c>
      <c r="C4616" s="6">
        <v>0.224027865663875</v>
      </c>
    </row>
    <row r="4617" spans="1:3" s="7" customFormat="1" x14ac:dyDescent="0.2">
      <c r="A4617" s="6" t="str">
        <f>"SMIM12"</f>
        <v>SMIM12</v>
      </c>
      <c r="B4617" s="6">
        <v>6.1938061938061902E-2</v>
      </c>
      <c r="C4617" s="6">
        <v>0.224027865663875</v>
      </c>
    </row>
    <row r="4618" spans="1:3" s="7" customFormat="1" x14ac:dyDescent="0.2">
      <c r="A4618" s="6" t="str">
        <f>"LYRM4-AS1"</f>
        <v>LYRM4-AS1</v>
      </c>
      <c r="B4618" s="6">
        <v>6.1938061938061902E-2</v>
      </c>
      <c r="C4618" s="6">
        <v>0.224027865663875</v>
      </c>
    </row>
    <row r="4619" spans="1:3" s="7" customFormat="1" x14ac:dyDescent="0.2">
      <c r="A4619" s="6" t="str">
        <f>"GIMAP6"</f>
        <v>GIMAP6</v>
      </c>
      <c r="B4619" s="6">
        <v>6.1938061938061902E-2</v>
      </c>
      <c r="C4619" s="6">
        <v>0.224027865663875</v>
      </c>
    </row>
    <row r="4620" spans="1:3" s="7" customFormat="1" x14ac:dyDescent="0.2">
      <c r="A4620" s="6" t="str">
        <f>"NOL8"</f>
        <v>NOL8</v>
      </c>
      <c r="B4620" s="6">
        <v>6.1938061938061902E-2</v>
      </c>
      <c r="C4620" s="6">
        <v>0.224027865663875</v>
      </c>
    </row>
    <row r="4621" spans="1:3" s="7" customFormat="1" x14ac:dyDescent="0.2">
      <c r="A4621" s="6" t="str">
        <f>"GIT2"</f>
        <v>GIT2</v>
      </c>
      <c r="B4621" s="6">
        <v>6.1938061938061902E-2</v>
      </c>
      <c r="C4621" s="6">
        <v>0.224027865663875</v>
      </c>
    </row>
    <row r="4622" spans="1:3" s="7" customFormat="1" x14ac:dyDescent="0.2">
      <c r="A4622" s="6" t="str">
        <f>"IER3"</f>
        <v>IER3</v>
      </c>
      <c r="B4622" s="6">
        <v>6.1938061938061902E-2</v>
      </c>
      <c r="C4622" s="6">
        <v>0.224027865663875</v>
      </c>
    </row>
    <row r="4623" spans="1:3" s="7" customFormat="1" x14ac:dyDescent="0.2">
      <c r="A4623" s="6" t="str">
        <f>"PML"</f>
        <v>PML</v>
      </c>
      <c r="B4623" s="6">
        <v>6.2E-2</v>
      </c>
      <c r="C4623" s="6">
        <v>0.22415487778498799</v>
      </c>
    </row>
    <row r="4624" spans="1:3" s="7" customFormat="1" x14ac:dyDescent="0.2">
      <c r="A4624" s="6" t="str">
        <f>"GCNT1P1"</f>
        <v>GCNT1P1</v>
      </c>
      <c r="B4624" s="6">
        <v>6.2E-2</v>
      </c>
      <c r="C4624" s="6">
        <v>0.22415487778498799</v>
      </c>
    </row>
    <row r="4625" spans="1:3" s="7" customFormat="1" x14ac:dyDescent="0.2">
      <c r="A4625" s="6" t="str">
        <f>"ZNF516-DT"</f>
        <v>ZNF516-DT</v>
      </c>
      <c r="B4625" s="6">
        <v>6.2062062062062003E-2</v>
      </c>
      <c r="C4625" s="6">
        <v>0.22428222817412</v>
      </c>
    </row>
    <row r="4626" spans="1:3" s="7" customFormat="1" x14ac:dyDescent="0.2">
      <c r="A4626" s="6" t="str">
        <f>"AC011472.3"</f>
        <v>AC011472.3</v>
      </c>
      <c r="B4626" s="6">
        <v>6.2062062062062003E-2</v>
      </c>
      <c r="C4626" s="6">
        <v>0.22428222817412</v>
      </c>
    </row>
    <row r="4627" spans="1:3" s="7" customFormat="1" x14ac:dyDescent="0.2">
      <c r="A4627" s="6" t="str">
        <f>"AC008752.3"</f>
        <v>AC008752.3</v>
      </c>
      <c r="B4627" s="6">
        <v>6.2248995983935698E-2</v>
      </c>
      <c r="C4627" s="6">
        <v>0.224909148049178</v>
      </c>
    </row>
    <row r="4628" spans="1:3" s="7" customFormat="1" x14ac:dyDescent="0.2">
      <c r="A4628" s="6" t="str">
        <f>"SPACA6"</f>
        <v>SPACA6</v>
      </c>
      <c r="B4628" s="6">
        <v>6.2937062937062901E-2</v>
      </c>
      <c r="C4628" s="6">
        <v>0.22620451127819499</v>
      </c>
    </row>
    <row r="4629" spans="1:3" s="7" customFormat="1" x14ac:dyDescent="0.2">
      <c r="A4629" s="6" t="str">
        <f>"POLR2J"</f>
        <v>POLR2J</v>
      </c>
      <c r="B4629" s="6">
        <v>6.2937062937062901E-2</v>
      </c>
      <c r="C4629" s="6">
        <v>0.22620451127819499</v>
      </c>
    </row>
    <row r="4630" spans="1:3" s="7" customFormat="1" x14ac:dyDescent="0.2">
      <c r="A4630" s="6" t="str">
        <f>"CBR4"</f>
        <v>CBR4</v>
      </c>
      <c r="B4630" s="6">
        <v>6.2937062937062901E-2</v>
      </c>
      <c r="C4630" s="6">
        <v>0.22620451127819499</v>
      </c>
    </row>
    <row r="4631" spans="1:3" s="7" customFormat="1" x14ac:dyDescent="0.2">
      <c r="A4631" s="6" t="str">
        <f>"TNNT3"</f>
        <v>TNNT3</v>
      </c>
      <c r="B4631" s="6">
        <v>6.2937062937062901E-2</v>
      </c>
      <c r="C4631" s="6">
        <v>0.22620451127819499</v>
      </c>
    </row>
    <row r="4632" spans="1:3" s="7" customFormat="1" x14ac:dyDescent="0.2">
      <c r="A4632" s="6" t="str">
        <f>"FGF11"</f>
        <v>FGF11</v>
      </c>
      <c r="B4632" s="6">
        <v>6.2937062937062901E-2</v>
      </c>
      <c r="C4632" s="6">
        <v>0.22620451127819499</v>
      </c>
    </row>
    <row r="4633" spans="1:3" s="7" customFormat="1" x14ac:dyDescent="0.2">
      <c r="A4633" s="6" t="str">
        <f>"AKAP17A"</f>
        <v>AKAP17A</v>
      </c>
      <c r="B4633" s="6">
        <v>6.3E-2</v>
      </c>
      <c r="C4633" s="6">
        <v>0.22620451127819499</v>
      </c>
    </row>
    <row r="4634" spans="1:3" s="7" customFormat="1" x14ac:dyDescent="0.2">
      <c r="A4634" s="6" t="str">
        <f>"PER3"</f>
        <v>PER3</v>
      </c>
      <c r="B4634" s="6">
        <v>6.2937062937062901E-2</v>
      </c>
      <c r="C4634" s="6">
        <v>0.22620451127819499</v>
      </c>
    </row>
    <row r="4635" spans="1:3" s="7" customFormat="1" x14ac:dyDescent="0.2">
      <c r="A4635" s="6" t="str">
        <f>"SCN8A"</f>
        <v>SCN8A</v>
      </c>
      <c r="B4635" s="6">
        <v>6.2937062937062901E-2</v>
      </c>
      <c r="C4635" s="6">
        <v>0.22620451127819499</v>
      </c>
    </row>
    <row r="4636" spans="1:3" s="7" customFormat="1" x14ac:dyDescent="0.2">
      <c r="A4636" s="6" t="str">
        <f>"EIF4H"</f>
        <v>EIF4H</v>
      </c>
      <c r="B4636" s="6">
        <v>6.2937062937062901E-2</v>
      </c>
      <c r="C4636" s="6">
        <v>0.22620451127819499</v>
      </c>
    </row>
    <row r="4637" spans="1:3" s="7" customFormat="1" x14ac:dyDescent="0.2">
      <c r="A4637" s="6" t="str">
        <f>"TOB1"</f>
        <v>TOB1</v>
      </c>
      <c r="B4637" s="6">
        <v>6.2937062937062901E-2</v>
      </c>
      <c r="C4637" s="6">
        <v>0.22620451127819499</v>
      </c>
    </row>
    <row r="4638" spans="1:3" s="7" customFormat="1" x14ac:dyDescent="0.2">
      <c r="A4638" s="6" t="str">
        <f>"MTPAP"</f>
        <v>MTPAP</v>
      </c>
      <c r="B4638" s="6">
        <v>6.2937062937062901E-2</v>
      </c>
      <c r="C4638" s="6">
        <v>0.22620451127819499</v>
      </c>
    </row>
    <row r="4639" spans="1:3" s="7" customFormat="1" x14ac:dyDescent="0.2">
      <c r="A4639" s="6" t="str">
        <f>"EHD3"</f>
        <v>EHD3</v>
      </c>
      <c r="B4639" s="6">
        <v>6.2937062937062901E-2</v>
      </c>
      <c r="C4639" s="6">
        <v>0.22620451127819499</v>
      </c>
    </row>
    <row r="4640" spans="1:3" s="7" customFormat="1" x14ac:dyDescent="0.2">
      <c r="A4640" s="6" t="str">
        <f>"HIPK3"</f>
        <v>HIPK3</v>
      </c>
      <c r="B4640" s="6">
        <v>6.2937062937062901E-2</v>
      </c>
      <c r="C4640" s="6">
        <v>0.22620451127819499</v>
      </c>
    </row>
    <row r="4641" spans="1:3" s="7" customFormat="1" x14ac:dyDescent="0.2">
      <c r="A4641" s="6" t="str">
        <f>"SLAMF8"</f>
        <v>SLAMF8</v>
      </c>
      <c r="B4641" s="6">
        <v>6.2937062937062901E-2</v>
      </c>
      <c r="C4641" s="6">
        <v>0.22620451127819499</v>
      </c>
    </row>
    <row r="4642" spans="1:3" s="7" customFormat="1" x14ac:dyDescent="0.2">
      <c r="A4642" s="6" t="str">
        <f>"ZNF20"</f>
        <v>ZNF20</v>
      </c>
      <c r="B4642" s="6">
        <v>6.3E-2</v>
      </c>
      <c r="C4642" s="6">
        <v>0.22620451127819499</v>
      </c>
    </row>
    <row r="4643" spans="1:3" s="7" customFormat="1" x14ac:dyDescent="0.2">
      <c r="A4643" s="6" t="str">
        <f>"PLSCR1"</f>
        <v>PLSCR1</v>
      </c>
      <c r="B4643" s="6">
        <v>6.2937062937062901E-2</v>
      </c>
      <c r="C4643" s="6">
        <v>0.22620451127819499</v>
      </c>
    </row>
    <row r="4644" spans="1:3" s="7" customFormat="1" x14ac:dyDescent="0.2">
      <c r="A4644" s="6" t="str">
        <f>"TMPRSS13"</f>
        <v>TMPRSS13</v>
      </c>
      <c r="B4644" s="6">
        <v>6.2937062937062901E-2</v>
      </c>
      <c r="C4644" s="6">
        <v>0.22620451127819499</v>
      </c>
    </row>
    <row r="4645" spans="1:3" s="7" customFormat="1" x14ac:dyDescent="0.2">
      <c r="A4645" s="6" t="str">
        <f>"POLE3"</f>
        <v>POLE3</v>
      </c>
      <c r="B4645" s="6">
        <v>6.2937062937062901E-2</v>
      </c>
      <c r="C4645" s="6">
        <v>0.22620451127819499</v>
      </c>
    </row>
    <row r="4646" spans="1:3" s="7" customFormat="1" x14ac:dyDescent="0.2">
      <c r="A4646" s="6" t="str">
        <f>"AL358334.2"</f>
        <v>AL358334.2</v>
      </c>
      <c r="B4646" s="6">
        <v>6.2937062937062901E-2</v>
      </c>
      <c r="C4646" s="6">
        <v>0.22620451127819499</v>
      </c>
    </row>
    <row r="4647" spans="1:3" s="7" customFormat="1" x14ac:dyDescent="0.2">
      <c r="A4647" s="6" t="str">
        <f>"VPS37B"</f>
        <v>VPS37B</v>
      </c>
      <c r="B4647" s="6">
        <v>6.2937062937062901E-2</v>
      </c>
      <c r="C4647" s="6">
        <v>0.22620451127819499</v>
      </c>
    </row>
    <row r="4648" spans="1:3" s="7" customFormat="1" x14ac:dyDescent="0.2">
      <c r="A4648" s="6" t="str">
        <f>"AL355312.3"</f>
        <v>AL355312.3</v>
      </c>
      <c r="B4648" s="6">
        <v>6.3E-2</v>
      </c>
      <c r="C4648" s="6">
        <v>0.22620451127819499</v>
      </c>
    </row>
    <row r="4649" spans="1:3" s="7" customFormat="1" x14ac:dyDescent="0.2">
      <c r="A4649" s="6" t="str">
        <f>"CBX7"</f>
        <v>CBX7</v>
      </c>
      <c r="B4649" s="6">
        <v>6.2937062937062901E-2</v>
      </c>
      <c r="C4649" s="6">
        <v>0.22620451127819499</v>
      </c>
    </row>
    <row r="4650" spans="1:3" s="7" customFormat="1" x14ac:dyDescent="0.2">
      <c r="A4650" s="6" t="str">
        <f>"ABCC1"</f>
        <v>ABCC1</v>
      </c>
      <c r="B4650" s="6">
        <v>6.2937062937062901E-2</v>
      </c>
      <c r="C4650" s="6">
        <v>0.22620451127819499</v>
      </c>
    </row>
    <row r="4651" spans="1:3" s="7" customFormat="1" x14ac:dyDescent="0.2">
      <c r="A4651" s="6" t="str">
        <f>"LAIR1"</f>
        <v>LAIR1</v>
      </c>
      <c r="B4651" s="6">
        <v>6.2937062937062901E-2</v>
      </c>
      <c r="C4651" s="6">
        <v>0.22620451127819499</v>
      </c>
    </row>
    <row r="4652" spans="1:3" s="7" customFormat="1" x14ac:dyDescent="0.2">
      <c r="A4652" s="6" t="str">
        <f>"C11orf16"</f>
        <v>C11orf16</v>
      </c>
      <c r="B4652" s="6">
        <v>6.2937062937062901E-2</v>
      </c>
      <c r="C4652" s="6">
        <v>0.22620451127819499</v>
      </c>
    </row>
    <row r="4653" spans="1:3" s="7" customFormat="1" x14ac:dyDescent="0.2">
      <c r="A4653" s="6" t="str">
        <f>"AC010336.1"</f>
        <v>AC010336.1</v>
      </c>
      <c r="B4653" s="6">
        <v>6.2966915688367098E-2</v>
      </c>
      <c r="C4653" s="6">
        <v>0.22620451127819499</v>
      </c>
    </row>
    <row r="4654" spans="1:3" s="7" customFormat="1" x14ac:dyDescent="0.2">
      <c r="A4654" s="6" t="str">
        <f>"MARS2"</f>
        <v>MARS2</v>
      </c>
      <c r="B4654" s="6">
        <v>6.2937062937062901E-2</v>
      </c>
      <c r="C4654" s="6">
        <v>0.22620451127819499</v>
      </c>
    </row>
    <row r="4655" spans="1:3" s="7" customFormat="1" x14ac:dyDescent="0.2">
      <c r="A4655" s="6" t="str">
        <f>"PARP1"</f>
        <v>PARP1</v>
      </c>
      <c r="B4655" s="6">
        <v>6.3E-2</v>
      </c>
      <c r="C4655" s="6">
        <v>0.22620451127819499</v>
      </c>
    </row>
    <row r="4656" spans="1:3" s="7" customFormat="1" x14ac:dyDescent="0.2">
      <c r="A4656" s="6" t="str">
        <f>"PCDHGB4"</f>
        <v>PCDHGB4</v>
      </c>
      <c r="B4656" s="6">
        <v>6.2937062937062901E-2</v>
      </c>
      <c r="C4656" s="6">
        <v>0.22620451127819499</v>
      </c>
    </row>
    <row r="4657" spans="1:3" s="7" customFormat="1" x14ac:dyDescent="0.2">
      <c r="A4657" s="6" t="str">
        <f>"DLGAP4-AS1"</f>
        <v>DLGAP4-AS1</v>
      </c>
      <c r="B4657" s="6">
        <v>6.3189568706118304E-2</v>
      </c>
      <c r="C4657" s="6">
        <v>0.22683643714649099</v>
      </c>
    </row>
    <row r="4658" spans="1:3" s="7" customFormat="1" x14ac:dyDescent="0.2">
      <c r="A4658" s="6" t="str">
        <f>"AC005911.1"</f>
        <v>AC005911.1</v>
      </c>
      <c r="B4658" s="6">
        <v>6.3265306122448906E-2</v>
      </c>
      <c r="C4658" s="6">
        <v>0.227059550468243</v>
      </c>
    </row>
    <row r="4659" spans="1:3" s="7" customFormat="1" x14ac:dyDescent="0.2">
      <c r="A4659" s="6" t="str">
        <f>"PISD"</f>
        <v>PISD</v>
      </c>
      <c r="B4659" s="6">
        <v>6.3936063936063894E-2</v>
      </c>
      <c r="C4659" s="6">
        <v>0.228192904682334</v>
      </c>
    </row>
    <row r="4660" spans="1:3" s="7" customFormat="1" x14ac:dyDescent="0.2">
      <c r="A4660" s="6" t="str">
        <f>"PRKAR1B-AS1"</f>
        <v>PRKAR1B-AS1</v>
      </c>
      <c r="B4660" s="6">
        <v>6.3936063936063894E-2</v>
      </c>
      <c r="C4660" s="6">
        <v>0.228192904682334</v>
      </c>
    </row>
    <row r="4661" spans="1:3" s="7" customFormat="1" x14ac:dyDescent="0.2">
      <c r="A4661" s="6" t="str">
        <f>"RWDD1"</f>
        <v>RWDD1</v>
      </c>
      <c r="B4661" s="6">
        <v>6.3936063936063894E-2</v>
      </c>
      <c r="C4661" s="6">
        <v>0.228192904682334</v>
      </c>
    </row>
    <row r="4662" spans="1:3" s="7" customFormat="1" x14ac:dyDescent="0.2">
      <c r="A4662" s="6" t="str">
        <f>"ELK1"</f>
        <v>ELK1</v>
      </c>
      <c r="B4662" s="6">
        <v>6.3936063936063894E-2</v>
      </c>
      <c r="C4662" s="6">
        <v>0.228192904682334</v>
      </c>
    </row>
    <row r="4663" spans="1:3" s="7" customFormat="1" x14ac:dyDescent="0.2">
      <c r="A4663" s="6" t="str">
        <f>"C9orf72"</f>
        <v>C9orf72</v>
      </c>
      <c r="B4663" s="6">
        <v>6.3936063936063894E-2</v>
      </c>
      <c r="C4663" s="6">
        <v>0.228192904682334</v>
      </c>
    </row>
    <row r="4664" spans="1:3" s="7" customFormat="1" x14ac:dyDescent="0.2">
      <c r="A4664" s="6" t="str">
        <f>"AL138789.1"</f>
        <v>AL138789.1</v>
      </c>
      <c r="B4664" s="6">
        <v>6.3936063936063894E-2</v>
      </c>
      <c r="C4664" s="6">
        <v>0.228192904682334</v>
      </c>
    </row>
    <row r="4665" spans="1:3" s="7" customFormat="1" x14ac:dyDescent="0.2">
      <c r="A4665" s="6" t="str">
        <f>"SAPCD2"</f>
        <v>SAPCD2</v>
      </c>
      <c r="B4665" s="6">
        <v>6.3936063936063894E-2</v>
      </c>
      <c r="C4665" s="6">
        <v>0.228192904682334</v>
      </c>
    </row>
    <row r="4666" spans="1:3" s="7" customFormat="1" x14ac:dyDescent="0.2">
      <c r="A4666" s="6" t="str">
        <f>"ACYP1"</f>
        <v>ACYP1</v>
      </c>
      <c r="B4666" s="6">
        <v>6.3936063936063894E-2</v>
      </c>
      <c r="C4666" s="6">
        <v>0.228192904682334</v>
      </c>
    </row>
    <row r="4667" spans="1:3" s="7" customFormat="1" x14ac:dyDescent="0.2">
      <c r="A4667" s="6" t="str">
        <f>"ITIH4"</f>
        <v>ITIH4</v>
      </c>
      <c r="B4667" s="6">
        <v>6.3936063936063894E-2</v>
      </c>
      <c r="C4667" s="6">
        <v>0.228192904682334</v>
      </c>
    </row>
    <row r="4668" spans="1:3" s="7" customFormat="1" x14ac:dyDescent="0.2">
      <c r="A4668" s="6" t="str">
        <f>"TMEM69"</f>
        <v>TMEM69</v>
      </c>
      <c r="B4668" s="6">
        <v>6.3936063936063894E-2</v>
      </c>
      <c r="C4668" s="6">
        <v>0.228192904682334</v>
      </c>
    </row>
    <row r="4669" spans="1:3" s="7" customFormat="1" x14ac:dyDescent="0.2">
      <c r="A4669" s="6" t="str">
        <f>"SASS6"</f>
        <v>SASS6</v>
      </c>
      <c r="B4669" s="6">
        <v>6.3936063936063894E-2</v>
      </c>
      <c r="C4669" s="6">
        <v>0.228192904682334</v>
      </c>
    </row>
    <row r="4670" spans="1:3" s="7" customFormat="1" x14ac:dyDescent="0.2">
      <c r="A4670" s="6" t="str">
        <f>"AC005670.2"</f>
        <v>AC005670.2</v>
      </c>
      <c r="B4670" s="6">
        <v>6.3936063936063894E-2</v>
      </c>
      <c r="C4670" s="6">
        <v>0.228192904682334</v>
      </c>
    </row>
    <row r="4671" spans="1:3" s="7" customFormat="1" x14ac:dyDescent="0.2">
      <c r="A4671" s="6" t="str">
        <f>"PMEPA1"</f>
        <v>PMEPA1</v>
      </c>
      <c r="B4671" s="6">
        <v>6.3936063936063894E-2</v>
      </c>
      <c r="C4671" s="6">
        <v>0.228192904682334</v>
      </c>
    </row>
    <row r="4672" spans="1:3" s="7" customFormat="1" x14ac:dyDescent="0.2">
      <c r="A4672" s="6" t="str">
        <f>"LRRC66"</f>
        <v>LRRC66</v>
      </c>
      <c r="B4672" s="6">
        <v>6.3936063936063894E-2</v>
      </c>
      <c r="C4672" s="6">
        <v>0.228192904682334</v>
      </c>
    </row>
    <row r="4673" spans="1:3" s="7" customFormat="1" x14ac:dyDescent="0.2">
      <c r="A4673" s="6" t="str">
        <f>"PLA2G2F"</f>
        <v>PLA2G2F</v>
      </c>
      <c r="B4673" s="6">
        <v>6.3936063936063894E-2</v>
      </c>
      <c r="C4673" s="6">
        <v>0.228192904682334</v>
      </c>
    </row>
    <row r="4674" spans="1:3" s="7" customFormat="1" x14ac:dyDescent="0.2">
      <c r="A4674" s="6" t="str">
        <f>"MPV17L"</f>
        <v>MPV17L</v>
      </c>
      <c r="B4674" s="6">
        <v>6.3936063936063894E-2</v>
      </c>
      <c r="C4674" s="6">
        <v>0.228192904682334</v>
      </c>
    </row>
    <row r="4675" spans="1:3" s="7" customFormat="1" x14ac:dyDescent="0.2">
      <c r="A4675" s="6" t="str">
        <f>"AC018553.2"</f>
        <v>AC018553.2</v>
      </c>
      <c r="B4675" s="6">
        <v>6.3765182186234795E-2</v>
      </c>
      <c r="C4675" s="6">
        <v>0.228192904682334</v>
      </c>
    </row>
    <row r="4676" spans="1:3" s="7" customFormat="1" x14ac:dyDescent="0.2">
      <c r="A4676" s="6" t="str">
        <f>"FAM66C"</f>
        <v>FAM66C</v>
      </c>
      <c r="B4676" s="6">
        <v>6.3936063936063894E-2</v>
      </c>
      <c r="C4676" s="6">
        <v>0.228192904682334</v>
      </c>
    </row>
    <row r="4677" spans="1:3" s="7" customFormat="1" x14ac:dyDescent="0.2">
      <c r="A4677" s="6" t="str">
        <f>"AC018413.1"</f>
        <v>AC018413.1</v>
      </c>
      <c r="B4677" s="6">
        <v>6.3936063936063894E-2</v>
      </c>
      <c r="C4677" s="6">
        <v>0.228192904682334</v>
      </c>
    </row>
    <row r="4678" spans="1:3" s="7" customFormat="1" x14ac:dyDescent="0.2">
      <c r="A4678" s="6" t="str">
        <f>"GMPR2"</f>
        <v>GMPR2</v>
      </c>
      <c r="B4678" s="6">
        <v>6.3936063936063894E-2</v>
      </c>
      <c r="C4678" s="6">
        <v>0.228192904682334</v>
      </c>
    </row>
    <row r="4679" spans="1:3" s="7" customFormat="1" x14ac:dyDescent="0.2">
      <c r="A4679" s="6" t="str">
        <f>"MTMR1"</f>
        <v>MTMR1</v>
      </c>
      <c r="B4679" s="6">
        <v>6.3936063936063894E-2</v>
      </c>
      <c r="C4679" s="6">
        <v>0.228192904682334</v>
      </c>
    </row>
    <row r="4680" spans="1:3" s="7" customFormat="1" x14ac:dyDescent="0.2">
      <c r="A4680" s="6" t="str">
        <f>"TMPRSS3"</f>
        <v>TMPRSS3</v>
      </c>
      <c r="B4680" s="6">
        <v>6.3936063936063894E-2</v>
      </c>
      <c r="C4680" s="6">
        <v>0.228192904682334</v>
      </c>
    </row>
    <row r="4681" spans="1:3" s="7" customFormat="1" x14ac:dyDescent="0.2">
      <c r="A4681" s="6" t="str">
        <f>"PCDHB13"</f>
        <v>PCDHB13</v>
      </c>
      <c r="B4681" s="6">
        <v>6.3936063936063894E-2</v>
      </c>
      <c r="C4681" s="6">
        <v>0.228192904682334</v>
      </c>
    </row>
    <row r="4682" spans="1:3" s="7" customFormat="1" x14ac:dyDescent="0.2">
      <c r="A4682" s="6" t="str">
        <f>"CYP4F23P"</f>
        <v>CYP4F23P</v>
      </c>
      <c r="B4682" s="6">
        <v>6.3936063936063894E-2</v>
      </c>
      <c r="C4682" s="6">
        <v>0.228192904682334</v>
      </c>
    </row>
    <row r="4683" spans="1:3" s="7" customFormat="1" x14ac:dyDescent="0.2">
      <c r="A4683" s="6" t="str">
        <f>"RAB3IL1"</f>
        <v>RAB3IL1</v>
      </c>
      <c r="B4683" s="6">
        <v>6.3936063936063894E-2</v>
      </c>
      <c r="C4683" s="6">
        <v>0.228192904682334</v>
      </c>
    </row>
    <row r="4684" spans="1:3" s="7" customFormat="1" x14ac:dyDescent="0.2">
      <c r="A4684" s="6" t="str">
        <f>"MIOS"</f>
        <v>MIOS</v>
      </c>
      <c r="B4684" s="6">
        <v>6.3936063936063894E-2</v>
      </c>
      <c r="C4684" s="6">
        <v>0.228192904682334</v>
      </c>
    </row>
    <row r="4685" spans="1:3" s="7" customFormat="1" x14ac:dyDescent="0.2">
      <c r="A4685" s="6" t="str">
        <f>"SIPA1L2"</f>
        <v>SIPA1L2</v>
      </c>
      <c r="B4685" s="6">
        <v>6.4000000000000001E-2</v>
      </c>
      <c r="C4685" s="6">
        <v>0.22837233134073401</v>
      </c>
    </row>
    <row r="4686" spans="1:3" s="7" customFormat="1" x14ac:dyDescent="0.2">
      <c r="A4686" s="6" t="str">
        <f>"PRDM8"</f>
        <v>PRDM8</v>
      </c>
      <c r="B4686" s="6">
        <v>6.4935064935064901E-2</v>
      </c>
      <c r="C4686" s="6">
        <v>0.230039142714004</v>
      </c>
    </row>
    <row r="4687" spans="1:3" s="7" customFormat="1" x14ac:dyDescent="0.2">
      <c r="A4687" s="6" t="str">
        <f>"ANKRD20A19P"</f>
        <v>ANKRD20A19P</v>
      </c>
      <c r="B4687" s="6">
        <v>6.4935064935064901E-2</v>
      </c>
      <c r="C4687" s="6">
        <v>0.230039142714004</v>
      </c>
    </row>
    <row r="4688" spans="1:3" s="7" customFormat="1" x14ac:dyDescent="0.2">
      <c r="A4688" s="6" t="str">
        <f>"SPATA5"</f>
        <v>SPATA5</v>
      </c>
      <c r="B4688" s="6">
        <v>6.4935064935064901E-2</v>
      </c>
      <c r="C4688" s="6">
        <v>0.230039142714004</v>
      </c>
    </row>
    <row r="4689" spans="1:3" s="7" customFormat="1" x14ac:dyDescent="0.2">
      <c r="A4689" s="6" t="str">
        <f>"DYNC1I1"</f>
        <v>DYNC1I1</v>
      </c>
      <c r="B4689" s="6">
        <v>6.4935064935064901E-2</v>
      </c>
      <c r="C4689" s="6">
        <v>0.230039142714004</v>
      </c>
    </row>
    <row r="4690" spans="1:3" s="7" customFormat="1" x14ac:dyDescent="0.2">
      <c r="A4690" s="6" t="str">
        <f>"ZNF496"</f>
        <v>ZNF496</v>
      </c>
      <c r="B4690" s="6">
        <v>6.4935064935064901E-2</v>
      </c>
      <c r="C4690" s="6">
        <v>0.230039142714004</v>
      </c>
    </row>
    <row r="4691" spans="1:3" s="7" customFormat="1" x14ac:dyDescent="0.2">
      <c r="A4691" s="6" t="str">
        <f>"STK17B"</f>
        <v>STK17B</v>
      </c>
      <c r="B4691" s="6">
        <v>6.4935064935064901E-2</v>
      </c>
      <c r="C4691" s="6">
        <v>0.230039142714004</v>
      </c>
    </row>
    <row r="4692" spans="1:3" s="7" customFormat="1" x14ac:dyDescent="0.2">
      <c r="A4692" s="6" t="str">
        <f>"SLCO2A1"</f>
        <v>SLCO2A1</v>
      </c>
      <c r="B4692" s="6">
        <v>6.4935064935064901E-2</v>
      </c>
      <c r="C4692" s="6">
        <v>0.230039142714004</v>
      </c>
    </row>
    <row r="4693" spans="1:3" s="7" customFormat="1" x14ac:dyDescent="0.2">
      <c r="A4693" s="6" t="str">
        <f>"PI4KA"</f>
        <v>PI4KA</v>
      </c>
      <c r="B4693" s="6">
        <v>6.4935064935064901E-2</v>
      </c>
      <c r="C4693" s="6">
        <v>0.230039142714004</v>
      </c>
    </row>
    <row r="4694" spans="1:3" s="7" customFormat="1" x14ac:dyDescent="0.2">
      <c r="A4694" s="6" t="str">
        <f>"CCDC140"</f>
        <v>CCDC140</v>
      </c>
      <c r="B4694" s="6">
        <v>6.4935064935064901E-2</v>
      </c>
      <c r="C4694" s="6">
        <v>0.230039142714004</v>
      </c>
    </row>
    <row r="4695" spans="1:3" s="7" customFormat="1" x14ac:dyDescent="0.2">
      <c r="A4695" s="6" t="str">
        <f>"AC005476.2"</f>
        <v>AC005476.2</v>
      </c>
      <c r="B4695" s="6">
        <v>6.4935064935064901E-2</v>
      </c>
      <c r="C4695" s="6">
        <v>0.230039142714004</v>
      </c>
    </row>
    <row r="4696" spans="1:3" s="7" customFormat="1" x14ac:dyDescent="0.2">
      <c r="A4696" s="6" t="str">
        <f>"LRRC14"</f>
        <v>LRRC14</v>
      </c>
      <c r="B4696" s="6">
        <v>6.4935064935064901E-2</v>
      </c>
      <c r="C4696" s="6">
        <v>0.230039142714004</v>
      </c>
    </row>
    <row r="4697" spans="1:3" s="7" customFormat="1" x14ac:dyDescent="0.2">
      <c r="A4697" s="6" t="str">
        <f>"MBNL2"</f>
        <v>MBNL2</v>
      </c>
      <c r="B4697" s="6">
        <v>6.4935064935064901E-2</v>
      </c>
      <c r="C4697" s="6">
        <v>0.230039142714004</v>
      </c>
    </row>
    <row r="4698" spans="1:3" s="7" customFormat="1" x14ac:dyDescent="0.2">
      <c r="A4698" s="6" t="str">
        <f>"WFDC3"</f>
        <v>WFDC3</v>
      </c>
      <c r="B4698" s="6">
        <v>6.4935064935064901E-2</v>
      </c>
      <c r="C4698" s="6">
        <v>0.230039142714004</v>
      </c>
    </row>
    <row r="4699" spans="1:3" s="7" customFormat="1" x14ac:dyDescent="0.2">
      <c r="A4699" s="6" t="str">
        <f>"AC109322.2"</f>
        <v>AC109322.2</v>
      </c>
      <c r="B4699" s="6">
        <v>6.4935064935064901E-2</v>
      </c>
      <c r="C4699" s="6">
        <v>0.230039142714004</v>
      </c>
    </row>
    <row r="4700" spans="1:3" s="7" customFormat="1" x14ac:dyDescent="0.2">
      <c r="A4700" s="6" t="str">
        <f>"ZNF891"</f>
        <v>ZNF891</v>
      </c>
      <c r="B4700" s="6">
        <v>6.4935064935064901E-2</v>
      </c>
      <c r="C4700" s="6">
        <v>0.230039142714004</v>
      </c>
    </row>
    <row r="4701" spans="1:3" s="7" customFormat="1" x14ac:dyDescent="0.2">
      <c r="A4701" s="6" t="str">
        <f>"ZNF793"</f>
        <v>ZNF793</v>
      </c>
      <c r="B4701" s="6">
        <v>6.4935064935064901E-2</v>
      </c>
      <c r="C4701" s="6">
        <v>0.230039142714004</v>
      </c>
    </row>
    <row r="4702" spans="1:3" s="7" customFormat="1" x14ac:dyDescent="0.2">
      <c r="A4702" s="6" t="str">
        <f>"PBX4"</f>
        <v>PBX4</v>
      </c>
      <c r="B4702" s="6">
        <v>6.4935064935064901E-2</v>
      </c>
      <c r="C4702" s="6">
        <v>0.230039142714004</v>
      </c>
    </row>
    <row r="4703" spans="1:3" s="7" customFormat="1" x14ac:dyDescent="0.2">
      <c r="A4703" s="6" t="str">
        <f>"SDHAF4"</f>
        <v>SDHAF4</v>
      </c>
      <c r="B4703" s="6">
        <v>6.4935064935064901E-2</v>
      </c>
      <c r="C4703" s="6">
        <v>0.230039142714004</v>
      </c>
    </row>
    <row r="4704" spans="1:3" s="7" customFormat="1" x14ac:dyDescent="0.2">
      <c r="A4704" s="6" t="str">
        <f>"CLPB"</f>
        <v>CLPB</v>
      </c>
      <c r="B4704" s="6">
        <v>6.4935064935064901E-2</v>
      </c>
      <c r="C4704" s="6">
        <v>0.230039142714004</v>
      </c>
    </row>
    <row r="4705" spans="1:3" s="7" customFormat="1" x14ac:dyDescent="0.2">
      <c r="A4705" s="6" t="str">
        <f>"RPL23AP53"</f>
        <v>RPL23AP53</v>
      </c>
      <c r="B4705" s="6">
        <v>6.4935064935064901E-2</v>
      </c>
      <c r="C4705" s="6">
        <v>0.230039142714004</v>
      </c>
    </row>
    <row r="4706" spans="1:3" s="7" customFormat="1" x14ac:dyDescent="0.2">
      <c r="A4706" s="6" t="str">
        <f>"ZNF175"</f>
        <v>ZNF175</v>
      </c>
      <c r="B4706" s="6">
        <v>6.4935064935064901E-2</v>
      </c>
      <c r="C4706" s="6">
        <v>0.230039142714004</v>
      </c>
    </row>
    <row r="4707" spans="1:3" s="7" customFormat="1" x14ac:dyDescent="0.2">
      <c r="A4707" s="6" t="str">
        <f>"WDFY3-AS2"</f>
        <v>WDFY3-AS2</v>
      </c>
      <c r="B4707" s="6">
        <v>6.4935064935064901E-2</v>
      </c>
      <c r="C4707" s="6">
        <v>0.230039142714004</v>
      </c>
    </row>
    <row r="4708" spans="1:3" s="7" customFormat="1" x14ac:dyDescent="0.2">
      <c r="A4708" s="6" t="str">
        <f>"AC010210.1"</f>
        <v>AC010210.1</v>
      </c>
      <c r="B4708" s="6">
        <v>6.4935064935064901E-2</v>
      </c>
      <c r="C4708" s="6">
        <v>0.230039142714004</v>
      </c>
    </row>
    <row r="4709" spans="1:3" s="7" customFormat="1" x14ac:dyDescent="0.2">
      <c r="A4709" s="6" t="str">
        <f>"RTN2"</f>
        <v>RTN2</v>
      </c>
      <c r="B4709" s="6">
        <v>6.4935064935064901E-2</v>
      </c>
      <c r="C4709" s="6">
        <v>0.230039142714004</v>
      </c>
    </row>
    <row r="4710" spans="1:3" s="7" customFormat="1" x14ac:dyDescent="0.2">
      <c r="A4710" s="6" t="str">
        <f>"ATG9B"</f>
        <v>ATG9B</v>
      </c>
      <c r="B4710" s="6">
        <v>6.4935064935064901E-2</v>
      </c>
      <c r="C4710" s="6">
        <v>0.230039142714004</v>
      </c>
    </row>
    <row r="4711" spans="1:3" s="7" customFormat="1" x14ac:dyDescent="0.2">
      <c r="A4711" s="6" t="str">
        <f>"SLC20A2"</f>
        <v>SLC20A2</v>
      </c>
      <c r="B4711" s="6">
        <v>6.4935064935064901E-2</v>
      </c>
      <c r="C4711" s="6">
        <v>0.230039142714004</v>
      </c>
    </row>
    <row r="4712" spans="1:3" s="7" customFormat="1" x14ac:dyDescent="0.2">
      <c r="A4712" s="6" t="str">
        <f>"TSPAN19"</f>
        <v>TSPAN19</v>
      </c>
      <c r="B4712" s="6">
        <v>6.4935064935064901E-2</v>
      </c>
      <c r="C4712" s="6">
        <v>0.230039142714004</v>
      </c>
    </row>
    <row r="4713" spans="1:3" s="7" customFormat="1" x14ac:dyDescent="0.2">
      <c r="A4713" s="6" t="str">
        <f>"GNG3"</f>
        <v>GNG3</v>
      </c>
      <c r="B4713" s="6">
        <v>6.4581231079717402E-2</v>
      </c>
      <c r="C4713" s="6">
        <v>0.230039142714004</v>
      </c>
    </row>
    <row r="4714" spans="1:3" s="7" customFormat="1" x14ac:dyDescent="0.2">
      <c r="A4714" s="6" t="str">
        <f>"PIGO"</f>
        <v>PIGO</v>
      </c>
      <c r="B4714" s="6">
        <v>6.4935064935064901E-2</v>
      </c>
      <c r="C4714" s="6">
        <v>0.230039142714004</v>
      </c>
    </row>
    <row r="4715" spans="1:3" s="7" customFormat="1" x14ac:dyDescent="0.2">
      <c r="A4715" s="6" t="str">
        <f>"C6orf132"</f>
        <v>C6orf132</v>
      </c>
      <c r="B4715" s="6">
        <v>6.4935064935064901E-2</v>
      </c>
      <c r="C4715" s="6">
        <v>0.230039142714004</v>
      </c>
    </row>
    <row r="4716" spans="1:3" s="7" customFormat="1" x14ac:dyDescent="0.2">
      <c r="A4716" s="6" t="str">
        <f>"SLC9A1"</f>
        <v>SLC9A1</v>
      </c>
      <c r="B4716" s="6">
        <v>6.4935064935064901E-2</v>
      </c>
      <c r="C4716" s="6">
        <v>0.230039142714004</v>
      </c>
    </row>
    <row r="4717" spans="1:3" s="7" customFormat="1" x14ac:dyDescent="0.2">
      <c r="A4717" s="6" t="str">
        <f>"DUT"</f>
        <v>DUT</v>
      </c>
      <c r="B4717" s="6">
        <v>6.4935064935064901E-2</v>
      </c>
      <c r="C4717" s="6">
        <v>0.230039142714004</v>
      </c>
    </row>
    <row r="4718" spans="1:3" s="7" customFormat="1" x14ac:dyDescent="0.2">
      <c r="A4718" s="6" t="str">
        <f>"DCDC2"</f>
        <v>DCDC2</v>
      </c>
      <c r="B4718" s="6">
        <v>6.4935064935064901E-2</v>
      </c>
      <c r="C4718" s="6">
        <v>0.230039142714004</v>
      </c>
    </row>
    <row r="4719" spans="1:3" s="7" customFormat="1" x14ac:dyDescent="0.2">
      <c r="A4719" s="6" t="str">
        <f>"CUL4B"</f>
        <v>CUL4B</v>
      </c>
      <c r="B4719" s="6">
        <v>6.4935064935064901E-2</v>
      </c>
      <c r="C4719" s="6">
        <v>0.230039142714004</v>
      </c>
    </row>
    <row r="4720" spans="1:3" s="7" customFormat="1" x14ac:dyDescent="0.2">
      <c r="A4720" s="6" t="str">
        <f>"LINC02397"</f>
        <v>LINC02397</v>
      </c>
      <c r="B4720" s="6">
        <v>6.5000000000000002E-2</v>
      </c>
      <c r="C4720" s="6">
        <v>0.230171610169491</v>
      </c>
    </row>
    <row r="4721" spans="1:3" s="7" customFormat="1" x14ac:dyDescent="0.2">
      <c r="A4721" s="6" t="str">
        <f>"AC008035.1"</f>
        <v>AC008035.1</v>
      </c>
      <c r="B4721" s="6">
        <v>6.5000000000000002E-2</v>
      </c>
      <c r="C4721" s="6">
        <v>0.230171610169491</v>
      </c>
    </row>
    <row r="4722" spans="1:3" s="7" customFormat="1" x14ac:dyDescent="0.2">
      <c r="A4722" s="6" t="str">
        <f>"H19"</f>
        <v>H19</v>
      </c>
      <c r="B4722" s="6">
        <v>6.5934065934065894E-2</v>
      </c>
      <c r="C4722" s="6">
        <v>0.23209004839048999</v>
      </c>
    </row>
    <row r="4723" spans="1:3" s="7" customFormat="1" x14ac:dyDescent="0.2">
      <c r="A4723" s="6" t="str">
        <f>"IGHG4"</f>
        <v>IGHG4</v>
      </c>
      <c r="B4723" s="6">
        <v>6.6000000000000003E-2</v>
      </c>
      <c r="C4723" s="6">
        <v>0.23209004839048999</v>
      </c>
    </row>
    <row r="4724" spans="1:3" s="7" customFormat="1" x14ac:dyDescent="0.2">
      <c r="A4724" s="6" t="str">
        <f>"CD52"</f>
        <v>CD52</v>
      </c>
      <c r="B4724" s="6">
        <v>6.5934065934065894E-2</v>
      </c>
      <c r="C4724" s="6">
        <v>0.23209004839048999</v>
      </c>
    </row>
    <row r="4725" spans="1:3" s="7" customFormat="1" x14ac:dyDescent="0.2">
      <c r="A4725" s="6" t="str">
        <f>"NBPF14"</f>
        <v>NBPF14</v>
      </c>
      <c r="B4725" s="6">
        <v>6.5934065934065894E-2</v>
      </c>
      <c r="C4725" s="6">
        <v>0.23209004839048999</v>
      </c>
    </row>
    <row r="4726" spans="1:3" s="7" customFormat="1" x14ac:dyDescent="0.2">
      <c r="A4726" s="6" t="str">
        <f>"TSR1"</f>
        <v>TSR1</v>
      </c>
      <c r="B4726" s="6">
        <v>6.5934065934065894E-2</v>
      </c>
      <c r="C4726" s="6">
        <v>0.23209004839048999</v>
      </c>
    </row>
    <row r="4727" spans="1:3" s="7" customFormat="1" x14ac:dyDescent="0.2">
      <c r="A4727" s="6" t="str">
        <f>"USP46"</f>
        <v>USP46</v>
      </c>
      <c r="B4727" s="6">
        <v>6.5934065934065894E-2</v>
      </c>
      <c r="C4727" s="6">
        <v>0.23209004839048999</v>
      </c>
    </row>
    <row r="4728" spans="1:3" s="7" customFormat="1" x14ac:dyDescent="0.2">
      <c r="A4728" s="6" t="str">
        <f>"PLAC4"</f>
        <v>PLAC4</v>
      </c>
      <c r="B4728" s="6">
        <v>6.5934065934065894E-2</v>
      </c>
      <c r="C4728" s="6">
        <v>0.23209004839048999</v>
      </c>
    </row>
    <row r="4729" spans="1:3" s="7" customFormat="1" x14ac:dyDescent="0.2">
      <c r="A4729" s="6" t="str">
        <f>"Z93930.2"</f>
        <v>Z93930.2</v>
      </c>
      <c r="B4729" s="6">
        <v>6.6000000000000003E-2</v>
      </c>
      <c r="C4729" s="6">
        <v>0.23209004839048999</v>
      </c>
    </row>
    <row r="4730" spans="1:3" s="7" customFormat="1" x14ac:dyDescent="0.2">
      <c r="A4730" s="6" t="str">
        <f>"EPDR1"</f>
        <v>EPDR1</v>
      </c>
      <c r="B4730" s="6">
        <v>6.5934065934065894E-2</v>
      </c>
      <c r="C4730" s="6">
        <v>0.23209004839048999</v>
      </c>
    </row>
    <row r="4731" spans="1:3" s="7" customFormat="1" x14ac:dyDescent="0.2">
      <c r="A4731" s="6" t="str">
        <f>"METTL26"</f>
        <v>METTL26</v>
      </c>
      <c r="B4731" s="6">
        <v>6.5934065934065894E-2</v>
      </c>
      <c r="C4731" s="6">
        <v>0.23209004839048999</v>
      </c>
    </row>
    <row r="4732" spans="1:3" s="7" customFormat="1" x14ac:dyDescent="0.2">
      <c r="A4732" s="6" t="str">
        <f>"HLA-DRB1"</f>
        <v>HLA-DRB1</v>
      </c>
      <c r="B4732" s="6">
        <v>6.5934065934065894E-2</v>
      </c>
      <c r="C4732" s="6">
        <v>0.23209004839048999</v>
      </c>
    </row>
    <row r="4733" spans="1:3" s="7" customFormat="1" x14ac:dyDescent="0.2">
      <c r="A4733" s="6" t="str">
        <f>"GCC2-AS1"</f>
        <v>GCC2-AS1</v>
      </c>
      <c r="B4733" s="6">
        <v>6.5934065934065894E-2</v>
      </c>
      <c r="C4733" s="6">
        <v>0.23209004839048999</v>
      </c>
    </row>
    <row r="4734" spans="1:3" s="7" customFormat="1" x14ac:dyDescent="0.2">
      <c r="A4734" s="6" t="str">
        <f>"ZNF330"</f>
        <v>ZNF330</v>
      </c>
      <c r="B4734" s="6">
        <v>6.5934065934065894E-2</v>
      </c>
      <c r="C4734" s="6">
        <v>0.23209004839048999</v>
      </c>
    </row>
    <row r="4735" spans="1:3" s="7" customFormat="1" x14ac:dyDescent="0.2">
      <c r="A4735" s="6" t="str">
        <f>"CPSF1"</f>
        <v>CPSF1</v>
      </c>
      <c r="B4735" s="6">
        <v>6.5934065934065894E-2</v>
      </c>
      <c r="C4735" s="6">
        <v>0.23209004839048999</v>
      </c>
    </row>
    <row r="4736" spans="1:3" s="7" customFormat="1" x14ac:dyDescent="0.2">
      <c r="A4736" s="6" t="str">
        <f>"ZNF354B"</f>
        <v>ZNF354B</v>
      </c>
      <c r="B4736" s="6">
        <v>6.5934065934065894E-2</v>
      </c>
      <c r="C4736" s="6">
        <v>0.23209004839048999</v>
      </c>
    </row>
    <row r="4737" spans="1:3" s="7" customFormat="1" x14ac:dyDescent="0.2">
      <c r="A4737" s="6" t="str">
        <f>"KDM8"</f>
        <v>KDM8</v>
      </c>
      <c r="B4737" s="6">
        <v>6.5934065934065894E-2</v>
      </c>
      <c r="C4737" s="6">
        <v>0.23209004839048999</v>
      </c>
    </row>
    <row r="4738" spans="1:3" s="7" customFormat="1" x14ac:dyDescent="0.2">
      <c r="A4738" s="6" t="str">
        <f>"TMEM241"</f>
        <v>TMEM241</v>
      </c>
      <c r="B4738" s="6">
        <v>6.6000000000000003E-2</v>
      </c>
      <c r="C4738" s="6">
        <v>0.23209004839048999</v>
      </c>
    </row>
    <row r="4739" spans="1:3" s="7" customFormat="1" x14ac:dyDescent="0.2">
      <c r="A4739" s="6" t="str">
        <f>"AJUBA"</f>
        <v>AJUBA</v>
      </c>
      <c r="B4739" s="6">
        <v>6.5934065934065894E-2</v>
      </c>
      <c r="C4739" s="6">
        <v>0.23209004839048999</v>
      </c>
    </row>
    <row r="4740" spans="1:3" s="7" customFormat="1" x14ac:dyDescent="0.2">
      <c r="A4740" s="6" t="str">
        <f>"IGSF9"</f>
        <v>IGSF9</v>
      </c>
      <c r="B4740" s="6">
        <v>6.5934065934065894E-2</v>
      </c>
      <c r="C4740" s="6">
        <v>0.23209004839048999</v>
      </c>
    </row>
    <row r="4741" spans="1:3" s="7" customFormat="1" x14ac:dyDescent="0.2">
      <c r="A4741" s="6" t="str">
        <f>"PMAIP1"</f>
        <v>PMAIP1</v>
      </c>
      <c r="B4741" s="6">
        <v>6.5934065934065894E-2</v>
      </c>
      <c r="C4741" s="6">
        <v>0.23209004839048999</v>
      </c>
    </row>
    <row r="4742" spans="1:3" s="7" customFormat="1" x14ac:dyDescent="0.2">
      <c r="A4742" s="6" t="str">
        <f>"PPP1R9B"</f>
        <v>PPP1R9B</v>
      </c>
      <c r="B4742" s="6">
        <v>6.5934065934065894E-2</v>
      </c>
      <c r="C4742" s="6">
        <v>0.23209004839048999</v>
      </c>
    </row>
    <row r="4743" spans="1:3" s="7" customFormat="1" x14ac:dyDescent="0.2">
      <c r="A4743" s="6" t="str">
        <f>"KRT8P46"</f>
        <v>KRT8P46</v>
      </c>
      <c r="B4743" s="6">
        <v>6.6000000000000003E-2</v>
      </c>
      <c r="C4743" s="6">
        <v>0.23209004839048999</v>
      </c>
    </row>
    <row r="4744" spans="1:3" s="7" customFormat="1" x14ac:dyDescent="0.2">
      <c r="A4744" s="6" t="str">
        <f>"CITED2"</f>
        <v>CITED2</v>
      </c>
      <c r="B4744" s="6">
        <v>6.5934065934065894E-2</v>
      </c>
      <c r="C4744" s="6">
        <v>0.23209004839048999</v>
      </c>
    </row>
    <row r="4745" spans="1:3" s="7" customFormat="1" x14ac:dyDescent="0.2">
      <c r="A4745" s="6" t="str">
        <f>"RFX3"</f>
        <v>RFX3</v>
      </c>
      <c r="B4745" s="6">
        <v>6.6000000000000003E-2</v>
      </c>
      <c r="C4745" s="6">
        <v>0.23209004839048999</v>
      </c>
    </row>
    <row r="4746" spans="1:3" s="7" customFormat="1" x14ac:dyDescent="0.2">
      <c r="A4746" s="6" t="str">
        <f>"AC211486.1"</f>
        <v>AC211486.1</v>
      </c>
      <c r="B4746" s="6">
        <v>6.5934065934065894E-2</v>
      </c>
      <c r="C4746" s="6">
        <v>0.23209004839048999</v>
      </c>
    </row>
    <row r="4747" spans="1:3" s="7" customFormat="1" x14ac:dyDescent="0.2">
      <c r="A4747" s="6" t="str">
        <f>"SMTNL2"</f>
        <v>SMTNL2</v>
      </c>
      <c r="B4747" s="6">
        <v>6.5934065934065894E-2</v>
      </c>
      <c r="C4747" s="6">
        <v>0.23209004839048999</v>
      </c>
    </row>
    <row r="4748" spans="1:3" s="7" customFormat="1" x14ac:dyDescent="0.2">
      <c r="A4748" s="6" t="str">
        <f>"AL157912.1"</f>
        <v>AL157912.1</v>
      </c>
      <c r="B4748" s="6">
        <v>6.5934065934065894E-2</v>
      </c>
      <c r="C4748" s="6">
        <v>0.23209004839048999</v>
      </c>
    </row>
    <row r="4749" spans="1:3" s="7" customFormat="1" x14ac:dyDescent="0.2">
      <c r="A4749" s="6" t="str">
        <f>"PTGES"</f>
        <v>PTGES</v>
      </c>
      <c r="B4749" s="6">
        <v>6.5934065934065894E-2</v>
      </c>
      <c r="C4749" s="6">
        <v>0.23209004839048999</v>
      </c>
    </row>
    <row r="4750" spans="1:3" s="7" customFormat="1" x14ac:dyDescent="0.2">
      <c r="A4750" s="6" t="str">
        <f>"C6orf52"</f>
        <v>C6orf52</v>
      </c>
      <c r="B4750" s="6">
        <v>6.5934065934065894E-2</v>
      </c>
      <c r="C4750" s="6">
        <v>0.23209004839048999</v>
      </c>
    </row>
    <row r="4751" spans="1:3" s="7" customFormat="1" x14ac:dyDescent="0.2">
      <c r="A4751" s="6" t="str">
        <f>"ANKFN1"</f>
        <v>ANKFN1</v>
      </c>
      <c r="B4751" s="6">
        <v>6.5934065934065894E-2</v>
      </c>
      <c r="C4751" s="6">
        <v>0.23209004839048999</v>
      </c>
    </row>
    <row r="4752" spans="1:3" s="7" customFormat="1" x14ac:dyDescent="0.2">
      <c r="A4752" s="6" t="str">
        <f>"AL590867.1"</f>
        <v>AL590867.1</v>
      </c>
      <c r="B4752" s="6">
        <v>6.5934065934065894E-2</v>
      </c>
      <c r="C4752" s="6">
        <v>0.23209004839048999</v>
      </c>
    </row>
    <row r="4753" spans="1:3" s="7" customFormat="1" x14ac:dyDescent="0.2">
      <c r="A4753" s="6" t="str">
        <f>"AL121839.2"</f>
        <v>AL121839.2</v>
      </c>
      <c r="B4753" s="6">
        <v>6.5934065934065894E-2</v>
      </c>
      <c r="C4753" s="6">
        <v>0.23209004839048999</v>
      </c>
    </row>
    <row r="4754" spans="1:3" s="7" customFormat="1" x14ac:dyDescent="0.2">
      <c r="A4754" s="6" t="str">
        <f>"GPATCH2L"</f>
        <v>GPATCH2L</v>
      </c>
      <c r="B4754" s="6">
        <v>6.5934065934065894E-2</v>
      </c>
      <c r="C4754" s="6">
        <v>0.23209004839048999</v>
      </c>
    </row>
    <row r="4755" spans="1:3" s="7" customFormat="1" x14ac:dyDescent="0.2">
      <c r="A4755" s="6" t="str">
        <f>"AC092184.2"</f>
        <v>AC092184.2</v>
      </c>
      <c r="B4755" s="6">
        <v>6.6066066066066007E-2</v>
      </c>
      <c r="C4755" s="6">
        <v>0.23227350194115001</v>
      </c>
    </row>
    <row r="4756" spans="1:3" s="7" customFormat="1" x14ac:dyDescent="0.2">
      <c r="A4756" s="6" t="str">
        <f>"PTCSC3"</f>
        <v>PTCSC3</v>
      </c>
      <c r="B4756" s="6">
        <v>6.6465256797583E-2</v>
      </c>
      <c r="C4756" s="6">
        <v>0.233627823788602</v>
      </c>
    </row>
    <row r="4757" spans="1:3" s="7" customFormat="1" x14ac:dyDescent="0.2">
      <c r="A4757" s="6" t="str">
        <f>"TRAF1"</f>
        <v>TRAF1</v>
      </c>
      <c r="B4757" s="6">
        <v>6.6933066933066901E-2</v>
      </c>
      <c r="C4757" s="6">
        <v>0.23389489456811199</v>
      </c>
    </row>
    <row r="4758" spans="1:3" s="7" customFormat="1" x14ac:dyDescent="0.2">
      <c r="A4758" s="6" t="str">
        <f>"CYTOR"</f>
        <v>CYTOR</v>
      </c>
      <c r="B4758" s="6">
        <v>6.6933066933066901E-2</v>
      </c>
      <c r="C4758" s="6">
        <v>0.23389489456811199</v>
      </c>
    </row>
    <row r="4759" spans="1:3" s="7" customFormat="1" x14ac:dyDescent="0.2">
      <c r="A4759" s="6" t="str">
        <f>"CCDC80"</f>
        <v>CCDC80</v>
      </c>
      <c r="B4759" s="6">
        <v>6.6933066933066901E-2</v>
      </c>
      <c r="C4759" s="6">
        <v>0.23389489456811199</v>
      </c>
    </row>
    <row r="4760" spans="1:3" s="7" customFormat="1" x14ac:dyDescent="0.2">
      <c r="A4760" s="6" t="str">
        <f>"DCUN1D3"</f>
        <v>DCUN1D3</v>
      </c>
      <c r="B4760" s="6">
        <v>6.6933066933066901E-2</v>
      </c>
      <c r="C4760" s="6">
        <v>0.23389489456811199</v>
      </c>
    </row>
    <row r="4761" spans="1:3" s="7" customFormat="1" x14ac:dyDescent="0.2">
      <c r="A4761" s="6" t="str">
        <f>"SIN3A"</f>
        <v>SIN3A</v>
      </c>
      <c r="B4761" s="6">
        <v>6.6933066933066901E-2</v>
      </c>
      <c r="C4761" s="6">
        <v>0.23389489456811199</v>
      </c>
    </row>
    <row r="4762" spans="1:3" s="7" customFormat="1" x14ac:dyDescent="0.2">
      <c r="A4762" s="6" t="str">
        <f>"TDO2"</f>
        <v>TDO2</v>
      </c>
      <c r="B4762" s="6">
        <v>6.6933066933066901E-2</v>
      </c>
      <c r="C4762" s="6">
        <v>0.23389489456811199</v>
      </c>
    </row>
    <row r="4763" spans="1:3" s="7" customFormat="1" x14ac:dyDescent="0.2">
      <c r="A4763" s="6" t="str">
        <f>"SH3BP1"</f>
        <v>SH3BP1</v>
      </c>
      <c r="B4763" s="6">
        <v>6.6933066933066901E-2</v>
      </c>
      <c r="C4763" s="6">
        <v>0.23389489456811199</v>
      </c>
    </row>
    <row r="4764" spans="1:3" s="7" customFormat="1" x14ac:dyDescent="0.2">
      <c r="A4764" s="6" t="str">
        <f>"LINP1"</f>
        <v>LINP1</v>
      </c>
      <c r="B4764" s="6">
        <v>6.6933066933066901E-2</v>
      </c>
      <c r="C4764" s="6">
        <v>0.23389489456811199</v>
      </c>
    </row>
    <row r="4765" spans="1:3" s="7" customFormat="1" x14ac:dyDescent="0.2">
      <c r="A4765" s="6" t="str">
        <f>"MTFMT"</f>
        <v>MTFMT</v>
      </c>
      <c r="B4765" s="6">
        <v>6.6933066933066901E-2</v>
      </c>
      <c r="C4765" s="6">
        <v>0.23389489456811199</v>
      </c>
    </row>
    <row r="4766" spans="1:3" s="7" customFormat="1" x14ac:dyDescent="0.2">
      <c r="A4766" s="6" t="str">
        <f>"ELAPOR1"</f>
        <v>ELAPOR1</v>
      </c>
      <c r="B4766" s="6">
        <v>6.6933066933066901E-2</v>
      </c>
      <c r="C4766" s="6">
        <v>0.23389489456811199</v>
      </c>
    </row>
    <row r="4767" spans="1:3" s="7" customFormat="1" x14ac:dyDescent="0.2">
      <c r="A4767" s="6" t="str">
        <f>"NCAN"</f>
        <v>NCAN</v>
      </c>
      <c r="B4767" s="6">
        <v>6.6933066933066901E-2</v>
      </c>
      <c r="C4767" s="6">
        <v>0.23389489456811199</v>
      </c>
    </row>
    <row r="4768" spans="1:3" s="7" customFormat="1" x14ac:dyDescent="0.2">
      <c r="A4768" s="6" t="str">
        <f>"ZNF404"</f>
        <v>ZNF404</v>
      </c>
      <c r="B4768" s="6">
        <v>6.6933066933066901E-2</v>
      </c>
      <c r="C4768" s="6">
        <v>0.23389489456811199</v>
      </c>
    </row>
    <row r="4769" spans="1:3" s="7" customFormat="1" x14ac:dyDescent="0.2">
      <c r="A4769" s="6" t="str">
        <f>"NUCKS1"</f>
        <v>NUCKS1</v>
      </c>
      <c r="B4769" s="6">
        <v>6.6933066933066901E-2</v>
      </c>
      <c r="C4769" s="6">
        <v>0.23389489456811199</v>
      </c>
    </row>
    <row r="4770" spans="1:3" s="7" customFormat="1" x14ac:dyDescent="0.2">
      <c r="A4770" s="6" t="str">
        <f>"PPP2R1A"</f>
        <v>PPP2R1A</v>
      </c>
      <c r="B4770" s="6">
        <v>6.6933066933066901E-2</v>
      </c>
      <c r="C4770" s="6">
        <v>0.23389489456811199</v>
      </c>
    </row>
    <row r="4771" spans="1:3" s="7" customFormat="1" x14ac:dyDescent="0.2">
      <c r="A4771" s="6" t="str">
        <f>"AP002387.1"</f>
        <v>AP002387.1</v>
      </c>
      <c r="B4771" s="6">
        <v>6.6933066933066901E-2</v>
      </c>
      <c r="C4771" s="6">
        <v>0.23389489456811199</v>
      </c>
    </row>
    <row r="4772" spans="1:3" s="7" customFormat="1" x14ac:dyDescent="0.2">
      <c r="A4772" s="6" t="str">
        <f>"GPC3"</f>
        <v>GPC3</v>
      </c>
      <c r="B4772" s="6">
        <v>6.6933066933066901E-2</v>
      </c>
      <c r="C4772" s="6">
        <v>0.23389489456811199</v>
      </c>
    </row>
    <row r="4773" spans="1:3" s="7" customFormat="1" x14ac:dyDescent="0.2">
      <c r="A4773" s="6" t="str">
        <f>"TMEM31"</f>
        <v>TMEM31</v>
      </c>
      <c r="B4773" s="6">
        <v>6.6933066933066901E-2</v>
      </c>
      <c r="C4773" s="6">
        <v>0.23389489456811199</v>
      </c>
    </row>
    <row r="4774" spans="1:3" s="7" customFormat="1" x14ac:dyDescent="0.2">
      <c r="A4774" s="6" t="str">
        <f>"POLN"</f>
        <v>POLN</v>
      </c>
      <c r="B4774" s="6">
        <v>6.6933066933066901E-2</v>
      </c>
      <c r="C4774" s="6">
        <v>0.23389489456811199</v>
      </c>
    </row>
    <row r="4775" spans="1:3" s="7" customFormat="1" x14ac:dyDescent="0.2">
      <c r="A4775" s="6" t="str">
        <f>"HIVEP2"</f>
        <v>HIVEP2</v>
      </c>
      <c r="B4775" s="6">
        <v>6.6933066933066901E-2</v>
      </c>
      <c r="C4775" s="6">
        <v>0.23389489456811199</v>
      </c>
    </row>
    <row r="4776" spans="1:3" s="7" customFormat="1" x14ac:dyDescent="0.2">
      <c r="A4776" s="6" t="str">
        <f>"WDR45"</f>
        <v>WDR45</v>
      </c>
      <c r="B4776" s="6">
        <v>6.6933066933066901E-2</v>
      </c>
      <c r="C4776" s="6">
        <v>0.23389489456811199</v>
      </c>
    </row>
    <row r="4777" spans="1:3" s="7" customFormat="1" x14ac:dyDescent="0.2">
      <c r="A4777" s="6" t="str">
        <f>"CCDC144CP"</f>
        <v>CCDC144CP</v>
      </c>
      <c r="B4777" s="6">
        <v>6.6933066933066901E-2</v>
      </c>
      <c r="C4777" s="6">
        <v>0.23389489456811199</v>
      </c>
    </row>
    <row r="4778" spans="1:3" s="7" customFormat="1" x14ac:dyDescent="0.2">
      <c r="A4778" s="6" t="str">
        <f>"FRG1GP"</f>
        <v>FRG1GP</v>
      </c>
      <c r="B4778" s="6">
        <v>6.6734074823053505E-2</v>
      </c>
      <c r="C4778" s="6">
        <v>0.23389489456811199</v>
      </c>
    </row>
    <row r="4779" spans="1:3" s="7" customFormat="1" x14ac:dyDescent="0.2">
      <c r="A4779" s="6" t="str">
        <f>"TEKT4"</f>
        <v>TEKT4</v>
      </c>
      <c r="B4779" s="6">
        <v>6.6933066933066901E-2</v>
      </c>
      <c r="C4779" s="6">
        <v>0.23389489456811199</v>
      </c>
    </row>
    <row r="4780" spans="1:3" s="7" customFormat="1" x14ac:dyDescent="0.2">
      <c r="A4780" s="6" t="str">
        <f>"CC2D1A"</f>
        <v>CC2D1A</v>
      </c>
      <c r="B4780" s="6">
        <v>6.6933066933066901E-2</v>
      </c>
      <c r="C4780" s="6">
        <v>0.23389489456811199</v>
      </c>
    </row>
    <row r="4781" spans="1:3" s="7" customFormat="1" x14ac:dyDescent="0.2">
      <c r="A4781" s="6" t="str">
        <f>"MTMR14"</f>
        <v>MTMR14</v>
      </c>
      <c r="B4781" s="6">
        <v>6.6933066933066901E-2</v>
      </c>
      <c r="C4781" s="6">
        <v>0.23389489456811199</v>
      </c>
    </row>
    <row r="4782" spans="1:3" s="7" customFormat="1" x14ac:dyDescent="0.2">
      <c r="A4782" s="6" t="str">
        <f>"GINS1"</f>
        <v>GINS1</v>
      </c>
      <c r="B4782" s="6">
        <v>6.6933066933066901E-2</v>
      </c>
      <c r="C4782" s="6">
        <v>0.23389489456811199</v>
      </c>
    </row>
    <row r="4783" spans="1:3" s="7" customFormat="1" x14ac:dyDescent="0.2">
      <c r="A4783" s="6" t="str">
        <f>"LINC00957"</f>
        <v>LINC00957</v>
      </c>
      <c r="B4783" s="6">
        <v>6.6933066933066901E-2</v>
      </c>
      <c r="C4783" s="6">
        <v>0.23389489456811199</v>
      </c>
    </row>
    <row r="4784" spans="1:3" s="7" customFormat="1" x14ac:dyDescent="0.2">
      <c r="A4784" s="6" t="str">
        <f>"NPIPB5"</f>
        <v>NPIPB5</v>
      </c>
      <c r="B4784" s="6">
        <v>6.6933066933066901E-2</v>
      </c>
      <c r="C4784" s="6">
        <v>0.23389489456811199</v>
      </c>
    </row>
    <row r="4785" spans="1:3" s="7" customFormat="1" x14ac:dyDescent="0.2">
      <c r="A4785" s="6" t="str">
        <f>"AC135178.4"</f>
        <v>AC135178.4</v>
      </c>
      <c r="B4785" s="6">
        <v>6.7000000000000004E-2</v>
      </c>
      <c r="C4785" s="6">
        <v>0.23398203092352601</v>
      </c>
    </row>
    <row r="4786" spans="1:3" s="7" customFormat="1" x14ac:dyDescent="0.2">
      <c r="A4786" s="6" t="str">
        <f>"CCDC39"</f>
        <v>CCDC39</v>
      </c>
      <c r="B4786" s="6">
        <v>6.7000000000000004E-2</v>
      </c>
      <c r="C4786" s="6">
        <v>0.23398203092352601</v>
      </c>
    </row>
    <row r="4787" spans="1:3" s="7" customFormat="1" x14ac:dyDescent="0.2">
      <c r="A4787" s="6" t="str">
        <f>"FAM81B"</f>
        <v>FAM81B</v>
      </c>
      <c r="B4787" s="6">
        <v>6.7000000000000004E-2</v>
      </c>
      <c r="C4787" s="6">
        <v>0.23398203092352601</v>
      </c>
    </row>
    <row r="4788" spans="1:3" s="7" customFormat="1" x14ac:dyDescent="0.2">
      <c r="A4788" s="6" t="str">
        <f>"NNAT"</f>
        <v>NNAT</v>
      </c>
      <c r="B4788" s="6">
        <v>6.7067067067066999E-2</v>
      </c>
      <c r="C4788" s="6">
        <v>0.234167319607052</v>
      </c>
    </row>
    <row r="4789" spans="1:3" s="7" customFormat="1" x14ac:dyDescent="0.2">
      <c r="A4789" s="6" t="str">
        <f>"SSBP3"</f>
        <v>SSBP3</v>
      </c>
      <c r="B4789" s="6">
        <v>6.7932067932067894E-2</v>
      </c>
      <c r="C4789" s="6">
        <v>0.23556360651796299</v>
      </c>
    </row>
    <row r="4790" spans="1:3" s="7" customFormat="1" x14ac:dyDescent="0.2">
      <c r="A4790" s="6" t="str">
        <f>"TRIM6"</f>
        <v>TRIM6</v>
      </c>
      <c r="B4790" s="6">
        <v>6.7932067932067894E-2</v>
      </c>
      <c r="C4790" s="6">
        <v>0.23556360651796299</v>
      </c>
    </row>
    <row r="4791" spans="1:3" s="7" customFormat="1" x14ac:dyDescent="0.2">
      <c r="A4791" s="6" t="str">
        <f>"AC026273.1"</f>
        <v>AC026273.1</v>
      </c>
      <c r="B4791" s="6">
        <v>6.7932067932067894E-2</v>
      </c>
      <c r="C4791" s="6">
        <v>0.23556360651796299</v>
      </c>
    </row>
    <row r="4792" spans="1:3" s="7" customFormat="1" x14ac:dyDescent="0.2">
      <c r="A4792" s="6" t="str">
        <f>"PDHA1"</f>
        <v>PDHA1</v>
      </c>
      <c r="B4792" s="6">
        <v>6.7932067932067894E-2</v>
      </c>
      <c r="C4792" s="6">
        <v>0.23556360651796299</v>
      </c>
    </row>
    <row r="4793" spans="1:3" s="7" customFormat="1" x14ac:dyDescent="0.2">
      <c r="A4793" s="6" t="str">
        <f>"LSMEM1"</f>
        <v>LSMEM1</v>
      </c>
      <c r="B4793" s="6">
        <v>6.7932067932067894E-2</v>
      </c>
      <c r="C4793" s="6">
        <v>0.23556360651796299</v>
      </c>
    </row>
    <row r="4794" spans="1:3" s="7" customFormat="1" x14ac:dyDescent="0.2">
      <c r="A4794" s="6" t="str">
        <f>"SNX13"</f>
        <v>SNX13</v>
      </c>
      <c r="B4794" s="6">
        <v>6.7932067932067894E-2</v>
      </c>
      <c r="C4794" s="6">
        <v>0.23556360651796299</v>
      </c>
    </row>
    <row r="4795" spans="1:3" s="7" customFormat="1" x14ac:dyDescent="0.2">
      <c r="A4795" s="6" t="str">
        <f>"AC002996.1"</f>
        <v>AC002996.1</v>
      </c>
      <c r="B4795" s="6">
        <v>6.7932067932067894E-2</v>
      </c>
      <c r="C4795" s="6">
        <v>0.23556360651796299</v>
      </c>
    </row>
    <row r="4796" spans="1:3" s="7" customFormat="1" x14ac:dyDescent="0.2">
      <c r="A4796" s="6" t="str">
        <f>"AL034550.3"</f>
        <v>AL034550.3</v>
      </c>
      <c r="B4796" s="6">
        <v>6.7932067932067894E-2</v>
      </c>
      <c r="C4796" s="6">
        <v>0.23556360651796299</v>
      </c>
    </row>
    <row r="4797" spans="1:3" s="7" customFormat="1" x14ac:dyDescent="0.2">
      <c r="A4797" s="6" t="str">
        <f>"GZMA"</f>
        <v>GZMA</v>
      </c>
      <c r="B4797" s="6">
        <v>6.7932067932067894E-2</v>
      </c>
      <c r="C4797" s="6">
        <v>0.23556360651796299</v>
      </c>
    </row>
    <row r="4798" spans="1:3" s="7" customFormat="1" x14ac:dyDescent="0.2">
      <c r="A4798" s="6" t="str">
        <f>"ERCC6L2"</f>
        <v>ERCC6L2</v>
      </c>
      <c r="B4798" s="6">
        <v>6.7932067932067894E-2</v>
      </c>
      <c r="C4798" s="6">
        <v>0.23556360651796299</v>
      </c>
    </row>
    <row r="4799" spans="1:3" s="7" customFormat="1" x14ac:dyDescent="0.2">
      <c r="A4799" s="6" t="str">
        <f>"AC139272.1"</f>
        <v>AC139272.1</v>
      </c>
      <c r="B4799" s="6">
        <v>6.7932067932067894E-2</v>
      </c>
      <c r="C4799" s="6">
        <v>0.23556360651796299</v>
      </c>
    </row>
    <row r="4800" spans="1:3" s="7" customFormat="1" x14ac:dyDescent="0.2">
      <c r="A4800" s="6" t="str">
        <f>"STEAP2"</f>
        <v>STEAP2</v>
      </c>
      <c r="B4800" s="6">
        <v>6.7932067932067894E-2</v>
      </c>
      <c r="C4800" s="6">
        <v>0.23556360651796299</v>
      </c>
    </row>
    <row r="4801" spans="1:3" s="7" customFormat="1" x14ac:dyDescent="0.2">
      <c r="A4801" s="6" t="str">
        <f>"RHOQP1"</f>
        <v>RHOQP1</v>
      </c>
      <c r="B4801" s="6">
        <v>6.7932067932067894E-2</v>
      </c>
      <c r="C4801" s="6">
        <v>0.23556360651796299</v>
      </c>
    </row>
    <row r="4802" spans="1:3" s="7" customFormat="1" x14ac:dyDescent="0.2">
      <c r="A4802" s="6" t="str">
        <f>"AMIGO2"</f>
        <v>AMIGO2</v>
      </c>
      <c r="B4802" s="6">
        <v>6.7932067932067894E-2</v>
      </c>
      <c r="C4802" s="6">
        <v>0.23556360651796299</v>
      </c>
    </row>
    <row r="4803" spans="1:3" s="7" customFormat="1" x14ac:dyDescent="0.2">
      <c r="A4803" s="6" t="str">
        <f>"BX470102.2"</f>
        <v>BX470102.2</v>
      </c>
      <c r="B4803" s="6">
        <v>6.7932067932067894E-2</v>
      </c>
      <c r="C4803" s="6">
        <v>0.23556360651796299</v>
      </c>
    </row>
    <row r="4804" spans="1:3" s="7" customFormat="1" x14ac:dyDescent="0.2">
      <c r="A4804" s="6" t="str">
        <f>"ZNF426"</f>
        <v>ZNF426</v>
      </c>
      <c r="B4804" s="6">
        <v>6.7932067932067894E-2</v>
      </c>
      <c r="C4804" s="6">
        <v>0.23556360651796299</v>
      </c>
    </row>
    <row r="4805" spans="1:3" s="7" customFormat="1" x14ac:dyDescent="0.2">
      <c r="A4805" s="6" t="str">
        <f>"GTF2F2"</f>
        <v>GTF2F2</v>
      </c>
      <c r="B4805" s="6">
        <v>6.7932067932067894E-2</v>
      </c>
      <c r="C4805" s="6">
        <v>0.23556360651796299</v>
      </c>
    </row>
    <row r="4806" spans="1:3" s="7" customFormat="1" x14ac:dyDescent="0.2">
      <c r="A4806" s="6" t="str">
        <f>"ZFP69"</f>
        <v>ZFP69</v>
      </c>
      <c r="B4806" s="6">
        <v>6.7932067932067894E-2</v>
      </c>
      <c r="C4806" s="6">
        <v>0.23556360651796299</v>
      </c>
    </row>
    <row r="4807" spans="1:3" s="7" customFormat="1" x14ac:dyDescent="0.2">
      <c r="A4807" s="6" t="str">
        <f>"ARMC8"</f>
        <v>ARMC8</v>
      </c>
      <c r="B4807" s="6">
        <v>6.7932067932067894E-2</v>
      </c>
      <c r="C4807" s="6">
        <v>0.23556360651796299</v>
      </c>
    </row>
    <row r="4808" spans="1:3" s="7" customFormat="1" x14ac:dyDescent="0.2">
      <c r="A4808" s="6" t="str">
        <f>"FRG1HP"</f>
        <v>FRG1HP</v>
      </c>
      <c r="B4808" s="6">
        <v>6.7932067932067894E-2</v>
      </c>
      <c r="C4808" s="6">
        <v>0.23556360651796299</v>
      </c>
    </row>
    <row r="4809" spans="1:3" s="7" customFormat="1" x14ac:dyDescent="0.2">
      <c r="A4809" s="6" t="str">
        <f>"STKLD1"</f>
        <v>STKLD1</v>
      </c>
      <c r="B4809" s="6">
        <v>6.7932067932067894E-2</v>
      </c>
      <c r="C4809" s="6">
        <v>0.23556360651796299</v>
      </c>
    </row>
    <row r="4810" spans="1:3" s="7" customFormat="1" x14ac:dyDescent="0.2">
      <c r="A4810" s="6" t="str">
        <f>"FAM111A-DT"</f>
        <v>FAM111A-DT</v>
      </c>
      <c r="B4810" s="6">
        <v>6.7932067932067894E-2</v>
      </c>
      <c r="C4810" s="6">
        <v>0.23556360651796299</v>
      </c>
    </row>
    <row r="4811" spans="1:3" s="7" customFormat="1" x14ac:dyDescent="0.2">
      <c r="A4811" s="6" t="str">
        <f>"H2BC20P"</f>
        <v>H2BC20P</v>
      </c>
      <c r="B4811" s="6">
        <v>6.7932067932067894E-2</v>
      </c>
      <c r="C4811" s="6">
        <v>0.23556360651796299</v>
      </c>
    </row>
    <row r="4812" spans="1:3" s="7" customFormat="1" x14ac:dyDescent="0.2">
      <c r="A4812" s="6" t="str">
        <f>"EFNB3"</f>
        <v>EFNB3</v>
      </c>
      <c r="B4812" s="6">
        <v>6.7932067932067894E-2</v>
      </c>
      <c r="C4812" s="6">
        <v>0.23556360651796299</v>
      </c>
    </row>
    <row r="4813" spans="1:3" s="7" customFormat="1" x14ac:dyDescent="0.2">
      <c r="A4813" s="6" t="str">
        <f>"TCTEX1D1"</f>
        <v>TCTEX1D1</v>
      </c>
      <c r="B4813" s="6">
        <v>6.7932067932067894E-2</v>
      </c>
      <c r="C4813" s="6">
        <v>0.23556360651796299</v>
      </c>
    </row>
    <row r="4814" spans="1:3" s="7" customFormat="1" x14ac:dyDescent="0.2">
      <c r="A4814" s="6" t="str">
        <f>"TMEM214"</f>
        <v>TMEM214</v>
      </c>
      <c r="B4814" s="6">
        <v>6.7932067932067894E-2</v>
      </c>
      <c r="C4814" s="6">
        <v>0.23556360651796299</v>
      </c>
    </row>
    <row r="4815" spans="1:3" s="7" customFormat="1" x14ac:dyDescent="0.2">
      <c r="A4815" s="6" t="str">
        <f>"AARD"</f>
        <v>AARD</v>
      </c>
      <c r="B4815" s="6">
        <v>6.7932067932067894E-2</v>
      </c>
      <c r="C4815" s="6">
        <v>0.23556360651796299</v>
      </c>
    </row>
    <row r="4816" spans="1:3" s="7" customFormat="1" x14ac:dyDescent="0.2">
      <c r="A4816" s="6" t="str">
        <f>"TMBIM7P"</f>
        <v>TMBIM7P</v>
      </c>
      <c r="B4816" s="6">
        <v>6.7932067932067894E-2</v>
      </c>
      <c r="C4816" s="6">
        <v>0.23556360651796299</v>
      </c>
    </row>
    <row r="4817" spans="1:3" s="7" customFormat="1" x14ac:dyDescent="0.2">
      <c r="A4817" s="6" t="str">
        <f>"SOX2"</f>
        <v>SOX2</v>
      </c>
      <c r="B4817" s="6">
        <v>6.7932067932067894E-2</v>
      </c>
      <c r="C4817" s="6">
        <v>0.23556360651796299</v>
      </c>
    </row>
    <row r="4818" spans="1:3" s="7" customFormat="1" x14ac:dyDescent="0.2">
      <c r="A4818" s="6" t="str">
        <f>"TCTE1"</f>
        <v>TCTE1</v>
      </c>
      <c r="B4818" s="6">
        <v>6.7932067932067894E-2</v>
      </c>
      <c r="C4818" s="6">
        <v>0.23556360651796299</v>
      </c>
    </row>
    <row r="4819" spans="1:3" s="7" customFormat="1" x14ac:dyDescent="0.2">
      <c r="A4819" s="6" t="str">
        <f>"TCP1"</f>
        <v>TCP1</v>
      </c>
      <c r="B4819" s="6">
        <v>6.7932067932067894E-2</v>
      </c>
      <c r="C4819" s="6">
        <v>0.23556360651796299</v>
      </c>
    </row>
    <row r="4820" spans="1:3" s="7" customFormat="1" x14ac:dyDescent="0.2">
      <c r="A4820" s="6" t="str">
        <f>"CDC7"</f>
        <v>CDC7</v>
      </c>
      <c r="B4820" s="6">
        <v>6.7932067932067894E-2</v>
      </c>
      <c r="C4820" s="6">
        <v>0.23556360651796299</v>
      </c>
    </row>
    <row r="4821" spans="1:3" s="7" customFormat="1" x14ac:dyDescent="0.2">
      <c r="A4821" s="6" t="str">
        <f>"MON1B"</f>
        <v>MON1B</v>
      </c>
      <c r="B4821" s="6">
        <v>6.7932067932067894E-2</v>
      </c>
      <c r="C4821" s="6">
        <v>0.23556360651796299</v>
      </c>
    </row>
    <row r="4822" spans="1:3" s="7" customFormat="1" x14ac:dyDescent="0.2">
      <c r="A4822" s="6" t="str">
        <f>"ABRAXAS1"</f>
        <v>ABRAXAS1</v>
      </c>
      <c r="B4822" s="6">
        <v>6.8000000000000005E-2</v>
      </c>
      <c r="C4822" s="6">
        <v>0.23560364842454301</v>
      </c>
    </row>
    <row r="4823" spans="1:3" s="7" customFormat="1" x14ac:dyDescent="0.2">
      <c r="A4823" s="6" t="str">
        <f>"RTN4RL2"</f>
        <v>RTN4RL2</v>
      </c>
      <c r="B4823" s="6">
        <v>6.8000000000000005E-2</v>
      </c>
      <c r="C4823" s="6">
        <v>0.23560364842454301</v>
      </c>
    </row>
    <row r="4824" spans="1:3" s="7" customFormat="1" x14ac:dyDescent="0.2">
      <c r="A4824" s="6" t="str">
        <f>"AC104459.1"</f>
        <v>AC104459.1</v>
      </c>
      <c r="B4824" s="6">
        <v>6.8000000000000005E-2</v>
      </c>
      <c r="C4824" s="6">
        <v>0.23560364842454301</v>
      </c>
    </row>
    <row r="4825" spans="1:3" s="7" customFormat="1" x14ac:dyDescent="0.2">
      <c r="A4825" s="6" t="str">
        <f>"GPR173"</f>
        <v>GPR173</v>
      </c>
      <c r="B4825" s="6">
        <v>6.8000000000000005E-2</v>
      </c>
      <c r="C4825" s="6">
        <v>0.23560364842454301</v>
      </c>
    </row>
    <row r="4826" spans="1:3" s="7" customFormat="1" x14ac:dyDescent="0.2">
      <c r="A4826" s="6" t="str">
        <f>"RN7SL73P"</f>
        <v>RN7SL73P</v>
      </c>
      <c r="B4826" s="6">
        <v>6.8068068068068005E-2</v>
      </c>
      <c r="C4826" s="6">
        <v>0.23579060926211101</v>
      </c>
    </row>
    <row r="4827" spans="1:3" s="7" customFormat="1" x14ac:dyDescent="0.2">
      <c r="A4827" s="6" t="str">
        <f>"LINC00571"</f>
        <v>LINC00571</v>
      </c>
      <c r="B4827" s="6">
        <v>6.8136272545090096E-2</v>
      </c>
      <c r="C4827" s="6">
        <v>0.23592907796118401</v>
      </c>
    </row>
    <row r="4828" spans="1:3" s="7" customFormat="1" x14ac:dyDescent="0.2">
      <c r="A4828" s="6" t="str">
        <f>"AC010378.1"</f>
        <v>AC010378.1</v>
      </c>
      <c r="B4828" s="6">
        <v>6.8136272545090096E-2</v>
      </c>
      <c r="C4828" s="6">
        <v>0.23592907796118401</v>
      </c>
    </row>
    <row r="4829" spans="1:3" s="7" customFormat="1" x14ac:dyDescent="0.2">
      <c r="A4829" s="6" t="str">
        <f>"RNLS"</f>
        <v>RNLS</v>
      </c>
      <c r="B4829" s="6">
        <v>6.8931068931068901E-2</v>
      </c>
      <c r="C4829" s="6">
        <v>0.23701170255377199</v>
      </c>
    </row>
    <row r="4830" spans="1:3" s="7" customFormat="1" x14ac:dyDescent="0.2">
      <c r="A4830" s="6" t="str">
        <f>"SLC6A6"</f>
        <v>SLC6A6</v>
      </c>
      <c r="B4830" s="6">
        <v>6.8931068931068901E-2</v>
      </c>
      <c r="C4830" s="6">
        <v>0.23701170255377199</v>
      </c>
    </row>
    <row r="4831" spans="1:3" s="7" customFormat="1" x14ac:dyDescent="0.2">
      <c r="A4831" s="6" t="str">
        <f>"NSUN6"</f>
        <v>NSUN6</v>
      </c>
      <c r="B4831" s="6">
        <v>6.8931068931068901E-2</v>
      </c>
      <c r="C4831" s="6">
        <v>0.23701170255377199</v>
      </c>
    </row>
    <row r="4832" spans="1:3" s="7" customFormat="1" x14ac:dyDescent="0.2">
      <c r="A4832" s="6" t="str">
        <f>"LINC02606"</f>
        <v>LINC02606</v>
      </c>
      <c r="B4832" s="6">
        <v>6.8931068931068901E-2</v>
      </c>
      <c r="C4832" s="6">
        <v>0.23701170255377199</v>
      </c>
    </row>
    <row r="4833" spans="1:3" s="7" customFormat="1" x14ac:dyDescent="0.2">
      <c r="A4833" s="6" t="str">
        <f>"ISCA1"</f>
        <v>ISCA1</v>
      </c>
      <c r="B4833" s="6">
        <v>6.8931068931068901E-2</v>
      </c>
      <c r="C4833" s="6">
        <v>0.23701170255377199</v>
      </c>
    </row>
    <row r="4834" spans="1:3" s="7" customFormat="1" x14ac:dyDescent="0.2">
      <c r="A4834" s="6" t="str">
        <f>"SERTAD4-AS1"</f>
        <v>SERTAD4-AS1</v>
      </c>
      <c r="B4834" s="6">
        <v>6.8931068931068901E-2</v>
      </c>
      <c r="C4834" s="6">
        <v>0.23701170255377199</v>
      </c>
    </row>
    <row r="4835" spans="1:3" s="7" customFormat="1" x14ac:dyDescent="0.2">
      <c r="A4835" s="6" t="str">
        <f>"PIK3CG"</f>
        <v>PIK3CG</v>
      </c>
      <c r="B4835" s="6">
        <v>6.8931068931068901E-2</v>
      </c>
      <c r="C4835" s="6">
        <v>0.23701170255377199</v>
      </c>
    </row>
    <row r="4836" spans="1:3" s="7" customFormat="1" x14ac:dyDescent="0.2">
      <c r="A4836" s="6" t="str">
        <f>"CHCHD4"</f>
        <v>CHCHD4</v>
      </c>
      <c r="B4836" s="6">
        <v>6.8931068931068901E-2</v>
      </c>
      <c r="C4836" s="6">
        <v>0.23701170255377199</v>
      </c>
    </row>
    <row r="4837" spans="1:3" s="7" customFormat="1" x14ac:dyDescent="0.2">
      <c r="A4837" s="6" t="str">
        <f>"AC026401.3"</f>
        <v>AC026401.3</v>
      </c>
      <c r="B4837" s="6">
        <v>6.8931068931068901E-2</v>
      </c>
      <c r="C4837" s="6">
        <v>0.23701170255377199</v>
      </c>
    </row>
    <row r="4838" spans="1:3" s="7" customFormat="1" x14ac:dyDescent="0.2">
      <c r="A4838" s="6" t="str">
        <f>"DACH1"</f>
        <v>DACH1</v>
      </c>
      <c r="B4838" s="6">
        <v>6.8931068931068901E-2</v>
      </c>
      <c r="C4838" s="6">
        <v>0.23701170255377199</v>
      </c>
    </row>
    <row r="4839" spans="1:3" s="7" customFormat="1" x14ac:dyDescent="0.2">
      <c r="A4839" s="6" t="str">
        <f>"SOWAHCP2"</f>
        <v>SOWAHCP2</v>
      </c>
      <c r="B4839" s="6">
        <v>6.8931068931068901E-2</v>
      </c>
      <c r="C4839" s="6">
        <v>0.23701170255377199</v>
      </c>
    </row>
    <row r="4840" spans="1:3" s="7" customFormat="1" x14ac:dyDescent="0.2">
      <c r="A4840" s="6" t="str">
        <f>"AL121761.1"</f>
        <v>AL121761.1</v>
      </c>
      <c r="B4840" s="6">
        <v>6.8931068931068901E-2</v>
      </c>
      <c r="C4840" s="6">
        <v>0.23701170255377199</v>
      </c>
    </row>
    <row r="4841" spans="1:3" s="7" customFormat="1" x14ac:dyDescent="0.2">
      <c r="A4841" s="6" t="str">
        <f>"AAMDC"</f>
        <v>AAMDC</v>
      </c>
      <c r="B4841" s="6">
        <v>6.8931068931068901E-2</v>
      </c>
      <c r="C4841" s="6">
        <v>0.23701170255377199</v>
      </c>
    </row>
    <row r="4842" spans="1:3" s="7" customFormat="1" x14ac:dyDescent="0.2">
      <c r="A4842" s="6" t="str">
        <f>"TMEM199"</f>
        <v>TMEM199</v>
      </c>
      <c r="B4842" s="6">
        <v>6.8931068931068901E-2</v>
      </c>
      <c r="C4842" s="6">
        <v>0.23701170255377199</v>
      </c>
    </row>
    <row r="4843" spans="1:3" s="7" customFormat="1" x14ac:dyDescent="0.2">
      <c r="A4843" s="6" t="str">
        <f>"ANK3-DT"</f>
        <v>ANK3-DT</v>
      </c>
      <c r="B4843" s="6">
        <v>6.8931068931068901E-2</v>
      </c>
      <c r="C4843" s="6">
        <v>0.23701170255377199</v>
      </c>
    </row>
    <row r="4844" spans="1:3" s="7" customFormat="1" x14ac:dyDescent="0.2">
      <c r="A4844" s="6" t="str">
        <f>"AKAP7"</f>
        <v>AKAP7</v>
      </c>
      <c r="B4844" s="6">
        <v>6.8931068931068901E-2</v>
      </c>
      <c r="C4844" s="6">
        <v>0.23701170255377199</v>
      </c>
    </row>
    <row r="4845" spans="1:3" s="7" customFormat="1" x14ac:dyDescent="0.2">
      <c r="A4845" s="6" t="str">
        <f>"NLRC5"</f>
        <v>NLRC5</v>
      </c>
      <c r="B4845" s="6">
        <v>6.8931068931068901E-2</v>
      </c>
      <c r="C4845" s="6">
        <v>0.23701170255377199</v>
      </c>
    </row>
    <row r="4846" spans="1:3" s="7" customFormat="1" x14ac:dyDescent="0.2">
      <c r="A4846" s="6" t="str">
        <f>"SYCE1L"</f>
        <v>SYCE1L</v>
      </c>
      <c r="B4846" s="6">
        <v>6.8931068931068901E-2</v>
      </c>
      <c r="C4846" s="6">
        <v>0.23701170255377199</v>
      </c>
    </row>
    <row r="4847" spans="1:3" s="7" customFormat="1" x14ac:dyDescent="0.2">
      <c r="A4847" s="6" t="str">
        <f>"SLC49A4"</f>
        <v>SLC49A4</v>
      </c>
      <c r="B4847" s="6">
        <v>6.8931068931068901E-2</v>
      </c>
      <c r="C4847" s="6">
        <v>0.23701170255377199</v>
      </c>
    </row>
    <row r="4848" spans="1:3" s="7" customFormat="1" x14ac:dyDescent="0.2">
      <c r="A4848" s="6" t="str">
        <f>"DDX18"</f>
        <v>DDX18</v>
      </c>
      <c r="B4848" s="6">
        <v>6.8931068931068901E-2</v>
      </c>
      <c r="C4848" s="6">
        <v>0.23701170255377199</v>
      </c>
    </row>
    <row r="4849" spans="1:3" s="7" customFormat="1" x14ac:dyDescent="0.2">
      <c r="A4849" s="6" t="str">
        <f>"AGRN"</f>
        <v>AGRN</v>
      </c>
      <c r="B4849" s="6">
        <v>6.8931068931068901E-2</v>
      </c>
      <c r="C4849" s="6">
        <v>0.23701170255377199</v>
      </c>
    </row>
    <row r="4850" spans="1:3" s="7" customFormat="1" x14ac:dyDescent="0.2">
      <c r="A4850" s="6" t="str">
        <f>"COQ5"</f>
        <v>COQ5</v>
      </c>
      <c r="B4850" s="6">
        <v>6.8931068931068901E-2</v>
      </c>
      <c r="C4850" s="6">
        <v>0.23701170255377199</v>
      </c>
    </row>
    <row r="4851" spans="1:3" s="7" customFormat="1" x14ac:dyDescent="0.2">
      <c r="A4851" s="6" t="str">
        <f>"KRT74"</f>
        <v>KRT74</v>
      </c>
      <c r="B4851" s="6">
        <v>6.8931068931068901E-2</v>
      </c>
      <c r="C4851" s="6">
        <v>0.23701170255377199</v>
      </c>
    </row>
    <row r="4852" spans="1:3" s="7" customFormat="1" x14ac:dyDescent="0.2">
      <c r="A4852" s="6" t="str">
        <f>"SSTR5-AS1"</f>
        <v>SSTR5-AS1</v>
      </c>
      <c r="B4852" s="6">
        <v>6.8931068931068901E-2</v>
      </c>
      <c r="C4852" s="6">
        <v>0.23701170255377199</v>
      </c>
    </row>
    <row r="4853" spans="1:3" s="7" customFormat="1" x14ac:dyDescent="0.2">
      <c r="A4853" s="6" t="str">
        <f>"AC069444.2"</f>
        <v>AC069444.2</v>
      </c>
      <c r="B4853" s="6">
        <v>6.8931068931068901E-2</v>
      </c>
      <c r="C4853" s="6">
        <v>0.23701170255377199</v>
      </c>
    </row>
    <row r="4854" spans="1:3" s="7" customFormat="1" x14ac:dyDescent="0.2">
      <c r="A4854" s="6" t="str">
        <f>"SLC22A17"</f>
        <v>SLC22A17</v>
      </c>
      <c r="B4854" s="6">
        <v>6.8931068931068901E-2</v>
      </c>
      <c r="C4854" s="6">
        <v>0.23701170255377199</v>
      </c>
    </row>
    <row r="4855" spans="1:3" s="7" customFormat="1" x14ac:dyDescent="0.2">
      <c r="A4855" s="6" t="str">
        <f>"SPATA20"</f>
        <v>SPATA20</v>
      </c>
      <c r="B4855" s="6">
        <v>6.8931068931068901E-2</v>
      </c>
      <c r="C4855" s="6">
        <v>0.23701170255377199</v>
      </c>
    </row>
    <row r="4856" spans="1:3" s="7" customFormat="1" x14ac:dyDescent="0.2">
      <c r="A4856" s="6" t="str">
        <f>"TRIM34"</f>
        <v>TRIM34</v>
      </c>
      <c r="B4856" s="6">
        <v>6.8931068931068901E-2</v>
      </c>
      <c r="C4856" s="6">
        <v>0.23701170255377199</v>
      </c>
    </row>
    <row r="4857" spans="1:3" s="7" customFormat="1" x14ac:dyDescent="0.2">
      <c r="A4857" s="6" t="str">
        <f>"AC005562.1"</f>
        <v>AC005562.1</v>
      </c>
      <c r="B4857" s="6">
        <v>6.8931068931068901E-2</v>
      </c>
      <c r="C4857" s="6">
        <v>0.23701170255377199</v>
      </c>
    </row>
    <row r="4858" spans="1:3" s="7" customFormat="1" x14ac:dyDescent="0.2">
      <c r="A4858" s="6" t="str">
        <f>"IHO1"</f>
        <v>IHO1</v>
      </c>
      <c r="B4858" s="6">
        <v>6.8627450980392093E-2</v>
      </c>
      <c r="C4858" s="6">
        <v>0.23701170255377199</v>
      </c>
    </row>
    <row r="4859" spans="1:3" s="7" customFormat="1" x14ac:dyDescent="0.2">
      <c r="A4859" s="6" t="str">
        <f>"RAB3D"</f>
        <v>RAB3D</v>
      </c>
      <c r="B4859" s="6">
        <v>6.8931068931068901E-2</v>
      </c>
      <c r="C4859" s="6">
        <v>0.23701170255377199</v>
      </c>
    </row>
    <row r="4860" spans="1:3" s="7" customFormat="1" x14ac:dyDescent="0.2">
      <c r="A4860" s="6" t="str">
        <f>"MPZL2"</f>
        <v>MPZL2</v>
      </c>
      <c r="B4860" s="6">
        <v>6.8931068931068901E-2</v>
      </c>
      <c r="C4860" s="6">
        <v>0.23701170255377199</v>
      </c>
    </row>
    <row r="4861" spans="1:3" s="7" customFormat="1" x14ac:dyDescent="0.2">
      <c r="A4861" s="6" t="str">
        <f>"RHOA"</f>
        <v>RHOA</v>
      </c>
      <c r="B4861" s="6">
        <v>6.8931068931068901E-2</v>
      </c>
      <c r="C4861" s="6">
        <v>0.23701170255377199</v>
      </c>
    </row>
    <row r="4862" spans="1:3" s="7" customFormat="1" x14ac:dyDescent="0.2">
      <c r="A4862" s="6" t="str">
        <f>"IRF2BPL"</f>
        <v>IRF2BPL</v>
      </c>
      <c r="B4862" s="6">
        <v>6.8931068931068901E-2</v>
      </c>
      <c r="C4862" s="6">
        <v>0.23701170255377199</v>
      </c>
    </row>
    <row r="4863" spans="1:3" s="7" customFormat="1" x14ac:dyDescent="0.2">
      <c r="A4863" s="6" t="str">
        <f>"AC092718.4"</f>
        <v>AC092718.4</v>
      </c>
      <c r="B4863" s="6">
        <v>6.9000000000000006E-2</v>
      </c>
      <c r="C4863" s="6">
        <v>0.237102384868421</v>
      </c>
    </row>
    <row r="4864" spans="1:3" s="7" customFormat="1" x14ac:dyDescent="0.2">
      <c r="A4864" s="6" t="str">
        <f>"YOD1"</f>
        <v>YOD1</v>
      </c>
      <c r="B4864" s="6">
        <v>6.9000000000000006E-2</v>
      </c>
      <c r="C4864" s="6">
        <v>0.237102384868421</v>
      </c>
    </row>
    <row r="4865" spans="1:3" s="7" customFormat="1" x14ac:dyDescent="0.2">
      <c r="A4865" s="6" t="str">
        <f>"FAM204A"</f>
        <v>FAM204A</v>
      </c>
      <c r="B4865" s="6">
        <v>6.9000000000000006E-2</v>
      </c>
      <c r="C4865" s="6">
        <v>0.237102384868421</v>
      </c>
    </row>
    <row r="4866" spans="1:3" s="7" customFormat="1" x14ac:dyDescent="0.2">
      <c r="A4866" s="6" t="str">
        <f>"FOXE1"</f>
        <v>FOXE1</v>
      </c>
      <c r="B4866" s="6">
        <v>6.9930069930069894E-2</v>
      </c>
      <c r="C4866" s="6">
        <v>0.23863029579648601</v>
      </c>
    </row>
    <row r="4867" spans="1:3" s="7" customFormat="1" x14ac:dyDescent="0.2">
      <c r="A4867" s="6" t="str">
        <f>"LRRC20"</f>
        <v>LRRC20</v>
      </c>
      <c r="B4867" s="6">
        <v>6.9930069930069894E-2</v>
      </c>
      <c r="C4867" s="6">
        <v>0.23863029579648601</v>
      </c>
    </row>
    <row r="4868" spans="1:3" s="7" customFormat="1" x14ac:dyDescent="0.2">
      <c r="A4868" s="6" t="str">
        <f>"C6orf47"</f>
        <v>C6orf47</v>
      </c>
      <c r="B4868" s="6">
        <v>6.9930069930069894E-2</v>
      </c>
      <c r="C4868" s="6">
        <v>0.23863029579648601</v>
      </c>
    </row>
    <row r="4869" spans="1:3" s="7" customFormat="1" x14ac:dyDescent="0.2">
      <c r="A4869" s="6" t="str">
        <f>"AL138701.2"</f>
        <v>AL138701.2</v>
      </c>
      <c r="B4869" s="6">
        <v>6.9930069930069894E-2</v>
      </c>
      <c r="C4869" s="6">
        <v>0.23863029579648601</v>
      </c>
    </row>
    <row r="4870" spans="1:3" s="7" customFormat="1" x14ac:dyDescent="0.2">
      <c r="A4870" s="6" t="str">
        <f>"CLIP4"</f>
        <v>CLIP4</v>
      </c>
      <c r="B4870" s="6">
        <v>6.9930069930069894E-2</v>
      </c>
      <c r="C4870" s="6">
        <v>0.23863029579648601</v>
      </c>
    </row>
    <row r="4871" spans="1:3" s="7" customFormat="1" x14ac:dyDescent="0.2">
      <c r="A4871" s="6" t="str">
        <f>"LY9"</f>
        <v>LY9</v>
      </c>
      <c r="B4871" s="6">
        <v>6.9930069930069894E-2</v>
      </c>
      <c r="C4871" s="6">
        <v>0.23863029579648601</v>
      </c>
    </row>
    <row r="4872" spans="1:3" s="7" customFormat="1" x14ac:dyDescent="0.2">
      <c r="A4872" s="6" t="str">
        <f>"RASL10A"</f>
        <v>RASL10A</v>
      </c>
      <c r="B4872" s="6">
        <v>6.9930069930069894E-2</v>
      </c>
      <c r="C4872" s="6">
        <v>0.23863029579648601</v>
      </c>
    </row>
    <row r="4873" spans="1:3" s="7" customFormat="1" x14ac:dyDescent="0.2">
      <c r="A4873" s="6" t="str">
        <f>"PTPRN2"</f>
        <v>PTPRN2</v>
      </c>
      <c r="B4873" s="6">
        <v>6.9930069930069894E-2</v>
      </c>
      <c r="C4873" s="6">
        <v>0.23863029579648601</v>
      </c>
    </row>
    <row r="4874" spans="1:3" s="7" customFormat="1" x14ac:dyDescent="0.2">
      <c r="A4874" s="6" t="str">
        <f>"C8orf33"</f>
        <v>C8orf33</v>
      </c>
      <c r="B4874" s="6">
        <v>6.9930069930069894E-2</v>
      </c>
      <c r="C4874" s="6">
        <v>0.23863029579648601</v>
      </c>
    </row>
    <row r="4875" spans="1:3" s="7" customFormat="1" x14ac:dyDescent="0.2">
      <c r="A4875" s="6" t="str">
        <f>"LINC02568"</f>
        <v>LINC02568</v>
      </c>
      <c r="B4875" s="6">
        <v>6.9930069930069894E-2</v>
      </c>
      <c r="C4875" s="6">
        <v>0.23863029579648601</v>
      </c>
    </row>
    <row r="4876" spans="1:3" s="7" customFormat="1" x14ac:dyDescent="0.2">
      <c r="A4876" s="6" t="str">
        <f>"AL034417.4"</f>
        <v>AL034417.4</v>
      </c>
      <c r="B4876" s="6">
        <v>6.9930069930069894E-2</v>
      </c>
      <c r="C4876" s="6">
        <v>0.23863029579648601</v>
      </c>
    </row>
    <row r="4877" spans="1:3" s="7" customFormat="1" x14ac:dyDescent="0.2">
      <c r="A4877" s="6" t="str">
        <f>"MFSD8"</f>
        <v>MFSD8</v>
      </c>
      <c r="B4877" s="6">
        <v>6.9930069930069894E-2</v>
      </c>
      <c r="C4877" s="6">
        <v>0.23863029579648601</v>
      </c>
    </row>
    <row r="4878" spans="1:3" s="7" customFormat="1" x14ac:dyDescent="0.2">
      <c r="A4878" s="6" t="str">
        <f>"AL035425.3"</f>
        <v>AL035425.3</v>
      </c>
      <c r="B4878" s="6">
        <v>6.9930069930069894E-2</v>
      </c>
      <c r="C4878" s="6">
        <v>0.23863029579648601</v>
      </c>
    </row>
    <row r="4879" spans="1:3" s="7" customFormat="1" x14ac:dyDescent="0.2">
      <c r="A4879" s="6" t="str">
        <f>"SFMBT1"</f>
        <v>SFMBT1</v>
      </c>
      <c r="B4879" s="6">
        <v>6.9930069930069894E-2</v>
      </c>
      <c r="C4879" s="6">
        <v>0.23863029579648601</v>
      </c>
    </row>
    <row r="4880" spans="1:3" s="7" customFormat="1" x14ac:dyDescent="0.2">
      <c r="A4880" s="6" t="str">
        <f>"PEX7"</f>
        <v>PEX7</v>
      </c>
      <c r="B4880" s="6">
        <v>6.9930069930069894E-2</v>
      </c>
      <c r="C4880" s="6">
        <v>0.23863029579648601</v>
      </c>
    </row>
    <row r="4881" spans="1:3" s="7" customFormat="1" x14ac:dyDescent="0.2">
      <c r="A4881" s="6" t="str">
        <f>"PPP1R8"</f>
        <v>PPP1R8</v>
      </c>
      <c r="B4881" s="6">
        <v>6.9930069930069894E-2</v>
      </c>
      <c r="C4881" s="6">
        <v>0.23863029579648601</v>
      </c>
    </row>
    <row r="4882" spans="1:3" s="7" customFormat="1" x14ac:dyDescent="0.2">
      <c r="A4882" s="6" t="str">
        <f>"TUT1"</f>
        <v>TUT1</v>
      </c>
      <c r="B4882" s="6">
        <v>6.9930069930069894E-2</v>
      </c>
      <c r="C4882" s="6">
        <v>0.23863029579648601</v>
      </c>
    </row>
    <row r="4883" spans="1:3" s="7" customFormat="1" x14ac:dyDescent="0.2">
      <c r="A4883" s="6" t="str">
        <f>"MEIS3"</f>
        <v>MEIS3</v>
      </c>
      <c r="B4883" s="6">
        <v>6.9930069930069894E-2</v>
      </c>
      <c r="C4883" s="6">
        <v>0.23863029579648601</v>
      </c>
    </row>
    <row r="4884" spans="1:3" s="7" customFormat="1" x14ac:dyDescent="0.2">
      <c r="A4884" s="6" t="str">
        <f>"NDST2"</f>
        <v>NDST2</v>
      </c>
      <c r="B4884" s="6">
        <v>6.9930069930069894E-2</v>
      </c>
      <c r="C4884" s="6">
        <v>0.23863029579648601</v>
      </c>
    </row>
    <row r="4885" spans="1:3" s="7" customFormat="1" x14ac:dyDescent="0.2">
      <c r="A4885" s="6" t="str">
        <f>"RCAN2"</f>
        <v>RCAN2</v>
      </c>
      <c r="B4885" s="6">
        <v>6.9930069930069894E-2</v>
      </c>
      <c r="C4885" s="6">
        <v>0.23863029579648601</v>
      </c>
    </row>
    <row r="4886" spans="1:3" s="7" customFormat="1" x14ac:dyDescent="0.2">
      <c r="A4886" s="6" t="str">
        <f>"RPS2P46"</f>
        <v>RPS2P46</v>
      </c>
      <c r="B4886" s="6">
        <v>6.9930069930069894E-2</v>
      </c>
      <c r="C4886" s="6">
        <v>0.23863029579648601</v>
      </c>
    </row>
    <row r="4887" spans="1:3" s="7" customFormat="1" x14ac:dyDescent="0.2">
      <c r="A4887" s="6" t="str">
        <f>"ZNRF2"</f>
        <v>ZNRF2</v>
      </c>
      <c r="B4887" s="6">
        <v>6.9930069930069894E-2</v>
      </c>
      <c r="C4887" s="6">
        <v>0.23863029579648601</v>
      </c>
    </row>
    <row r="4888" spans="1:3" s="7" customFormat="1" x14ac:dyDescent="0.2">
      <c r="A4888" s="6" t="str">
        <f>"CIB1"</f>
        <v>CIB1</v>
      </c>
      <c r="B4888" s="6">
        <v>6.9930069930069894E-2</v>
      </c>
      <c r="C4888" s="6">
        <v>0.23863029579648601</v>
      </c>
    </row>
    <row r="4889" spans="1:3" s="7" customFormat="1" x14ac:dyDescent="0.2">
      <c r="A4889" s="6" t="str">
        <f>"DHX16"</f>
        <v>DHX16</v>
      </c>
      <c r="B4889" s="6">
        <v>6.9930069930069894E-2</v>
      </c>
      <c r="C4889" s="6">
        <v>0.23863029579648601</v>
      </c>
    </row>
    <row r="4890" spans="1:3" s="7" customFormat="1" x14ac:dyDescent="0.2">
      <c r="A4890" s="6" t="str">
        <f>"UBAP1L"</f>
        <v>UBAP1L</v>
      </c>
      <c r="B4890" s="6">
        <v>6.9930069930069894E-2</v>
      </c>
      <c r="C4890" s="6">
        <v>0.23863029579648601</v>
      </c>
    </row>
    <row r="4891" spans="1:3" s="7" customFormat="1" x14ac:dyDescent="0.2">
      <c r="A4891" s="6" t="str">
        <f>"SART3"</f>
        <v>SART3</v>
      </c>
      <c r="B4891" s="6">
        <v>6.9930069930069894E-2</v>
      </c>
      <c r="C4891" s="6">
        <v>0.23863029579648601</v>
      </c>
    </row>
    <row r="4892" spans="1:3" s="7" customFormat="1" x14ac:dyDescent="0.2">
      <c r="A4892" s="6" t="str">
        <f>"POLR1G"</f>
        <v>POLR1G</v>
      </c>
      <c r="B4892" s="6">
        <v>6.9930069930069894E-2</v>
      </c>
      <c r="C4892" s="6">
        <v>0.23863029579648601</v>
      </c>
    </row>
    <row r="4893" spans="1:3" s="7" customFormat="1" x14ac:dyDescent="0.2">
      <c r="A4893" s="6" t="str">
        <f>"TCTN1"</f>
        <v>TCTN1</v>
      </c>
      <c r="B4893" s="6">
        <v>6.9930069930069894E-2</v>
      </c>
      <c r="C4893" s="6">
        <v>0.23863029579648601</v>
      </c>
    </row>
    <row r="4894" spans="1:3" s="7" customFormat="1" x14ac:dyDescent="0.2">
      <c r="A4894" s="6" t="str">
        <f>"RBM34"</f>
        <v>RBM34</v>
      </c>
      <c r="B4894" s="6">
        <v>6.9930069930069894E-2</v>
      </c>
      <c r="C4894" s="6">
        <v>0.23863029579648601</v>
      </c>
    </row>
    <row r="4895" spans="1:3" s="7" customFormat="1" x14ac:dyDescent="0.2">
      <c r="A4895" s="6" t="str">
        <f>"FAM184A"</f>
        <v>FAM184A</v>
      </c>
      <c r="B4895" s="6">
        <v>6.9930069930069894E-2</v>
      </c>
      <c r="C4895" s="6">
        <v>0.23863029579648601</v>
      </c>
    </row>
    <row r="4896" spans="1:3" s="7" customFormat="1" x14ac:dyDescent="0.2">
      <c r="A4896" s="6" t="str">
        <f>"RPL24"</f>
        <v>RPL24</v>
      </c>
      <c r="B4896" s="6">
        <v>6.9930069930069894E-2</v>
      </c>
      <c r="C4896" s="6">
        <v>0.23863029579648601</v>
      </c>
    </row>
    <row r="4897" spans="1:3" s="7" customFormat="1" x14ac:dyDescent="0.2">
      <c r="A4897" s="6" t="str">
        <f>"ING2"</f>
        <v>ING2</v>
      </c>
      <c r="B4897" s="6">
        <v>6.9930069930069894E-2</v>
      </c>
      <c r="C4897" s="6">
        <v>0.23863029579648601</v>
      </c>
    </row>
    <row r="4898" spans="1:3" s="7" customFormat="1" x14ac:dyDescent="0.2">
      <c r="A4898" s="6" t="str">
        <f>"PSMB7"</f>
        <v>PSMB7</v>
      </c>
      <c r="B4898" s="6">
        <v>6.9930069930069894E-2</v>
      </c>
      <c r="C4898" s="6">
        <v>0.23863029579648601</v>
      </c>
    </row>
    <row r="4899" spans="1:3" s="7" customFormat="1" x14ac:dyDescent="0.2">
      <c r="A4899" s="6" t="str">
        <f>"LZTFL1"</f>
        <v>LZTFL1</v>
      </c>
      <c r="B4899" s="6">
        <v>6.9930069930069894E-2</v>
      </c>
      <c r="C4899" s="6">
        <v>0.23863029579648601</v>
      </c>
    </row>
    <row r="4900" spans="1:3" s="7" customFormat="1" x14ac:dyDescent="0.2">
      <c r="A4900" s="6" t="str">
        <f>"CCT8P1"</f>
        <v>CCT8P1</v>
      </c>
      <c r="B4900" s="6">
        <v>7.0000000000000007E-2</v>
      </c>
      <c r="C4900" s="6">
        <v>0.238771428571428</v>
      </c>
    </row>
    <row r="4901" spans="1:3" s="7" customFormat="1" x14ac:dyDescent="0.2">
      <c r="A4901" s="6" t="str">
        <f>"ZMYND12"</f>
        <v>ZMYND12</v>
      </c>
      <c r="B4901" s="6">
        <v>7.0000000000000007E-2</v>
      </c>
      <c r="C4901" s="6">
        <v>0.238771428571428</v>
      </c>
    </row>
    <row r="4902" spans="1:3" s="7" customFormat="1" x14ac:dyDescent="0.2">
      <c r="A4902" s="6" t="str">
        <f>"ANKRD20A8P"</f>
        <v>ANKRD20A8P</v>
      </c>
      <c r="B4902" s="6">
        <v>7.0070070070070004E-2</v>
      </c>
      <c r="C4902" s="6">
        <v>0.238912923531446</v>
      </c>
    </row>
    <row r="4903" spans="1:3" s="7" customFormat="1" x14ac:dyDescent="0.2">
      <c r="A4903" s="6" t="str">
        <f>"AC137630.3"</f>
        <v>AC137630.3</v>
      </c>
      <c r="B4903" s="6">
        <v>7.0070070070070004E-2</v>
      </c>
      <c r="C4903" s="6">
        <v>0.238912923531446</v>
      </c>
    </row>
    <row r="4904" spans="1:3" s="7" customFormat="1" x14ac:dyDescent="0.2">
      <c r="A4904" s="6" t="str">
        <f>"TRIM61"</f>
        <v>TRIM61</v>
      </c>
      <c r="B4904" s="6">
        <v>7.0264765784114003E-2</v>
      </c>
      <c r="C4904" s="6">
        <v>0.239527900329529</v>
      </c>
    </row>
    <row r="4905" spans="1:3" s="7" customFormat="1" x14ac:dyDescent="0.2">
      <c r="A4905" s="6" t="str">
        <f>"AL359532.1"</f>
        <v>AL359532.1</v>
      </c>
      <c r="B4905" s="6">
        <v>7.09290709290709E-2</v>
      </c>
      <c r="C4905" s="6">
        <v>0.24041612641815199</v>
      </c>
    </row>
    <row r="4906" spans="1:3" s="7" customFormat="1" x14ac:dyDescent="0.2">
      <c r="A4906" s="6" t="str">
        <f>"AC020917.4"</f>
        <v>AC020917.4</v>
      </c>
      <c r="B4906" s="6">
        <v>7.09290709290709E-2</v>
      </c>
      <c r="C4906" s="6">
        <v>0.24041612641815199</v>
      </c>
    </row>
    <row r="4907" spans="1:3" s="7" customFormat="1" x14ac:dyDescent="0.2">
      <c r="A4907" s="6" t="str">
        <f>"ZNF774"</f>
        <v>ZNF774</v>
      </c>
      <c r="B4907" s="6">
        <v>7.09290709290709E-2</v>
      </c>
      <c r="C4907" s="6">
        <v>0.24041612641815199</v>
      </c>
    </row>
    <row r="4908" spans="1:3" s="7" customFormat="1" x14ac:dyDescent="0.2">
      <c r="A4908" s="6" t="str">
        <f>"PIGS"</f>
        <v>PIGS</v>
      </c>
      <c r="B4908" s="6">
        <v>7.09290709290709E-2</v>
      </c>
      <c r="C4908" s="6">
        <v>0.24041612641815199</v>
      </c>
    </row>
    <row r="4909" spans="1:3" s="7" customFormat="1" x14ac:dyDescent="0.2">
      <c r="A4909" s="6" t="str">
        <f>"NPY1R"</f>
        <v>NPY1R</v>
      </c>
      <c r="B4909" s="6">
        <v>7.09290709290709E-2</v>
      </c>
      <c r="C4909" s="6">
        <v>0.24041612641815199</v>
      </c>
    </row>
    <row r="4910" spans="1:3" s="7" customFormat="1" x14ac:dyDescent="0.2">
      <c r="A4910" s="6" t="str">
        <f>"AC092155.1"</f>
        <v>AC092155.1</v>
      </c>
      <c r="B4910" s="6">
        <v>7.09290709290709E-2</v>
      </c>
      <c r="C4910" s="6">
        <v>0.24041612641815199</v>
      </c>
    </row>
    <row r="4911" spans="1:3" s="7" customFormat="1" x14ac:dyDescent="0.2">
      <c r="A4911" s="6" t="str">
        <f>"ZNF662"</f>
        <v>ZNF662</v>
      </c>
      <c r="B4911" s="6">
        <v>7.09290709290709E-2</v>
      </c>
      <c r="C4911" s="6">
        <v>0.24041612641815199</v>
      </c>
    </row>
    <row r="4912" spans="1:3" s="7" customFormat="1" x14ac:dyDescent="0.2">
      <c r="A4912" s="6" t="str">
        <f>"TDRKH-AS1"</f>
        <v>TDRKH-AS1</v>
      </c>
      <c r="B4912" s="6">
        <v>7.0999999999999994E-2</v>
      </c>
      <c r="C4912" s="6">
        <v>0.24041612641815199</v>
      </c>
    </row>
    <row r="4913" spans="1:3" s="7" customFormat="1" x14ac:dyDescent="0.2">
      <c r="A4913" s="6" t="str">
        <f>"VPS36"</f>
        <v>VPS36</v>
      </c>
      <c r="B4913" s="6">
        <v>7.09290709290709E-2</v>
      </c>
      <c r="C4913" s="6">
        <v>0.24041612641815199</v>
      </c>
    </row>
    <row r="4914" spans="1:3" s="7" customFormat="1" x14ac:dyDescent="0.2">
      <c r="A4914" s="6" t="str">
        <f>"ARHGAP18"</f>
        <v>ARHGAP18</v>
      </c>
      <c r="B4914" s="6">
        <v>7.09290709290709E-2</v>
      </c>
      <c r="C4914" s="6">
        <v>0.24041612641815199</v>
      </c>
    </row>
    <row r="4915" spans="1:3" s="7" customFormat="1" x14ac:dyDescent="0.2">
      <c r="A4915" s="6" t="str">
        <f>"WAC-AS1"</f>
        <v>WAC-AS1</v>
      </c>
      <c r="B4915" s="6">
        <v>7.09290709290709E-2</v>
      </c>
      <c r="C4915" s="6">
        <v>0.24041612641815199</v>
      </c>
    </row>
    <row r="4916" spans="1:3" s="7" customFormat="1" x14ac:dyDescent="0.2">
      <c r="A4916" s="6" t="str">
        <f>"AL355377.2"</f>
        <v>AL355377.2</v>
      </c>
      <c r="B4916" s="6">
        <v>7.0999999999999994E-2</v>
      </c>
      <c r="C4916" s="6">
        <v>0.24041612641815199</v>
      </c>
    </row>
    <row r="4917" spans="1:3" s="7" customFormat="1" x14ac:dyDescent="0.2">
      <c r="A4917" s="6" t="str">
        <f>"AC159540.2"</f>
        <v>AC159540.2</v>
      </c>
      <c r="B4917" s="6">
        <v>7.09290709290709E-2</v>
      </c>
      <c r="C4917" s="6">
        <v>0.24041612641815199</v>
      </c>
    </row>
    <row r="4918" spans="1:3" s="7" customFormat="1" x14ac:dyDescent="0.2">
      <c r="A4918" s="6" t="str">
        <f>"AC090409.1"</f>
        <v>AC090409.1</v>
      </c>
      <c r="B4918" s="6">
        <v>7.09290709290709E-2</v>
      </c>
      <c r="C4918" s="6">
        <v>0.24041612641815199</v>
      </c>
    </row>
    <row r="4919" spans="1:3" s="7" customFormat="1" x14ac:dyDescent="0.2">
      <c r="A4919" s="6" t="str">
        <f>"CIT"</f>
        <v>CIT</v>
      </c>
      <c r="B4919" s="6">
        <v>7.0999999999999994E-2</v>
      </c>
      <c r="C4919" s="6">
        <v>0.24041612641815199</v>
      </c>
    </row>
    <row r="4920" spans="1:3" s="7" customFormat="1" x14ac:dyDescent="0.2">
      <c r="A4920" s="6" t="str">
        <f>"UHRF1"</f>
        <v>UHRF1</v>
      </c>
      <c r="B4920" s="6">
        <v>7.09290709290709E-2</v>
      </c>
      <c r="C4920" s="6">
        <v>0.24041612641815199</v>
      </c>
    </row>
    <row r="4921" spans="1:3" s="7" customFormat="1" x14ac:dyDescent="0.2">
      <c r="A4921" s="6" t="str">
        <f>"PJVK"</f>
        <v>PJVK</v>
      </c>
      <c r="B4921" s="6">
        <v>7.09290709290709E-2</v>
      </c>
      <c r="C4921" s="6">
        <v>0.24041612641815199</v>
      </c>
    </row>
    <row r="4922" spans="1:3" s="7" customFormat="1" x14ac:dyDescent="0.2">
      <c r="A4922" s="6" t="str">
        <f>"GUCY1A1"</f>
        <v>GUCY1A1</v>
      </c>
      <c r="B4922" s="6">
        <v>7.09290709290709E-2</v>
      </c>
      <c r="C4922" s="6">
        <v>0.24041612641815199</v>
      </c>
    </row>
    <row r="4923" spans="1:3" s="7" customFormat="1" x14ac:dyDescent="0.2">
      <c r="A4923" s="6" t="str">
        <f>"MXD4"</f>
        <v>MXD4</v>
      </c>
      <c r="B4923" s="6">
        <v>7.09290709290709E-2</v>
      </c>
      <c r="C4923" s="6">
        <v>0.24041612641815199</v>
      </c>
    </row>
    <row r="4924" spans="1:3" s="7" customFormat="1" x14ac:dyDescent="0.2">
      <c r="A4924" s="6" t="str">
        <f>"TDRP"</f>
        <v>TDRP</v>
      </c>
      <c r="B4924" s="6">
        <v>7.09290709290709E-2</v>
      </c>
      <c r="C4924" s="6">
        <v>0.24041612641815199</v>
      </c>
    </row>
    <row r="4925" spans="1:3" s="7" customFormat="1" x14ac:dyDescent="0.2">
      <c r="A4925" s="6" t="str">
        <f>"MICAL2"</f>
        <v>MICAL2</v>
      </c>
      <c r="B4925" s="6">
        <v>7.09290709290709E-2</v>
      </c>
      <c r="C4925" s="6">
        <v>0.24041612641815199</v>
      </c>
    </row>
    <row r="4926" spans="1:3" s="7" customFormat="1" x14ac:dyDescent="0.2">
      <c r="A4926" s="6" t="str">
        <f>"CERS5"</f>
        <v>CERS5</v>
      </c>
      <c r="B4926" s="6">
        <v>7.09290709290709E-2</v>
      </c>
      <c r="C4926" s="6">
        <v>0.24041612641815199</v>
      </c>
    </row>
    <row r="4927" spans="1:3" s="7" customFormat="1" x14ac:dyDescent="0.2">
      <c r="A4927" s="6" t="str">
        <f>"METTL16"</f>
        <v>METTL16</v>
      </c>
      <c r="B4927" s="6">
        <v>7.0999999999999994E-2</v>
      </c>
      <c r="C4927" s="6">
        <v>0.24041612641815199</v>
      </c>
    </row>
    <row r="4928" spans="1:3" s="7" customFormat="1" x14ac:dyDescent="0.2">
      <c r="A4928" s="6" t="str">
        <f>"TRAP1"</f>
        <v>TRAP1</v>
      </c>
      <c r="B4928" s="6">
        <v>7.09290709290709E-2</v>
      </c>
      <c r="C4928" s="6">
        <v>0.24041612641815199</v>
      </c>
    </row>
    <row r="4929" spans="1:3" s="7" customFormat="1" x14ac:dyDescent="0.2">
      <c r="A4929" s="6" t="str">
        <f>"ABCC5-AS1"</f>
        <v>ABCC5-AS1</v>
      </c>
      <c r="B4929" s="6">
        <v>7.09290709290709E-2</v>
      </c>
      <c r="C4929" s="6">
        <v>0.24041612641815199</v>
      </c>
    </row>
    <row r="4930" spans="1:3" s="7" customFormat="1" x14ac:dyDescent="0.2">
      <c r="A4930" s="6" t="str">
        <f>"WDR90"</f>
        <v>WDR90</v>
      </c>
      <c r="B4930" s="6">
        <v>7.09290709290709E-2</v>
      </c>
      <c r="C4930" s="6">
        <v>0.24041612641815199</v>
      </c>
    </row>
    <row r="4931" spans="1:3" s="7" customFormat="1" x14ac:dyDescent="0.2">
      <c r="A4931" s="6" t="str">
        <f>"GALNT6"</f>
        <v>GALNT6</v>
      </c>
      <c r="B4931" s="6">
        <v>7.09290709290709E-2</v>
      </c>
      <c r="C4931" s="6">
        <v>0.24041612641815199</v>
      </c>
    </row>
    <row r="4932" spans="1:3" s="7" customFormat="1" x14ac:dyDescent="0.2">
      <c r="A4932" s="6" t="str">
        <f>"PITPNM1"</f>
        <v>PITPNM1</v>
      </c>
      <c r="B4932" s="6">
        <v>7.09290709290709E-2</v>
      </c>
      <c r="C4932" s="6">
        <v>0.24041612641815199</v>
      </c>
    </row>
    <row r="4933" spans="1:3" s="7" customFormat="1" x14ac:dyDescent="0.2">
      <c r="A4933" s="6" t="str">
        <f>"KIAA2012"</f>
        <v>KIAA2012</v>
      </c>
      <c r="B4933" s="6">
        <v>7.0999999999999994E-2</v>
      </c>
      <c r="C4933" s="6">
        <v>0.24041612641815199</v>
      </c>
    </row>
    <row r="4934" spans="1:3" s="7" customFormat="1" x14ac:dyDescent="0.2">
      <c r="A4934" s="6" t="str">
        <f>"ACP3"</f>
        <v>ACP3</v>
      </c>
      <c r="B4934" s="6">
        <v>7.09290709290709E-2</v>
      </c>
      <c r="C4934" s="6">
        <v>0.24041612641815199</v>
      </c>
    </row>
    <row r="4935" spans="1:3" s="7" customFormat="1" x14ac:dyDescent="0.2">
      <c r="A4935" s="6" t="str">
        <f>"LINC02593"</f>
        <v>LINC02593</v>
      </c>
      <c r="B4935" s="6">
        <v>7.09290709290709E-2</v>
      </c>
      <c r="C4935" s="6">
        <v>0.24041612641815199</v>
      </c>
    </row>
    <row r="4936" spans="1:3" s="7" customFormat="1" x14ac:dyDescent="0.2">
      <c r="A4936" s="6" t="str">
        <f>"POLD3"</f>
        <v>POLD3</v>
      </c>
      <c r="B4936" s="6">
        <v>7.09290709290709E-2</v>
      </c>
      <c r="C4936" s="6">
        <v>0.24041612641815199</v>
      </c>
    </row>
    <row r="4937" spans="1:3" s="7" customFormat="1" x14ac:dyDescent="0.2">
      <c r="A4937" s="6" t="str">
        <f>"LDHA"</f>
        <v>LDHA</v>
      </c>
      <c r="B4937" s="6">
        <v>7.09290709290709E-2</v>
      </c>
      <c r="C4937" s="6">
        <v>0.24041612641815199</v>
      </c>
    </row>
    <row r="4938" spans="1:3" s="7" customFormat="1" x14ac:dyDescent="0.2">
      <c r="A4938" s="6" t="str">
        <f>"AC103810.2"</f>
        <v>AC103810.2</v>
      </c>
      <c r="B4938" s="6">
        <v>7.1204188481675396E-2</v>
      </c>
      <c r="C4938" s="6">
        <v>0.24105870088772899</v>
      </c>
    </row>
    <row r="4939" spans="1:3" s="7" customFormat="1" x14ac:dyDescent="0.2">
      <c r="A4939" s="6" t="str">
        <f>"AFAP1-AS1"</f>
        <v>AFAP1-AS1</v>
      </c>
      <c r="B4939" s="6">
        <v>7.1428571428571397E-2</v>
      </c>
      <c r="C4939" s="6">
        <v>0.241720417666965</v>
      </c>
    </row>
    <row r="4940" spans="1:3" s="7" customFormat="1" x14ac:dyDescent="0.2">
      <c r="A4940" s="6" t="str">
        <f>"AC139887.4"</f>
        <v>AC139887.4</v>
      </c>
      <c r="B4940" s="6">
        <v>7.1428571428571397E-2</v>
      </c>
      <c r="C4940" s="6">
        <v>0.241720417666965</v>
      </c>
    </row>
    <row r="4941" spans="1:3" s="7" customFormat="1" x14ac:dyDescent="0.2">
      <c r="A4941" s="6" t="str">
        <f>"H2AC20"</f>
        <v>H2AC20</v>
      </c>
      <c r="B4941" s="6">
        <v>7.1644803229061499E-2</v>
      </c>
      <c r="C4941" s="6">
        <v>0.24240308525719301</v>
      </c>
    </row>
    <row r="4942" spans="1:3" s="7" customFormat="1" x14ac:dyDescent="0.2">
      <c r="A4942" s="6" t="str">
        <f>"CLCA4-AS1"</f>
        <v>CLCA4-AS1</v>
      </c>
      <c r="B4942" s="6">
        <v>7.1928071928071893E-2</v>
      </c>
      <c r="C4942" s="6">
        <v>0.242429077274812</v>
      </c>
    </row>
    <row r="4943" spans="1:3" s="7" customFormat="1" x14ac:dyDescent="0.2">
      <c r="A4943" s="6" t="str">
        <f>"CFP"</f>
        <v>CFP</v>
      </c>
      <c r="B4943" s="6">
        <v>7.1928071928071893E-2</v>
      </c>
      <c r="C4943" s="6">
        <v>0.242429077274812</v>
      </c>
    </row>
    <row r="4944" spans="1:3" s="7" customFormat="1" x14ac:dyDescent="0.2">
      <c r="A4944" s="6" t="str">
        <f>"JOSD1"</f>
        <v>JOSD1</v>
      </c>
      <c r="B4944" s="6">
        <v>7.1928071928071893E-2</v>
      </c>
      <c r="C4944" s="6">
        <v>0.242429077274812</v>
      </c>
    </row>
    <row r="4945" spans="1:3" s="7" customFormat="1" x14ac:dyDescent="0.2">
      <c r="A4945" s="6" t="str">
        <f>"UBE3D"</f>
        <v>UBE3D</v>
      </c>
      <c r="B4945" s="6">
        <v>7.1928071928071893E-2</v>
      </c>
      <c r="C4945" s="6">
        <v>0.242429077274812</v>
      </c>
    </row>
    <row r="4946" spans="1:3" s="7" customFormat="1" x14ac:dyDescent="0.2">
      <c r="A4946" s="6" t="str">
        <f>"IGLV2-8"</f>
        <v>IGLV2-8</v>
      </c>
      <c r="B4946" s="6">
        <v>7.1928071928071893E-2</v>
      </c>
      <c r="C4946" s="6">
        <v>0.242429077274812</v>
      </c>
    </row>
    <row r="4947" spans="1:3" s="7" customFormat="1" x14ac:dyDescent="0.2">
      <c r="A4947" s="6" t="str">
        <f>"CLK4"</f>
        <v>CLK4</v>
      </c>
      <c r="B4947" s="6">
        <v>7.1928071928071893E-2</v>
      </c>
      <c r="C4947" s="6">
        <v>0.242429077274812</v>
      </c>
    </row>
    <row r="4948" spans="1:3" s="7" customFormat="1" x14ac:dyDescent="0.2">
      <c r="A4948" s="6" t="str">
        <f>"PKD2L1"</f>
        <v>PKD2L1</v>
      </c>
      <c r="B4948" s="6">
        <v>7.1928071928071893E-2</v>
      </c>
      <c r="C4948" s="6">
        <v>0.242429077274812</v>
      </c>
    </row>
    <row r="4949" spans="1:3" s="7" customFormat="1" x14ac:dyDescent="0.2">
      <c r="A4949" s="6" t="str">
        <f>"CPNE2"</f>
        <v>CPNE2</v>
      </c>
      <c r="B4949" s="6">
        <v>7.1928071928071893E-2</v>
      </c>
      <c r="C4949" s="6">
        <v>0.242429077274812</v>
      </c>
    </row>
    <row r="4950" spans="1:3" s="7" customFormat="1" x14ac:dyDescent="0.2">
      <c r="A4950" s="6" t="str">
        <f>"ZNF134"</f>
        <v>ZNF134</v>
      </c>
      <c r="B4950" s="6">
        <v>7.1928071928071893E-2</v>
      </c>
      <c r="C4950" s="6">
        <v>0.242429077274812</v>
      </c>
    </row>
    <row r="4951" spans="1:3" s="7" customFormat="1" x14ac:dyDescent="0.2">
      <c r="A4951" s="6" t="str">
        <f>"ACSS1"</f>
        <v>ACSS1</v>
      </c>
      <c r="B4951" s="6">
        <v>7.1928071928071893E-2</v>
      </c>
      <c r="C4951" s="6">
        <v>0.242429077274812</v>
      </c>
    </row>
    <row r="4952" spans="1:3" s="7" customFormat="1" x14ac:dyDescent="0.2">
      <c r="A4952" s="6" t="str">
        <f>"WARS2-AS1"</f>
        <v>WARS2-AS1</v>
      </c>
      <c r="B4952" s="6">
        <v>7.1928071928071893E-2</v>
      </c>
      <c r="C4952" s="6">
        <v>0.242429077274812</v>
      </c>
    </row>
    <row r="4953" spans="1:3" s="7" customFormat="1" x14ac:dyDescent="0.2">
      <c r="A4953" s="6" t="str">
        <f>"ELAC1"</f>
        <v>ELAC1</v>
      </c>
      <c r="B4953" s="6">
        <v>7.1928071928071893E-2</v>
      </c>
      <c r="C4953" s="6">
        <v>0.242429077274812</v>
      </c>
    </row>
    <row r="4954" spans="1:3" s="7" customFormat="1" x14ac:dyDescent="0.2">
      <c r="A4954" s="6" t="str">
        <f>"ACTR6"</f>
        <v>ACTR6</v>
      </c>
      <c r="B4954" s="6">
        <v>7.1928071928071893E-2</v>
      </c>
      <c r="C4954" s="6">
        <v>0.242429077274812</v>
      </c>
    </row>
    <row r="4955" spans="1:3" s="7" customFormat="1" x14ac:dyDescent="0.2">
      <c r="A4955" s="6" t="str">
        <f>"VASH1"</f>
        <v>VASH1</v>
      </c>
      <c r="B4955" s="6">
        <v>7.1928071928071893E-2</v>
      </c>
      <c r="C4955" s="6">
        <v>0.242429077274812</v>
      </c>
    </row>
    <row r="4956" spans="1:3" s="7" customFormat="1" x14ac:dyDescent="0.2">
      <c r="A4956" s="6" t="str">
        <f>"SRSF7"</f>
        <v>SRSF7</v>
      </c>
      <c r="B4956" s="6">
        <v>7.1928071928071893E-2</v>
      </c>
      <c r="C4956" s="6">
        <v>0.242429077274812</v>
      </c>
    </row>
    <row r="4957" spans="1:3" s="7" customFormat="1" x14ac:dyDescent="0.2">
      <c r="A4957" s="6" t="str">
        <f>"ABHD17B"</f>
        <v>ABHD17B</v>
      </c>
      <c r="B4957" s="6">
        <v>7.1928071928071893E-2</v>
      </c>
      <c r="C4957" s="6">
        <v>0.242429077274812</v>
      </c>
    </row>
    <row r="4958" spans="1:3" s="7" customFormat="1" x14ac:dyDescent="0.2">
      <c r="A4958" s="6" t="str">
        <f>"ZMYND8"</f>
        <v>ZMYND8</v>
      </c>
      <c r="B4958" s="6">
        <v>7.1928071928071893E-2</v>
      </c>
      <c r="C4958" s="6">
        <v>0.242429077274812</v>
      </c>
    </row>
    <row r="4959" spans="1:3" s="7" customFormat="1" x14ac:dyDescent="0.2">
      <c r="A4959" s="6" t="str">
        <f>"IMPDH1"</f>
        <v>IMPDH1</v>
      </c>
      <c r="B4959" s="6">
        <v>7.1928071928071893E-2</v>
      </c>
      <c r="C4959" s="6">
        <v>0.242429077274812</v>
      </c>
    </row>
    <row r="4960" spans="1:3" s="7" customFormat="1" x14ac:dyDescent="0.2">
      <c r="A4960" s="6" t="str">
        <f>"AL365361.1"</f>
        <v>AL365361.1</v>
      </c>
      <c r="B4960" s="6">
        <v>7.1928071928071893E-2</v>
      </c>
      <c r="C4960" s="6">
        <v>0.242429077274812</v>
      </c>
    </row>
    <row r="4961" spans="1:3" s="7" customFormat="1" x14ac:dyDescent="0.2">
      <c r="A4961" s="6" t="str">
        <f>"TBRG1"</f>
        <v>TBRG1</v>
      </c>
      <c r="B4961" s="6">
        <v>7.1999999999999995E-2</v>
      </c>
      <c r="C4961" s="6">
        <v>0.24262258064516101</v>
      </c>
    </row>
    <row r="4962" spans="1:3" s="7" customFormat="1" x14ac:dyDescent="0.2">
      <c r="A4962" s="6" t="str">
        <f>"RPL21P54"</f>
        <v>RPL21P54</v>
      </c>
      <c r="B4962" s="6">
        <v>7.2090628218331607E-2</v>
      </c>
      <c r="C4962" s="6">
        <v>0.24287900827276601</v>
      </c>
    </row>
    <row r="4963" spans="1:3" s="7" customFormat="1" x14ac:dyDescent="0.2">
      <c r="A4963" s="6" t="str">
        <f>"AL137127.1"</f>
        <v>AL137127.1</v>
      </c>
      <c r="B4963" s="6">
        <v>7.2144288577154297E-2</v>
      </c>
      <c r="C4963" s="6">
        <v>0.243010810011801</v>
      </c>
    </row>
    <row r="4964" spans="1:3" s="7" customFormat="1" x14ac:dyDescent="0.2">
      <c r="A4964" s="6" t="str">
        <f>"LINC01441"</f>
        <v>LINC01441</v>
      </c>
      <c r="B4964" s="6">
        <v>7.2198275862068895E-2</v>
      </c>
      <c r="C4964" s="6">
        <v>0.24314365963300799</v>
      </c>
    </row>
    <row r="4965" spans="1:3" s="7" customFormat="1" x14ac:dyDescent="0.2">
      <c r="A4965" s="6" t="str">
        <f>"IGLV8-61"</f>
        <v>IGLV8-61</v>
      </c>
      <c r="B4965" s="6">
        <v>7.23751274209989E-2</v>
      </c>
      <c r="C4965" s="6">
        <v>0.24369014498682001</v>
      </c>
    </row>
    <row r="4966" spans="1:3" s="7" customFormat="1" x14ac:dyDescent="0.2">
      <c r="A4966" s="6" t="str">
        <f>"TAFA2"</f>
        <v>TAFA2</v>
      </c>
      <c r="B4966" s="6">
        <v>7.29270729270729E-2</v>
      </c>
      <c r="C4966" s="6">
        <v>0.244122390727638</v>
      </c>
    </row>
    <row r="4967" spans="1:3" s="7" customFormat="1" x14ac:dyDescent="0.2">
      <c r="A4967" s="6" t="str">
        <f>"AC092306.1"</f>
        <v>AC092306.1</v>
      </c>
      <c r="B4967" s="6">
        <v>7.29270729270729E-2</v>
      </c>
      <c r="C4967" s="6">
        <v>0.244122390727638</v>
      </c>
    </row>
    <row r="4968" spans="1:3" s="7" customFormat="1" x14ac:dyDescent="0.2">
      <c r="A4968" s="6" t="str">
        <f>"NAA35"</f>
        <v>NAA35</v>
      </c>
      <c r="B4968" s="6">
        <v>7.29270729270729E-2</v>
      </c>
      <c r="C4968" s="6">
        <v>0.244122390727638</v>
      </c>
    </row>
    <row r="4969" spans="1:3" s="7" customFormat="1" x14ac:dyDescent="0.2">
      <c r="A4969" s="6" t="str">
        <f>"PTPRG-AS1"</f>
        <v>PTPRG-AS1</v>
      </c>
      <c r="B4969" s="6">
        <v>7.29270729270729E-2</v>
      </c>
      <c r="C4969" s="6">
        <v>0.244122390727638</v>
      </c>
    </row>
    <row r="4970" spans="1:3" s="7" customFormat="1" x14ac:dyDescent="0.2">
      <c r="A4970" s="6" t="str">
        <f>"MAP4K3"</f>
        <v>MAP4K3</v>
      </c>
      <c r="B4970" s="6">
        <v>7.29270729270729E-2</v>
      </c>
      <c r="C4970" s="6">
        <v>0.244122390727638</v>
      </c>
    </row>
    <row r="4971" spans="1:3" s="7" customFormat="1" x14ac:dyDescent="0.2">
      <c r="A4971" s="6" t="str">
        <f>"PSG4"</f>
        <v>PSG4</v>
      </c>
      <c r="B4971" s="6">
        <v>7.29270729270729E-2</v>
      </c>
      <c r="C4971" s="6">
        <v>0.244122390727638</v>
      </c>
    </row>
    <row r="4972" spans="1:3" s="7" customFormat="1" x14ac:dyDescent="0.2">
      <c r="A4972" s="6" t="str">
        <f>"GTF2IP20"</f>
        <v>GTF2IP20</v>
      </c>
      <c r="B4972" s="6">
        <v>7.29270729270729E-2</v>
      </c>
      <c r="C4972" s="6">
        <v>0.244122390727638</v>
      </c>
    </row>
    <row r="4973" spans="1:3" s="7" customFormat="1" x14ac:dyDescent="0.2">
      <c r="A4973" s="6" t="str">
        <f>"AL671762.1"</f>
        <v>AL671762.1</v>
      </c>
      <c r="B4973" s="6">
        <v>7.29270729270729E-2</v>
      </c>
      <c r="C4973" s="6">
        <v>0.244122390727638</v>
      </c>
    </row>
    <row r="4974" spans="1:3" s="7" customFormat="1" x14ac:dyDescent="0.2">
      <c r="A4974" s="6" t="str">
        <f>"TSSK6"</f>
        <v>TSSK6</v>
      </c>
      <c r="B4974" s="6">
        <v>7.29270729270729E-2</v>
      </c>
      <c r="C4974" s="6">
        <v>0.244122390727638</v>
      </c>
    </row>
    <row r="4975" spans="1:3" s="7" customFormat="1" x14ac:dyDescent="0.2">
      <c r="A4975" s="6" t="str">
        <f>"STAC3"</f>
        <v>STAC3</v>
      </c>
      <c r="B4975" s="6">
        <v>7.29270729270729E-2</v>
      </c>
      <c r="C4975" s="6">
        <v>0.244122390727638</v>
      </c>
    </row>
    <row r="4976" spans="1:3" s="7" customFormat="1" x14ac:dyDescent="0.2">
      <c r="A4976" s="6" t="str">
        <f>"AC008982.2"</f>
        <v>AC008982.2</v>
      </c>
      <c r="B4976" s="6">
        <v>7.29270729270729E-2</v>
      </c>
      <c r="C4976" s="6">
        <v>0.244122390727638</v>
      </c>
    </row>
    <row r="4977" spans="1:3" s="7" customFormat="1" x14ac:dyDescent="0.2">
      <c r="A4977" s="6" t="str">
        <f>"SPIN3"</f>
        <v>SPIN3</v>
      </c>
      <c r="B4977" s="6">
        <v>7.29270729270729E-2</v>
      </c>
      <c r="C4977" s="6">
        <v>0.244122390727638</v>
      </c>
    </row>
    <row r="4978" spans="1:3" s="7" customFormat="1" x14ac:dyDescent="0.2">
      <c r="A4978" s="6" t="str">
        <f>"AL138479.2"</f>
        <v>AL138479.2</v>
      </c>
      <c r="B4978" s="6">
        <v>7.29270729270729E-2</v>
      </c>
      <c r="C4978" s="6">
        <v>0.244122390727638</v>
      </c>
    </row>
    <row r="4979" spans="1:3" s="7" customFormat="1" x14ac:dyDescent="0.2">
      <c r="A4979" s="6" t="str">
        <f>"SLCO4A1"</f>
        <v>SLCO4A1</v>
      </c>
      <c r="B4979" s="6">
        <v>7.29270729270729E-2</v>
      </c>
      <c r="C4979" s="6">
        <v>0.244122390727638</v>
      </c>
    </row>
    <row r="4980" spans="1:3" s="7" customFormat="1" x14ac:dyDescent="0.2">
      <c r="A4980" s="6" t="str">
        <f>"MRNIP"</f>
        <v>MRNIP</v>
      </c>
      <c r="B4980" s="6">
        <v>7.29270729270729E-2</v>
      </c>
      <c r="C4980" s="6">
        <v>0.244122390727638</v>
      </c>
    </row>
    <row r="4981" spans="1:3" s="7" customFormat="1" x14ac:dyDescent="0.2">
      <c r="A4981" s="6" t="str">
        <f>"AGAP2-AS1"</f>
        <v>AGAP2-AS1</v>
      </c>
      <c r="B4981" s="6">
        <v>7.29270729270729E-2</v>
      </c>
      <c r="C4981" s="6">
        <v>0.244122390727638</v>
      </c>
    </row>
    <row r="4982" spans="1:3" s="7" customFormat="1" x14ac:dyDescent="0.2">
      <c r="A4982" s="6" t="str">
        <f>"CERS3-AS1"</f>
        <v>CERS3-AS1</v>
      </c>
      <c r="B4982" s="6">
        <v>7.29270729270729E-2</v>
      </c>
      <c r="C4982" s="6">
        <v>0.244122390727638</v>
      </c>
    </row>
    <row r="4983" spans="1:3" s="7" customFormat="1" x14ac:dyDescent="0.2">
      <c r="A4983" s="6" t="str">
        <f>"AL035420.1"</f>
        <v>AL035420.1</v>
      </c>
      <c r="B4983" s="6">
        <v>7.29270729270729E-2</v>
      </c>
      <c r="C4983" s="6">
        <v>0.244122390727638</v>
      </c>
    </row>
    <row r="4984" spans="1:3" s="7" customFormat="1" x14ac:dyDescent="0.2">
      <c r="A4984" s="6" t="str">
        <f>"ZNF436"</f>
        <v>ZNF436</v>
      </c>
      <c r="B4984" s="6">
        <v>7.29270729270729E-2</v>
      </c>
      <c r="C4984" s="6">
        <v>0.244122390727638</v>
      </c>
    </row>
    <row r="4985" spans="1:3" s="7" customFormat="1" x14ac:dyDescent="0.2">
      <c r="A4985" s="6" t="str">
        <f>"CDH5"</f>
        <v>CDH5</v>
      </c>
      <c r="B4985" s="6">
        <v>7.29270729270729E-2</v>
      </c>
      <c r="C4985" s="6">
        <v>0.244122390727638</v>
      </c>
    </row>
    <row r="4986" spans="1:3" s="7" customFormat="1" x14ac:dyDescent="0.2">
      <c r="A4986" s="6" t="str">
        <f>"PKM"</f>
        <v>PKM</v>
      </c>
      <c r="B4986" s="6">
        <v>7.29270729270729E-2</v>
      </c>
      <c r="C4986" s="6">
        <v>0.244122390727638</v>
      </c>
    </row>
    <row r="4987" spans="1:3" s="7" customFormat="1" x14ac:dyDescent="0.2">
      <c r="A4987" s="6" t="str">
        <f>"LRRC42"</f>
        <v>LRRC42</v>
      </c>
      <c r="B4987" s="6">
        <v>7.29270729270729E-2</v>
      </c>
      <c r="C4987" s="6">
        <v>0.244122390727638</v>
      </c>
    </row>
    <row r="4988" spans="1:3" s="7" customFormat="1" x14ac:dyDescent="0.2">
      <c r="A4988" s="6" t="str">
        <f>"SETD4"</f>
        <v>SETD4</v>
      </c>
      <c r="B4988" s="6">
        <v>7.29270729270729E-2</v>
      </c>
      <c r="C4988" s="6">
        <v>0.244122390727638</v>
      </c>
    </row>
    <row r="4989" spans="1:3" s="7" customFormat="1" x14ac:dyDescent="0.2">
      <c r="A4989" s="6" t="str">
        <f>"ERMP1"</f>
        <v>ERMP1</v>
      </c>
      <c r="B4989" s="6">
        <v>7.29270729270729E-2</v>
      </c>
      <c r="C4989" s="6">
        <v>0.244122390727638</v>
      </c>
    </row>
    <row r="4990" spans="1:3" s="7" customFormat="1" x14ac:dyDescent="0.2">
      <c r="A4990" s="6" t="str">
        <f>"CCDC3"</f>
        <v>CCDC3</v>
      </c>
      <c r="B4990" s="6">
        <v>7.29270729270729E-2</v>
      </c>
      <c r="C4990" s="6">
        <v>0.244122390727638</v>
      </c>
    </row>
    <row r="4991" spans="1:3" s="7" customFormat="1" x14ac:dyDescent="0.2">
      <c r="A4991" s="6" t="str">
        <f>"EIF3A"</f>
        <v>EIF3A</v>
      </c>
      <c r="B4991" s="6">
        <v>7.29270729270729E-2</v>
      </c>
      <c r="C4991" s="6">
        <v>0.244122390727638</v>
      </c>
    </row>
    <row r="4992" spans="1:3" s="7" customFormat="1" x14ac:dyDescent="0.2">
      <c r="A4992" s="6" t="str">
        <f>"DNAJA3"</f>
        <v>DNAJA3</v>
      </c>
      <c r="B4992" s="6">
        <v>7.29270729270729E-2</v>
      </c>
      <c r="C4992" s="6">
        <v>0.244122390727638</v>
      </c>
    </row>
    <row r="4993" spans="1:3" s="7" customFormat="1" x14ac:dyDescent="0.2">
      <c r="A4993" s="6" t="str">
        <f>"MRPL4"</f>
        <v>MRPL4</v>
      </c>
      <c r="B4993" s="6">
        <v>7.29270729270729E-2</v>
      </c>
      <c r="C4993" s="6">
        <v>0.244122390727638</v>
      </c>
    </row>
    <row r="4994" spans="1:3" s="7" customFormat="1" x14ac:dyDescent="0.2">
      <c r="A4994" s="6" t="str">
        <f>"DNAJA2"</f>
        <v>DNAJA2</v>
      </c>
      <c r="B4994" s="6">
        <v>7.29270729270729E-2</v>
      </c>
      <c r="C4994" s="6">
        <v>0.244122390727638</v>
      </c>
    </row>
    <row r="4995" spans="1:3" s="7" customFormat="1" x14ac:dyDescent="0.2">
      <c r="A4995" s="6" t="str">
        <f>"TMC6"</f>
        <v>TMC6</v>
      </c>
      <c r="B4995" s="6">
        <v>7.2999999999999995E-2</v>
      </c>
      <c r="C4995" s="6">
        <v>0.24431758109731599</v>
      </c>
    </row>
    <row r="4996" spans="1:3" s="7" customFormat="1" x14ac:dyDescent="0.2">
      <c r="A4996" s="6" t="str">
        <f>"AC092337.1"</f>
        <v>AC092337.1</v>
      </c>
      <c r="B4996" s="6">
        <v>7.3022312373225096E-2</v>
      </c>
      <c r="C4996" s="6">
        <v>0.24434332913034701</v>
      </c>
    </row>
    <row r="4997" spans="1:3" s="7" customFormat="1" x14ac:dyDescent="0.2">
      <c r="A4997" s="6" t="str">
        <f>"LSINCT5"</f>
        <v>LSINCT5</v>
      </c>
      <c r="B4997" s="6">
        <v>7.3073073073072994E-2</v>
      </c>
      <c r="C4997" s="6">
        <v>0.244415317859384</v>
      </c>
    </row>
    <row r="4998" spans="1:3" s="7" customFormat="1" x14ac:dyDescent="0.2">
      <c r="A4998" s="6" t="str">
        <f>"CLN5"</f>
        <v>CLN5</v>
      </c>
      <c r="B4998" s="6">
        <v>7.3073073073072994E-2</v>
      </c>
      <c r="C4998" s="6">
        <v>0.244415317859384</v>
      </c>
    </row>
    <row r="4999" spans="1:3" s="7" customFormat="1" x14ac:dyDescent="0.2">
      <c r="A4999" s="6" t="str">
        <f>"AL357079.3"</f>
        <v>AL357079.3</v>
      </c>
      <c r="B4999" s="6">
        <v>7.3115860517435294E-2</v>
      </c>
      <c r="C4999" s="6">
        <v>0.24450950233861801</v>
      </c>
    </row>
    <row r="5000" spans="1:3" s="7" customFormat="1" x14ac:dyDescent="0.2">
      <c r="A5000" s="6" t="str">
        <f>"MFSD12"</f>
        <v>MFSD12</v>
      </c>
      <c r="B5000" s="6">
        <v>7.3926073926073907E-2</v>
      </c>
      <c r="C5000" s="6">
        <v>0.24574391400167001</v>
      </c>
    </row>
    <row r="5001" spans="1:3" s="7" customFormat="1" x14ac:dyDescent="0.2">
      <c r="A5001" s="6" t="str">
        <f>"PNRC2"</f>
        <v>PNRC2</v>
      </c>
      <c r="B5001" s="6">
        <v>7.3926073926073907E-2</v>
      </c>
      <c r="C5001" s="6">
        <v>0.24574391400167001</v>
      </c>
    </row>
    <row r="5002" spans="1:3" s="7" customFormat="1" x14ac:dyDescent="0.2">
      <c r="A5002" s="6" t="str">
        <f>"PPP1R3C"</f>
        <v>PPP1R3C</v>
      </c>
      <c r="B5002" s="6">
        <v>7.3926073926073907E-2</v>
      </c>
      <c r="C5002" s="6">
        <v>0.24574391400167001</v>
      </c>
    </row>
    <row r="5003" spans="1:3" s="7" customFormat="1" x14ac:dyDescent="0.2">
      <c r="A5003" s="6" t="str">
        <f>"ZNF638"</f>
        <v>ZNF638</v>
      </c>
      <c r="B5003" s="6">
        <v>7.3926073926073907E-2</v>
      </c>
      <c r="C5003" s="6">
        <v>0.24574391400167001</v>
      </c>
    </row>
    <row r="5004" spans="1:3" s="7" customFormat="1" x14ac:dyDescent="0.2">
      <c r="A5004" s="6" t="str">
        <f>"EGR2"</f>
        <v>EGR2</v>
      </c>
      <c r="B5004" s="6">
        <v>7.3926073926073907E-2</v>
      </c>
      <c r="C5004" s="6">
        <v>0.24574391400167001</v>
      </c>
    </row>
    <row r="5005" spans="1:3" s="7" customFormat="1" x14ac:dyDescent="0.2">
      <c r="A5005" s="6" t="str">
        <f>"FAM135A"</f>
        <v>FAM135A</v>
      </c>
      <c r="B5005" s="6">
        <v>7.3926073926073907E-2</v>
      </c>
      <c r="C5005" s="6">
        <v>0.24574391400167001</v>
      </c>
    </row>
    <row r="5006" spans="1:3" s="7" customFormat="1" x14ac:dyDescent="0.2">
      <c r="A5006" s="6" t="str">
        <f>"ERI1"</f>
        <v>ERI1</v>
      </c>
      <c r="B5006" s="6">
        <v>7.3926073926073907E-2</v>
      </c>
      <c r="C5006" s="6">
        <v>0.24574391400167001</v>
      </c>
    </row>
    <row r="5007" spans="1:3" s="7" customFormat="1" x14ac:dyDescent="0.2">
      <c r="A5007" s="6" t="str">
        <f>"FRMD6"</f>
        <v>FRMD6</v>
      </c>
      <c r="B5007" s="6">
        <v>7.3926073926073907E-2</v>
      </c>
      <c r="C5007" s="6">
        <v>0.24574391400167001</v>
      </c>
    </row>
    <row r="5008" spans="1:3" s="7" customFormat="1" x14ac:dyDescent="0.2">
      <c r="A5008" s="6" t="str">
        <f>"ERRFI1"</f>
        <v>ERRFI1</v>
      </c>
      <c r="B5008" s="6">
        <v>7.3926073926073907E-2</v>
      </c>
      <c r="C5008" s="6">
        <v>0.24574391400167001</v>
      </c>
    </row>
    <row r="5009" spans="1:3" s="7" customFormat="1" x14ac:dyDescent="0.2">
      <c r="A5009" s="6" t="str">
        <f>"TPTEP2-CSNK1E"</f>
        <v>TPTEP2-CSNK1E</v>
      </c>
      <c r="B5009" s="6">
        <v>7.3926073926073907E-2</v>
      </c>
      <c r="C5009" s="6">
        <v>0.24574391400167001</v>
      </c>
    </row>
    <row r="5010" spans="1:3" s="7" customFormat="1" x14ac:dyDescent="0.2">
      <c r="A5010" s="6" t="str">
        <f>"RBMX2"</f>
        <v>RBMX2</v>
      </c>
      <c r="B5010" s="6">
        <v>7.3926073926073907E-2</v>
      </c>
      <c r="C5010" s="6">
        <v>0.24574391400167001</v>
      </c>
    </row>
    <row r="5011" spans="1:3" s="7" customFormat="1" x14ac:dyDescent="0.2">
      <c r="A5011" s="6" t="str">
        <f>"FNDC3A"</f>
        <v>FNDC3A</v>
      </c>
      <c r="B5011" s="6">
        <v>7.3926073926073907E-2</v>
      </c>
      <c r="C5011" s="6">
        <v>0.24574391400167001</v>
      </c>
    </row>
    <row r="5012" spans="1:3" s="7" customFormat="1" x14ac:dyDescent="0.2">
      <c r="A5012" s="6" t="str">
        <f>"UBE2H"</f>
        <v>UBE2H</v>
      </c>
      <c r="B5012" s="6">
        <v>7.3926073926073907E-2</v>
      </c>
      <c r="C5012" s="6">
        <v>0.24574391400167001</v>
      </c>
    </row>
    <row r="5013" spans="1:3" s="7" customFormat="1" x14ac:dyDescent="0.2">
      <c r="A5013" s="6" t="str">
        <f>"C4orf48"</f>
        <v>C4orf48</v>
      </c>
      <c r="B5013" s="6">
        <v>7.3926073926073907E-2</v>
      </c>
      <c r="C5013" s="6">
        <v>0.24574391400167001</v>
      </c>
    </row>
    <row r="5014" spans="1:3" s="7" customFormat="1" x14ac:dyDescent="0.2">
      <c r="A5014" s="6" t="str">
        <f>"AC019117.1"</f>
        <v>AC019117.1</v>
      </c>
      <c r="B5014" s="6">
        <v>7.3926073926073907E-2</v>
      </c>
      <c r="C5014" s="6">
        <v>0.24574391400167001</v>
      </c>
    </row>
    <row r="5015" spans="1:3" s="7" customFormat="1" x14ac:dyDescent="0.2">
      <c r="A5015" s="6" t="str">
        <f>"CD3G"</f>
        <v>CD3G</v>
      </c>
      <c r="B5015" s="6">
        <v>7.3926073926073907E-2</v>
      </c>
      <c r="C5015" s="6">
        <v>0.24574391400167001</v>
      </c>
    </row>
    <row r="5016" spans="1:3" s="7" customFormat="1" x14ac:dyDescent="0.2">
      <c r="A5016" s="6" t="str">
        <f>"TCAIM"</f>
        <v>TCAIM</v>
      </c>
      <c r="B5016" s="6">
        <v>7.3926073926073907E-2</v>
      </c>
      <c r="C5016" s="6">
        <v>0.24574391400167001</v>
      </c>
    </row>
    <row r="5017" spans="1:3" s="7" customFormat="1" x14ac:dyDescent="0.2">
      <c r="A5017" s="6" t="str">
        <f>"ZNF362"</f>
        <v>ZNF362</v>
      </c>
      <c r="B5017" s="6">
        <v>7.3926073926073907E-2</v>
      </c>
      <c r="C5017" s="6">
        <v>0.24574391400167001</v>
      </c>
    </row>
    <row r="5018" spans="1:3" s="7" customFormat="1" x14ac:dyDescent="0.2">
      <c r="A5018" s="6" t="str">
        <f>"STAG3L5P-PVRIG2P-PILRB"</f>
        <v>STAG3L5P-PVRIG2P-PILRB</v>
      </c>
      <c r="B5018" s="6">
        <v>7.3926073926073907E-2</v>
      </c>
      <c r="C5018" s="6">
        <v>0.24574391400167001</v>
      </c>
    </row>
    <row r="5019" spans="1:3" s="7" customFormat="1" x14ac:dyDescent="0.2">
      <c r="A5019" s="6" t="str">
        <f>"KMT2D"</f>
        <v>KMT2D</v>
      </c>
      <c r="B5019" s="6">
        <v>7.3926073926073907E-2</v>
      </c>
      <c r="C5019" s="6">
        <v>0.24574391400167001</v>
      </c>
    </row>
    <row r="5020" spans="1:3" s="7" customFormat="1" x14ac:dyDescent="0.2">
      <c r="A5020" s="6" t="str">
        <f>"TMPRSS11B"</f>
        <v>TMPRSS11B</v>
      </c>
      <c r="B5020" s="6">
        <v>7.3926073926073907E-2</v>
      </c>
      <c r="C5020" s="6">
        <v>0.24574391400167001</v>
      </c>
    </row>
    <row r="5021" spans="1:3" s="7" customFormat="1" x14ac:dyDescent="0.2">
      <c r="A5021" s="6" t="str">
        <f>"LRRC37A2"</f>
        <v>LRRC37A2</v>
      </c>
      <c r="B5021" s="6">
        <v>7.3926073926073907E-2</v>
      </c>
      <c r="C5021" s="6">
        <v>0.24574391400167001</v>
      </c>
    </row>
    <row r="5022" spans="1:3" s="7" customFormat="1" x14ac:dyDescent="0.2">
      <c r="A5022" s="6" t="str">
        <f>"DCK"</f>
        <v>DCK</v>
      </c>
      <c r="B5022" s="6">
        <v>7.3926073926073907E-2</v>
      </c>
      <c r="C5022" s="6">
        <v>0.24574391400167001</v>
      </c>
    </row>
    <row r="5023" spans="1:3" s="7" customFormat="1" x14ac:dyDescent="0.2">
      <c r="A5023" s="6" t="str">
        <f>"LRRC49"</f>
        <v>LRRC49</v>
      </c>
      <c r="B5023" s="6">
        <v>7.3926073926073907E-2</v>
      </c>
      <c r="C5023" s="6">
        <v>0.24574391400167001</v>
      </c>
    </row>
    <row r="5024" spans="1:3" s="7" customFormat="1" x14ac:dyDescent="0.2">
      <c r="A5024" s="6" t="str">
        <f>"AC007876.1"</f>
        <v>AC007876.1</v>
      </c>
      <c r="B5024" s="6">
        <v>7.3926073926073907E-2</v>
      </c>
      <c r="C5024" s="6">
        <v>0.24574391400167001</v>
      </c>
    </row>
    <row r="5025" spans="1:3" s="7" customFormat="1" x14ac:dyDescent="0.2">
      <c r="A5025" s="6" t="str">
        <f>"ST6GALNAC6"</f>
        <v>ST6GALNAC6</v>
      </c>
      <c r="B5025" s="6">
        <v>7.3926073926073907E-2</v>
      </c>
      <c r="C5025" s="6">
        <v>0.24574391400167001</v>
      </c>
    </row>
    <row r="5026" spans="1:3" s="7" customFormat="1" x14ac:dyDescent="0.2">
      <c r="A5026" s="6" t="str">
        <f>"CTSA"</f>
        <v>CTSA</v>
      </c>
      <c r="B5026" s="6">
        <v>7.3926073926073907E-2</v>
      </c>
      <c r="C5026" s="6">
        <v>0.24574391400167001</v>
      </c>
    </row>
    <row r="5027" spans="1:3" s="7" customFormat="1" x14ac:dyDescent="0.2">
      <c r="A5027" s="6" t="str">
        <f>"KPNA4"</f>
        <v>KPNA4</v>
      </c>
      <c r="B5027" s="6">
        <v>7.3926073926073907E-2</v>
      </c>
      <c r="C5027" s="6">
        <v>0.24574391400167001</v>
      </c>
    </row>
    <row r="5028" spans="1:3" s="7" customFormat="1" x14ac:dyDescent="0.2">
      <c r="A5028" s="6" t="str">
        <f>"BCAS3"</f>
        <v>BCAS3</v>
      </c>
      <c r="B5028" s="6">
        <v>7.3926073926073907E-2</v>
      </c>
      <c r="C5028" s="6">
        <v>0.24574391400167001</v>
      </c>
    </row>
    <row r="5029" spans="1:3" s="7" customFormat="1" x14ac:dyDescent="0.2">
      <c r="A5029" s="6" t="str">
        <f>"SPAG6"</f>
        <v>SPAG6</v>
      </c>
      <c r="B5029" s="6">
        <v>7.3926073926073907E-2</v>
      </c>
      <c r="C5029" s="6">
        <v>0.24574391400167001</v>
      </c>
    </row>
    <row r="5030" spans="1:3" s="7" customFormat="1" x14ac:dyDescent="0.2">
      <c r="A5030" s="6" t="str">
        <f>"TMEM266"</f>
        <v>TMEM266</v>
      </c>
      <c r="B5030" s="6">
        <v>7.3951434878587199E-2</v>
      </c>
      <c r="C5030" s="6">
        <v>0.24577933636124599</v>
      </c>
    </row>
    <row r="5031" spans="1:3" s="7" customFormat="1" x14ac:dyDescent="0.2">
      <c r="A5031" s="6" t="str">
        <f>"AL591895.1"</f>
        <v>AL591895.1</v>
      </c>
      <c r="B5031" s="6">
        <v>7.3999999999999996E-2</v>
      </c>
      <c r="C5031" s="6">
        <v>0.245842973563903</v>
      </c>
    </row>
    <row r="5032" spans="1:3" s="7" customFormat="1" x14ac:dyDescent="0.2">
      <c r="A5032" s="6" t="str">
        <f>"AC090001.1"</f>
        <v>AC090001.1</v>
      </c>
      <c r="B5032" s="6">
        <v>7.3999999999999996E-2</v>
      </c>
      <c r="C5032" s="6">
        <v>0.245842973563903</v>
      </c>
    </row>
    <row r="5033" spans="1:3" s="7" customFormat="1" x14ac:dyDescent="0.2">
      <c r="A5033" s="6" t="str">
        <f>"VPS13B-DT"</f>
        <v>VPS13B-DT</v>
      </c>
      <c r="B5033" s="6">
        <v>7.4074074074074001E-2</v>
      </c>
      <c r="C5033" s="6">
        <v>0.24604015780486299</v>
      </c>
    </row>
    <row r="5034" spans="1:3" s="7" customFormat="1" x14ac:dyDescent="0.2">
      <c r="A5034" s="6" t="str">
        <f>"AC092299.1"</f>
        <v>AC092299.1</v>
      </c>
      <c r="B5034" s="6">
        <v>7.49250749250749E-2</v>
      </c>
      <c r="C5034" s="6">
        <v>0.247245350897868</v>
      </c>
    </row>
    <row r="5035" spans="1:3" s="7" customFormat="1" x14ac:dyDescent="0.2">
      <c r="A5035" s="6" t="str">
        <f>"PGF"</f>
        <v>PGF</v>
      </c>
      <c r="B5035" s="6">
        <v>7.49250749250749E-2</v>
      </c>
      <c r="C5035" s="6">
        <v>0.247245350897868</v>
      </c>
    </row>
    <row r="5036" spans="1:3" s="7" customFormat="1" x14ac:dyDescent="0.2">
      <c r="A5036" s="6" t="str">
        <f>"PRRG1"</f>
        <v>PRRG1</v>
      </c>
      <c r="B5036" s="6">
        <v>7.49250749250749E-2</v>
      </c>
      <c r="C5036" s="6">
        <v>0.247245350897868</v>
      </c>
    </row>
    <row r="5037" spans="1:3" s="7" customFormat="1" x14ac:dyDescent="0.2">
      <c r="A5037" s="6" t="str">
        <f>"OSBPL7"</f>
        <v>OSBPL7</v>
      </c>
      <c r="B5037" s="6">
        <v>7.49250749250749E-2</v>
      </c>
      <c r="C5037" s="6">
        <v>0.247245350897868</v>
      </c>
    </row>
    <row r="5038" spans="1:3" s="7" customFormat="1" x14ac:dyDescent="0.2">
      <c r="A5038" s="6" t="str">
        <f>"RCOR3"</f>
        <v>RCOR3</v>
      </c>
      <c r="B5038" s="6">
        <v>7.49250749250749E-2</v>
      </c>
      <c r="C5038" s="6">
        <v>0.247245350897868</v>
      </c>
    </row>
    <row r="5039" spans="1:3" s="7" customFormat="1" x14ac:dyDescent="0.2">
      <c r="A5039" s="6" t="str">
        <f>"AC005920.1"</f>
        <v>AC005920.1</v>
      </c>
      <c r="B5039" s="6">
        <v>7.49250749250749E-2</v>
      </c>
      <c r="C5039" s="6">
        <v>0.247245350897868</v>
      </c>
    </row>
    <row r="5040" spans="1:3" s="7" customFormat="1" x14ac:dyDescent="0.2">
      <c r="A5040" s="6" t="str">
        <f>"AC034223.1"</f>
        <v>AC034223.1</v>
      </c>
      <c r="B5040" s="6">
        <v>7.49250749250749E-2</v>
      </c>
      <c r="C5040" s="6">
        <v>0.247245350897868</v>
      </c>
    </row>
    <row r="5041" spans="1:3" s="7" customFormat="1" x14ac:dyDescent="0.2">
      <c r="A5041" s="6" t="str">
        <f>"EFNB2"</f>
        <v>EFNB2</v>
      </c>
      <c r="B5041" s="6">
        <v>7.49250749250749E-2</v>
      </c>
      <c r="C5041" s="6">
        <v>0.247245350897868</v>
      </c>
    </row>
    <row r="5042" spans="1:3" s="7" customFormat="1" x14ac:dyDescent="0.2">
      <c r="A5042" s="6" t="str">
        <f>"ARPC1B"</f>
        <v>ARPC1B</v>
      </c>
      <c r="B5042" s="6">
        <v>7.49250749250749E-2</v>
      </c>
      <c r="C5042" s="6">
        <v>0.247245350897868</v>
      </c>
    </row>
    <row r="5043" spans="1:3" s="7" customFormat="1" x14ac:dyDescent="0.2">
      <c r="A5043" s="6" t="str">
        <f>"CLDN5"</f>
        <v>CLDN5</v>
      </c>
      <c r="B5043" s="6">
        <v>7.49250749250749E-2</v>
      </c>
      <c r="C5043" s="6">
        <v>0.247245350897868</v>
      </c>
    </row>
    <row r="5044" spans="1:3" s="7" customFormat="1" x14ac:dyDescent="0.2">
      <c r="A5044" s="6" t="str">
        <f>"SLAMF6P1"</f>
        <v>SLAMF6P1</v>
      </c>
      <c r="B5044" s="6">
        <v>7.49250749250749E-2</v>
      </c>
      <c r="C5044" s="6">
        <v>0.247245350897868</v>
      </c>
    </row>
    <row r="5045" spans="1:3" s="7" customFormat="1" x14ac:dyDescent="0.2">
      <c r="A5045" s="6" t="str">
        <f>"ZNF300P1"</f>
        <v>ZNF300P1</v>
      </c>
      <c r="B5045" s="6">
        <v>7.49250749250749E-2</v>
      </c>
      <c r="C5045" s="6">
        <v>0.247245350897868</v>
      </c>
    </row>
    <row r="5046" spans="1:3" s="7" customFormat="1" x14ac:dyDescent="0.2">
      <c r="A5046" s="6" t="str">
        <f>"MMP25-AS1"</f>
        <v>MMP25-AS1</v>
      </c>
      <c r="B5046" s="6">
        <v>7.49250749250749E-2</v>
      </c>
      <c r="C5046" s="6">
        <v>0.247245350897868</v>
      </c>
    </row>
    <row r="5047" spans="1:3" s="7" customFormat="1" x14ac:dyDescent="0.2">
      <c r="A5047" s="6" t="str">
        <f>"TPRN"</f>
        <v>TPRN</v>
      </c>
      <c r="B5047" s="6">
        <v>7.49250749250749E-2</v>
      </c>
      <c r="C5047" s="6">
        <v>0.247245350897868</v>
      </c>
    </row>
    <row r="5048" spans="1:3" s="7" customFormat="1" x14ac:dyDescent="0.2">
      <c r="A5048" s="6" t="str">
        <f>"NT5DC4"</f>
        <v>NT5DC4</v>
      </c>
      <c r="B5048" s="6">
        <v>7.49250749250749E-2</v>
      </c>
      <c r="C5048" s="6">
        <v>0.247245350897868</v>
      </c>
    </row>
    <row r="5049" spans="1:3" s="7" customFormat="1" x14ac:dyDescent="0.2">
      <c r="A5049" s="6" t="str">
        <f>"GMNN"</f>
        <v>GMNN</v>
      </c>
      <c r="B5049" s="6">
        <v>7.49250749250749E-2</v>
      </c>
      <c r="C5049" s="6">
        <v>0.247245350897868</v>
      </c>
    </row>
    <row r="5050" spans="1:3" s="7" customFormat="1" x14ac:dyDescent="0.2">
      <c r="A5050" s="6" t="str">
        <f>"SOX7"</f>
        <v>SOX7</v>
      </c>
      <c r="B5050" s="6">
        <v>7.49250749250749E-2</v>
      </c>
      <c r="C5050" s="6">
        <v>0.247245350897868</v>
      </c>
    </row>
    <row r="5051" spans="1:3" s="7" customFormat="1" x14ac:dyDescent="0.2">
      <c r="A5051" s="6" t="str">
        <f>"SMIM1"</f>
        <v>SMIM1</v>
      </c>
      <c r="B5051" s="6">
        <v>7.49250749250749E-2</v>
      </c>
      <c r="C5051" s="6">
        <v>0.247245350897868</v>
      </c>
    </row>
    <row r="5052" spans="1:3" s="7" customFormat="1" x14ac:dyDescent="0.2">
      <c r="A5052" s="6" t="str">
        <f>"BMS1P2"</f>
        <v>BMS1P2</v>
      </c>
      <c r="B5052" s="6">
        <v>7.49250749250749E-2</v>
      </c>
      <c r="C5052" s="6">
        <v>0.247245350897868</v>
      </c>
    </row>
    <row r="5053" spans="1:3" s="7" customFormat="1" x14ac:dyDescent="0.2">
      <c r="A5053" s="6" t="str">
        <f>"CCDC148"</f>
        <v>CCDC148</v>
      </c>
      <c r="B5053" s="6">
        <v>7.49250749250749E-2</v>
      </c>
      <c r="C5053" s="6">
        <v>0.247245350897868</v>
      </c>
    </row>
    <row r="5054" spans="1:3" s="7" customFormat="1" x14ac:dyDescent="0.2">
      <c r="A5054" s="6" t="str">
        <f>"SLC48A1"</f>
        <v>SLC48A1</v>
      </c>
      <c r="B5054" s="6">
        <v>7.49250749250749E-2</v>
      </c>
      <c r="C5054" s="6">
        <v>0.247245350897868</v>
      </c>
    </row>
    <row r="5055" spans="1:3" s="7" customFormat="1" x14ac:dyDescent="0.2">
      <c r="A5055" s="6" t="str">
        <f>"AL590428.1"</f>
        <v>AL590428.1</v>
      </c>
      <c r="B5055" s="6">
        <v>7.49250749250749E-2</v>
      </c>
      <c r="C5055" s="6">
        <v>0.247245350897868</v>
      </c>
    </row>
    <row r="5056" spans="1:3" s="7" customFormat="1" x14ac:dyDescent="0.2">
      <c r="A5056" s="6" t="str">
        <f>"SLC5A3"</f>
        <v>SLC5A3</v>
      </c>
      <c r="B5056" s="6">
        <v>7.49250749250749E-2</v>
      </c>
      <c r="C5056" s="6">
        <v>0.247245350897868</v>
      </c>
    </row>
    <row r="5057" spans="1:3" s="7" customFormat="1" x14ac:dyDescent="0.2">
      <c r="A5057" s="6" t="str">
        <f>"ATP8B2"</f>
        <v>ATP8B2</v>
      </c>
      <c r="B5057" s="6">
        <v>7.49250749250749E-2</v>
      </c>
      <c r="C5057" s="6">
        <v>0.247245350897868</v>
      </c>
    </row>
    <row r="5058" spans="1:3" s="7" customFormat="1" x14ac:dyDescent="0.2">
      <c r="A5058" s="6" t="str">
        <f>"AC018638.5"</f>
        <v>AC018638.5</v>
      </c>
      <c r="B5058" s="6">
        <v>7.49250749250749E-2</v>
      </c>
      <c r="C5058" s="6">
        <v>0.247245350897868</v>
      </c>
    </row>
    <row r="5059" spans="1:3" s="7" customFormat="1" x14ac:dyDescent="0.2">
      <c r="A5059" s="6" t="str">
        <f>"NRF1"</f>
        <v>NRF1</v>
      </c>
      <c r="B5059" s="6">
        <v>7.49250749250749E-2</v>
      </c>
      <c r="C5059" s="6">
        <v>0.247245350897868</v>
      </c>
    </row>
    <row r="5060" spans="1:3" s="7" customFormat="1" x14ac:dyDescent="0.2">
      <c r="A5060" s="6" t="str">
        <f>"BCL2L1"</f>
        <v>BCL2L1</v>
      </c>
      <c r="B5060" s="6">
        <v>7.49250749250749E-2</v>
      </c>
      <c r="C5060" s="6">
        <v>0.247245350897868</v>
      </c>
    </row>
    <row r="5061" spans="1:3" s="7" customFormat="1" x14ac:dyDescent="0.2">
      <c r="A5061" s="6" t="str">
        <f>"C11orf52"</f>
        <v>C11orf52</v>
      </c>
      <c r="B5061" s="6">
        <v>7.49250749250749E-2</v>
      </c>
      <c r="C5061" s="6">
        <v>0.247245350897868</v>
      </c>
    </row>
    <row r="5062" spans="1:3" s="7" customFormat="1" x14ac:dyDescent="0.2">
      <c r="A5062" s="6" t="str">
        <f>"LINC00332"</f>
        <v>LINC00332</v>
      </c>
      <c r="B5062" s="6">
        <v>7.49250749250749E-2</v>
      </c>
      <c r="C5062" s="6">
        <v>0.247245350897868</v>
      </c>
    </row>
    <row r="5063" spans="1:3" s="7" customFormat="1" x14ac:dyDescent="0.2">
      <c r="A5063" s="6" t="str">
        <f>"CLDN3"</f>
        <v>CLDN3</v>
      </c>
      <c r="B5063" s="6">
        <v>7.49250749250749E-2</v>
      </c>
      <c r="C5063" s="6">
        <v>0.247245350897868</v>
      </c>
    </row>
    <row r="5064" spans="1:3" s="7" customFormat="1" x14ac:dyDescent="0.2">
      <c r="A5064" s="6" t="str">
        <f>"GPR35"</f>
        <v>GPR35</v>
      </c>
      <c r="B5064" s="6">
        <v>7.49250749250749E-2</v>
      </c>
      <c r="C5064" s="6">
        <v>0.247245350897868</v>
      </c>
    </row>
    <row r="5065" spans="1:3" s="7" customFormat="1" x14ac:dyDescent="0.2">
      <c r="A5065" s="6" t="str">
        <f>"INAFM1"</f>
        <v>INAFM1</v>
      </c>
      <c r="B5065" s="6">
        <v>7.49250749250749E-2</v>
      </c>
      <c r="C5065" s="6">
        <v>0.247245350897868</v>
      </c>
    </row>
    <row r="5066" spans="1:3" s="7" customFormat="1" x14ac:dyDescent="0.2">
      <c r="A5066" s="6" t="str">
        <f>"FHOD1"</f>
        <v>FHOD1</v>
      </c>
      <c r="B5066" s="6">
        <v>7.49250749250749E-2</v>
      </c>
      <c r="C5066" s="6">
        <v>0.247245350897868</v>
      </c>
    </row>
    <row r="5067" spans="1:3" s="7" customFormat="1" x14ac:dyDescent="0.2">
      <c r="A5067" s="6" t="str">
        <f>"RPS2P32"</f>
        <v>RPS2P32</v>
      </c>
      <c r="B5067" s="6">
        <v>7.4999999999999997E-2</v>
      </c>
      <c r="C5067" s="6">
        <v>0.24739490822972099</v>
      </c>
    </row>
    <row r="5068" spans="1:3" s="7" customFormat="1" x14ac:dyDescent="0.2">
      <c r="A5068" s="6" t="str">
        <f>"NUDT4"</f>
        <v>NUDT4</v>
      </c>
      <c r="B5068" s="6">
        <v>7.4999999999999997E-2</v>
      </c>
      <c r="C5068" s="6">
        <v>0.24739490822972099</v>
      </c>
    </row>
    <row r="5069" spans="1:3" s="7" customFormat="1" x14ac:dyDescent="0.2">
      <c r="A5069" s="6" t="str">
        <f>"FCGR1CP"</f>
        <v>FCGR1CP</v>
      </c>
      <c r="B5069" s="6">
        <v>7.5924075924075907E-2</v>
      </c>
      <c r="C5069" s="6">
        <v>0.24848149696397201</v>
      </c>
    </row>
    <row r="5070" spans="1:3" s="7" customFormat="1" x14ac:dyDescent="0.2">
      <c r="A5070" s="6" t="str">
        <f>"SVBP"</f>
        <v>SVBP</v>
      </c>
      <c r="B5070" s="6">
        <v>7.5924075924075907E-2</v>
      </c>
      <c r="C5070" s="6">
        <v>0.24848149696397201</v>
      </c>
    </row>
    <row r="5071" spans="1:3" s="7" customFormat="1" x14ac:dyDescent="0.2">
      <c r="A5071" s="6" t="str">
        <f>"PLXDC2"</f>
        <v>PLXDC2</v>
      </c>
      <c r="B5071" s="6">
        <v>7.5924075924075907E-2</v>
      </c>
      <c r="C5071" s="6">
        <v>0.24848149696397201</v>
      </c>
    </row>
    <row r="5072" spans="1:3" s="7" customFormat="1" x14ac:dyDescent="0.2">
      <c r="A5072" s="6" t="str">
        <f>"C19orf67"</f>
        <v>C19orf67</v>
      </c>
      <c r="B5072" s="6">
        <v>7.5924075924075907E-2</v>
      </c>
      <c r="C5072" s="6">
        <v>0.24848149696397201</v>
      </c>
    </row>
    <row r="5073" spans="1:3" s="7" customFormat="1" x14ac:dyDescent="0.2">
      <c r="A5073" s="6" t="str">
        <f>"MANEA"</f>
        <v>MANEA</v>
      </c>
      <c r="B5073" s="6">
        <v>7.5924075924075907E-2</v>
      </c>
      <c r="C5073" s="6">
        <v>0.24848149696397201</v>
      </c>
    </row>
    <row r="5074" spans="1:3" s="7" customFormat="1" x14ac:dyDescent="0.2">
      <c r="A5074" s="6" t="str">
        <f>"AL137847.2"</f>
        <v>AL137847.2</v>
      </c>
      <c r="B5074" s="6">
        <v>7.5924075924075907E-2</v>
      </c>
      <c r="C5074" s="6">
        <v>0.24848149696397201</v>
      </c>
    </row>
    <row r="5075" spans="1:3" s="7" customFormat="1" x14ac:dyDescent="0.2">
      <c r="A5075" s="6" t="str">
        <f>"SMIM10"</f>
        <v>SMIM10</v>
      </c>
      <c r="B5075" s="6">
        <v>7.5924075924075907E-2</v>
      </c>
      <c r="C5075" s="6">
        <v>0.24848149696397201</v>
      </c>
    </row>
    <row r="5076" spans="1:3" s="7" customFormat="1" x14ac:dyDescent="0.2">
      <c r="A5076" s="6" t="str">
        <f>"CDH23"</f>
        <v>CDH23</v>
      </c>
      <c r="B5076" s="6">
        <v>7.5924075924075907E-2</v>
      </c>
      <c r="C5076" s="6">
        <v>0.24848149696397201</v>
      </c>
    </row>
    <row r="5077" spans="1:3" s="7" customFormat="1" x14ac:dyDescent="0.2">
      <c r="A5077" s="6" t="str">
        <f>"SMYD3"</f>
        <v>SMYD3</v>
      </c>
      <c r="B5077" s="6">
        <v>7.5924075924075907E-2</v>
      </c>
      <c r="C5077" s="6">
        <v>0.24848149696397201</v>
      </c>
    </row>
    <row r="5078" spans="1:3" s="7" customFormat="1" x14ac:dyDescent="0.2">
      <c r="A5078" s="6" t="str">
        <f>"C5orf60"</f>
        <v>C5orf60</v>
      </c>
      <c r="B5078" s="6">
        <v>7.5924075924075907E-2</v>
      </c>
      <c r="C5078" s="6">
        <v>0.24848149696397201</v>
      </c>
    </row>
    <row r="5079" spans="1:3" s="7" customFormat="1" x14ac:dyDescent="0.2">
      <c r="A5079" s="6" t="str">
        <f>"AC026310.2"</f>
        <v>AC026310.2</v>
      </c>
      <c r="B5079" s="6">
        <v>7.5924075924075907E-2</v>
      </c>
      <c r="C5079" s="6">
        <v>0.24848149696397201</v>
      </c>
    </row>
    <row r="5080" spans="1:3" s="7" customFormat="1" x14ac:dyDescent="0.2">
      <c r="A5080" s="6" t="str">
        <f>"AC098969.1"</f>
        <v>AC098969.1</v>
      </c>
      <c r="B5080" s="6">
        <v>7.5924075924075907E-2</v>
      </c>
      <c r="C5080" s="6">
        <v>0.24848149696397201</v>
      </c>
    </row>
    <row r="5081" spans="1:3" s="7" customFormat="1" x14ac:dyDescent="0.2">
      <c r="A5081" s="6" t="str">
        <f>"TTBK1"</f>
        <v>TTBK1</v>
      </c>
      <c r="B5081" s="6">
        <v>7.5924075924075907E-2</v>
      </c>
      <c r="C5081" s="6">
        <v>0.24848149696397201</v>
      </c>
    </row>
    <row r="5082" spans="1:3" s="7" customFormat="1" x14ac:dyDescent="0.2">
      <c r="A5082" s="6" t="str">
        <f>"CDH24"</f>
        <v>CDH24</v>
      </c>
      <c r="B5082" s="6">
        <v>7.5924075924075907E-2</v>
      </c>
      <c r="C5082" s="6">
        <v>0.24848149696397201</v>
      </c>
    </row>
    <row r="5083" spans="1:3" s="7" customFormat="1" x14ac:dyDescent="0.2">
      <c r="A5083" s="6" t="str">
        <f>"UPK1B"</f>
        <v>UPK1B</v>
      </c>
      <c r="B5083" s="6">
        <v>7.5924075924075907E-2</v>
      </c>
      <c r="C5083" s="6">
        <v>0.24848149696397201</v>
      </c>
    </row>
    <row r="5084" spans="1:3" s="7" customFormat="1" x14ac:dyDescent="0.2">
      <c r="A5084" s="6" t="str">
        <f>"RUNX2"</f>
        <v>RUNX2</v>
      </c>
      <c r="B5084" s="6">
        <v>7.5924075924075907E-2</v>
      </c>
      <c r="C5084" s="6">
        <v>0.24848149696397201</v>
      </c>
    </row>
    <row r="5085" spans="1:3" s="7" customFormat="1" x14ac:dyDescent="0.2">
      <c r="A5085" s="6" t="str">
        <f>"TERF2"</f>
        <v>TERF2</v>
      </c>
      <c r="B5085" s="6">
        <v>7.5924075924075907E-2</v>
      </c>
      <c r="C5085" s="6">
        <v>0.24848149696397201</v>
      </c>
    </row>
    <row r="5086" spans="1:3" s="7" customFormat="1" x14ac:dyDescent="0.2">
      <c r="A5086" s="6" t="str">
        <f>"CCDC24"</f>
        <v>CCDC24</v>
      </c>
      <c r="B5086" s="6">
        <v>7.5924075924075907E-2</v>
      </c>
      <c r="C5086" s="6">
        <v>0.24848149696397201</v>
      </c>
    </row>
    <row r="5087" spans="1:3" s="7" customFormat="1" x14ac:dyDescent="0.2">
      <c r="A5087" s="6" t="str">
        <f>"SULT1C2"</f>
        <v>SULT1C2</v>
      </c>
      <c r="B5087" s="6">
        <v>7.5924075924075907E-2</v>
      </c>
      <c r="C5087" s="6">
        <v>0.24848149696397201</v>
      </c>
    </row>
    <row r="5088" spans="1:3" s="7" customFormat="1" x14ac:dyDescent="0.2">
      <c r="A5088" s="6" t="str">
        <f>"RIMS2"</f>
        <v>RIMS2</v>
      </c>
      <c r="B5088" s="6">
        <v>7.5924075924075907E-2</v>
      </c>
      <c r="C5088" s="6">
        <v>0.24848149696397201</v>
      </c>
    </row>
    <row r="5089" spans="1:3" s="7" customFormat="1" x14ac:dyDescent="0.2">
      <c r="A5089" s="6" t="str">
        <f>"TLE1"</f>
        <v>TLE1</v>
      </c>
      <c r="B5089" s="6">
        <v>7.5924075924075907E-2</v>
      </c>
      <c r="C5089" s="6">
        <v>0.24848149696397201</v>
      </c>
    </row>
    <row r="5090" spans="1:3" s="7" customFormat="1" x14ac:dyDescent="0.2">
      <c r="A5090" s="6" t="str">
        <f>"ZNF473"</f>
        <v>ZNF473</v>
      </c>
      <c r="B5090" s="6">
        <v>7.5924075924075907E-2</v>
      </c>
      <c r="C5090" s="6">
        <v>0.24848149696397201</v>
      </c>
    </row>
    <row r="5091" spans="1:3" s="7" customFormat="1" x14ac:dyDescent="0.2">
      <c r="A5091" s="6" t="str">
        <f>"GSDMC"</f>
        <v>GSDMC</v>
      </c>
      <c r="B5091" s="6">
        <v>7.5924075924075907E-2</v>
      </c>
      <c r="C5091" s="6">
        <v>0.24848149696397201</v>
      </c>
    </row>
    <row r="5092" spans="1:3" s="7" customFormat="1" x14ac:dyDescent="0.2">
      <c r="A5092" s="6" t="str">
        <f>"PSMA3-AS1"</f>
        <v>PSMA3-AS1</v>
      </c>
      <c r="B5092" s="6">
        <v>7.5924075924075907E-2</v>
      </c>
      <c r="C5092" s="6">
        <v>0.24848149696397201</v>
      </c>
    </row>
    <row r="5093" spans="1:3" s="7" customFormat="1" x14ac:dyDescent="0.2">
      <c r="A5093" s="6" t="str">
        <f>"NPIPB6"</f>
        <v>NPIPB6</v>
      </c>
      <c r="B5093" s="6">
        <v>7.5924075924075907E-2</v>
      </c>
      <c r="C5093" s="6">
        <v>0.24848149696397201</v>
      </c>
    </row>
    <row r="5094" spans="1:3" s="7" customFormat="1" x14ac:dyDescent="0.2">
      <c r="A5094" s="6" t="str">
        <f>"CD163L1"</f>
        <v>CD163L1</v>
      </c>
      <c r="B5094" s="6">
        <v>7.5924075924075907E-2</v>
      </c>
      <c r="C5094" s="6">
        <v>0.24848149696397201</v>
      </c>
    </row>
    <row r="5095" spans="1:3" s="7" customFormat="1" x14ac:dyDescent="0.2">
      <c r="A5095" s="6" t="str">
        <f>"SETD2"</f>
        <v>SETD2</v>
      </c>
      <c r="B5095" s="6">
        <v>7.5924075924075907E-2</v>
      </c>
      <c r="C5095" s="6">
        <v>0.24848149696397201</v>
      </c>
    </row>
    <row r="5096" spans="1:3" s="7" customFormat="1" x14ac:dyDescent="0.2">
      <c r="A5096" s="6" t="str">
        <f>"TOGARAM2"</f>
        <v>TOGARAM2</v>
      </c>
      <c r="B5096" s="6">
        <v>7.5924075924075907E-2</v>
      </c>
      <c r="C5096" s="6">
        <v>0.24848149696397201</v>
      </c>
    </row>
    <row r="5097" spans="1:3" s="7" customFormat="1" x14ac:dyDescent="0.2">
      <c r="A5097" s="6" t="str">
        <f>"ARHGAP44"</f>
        <v>ARHGAP44</v>
      </c>
      <c r="B5097" s="6">
        <v>7.5924075924075907E-2</v>
      </c>
      <c r="C5097" s="6">
        <v>0.24848149696397201</v>
      </c>
    </row>
    <row r="5098" spans="1:3" s="7" customFormat="1" x14ac:dyDescent="0.2">
      <c r="A5098" s="6" t="str">
        <f>"PCDH17"</f>
        <v>PCDH17</v>
      </c>
      <c r="B5098" s="6">
        <v>7.5924075924075907E-2</v>
      </c>
      <c r="C5098" s="6">
        <v>0.24848149696397201</v>
      </c>
    </row>
    <row r="5099" spans="1:3" s="7" customFormat="1" x14ac:dyDescent="0.2">
      <c r="A5099" s="6" t="str">
        <f>"MTREX"</f>
        <v>MTREX</v>
      </c>
      <c r="B5099" s="6">
        <v>7.5924075924075907E-2</v>
      </c>
      <c r="C5099" s="6">
        <v>0.24848149696397201</v>
      </c>
    </row>
    <row r="5100" spans="1:3" s="7" customFormat="1" x14ac:dyDescent="0.2">
      <c r="A5100" s="6" t="str">
        <f>"FOLR2"</f>
        <v>FOLR2</v>
      </c>
      <c r="B5100" s="6">
        <v>7.5924075924075907E-2</v>
      </c>
      <c r="C5100" s="6">
        <v>0.24848149696397201</v>
      </c>
    </row>
    <row r="5101" spans="1:3" s="7" customFormat="1" x14ac:dyDescent="0.2">
      <c r="A5101" s="6" t="str">
        <f>"TMCC1"</f>
        <v>TMCC1</v>
      </c>
      <c r="B5101" s="6">
        <v>7.5924075924075907E-2</v>
      </c>
      <c r="C5101" s="6">
        <v>0.24848149696397201</v>
      </c>
    </row>
    <row r="5102" spans="1:3" s="7" customFormat="1" x14ac:dyDescent="0.2">
      <c r="A5102" s="6" t="str">
        <f>"AL596244.1"</f>
        <v>AL596244.1</v>
      </c>
      <c r="B5102" s="6">
        <v>7.5924075924075907E-2</v>
      </c>
      <c r="C5102" s="6">
        <v>0.24848149696397201</v>
      </c>
    </row>
    <row r="5103" spans="1:3" s="7" customFormat="1" x14ac:dyDescent="0.2">
      <c r="A5103" s="6" t="str">
        <f>"MBTD1"</f>
        <v>MBTD1</v>
      </c>
      <c r="B5103" s="6">
        <v>7.5924075924075907E-2</v>
      </c>
      <c r="C5103" s="6">
        <v>0.24848149696397201</v>
      </c>
    </row>
    <row r="5104" spans="1:3" s="7" customFormat="1" x14ac:dyDescent="0.2">
      <c r="A5104" s="6" t="str">
        <f>"SCLY"</f>
        <v>SCLY</v>
      </c>
      <c r="B5104" s="6">
        <v>7.5924075924075907E-2</v>
      </c>
      <c r="C5104" s="6">
        <v>0.24848149696397201</v>
      </c>
    </row>
    <row r="5105" spans="1:3" s="7" customFormat="1" x14ac:dyDescent="0.2">
      <c r="A5105" s="6" t="str">
        <f>"FOXO3"</f>
        <v>FOXO3</v>
      </c>
      <c r="B5105" s="6">
        <v>7.5924075924075907E-2</v>
      </c>
      <c r="C5105" s="6">
        <v>0.24848149696397201</v>
      </c>
    </row>
    <row r="5106" spans="1:3" s="7" customFormat="1" x14ac:dyDescent="0.2">
      <c r="A5106" s="6" t="str">
        <f>"H2BC6"</f>
        <v>H2BC6</v>
      </c>
      <c r="B5106" s="6">
        <v>7.5924075924075907E-2</v>
      </c>
      <c r="C5106" s="6">
        <v>0.24848149696397201</v>
      </c>
    </row>
    <row r="5107" spans="1:3" s="7" customFormat="1" x14ac:dyDescent="0.2">
      <c r="A5107" s="6" t="str">
        <f>"HMGA2"</f>
        <v>HMGA2</v>
      </c>
      <c r="B5107" s="6">
        <v>7.5924075924075907E-2</v>
      </c>
      <c r="C5107" s="6">
        <v>0.24848149696397201</v>
      </c>
    </row>
    <row r="5108" spans="1:3" s="7" customFormat="1" x14ac:dyDescent="0.2">
      <c r="A5108" s="6" t="str">
        <f>"GPR37L1"</f>
        <v>GPR37L1</v>
      </c>
      <c r="B5108" s="6">
        <v>7.5924075924075907E-2</v>
      </c>
      <c r="C5108" s="6">
        <v>0.24848149696397201</v>
      </c>
    </row>
    <row r="5109" spans="1:3" s="7" customFormat="1" x14ac:dyDescent="0.2">
      <c r="A5109" s="6" t="str">
        <f>"LINC00211"</f>
        <v>LINC00211</v>
      </c>
      <c r="B5109" s="6">
        <v>7.5999999999999998E-2</v>
      </c>
      <c r="C5109" s="6">
        <v>0.248583953033268</v>
      </c>
    </row>
    <row r="5110" spans="1:3" s="7" customFormat="1" x14ac:dyDescent="0.2">
      <c r="A5110" s="6" t="str">
        <f>"PLCG1-AS1"</f>
        <v>PLCG1-AS1</v>
      </c>
      <c r="B5110" s="6">
        <v>7.5999999999999998E-2</v>
      </c>
      <c r="C5110" s="6">
        <v>0.248583953033268</v>
      </c>
    </row>
    <row r="5111" spans="1:3" s="7" customFormat="1" x14ac:dyDescent="0.2">
      <c r="A5111" s="6" t="str">
        <f>"PAIP2B"</f>
        <v>PAIP2B</v>
      </c>
      <c r="B5111" s="6">
        <v>7.5999999999999998E-2</v>
      </c>
      <c r="C5111" s="6">
        <v>0.248583953033268</v>
      </c>
    </row>
    <row r="5112" spans="1:3" s="7" customFormat="1" x14ac:dyDescent="0.2">
      <c r="A5112" s="6" t="str">
        <f>"AL590822.2"</f>
        <v>AL590822.2</v>
      </c>
      <c r="B5112" s="6">
        <v>7.6228686058174497E-2</v>
      </c>
      <c r="C5112" s="6">
        <v>0.249283165481574</v>
      </c>
    </row>
    <row r="5113" spans="1:3" s="7" customFormat="1" x14ac:dyDescent="0.2">
      <c r="A5113" s="6" t="str">
        <f>"PIP4P2"</f>
        <v>PIP4P2</v>
      </c>
      <c r="B5113" s="6">
        <v>7.69230769230769E-2</v>
      </c>
      <c r="C5113" s="6">
        <v>0.24974598051521099</v>
      </c>
    </row>
    <row r="5114" spans="1:3" s="7" customFormat="1" x14ac:dyDescent="0.2">
      <c r="A5114" s="6" t="str">
        <f>"TRMO"</f>
        <v>TRMO</v>
      </c>
      <c r="B5114" s="6">
        <v>7.69230769230769E-2</v>
      </c>
      <c r="C5114" s="6">
        <v>0.24974598051521099</v>
      </c>
    </row>
    <row r="5115" spans="1:3" s="7" customFormat="1" x14ac:dyDescent="0.2">
      <c r="A5115" s="6" t="str">
        <f>"MEF2D"</f>
        <v>MEF2D</v>
      </c>
      <c r="B5115" s="6">
        <v>7.69230769230769E-2</v>
      </c>
      <c r="C5115" s="6">
        <v>0.24974598051521099</v>
      </c>
    </row>
    <row r="5116" spans="1:3" s="7" customFormat="1" x14ac:dyDescent="0.2">
      <c r="A5116" s="6" t="str">
        <f>"PARN"</f>
        <v>PARN</v>
      </c>
      <c r="B5116" s="6">
        <v>7.69230769230769E-2</v>
      </c>
      <c r="C5116" s="6">
        <v>0.24974598051521099</v>
      </c>
    </row>
    <row r="5117" spans="1:3" s="7" customFormat="1" x14ac:dyDescent="0.2">
      <c r="A5117" s="6" t="str">
        <f>"SGTA"</f>
        <v>SGTA</v>
      </c>
      <c r="B5117" s="6">
        <v>7.69230769230769E-2</v>
      </c>
      <c r="C5117" s="6">
        <v>0.24974598051521099</v>
      </c>
    </row>
    <row r="5118" spans="1:3" s="7" customFormat="1" x14ac:dyDescent="0.2">
      <c r="A5118" s="6" t="str">
        <f>"TRIM29"</f>
        <v>TRIM29</v>
      </c>
      <c r="B5118" s="6">
        <v>7.69230769230769E-2</v>
      </c>
      <c r="C5118" s="6">
        <v>0.24974598051521099</v>
      </c>
    </row>
    <row r="5119" spans="1:3" s="7" customFormat="1" x14ac:dyDescent="0.2">
      <c r="A5119" s="6" t="str">
        <f>"AGPS"</f>
        <v>AGPS</v>
      </c>
      <c r="B5119" s="6">
        <v>7.69230769230769E-2</v>
      </c>
      <c r="C5119" s="6">
        <v>0.24974598051521099</v>
      </c>
    </row>
    <row r="5120" spans="1:3" s="7" customFormat="1" x14ac:dyDescent="0.2">
      <c r="A5120" s="6" t="str">
        <f>"ABI3BP"</f>
        <v>ABI3BP</v>
      </c>
      <c r="B5120" s="6">
        <v>7.69230769230769E-2</v>
      </c>
      <c r="C5120" s="6">
        <v>0.24974598051521099</v>
      </c>
    </row>
    <row r="5121" spans="1:3" s="7" customFormat="1" x14ac:dyDescent="0.2">
      <c r="A5121" s="6" t="str">
        <f>"CCDC188"</f>
        <v>CCDC188</v>
      </c>
      <c r="B5121" s="6">
        <v>7.69230769230769E-2</v>
      </c>
      <c r="C5121" s="6">
        <v>0.24974598051521099</v>
      </c>
    </row>
    <row r="5122" spans="1:3" s="7" customFormat="1" x14ac:dyDescent="0.2">
      <c r="A5122" s="6" t="str">
        <f>"AC008397.2"</f>
        <v>AC008397.2</v>
      </c>
      <c r="B5122" s="6">
        <v>7.69230769230769E-2</v>
      </c>
      <c r="C5122" s="6">
        <v>0.24974598051521099</v>
      </c>
    </row>
    <row r="5123" spans="1:3" s="7" customFormat="1" x14ac:dyDescent="0.2">
      <c r="A5123" s="6" t="str">
        <f>"ANO7L1"</f>
        <v>ANO7L1</v>
      </c>
      <c r="B5123" s="6">
        <v>7.69230769230769E-2</v>
      </c>
      <c r="C5123" s="6">
        <v>0.24974598051521099</v>
      </c>
    </row>
    <row r="5124" spans="1:3" s="7" customFormat="1" x14ac:dyDescent="0.2">
      <c r="A5124" s="6" t="str">
        <f>"DUSP11"</f>
        <v>DUSP11</v>
      </c>
      <c r="B5124" s="6">
        <v>7.69230769230769E-2</v>
      </c>
      <c r="C5124" s="6">
        <v>0.24974598051521099</v>
      </c>
    </row>
    <row r="5125" spans="1:3" s="7" customFormat="1" x14ac:dyDescent="0.2">
      <c r="A5125" s="6" t="str">
        <f>"UACA"</f>
        <v>UACA</v>
      </c>
      <c r="B5125" s="6">
        <v>7.69230769230769E-2</v>
      </c>
      <c r="C5125" s="6">
        <v>0.24974598051521099</v>
      </c>
    </row>
    <row r="5126" spans="1:3" s="7" customFormat="1" x14ac:dyDescent="0.2">
      <c r="A5126" s="6" t="str">
        <f>"AC113410.4"</f>
        <v>AC113410.4</v>
      </c>
      <c r="B5126" s="6">
        <v>7.69230769230769E-2</v>
      </c>
      <c r="C5126" s="6">
        <v>0.24974598051521099</v>
      </c>
    </row>
    <row r="5127" spans="1:3" s="7" customFormat="1" x14ac:dyDescent="0.2">
      <c r="A5127" s="6" t="str">
        <f>"ACBD4"</f>
        <v>ACBD4</v>
      </c>
      <c r="B5127" s="6">
        <v>7.69230769230769E-2</v>
      </c>
      <c r="C5127" s="6">
        <v>0.24974598051521099</v>
      </c>
    </row>
    <row r="5128" spans="1:3" s="7" customFormat="1" x14ac:dyDescent="0.2">
      <c r="A5128" s="6" t="str">
        <f>"AAK1"</f>
        <v>AAK1</v>
      </c>
      <c r="B5128" s="6">
        <v>7.69230769230769E-2</v>
      </c>
      <c r="C5128" s="6">
        <v>0.24974598051521099</v>
      </c>
    </row>
    <row r="5129" spans="1:3" s="7" customFormat="1" x14ac:dyDescent="0.2">
      <c r="A5129" s="6" t="str">
        <f>"MNAT1"</f>
        <v>MNAT1</v>
      </c>
      <c r="B5129" s="6">
        <v>7.69230769230769E-2</v>
      </c>
      <c r="C5129" s="6">
        <v>0.24974598051521099</v>
      </c>
    </row>
    <row r="5130" spans="1:3" s="7" customFormat="1" x14ac:dyDescent="0.2">
      <c r="A5130" s="6" t="str">
        <f>"PLA2R1"</f>
        <v>PLA2R1</v>
      </c>
      <c r="B5130" s="6">
        <v>7.69230769230769E-2</v>
      </c>
      <c r="C5130" s="6">
        <v>0.24974598051521099</v>
      </c>
    </row>
    <row r="5131" spans="1:3" s="7" customFormat="1" x14ac:dyDescent="0.2">
      <c r="A5131" s="6" t="str">
        <f>"RXRB"</f>
        <v>RXRB</v>
      </c>
      <c r="B5131" s="6">
        <v>7.69230769230769E-2</v>
      </c>
      <c r="C5131" s="6">
        <v>0.24974598051521099</v>
      </c>
    </row>
    <row r="5132" spans="1:3" s="7" customFormat="1" x14ac:dyDescent="0.2">
      <c r="A5132" s="6" t="str">
        <f>"LRRC32"</f>
        <v>LRRC32</v>
      </c>
      <c r="B5132" s="6">
        <v>7.69230769230769E-2</v>
      </c>
      <c r="C5132" s="6">
        <v>0.24974598051521099</v>
      </c>
    </row>
    <row r="5133" spans="1:3" s="7" customFormat="1" x14ac:dyDescent="0.2">
      <c r="A5133" s="6" t="str">
        <f>"ZNF136"</f>
        <v>ZNF136</v>
      </c>
      <c r="B5133" s="6">
        <v>7.69230769230769E-2</v>
      </c>
      <c r="C5133" s="6">
        <v>0.24974598051521099</v>
      </c>
    </row>
    <row r="5134" spans="1:3" s="7" customFormat="1" x14ac:dyDescent="0.2">
      <c r="A5134" s="6" t="str">
        <f>"MOGAT3"</f>
        <v>MOGAT3</v>
      </c>
      <c r="B5134" s="6">
        <v>7.6535750251762305E-2</v>
      </c>
      <c r="C5134" s="6">
        <v>0.24974598051521099</v>
      </c>
    </row>
    <row r="5135" spans="1:3" s="7" customFormat="1" x14ac:dyDescent="0.2">
      <c r="A5135" s="6" t="str">
        <f>"ZNF138"</f>
        <v>ZNF138</v>
      </c>
      <c r="B5135" s="6">
        <v>7.69230769230769E-2</v>
      </c>
      <c r="C5135" s="6">
        <v>0.24974598051521099</v>
      </c>
    </row>
    <row r="5136" spans="1:3" s="7" customFormat="1" x14ac:dyDescent="0.2">
      <c r="A5136" s="6" t="str">
        <f>"ACP5"</f>
        <v>ACP5</v>
      </c>
      <c r="B5136" s="6">
        <v>7.69230769230769E-2</v>
      </c>
      <c r="C5136" s="6">
        <v>0.24974598051521099</v>
      </c>
    </row>
    <row r="5137" spans="1:3" s="7" customFormat="1" x14ac:dyDescent="0.2">
      <c r="A5137" s="6" t="str">
        <f>"SOX12"</f>
        <v>SOX12</v>
      </c>
      <c r="B5137" s="6">
        <v>7.69230769230769E-2</v>
      </c>
      <c r="C5137" s="6">
        <v>0.24974598051521099</v>
      </c>
    </row>
    <row r="5138" spans="1:3" s="7" customFormat="1" x14ac:dyDescent="0.2">
      <c r="A5138" s="6" t="str">
        <f>"RAB11FIP4"</f>
        <v>RAB11FIP4</v>
      </c>
      <c r="B5138" s="6">
        <v>7.69230769230769E-2</v>
      </c>
      <c r="C5138" s="6">
        <v>0.24974598051521099</v>
      </c>
    </row>
    <row r="5139" spans="1:3" s="7" customFormat="1" x14ac:dyDescent="0.2">
      <c r="A5139" s="6" t="str">
        <f>"GPC4"</f>
        <v>GPC4</v>
      </c>
      <c r="B5139" s="6">
        <v>7.69230769230769E-2</v>
      </c>
      <c r="C5139" s="6">
        <v>0.24974598051521099</v>
      </c>
    </row>
    <row r="5140" spans="1:3" s="7" customFormat="1" x14ac:dyDescent="0.2">
      <c r="A5140" s="6" t="str">
        <f>"ARMH1"</f>
        <v>ARMH1</v>
      </c>
      <c r="B5140" s="6">
        <v>7.69230769230769E-2</v>
      </c>
      <c r="C5140" s="6">
        <v>0.24974598051521099</v>
      </c>
    </row>
    <row r="5141" spans="1:3" s="7" customFormat="1" x14ac:dyDescent="0.2">
      <c r="A5141" s="6" t="str">
        <f>"DTX3"</f>
        <v>DTX3</v>
      </c>
      <c r="B5141" s="6">
        <v>7.69230769230769E-2</v>
      </c>
      <c r="C5141" s="6">
        <v>0.24974598051521099</v>
      </c>
    </row>
    <row r="5142" spans="1:3" s="7" customFormat="1" x14ac:dyDescent="0.2">
      <c r="A5142" s="6" t="str">
        <f>"PZP"</f>
        <v>PZP</v>
      </c>
      <c r="B5142" s="6">
        <v>7.69230769230769E-2</v>
      </c>
      <c r="C5142" s="6">
        <v>0.24974598051521099</v>
      </c>
    </row>
    <row r="5143" spans="1:3" s="7" customFormat="1" x14ac:dyDescent="0.2">
      <c r="A5143" s="6" t="str">
        <f>"RAPGEF1"</f>
        <v>RAPGEF1</v>
      </c>
      <c r="B5143" s="6">
        <v>7.69230769230769E-2</v>
      </c>
      <c r="C5143" s="6">
        <v>0.24974598051521099</v>
      </c>
    </row>
    <row r="5144" spans="1:3" s="7" customFormat="1" x14ac:dyDescent="0.2">
      <c r="A5144" s="6" t="str">
        <f>"RNU2-1"</f>
        <v>RNU2-1</v>
      </c>
      <c r="B5144" s="6">
        <v>7.69230769230769E-2</v>
      </c>
      <c r="C5144" s="6">
        <v>0.24974598051521099</v>
      </c>
    </row>
    <row r="5145" spans="1:3" s="7" customFormat="1" x14ac:dyDescent="0.2">
      <c r="A5145" s="6" t="str">
        <f>"EIF3I"</f>
        <v>EIF3I</v>
      </c>
      <c r="B5145" s="6">
        <v>7.69230769230769E-2</v>
      </c>
      <c r="C5145" s="6">
        <v>0.24974598051521099</v>
      </c>
    </row>
    <row r="5146" spans="1:3" s="7" customFormat="1" x14ac:dyDescent="0.2">
      <c r="A5146" s="6" t="str">
        <f>"WDR18"</f>
        <v>WDR18</v>
      </c>
      <c r="B5146" s="6">
        <v>7.69230769230769E-2</v>
      </c>
      <c r="C5146" s="6">
        <v>0.24974598051521099</v>
      </c>
    </row>
    <row r="5147" spans="1:3" s="7" customFormat="1" x14ac:dyDescent="0.2">
      <c r="A5147" s="6" t="str">
        <f>"EOMES"</f>
        <v>EOMES</v>
      </c>
      <c r="B5147" s="6">
        <v>7.69230769230769E-2</v>
      </c>
      <c r="C5147" s="6">
        <v>0.24974598051521099</v>
      </c>
    </row>
    <row r="5148" spans="1:3" s="7" customFormat="1" x14ac:dyDescent="0.2">
      <c r="A5148" s="6" t="str">
        <f>"EXD3"</f>
        <v>EXD3</v>
      </c>
      <c r="B5148" s="6">
        <v>7.69230769230769E-2</v>
      </c>
      <c r="C5148" s="6">
        <v>0.24974598051521099</v>
      </c>
    </row>
    <row r="5149" spans="1:3" s="7" customFormat="1" x14ac:dyDescent="0.2">
      <c r="A5149" s="6" t="str">
        <f>"EXD2"</f>
        <v>EXD2</v>
      </c>
      <c r="B5149" s="6">
        <v>7.69230769230769E-2</v>
      </c>
      <c r="C5149" s="6">
        <v>0.24974598051521099</v>
      </c>
    </row>
    <row r="5150" spans="1:3" s="7" customFormat="1" x14ac:dyDescent="0.2">
      <c r="A5150" s="6" t="str">
        <f>"CPNE3"</f>
        <v>CPNE3</v>
      </c>
      <c r="B5150" s="6">
        <v>7.6999999999999999E-2</v>
      </c>
      <c r="C5150" s="6">
        <v>0.24994717420858401</v>
      </c>
    </row>
    <row r="5151" spans="1:3" s="7" customFormat="1" x14ac:dyDescent="0.2">
      <c r="A5151" s="6" t="str">
        <f>"EPOR"</f>
        <v>EPOR</v>
      </c>
      <c r="B5151" s="6">
        <v>7.7922077922077906E-2</v>
      </c>
      <c r="C5151" s="6">
        <v>0.25118411000763902</v>
      </c>
    </row>
    <row r="5152" spans="1:3" s="7" customFormat="1" x14ac:dyDescent="0.2">
      <c r="A5152" s="6" t="str">
        <f>"Z98885.3"</f>
        <v>Z98885.3</v>
      </c>
      <c r="B5152" s="6">
        <v>7.77027027027027E-2</v>
      </c>
      <c r="C5152" s="6">
        <v>0.25118411000763902</v>
      </c>
    </row>
    <row r="5153" spans="1:3" s="7" customFormat="1" x14ac:dyDescent="0.2">
      <c r="A5153" s="6" t="str">
        <f>"HIC1"</f>
        <v>HIC1</v>
      </c>
      <c r="B5153" s="6">
        <v>7.7922077922077906E-2</v>
      </c>
      <c r="C5153" s="6">
        <v>0.25118411000763902</v>
      </c>
    </row>
    <row r="5154" spans="1:3" s="7" customFormat="1" x14ac:dyDescent="0.2">
      <c r="A5154" s="6" t="str">
        <f>"SCAF4"</f>
        <v>SCAF4</v>
      </c>
      <c r="B5154" s="6">
        <v>7.7922077922077906E-2</v>
      </c>
      <c r="C5154" s="6">
        <v>0.25118411000763902</v>
      </c>
    </row>
    <row r="5155" spans="1:3" s="7" customFormat="1" x14ac:dyDescent="0.2">
      <c r="A5155" s="6" t="str">
        <f>"BDKRB1"</f>
        <v>BDKRB1</v>
      </c>
      <c r="B5155" s="6">
        <v>7.7922077922077906E-2</v>
      </c>
      <c r="C5155" s="6">
        <v>0.25118411000763902</v>
      </c>
    </row>
    <row r="5156" spans="1:3" s="7" customFormat="1" x14ac:dyDescent="0.2">
      <c r="A5156" s="6" t="str">
        <f>"LINC01909"</f>
        <v>LINC01909</v>
      </c>
      <c r="B5156" s="6">
        <v>7.7699293642784995E-2</v>
      </c>
      <c r="C5156" s="6">
        <v>0.25118411000763902</v>
      </c>
    </row>
    <row r="5157" spans="1:3" s="7" customFormat="1" x14ac:dyDescent="0.2">
      <c r="A5157" s="6" t="str">
        <f>"KCTD7"</f>
        <v>KCTD7</v>
      </c>
      <c r="B5157" s="6">
        <v>7.7922077922077906E-2</v>
      </c>
      <c r="C5157" s="6">
        <v>0.25118411000763902</v>
      </c>
    </row>
    <row r="5158" spans="1:3" s="7" customFormat="1" x14ac:dyDescent="0.2">
      <c r="A5158" s="6" t="str">
        <f>"AL139385.1"</f>
        <v>AL139385.1</v>
      </c>
      <c r="B5158" s="6">
        <v>7.7922077922077906E-2</v>
      </c>
      <c r="C5158" s="6">
        <v>0.25118411000763902</v>
      </c>
    </row>
    <row r="5159" spans="1:3" s="7" customFormat="1" x14ac:dyDescent="0.2">
      <c r="A5159" s="6" t="str">
        <f>"ALOXE3"</f>
        <v>ALOXE3</v>
      </c>
      <c r="B5159" s="6">
        <v>7.7922077922077906E-2</v>
      </c>
      <c r="C5159" s="6">
        <v>0.25118411000763902</v>
      </c>
    </row>
    <row r="5160" spans="1:3" s="7" customFormat="1" x14ac:dyDescent="0.2">
      <c r="A5160" s="6" t="str">
        <f>"ORC3"</f>
        <v>ORC3</v>
      </c>
      <c r="B5160" s="6">
        <v>7.7922077922077906E-2</v>
      </c>
      <c r="C5160" s="6">
        <v>0.25118411000763902</v>
      </c>
    </row>
    <row r="5161" spans="1:3" s="7" customFormat="1" x14ac:dyDescent="0.2">
      <c r="A5161" s="6" t="str">
        <f>"DUSP10"</f>
        <v>DUSP10</v>
      </c>
      <c r="B5161" s="6">
        <v>7.7922077922077906E-2</v>
      </c>
      <c r="C5161" s="6">
        <v>0.25118411000763902</v>
      </c>
    </row>
    <row r="5162" spans="1:3" s="7" customFormat="1" x14ac:dyDescent="0.2">
      <c r="A5162" s="6" t="str">
        <f>"RAD17"</f>
        <v>RAD17</v>
      </c>
      <c r="B5162" s="6">
        <v>7.7922077922077906E-2</v>
      </c>
      <c r="C5162" s="6">
        <v>0.25118411000763902</v>
      </c>
    </row>
    <row r="5163" spans="1:3" s="7" customFormat="1" x14ac:dyDescent="0.2">
      <c r="A5163" s="6" t="str">
        <f>"EID2B"</f>
        <v>EID2B</v>
      </c>
      <c r="B5163" s="6">
        <v>7.7922077922077906E-2</v>
      </c>
      <c r="C5163" s="6">
        <v>0.25118411000763902</v>
      </c>
    </row>
    <row r="5164" spans="1:3" s="7" customFormat="1" x14ac:dyDescent="0.2">
      <c r="A5164" s="6" t="str">
        <f>"PSMG1"</f>
        <v>PSMG1</v>
      </c>
      <c r="B5164" s="6">
        <v>7.7922077922077906E-2</v>
      </c>
      <c r="C5164" s="6">
        <v>0.25118411000763902</v>
      </c>
    </row>
    <row r="5165" spans="1:3" s="7" customFormat="1" x14ac:dyDescent="0.2">
      <c r="A5165" s="6" t="str">
        <f>"GOLGA8R"</f>
        <v>GOLGA8R</v>
      </c>
      <c r="B5165" s="6">
        <v>7.7922077922077906E-2</v>
      </c>
      <c r="C5165" s="6">
        <v>0.25118411000763902</v>
      </c>
    </row>
    <row r="5166" spans="1:3" s="7" customFormat="1" x14ac:dyDescent="0.2">
      <c r="A5166" s="6" t="str">
        <f>"DONSON"</f>
        <v>DONSON</v>
      </c>
      <c r="B5166" s="6">
        <v>7.7922077922077906E-2</v>
      </c>
      <c r="C5166" s="6">
        <v>0.25118411000763902</v>
      </c>
    </row>
    <row r="5167" spans="1:3" s="7" customFormat="1" x14ac:dyDescent="0.2">
      <c r="A5167" s="6" t="str">
        <f>"SDK2"</f>
        <v>SDK2</v>
      </c>
      <c r="B5167" s="6">
        <v>7.7922077922077906E-2</v>
      </c>
      <c r="C5167" s="6">
        <v>0.25118411000763902</v>
      </c>
    </row>
    <row r="5168" spans="1:3" s="7" customFormat="1" x14ac:dyDescent="0.2">
      <c r="A5168" s="6" t="str">
        <f>"AC008514.1"</f>
        <v>AC008514.1</v>
      </c>
      <c r="B5168" s="6">
        <v>7.7922077922077906E-2</v>
      </c>
      <c r="C5168" s="6">
        <v>0.25118411000763902</v>
      </c>
    </row>
    <row r="5169" spans="1:3" s="7" customFormat="1" x14ac:dyDescent="0.2">
      <c r="A5169" s="6" t="str">
        <f>"IHH"</f>
        <v>IHH</v>
      </c>
      <c r="B5169" s="6">
        <v>7.7922077922077906E-2</v>
      </c>
      <c r="C5169" s="6">
        <v>0.25118411000763902</v>
      </c>
    </row>
    <row r="5170" spans="1:3" s="7" customFormat="1" x14ac:dyDescent="0.2">
      <c r="A5170" s="6" t="str">
        <f>"CBWD3"</f>
        <v>CBWD3</v>
      </c>
      <c r="B5170" s="6">
        <v>7.7922077922077906E-2</v>
      </c>
      <c r="C5170" s="6">
        <v>0.25118411000763902</v>
      </c>
    </row>
    <row r="5171" spans="1:3" s="7" customFormat="1" x14ac:dyDescent="0.2">
      <c r="A5171" s="6" t="str">
        <f>"NKILA"</f>
        <v>NKILA</v>
      </c>
      <c r="B5171" s="6">
        <v>7.7922077922077906E-2</v>
      </c>
      <c r="C5171" s="6">
        <v>0.25118411000763902</v>
      </c>
    </row>
    <row r="5172" spans="1:3" s="7" customFormat="1" x14ac:dyDescent="0.2">
      <c r="A5172" s="6" t="str">
        <f>"HERC1"</f>
        <v>HERC1</v>
      </c>
      <c r="B5172" s="6">
        <v>7.7922077922077906E-2</v>
      </c>
      <c r="C5172" s="6">
        <v>0.25118411000763902</v>
      </c>
    </row>
    <row r="5173" spans="1:3" s="7" customFormat="1" x14ac:dyDescent="0.2">
      <c r="A5173" s="6" t="str">
        <f>"SLC9A7"</f>
        <v>SLC9A7</v>
      </c>
      <c r="B5173" s="6">
        <v>7.7922077922077906E-2</v>
      </c>
      <c r="C5173" s="6">
        <v>0.25118411000763902</v>
      </c>
    </row>
    <row r="5174" spans="1:3" s="7" customFormat="1" x14ac:dyDescent="0.2">
      <c r="A5174" s="6" t="str">
        <f>"GNAI1"</f>
        <v>GNAI1</v>
      </c>
      <c r="B5174" s="6">
        <v>7.7922077922077906E-2</v>
      </c>
      <c r="C5174" s="6">
        <v>0.25118411000763902</v>
      </c>
    </row>
    <row r="5175" spans="1:3" s="7" customFormat="1" x14ac:dyDescent="0.2">
      <c r="A5175" s="6" t="str">
        <f>"SCG2"</f>
        <v>SCG2</v>
      </c>
      <c r="B5175" s="6">
        <v>7.7922077922077906E-2</v>
      </c>
      <c r="C5175" s="6">
        <v>0.25118411000763902</v>
      </c>
    </row>
    <row r="5176" spans="1:3" s="7" customFormat="1" x14ac:dyDescent="0.2">
      <c r="A5176" s="6" t="str">
        <f>"AL583827.1"</f>
        <v>AL583827.1</v>
      </c>
      <c r="B5176" s="6">
        <v>7.7473182359952306E-2</v>
      </c>
      <c r="C5176" s="6">
        <v>0.25118411000763902</v>
      </c>
    </row>
    <row r="5177" spans="1:3" s="7" customFormat="1" x14ac:dyDescent="0.2">
      <c r="A5177" s="6" t="str">
        <f>"AC005962.2"</f>
        <v>AC005962.2</v>
      </c>
      <c r="B5177" s="6">
        <v>7.7922077922077906E-2</v>
      </c>
      <c r="C5177" s="6">
        <v>0.25118411000763902</v>
      </c>
    </row>
    <row r="5178" spans="1:3" s="7" customFormat="1" x14ac:dyDescent="0.2">
      <c r="A5178" s="6" t="str">
        <f>"AL583808.1"</f>
        <v>AL583808.1</v>
      </c>
      <c r="B5178" s="6">
        <v>7.7542799597180204E-2</v>
      </c>
      <c r="C5178" s="6">
        <v>0.25118411000763902</v>
      </c>
    </row>
    <row r="5179" spans="1:3" s="7" customFormat="1" x14ac:dyDescent="0.2">
      <c r="A5179" s="6" t="str">
        <f>"EIF6"</f>
        <v>EIF6</v>
      </c>
      <c r="B5179" s="6">
        <v>7.7922077922077906E-2</v>
      </c>
      <c r="C5179" s="6">
        <v>0.25118411000763902</v>
      </c>
    </row>
    <row r="5180" spans="1:3" s="7" customFormat="1" x14ac:dyDescent="0.2">
      <c r="A5180" s="6" t="str">
        <f>"MRPL20"</f>
        <v>MRPL20</v>
      </c>
      <c r="B5180" s="6">
        <v>7.7922077922077906E-2</v>
      </c>
      <c r="C5180" s="6">
        <v>0.25118411000763902</v>
      </c>
    </row>
    <row r="5181" spans="1:3" s="7" customFormat="1" x14ac:dyDescent="0.2">
      <c r="A5181" s="6" t="str">
        <f>"MNS1"</f>
        <v>MNS1</v>
      </c>
      <c r="B5181" s="6">
        <v>7.7922077922077906E-2</v>
      </c>
      <c r="C5181" s="6">
        <v>0.25118411000763902</v>
      </c>
    </row>
    <row r="5182" spans="1:3" s="7" customFormat="1" x14ac:dyDescent="0.2">
      <c r="A5182" s="6" t="str">
        <f>"MIF4GD"</f>
        <v>MIF4GD</v>
      </c>
      <c r="B5182" s="6">
        <v>7.7922077922077906E-2</v>
      </c>
      <c r="C5182" s="6">
        <v>0.25118411000763902</v>
      </c>
    </row>
    <row r="5183" spans="1:3" s="7" customFormat="1" x14ac:dyDescent="0.2">
      <c r="A5183" s="6" t="str">
        <f>"AC099050.1"</f>
        <v>AC099050.1</v>
      </c>
      <c r="B5183" s="6">
        <v>7.7922077922077906E-2</v>
      </c>
      <c r="C5183" s="6">
        <v>0.25118411000763902</v>
      </c>
    </row>
    <row r="5184" spans="1:3" s="7" customFormat="1" x14ac:dyDescent="0.2">
      <c r="A5184" s="6" t="str">
        <f>"MAP2K1"</f>
        <v>MAP2K1</v>
      </c>
      <c r="B5184" s="6">
        <v>7.7922077922077906E-2</v>
      </c>
      <c r="C5184" s="6">
        <v>0.25118411000763902</v>
      </c>
    </row>
    <row r="5185" spans="1:3" s="7" customFormat="1" x14ac:dyDescent="0.2">
      <c r="A5185" s="6" t="str">
        <f>"NSMCE4A"</f>
        <v>NSMCE4A</v>
      </c>
      <c r="B5185" s="6">
        <v>7.7922077922077906E-2</v>
      </c>
      <c r="C5185" s="6">
        <v>0.25118411000763902</v>
      </c>
    </row>
    <row r="5186" spans="1:3" s="7" customFormat="1" x14ac:dyDescent="0.2">
      <c r="A5186" s="6" t="str">
        <f>"INHBB"</f>
        <v>INHBB</v>
      </c>
      <c r="B5186" s="6">
        <v>7.7922077922077906E-2</v>
      </c>
      <c r="C5186" s="6">
        <v>0.25118411000763902</v>
      </c>
    </row>
    <row r="5187" spans="1:3" s="7" customFormat="1" x14ac:dyDescent="0.2">
      <c r="A5187" s="6" t="str">
        <f>"ANAPC13"</f>
        <v>ANAPC13</v>
      </c>
      <c r="B5187" s="6">
        <v>7.8E-2</v>
      </c>
      <c r="C5187" s="6">
        <v>0.25128989976869698</v>
      </c>
    </row>
    <row r="5188" spans="1:3" s="7" customFormat="1" x14ac:dyDescent="0.2">
      <c r="A5188" s="6" t="str">
        <f>"DTX3L"</f>
        <v>DTX3L</v>
      </c>
      <c r="B5188" s="6">
        <v>7.8E-2</v>
      </c>
      <c r="C5188" s="6">
        <v>0.25128989976869698</v>
      </c>
    </row>
    <row r="5189" spans="1:3" s="7" customFormat="1" x14ac:dyDescent="0.2">
      <c r="A5189" s="6" t="str">
        <f>"RTL5"</f>
        <v>RTL5</v>
      </c>
      <c r="B5189" s="6">
        <v>7.8E-2</v>
      </c>
      <c r="C5189" s="6">
        <v>0.25128989976869698</v>
      </c>
    </row>
    <row r="5190" spans="1:3" s="7" customFormat="1" x14ac:dyDescent="0.2">
      <c r="A5190" s="6" t="str">
        <f>"Z97633.1"</f>
        <v>Z97633.1</v>
      </c>
      <c r="B5190" s="6">
        <v>7.8078078078077998E-2</v>
      </c>
      <c r="C5190" s="6">
        <v>0.25144450809190599</v>
      </c>
    </row>
    <row r="5191" spans="1:3" s="7" customFormat="1" x14ac:dyDescent="0.2">
      <c r="A5191" s="6" t="str">
        <f>"TRIM7-AS1"</f>
        <v>TRIM7-AS1</v>
      </c>
      <c r="B5191" s="6">
        <v>7.8078078078077998E-2</v>
      </c>
      <c r="C5191" s="6">
        <v>0.25144450809190599</v>
      </c>
    </row>
    <row r="5192" spans="1:3" s="7" customFormat="1" x14ac:dyDescent="0.2">
      <c r="A5192" s="6" t="str">
        <f>"AC002350.2"</f>
        <v>AC002350.2</v>
      </c>
      <c r="B5192" s="6">
        <v>7.8156312625250496E-2</v>
      </c>
      <c r="C5192" s="6">
        <v>0.25164796941214301</v>
      </c>
    </row>
    <row r="5193" spans="1:3" s="7" customFormat="1" x14ac:dyDescent="0.2">
      <c r="A5193" s="6" t="str">
        <f>"MAP1LC3B"</f>
        <v>MAP1LC3B</v>
      </c>
      <c r="B5193" s="6">
        <v>7.8921078921078899E-2</v>
      </c>
      <c r="C5193" s="6">
        <v>0.25279549886678998</v>
      </c>
    </row>
    <row r="5194" spans="1:3" s="7" customFormat="1" x14ac:dyDescent="0.2">
      <c r="A5194" s="6" t="str">
        <f>"UBE2G2"</f>
        <v>UBE2G2</v>
      </c>
      <c r="B5194" s="6">
        <v>7.8921078921078899E-2</v>
      </c>
      <c r="C5194" s="6">
        <v>0.25279549886678998</v>
      </c>
    </row>
    <row r="5195" spans="1:3" s="7" customFormat="1" x14ac:dyDescent="0.2">
      <c r="A5195" s="6" t="str">
        <f>"TIMP1"</f>
        <v>TIMP1</v>
      </c>
      <c r="B5195" s="6">
        <v>7.8921078921078899E-2</v>
      </c>
      <c r="C5195" s="6">
        <v>0.25279549886678998</v>
      </c>
    </row>
    <row r="5196" spans="1:3" s="7" customFormat="1" x14ac:dyDescent="0.2">
      <c r="A5196" s="6" t="str">
        <f>"MAN2B2"</f>
        <v>MAN2B2</v>
      </c>
      <c r="B5196" s="6">
        <v>7.8921078921078899E-2</v>
      </c>
      <c r="C5196" s="6">
        <v>0.25279549886678998</v>
      </c>
    </row>
    <row r="5197" spans="1:3" s="7" customFormat="1" x14ac:dyDescent="0.2">
      <c r="A5197" s="6" t="str">
        <f>"CGAS"</f>
        <v>CGAS</v>
      </c>
      <c r="B5197" s="6">
        <v>7.8921078921078899E-2</v>
      </c>
      <c r="C5197" s="6">
        <v>0.25279549886678998</v>
      </c>
    </row>
    <row r="5198" spans="1:3" s="7" customFormat="1" x14ac:dyDescent="0.2">
      <c r="A5198" s="6" t="str">
        <f>"AL355315.1"</f>
        <v>AL355315.1</v>
      </c>
      <c r="B5198" s="6">
        <v>7.8921078921078899E-2</v>
      </c>
      <c r="C5198" s="6">
        <v>0.25279549886678998</v>
      </c>
    </row>
    <row r="5199" spans="1:3" s="7" customFormat="1" x14ac:dyDescent="0.2">
      <c r="A5199" s="6" t="str">
        <f>"PI4KAP1"</f>
        <v>PI4KAP1</v>
      </c>
      <c r="B5199" s="6">
        <v>7.8921078921078899E-2</v>
      </c>
      <c r="C5199" s="6">
        <v>0.25279549886678998</v>
      </c>
    </row>
    <row r="5200" spans="1:3" s="7" customFormat="1" x14ac:dyDescent="0.2">
      <c r="A5200" s="6" t="str">
        <f>"LRRC8A"</f>
        <v>LRRC8A</v>
      </c>
      <c r="B5200" s="6">
        <v>7.8921078921078899E-2</v>
      </c>
      <c r="C5200" s="6">
        <v>0.25279549886678998</v>
      </c>
    </row>
    <row r="5201" spans="1:3" s="7" customFormat="1" x14ac:dyDescent="0.2">
      <c r="A5201" s="6" t="str">
        <f>"TMEM97"</f>
        <v>TMEM97</v>
      </c>
      <c r="B5201" s="6">
        <v>7.8921078921078899E-2</v>
      </c>
      <c r="C5201" s="6">
        <v>0.25279549886678998</v>
      </c>
    </row>
    <row r="5202" spans="1:3" s="7" customFormat="1" x14ac:dyDescent="0.2">
      <c r="A5202" s="6" t="str">
        <f>"EIF4E2"</f>
        <v>EIF4E2</v>
      </c>
      <c r="B5202" s="6">
        <v>7.8921078921078899E-2</v>
      </c>
      <c r="C5202" s="6">
        <v>0.25279549886678998</v>
      </c>
    </row>
    <row r="5203" spans="1:3" s="7" customFormat="1" x14ac:dyDescent="0.2">
      <c r="A5203" s="6" t="str">
        <f>"ZNF639"</f>
        <v>ZNF639</v>
      </c>
      <c r="B5203" s="6">
        <v>7.8921078921078899E-2</v>
      </c>
      <c r="C5203" s="6">
        <v>0.25279549886678998</v>
      </c>
    </row>
    <row r="5204" spans="1:3" s="7" customFormat="1" x14ac:dyDescent="0.2">
      <c r="A5204" s="6" t="str">
        <f>"PRXL2B"</f>
        <v>PRXL2B</v>
      </c>
      <c r="B5204" s="6">
        <v>7.8921078921078899E-2</v>
      </c>
      <c r="C5204" s="6">
        <v>0.25279549886678998</v>
      </c>
    </row>
    <row r="5205" spans="1:3" s="7" customFormat="1" x14ac:dyDescent="0.2">
      <c r="A5205" s="6" t="str">
        <f>"AC138028.1"</f>
        <v>AC138028.1</v>
      </c>
      <c r="B5205" s="6">
        <v>7.8921078921078899E-2</v>
      </c>
      <c r="C5205" s="6">
        <v>0.25279549886678998</v>
      </c>
    </row>
    <row r="5206" spans="1:3" s="7" customFormat="1" x14ac:dyDescent="0.2">
      <c r="A5206" s="6" t="str">
        <f>"ZNF432"</f>
        <v>ZNF432</v>
      </c>
      <c r="B5206" s="6">
        <v>7.8921078921078899E-2</v>
      </c>
      <c r="C5206" s="6">
        <v>0.25279549886678998</v>
      </c>
    </row>
    <row r="5207" spans="1:3" s="7" customFormat="1" x14ac:dyDescent="0.2">
      <c r="A5207" s="6" t="str">
        <f>"TM2D1"</f>
        <v>TM2D1</v>
      </c>
      <c r="B5207" s="6">
        <v>7.8921078921078899E-2</v>
      </c>
      <c r="C5207" s="6">
        <v>0.25279549886678998</v>
      </c>
    </row>
    <row r="5208" spans="1:3" s="7" customFormat="1" x14ac:dyDescent="0.2">
      <c r="A5208" s="6" t="str">
        <f>"GOLGA8N"</f>
        <v>GOLGA8N</v>
      </c>
      <c r="B5208" s="6">
        <v>7.8921078921078899E-2</v>
      </c>
      <c r="C5208" s="6">
        <v>0.25279549886678998</v>
      </c>
    </row>
    <row r="5209" spans="1:3" s="7" customFormat="1" x14ac:dyDescent="0.2">
      <c r="A5209" s="6" t="str">
        <f>"CCDC28A"</f>
        <v>CCDC28A</v>
      </c>
      <c r="B5209" s="6">
        <v>7.8921078921078899E-2</v>
      </c>
      <c r="C5209" s="6">
        <v>0.25279549886678998</v>
      </c>
    </row>
    <row r="5210" spans="1:3" s="7" customFormat="1" x14ac:dyDescent="0.2">
      <c r="A5210" s="6" t="str">
        <f>"PPP1R9A"</f>
        <v>PPP1R9A</v>
      </c>
      <c r="B5210" s="6">
        <v>7.8921078921078899E-2</v>
      </c>
      <c r="C5210" s="6">
        <v>0.25279549886678998</v>
      </c>
    </row>
    <row r="5211" spans="1:3" s="7" customFormat="1" x14ac:dyDescent="0.2">
      <c r="A5211" s="6" t="str">
        <f>"AL591848.2"</f>
        <v>AL591848.2</v>
      </c>
      <c r="B5211" s="6">
        <v>7.8787878787878698E-2</v>
      </c>
      <c r="C5211" s="6">
        <v>0.25279549886678998</v>
      </c>
    </row>
    <row r="5212" spans="1:3" s="7" customFormat="1" x14ac:dyDescent="0.2">
      <c r="A5212" s="6" t="str">
        <f>"HIRA"</f>
        <v>HIRA</v>
      </c>
      <c r="B5212" s="6">
        <v>7.8921078921078899E-2</v>
      </c>
      <c r="C5212" s="6">
        <v>0.25279549886678998</v>
      </c>
    </row>
    <row r="5213" spans="1:3" s="7" customFormat="1" x14ac:dyDescent="0.2">
      <c r="A5213" s="6" t="str">
        <f>"RGL1"</f>
        <v>RGL1</v>
      </c>
      <c r="B5213" s="6">
        <v>7.8921078921078899E-2</v>
      </c>
      <c r="C5213" s="6">
        <v>0.25279549886678998</v>
      </c>
    </row>
    <row r="5214" spans="1:3" s="7" customFormat="1" x14ac:dyDescent="0.2">
      <c r="A5214" s="6" t="str">
        <f>"NRP1"</f>
        <v>NRP1</v>
      </c>
      <c r="B5214" s="6">
        <v>7.8921078921078899E-2</v>
      </c>
      <c r="C5214" s="6">
        <v>0.25279549886678998</v>
      </c>
    </row>
    <row r="5215" spans="1:3" s="7" customFormat="1" x14ac:dyDescent="0.2">
      <c r="A5215" s="6" t="str">
        <f>"ZNF792"</f>
        <v>ZNF792</v>
      </c>
      <c r="B5215" s="6">
        <v>7.8921078921078899E-2</v>
      </c>
      <c r="C5215" s="6">
        <v>0.25279549886678998</v>
      </c>
    </row>
    <row r="5216" spans="1:3" s="7" customFormat="1" x14ac:dyDescent="0.2">
      <c r="A5216" s="6" t="str">
        <f>"CTSK"</f>
        <v>CTSK</v>
      </c>
      <c r="B5216" s="6">
        <v>7.8921078921078899E-2</v>
      </c>
      <c r="C5216" s="6">
        <v>0.25279549886678998</v>
      </c>
    </row>
    <row r="5217" spans="1:3" s="7" customFormat="1" x14ac:dyDescent="0.2">
      <c r="A5217" s="6" t="str">
        <f>"TIGAR"</f>
        <v>TIGAR</v>
      </c>
      <c r="B5217" s="6">
        <v>7.8921078921078899E-2</v>
      </c>
      <c r="C5217" s="6">
        <v>0.25279549886678998</v>
      </c>
    </row>
    <row r="5218" spans="1:3" s="7" customFormat="1" x14ac:dyDescent="0.2">
      <c r="A5218" s="6" t="str">
        <f>"WDR83OS"</f>
        <v>WDR83OS</v>
      </c>
      <c r="B5218" s="6">
        <v>7.8921078921078899E-2</v>
      </c>
      <c r="C5218" s="6">
        <v>0.25279549886678998</v>
      </c>
    </row>
    <row r="5219" spans="1:3" s="7" customFormat="1" x14ac:dyDescent="0.2">
      <c r="A5219" s="6" t="str">
        <f>"EIF2A"</f>
        <v>EIF2A</v>
      </c>
      <c r="B5219" s="6">
        <v>7.8921078921078899E-2</v>
      </c>
      <c r="C5219" s="6">
        <v>0.25279549886678998</v>
      </c>
    </row>
    <row r="5220" spans="1:3" s="7" customFormat="1" x14ac:dyDescent="0.2">
      <c r="A5220" s="6" t="str">
        <f>"AC008626.1"</f>
        <v>AC008626.1</v>
      </c>
      <c r="B5220" s="6">
        <v>7.9000000000000001E-2</v>
      </c>
      <c r="C5220" s="6">
        <v>0.25280605016274099</v>
      </c>
    </row>
    <row r="5221" spans="1:3" s="7" customFormat="1" x14ac:dyDescent="0.2">
      <c r="A5221" s="6" t="str">
        <f>"JAKMIP2"</f>
        <v>JAKMIP2</v>
      </c>
      <c r="B5221" s="6">
        <v>7.9000000000000001E-2</v>
      </c>
      <c r="C5221" s="6">
        <v>0.25280605016274099</v>
      </c>
    </row>
    <row r="5222" spans="1:3" s="7" customFormat="1" x14ac:dyDescent="0.2">
      <c r="A5222" s="6" t="str">
        <f>"FSD1L"</f>
        <v>FSD1L</v>
      </c>
      <c r="B5222" s="6">
        <v>7.9000000000000001E-2</v>
      </c>
      <c r="C5222" s="6">
        <v>0.25280605016274099</v>
      </c>
    </row>
    <row r="5223" spans="1:3" s="7" customFormat="1" x14ac:dyDescent="0.2">
      <c r="A5223" s="6" t="str">
        <f>"DBI"</f>
        <v>DBI</v>
      </c>
      <c r="B5223" s="6">
        <v>7.9000000000000001E-2</v>
      </c>
      <c r="C5223" s="6">
        <v>0.25280605016274099</v>
      </c>
    </row>
    <row r="5224" spans="1:3" s="7" customFormat="1" x14ac:dyDescent="0.2">
      <c r="A5224" s="6" t="str">
        <f>"FAM216B"</f>
        <v>FAM216B</v>
      </c>
      <c r="B5224" s="6">
        <v>7.9000000000000001E-2</v>
      </c>
      <c r="C5224" s="6">
        <v>0.25280605016274099</v>
      </c>
    </row>
    <row r="5225" spans="1:3" s="7" customFormat="1" x14ac:dyDescent="0.2">
      <c r="A5225" s="6" t="str">
        <f>"AC074044.1"</f>
        <v>AC074044.1</v>
      </c>
      <c r="B5225" s="6">
        <v>7.9079079079079004E-2</v>
      </c>
      <c r="C5225" s="6">
        <v>0.25296224454119098</v>
      </c>
    </row>
    <row r="5226" spans="1:3" s="7" customFormat="1" x14ac:dyDescent="0.2">
      <c r="A5226" s="6" t="str">
        <f>"TCAF2"</f>
        <v>TCAF2</v>
      </c>
      <c r="B5226" s="6">
        <v>7.9079079079079004E-2</v>
      </c>
      <c r="C5226" s="6">
        <v>0.25296224454119098</v>
      </c>
    </row>
    <row r="5227" spans="1:3" s="7" customFormat="1" x14ac:dyDescent="0.2">
      <c r="A5227" s="6" t="str">
        <f>"TMEM81"</f>
        <v>TMEM81</v>
      </c>
      <c r="B5227" s="6">
        <v>7.9158316633266501E-2</v>
      </c>
      <c r="C5227" s="6">
        <v>0.25316726065985701</v>
      </c>
    </row>
    <row r="5228" spans="1:3" s="7" customFormat="1" x14ac:dyDescent="0.2">
      <c r="A5228" s="6" t="str">
        <f>"LINC00278"</f>
        <v>LINC00278</v>
      </c>
      <c r="B5228" s="6">
        <v>7.9231692677070795E-2</v>
      </c>
      <c r="C5228" s="6">
        <v>0.25335345540550203</v>
      </c>
    </row>
    <row r="5229" spans="1:3" s="7" customFormat="1" x14ac:dyDescent="0.2">
      <c r="A5229" s="6" t="str">
        <f>"OR2G6"</f>
        <v>OR2G6</v>
      </c>
      <c r="B5229" s="6">
        <v>7.9429735234215801E-2</v>
      </c>
      <c r="C5229" s="6">
        <v>0.25393813976753699</v>
      </c>
    </row>
    <row r="5230" spans="1:3" s="7" customFormat="1" x14ac:dyDescent="0.2">
      <c r="A5230" s="6" t="str">
        <f>"RPL13P12"</f>
        <v>RPL13P12</v>
      </c>
      <c r="B5230" s="6">
        <v>7.9510703363914303E-2</v>
      </c>
      <c r="C5230" s="6">
        <v>0.25414838325195299</v>
      </c>
    </row>
    <row r="5231" spans="1:3" s="7" customFormat="1" x14ac:dyDescent="0.2">
      <c r="A5231" s="6" t="str">
        <f>"GNG7"</f>
        <v>GNG7</v>
      </c>
      <c r="B5231" s="6">
        <v>7.9920079920079906E-2</v>
      </c>
      <c r="C5231" s="6">
        <v>0.25428978027493099</v>
      </c>
    </row>
    <row r="5232" spans="1:3" s="7" customFormat="1" x14ac:dyDescent="0.2">
      <c r="A5232" s="6" t="str">
        <f>"SVIL"</f>
        <v>SVIL</v>
      </c>
      <c r="B5232" s="6">
        <v>7.9920079920079906E-2</v>
      </c>
      <c r="C5232" s="6">
        <v>0.25428978027493099</v>
      </c>
    </row>
    <row r="5233" spans="1:3" s="7" customFormat="1" x14ac:dyDescent="0.2">
      <c r="A5233" s="6" t="str">
        <f>"AP003068.2"</f>
        <v>AP003068.2</v>
      </c>
      <c r="B5233" s="6">
        <v>7.9920079920079906E-2</v>
      </c>
      <c r="C5233" s="6">
        <v>0.25428978027493099</v>
      </c>
    </row>
    <row r="5234" spans="1:3" s="7" customFormat="1" x14ac:dyDescent="0.2">
      <c r="A5234" s="6" t="str">
        <f>"UGT2B7"</f>
        <v>UGT2B7</v>
      </c>
      <c r="B5234" s="6">
        <v>7.9920079920079906E-2</v>
      </c>
      <c r="C5234" s="6">
        <v>0.25428978027493099</v>
      </c>
    </row>
    <row r="5235" spans="1:3" s="7" customFormat="1" x14ac:dyDescent="0.2">
      <c r="A5235" s="6" t="str">
        <f>"VPS4B"</f>
        <v>VPS4B</v>
      </c>
      <c r="B5235" s="6">
        <v>7.9920079920079906E-2</v>
      </c>
      <c r="C5235" s="6">
        <v>0.25428978027493099</v>
      </c>
    </row>
    <row r="5236" spans="1:3" s="7" customFormat="1" x14ac:dyDescent="0.2">
      <c r="A5236" s="6" t="str">
        <f>"FERMT1"</f>
        <v>FERMT1</v>
      </c>
      <c r="B5236" s="6">
        <v>7.9920079920079906E-2</v>
      </c>
      <c r="C5236" s="6">
        <v>0.25428978027493099</v>
      </c>
    </row>
    <row r="5237" spans="1:3" s="7" customFormat="1" x14ac:dyDescent="0.2">
      <c r="A5237" s="6" t="str">
        <f>"XAB2"</f>
        <v>XAB2</v>
      </c>
      <c r="B5237" s="6">
        <v>7.9920079920079906E-2</v>
      </c>
      <c r="C5237" s="6">
        <v>0.25428978027493099</v>
      </c>
    </row>
    <row r="5238" spans="1:3" s="7" customFormat="1" x14ac:dyDescent="0.2">
      <c r="A5238" s="6" t="str">
        <f>"SMPX"</f>
        <v>SMPX</v>
      </c>
      <c r="B5238" s="6">
        <v>7.9920079920079906E-2</v>
      </c>
      <c r="C5238" s="6">
        <v>0.25428978027493099</v>
      </c>
    </row>
    <row r="5239" spans="1:3" s="7" customFormat="1" x14ac:dyDescent="0.2">
      <c r="A5239" s="6" t="str">
        <f>"PATZ1"</f>
        <v>PATZ1</v>
      </c>
      <c r="B5239" s="6">
        <v>7.9920079920079906E-2</v>
      </c>
      <c r="C5239" s="6">
        <v>0.25428978027493099</v>
      </c>
    </row>
    <row r="5240" spans="1:3" s="7" customFormat="1" x14ac:dyDescent="0.2">
      <c r="A5240" s="6" t="str">
        <f>"MUC22"</f>
        <v>MUC22</v>
      </c>
      <c r="B5240" s="6">
        <v>7.9920079920079906E-2</v>
      </c>
      <c r="C5240" s="6">
        <v>0.25428978027493099</v>
      </c>
    </row>
    <row r="5241" spans="1:3" s="7" customFormat="1" x14ac:dyDescent="0.2">
      <c r="A5241" s="6" t="str">
        <f>"GFRA3"</f>
        <v>GFRA3</v>
      </c>
      <c r="B5241" s="6">
        <v>7.9920079920079906E-2</v>
      </c>
      <c r="C5241" s="6">
        <v>0.25428978027493099</v>
      </c>
    </row>
    <row r="5242" spans="1:3" s="7" customFormat="1" x14ac:dyDescent="0.2">
      <c r="A5242" s="6" t="str">
        <f>"TRAF2"</f>
        <v>TRAF2</v>
      </c>
      <c r="B5242" s="6">
        <v>7.9920079920079906E-2</v>
      </c>
      <c r="C5242" s="6">
        <v>0.25428978027493099</v>
      </c>
    </row>
    <row r="5243" spans="1:3" s="7" customFormat="1" x14ac:dyDescent="0.2">
      <c r="A5243" s="6" t="str">
        <f>"LTBP3"</f>
        <v>LTBP3</v>
      </c>
      <c r="B5243" s="6">
        <v>7.9920079920079906E-2</v>
      </c>
      <c r="C5243" s="6">
        <v>0.25428978027493099</v>
      </c>
    </row>
    <row r="5244" spans="1:3" s="7" customFormat="1" x14ac:dyDescent="0.2">
      <c r="A5244" s="6" t="str">
        <f>"AL356310.1"</f>
        <v>AL356310.1</v>
      </c>
      <c r="B5244" s="6">
        <v>7.9920079920079906E-2</v>
      </c>
      <c r="C5244" s="6">
        <v>0.25428978027493099</v>
      </c>
    </row>
    <row r="5245" spans="1:3" s="7" customFormat="1" x14ac:dyDescent="0.2">
      <c r="A5245" s="6" t="str">
        <f>"ZNF814"</f>
        <v>ZNF814</v>
      </c>
      <c r="B5245" s="6">
        <v>7.9920079920079906E-2</v>
      </c>
      <c r="C5245" s="6">
        <v>0.25428978027493099</v>
      </c>
    </row>
    <row r="5246" spans="1:3" s="7" customFormat="1" x14ac:dyDescent="0.2">
      <c r="A5246" s="6" t="str">
        <f>"AL035701.1"</f>
        <v>AL035701.1</v>
      </c>
      <c r="B5246" s="6">
        <v>7.9920079920079906E-2</v>
      </c>
      <c r="C5246" s="6">
        <v>0.25428978027493099</v>
      </c>
    </row>
    <row r="5247" spans="1:3" s="7" customFormat="1" x14ac:dyDescent="0.2">
      <c r="A5247" s="6" t="str">
        <f>"SGF29"</f>
        <v>SGF29</v>
      </c>
      <c r="B5247" s="6">
        <v>7.9920079920079906E-2</v>
      </c>
      <c r="C5247" s="6">
        <v>0.25428978027493099</v>
      </c>
    </row>
    <row r="5248" spans="1:3" s="7" customFormat="1" x14ac:dyDescent="0.2">
      <c r="A5248" s="6" t="str">
        <f>"A1BG-AS1"</f>
        <v>A1BG-AS1</v>
      </c>
      <c r="B5248" s="6">
        <v>7.9920079920079906E-2</v>
      </c>
      <c r="C5248" s="6">
        <v>0.25428978027493099</v>
      </c>
    </row>
    <row r="5249" spans="1:3" s="7" customFormat="1" x14ac:dyDescent="0.2">
      <c r="A5249" s="6" t="str">
        <f>"BCL2L15"</f>
        <v>BCL2L15</v>
      </c>
      <c r="B5249" s="6">
        <v>7.9920079920079906E-2</v>
      </c>
      <c r="C5249" s="6">
        <v>0.25428978027493099</v>
      </c>
    </row>
    <row r="5250" spans="1:3" s="7" customFormat="1" x14ac:dyDescent="0.2">
      <c r="A5250" s="6" t="str">
        <f>"RIMS3"</f>
        <v>RIMS3</v>
      </c>
      <c r="B5250" s="6">
        <v>7.9920079920079906E-2</v>
      </c>
      <c r="C5250" s="6">
        <v>0.25428978027493099</v>
      </c>
    </row>
    <row r="5251" spans="1:3" s="7" customFormat="1" x14ac:dyDescent="0.2">
      <c r="A5251" s="6" t="str">
        <f>"NCAPH"</f>
        <v>NCAPH</v>
      </c>
      <c r="B5251" s="6">
        <v>7.9920079920079906E-2</v>
      </c>
      <c r="C5251" s="6">
        <v>0.25428978027493099</v>
      </c>
    </row>
    <row r="5252" spans="1:3" s="7" customFormat="1" x14ac:dyDescent="0.2">
      <c r="A5252" s="6" t="str">
        <f>"DIP2B"</f>
        <v>DIP2B</v>
      </c>
      <c r="B5252" s="6">
        <v>7.9920079920079906E-2</v>
      </c>
      <c r="C5252" s="6">
        <v>0.25428978027493099</v>
      </c>
    </row>
    <row r="5253" spans="1:3" s="7" customFormat="1" x14ac:dyDescent="0.2">
      <c r="A5253" s="6" t="str">
        <f>"GEMIN7"</f>
        <v>GEMIN7</v>
      </c>
      <c r="B5253" s="6">
        <v>7.9920079920079906E-2</v>
      </c>
      <c r="C5253" s="6">
        <v>0.25428978027493099</v>
      </c>
    </row>
    <row r="5254" spans="1:3" s="7" customFormat="1" x14ac:dyDescent="0.2">
      <c r="A5254" s="6" t="str">
        <f>"MYH11"</f>
        <v>MYH11</v>
      </c>
      <c r="B5254" s="6">
        <v>7.9920079920079906E-2</v>
      </c>
      <c r="C5254" s="6">
        <v>0.25428978027493099</v>
      </c>
    </row>
    <row r="5255" spans="1:3" s="7" customFormat="1" x14ac:dyDescent="0.2">
      <c r="A5255" s="6" t="str">
        <f>"ITGB1"</f>
        <v>ITGB1</v>
      </c>
      <c r="B5255" s="6">
        <v>0.08</v>
      </c>
      <c r="C5255" s="6">
        <v>0.25449562238294599</v>
      </c>
    </row>
    <row r="5256" spans="1:3" s="7" customFormat="1" x14ac:dyDescent="0.2">
      <c r="A5256" s="6" t="str">
        <f>"NSMAF"</f>
        <v>NSMAF</v>
      </c>
      <c r="B5256" s="6">
        <v>8.0919080919080899E-2</v>
      </c>
      <c r="C5256" s="6">
        <v>0.25590946423491301</v>
      </c>
    </row>
    <row r="5257" spans="1:3" s="7" customFormat="1" x14ac:dyDescent="0.2">
      <c r="A5257" s="6" t="str">
        <f>"UBQLN1"</f>
        <v>UBQLN1</v>
      </c>
      <c r="B5257" s="6">
        <v>8.0919080919080899E-2</v>
      </c>
      <c r="C5257" s="6">
        <v>0.25590946423491301</v>
      </c>
    </row>
    <row r="5258" spans="1:3" s="7" customFormat="1" x14ac:dyDescent="0.2">
      <c r="A5258" s="6" t="str">
        <f>"CSDE1"</f>
        <v>CSDE1</v>
      </c>
      <c r="B5258" s="6">
        <v>8.0919080919080899E-2</v>
      </c>
      <c r="C5258" s="6">
        <v>0.25590946423491301</v>
      </c>
    </row>
    <row r="5259" spans="1:3" s="7" customFormat="1" x14ac:dyDescent="0.2">
      <c r="A5259" s="6" t="str">
        <f>"JMJD6"</f>
        <v>JMJD6</v>
      </c>
      <c r="B5259" s="6">
        <v>8.0919080919080899E-2</v>
      </c>
      <c r="C5259" s="6">
        <v>0.25590946423491301</v>
      </c>
    </row>
    <row r="5260" spans="1:3" s="7" customFormat="1" x14ac:dyDescent="0.2">
      <c r="A5260" s="6" t="str">
        <f>"AP003680.1"</f>
        <v>AP003680.1</v>
      </c>
      <c r="B5260" s="6">
        <v>8.0919080919080899E-2</v>
      </c>
      <c r="C5260" s="6">
        <v>0.25590946423491301</v>
      </c>
    </row>
    <row r="5261" spans="1:3" s="7" customFormat="1" x14ac:dyDescent="0.2">
      <c r="A5261" s="6" t="str">
        <f>"PKD1"</f>
        <v>PKD1</v>
      </c>
      <c r="B5261" s="6">
        <v>8.0919080919080899E-2</v>
      </c>
      <c r="C5261" s="6">
        <v>0.25590946423491301</v>
      </c>
    </row>
    <row r="5262" spans="1:3" s="7" customFormat="1" x14ac:dyDescent="0.2">
      <c r="A5262" s="6" t="str">
        <f>"Metazoa"</f>
        <v>Metazoa</v>
      </c>
      <c r="B5262" s="6">
        <v>8.0919080919080899E-2</v>
      </c>
      <c r="C5262" s="6">
        <v>0.25590946423491301</v>
      </c>
    </row>
    <row r="5263" spans="1:3" s="7" customFormat="1" x14ac:dyDescent="0.2">
      <c r="A5263" s="6" t="str">
        <f>"RHBDL3"</f>
        <v>RHBDL3</v>
      </c>
      <c r="B5263" s="6">
        <v>8.0919080919080899E-2</v>
      </c>
      <c r="C5263" s="6">
        <v>0.25590946423491301</v>
      </c>
    </row>
    <row r="5264" spans="1:3" s="7" customFormat="1" x14ac:dyDescent="0.2">
      <c r="A5264" s="6" t="str">
        <f>"ZNF718"</f>
        <v>ZNF718</v>
      </c>
      <c r="B5264" s="6">
        <v>8.0919080919080899E-2</v>
      </c>
      <c r="C5264" s="6">
        <v>0.25590946423491301</v>
      </c>
    </row>
    <row r="5265" spans="1:3" s="7" customFormat="1" x14ac:dyDescent="0.2">
      <c r="A5265" s="6" t="str">
        <f>"RTP4"</f>
        <v>RTP4</v>
      </c>
      <c r="B5265" s="6">
        <v>8.0919080919080899E-2</v>
      </c>
      <c r="C5265" s="6">
        <v>0.25590946423491301</v>
      </c>
    </row>
    <row r="5266" spans="1:3" s="7" customFormat="1" x14ac:dyDescent="0.2">
      <c r="A5266" s="6" t="str">
        <f>"ADCK5"</f>
        <v>ADCK5</v>
      </c>
      <c r="B5266" s="6">
        <v>8.0919080919080899E-2</v>
      </c>
      <c r="C5266" s="6">
        <v>0.25590946423491301</v>
      </c>
    </row>
    <row r="5267" spans="1:3" s="7" customFormat="1" x14ac:dyDescent="0.2">
      <c r="A5267" s="6" t="str">
        <f>"SOWAHB"</f>
        <v>SOWAHB</v>
      </c>
      <c r="B5267" s="6">
        <v>8.0919080919080899E-2</v>
      </c>
      <c r="C5267" s="6">
        <v>0.25590946423491301</v>
      </c>
    </row>
    <row r="5268" spans="1:3" s="7" customFormat="1" x14ac:dyDescent="0.2">
      <c r="A5268" s="6" t="str">
        <f>"DYRK4"</f>
        <v>DYRK4</v>
      </c>
      <c r="B5268" s="6">
        <v>8.0919080919080899E-2</v>
      </c>
      <c r="C5268" s="6">
        <v>0.25590946423491301</v>
      </c>
    </row>
    <row r="5269" spans="1:3" s="7" customFormat="1" x14ac:dyDescent="0.2">
      <c r="A5269" s="6" t="str">
        <f>"SMIM30"</f>
        <v>SMIM30</v>
      </c>
      <c r="B5269" s="6">
        <v>8.0919080919080899E-2</v>
      </c>
      <c r="C5269" s="6">
        <v>0.25590946423491301</v>
      </c>
    </row>
    <row r="5270" spans="1:3" s="7" customFormat="1" x14ac:dyDescent="0.2">
      <c r="A5270" s="6" t="str">
        <f>"ZNF559"</f>
        <v>ZNF559</v>
      </c>
      <c r="B5270" s="6">
        <v>8.0919080919080899E-2</v>
      </c>
      <c r="C5270" s="6">
        <v>0.25590946423491301</v>
      </c>
    </row>
    <row r="5271" spans="1:3" s="7" customFormat="1" x14ac:dyDescent="0.2">
      <c r="A5271" s="6" t="str">
        <f>"AC112236.2"</f>
        <v>AC112236.2</v>
      </c>
      <c r="B5271" s="6">
        <v>8.04597701149425E-2</v>
      </c>
      <c r="C5271" s="6">
        <v>0.25590946423491301</v>
      </c>
    </row>
    <row r="5272" spans="1:3" s="7" customFormat="1" x14ac:dyDescent="0.2">
      <c r="A5272" s="6" t="str">
        <f>"SMYD2"</f>
        <v>SMYD2</v>
      </c>
      <c r="B5272" s="6">
        <v>8.0919080919080899E-2</v>
      </c>
      <c r="C5272" s="6">
        <v>0.25590946423491301</v>
      </c>
    </row>
    <row r="5273" spans="1:3" s="7" customFormat="1" x14ac:dyDescent="0.2">
      <c r="A5273" s="6" t="str">
        <f>"LINGO2"</f>
        <v>LINGO2</v>
      </c>
      <c r="B5273" s="6">
        <v>8.0919080919080899E-2</v>
      </c>
      <c r="C5273" s="6">
        <v>0.25590946423491301</v>
      </c>
    </row>
    <row r="5274" spans="1:3" s="7" customFormat="1" x14ac:dyDescent="0.2">
      <c r="A5274" s="6" t="str">
        <f>"GOLGA2P7"</f>
        <v>GOLGA2P7</v>
      </c>
      <c r="B5274" s="6">
        <v>8.0919080919080899E-2</v>
      </c>
      <c r="C5274" s="6">
        <v>0.25590946423491301</v>
      </c>
    </row>
    <row r="5275" spans="1:3" s="7" customFormat="1" x14ac:dyDescent="0.2">
      <c r="A5275" s="6" t="str">
        <f>"STOML3"</f>
        <v>STOML3</v>
      </c>
      <c r="B5275" s="6">
        <v>8.0919080919080899E-2</v>
      </c>
      <c r="C5275" s="6">
        <v>0.25590946423491301</v>
      </c>
    </row>
    <row r="5276" spans="1:3" s="7" customFormat="1" x14ac:dyDescent="0.2">
      <c r="A5276" s="6" t="str">
        <f>"AC008674.1"</f>
        <v>AC008674.1</v>
      </c>
      <c r="B5276" s="6">
        <v>8.0919080919080899E-2</v>
      </c>
      <c r="C5276" s="6">
        <v>0.25590946423491301</v>
      </c>
    </row>
    <row r="5277" spans="1:3" s="7" customFormat="1" x14ac:dyDescent="0.2">
      <c r="A5277" s="6" t="str">
        <f>"Z99496.1"</f>
        <v>Z99496.1</v>
      </c>
      <c r="B5277" s="6">
        <v>8.0919080919080899E-2</v>
      </c>
      <c r="C5277" s="6">
        <v>0.25590946423491301</v>
      </c>
    </row>
    <row r="5278" spans="1:3" s="7" customFormat="1" x14ac:dyDescent="0.2">
      <c r="A5278" s="6" t="str">
        <f>"AC025181.2"</f>
        <v>AC025181.2</v>
      </c>
      <c r="B5278" s="6">
        <v>8.0919080919080899E-2</v>
      </c>
      <c r="C5278" s="6">
        <v>0.25590946423491301</v>
      </c>
    </row>
    <row r="5279" spans="1:3" s="7" customFormat="1" x14ac:dyDescent="0.2">
      <c r="A5279" s="6" t="str">
        <f>"DHRS13"</f>
        <v>DHRS13</v>
      </c>
      <c r="B5279" s="6">
        <v>8.0919080919080899E-2</v>
      </c>
      <c r="C5279" s="6">
        <v>0.25590946423491301</v>
      </c>
    </row>
    <row r="5280" spans="1:3" s="7" customFormat="1" x14ac:dyDescent="0.2">
      <c r="A5280" s="6" t="str">
        <f>"KIF11"</f>
        <v>KIF11</v>
      </c>
      <c r="B5280" s="6">
        <v>8.0919080919080899E-2</v>
      </c>
      <c r="C5280" s="6">
        <v>0.25590946423491301</v>
      </c>
    </row>
    <row r="5281" spans="1:3" s="7" customFormat="1" x14ac:dyDescent="0.2">
      <c r="A5281" s="6" t="str">
        <f>"CCDC190"</f>
        <v>CCDC190</v>
      </c>
      <c r="B5281" s="6">
        <v>8.0919080919080899E-2</v>
      </c>
      <c r="C5281" s="6">
        <v>0.25590946423491301</v>
      </c>
    </row>
    <row r="5282" spans="1:3" s="7" customFormat="1" x14ac:dyDescent="0.2">
      <c r="A5282" s="6" t="str">
        <f>"PLVAP"</f>
        <v>PLVAP</v>
      </c>
      <c r="B5282" s="6">
        <v>8.0919080919080899E-2</v>
      </c>
      <c r="C5282" s="6">
        <v>0.25590946423491301</v>
      </c>
    </row>
    <row r="5283" spans="1:3" s="7" customFormat="1" x14ac:dyDescent="0.2">
      <c r="A5283" s="6" t="str">
        <f>"EIF3F"</f>
        <v>EIF3F</v>
      </c>
      <c r="B5283" s="6">
        <v>8.0919080919080899E-2</v>
      </c>
      <c r="C5283" s="6">
        <v>0.25590946423491301</v>
      </c>
    </row>
    <row r="5284" spans="1:3" s="7" customFormat="1" x14ac:dyDescent="0.2">
      <c r="A5284" s="6" t="str">
        <f>"PSMC5"</f>
        <v>PSMC5</v>
      </c>
      <c r="B5284" s="6">
        <v>8.0919080919080899E-2</v>
      </c>
      <c r="C5284" s="6">
        <v>0.25590946423491301</v>
      </c>
    </row>
    <row r="5285" spans="1:3" s="7" customFormat="1" x14ac:dyDescent="0.2">
      <c r="A5285" s="6" t="str">
        <f>"AMDHD2"</f>
        <v>AMDHD2</v>
      </c>
      <c r="B5285" s="6">
        <v>8.0919080919080899E-2</v>
      </c>
      <c r="C5285" s="6">
        <v>0.25590946423491301</v>
      </c>
    </row>
    <row r="5286" spans="1:3" s="7" customFormat="1" x14ac:dyDescent="0.2">
      <c r="A5286" s="6" t="str">
        <f>"HLTF"</f>
        <v>HLTF</v>
      </c>
      <c r="B5286" s="6">
        <v>8.0919080919080899E-2</v>
      </c>
      <c r="C5286" s="6">
        <v>0.25590946423491301</v>
      </c>
    </row>
    <row r="5287" spans="1:3" s="7" customFormat="1" x14ac:dyDescent="0.2">
      <c r="A5287" s="6" t="str">
        <f>"PPP1R16A"</f>
        <v>PPP1R16A</v>
      </c>
      <c r="B5287" s="6">
        <v>8.1000000000000003E-2</v>
      </c>
      <c r="C5287" s="6">
        <v>0.25606846983166198</v>
      </c>
    </row>
    <row r="5288" spans="1:3" s="7" customFormat="1" x14ac:dyDescent="0.2">
      <c r="A5288" s="6" t="str">
        <f>"AC139100.2"</f>
        <v>AC139100.2</v>
      </c>
      <c r="B5288" s="6">
        <v>8.1000000000000003E-2</v>
      </c>
      <c r="C5288" s="6">
        <v>0.25606846983166198</v>
      </c>
    </row>
    <row r="5289" spans="1:3" s="7" customFormat="1" x14ac:dyDescent="0.2">
      <c r="A5289" s="6" t="str">
        <f>"FNDC3B"</f>
        <v>FNDC3B</v>
      </c>
      <c r="B5289" s="6">
        <v>8.1918081918081906E-2</v>
      </c>
      <c r="C5289" s="6">
        <v>0.25712278331996602</v>
      </c>
    </row>
    <row r="5290" spans="1:3" s="7" customFormat="1" x14ac:dyDescent="0.2">
      <c r="A5290" s="6" t="str">
        <f>"CDC42EP3"</f>
        <v>CDC42EP3</v>
      </c>
      <c r="B5290" s="6">
        <v>8.1918081918081906E-2</v>
      </c>
      <c r="C5290" s="6">
        <v>0.25712278331996602</v>
      </c>
    </row>
    <row r="5291" spans="1:3" s="7" customFormat="1" x14ac:dyDescent="0.2">
      <c r="A5291" s="6" t="str">
        <f>"GNRHR2"</f>
        <v>GNRHR2</v>
      </c>
      <c r="B5291" s="6">
        <v>8.1918081918081906E-2</v>
      </c>
      <c r="C5291" s="6">
        <v>0.25712278331996602</v>
      </c>
    </row>
    <row r="5292" spans="1:3" s="7" customFormat="1" x14ac:dyDescent="0.2">
      <c r="A5292" s="6" t="str">
        <f>"SRSF8"</f>
        <v>SRSF8</v>
      </c>
      <c r="B5292" s="6">
        <v>8.1918081918081906E-2</v>
      </c>
      <c r="C5292" s="6">
        <v>0.25712278331996602</v>
      </c>
    </row>
    <row r="5293" spans="1:3" s="7" customFormat="1" x14ac:dyDescent="0.2">
      <c r="A5293" s="6" t="str">
        <f>"IGLV2-11"</f>
        <v>IGLV2-11</v>
      </c>
      <c r="B5293" s="6">
        <v>8.1918081918081906E-2</v>
      </c>
      <c r="C5293" s="6">
        <v>0.25712278331996602</v>
      </c>
    </row>
    <row r="5294" spans="1:3" s="7" customFormat="1" x14ac:dyDescent="0.2">
      <c r="A5294" s="6" t="str">
        <f>"TXNDC2"</f>
        <v>TXNDC2</v>
      </c>
      <c r="B5294" s="6">
        <v>8.1918081918081906E-2</v>
      </c>
      <c r="C5294" s="6">
        <v>0.25712278331996602</v>
      </c>
    </row>
    <row r="5295" spans="1:3" s="7" customFormat="1" x14ac:dyDescent="0.2">
      <c r="A5295" s="6" t="str">
        <f>"MBD6"</f>
        <v>MBD6</v>
      </c>
      <c r="B5295" s="6">
        <v>8.1918081918081906E-2</v>
      </c>
      <c r="C5295" s="6">
        <v>0.25712278331996602</v>
      </c>
    </row>
    <row r="5296" spans="1:3" s="7" customFormat="1" x14ac:dyDescent="0.2">
      <c r="A5296" s="6" t="str">
        <f>"AC020915.2"</f>
        <v>AC020915.2</v>
      </c>
      <c r="B5296" s="6">
        <v>8.1918081918081906E-2</v>
      </c>
      <c r="C5296" s="6">
        <v>0.25712278331996602</v>
      </c>
    </row>
    <row r="5297" spans="1:3" s="7" customFormat="1" x14ac:dyDescent="0.2">
      <c r="A5297" s="6" t="str">
        <f>"PTRHD1"</f>
        <v>PTRHD1</v>
      </c>
      <c r="B5297" s="6">
        <v>8.1918081918081906E-2</v>
      </c>
      <c r="C5297" s="6">
        <v>0.25712278331996602</v>
      </c>
    </row>
    <row r="5298" spans="1:3" s="7" customFormat="1" x14ac:dyDescent="0.2">
      <c r="A5298" s="6" t="str">
        <f>"SERPINC1"</f>
        <v>SERPINC1</v>
      </c>
      <c r="B5298" s="6">
        <v>8.1918081918081906E-2</v>
      </c>
      <c r="C5298" s="6">
        <v>0.25712278331996602</v>
      </c>
    </row>
    <row r="5299" spans="1:3" s="7" customFormat="1" x14ac:dyDescent="0.2">
      <c r="A5299" s="6" t="str">
        <f>"LINC01451"</f>
        <v>LINC01451</v>
      </c>
      <c r="B5299" s="6">
        <v>8.1918081918081906E-2</v>
      </c>
      <c r="C5299" s="6">
        <v>0.25712278331996602</v>
      </c>
    </row>
    <row r="5300" spans="1:3" s="7" customFormat="1" x14ac:dyDescent="0.2">
      <c r="A5300" s="6" t="str">
        <f>"MIB2"</f>
        <v>MIB2</v>
      </c>
      <c r="B5300" s="6">
        <v>8.1918081918081906E-2</v>
      </c>
      <c r="C5300" s="6">
        <v>0.25712278331996602</v>
      </c>
    </row>
    <row r="5301" spans="1:3" s="7" customFormat="1" x14ac:dyDescent="0.2">
      <c r="A5301" s="6" t="str">
        <f>"TYW1B"</f>
        <v>TYW1B</v>
      </c>
      <c r="B5301" s="6">
        <v>8.1918081918081906E-2</v>
      </c>
      <c r="C5301" s="6">
        <v>0.25712278331996602</v>
      </c>
    </row>
    <row r="5302" spans="1:3" s="7" customFormat="1" x14ac:dyDescent="0.2">
      <c r="A5302" s="6" t="str">
        <f>"MTHFSD"</f>
        <v>MTHFSD</v>
      </c>
      <c r="B5302" s="6">
        <v>8.1918081918081906E-2</v>
      </c>
      <c r="C5302" s="6">
        <v>0.25712278331996602</v>
      </c>
    </row>
    <row r="5303" spans="1:3" s="7" customFormat="1" x14ac:dyDescent="0.2">
      <c r="A5303" s="6" t="str">
        <f>"SOX15"</f>
        <v>SOX15</v>
      </c>
      <c r="B5303" s="6">
        <v>8.1918081918081906E-2</v>
      </c>
      <c r="C5303" s="6">
        <v>0.25712278331996602</v>
      </c>
    </row>
    <row r="5304" spans="1:3" s="7" customFormat="1" x14ac:dyDescent="0.2">
      <c r="A5304" s="6" t="str">
        <f>"ATP8B4"</f>
        <v>ATP8B4</v>
      </c>
      <c r="B5304" s="6">
        <v>8.1918081918081906E-2</v>
      </c>
      <c r="C5304" s="6">
        <v>0.25712278331996602</v>
      </c>
    </row>
    <row r="5305" spans="1:3" s="7" customFormat="1" x14ac:dyDescent="0.2">
      <c r="A5305" s="6" t="str">
        <f>"HOOK1"</f>
        <v>HOOK1</v>
      </c>
      <c r="B5305" s="6">
        <v>8.1918081918081906E-2</v>
      </c>
      <c r="C5305" s="6">
        <v>0.25712278331996602</v>
      </c>
    </row>
    <row r="5306" spans="1:3" s="7" customFormat="1" x14ac:dyDescent="0.2">
      <c r="A5306" s="6" t="str">
        <f>"AL158212.2"</f>
        <v>AL158212.2</v>
      </c>
      <c r="B5306" s="6">
        <v>8.1570996978851895E-2</v>
      </c>
      <c r="C5306" s="6">
        <v>0.25712278331996602</v>
      </c>
    </row>
    <row r="5307" spans="1:3" s="7" customFormat="1" x14ac:dyDescent="0.2">
      <c r="A5307" s="6" t="str">
        <f>"SIRPD"</f>
        <v>SIRPD</v>
      </c>
      <c r="B5307" s="6">
        <v>8.1918081918081906E-2</v>
      </c>
      <c r="C5307" s="6">
        <v>0.25712278331996602</v>
      </c>
    </row>
    <row r="5308" spans="1:3" s="7" customFormat="1" x14ac:dyDescent="0.2">
      <c r="A5308" s="6" t="str">
        <f>"AL109811.1"</f>
        <v>AL109811.1</v>
      </c>
      <c r="B5308" s="6">
        <v>8.1918081918081906E-2</v>
      </c>
      <c r="C5308" s="6">
        <v>0.25712278331996602</v>
      </c>
    </row>
    <row r="5309" spans="1:3" s="7" customFormat="1" x14ac:dyDescent="0.2">
      <c r="A5309" s="6" t="str">
        <f>"CCDC110"</f>
        <v>CCDC110</v>
      </c>
      <c r="B5309" s="6">
        <v>8.1918081918081906E-2</v>
      </c>
      <c r="C5309" s="6">
        <v>0.25712278331996602</v>
      </c>
    </row>
    <row r="5310" spans="1:3" s="7" customFormat="1" x14ac:dyDescent="0.2">
      <c r="A5310" s="6" t="str">
        <f>"NGLY1"</f>
        <v>NGLY1</v>
      </c>
      <c r="B5310" s="6">
        <v>8.1918081918081906E-2</v>
      </c>
      <c r="C5310" s="6">
        <v>0.25712278331996602</v>
      </c>
    </row>
    <row r="5311" spans="1:3" s="7" customFormat="1" x14ac:dyDescent="0.2">
      <c r="A5311" s="6" t="str">
        <f>"ZNF358"</f>
        <v>ZNF358</v>
      </c>
      <c r="B5311" s="6">
        <v>8.1918081918081906E-2</v>
      </c>
      <c r="C5311" s="6">
        <v>0.25712278331996602</v>
      </c>
    </row>
    <row r="5312" spans="1:3" s="7" customFormat="1" x14ac:dyDescent="0.2">
      <c r="A5312" s="6" t="str">
        <f>"SUN2"</f>
        <v>SUN2</v>
      </c>
      <c r="B5312" s="6">
        <v>8.1918081918081906E-2</v>
      </c>
      <c r="C5312" s="6">
        <v>0.25712278331996602</v>
      </c>
    </row>
    <row r="5313" spans="1:3" s="7" customFormat="1" x14ac:dyDescent="0.2">
      <c r="A5313" s="6" t="str">
        <f>"AL591043.2"</f>
        <v>AL591043.2</v>
      </c>
      <c r="B5313" s="6">
        <v>8.1918081918081906E-2</v>
      </c>
      <c r="C5313" s="6">
        <v>0.25712278331996602</v>
      </c>
    </row>
    <row r="5314" spans="1:3" s="7" customFormat="1" x14ac:dyDescent="0.2">
      <c r="A5314" s="6" t="str">
        <f>"AC092058.1"</f>
        <v>AC092058.1</v>
      </c>
      <c r="B5314" s="6">
        <v>8.1918081918081906E-2</v>
      </c>
      <c r="C5314" s="6">
        <v>0.25712278331996602</v>
      </c>
    </row>
    <row r="5315" spans="1:3" s="7" customFormat="1" x14ac:dyDescent="0.2">
      <c r="A5315" s="6" t="str">
        <f>"RXFP4"</f>
        <v>RXFP4</v>
      </c>
      <c r="B5315" s="6">
        <v>8.1918081918081906E-2</v>
      </c>
      <c r="C5315" s="6">
        <v>0.25712278331996602</v>
      </c>
    </row>
    <row r="5316" spans="1:3" s="7" customFormat="1" x14ac:dyDescent="0.2">
      <c r="A5316" s="6" t="str">
        <f>"ARHGAP31"</f>
        <v>ARHGAP31</v>
      </c>
      <c r="B5316" s="6">
        <v>8.1918081918081906E-2</v>
      </c>
      <c r="C5316" s="6">
        <v>0.25712278331996602</v>
      </c>
    </row>
    <row r="5317" spans="1:3" s="7" customFormat="1" x14ac:dyDescent="0.2">
      <c r="A5317" s="6" t="str">
        <f>"AL136982.1"</f>
        <v>AL136982.1</v>
      </c>
      <c r="B5317" s="6">
        <v>8.1918081918081906E-2</v>
      </c>
      <c r="C5317" s="6">
        <v>0.25712278331996602</v>
      </c>
    </row>
    <row r="5318" spans="1:3" s="7" customFormat="1" x14ac:dyDescent="0.2">
      <c r="A5318" s="6" t="str">
        <f>"CCDC163"</f>
        <v>CCDC163</v>
      </c>
      <c r="B5318" s="6">
        <v>8.1918081918081906E-2</v>
      </c>
      <c r="C5318" s="6">
        <v>0.25712278331996602</v>
      </c>
    </row>
    <row r="5319" spans="1:3" s="7" customFormat="1" x14ac:dyDescent="0.2">
      <c r="A5319" s="6" t="str">
        <f>"UAP1L1"</f>
        <v>UAP1L1</v>
      </c>
      <c r="B5319" s="6">
        <v>8.1918081918081906E-2</v>
      </c>
      <c r="C5319" s="6">
        <v>0.25712278331996602</v>
      </c>
    </row>
    <row r="5320" spans="1:3" s="7" customFormat="1" x14ac:dyDescent="0.2">
      <c r="A5320" s="6" t="str">
        <f>"CLUHP3"</f>
        <v>CLUHP3</v>
      </c>
      <c r="B5320" s="6">
        <v>8.1918081918081906E-2</v>
      </c>
      <c r="C5320" s="6">
        <v>0.25712278331996602</v>
      </c>
    </row>
    <row r="5321" spans="1:3" s="7" customFormat="1" x14ac:dyDescent="0.2">
      <c r="A5321" s="6" t="str">
        <f>"SGMS2"</f>
        <v>SGMS2</v>
      </c>
      <c r="B5321" s="6">
        <v>8.1918081918081906E-2</v>
      </c>
      <c r="C5321" s="6">
        <v>0.25712278331996602</v>
      </c>
    </row>
    <row r="5322" spans="1:3" s="7" customFormat="1" x14ac:dyDescent="0.2">
      <c r="A5322" s="6" t="str">
        <f>"MARCHF8"</f>
        <v>MARCHF8</v>
      </c>
      <c r="B5322" s="6">
        <v>8.1918081918081906E-2</v>
      </c>
      <c r="C5322" s="6">
        <v>0.25712278331996602</v>
      </c>
    </row>
    <row r="5323" spans="1:3" s="7" customFormat="1" x14ac:dyDescent="0.2">
      <c r="A5323" s="6" t="str">
        <f>"NDUFAF5"</f>
        <v>NDUFAF5</v>
      </c>
      <c r="B5323" s="6">
        <v>8.1918081918081906E-2</v>
      </c>
      <c r="C5323" s="6">
        <v>0.25712278331996602</v>
      </c>
    </row>
    <row r="5324" spans="1:3" s="7" customFormat="1" x14ac:dyDescent="0.2">
      <c r="A5324" s="6" t="str">
        <f>"ING3"</f>
        <v>ING3</v>
      </c>
      <c r="B5324" s="6">
        <v>8.1918081918081906E-2</v>
      </c>
      <c r="C5324" s="6">
        <v>0.25712278331996602</v>
      </c>
    </row>
    <row r="5325" spans="1:3" s="7" customFormat="1" x14ac:dyDescent="0.2">
      <c r="A5325" s="6" t="str">
        <f>"INIP"</f>
        <v>INIP</v>
      </c>
      <c r="B5325" s="6">
        <v>8.1918081918081906E-2</v>
      </c>
      <c r="C5325" s="6">
        <v>0.25712278331996602</v>
      </c>
    </row>
    <row r="5326" spans="1:3" s="7" customFormat="1" x14ac:dyDescent="0.2">
      <c r="A5326" s="6" t="str">
        <f>"KLF5"</f>
        <v>KLF5</v>
      </c>
      <c r="B5326" s="6">
        <v>8.1918081918081906E-2</v>
      </c>
      <c r="C5326" s="6">
        <v>0.25712278331996602</v>
      </c>
    </row>
    <row r="5327" spans="1:3" s="7" customFormat="1" x14ac:dyDescent="0.2">
      <c r="A5327" s="6" t="str">
        <f>"VSTM1"</f>
        <v>VSTM1</v>
      </c>
      <c r="B5327" s="6">
        <v>8.2000000000000003E-2</v>
      </c>
      <c r="C5327" s="6">
        <v>0.25713846153846098</v>
      </c>
    </row>
    <row r="5328" spans="1:3" s="7" customFormat="1" x14ac:dyDescent="0.2">
      <c r="A5328" s="6" t="str">
        <f>"RAB40A"</f>
        <v>RAB40A</v>
      </c>
      <c r="B5328" s="6">
        <v>8.2000000000000003E-2</v>
      </c>
      <c r="C5328" s="6">
        <v>0.25713846153846098</v>
      </c>
    </row>
    <row r="5329" spans="1:3" s="7" customFormat="1" x14ac:dyDescent="0.2">
      <c r="A5329" s="6" t="str">
        <f>"FUZ"</f>
        <v>FUZ</v>
      </c>
      <c r="B5329" s="6">
        <v>8.2000000000000003E-2</v>
      </c>
      <c r="C5329" s="6">
        <v>0.25713846153846098</v>
      </c>
    </row>
    <row r="5330" spans="1:3" s="7" customFormat="1" x14ac:dyDescent="0.2">
      <c r="A5330" s="6" t="str">
        <f>"SBNO1-AS1"</f>
        <v>SBNO1-AS1</v>
      </c>
      <c r="B5330" s="6">
        <v>8.2000000000000003E-2</v>
      </c>
      <c r="C5330" s="6">
        <v>0.25713846153846098</v>
      </c>
    </row>
    <row r="5331" spans="1:3" s="7" customFormat="1" x14ac:dyDescent="0.2">
      <c r="A5331" s="6" t="str">
        <f>"AC136475.2"</f>
        <v>AC136475.2</v>
      </c>
      <c r="B5331" s="6">
        <v>8.2000000000000003E-2</v>
      </c>
      <c r="C5331" s="6">
        <v>0.25713846153846098</v>
      </c>
    </row>
    <row r="5332" spans="1:3" s="7" customFormat="1" x14ac:dyDescent="0.2">
      <c r="A5332" s="6" t="str">
        <f>"SEPSECS-AS1"</f>
        <v>SEPSECS-AS1</v>
      </c>
      <c r="B5332" s="6">
        <v>8.2917082917082899E-2</v>
      </c>
      <c r="C5332" s="6">
        <v>0.25862453392990298</v>
      </c>
    </row>
    <row r="5333" spans="1:3" s="7" customFormat="1" x14ac:dyDescent="0.2">
      <c r="A5333" s="6" t="str">
        <f>"FCRLA"</f>
        <v>FCRLA</v>
      </c>
      <c r="B5333" s="6">
        <v>8.3000000000000004E-2</v>
      </c>
      <c r="C5333" s="6">
        <v>0.25862453392990298</v>
      </c>
    </row>
    <row r="5334" spans="1:3" s="7" customFormat="1" x14ac:dyDescent="0.2">
      <c r="A5334" s="6" t="str">
        <f>"DDB2"</f>
        <v>DDB2</v>
      </c>
      <c r="B5334" s="6">
        <v>8.2917082917082899E-2</v>
      </c>
      <c r="C5334" s="6">
        <v>0.25862453392990298</v>
      </c>
    </row>
    <row r="5335" spans="1:3" s="7" customFormat="1" x14ac:dyDescent="0.2">
      <c r="A5335" s="6" t="str">
        <f>"NRAP"</f>
        <v>NRAP</v>
      </c>
      <c r="B5335" s="6">
        <v>8.2917082917082899E-2</v>
      </c>
      <c r="C5335" s="6">
        <v>0.25862453392990298</v>
      </c>
    </row>
    <row r="5336" spans="1:3" s="7" customFormat="1" x14ac:dyDescent="0.2">
      <c r="A5336" s="6" t="str">
        <f>"TCAF1"</f>
        <v>TCAF1</v>
      </c>
      <c r="B5336" s="6">
        <v>8.2917082917082899E-2</v>
      </c>
      <c r="C5336" s="6">
        <v>0.25862453392990298</v>
      </c>
    </row>
    <row r="5337" spans="1:3" s="7" customFormat="1" x14ac:dyDescent="0.2">
      <c r="A5337" s="6" t="str">
        <f>"CDC42SE1"</f>
        <v>CDC42SE1</v>
      </c>
      <c r="B5337" s="6">
        <v>8.3000000000000004E-2</v>
      </c>
      <c r="C5337" s="6">
        <v>0.25862453392990298</v>
      </c>
    </row>
    <row r="5338" spans="1:3" s="7" customFormat="1" x14ac:dyDescent="0.2">
      <c r="A5338" s="6" t="str">
        <f>"LINC01814"</f>
        <v>LINC01814</v>
      </c>
      <c r="B5338" s="6">
        <v>8.2917082917082899E-2</v>
      </c>
      <c r="C5338" s="6">
        <v>0.25862453392990298</v>
      </c>
    </row>
    <row r="5339" spans="1:3" s="7" customFormat="1" x14ac:dyDescent="0.2">
      <c r="A5339" s="6" t="str">
        <f>"RTEL1-TNFRSF6B"</f>
        <v>RTEL1-TNFRSF6B</v>
      </c>
      <c r="B5339" s="6">
        <v>8.2917082917082899E-2</v>
      </c>
      <c r="C5339" s="6">
        <v>0.25862453392990298</v>
      </c>
    </row>
    <row r="5340" spans="1:3" s="7" customFormat="1" x14ac:dyDescent="0.2">
      <c r="A5340" s="6" t="str">
        <f>"OR52A1"</f>
        <v>OR52A1</v>
      </c>
      <c r="B5340" s="6">
        <v>8.2917082917082899E-2</v>
      </c>
      <c r="C5340" s="6">
        <v>0.25862453392990298</v>
      </c>
    </row>
    <row r="5341" spans="1:3" s="7" customFormat="1" x14ac:dyDescent="0.2">
      <c r="A5341" s="6" t="str">
        <f>"AC079610.1"</f>
        <v>AC079610.1</v>
      </c>
      <c r="B5341" s="6">
        <v>8.3000000000000004E-2</v>
      </c>
      <c r="C5341" s="6">
        <v>0.25862453392990298</v>
      </c>
    </row>
    <row r="5342" spans="1:3" s="7" customFormat="1" x14ac:dyDescent="0.2">
      <c r="A5342" s="6" t="str">
        <f>"TAF3"</f>
        <v>TAF3</v>
      </c>
      <c r="B5342" s="6">
        <v>8.2917082917082899E-2</v>
      </c>
      <c r="C5342" s="6">
        <v>0.25862453392990298</v>
      </c>
    </row>
    <row r="5343" spans="1:3" s="7" customFormat="1" x14ac:dyDescent="0.2">
      <c r="A5343" s="6" t="str">
        <f>"RARG"</f>
        <v>RARG</v>
      </c>
      <c r="B5343" s="6">
        <v>8.2917082917082899E-2</v>
      </c>
      <c r="C5343" s="6">
        <v>0.25862453392990298</v>
      </c>
    </row>
    <row r="5344" spans="1:3" s="7" customFormat="1" x14ac:dyDescent="0.2">
      <c r="A5344" s="6" t="str">
        <f>"LRP8"</f>
        <v>LRP8</v>
      </c>
      <c r="B5344" s="6">
        <v>8.2917082917082899E-2</v>
      </c>
      <c r="C5344" s="6">
        <v>0.25862453392990298</v>
      </c>
    </row>
    <row r="5345" spans="1:3" s="7" customFormat="1" x14ac:dyDescent="0.2">
      <c r="A5345" s="6" t="str">
        <f>"OTUB2"</f>
        <v>OTUB2</v>
      </c>
      <c r="B5345" s="6">
        <v>8.2917082917082899E-2</v>
      </c>
      <c r="C5345" s="6">
        <v>0.25862453392990298</v>
      </c>
    </row>
    <row r="5346" spans="1:3" s="7" customFormat="1" x14ac:dyDescent="0.2">
      <c r="A5346" s="6" t="str">
        <f>"PLPBP"</f>
        <v>PLPBP</v>
      </c>
      <c r="B5346" s="6">
        <v>8.2917082917082899E-2</v>
      </c>
      <c r="C5346" s="6">
        <v>0.25862453392990298</v>
      </c>
    </row>
    <row r="5347" spans="1:3" s="7" customFormat="1" x14ac:dyDescent="0.2">
      <c r="A5347" s="6" t="str">
        <f>"IMPG2"</f>
        <v>IMPG2</v>
      </c>
      <c r="B5347" s="6">
        <v>8.2917082917082899E-2</v>
      </c>
      <c r="C5347" s="6">
        <v>0.25862453392990298</v>
      </c>
    </row>
    <row r="5348" spans="1:3" s="7" customFormat="1" x14ac:dyDescent="0.2">
      <c r="A5348" s="6" t="str">
        <f>"ANKRD20A1"</f>
        <v>ANKRD20A1</v>
      </c>
      <c r="B5348" s="6">
        <v>8.2917082917082899E-2</v>
      </c>
      <c r="C5348" s="6">
        <v>0.25862453392990298</v>
      </c>
    </row>
    <row r="5349" spans="1:3" s="7" customFormat="1" x14ac:dyDescent="0.2">
      <c r="A5349" s="6" t="str">
        <f>"TRMT13"</f>
        <v>TRMT13</v>
      </c>
      <c r="B5349" s="6">
        <v>8.2917082917082899E-2</v>
      </c>
      <c r="C5349" s="6">
        <v>0.25862453392990298</v>
      </c>
    </row>
    <row r="5350" spans="1:3" s="7" customFormat="1" x14ac:dyDescent="0.2">
      <c r="A5350" s="6" t="str">
        <f>"SLFN13"</f>
        <v>SLFN13</v>
      </c>
      <c r="B5350" s="6">
        <v>8.3000000000000004E-2</v>
      </c>
      <c r="C5350" s="6">
        <v>0.25862453392990298</v>
      </c>
    </row>
    <row r="5351" spans="1:3" s="7" customFormat="1" x14ac:dyDescent="0.2">
      <c r="A5351" s="6" t="str">
        <f>"SYDE2"</f>
        <v>SYDE2</v>
      </c>
      <c r="B5351" s="6">
        <v>8.2917082917082899E-2</v>
      </c>
      <c r="C5351" s="6">
        <v>0.25862453392990298</v>
      </c>
    </row>
    <row r="5352" spans="1:3" s="7" customFormat="1" x14ac:dyDescent="0.2">
      <c r="A5352" s="6" t="str">
        <f>"CACNG8"</f>
        <v>CACNG8</v>
      </c>
      <c r="B5352" s="6">
        <v>8.2917082917082899E-2</v>
      </c>
      <c r="C5352" s="6">
        <v>0.25862453392990298</v>
      </c>
    </row>
    <row r="5353" spans="1:3" s="7" customFormat="1" x14ac:dyDescent="0.2">
      <c r="A5353" s="6" t="str">
        <f>"CDHR3"</f>
        <v>CDHR3</v>
      </c>
      <c r="B5353" s="6">
        <v>8.2917082917082899E-2</v>
      </c>
      <c r="C5353" s="6">
        <v>0.25862453392990298</v>
      </c>
    </row>
    <row r="5354" spans="1:3" s="7" customFormat="1" x14ac:dyDescent="0.2">
      <c r="A5354" s="6" t="str">
        <f>"ZNF213-AS1"</f>
        <v>ZNF213-AS1</v>
      </c>
      <c r="B5354" s="6">
        <v>8.2917082917082899E-2</v>
      </c>
      <c r="C5354" s="6">
        <v>0.25862453392990298</v>
      </c>
    </row>
    <row r="5355" spans="1:3" s="7" customFormat="1" x14ac:dyDescent="0.2">
      <c r="A5355" s="6" t="str">
        <f>"RSPO4"</f>
        <v>RSPO4</v>
      </c>
      <c r="B5355" s="6">
        <v>8.3000000000000004E-2</v>
      </c>
      <c r="C5355" s="6">
        <v>0.25862453392990298</v>
      </c>
    </row>
    <row r="5356" spans="1:3" s="7" customFormat="1" x14ac:dyDescent="0.2">
      <c r="A5356" s="6" t="str">
        <f>"NCALD"</f>
        <v>NCALD</v>
      </c>
      <c r="B5356" s="6">
        <v>8.2917082917082899E-2</v>
      </c>
      <c r="C5356" s="6">
        <v>0.25862453392990298</v>
      </c>
    </row>
    <row r="5357" spans="1:3" s="7" customFormat="1" x14ac:dyDescent="0.2">
      <c r="A5357" s="6" t="str">
        <f>"CFAP91"</f>
        <v>CFAP91</v>
      </c>
      <c r="B5357" s="6">
        <v>8.2917082917082899E-2</v>
      </c>
      <c r="C5357" s="6">
        <v>0.25862453392990298</v>
      </c>
    </row>
    <row r="5358" spans="1:3" s="7" customFormat="1" x14ac:dyDescent="0.2">
      <c r="A5358" s="6" t="str">
        <f>"MFSD2B"</f>
        <v>MFSD2B</v>
      </c>
      <c r="B5358" s="6">
        <v>8.2917082917082899E-2</v>
      </c>
      <c r="C5358" s="6">
        <v>0.25862453392990298</v>
      </c>
    </row>
    <row r="5359" spans="1:3" s="7" customFormat="1" x14ac:dyDescent="0.2">
      <c r="A5359" s="6" t="str">
        <f>"TBL1X"</f>
        <v>TBL1X</v>
      </c>
      <c r="B5359" s="6">
        <v>8.3000000000000004E-2</v>
      </c>
      <c r="C5359" s="6">
        <v>0.25862453392990298</v>
      </c>
    </row>
    <row r="5360" spans="1:3" s="7" customFormat="1" x14ac:dyDescent="0.2">
      <c r="A5360" s="6" t="str">
        <f>"STK26"</f>
        <v>STK26</v>
      </c>
      <c r="B5360" s="6">
        <v>8.2917082917082899E-2</v>
      </c>
      <c r="C5360" s="6">
        <v>0.25862453392990298</v>
      </c>
    </row>
    <row r="5361" spans="1:3" s="7" customFormat="1" x14ac:dyDescent="0.2">
      <c r="A5361" s="6" t="str">
        <f>"TMED2"</f>
        <v>TMED2</v>
      </c>
      <c r="B5361" s="6">
        <v>8.2917082917082899E-2</v>
      </c>
      <c r="C5361" s="6">
        <v>0.25862453392990298</v>
      </c>
    </row>
    <row r="5362" spans="1:3" s="7" customFormat="1" x14ac:dyDescent="0.2">
      <c r="A5362" s="6" t="str">
        <f>"RNF40"</f>
        <v>RNF40</v>
      </c>
      <c r="B5362" s="6">
        <v>8.3000000000000004E-2</v>
      </c>
      <c r="C5362" s="6">
        <v>0.25862453392990298</v>
      </c>
    </row>
    <row r="5363" spans="1:3" s="7" customFormat="1" x14ac:dyDescent="0.2">
      <c r="A5363" s="6" t="str">
        <f>"GPR180"</f>
        <v>GPR180</v>
      </c>
      <c r="B5363" s="6">
        <v>8.2917082917082899E-2</v>
      </c>
      <c r="C5363" s="6">
        <v>0.25862453392990298</v>
      </c>
    </row>
    <row r="5364" spans="1:3" s="7" customFormat="1" x14ac:dyDescent="0.2">
      <c r="A5364" s="6" t="str">
        <f>"NOL9"</f>
        <v>NOL9</v>
      </c>
      <c r="B5364" s="6">
        <v>8.2917082917082899E-2</v>
      </c>
      <c r="C5364" s="6">
        <v>0.25862453392990298</v>
      </c>
    </row>
    <row r="5365" spans="1:3" s="7" customFormat="1" x14ac:dyDescent="0.2">
      <c r="A5365" s="6" t="str">
        <f>"IDH3A"</f>
        <v>IDH3A</v>
      </c>
      <c r="B5365" s="6">
        <v>8.2917082917082899E-2</v>
      </c>
      <c r="C5365" s="6">
        <v>0.25862453392990298</v>
      </c>
    </row>
    <row r="5366" spans="1:3" s="7" customFormat="1" x14ac:dyDescent="0.2">
      <c r="A5366" s="6" t="str">
        <f>"LINC02739"</f>
        <v>LINC02739</v>
      </c>
      <c r="B5366" s="6">
        <v>8.3083083083083001E-2</v>
      </c>
      <c r="C5366" s="6">
        <v>0.258738708897084</v>
      </c>
    </row>
    <row r="5367" spans="1:3" s="7" customFormat="1" x14ac:dyDescent="0.2">
      <c r="A5367" s="6" t="str">
        <f>"CCDC102B"</f>
        <v>CCDC102B</v>
      </c>
      <c r="B5367" s="6">
        <v>8.3083083083083001E-2</v>
      </c>
      <c r="C5367" s="6">
        <v>0.258738708897084</v>
      </c>
    </row>
    <row r="5368" spans="1:3" s="7" customFormat="1" x14ac:dyDescent="0.2">
      <c r="A5368" s="6" t="str">
        <f>"AC118344.1"</f>
        <v>AC118344.1</v>
      </c>
      <c r="B5368" s="6">
        <v>8.3083083083083001E-2</v>
      </c>
      <c r="C5368" s="6">
        <v>0.258738708897084</v>
      </c>
    </row>
    <row r="5369" spans="1:3" s="7" customFormat="1" x14ac:dyDescent="0.2">
      <c r="A5369" s="6" t="str">
        <f>"AC005618.4"</f>
        <v>AC005618.4</v>
      </c>
      <c r="B5369" s="6">
        <v>8.3333333333333301E-2</v>
      </c>
      <c r="C5369" s="6">
        <v>0.25946969696969602</v>
      </c>
    </row>
    <row r="5370" spans="1:3" s="7" customFormat="1" x14ac:dyDescent="0.2">
      <c r="A5370" s="6" t="str">
        <f>"BLK"</f>
        <v>BLK</v>
      </c>
      <c r="B5370" s="6">
        <v>8.3916083916083906E-2</v>
      </c>
      <c r="C5370" s="6">
        <v>0.25968772941555701</v>
      </c>
    </row>
    <row r="5371" spans="1:3" s="7" customFormat="1" x14ac:dyDescent="0.2">
      <c r="A5371" s="6" t="str">
        <f>"ADAT1"</f>
        <v>ADAT1</v>
      </c>
      <c r="B5371" s="6">
        <v>8.3916083916083906E-2</v>
      </c>
      <c r="C5371" s="6">
        <v>0.25968772941555701</v>
      </c>
    </row>
    <row r="5372" spans="1:3" s="7" customFormat="1" x14ac:dyDescent="0.2">
      <c r="A5372" s="6" t="str">
        <f>"LINC00235"</f>
        <v>LINC00235</v>
      </c>
      <c r="B5372" s="6">
        <v>8.3916083916083906E-2</v>
      </c>
      <c r="C5372" s="6">
        <v>0.25968772941555701</v>
      </c>
    </row>
    <row r="5373" spans="1:3" s="7" customFormat="1" x14ac:dyDescent="0.2">
      <c r="A5373" s="6" t="str">
        <f>"PPP1R35"</f>
        <v>PPP1R35</v>
      </c>
      <c r="B5373" s="6">
        <v>8.3916083916083906E-2</v>
      </c>
      <c r="C5373" s="6">
        <v>0.25968772941555701</v>
      </c>
    </row>
    <row r="5374" spans="1:3" s="7" customFormat="1" x14ac:dyDescent="0.2">
      <c r="A5374" s="6" t="str">
        <f>"ZNF550"</f>
        <v>ZNF550</v>
      </c>
      <c r="B5374" s="6">
        <v>8.3916083916083906E-2</v>
      </c>
      <c r="C5374" s="6">
        <v>0.25968772941555701</v>
      </c>
    </row>
    <row r="5375" spans="1:3" s="7" customFormat="1" x14ac:dyDescent="0.2">
      <c r="A5375" s="6" t="str">
        <f>"KRT80"</f>
        <v>KRT80</v>
      </c>
      <c r="B5375" s="6">
        <v>8.3916083916083906E-2</v>
      </c>
      <c r="C5375" s="6">
        <v>0.25968772941555701</v>
      </c>
    </row>
    <row r="5376" spans="1:3" s="7" customFormat="1" x14ac:dyDescent="0.2">
      <c r="A5376" s="6" t="str">
        <f>"TACC1"</f>
        <v>TACC1</v>
      </c>
      <c r="B5376" s="6">
        <v>8.3916083916083906E-2</v>
      </c>
      <c r="C5376" s="6">
        <v>0.25968772941555701</v>
      </c>
    </row>
    <row r="5377" spans="1:3" s="7" customFormat="1" x14ac:dyDescent="0.2">
      <c r="A5377" s="6" t="str">
        <f>"SCAT8"</f>
        <v>SCAT8</v>
      </c>
      <c r="B5377" s="6">
        <v>8.3916083916083906E-2</v>
      </c>
      <c r="C5377" s="6">
        <v>0.25968772941555701</v>
      </c>
    </row>
    <row r="5378" spans="1:3" s="7" customFormat="1" x14ac:dyDescent="0.2">
      <c r="A5378" s="6" t="str">
        <f>"AL645728.1"</f>
        <v>AL645728.1</v>
      </c>
      <c r="B5378" s="6">
        <v>8.3916083916083906E-2</v>
      </c>
      <c r="C5378" s="6">
        <v>0.25968772941555701</v>
      </c>
    </row>
    <row r="5379" spans="1:3" s="7" customFormat="1" x14ac:dyDescent="0.2">
      <c r="A5379" s="6" t="str">
        <f>"HYKK"</f>
        <v>HYKK</v>
      </c>
      <c r="B5379" s="6">
        <v>8.3916083916083906E-2</v>
      </c>
      <c r="C5379" s="6">
        <v>0.25968772941555701</v>
      </c>
    </row>
    <row r="5380" spans="1:3" s="7" customFormat="1" x14ac:dyDescent="0.2">
      <c r="A5380" s="6" t="str">
        <f>"SMPD4"</f>
        <v>SMPD4</v>
      </c>
      <c r="B5380" s="6">
        <v>8.3916083916083906E-2</v>
      </c>
      <c r="C5380" s="6">
        <v>0.25968772941555701</v>
      </c>
    </row>
    <row r="5381" spans="1:3" s="7" customFormat="1" x14ac:dyDescent="0.2">
      <c r="A5381" s="6" t="str">
        <f>"C10orf88"</f>
        <v>C10orf88</v>
      </c>
      <c r="B5381" s="6">
        <v>8.3916083916083906E-2</v>
      </c>
      <c r="C5381" s="6">
        <v>0.25968772941555701</v>
      </c>
    </row>
    <row r="5382" spans="1:3" s="7" customFormat="1" x14ac:dyDescent="0.2">
      <c r="A5382" s="6" t="str">
        <f>"TMEM101"</f>
        <v>TMEM101</v>
      </c>
      <c r="B5382" s="6">
        <v>8.3916083916083906E-2</v>
      </c>
      <c r="C5382" s="6">
        <v>0.25968772941555701</v>
      </c>
    </row>
    <row r="5383" spans="1:3" s="7" customFormat="1" x14ac:dyDescent="0.2">
      <c r="A5383" s="6" t="str">
        <f>"AC023790.2"</f>
        <v>AC023790.2</v>
      </c>
      <c r="B5383" s="6">
        <v>8.3673469387755106E-2</v>
      </c>
      <c r="C5383" s="6">
        <v>0.25968772941555701</v>
      </c>
    </row>
    <row r="5384" spans="1:3" s="7" customFormat="1" x14ac:dyDescent="0.2">
      <c r="A5384" s="6" t="str">
        <f>"ANO1"</f>
        <v>ANO1</v>
      </c>
      <c r="B5384" s="6">
        <v>8.3916083916083906E-2</v>
      </c>
      <c r="C5384" s="6">
        <v>0.25968772941555701</v>
      </c>
    </row>
    <row r="5385" spans="1:3" s="7" customFormat="1" x14ac:dyDescent="0.2">
      <c r="A5385" s="6" t="str">
        <f>"FSTL1"</f>
        <v>FSTL1</v>
      </c>
      <c r="B5385" s="6">
        <v>8.3916083916083906E-2</v>
      </c>
      <c r="C5385" s="6">
        <v>0.25968772941555701</v>
      </c>
    </row>
    <row r="5386" spans="1:3" s="7" customFormat="1" x14ac:dyDescent="0.2">
      <c r="A5386" s="6" t="str">
        <f>"AL645933.2"</f>
        <v>AL645933.2</v>
      </c>
      <c r="B5386" s="6">
        <v>8.3916083916083906E-2</v>
      </c>
      <c r="C5386" s="6">
        <v>0.25968772941555701</v>
      </c>
    </row>
    <row r="5387" spans="1:3" s="7" customFormat="1" x14ac:dyDescent="0.2">
      <c r="A5387" s="6" t="str">
        <f>"PTPRH"</f>
        <v>PTPRH</v>
      </c>
      <c r="B5387" s="6">
        <v>8.3916083916083906E-2</v>
      </c>
      <c r="C5387" s="6">
        <v>0.25968772941555701</v>
      </c>
    </row>
    <row r="5388" spans="1:3" s="7" customFormat="1" x14ac:dyDescent="0.2">
      <c r="A5388" s="6" t="str">
        <f>"AC011287.1"</f>
        <v>AC011287.1</v>
      </c>
      <c r="B5388" s="6">
        <v>8.3916083916083906E-2</v>
      </c>
      <c r="C5388" s="6">
        <v>0.25968772941555701</v>
      </c>
    </row>
    <row r="5389" spans="1:3" s="7" customFormat="1" x14ac:dyDescent="0.2">
      <c r="A5389" s="6" t="str">
        <f>"TFAP2A"</f>
        <v>TFAP2A</v>
      </c>
      <c r="B5389" s="6">
        <v>8.3916083916083906E-2</v>
      </c>
      <c r="C5389" s="6">
        <v>0.25968772941555701</v>
      </c>
    </row>
    <row r="5390" spans="1:3" s="7" customFormat="1" x14ac:dyDescent="0.2">
      <c r="A5390" s="6" t="str">
        <f>"MAN1B1"</f>
        <v>MAN1B1</v>
      </c>
      <c r="B5390" s="6">
        <v>8.3916083916083906E-2</v>
      </c>
      <c r="C5390" s="6">
        <v>0.25968772941555701</v>
      </c>
    </row>
    <row r="5391" spans="1:3" s="7" customFormat="1" x14ac:dyDescent="0.2">
      <c r="A5391" s="6" t="str">
        <f>"OR7E29P"</f>
        <v>OR7E29P</v>
      </c>
      <c r="B5391" s="6">
        <v>8.3916083916083906E-2</v>
      </c>
      <c r="C5391" s="6">
        <v>0.25968772941555701</v>
      </c>
    </row>
    <row r="5392" spans="1:3" s="7" customFormat="1" x14ac:dyDescent="0.2">
      <c r="A5392" s="6" t="str">
        <f>"PRAP1"</f>
        <v>PRAP1</v>
      </c>
      <c r="B5392" s="6">
        <v>8.3916083916083906E-2</v>
      </c>
      <c r="C5392" s="6">
        <v>0.25968772941555701</v>
      </c>
    </row>
    <row r="5393" spans="1:3" s="7" customFormat="1" x14ac:dyDescent="0.2">
      <c r="A5393" s="6" t="str">
        <f>"RARS2"</f>
        <v>RARS2</v>
      </c>
      <c r="B5393" s="6">
        <v>8.3916083916083906E-2</v>
      </c>
      <c r="C5393" s="6">
        <v>0.25968772941555701</v>
      </c>
    </row>
    <row r="5394" spans="1:3" s="7" customFormat="1" x14ac:dyDescent="0.2">
      <c r="A5394" s="6" t="str">
        <f>"NSUN5P1"</f>
        <v>NSUN5P1</v>
      </c>
      <c r="B5394" s="6">
        <v>8.3916083916083906E-2</v>
      </c>
      <c r="C5394" s="6">
        <v>0.25968772941555701</v>
      </c>
    </row>
    <row r="5395" spans="1:3" s="7" customFormat="1" x14ac:dyDescent="0.2">
      <c r="A5395" s="6" t="str">
        <f>"FAM20C"</f>
        <v>FAM20C</v>
      </c>
      <c r="B5395" s="6">
        <v>8.3916083916083906E-2</v>
      </c>
      <c r="C5395" s="6">
        <v>0.25968772941555701</v>
      </c>
    </row>
    <row r="5396" spans="1:3" s="7" customFormat="1" x14ac:dyDescent="0.2">
      <c r="A5396" s="6" t="str">
        <f>"MARCHF10"</f>
        <v>MARCHF10</v>
      </c>
      <c r="B5396" s="6">
        <v>8.3916083916083906E-2</v>
      </c>
      <c r="C5396" s="6">
        <v>0.25968772941555701</v>
      </c>
    </row>
    <row r="5397" spans="1:3" s="7" customFormat="1" x14ac:dyDescent="0.2">
      <c r="A5397" s="6" t="str">
        <f>"KIF9"</f>
        <v>KIF9</v>
      </c>
      <c r="B5397" s="6">
        <v>8.3916083916083906E-2</v>
      </c>
      <c r="C5397" s="6">
        <v>0.25968772941555701</v>
      </c>
    </row>
    <row r="5398" spans="1:3" s="7" customFormat="1" x14ac:dyDescent="0.2">
      <c r="A5398" s="6" t="str">
        <f>"AC112484.3"</f>
        <v>AC112484.3</v>
      </c>
      <c r="B5398" s="6">
        <v>8.3916083916083906E-2</v>
      </c>
      <c r="C5398" s="6">
        <v>0.25968772941555701</v>
      </c>
    </row>
    <row r="5399" spans="1:3" s="7" customFormat="1" x14ac:dyDescent="0.2">
      <c r="A5399" s="6" t="str">
        <f>"USP6"</f>
        <v>USP6</v>
      </c>
      <c r="B5399" s="6">
        <v>8.3916083916083906E-2</v>
      </c>
      <c r="C5399" s="6">
        <v>0.25968772941555701</v>
      </c>
    </row>
    <row r="5400" spans="1:3" s="7" customFormat="1" x14ac:dyDescent="0.2">
      <c r="A5400" s="6" t="str">
        <f>"KLF12"</f>
        <v>KLF12</v>
      </c>
      <c r="B5400" s="6">
        <v>8.3916083916083906E-2</v>
      </c>
      <c r="C5400" s="6">
        <v>0.25968772941555701</v>
      </c>
    </row>
    <row r="5401" spans="1:3" s="7" customFormat="1" x14ac:dyDescent="0.2">
      <c r="A5401" s="6" t="str">
        <f>"E2F6"</f>
        <v>E2F6</v>
      </c>
      <c r="B5401" s="6">
        <v>8.3916083916083906E-2</v>
      </c>
      <c r="C5401" s="6">
        <v>0.25968772941555701</v>
      </c>
    </row>
    <row r="5402" spans="1:3" s="7" customFormat="1" x14ac:dyDescent="0.2">
      <c r="A5402" s="6" t="str">
        <f>"LDHB"</f>
        <v>LDHB</v>
      </c>
      <c r="B5402" s="6">
        <v>8.3916083916083906E-2</v>
      </c>
      <c r="C5402" s="6">
        <v>0.25968772941555701</v>
      </c>
    </row>
    <row r="5403" spans="1:3" s="7" customFormat="1" x14ac:dyDescent="0.2">
      <c r="A5403" s="6" t="str">
        <f>"TNNI3K"</f>
        <v>TNNI3K</v>
      </c>
      <c r="B5403" s="6">
        <v>8.43373493975903E-2</v>
      </c>
      <c r="C5403" s="6">
        <v>0.26094306883215901</v>
      </c>
    </row>
    <row r="5404" spans="1:3" s="7" customFormat="1" x14ac:dyDescent="0.2">
      <c r="A5404" s="6" t="str">
        <f>"NR4A2"</f>
        <v>NR4A2</v>
      </c>
      <c r="B5404" s="6">
        <v>8.4915084915084899E-2</v>
      </c>
      <c r="C5404" s="6">
        <v>0.26123149811719598</v>
      </c>
    </row>
    <row r="5405" spans="1:3" s="7" customFormat="1" x14ac:dyDescent="0.2">
      <c r="A5405" s="6" t="str">
        <f>"ACVR1"</f>
        <v>ACVR1</v>
      </c>
      <c r="B5405" s="6">
        <v>8.4915084915084899E-2</v>
      </c>
      <c r="C5405" s="6">
        <v>0.26123149811719598</v>
      </c>
    </row>
    <row r="5406" spans="1:3" s="7" customFormat="1" x14ac:dyDescent="0.2">
      <c r="A5406" s="6" t="str">
        <f>"USP18"</f>
        <v>USP18</v>
      </c>
      <c r="B5406" s="6">
        <v>8.4915084915084899E-2</v>
      </c>
      <c r="C5406" s="6">
        <v>0.26123149811719598</v>
      </c>
    </row>
    <row r="5407" spans="1:3" s="7" customFormat="1" x14ac:dyDescent="0.2">
      <c r="A5407" s="6" t="str">
        <f>"GPALPP1"</f>
        <v>GPALPP1</v>
      </c>
      <c r="B5407" s="6">
        <v>8.4915084915084899E-2</v>
      </c>
      <c r="C5407" s="6">
        <v>0.26123149811719598</v>
      </c>
    </row>
    <row r="5408" spans="1:3" s="7" customFormat="1" x14ac:dyDescent="0.2">
      <c r="A5408" s="6" t="str">
        <f>"RGS17"</f>
        <v>RGS17</v>
      </c>
      <c r="B5408" s="6">
        <v>8.4915084915084899E-2</v>
      </c>
      <c r="C5408" s="6">
        <v>0.26123149811719598</v>
      </c>
    </row>
    <row r="5409" spans="1:3" s="7" customFormat="1" x14ac:dyDescent="0.2">
      <c r="A5409" s="6" t="str">
        <f>"TEX264"</f>
        <v>TEX264</v>
      </c>
      <c r="B5409" s="6">
        <v>8.4915084915084899E-2</v>
      </c>
      <c r="C5409" s="6">
        <v>0.26123149811719598</v>
      </c>
    </row>
    <row r="5410" spans="1:3" s="7" customFormat="1" x14ac:dyDescent="0.2">
      <c r="A5410" s="6" t="str">
        <f>"GOLGA6A"</f>
        <v>GOLGA6A</v>
      </c>
      <c r="B5410" s="6">
        <v>8.4915084915084899E-2</v>
      </c>
      <c r="C5410" s="6">
        <v>0.26123149811719598</v>
      </c>
    </row>
    <row r="5411" spans="1:3" s="7" customFormat="1" x14ac:dyDescent="0.2">
      <c r="A5411" s="6" t="str">
        <f>"IRAG2"</f>
        <v>IRAG2</v>
      </c>
      <c r="B5411" s="6">
        <v>8.4915084915084899E-2</v>
      </c>
      <c r="C5411" s="6">
        <v>0.26123149811719598</v>
      </c>
    </row>
    <row r="5412" spans="1:3" s="7" customFormat="1" x14ac:dyDescent="0.2">
      <c r="A5412" s="6" t="str">
        <f>"TXNDC17"</f>
        <v>TXNDC17</v>
      </c>
      <c r="B5412" s="6">
        <v>8.4915084915084899E-2</v>
      </c>
      <c r="C5412" s="6">
        <v>0.26123149811719598</v>
      </c>
    </row>
    <row r="5413" spans="1:3" s="7" customFormat="1" x14ac:dyDescent="0.2">
      <c r="A5413" s="6" t="str">
        <f>"EVA1B"</f>
        <v>EVA1B</v>
      </c>
      <c r="B5413" s="6">
        <v>8.4915084915084899E-2</v>
      </c>
      <c r="C5413" s="6">
        <v>0.26123149811719598</v>
      </c>
    </row>
    <row r="5414" spans="1:3" s="7" customFormat="1" x14ac:dyDescent="0.2">
      <c r="A5414" s="6" t="str">
        <f>"LINC02605"</f>
        <v>LINC02605</v>
      </c>
      <c r="B5414" s="6">
        <v>8.4915084915084899E-2</v>
      </c>
      <c r="C5414" s="6">
        <v>0.26123149811719598</v>
      </c>
    </row>
    <row r="5415" spans="1:3" s="7" customFormat="1" x14ac:dyDescent="0.2">
      <c r="A5415" s="6" t="str">
        <f>"CTH"</f>
        <v>CTH</v>
      </c>
      <c r="B5415" s="6">
        <v>8.4915084915084899E-2</v>
      </c>
      <c r="C5415" s="6">
        <v>0.26123149811719598</v>
      </c>
    </row>
    <row r="5416" spans="1:3" s="7" customFormat="1" x14ac:dyDescent="0.2">
      <c r="A5416" s="6" t="str">
        <f>"HSD11B2"</f>
        <v>HSD11B2</v>
      </c>
      <c r="B5416" s="6">
        <v>8.4915084915084899E-2</v>
      </c>
      <c r="C5416" s="6">
        <v>0.26123149811719598</v>
      </c>
    </row>
    <row r="5417" spans="1:3" s="7" customFormat="1" x14ac:dyDescent="0.2">
      <c r="A5417" s="6" t="str">
        <f>"FBXO3"</f>
        <v>FBXO3</v>
      </c>
      <c r="B5417" s="6">
        <v>8.4915084915084899E-2</v>
      </c>
      <c r="C5417" s="6">
        <v>0.26123149811719598</v>
      </c>
    </row>
    <row r="5418" spans="1:3" s="7" customFormat="1" x14ac:dyDescent="0.2">
      <c r="A5418" s="6" t="str">
        <f>"ZNF8"</f>
        <v>ZNF8</v>
      </c>
      <c r="B5418" s="6">
        <v>8.4915084915084899E-2</v>
      </c>
      <c r="C5418" s="6">
        <v>0.26123149811719598</v>
      </c>
    </row>
    <row r="5419" spans="1:3" s="7" customFormat="1" x14ac:dyDescent="0.2">
      <c r="A5419" s="6" t="str">
        <f>"HSPA14"</f>
        <v>HSPA14</v>
      </c>
      <c r="B5419" s="6">
        <v>8.4915084915084899E-2</v>
      </c>
      <c r="C5419" s="6">
        <v>0.26123149811719598</v>
      </c>
    </row>
    <row r="5420" spans="1:3" s="7" customFormat="1" x14ac:dyDescent="0.2">
      <c r="A5420" s="6" t="str">
        <f>"PSMB8"</f>
        <v>PSMB8</v>
      </c>
      <c r="B5420" s="6">
        <v>8.4915084915084899E-2</v>
      </c>
      <c r="C5420" s="6">
        <v>0.26123149811719598</v>
      </c>
    </row>
    <row r="5421" spans="1:3" s="7" customFormat="1" x14ac:dyDescent="0.2">
      <c r="A5421" s="6" t="str">
        <f>"ATG4D"</f>
        <v>ATG4D</v>
      </c>
      <c r="B5421" s="6">
        <v>8.4915084915084899E-2</v>
      </c>
      <c r="C5421" s="6">
        <v>0.26123149811719598</v>
      </c>
    </row>
    <row r="5422" spans="1:3" s="7" customFormat="1" x14ac:dyDescent="0.2">
      <c r="A5422" s="6" t="str">
        <f>"KCTD9P4"</f>
        <v>KCTD9P4</v>
      </c>
      <c r="B5422" s="6">
        <v>8.4780388151174599E-2</v>
      </c>
      <c r="C5422" s="6">
        <v>0.26123149811719598</v>
      </c>
    </row>
    <row r="5423" spans="1:3" s="7" customFormat="1" x14ac:dyDescent="0.2">
      <c r="A5423" s="6" t="str">
        <f>"DYNC2LI1"</f>
        <v>DYNC2LI1</v>
      </c>
      <c r="B5423" s="6">
        <v>8.4915084915084899E-2</v>
      </c>
      <c r="C5423" s="6">
        <v>0.26123149811719598</v>
      </c>
    </row>
    <row r="5424" spans="1:3" s="7" customFormat="1" x14ac:dyDescent="0.2">
      <c r="A5424" s="6" t="str">
        <f>"H1-5"</f>
        <v>H1-5</v>
      </c>
      <c r="B5424" s="6">
        <v>8.4915084915084899E-2</v>
      </c>
      <c r="C5424" s="6">
        <v>0.26123149811719598</v>
      </c>
    </row>
    <row r="5425" spans="1:3" s="7" customFormat="1" x14ac:dyDescent="0.2">
      <c r="A5425" s="6" t="str">
        <f>"FUT8"</f>
        <v>FUT8</v>
      </c>
      <c r="B5425" s="6">
        <v>8.4915084915084899E-2</v>
      </c>
      <c r="C5425" s="6">
        <v>0.26123149811719598</v>
      </c>
    </row>
    <row r="5426" spans="1:3" s="7" customFormat="1" x14ac:dyDescent="0.2">
      <c r="A5426" s="6" t="str">
        <f>"LARP7"</f>
        <v>LARP7</v>
      </c>
      <c r="B5426" s="6">
        <v>8.4915084915084899E-2</v>
      </c>
      <c r="C5426" s="6">
        <v>0.26123149811719598</v>
      </c>
    </row>
    <row r="5427" spans="1:3" s="7" customFormat="1" x14ac:dyDescent="0.2">
      <c r="A5427" s="6" t="str">
        <f>"ANKRD53"</f>
        <v>ANKRD53</v>
      </c>
      <c r="B5427" s="6">
        <v>8.4915084915084899E-2</v>
      </c>
      <c r="C5427" s="6">
        <v>0.26123149811719598</v>
      </c>
    </row>
    <row r="5428" spans="1:3" s="7" customFormat="1" x14ac:dyDescent="0.2">
      <c r="A5428" s="6" t="str">
        <f>"TPI1"</f>
        <v>TPI1</v>
      </c>
      <c r="B5428" s="6">
        <v>8.4915084915084899E-2</v>
      </c>
      <c r="C5428" s="6">
        <v>0.26123149811719598</v>
      </c>
    </row>
    <row r="5429" spans="1:3" s="7" customFormat="1" x14ac:dyDescent="0.2">
      <c r="A5429" s="6" t="str">
        <f>"RCAN3"</f>
        <v>RCAN3</v>
      </c>
      <c r="B5429" s="6">
        <v>8.4915084915084899E-2</v>
      </c>
      <c r="C5429" s="6">
        <v>0.26123149811719598</v>
      </c>
    </row>
    <row r="5430" spans="1:3" s="7" customFormat="1" x14ac:dyDescent="0.2">
      <c r="A5430" s="6" t="str">
        <f>"AC133555.5"</f>
        <v>AC133555.5</v>
      </c>
      <c r="B5430" s="6">
        <v>8.4915084915084899E-2</v>
      </c>
      <c r="C5430" s="6">
        <v>0.26123149811719598</v>
      </c>
    </row>
    <row r="5431" spans="1:3" s="7" customFormat="1" x14ac:dyDescent="0.2">
      <c r="A5431" s="6" t="str">
        <f>"MAP3K20"</f>
        <v>MAP3K20</v>
      </c>
      <c r="B5431" s="6">
        <v>8.4915084915084899E-2</v>
      </c>
      <c r="C5431" s="6">
        <v>0.26123149811719598</v>
      </c>
    </row>
    <row r="5432" spans="1:3" s="7" customFormat="1" x14ac:dyDescent="0.2">
      <c r="A5432" s="6" t="str">
        <f>"AC010203.1"</f>
        <v>AC010203.1</v>
      </c>
      <c r="B5432" s="6">
        <v>8.4915084915084899E-2</v>
      </c>
      <c r="C5432" s="6">
        <v>0.26123149811719598</v>
      </c>
    </row>
    <row r="5433" spans="1:3" s="7" customFormat="1" x14ac:dyDescent="0.2">
      <c r="A5433" s="6" t="str">
        <f>"CLDN9"</f>
        <v>CLDN9</v>
      </c>
      <c r="B5433" s="6">
        <v>8.4915084915084899E-2</v>
      </c>
      <c r="C5433" s="6">
        <v>0.26123149811719598</v>
      </c>
    </row>
    <row r="5434" spans="1:3" s="7" customFormat="1" x14ac:dyDescent="0.2">
      <c r="A5434" s="6" t="str">
        <f>"IGSF9B"</f>
        <v>IGSF9B</v>
      </c>
      <c r="B5434" s="6">
        <v>8.4915084915084899E-2</v>
      </c>
      <c r="C5434" s="6">
        <v>0.26123149811719598</v>
      </c>
    </row>
    <row r="5435" spans="1:3" s="7" customFormat="1" x14ac:dyDescent="0.2">
      <c r="A5435" s="6" t="str">
        <f>"PPP4R3B"</f>
        <v>PPP4R3B</v>
      </c>
      <c r="B5435" s="6">
        <v>8.5000000000000006E-2</v>
      </c>
      <c r="C5435" s="6">
        <v>0.26139650413983401</v>
      </c>
    </row>
    <row r="5436" spans="1:3" s="7" customFormat="1" x14ac:dyDescent="0.2">
      <c r="A5436" s="6" t="str">
        <f>"RPL15"</f>
        <v>RPL15</v>
      </c>
      <c r="B5436" s="6">
        <v>8.5000000000000006E-2</v>
      </c>
      <c r="C5436" s="6">
        <v>0.26139650413983401</v>
      </c>
    </row>
    <row r="5437" spans="1:3" s="7" customFormat="1" x14ac:dyDescent="0.2">
      <c r="A5437" s="6" t="str">
        <f>"MAPKAPK2"</f>
        <v>MAPKAPK2</v>
      </c>
      <c r="B5437" s="6">
        <v>8.5914085914085905E-2</v>
      </c>
      <c r="C5437" s="6">
        <v>0.26266106310005999</v>
      </c>
    </row>
    <row r="5438" spans="1:3" s="7" customFormat="1" x14ac:dyDescent="0.2">
      <c r="A5438" s="6" t="str">
        <f>"DPF2"</f>
        <v>DPF2</v>
      </c>
      <c r="B5438" s="6">
        <v>8.5914085914085905E-2</v>
      </c>
      <c r="C5438" s="6">
        <v>0.26266106310005999</v>
      </c>
    </row>
    <row r="5439" spans="1:3" s="7" customFormat="1" x14ac:dyDescent="0.2">
      <c r="A5439" s="6" t="str">
        <f>"MTPN"</f>
        <v>MTPN</v>
      </c>
      <c r="B5439" s="6">
        <v>8.5914085914085905E-2</v>
      </c>
      <c r="C5439" s="6">
        <v>0.26266106310005999</v>
      </c>
    </row>
    <row r="5440" spans="1:3" s="7" customFormat="1" x14ac:dyDescent="0.2">
      <c r="A5440" s="6" t="str">
        <f>"RIMS1"</f>
        <v>RIMS1</v>
      </c>
      <c r="B5440" s="6">
        <v>8.5914085914085905E-2</v>
      </c>
      <c r="C5440" s="6">
        <v>0.26266106310005999</v>
      </c>
    </row>
    <row r="5441" spans="1:3" s="7" customFormat="1" x14ac:dyDescent="0.2">
      <c r="A5441" s="6" t="str">
        <f>"SLC45A3"</f>
        <v>SLC45A3</v>
      </c>
      <c r="B5441" s="6">
        <v>8.5914085914085905E-2</v>
      </c>
      <c r="C5441" s="6">
        <v>0.26266106310005999</v>
      </c>
    </row>
    <row r="5442" spans="1:3" s="7" customFormat="1" x14ac:dyDescent="0.2">
      <c r="A5442" s="6" t="str">
        <f>"RSRC2"</f>
        <v>RSRC2</v>
      </c>
      <c r="B5442" s="6">
        <v>8.5914085914085905E-2</v>
      </c>
      <c r="C5442" s="6">
        <v>0.26266106310005999</v>
      </c>
    </row>
    <row r="5443" spans="1:3" s="7" customFormat="1" x14ac:dyDescent="0.2">
      <c r="A5443" s="6" t="str">
        <f>"TIPRL"</f>
        <v>TIPRL</v>
      </c>
      <c r="B5443" s="6">
        <v>8.5914085914085905E-2</v>
      </c>
      <c r="C5443" s="6">
        <v>0.26266106310005999</v>
      </c>
    </row>
    <row r="5444" spans="1:3" s="7" customFormat="1" x14ac:dyDescent="0.2">
      <c r="A5444" s="6" t="str">
        <f>"MMAA"</f>
        <v>MMAA</v>
      </c>
      <c r="B5444" s="6">
        <v>8.5914085914085905E-2</v>
      </c>
      <c r="C5444" s="6">
        <v>0.26266106310005999</v>
      </c>
    </row>
    <row r="5445" spans="1:3" s="7" customFormat="1" x14ac:dyDescent="0.2">
      <c r="A5445" s="6" t="str">
        <f>"SNAPC1"</f>
        <v>SNAPC1</v>
      </c>
      <c r="B5445" s="6">
        <v>8.5914085914085905E-2</v>
      </c>
      <c r="C5445" s="6">
        <v>0.26266106310005999</v>
      </c>
    </row>
    <row r="5446" spans="1:3" s="7" customFormat="1" x14ac:dyDescent="0.2">
      <c r="A5446" s="6" t="str">
        <f>"AP004147.1"</f>
        <v>AP004147.1</v>
      </c>
      <c r="B5446" s="6">
        <v>8.5427135678391899E-2</v>
      </c>
      <c r="C5446" s="6">
        <v>0.26266106310005999</v>
      </c>
    </row>
    <row r="5447" spans="1:3" s="7" customFormat="1" x14ac:dyDescent="0.2">
      <c r="A5447" s="6" t="str">
        <f>"SCAMP1"</f>
        <v>SCAMP1</v>
      </c>
      <c r="B5447" s="6">
        <v>8.5914085914085905E-2</v>
      </c>
      <c r="C5447" s="6">
        <v>0.26266106310005999</v>
      </c>
    </row>
    <row r="5448" spans="1:3" s="7" customFormat="1" x14ac:dyDescent="0.2">
      <c r="A5448" s="6" t="str">
        <f>"AC011472.2"</f>
        <v>AC011472.2</v>
      </c>
      <c r="B5448" s="6">
        <v>8.5914085914085905E-2</v>
      </c>
      <c r="C5448" s="6">
        <v>0.26266106310005999</v>
      </c>
    </row>
    <row r="5449" spans="1:3" s="7" customFormat="1" x14ac:dyDescent="0.2">
      <c r="A5449" s="6" t="str">
        <f>"JPT1"</f>
        <v>JPT1</v>
      </c>
      <c r="B5449" s="6">
        <v>8.5914085914085905E-2</v>
      </c>
      <c r="C5449" s="6">
        <v>0.26266106310005999</v>
      </c>
    </row>
    <row r="5450" spans="1:3" s="7" customFormat="1" x14ac:dyDescent="0.2">
      <c r="A5450" s="6" t="str">
        <f>"ZDHHC2"</f>
        <v>ZDHHC2</v>
      </c>
      <c r="B5450" s="6">
        <v>8.5914085914085905E-2</v>
      </c>
      <c r="C5450" s="6">
        <v>0.26266106310005999</v>
      </c>
    </row>
    <row r="5451" spans="1:3" s="7" customFormat="1" x14ac:dyDescent="0.2">
      <c r="A5451" s="6" t="str">
        <f>"KYAT1"</f>
        <v>KYAT1</v>
      </c>
      <c r="B5451" s="6">
        <v>8.5914085914085905E-2</v>
      </c>
      <c r="C5451" s="6">
        <v>0.26266106310005999</v>
      </c>
    </row>
    <row r="5452" spans="1:3" s="7" customFormat="1" x14ac:dyDescent="0.2">
      <c r="A5452" s="6" t="str">
        <f>"C12orf66"</f>
        <v>C12orf66</v>
      </c>
      <c r="B5452" s="6">
        <v>8.5914085914085905E-2</v>
      </c>
      <c r="C5452" s="6">
        <v>0.26266106310005999</v>
      </c>
    </row>
    <row r="5453" spans="1:3" s="7" customFormat="1" x14ac:dyDescent="0.2">
      <c r="A5453" s="6" t="str">
        <f>"TRIM74"</f>
        <v>TRIM74</v>
      </c>
      <c r="B5453" s="6">
        <v>8.5914085914085905E-2</v>
      </c>
      <c r="C5453" s="6">
        <v>0.26266106310005999</v>
      </c>
    </row>
    <row r="5454" spans="1:3" s="7" customFormat="1" x14ac:dyDescent="0.2">
      <c r="A5454" s="6" t="str">
        <f>"CGGBP1"</f>
        <v>CGGBP1</v>
      </c>
      <c r="B5454" s="6">
        <v>8.5914085914085905E-2</v>
      </c>
      <c r="C5454" s="6">
        <v>0.26266106310005999</v>
      </c>
    </row>
    <row r="5455" spans="1:3" s="7" customFormat="1" x14ac:dyDescent="0.2">
      <c r="A5455" s="6" t="str">
        <f>"TAP1"</f>
        <v>TAP1</v>
      </c>
      <c r="B5455" s="6">
        <v>8.5914085914085905E-2</v>
      </c>
      <c r="C5455" s="6">
        <v>0.26266106310005999</v>
      </c>
    </row>
    <row r="5456" spans="1:3" s="7" customFormat="1" x14ac:dyDescent="0.2">
      <c r="A5456" s="6" t="str">
        <f>"AL121768.1"</f>
        <v>AL121768.1</v>
      </c>
      <c r="B5456" s="6">
        <v>8.5914085914085905E-2</v>
      </c>
      <c r="C5456" s="6">
        <v>0.26266106310005999</v>
      </c>
    </row>
    <row r="5457" spans="1:3" s="7" customFormat="1" x14ac:dyDescent="0.2">
      <c r="A5457" s="6" t="str">
        <f>"SPATS1"</f>
        <v>SPATS1</v>
      </c>
      <c r="B5457" s="6">
        <v>8.5914085914085905E-2</v>
      </c>
      <c r="C5457" s="6">
        <v>0.26266106310005999</v>
      </c>
    </row>
    <row r="5458" spans="1:3" s="7" customFormat="1" x14ac:dyDescent="0.2">
      <c r="A5458" s="6" t="str">
        <f>"AC115223.1"</f>
        <v>AC115223.1</v>
      </c>
      <c r="B5458" s="6">
        <v>8.5914085914085905E-2</v>
      </c>
      <c r="C5458" s="6">
        <v>0.26266106310005999</v>
      </c>
    </row>
    <row r="5459" spans="1:3" s="7" customFormat="1" x14ac:dyDescent="0.2">
      <c r="A5459" s="6" t="str">
        <f>"PAX9"</f>
        <v>PAX9</v>
      </c>
      <c r="B5459" s="6">
        <v>8.5914085914085905E-2</v>
      </c>
      <c r="C5459" s="6">
        <v>0.26266106310005999</v>
      </c>
    </row>
    <row r="5460" spans="1:3" s="7" customFormat="1" x14ac:dyDescent="0.2">
      <c r="A5460" s="6" t="str">
        <f>"LTBP4"</f>
        <v>LTBP4</v>
      </c>
      <c r="B5460" s="6">
        <v>8.5914085914085905E-2</v>
      </c>
      <c r="C5460" s="6">
        <v>0.26266106310005999</v>
      </c>
    </row>
    <row r="5461" spans="1:3" s="7" customFormat="1" x14ac:dyDescent="0.2">
      <c r="A5461" s="6" t="str">
        <f>"DMAP1"</f>
        <v>DMAP1</v>
      </c>
      <c r="B5461" s="6">
        <v>8.5914085914085905E-2</v>
      </c>
      <c r="C5461" s="6">
        <v>0.26266106310005999</v>
      </c>
    </row>
    <row r="5462" spans="1:3" s="7" customFormat="1" x14ac:dyDescent="0.2">
      <c r="A5462" s="6" t="str">
        <f>"RNPEP"</f>
        <v>RNPEP</v>
      </c>
      <c r="B5462" s="6">
        <v>8.5914085914085905E-2</v>
      </c>
      <c r="C5462" s="6">
        <v>0.26266106310005999</v>
      </c>
    </row>
    <row r="5463" spans="1:3" s="7" customFormat="1" x14ac:dyDescent="0.2">
      <c r="A5463" s="6" t="str">
        <f>"AC018755.4"</f>
        <v>AC018755.4</v>
      </c>
      <c r="B5463" s="6">
        <v>8.5914085914085905E-2</v>
      </c>
      <c r="C5463" s="6">
        <v>0.26266106310005999</v>
      </c>
    </row>
    <row r="5464" spans="1:3" s="7" customFormat="1" x14ac:dyDescent="0.2">
      <c r="A5464" s="6" t="str">
        <f>"GCH1"</f>
        <v>GCH1</v>
      </c>
      <c r="B5464" s="6">
        <v>8.5914085914085905E-2</v>
      </c>
      <c r="C5464" s="6">
        <v>0.26266106310005999</v>
      </c>
    </row>
    <row r="5465" spans="1:3" s="7" customFormat="1" x14ac:dyDescent="0.2">
      <c r="A5465" s="6" t="str">
        <f>"LAMTOR2"</f>
        <v>LAMTOR2</v>
      </c>
      <c r="B5465" s="6">
        <v>8.5914085914085905E-2</v>
      </c>
      <c r="C5465" s="6">
        <v>0.26266106310005999</v>
      </c>
    </row>
    <row r="5466" spans="1:3" s="7" customFormat="1" x14ac:dyDescent="0.2">
      <c r="A5466" s="6" t="str">
        <f>"DHX38"</f>
        <v>DHX38</v>
      </c>
      <c r="B5466" s="6">
        <v>8.5914085914085905E-2</v>
      </c>
      <c r="C5466" s="6">
        <v>0.26266106310005999</v>
      </c>
    </row>
    <row r="5467" spans="1:3" s="7" customFormat="1" x14ac:dyDescent="0.2">
      <c r="A5467" s="6" t="str">
        <f>"TAF1C"</f>
        <v>TAF1C</v>
      </c>
      <c r="B5467" s="6">
        <v>8.5914085914085905E-2</v>
      </c>
      <c r="C5467" s="6">
        <v>0.26266106310005999</v>
      </c>
    </row>
    <row r="5468" spans="1:3" s="7" customFormat="1" x14ac:dyDescent="0.2">
      <c r="A5468" s="6" t="str">
        <f>"ANP32E"</f>
        <v>ANP32E</v>
      </c>
      <c r="B5468" s="6">
        <v>8.5914085914085905E-2</v>
      </c>
      <c r="C5468" s="6">
        <v>0.26266106310005999</v>
      </c>
    </row>
    <row r="5469" spans="1:3" s="7" customFormat="1" x14ac:dyDescent="0.2">
      <c r="A5469" s="6" t="str">
        <f>"PIK3R6"</f>
        <v>PIK3R6</v>
      </c>
      <c r="B5469" s="6">
        <v>8.5999999999999993E-2</v>
      </c>
      <c r="C5469" s="6">
        <v>0.26277952468007298</v>
      </c>
    </row>
    <row r="5470" spans="1:3" s="7" customFormat="1" x14ac:dyDescent="0.2">
      <c r="A5470" s="6" t="str">
        <f>"AC103858.3"</f>
        <v>AC103858.3</v>
      </c>
      <c r="B5470" s="6">
        <v>8.5999999999999993E-2</v>
      </c>
      <c r="C5470" s="6">
        <v>0.26277952468007298</v>
      </c>
    </row>
    <row r="5471" spans="1:3" s="7" customFormat="1" x14ac:dyDescent="0.2">
      <c r="A5471" s="6" t="str">
        <f>"DIDO1"</f>
        <v>DIDO1</v>
      </c>
      <c r="B5471" s="6">
        <v>8.5999999999999993E-2</v>
      </c>
      <c r="C5471" s="6">
        <v>0.26277952468007298</v>
      </c>
    </row>
    <row r="5472" spans="1:3" s="7" customFormat="1" x14ac:dyDescent="0.2">
      <c r="A5472" s="6" t="str">
        <f>"MYBPH"</f>
        <v>MYBPH</v>
      </c>
      <c r="B5472" s="6">
        <v>8.6913086913086898E-2</v>
      </c>
      <c r="C5472" s="6">
        <v>0.26388107805001498</v>
      </c>
    </row>
    <row r="5473" spans="1:3" s="7" customFormat="1" x14ac:dyDescent="0.2">
      <c r="A5473" s="6" t="str">
        <f>"NLRP9P1"</f>
        <v>NLRP9P1</v>
      </c>
      <c r="B5473" s="6">
        <v>8.6913086913086898E-2</v>
      </c>
      <c r="C5473" s="6">
        <v>0.26388107805001498</v>
      </c>
    </row>
    <row r="5474" spans="1:3" s="7" customFormat="1" x14ac:dyDescent="0.2">
      <c r="A5474" s="6" t="str">
        <f>"HEIH"</f>
        <v>HEIH</v>
      </c>
      <c r="B5474" s="6">
        <v>8.6913086913086898E-2</v>
      </c>
      <c r="C5474" s="6">
        <v>0.26388107805001498</v>
      </c>
    </row>
    <row r="5475" spans="1:3" s="7" customFormat="1" x14ac:dyDescent="0.2">
      <c r="A5475" s="6" t="str">
        <f>"H1-10-AS1"</f>
        <v>H1-10-AS1</v>
      </c>
      <c r="B5475" s="6">
        <v>8.6913086913086898E-2</v>
      </c>
      <c r="C5475" s="6">
        <v>0.26388107805001498</v>
      </c>
    </row>
    <row r="5476" spans="1:3" s="7" customFormat="1" x14ac:dyDescent="0.2">
      <c r="A5476" s="6" t="str">
        <f>"EID3"</f>
        <v>EID3</v>
      </c>
      <c r="B5476" s="6">
        <v>8.6913086913086898E-2</v>
      </c>
      <c r="C5476" s="6">
        <v>0.26388107805001498</v>
      </c>
    </row>
    <row r="5477" spans="1:3" s="7" customFormat="1" x14ac:dyDescent="0.2">
      <c r="A5477" s="6" t="str">
        <f>"PLD1"</f>
        <v>PLD1</v>
      </c>
      <c r="B5477" s="6">
        <v>8.6913086913086898E-2</v>
      </c>
      <c r="C5477" s="6">
        <v>0.26388107805001498</v>
      </c>
    </row>
    <row r="5478" spans="1:3" s="7" customFormat="1" x14ac:dyDescent="0.2">
      <c r="A5478" s="6" t="str">
        <f>"DUSP12"</f>
        <v>DUSP12</v>
      </c>
      <c r="B5478" s="6">
        <v>8.6913086913086898E-2</v>
      </c>
      <c r="C5478" s="6">
        <v>0.26388107805001498</v>
      </c>
    </row>
    <row r="5479" spans="1:3" s="7" customFormat="1" x14ac:dyDescent="0.2">
      <c r="A5479" s="6" t="str">
        <f>"TM4SF4"</f>
        <v>TM4SF4</v>
      </c>
      <c r="B5479" s="6">
        <v>8.6913086913086898E-2</v>
      </c>
      <c r="C5479" s="6">
        <v>0.26388107805001498</v>
      </c>
    </row>
    <row r="5480" spans="1:3" s="7" customFormat="1" x14ac:dyDescent="0.2">
      <c r="A5480" s="6" t="str">
        <f>"EVC"</f>
        <v>EVC</v>
      </c>
      <c r="B5480" s="6">
        <v>8.6913086913086898E-2</v>
      </c>
      <c r="C5480" s="6">
        <v>0.26388107805001498</v>
      </c>
    </row>
    <row r="5481" spans="1:3" s="7" customFormat="1" x14ac:dyDescent="0.2">
      <c r="A5481" s="6" t="str">
        <f>"PREPL"</f>
        <v>PREPL</v>
      </c>
      <c r="B5481" s="6">
        <v>8.6913086913086898E-2</v>
      </c>
      <c r="C5481" s="6">
        <v>0.26388107805001498</v>
      </c>
    </row>
    <row r="5482" spans="1:3" s="7" customFormat="1" x14ac:dyDescent="0.2">
      <c r="A5482" s="6" t="str">
        <f>"PXMP2"</f>
        <v>PXMP2</v>
      </c>
      <c r="B5482" s="6">
        <v>8.6913086913086898E-2</v>
      </c>
      <c r="C5482" s="6">
        <v>0.26388107805001498</v>
      </c>
    </row>
    <row r="5483" spans="1:3" s="7" customFormat="1" x14ac:dyDescent="0.2">
      <c r="A5483" s="6" t="str">
        <f>"CDC16"</f>
        <v>CDC16</v>
      </c>
      <c r="B5483" s="6">
        <v>8.6913086913086898E-2</v>
      </c>
      <c r="C5483" s="6">
        <v>0.26388107805001498</v>
      </c>
    </row>
    <row r="5484" spans="1:3" s="7" customFormat="1" x14ac:dyDescent="0.2">
      <c r="A5484" s="6" t="str">
        <f>"AC097382.3"</f>
        <v>AC097382.3</v>
      </c>
      <c r="B5484" s="6">
        <v>8.6913086913086898E-2</v>
      </c>
      <c r="C5484" s="6">
        <v>0.26388107805001498</v>
      </c>
    </row>
    <row r="5485" spans="1:3" s="7" customFormat="1" x14ac:dyDescent="0.2">
      <c r="A5485" s="6" t="str">
        <f>"HEATR6"</f>
        <v>HEATR6</v>
      </c>
      <c r="B5485" s="6">
        <v>8.6913086913086898E-2</v>
      </c>
      <c r="C5485" s="6">
        <v>0.26388107805001498</v>
      </c>
    </row>
    <row r="5486" spans="1:3" s="7" customFormat="1" x14ac:dyDescent="0.2">
      <c r="A5486" s="6" t="str">
        <f>"TMEM86A"</f>
        <v>TMEM86A</v>
      </c>
      <c r="B5486" s="6">
        <v>8.6913086913086898E-2</v>
      </c>
      <c r="C5486" s="6">
        <v>0.26388107805001498</v>
      </c>
    </row>
    <row r="5487" spans="1:3" s="7" customFormat="1" x14ac:dyDescent="0.2">
      <c r="A5487" s="6" t="str">
        <f>"COL1A1"</f>
        <v>COL1A1</v>
      </c>
      <c r="B5487" s="6">
        <v>8.6913086913086898E-2</v>
      </c>
      <c r="C5487" s="6">
        <v>0.26388107805001498</v>
      </c>
    </row>
    <row r="5488" spans="1:3" s="7" customFormat="1" x14ac:dyDescent="0.2">
      <c r="A5488" s="6" t="str">
        <f>"LINC00494"</f>
        <v>LINC00494</v>
      </c>
      <c r="B5488" s="6">
        <v>8.6913086913086898E-2</v>
      </c>
      <c r="C5488" s="6">
        <v>0.26388107805001498</v>
      </c>
    </row>
    <row r="5489" spans="1:3" s="7" customFormat="1" x14ac:dyDescent="0.2">
      <c r="A5489" s="6" t="str">
        <f>"ACKR2"</f>
        <v>ACKR2</v>
      </c>
      <c r="B5489" s="6">
        <v>8.6913086913086898E-2</v>
      </c>
      <c r="C5489" s="6">
        <v>0.26388107805001498</v>
      </c>
    </row>
    <row r="5490" spans="1:3" s="7" customFormat="1" x14ac:dyDescent="0.2">
      <c r="A5490" s="6" t="str">
        <f>"NBR2"</f>
        <v>NBR2</v>
      </c>
      <c r="B5490" s="6">
        <v>8.6913086913086898E-2</v>
      </c>
      <c r="C5490" s="6">
        <v>0.26388107805001498</v>
      </c>
    </row>
    <row r="5491" spans="1:3" s="7" customFormat="1" x14ac:dyDescent="0.2">
      <c r="A5491" s="6" t="str">
        <f>"SLC5A2"</f>
        <v>SLC5A2</v>
      </c>
      <c r="B5491" s="6">
        <v>8.6913086913086898E-2</v>
      </c>
      <c r="C5491" s="6">
        <v>0.26388107805001498</v>
      </c>
    </row>
    <row r="5492" spans="1:3" s="7" customFormat="1" x14ac:dyDescent="0.2">
      <c r="A5492" s="6" t="str">
        <f>"ANKRD13A"</f>
        <v>ANKRD13A</v>
      </c>
      <c r="B5492" s="6">
        <v>8.6913086913086898E-2</v>
      </c>
      <c r="C5492" s="6">
        <v>0.26388107805001498</v>
      </c>
    </row>
    <row r="5493" spans="1:3" s="7" customFormat="1" x14ac:dyDescent="0.2">
      <c r="A5493" s="6" t="str">
        <f>"SLC39A7"</f>
        <v>SLC39A7</v>
      </c>
      <c r="B5493" s="6">
        <v>8.6913086913086898E-2</v>
      </c>
      <c r="C5493" s="6">
        <v>0.26388107805001498</v>
      </c>
    </row>
    <row r="5494" spans="1:3" s="7" customFormat="1" x14ac:dyDescent="0.2">
      <c r="A5494" s="6" t="str">
        <f>"AC005632.6"</f>
        <v>AC005632.6</v>
      </c>
      <c r="B5494" s="6">
        <v>8.6913086913086898E-2</v>
      </c>
      <c r="C5494" s="6">
        <v>0.26388107805001498</v>
      </c>
    </row>
    <row r="5495" spans="1:3" s="7" customFormat="1" x14ac:dyDescent="0.2">
      <c r="A5495" s="6" t="str">
        <f>"DAW1"</f>
        <v>DAW1</v>
      </c>
      <c r="B5495" s="6">
        <v>8.6913086913086898E-2</v>
      </c>
      <c r="C5495" s="6">
        <v>0.26388107805001498</v>
      </c>
    </row>
    <row r="5496" spans="1:3" s="7" customFormat="1" x14ac:dyDescent="0.2">
      <c r="A5496" s="6" t="str">
        <f>"GFM2"</f>
        <v>GFM2</v>
      </c>
      <c r="B5496" s="6">
        <v>8.6913086913086898E-2</v>
      </c>
      <c r="C5496" s="6">
        <v>0.26388107805001498</v>
      </c>
    </row>
    <row r="5497" spans="1:3" s="7" customFormat="1" x14ac:dyDescent="0.2">
      <c r="A5497" s="6" t="str">
        <f>"NMRAL2P"</f>
        <v>NMRAL2P</v>
      </c>
      <c r="B5497" s="6">
        <v>8.6913086913086898E-2</v>
      </c>
      <c r="C5497" s="6">
        <v>0.26388107805001498</v>
      </c>
    </row>
    <row r="5498" spans="1:3" s="7" customFormat="1" x14ac:dyDescent="0.2">
      <c r="A5498" s="6" t="str">
        <f>"GFM1"</f>
        <v>GFM1</v>
      </c>
      <c r="B5498" s="6">
        <v>8.6913086913086898E-2</v>
      </c>
      <c r="C5498" s="6">
        <v>0.26388107805001498</v>
      </c>
    </row>
    <row r="5499" spans="1:3" s="7" customFormat="1" x14ac:dyDescent="0.2">
      <c r="A5499" s="6" t="str">
        <f>"TPP1"</f>
        <v>TPP1</v>
      </c>
      <c r="B5499" s="6">
        <v>8.6913086913086898E-2</v>
      </c>
      <c r="C5499" s="6">
        <v>0.26388107805001498</v>
      </c>
    </row>
    <row r="5500" spans="1:3" s="7" customFormat="1" x14ac:dyDescent="0.2">
      <c r="A5500" s="6" t="str">
        <f>"GTF2H2"</f>
        <v>GTF2H2</v>
      </c>
      <c r="B5500" s="6">
        <v>8.6913086913086898E-2</v>
      </c>
      <c r="C5500" s="6">
        <v>0.26388107805001498</v>
      </c>
    </row>
    <row r="5501" spans="1:3" s="7" customFormat="1" x14ac:dyDescent="0.2">
      <c r="A5501" s="6" t="str">
        <f>"AP001107.9"</f>
        <v>AP001107.9</v>
      </c>
      <c r="B5501" s="6">
        <v>8.6913086913086898E-2</v>
      </c>
      <c r="C5501" s="6">
        <v>0.26388107805001498</v>
      </c>
    </row>
    <row r="5502" spans="1:3" s="7" customFormat="1" x14ac:dyDescent="0.2">
      <c r="A5502" s="6" t="str">
        <f>"AP003783.1"</f>
        <v>AP003783.1</v>
      </c>
      <c r="B5502" s="6">
        <v>8.6913086913086898E-2</v>
      </c>
      <c r="C5502" s="6">
        <v>0.26388107805001498</v>
      </c>
    </row>
    <row r="5503" spans="1:3" s="7" customFormat="1" x14ac:dyDescent="0.2">
      <c r="A5503" s="6" t="str">
        <f>"FBXW7"</f>
        <v>FBXW7</v>
      </c>
      <c r="B5503" s="6">
        <v>8.6913086913086898E-2</v>
      </c>
      <c r="C5503" s="6">
        <v>0.26388107805001498</v>
      </c>
    </row>
    <row r="5504" spans="1:3" s="7" customFormat="1" x14ac:dyDescent="0.2">
      <c r="A5504" s="6" t="str">
        <f>"LINC00921"</f>
        <v>LINC00921</v>
      </c>
      <c r="B5504" s="6">
        <v>8.6913086913086898E-2</v>
      </c>
      <c r="C5504" s="6">
        <v>0.26388107805001498</v>
      </c>
    </row>
    <row r="5505" spans="1:3" s="7" customFormat="1" x14ac:dyDescent="0.2">
      <c r="A5505" s="6" t="str">
        <f>"EAF1"</f>
        <v>EAF1</v>
      </c>
      <c r="B5505" s="6">
        <v>8.6913086913086898E-2</v>
      </c>
      <c r="C5505" s="6">
        <v>0.26388107805001498</v>
      </c>
    </row>
    <row r="5506" spans="1:3" s="7" customFormat="1" x14ac:dyDescent="0.2">
      <c r="A5506" s="6" t="str">
        <f>"LMO7"</f>
        <v>LMO7</v>
      </c>
      <c r="B5506" s="6">
        <v>8.6913086913086898E-2</v>
      </c>
      <c r="C5506" s="6">
        <v>0.26388107805001498</v>
      </c>
    </row>
    <row r="5507" spans="1:3" s="7" customFormat="1" x14ac:dyDescent="0.2">
      <c r="A5507" s="6" t="str">
        <f>"TFAP2E"</f>
        <v>TFAP2E</v>
      </c>
      <c r="B5507" s="6">
        <v>8.6999999999999994E-2</v>
      </c>
      <c r="C5507" s="6">
        <v>0.26409698510715501</v>
      </c>
    </row>
    <row r="5508" spans="1:3" s="7" customFormat="1" x14ac:dyDescent="0.2">
      <c r="A5508" s="6" t="str">
        <f>"AC018678.1"</f>
        <v>AC018678.1</v>
      </c>
      <c r="B5508" s="6">
        <v>8.7087087087086998E-2</v>
      </c>
      <c r="C5508" s="6">
        <v>0.26431334185102101</v>
      </c>
    </row>
    <row r="5509" spans="1:3" s="7" customFormat="1" x14ac:dyDescent="0.2">
      <c r="A5509" s="6" t="str">
        <f>"TOX4"</f>
        <v>TOX4</v>
      </c>
      <c r="B5509" s="6">
        <v>8.7912087912087905E-2</v>
      </c>
      <c r="C5509" s="6">
        <v>0.26498875335665201</v>
      </c>
    </row>
    <row r="5510" spans="1:3" s="7" customFormat="1" x14ac:dyDescent="0.2">
      <c r="A5510" s="6" t="str">
        <f>"MTERF1"</f>
        <v>MTERF1</v>
      </c>
      <c r="B5510" s="6">
        <v>8.7912087912087905E-2</v>
      </c>
      <c r="C5510" s="6">
        <v>0.26498875335665201</v>
      </c>
    </row>
    <row r="5511" spans="1:3" s="7" customFormat="1" x14ac:dyDescent="0.2">
      <c r="A5511" s="6" t="str">
        <f>"COLEC12"</f>
        <v>COLEC12</v>
      </c>
      <c r="B5511" s="6">
        <v>8.7912087912087905E-2</v>
      </c>
      <c r="C5511" s="6">
        <v>0.26498875335665201</v>
      </c>
    </row>
    <row r="5512" spans="1:3" s="7" customFormat="1" x14ac:dyDescent="0.2">
      <c r="A5512" s="6" t="str">
        <f>"SRSF9"</f>
        <v>SRSF9</v>
      </c>
      <c r="B5512" s="6">
        <v>8.7912087912087905E-2</v>
      </c>
      <c r="C5512" s="6">
        <v>0.26498875335665201</v>
      </c>
    </row>
    <row r="5513" spans="1:3" s="7" customFormat="1" x14ac:dyDescent="0.2">
      <c r="A5513" s="6" t="str">
        <f>"LIPH"</f>
        <v>LIPH</v>
      </c>
      <c r="B5513" s="6">
        <v>8.7912087912087905E-2</v>
      </c>
      <c r="C5513" s="6">
        <v>0.26498875335665201</v>
      </c>
    </row>
    <row r="5514" spans="1:3" s="7" customFormat="1" x14ac:dyDescent="0.2">
      <c r="A5514" s="6" t="str">
        <f>"THSD7A"</f>
        <v>THSD7A</v>
      </c>
      <c r="B5514" s="6">
        <v>8.7912087912087905E-2</v>
      </c>
      <c r="C5514" s="6">
        <v>0.26498875335665201</v>
      </c>
    </row>
    <row r="5515" spans="1:3" s="7" customFormat="1" x14ac:dyDescent="0.2">
      <c r="A5515" s="6" t="str">
        <f>"BCKDK"</f>
        <v>BCKDK</v>
      </c>
      <c r="B5515" s="6">
        <v>8.7912087912087905E-2</v>
      </c>
      <c r="C5515" s="6">
        <v>0.26498875335665201</v>
      </c>
    </row>
    <row r="5516" spans="1:3" s="7" customFormat="1" x14ac:dyDescent="0.2">
      <c r="A5516" s="6" t="str">
        <f>"CD19"</f>
        <v>CD19</v>
      </c>
      <c r="B5516" s="6">
        <v>8.7912087912087905E-2</v>
      </c>
      <c r="C5516" s="6">
        <v>0.26498875335665201</v>
      </c>
    </row>
    <row r="5517" spans="1:3" s="7" customFormat="1" x14ac:dyDescent="0.2">
      <c r="A5517" s="6" t="str">
        <f>"ST20-AS1"</f>
        <v>ST20-AS1</v>
      </c>
      <c r="B5517" s="6">
        <v>8.7912087912087905E-2</v>
      </c>
      <c r="C5517" s="6">
        <v>0.26498875335665201</v>
      </c>
    </row>
    <row r="5518" spans="1:3" s="7" customFormat="1" x14ac:dyDescent="0.2">
      <c r="A5518" s="6" t="str">
        <f>"RIN2"</f>
        <v>RIN2</v>
      </c>
      <c r="B5518" s="6">
        <v>8.7912087912087905E-2</v>
      </c>
      <c r="C5518" s="6">
        <v>0.26498875335665201</v>
      </c>
    </row>
    <row r="5519" spans="1:3" s="7" customFormat="1" x14ac:dyDescent="0.2">
      <c r="A5519" s="6" t="str">
        <f>"TAF6L"</f>
        <v>TAF6L</v>
      </c>
      <c r="B5519" s="6">
        <v>8.7912087912087905E-2</v>
      </c>
      <c r="C5519" s="6">
        <v>0.26498875335665201</v>
      </c>
    </row>
    <row r="5520" spans="1:3" s="7" customFormat="1" x14ac:dyDescent="0.2">
      <c r="A5520" s="6" t="str">
        <f>"GEMIN2"</f>
        <v>GEMIN2</v>
      </c>
      <c r="B5520" s="6">
        <v>8.7912087912087905E-2</v>
      </c>
      <c r="C5520" s="6">
        <v>0.26498875335665201</v>
      </c>
    </row>
    <row r="5521" spans="1:3" s="7" customFormat="1" x14ac:dyDescent="0.2">
      <c r="A5521" s="6" t="str">
        <f>"CDAN1"</f>
        <v>CDAN1</v>
      </c>
      <c r="B5521" s="6">
        <v>8.7912087912087905E-2</v>
      </c>
      <c r="C5521" s="6">
        <v>0.26498875335665201</v>
      </c>
    </row>
    <row r="5522" spans="1:3" s="7" customFormat="1" x14ac:dyDescent="0.2">
      <c r="A5522" s="6" t="str">
        <f>"TRIM3"</f>
        <v>TRIM3</v>
      </c>
      <c r="B5522" s="6">
        <v>8.7912087912087905E-2</v>
      </c>
      <c r="C5522" s="6">
        <v>0.26498875335665201</v>
      </c>
    </row>
    <row r="5523" spans="1:3" s="7" customFormat="1" x14ac:dyDescent="0.2">
      <c r="A5523" s="6" t="str">
        <f>"RPS18P9"</f>
        <v>RPS18P9</v>
      </c>
      <c r="B5523" s="6">
        <v>8.7912087912087905E-2</v>
      </c>
      <c r="C5523" s="6">
        <v>0.26498875335665201</v>
      </c>
    </row>
    <row r="5524" spans="1:3" s="7" customFormat="1" x14ac:dyDescent="0.2">
      <c r="A5524" s="6" t="str">
        <f>"AC015911.7"</f>
        <v>AC015911.7</v>
      </c>
      <c r="B5524" s="6">
        <v>8.7912087912087905E-2</v>
      </c>
      <c r="C5524" s="6">
        <v>0.26498875335665201</v>
      </c>
    </row>
    <row r="5525" spans="1:3" s="7" customFormat="1" x14ac:dyDescent="0.2">
      <c r="A5525" s="6" t="str">
        <f>"FXN"</f>
        <v>FXN</v>
      </c>
      <c r="B5525" s="6">
        <v>8.7912087912087905E-2</v>
      </c>
      <c r="C5525" s="6">
        <v>0.26498875335665201</v>
      </c>
    </row>
    <row r="5526" spans="1:3" s="7" customFormat="1" x14ac:dyDescent="0.2">
      <c r="A5526" s="6" t="str">
        <f>"FRRS1L"</f>
        <v>FRRS1L</v>
      </c>
      <c r="B5526" s="6">
        <v>8.7912087912087905E-2</v>
      </c>
      <c r="C5526" s="6">
        <v>0.26498875335665201</v>
      </c>
    </row>
    <row r="5527" spans="1:3" s="7" customFormat="1" x14ac:dyDescent="0.2">
      <c r="A5527" s="6" t="str">
        <f>"KIRREL1"</f>
        <v>KIRREL1</v>
      </c>
      <c r="B5527" s="6">
        <v>8.7912087912087905E-2</v>
      </c>
      <c r="C5527" s="6">
        <v>0.26498875335665201</v>
      </c>
    </row>
    <row r="5528" spans="1:3" s="7" customFormat="1" x14ac:dyDescent="0.2">
      <c r="A5528" s="6" t="str">
        <f>"RMI2"</f>
        <v>RMI2</v>
      </c>
      <c r="B5528" s="6">
        <v>8.7912087912087905E-2</v>
      </c>
      <c r="C5528" s="6">
        <v>0.26498875335665201</v>
      </c>
    </row>
    <row r="5529" spans="1:3" s="7" customFormat="1" x14ac:dyDescent="0.2">
      <c r="A5529" s="6" t="str">
        <f>"CA10"</f>
        <v>CA10</v>
      </c>
      <c r="B5529" s="6">
        <v>8.7912087912087905E-2</v>
      </c>
      <c r="C5529" s="6">
        <v>0.26498875335665201</v>
      </c>
    </row>
    <row r="5530" spans="1:3" s="7" customFormat="1" x14ac:dyDescent="0.2">
      <c r="A5530" s="6" t="str">
        <f>"PTPRK"</f>
        <v>PTPRK</v>
      </c>
      <c r="B5530" s="6">
        <v>8.7912087912087905E-2</v>
      </c>
      <c r="C5530" s="6">
        <v>0.26498875335665201</v>
      </c>
    </row>
    <row r="5531" spans="1:3" s="7" customFormat="1" x14ac:dyDescent="0.2">
      <c r="A5531" s="6" t="str">
        <f>"NDST1"</f>
        <v>NDST1</v>
      </c>
      <c r="B5531" s="6">
        <v>8.7912087912087905E-2</v>
      </c>
      <c r="C5531" s="6">
        <v>0.26498875335665201</v>
      </c>
    </row>
    <row r="5532" spans="1:3" s="7" customFormat="1" x14ac:dyDescent="0.2">
      <c r="A5532" s="6" t="str">
        <f>"SMC2-AS1"</f>
        <v>SMC2-AS1</v>
      </c>
      <c r="B5532" s="6">
        <v>8.7912087912087905E-2</v>
      </c>
      <c r="C5532" s="6">
        <v>0.26498875335665201</v>
      </c>
    </row>
    <row r="5533" spans="1:3" s="7" customFormat="1" x14ac:dyDescent="0.2">
      <c r="A5533" s="6" t="str">
        <f>"FNDC1"</f>
        <v>FNDC1</v>
      </c>
      <c r="B5533" s="6">
        <v>8.7912087912087905E-2</v>
      </c>
      <c r="C5533" s="6">
        <v>0.26498875335665201</v>
      </c>
    </row>
    <row r="5534" spans="1:3" s="7" customFormat="1" x14ac:dyDescent="0.2">
      <c r="A5534" s="6" t="str">
        <f>"RSRC1"</f>
        <v>RSRC1</v>
      </c>
      <c r="B5534" s="6">
        <v>8.7912087912087905E-2</v>
      </c>
      <c r="C5534" s="6">
        <v>0.26498875335665201</v>
      </c>
    </row>
    <row r="5535" spans="1:3" s="7" customFormat="1" x14ac:dyDescent="0.2">
      <c r="A5535" s="6" t="str">
        <f>"RHBDD3"</f>
        <v>RHBDD3</v>
      </c>
      <c r="B5535" s="6">
        <v>8.7912087912087905E-2</v>
      </c>
      <c r="C5535" s="6">
        <v>0.26498875335665201</v>
      </c>
    </row>
    <row r="5536" spans="1:3" s="7" customFormat="1" x14ac:dyDescent="0.2">
      <c r="A5536" s="6" t="str">
        <f>"SFT2D3"</f>
        <v>SFT2D3</v>
      </c>
      <c r="B5536" s="6">
        <v>8.7912087912087905E-2</v>
      </c>
      <c r="C5536" s="6">
        <v>0.26498875335665201</v>
      </c>
    </row>
    <row r="5537" spans="1:3" s="7" customFormat="1" x14ac:dyDescent="0.2">
      <c r="A5537" s="6" t="str">
        <f>"AC078846.1"</f>
        <v>AC078846.1</v>
      </c>
      <c r="B5537" s="6">
        <v>8.7912087912087905E-2</v>
      </c>
      <c r="C5537" s="6">
        <v>0.26498875335665201</v>
      </c>
    </row>
    <row r="5538" spans="1:3" s="7" customFormat="1" x14ac:dyDescent="0.2">
      <c r="A5538" s="6" t="str">
        <f>"SYN3"</f>
        <v>SYN3</v>
      </c>
      <c r="B5538" s="6">
        <v>8.7912087912087905E-2</v>
      </c>
      <c r="C5538" s="6">
        <v>0.26498875335665201</v>
      </c>
    </row>
    <row r="5539" spans="1:3" s="7" customFormat="1" x14ac:dyDescent="0.2">
      <c r="A5539" s="6" t="str">
        <f>"LSM6"</f>
        <v>LSM6</v>
      </c>
      <c r="B5539" s="6">
        <v>8.7912087912087905E-2</v>
      </c>
      <c r="C5539" s="6">
        <v>0.26498875335665201</v>
      </c>
    </row>
    <row r="5540" spans="1:3" s="7" customFormat="1" x14ac:dyDescent="0.2">
      <c r="A5540" s="6" t="str">
        <f>"PTPRM"</f>
        <v>PTPRM</v>
      </c>
      <c r="B5540" s="6">
        <v>8.7912087912087905E-2</v>
      </c>
      <c r="C5540" s="6">
        <v>0.26498875335665201</v>
      </c>
    </row>
    <row r="5541" spans="1:3" s="7" customFormat="1" x14ac:dyDescent="0.2">
      <c r="A5541" s="6" t="str">
        <f>"AC011450.1"</f>
        <v>AC011450.1</v>
      </c>
      <c r="B5541" s="6">
        <v>8.7912087912087905E-2</v>
      </c>
      <c r="C5541" s="6">
        <v>0.26498875335665201</v>
      </c>
    </row>
    <row r="5542" spans="1:3" s="7" customFormat="1" x14ac:dyDescent="0.2">
      <c r="A5542" s="6" t="str">
        <f>"PNCK"</f>
        <v>PNCK</v>
      </c>
      <c r="B5542" s="6">
        <v>8.7912087912087905E-2</v>
      </c>
      <c r="C5542" s="6">
        <v>0.26498875335665201</v>
      </c>
    </row>
    <row r="5543" spans="1:3" s="7" customFormat="1" x14ac:dyDescent="0.2">
      <c r="A5543" s="6" t="str">
        <f>"PAN3"</f>
        <v>PAN3</v>
      </c>
      <c r="B5543" s="6">
        <v>8.7912087912087905E-2</v>
      </c>
      <c r="C5543" s="6">
        <v>0.26498875335665201</v>
      </c>
    </row>
    <row r="5544" spans="1:3" s="7" customFormat="1" x14ac:dyDescent="0.2">
      <c r="A5544" s="6" t="str">
        <f>"CLDN16"</f>
        <v>CLDN16</v>
      </c>
      <c r="B5544" s="6">
        <v>8.7912087912087905E-2</v>
      </c>
      <c r="C5544" s="6">
        <v>0.26498875335665201</v>
      </c>
    </row>
    <row r="5545" spans="1:3" s="7" customFormat="1" x14ac:dyDescent="0.2">
      <c r="A5545" s="6" t="str">
        <f>"LINC00271"</f>
        <v>LINC00271</v>
      </c>
      <c r="B5545" s="6">
        <v>8.7912087912087905E-2</v>
      </c>
      <c r="C5545" s="6">
        <v>0.26498875335665201</v>
      </c>
    </row>
    <row r="5546" spans="1:3" s="7" customFormat="1" x14ac:dyDescent="0.2">
      <c r="A5546" s="6" t="str">
        <f>"KANSL3"</f>
        <v>KANSL3</v>
      </c>
      <c r="B5546" s="6">
        <v>8.7912087912087905E-2</v>
      </c>
      <c r="C5546" s="6">
        <v>0.26498875335665201</v>
      </c>
    </row>
    <row r="5547" spans="1:3" s="7" customFormat="1" x14ac:dyDescent="0.2">
      <c r="A5547" s="6" t="str">
        <f>"FFAR3"</f>
        <v>FFAR3</v>
      </c>
      <c r="B5547" s="6">
        <v>8.8911088911088898E-2</v>
      </c>
      <c r="C5547" s="6">
        <v>0.266366721645445</v>
      </c>
    </row>
    <row r="5548" spans="1:3" s="7" customFormat="1" x14ac:dyDescent="0.2">
      <c r="A5548" s="6" t="str">
        <f>"AC119396.1"</f>
        <v>AC119396.1</v>
      </c>
      <c r="B5548" s="6">
        <v>8.8911088911088898E-2</v>
      </c>
      <c r="C5548" s="6">
        <v>0.266366721645445</v>
      </c>
    </row>
    <row r="5549" spans="1:3" s="7" customFormat="1" x14ac:dyDescent="0.2">
      <c r="A5549" s="6" t="str">
        <f>"DDX31"</f>
        <v>DDX31</v>
      </c>
      <c r="B5549" s="6">
        <v>8.8911088911088898E-2</v>
      </c>
      <c r="C5549" s="6">
        <v>0.266366721645445</v>
      </c>
    </row>
    <row r="5550" spans="1:3" s="7" customFormat="1" x14ac:dyDescent="0.2">
      <c r="A5550" s="6" t="str">
        <f>"LINC01547"</f>
        <v>LINC01547</v>
      </c>
      <c r="B5550" s="6">
        <v>8.8911088911088898E-2</v>
      </c>
      <c r="C5550" s="6">
        <v>0.266366721645445</v>
      </c>
    </row>
    <row r="5551" spans="1:3" s="7" customFormat="1" x14ac:dyDescent="0.2">
      <c r="A5551" s="6" t="str">
        <f>"SLC24A3"</f>
        <v>SLC24A3</v>
      </c>
      <c r="B5551" s="6">
        <v>8.8911088911088898E-2</v>
      </c>
      <c r="C5551" s="6">
        <v>0.266366721645445</v>
      </c>
    </row>
    <row r="5552" spans="1:3" s="7" customFormat="1" x14ac:dyDescent="0.2">
      <c r="A5552" s="6" t="str">
        <f>"PPP1R3F"</f>
        <v>PPP1R3F</v>
      </c>
      <c r="B5552" s="6">
        <v>8.8911088911088898E-2</v>
      </c>
      <c r="C5552" s="6">
        <v>0.266366721645445</v>
      </c>
    </row>
    <row r="5553" spans="1:3" s="7" customFormat="1" x14ac:dyDescent="0.2">
      <c r="A5553" s="6" t="str">
        <f>"DIP2C"</f>
        <v>DIP2C</v>
      </c>
      <c r="B5553" s="6">
        <v>8.8911088911088898E-2</v>
      </c>
      <c r="C5553" s="6">
        <v>0.266366721645445</v>
      </c>
    </row>
    <row r="5554" spans="1:3" s="7" customFormat="1" x14ac:dyDescent="0.2">
      <c r="A5554" s="6" t="str">
        <f>"AD000671.1"</f>
        <v>AD000671.1</v>
      </c>
      <c r="B5554" s="6">
        <v>8.8911088911088898E-2</v>
      </c>
      <c r="C5554" s="6">
        <v>0.266366721645445</v>
      </c>
    </row>
    <row r="5555" spans="1:3" s="7" customFormat="1" x14ac:dyDescent="0.2">
      <c r="A5555" s="6" t="str">
        <f>"SHTN1"</f>
        <v>SHTN1</v>
      </c>
      <c r="B5555" s="6">
        <v>8.8911088911088898E-2</v>
      </c>
      <c r="C5555" s="6">
        <v>0.266366721645445</v>
      </c>
    </row>
    <row r="5556" spans="1:3" s="7" customFormat="1" x14ac:dyDescent="0.2">
      <c r="A5556" s="6" t="str">
        <f>"AF196969.1"</f>
        <v>AF196969.1</v>
      </c>
      <c r="B5556" s="6">
        <v>8.8911088911088898E-2</v>
      </c>
      <c r="C5556" s="6">
        <v>0.266366721645445</v>
      </c>
    </row>
    <row r="5557" spans="1:3" s="7" customFormat="1" x14ac:dyDescent="0.2">
      <c r="A5557" s="6" t="str">
        <f>"SETD7"</f>
        <v>SETD7</v>
      </c>
      <c r="B5557" s="6">
        <v>8.8911088911088898E-2</v>
      </c>
      <c r="C5557" s="6">
        <v>0.266366721645445</v>
      </c>
    </row>
    <row r="5558" spans="1:3" s="7" customFormat="1" x14ac:dyDescent="0.2">
      <c r="A5558" s="6" t="str">
        <f>"ILF3-DT"</f>
        <v>ILF3-DT</v>
      </c>
      <c r="B5558" s="6">
        <v>8.8911088911088898E-2</v>
      </c>
      <c r="C5558" s="6">
        <v>0.266366721645445</v>
      </c>
    </row>
    <row r="5559" spans="1:3" s="7" customFormat="1" x14ac:dyDescent="0.2">
      <c r="A5559" s="6" t="str">
        <f>"ATP12A"</f>
        <v>ATP12A</v>
      </c>
      <c r="B5559" s="6">
        <v>8.8911088911088898E-2</v>
      </c>
      <c r="C5559" s="6">
        <v>0.266366721645445</v>
      </c>
    </row>
    <row r="5560" spans="1:3" s="7" customFormat="1" x14ac:dyDescent="0.2">
      <c r="A5560" s="6" t="str">
        <f>"ZNF213"</f>
        <v>ZNF213</v>
      </c>
      <c r="B5560" s="6">
        <v>8.8911088911088898E-2</v>
      </c>
      <c r="C5560" s="6">
        <v>0.266366721645445</v>
      </c>
    </row>
    <row r="5561" spans="1:3" s="7" customFormat="1" x14ac:dyDescent="0.2">
      <c r="A5561" s="6" t="str">
        <f>"PEX12"</f>
        <v>PEX12</v>
      </c>
      <c r="B5561" s="6">
        <v>8.8911088911088898E-2</v>
      </c>
      <c r="C5561" s="6">
        <v>0.266366721645445</v>
      </c>
    </row>
    <row r="5562" spans="1:3" s="7" customFormat="1" x14ac:dyDescent="0.2">
      <c r="A5562" s="6" t="str">
        <f>"ADAMTS7P3"</f>
        <v>ADAMTS7P3</v>
      </c>
      <c r="B5562" s="6">
        <v>8.8911088911088898E-2</v>
      </c>
      <c r="C5562" s="6">
        <v>0.266366721645445</v>
      </c>
    </row>
    <row r="5563" spans="1:3" s="7" customFormat="1" x14ac:dyDescent="0.2">
      <c r="A5563" s="6" t="str">
        <f>"GALT"</f>
        <v>GALT</v>
      </c>
      <c r="B5563" s="6">
        <v>8.8911088911088898E-2</v>
      </c>
      <c r="C5563" s="6">
        <v>0.266366721645445</v>
      </c>
    </row>
    <row r="5564" spans="1:3" s="7" customFormat="1" x14ac:dyDescent="0.2">
      <c r="A5564" s="6" t="str">
        <f>"TMED4"</f>
        <v>TMED4</v>
      </c>
      <c r="B5564" s="6">
        <v>8.8911088911088898E-2</v>
      </c>
      <c r="C5564" s="6">
        <v>0.266366721645445</v>
      </c>
    </row>
    <row r="5565" spans="1:3" s="7" customFormat="1" x14ac:dyDescent="0.2">
      <c r="A5565" s="6" t="str">
        <f>"EWSR1"</f>
        <v>EWSR1</v>
      </c>
      <c r="B5565" s="6">
        <v>8.8911088911088898E-2</v>
      </c>
      <c r="C5565" s="6">
        <v>0.266366721645445</v>
      </c>
    </row>
    <row r="5566" spans="1:3" s="7" customFormat="1" x14ac:dyDescent="0.2">
      <c r="A5566" s="6" t="str">
        <f>"LINC01719"</f>
        <v>LINC01719</v>
      </c>
      <c r="B5566" s="6">
        <v>8.8911088911088898E-2</v>
      </c>
      <c r="C5566" s="6">
        <v>0.266366721645445</v>
      </c>
    </row>
    <row r="5567" spans="1:3" s="7" customFormat="1" x14ac:dyDescent="0.2">
      <c r="A5567" s="6" t="str">
        <f>"ANKRD31"</f>
        <v>ANKRD31</v>
      </c>
      <c r="B5567" s="6">
        <v>8.8911088911088898E-2</v>
      </c>
      <c r="C5567" s="6">
        <v>0.266366721645445</v>
      </c>
    </row>
    <row r="5568" spans="1:3" s="7" customFormat="1" x14ac:dyDescent="0.2">
      <c r="A5568" s="6" t="str">
        <f>"AC024075.1"</f>
        <v>AC024075.1</v>
      </c>
      <c r="B5568" s="6">
        <v>8.8911088911088898E-2</v>
      </c>
      <c r="C5568" s="6">
        <v>0.266366721645445</v>
      </c>
    </row>
    <row r="5569" spans="1:3" s="7" customFormat="1" x14ac:dyDescent="0.2">
      <c r="A5569" s="6" t="str">
        <f>"KIR2DS4"</f>
        <v>KIR2DS4</v>
      </c>
      <c r="B5569" s="6">
        <v>8.8911088911088898E-2</v>
      </c>
      <c r="C5569" s="6">
        <v>0.266366721645445</v>
      </c>
    </row>
    <row r="5570" spans="1:3" s="7" customFormat="1" x14ac:dyDescent="0.2">
      <c r="A5570" s="6" t="str">
        <f>"AC018845.3"</f>
        <v>AC018845.3</v>
      </c>
      <c r="B5570" s="6">
        <v>8.8397790055248601E-2</v>
      </c>
      <c r="C5570" s="6">
        <v>0.266366721645445</v>
      </c>
    </row>
    <row r="5571" spans="1:3" s="7" customFormat="1" x14ac:dyDescent="0.2">
      <c r="A5571" s="6" t="str">
        <f>"CLTB"</f>
        <v>CLTB</v>
      </c>
      <c r="B5571" s="6">
        <v>8.8911088911088898E-2</v>
      </c>
      <c r="C5571" s="6">
        <v>0.266366721645445</v>
      </c>
    </row>
    <row r="5572" spans="1:3" s="7" customFormat="1" x14ac:dyDescent="0.2">
      <c r="A5572" s="6" t="str">
        <f>"CABLES2"</f>
        <v>CABLES2</v>
      </c>
      <c r="B5572" s="6">
        <v>8.8911088911088898E-2</v>
      </c>
      <c r="C5572" s="6">
        <v>0.266366721645445</v>
      </c>
    </row>
    <row r="5573" spans="1:3" s="7" customFormat="1" x14ac:dyDescent="0.2">
      <c r="A5573" s="6" t="str">
        <f>"AC114341.2"</f>
        <v>AC114341.2</v>
      </c>
      <c r="B5573" s="6">
        <v>8.8911088911088898E-2</v>
      </c>
      <c r="C5573" s="6">
        <v>0.266366721645445</v>
      </c>
    </row>
    <row r="5574" spans="1:3" s="7" customFormat="1" x14ac:dyDescent="0.2">
      <c r="A5574" s="6" t="str">
        <f>"ZDHHC12"</f>
        <v>ZDHHC12</v>
      </c>
      <c r="B5574" s="6">
        <v>8.8911088911088898E-2</v>
      </c>
      <c r="C5574" s="6">
        <v>0.266366721645445</v>
      </c>
    </row>
    <row r="5575" spans="1:3" s="7" customFormat="1" x14ac:dyDescent="0.2">
      <c r="A5575" s="6" t="str">
        <f>"AC010531.6"</f>
        <v>AC010531.6</v>
      </c>
      <c r="B5575" s="6">
        <v>8.8685015290519795E-2</v>
      </c>
      <c r="C5575" s="6">
        <v>0.266366721645445</v>
      </c>
    </row>
    <row r="5576" spans="1:3" s="7" customFormat="1" x14ac:dyDescent="0.2">
      <c r="A5576" s="6" t="str">
        <f>"AC110285.6"</f>
        <v>AC110285.6</v>
      </c>
      <c r="B5576" s="6">
        <v>8.8911088911088898E-2</v>
      </c>
      <c r="C5576" s="6">
        <v>0.266366721645445</v>
      </c>
    </row>
    <row r="5577" spans="1:3" s="7" customFormat="1" x14ac:dyDescent="0.2">
      <c r="A5577" s="6" t="str">
        <f>"SH3GL1"</f>
        <v>SH3GL1</v>
      </c>
      <c r="B5577" s="6">
        <v>8.8911088911088898E-2</v>
      </c>
      <c r="C5577" s="6">
        <v>0.266366721645445</v>
      </c>
    </row>
    <row r="5578" spans="1:3" s="7" customFormat="1" x14ac:dyDescent="0.2">
      <c r="A5578" s="6" t="str">
        <f>"LINC00910"</f>
        <v>LINC00910</v>
      </c>
      <c r="B5578" s="6">
        <v>8.8911088911088898E-2</v>
      </c>
      <c r="C5578" s="6">
        <v>0.266366721645445</v>
      </c>
    </row>
    <row r="5579" spans="1:3" s="7" customFormat="1" x14ac:dyDescent="0.2">
      <c r="A5579" s="6" t="str">
        <f>"INAFM2"</f>
        <v>INAFM2</v>
      </c>
      <c r="B5579" s="6">
        <v>8.8911088911088898E-2</v>
      </c>
      <c r="C5579" s="6">
        <v>0.266366721645445</v>
      </c>
    </row>
    <row r="5580" spans="1:3" s="7" customFormat="1" x14ac:dyDescent="0.2">
      <c r="A5580" s="6" t="str">
        <f>"EXOC6"</f>
        <v>EXOC6</v>
      </c>
      <c r="B5580" s="6">
        <v>8.8911088911088898E-2</v>
      </c>
      <c r="C5580" s="6">
        <v>0.266366721645445</v>
      </c>
    </row>
    <row r="5581" spans="1:3" s="7" customFormat="1" x14ac:dyDescent="0.2">
      <c r="A5581" s="6" t="str">
        <f>"GSTT2"</f>
        <v>GSTT2</v>
      </c>
      <c r="B5581" s="6">
        <v>8.8999999999999996E-2</v>
      </c>
      <c r="C5581" s="6">
        <v>0.26653753807561298</v>
      </c>
    </row>
    <row r="5582" spans="1:3" s="7" customFormat="1" x14ac:dyDescent="0.2">
      <c r="A5582" s="6" t="str">
        <f>"TUBB"</f>
        <v>TUBB</v>
      </c>
      <c r="B5582" s="6">
        <v>8.8999999999999996E-2</v>
      </c>
      <c r="C5582" s="6">
        <v>0.26653753807561298</v>
      </c>
    </row>
    <row r="5583" spans="1:3" s="7" customFormat="1" x14ac:dyDescent="0.2">
      <c r="A5583" s="6" t="str">
        <f>"AC114763.1"</f>
        <v>AC114763.1</v>
      </c>
      <c r="B5583" s="6">
        <v>8.90973036342321E-2</v>
      </c>
      <c r="C5583" s="6">
        <v>0.26678114169519002</v>
      </c>
    </row>
    <row r="5584" spans="1:3" s="7" customFormat="1" x14ac:dyDescent="0.2">
      <c r="A5584" s="6" t="str">
        <f>"AL355490.1"</f>
        <v>AL355490.1</v>
      </c>
      <c r="B5584" s="6">
        <v>8.9179548156956001E-2</v>
      </c>
      <c r="C5584" s="6">
        <v>0.26697957512007198</v>
      </c>
    </row>
    <row r="5585" spans="1:3" s="7" customFormat="1" x14ac:dyDescent="0.2">
      <c r="A5585" s="6" t="str">
        <f>"RPSAP53"</f>
        <v>RPSAP53</v>
      </c>
      <c r="B5585" s="6">
        <v>8.9211618257261399E-2</v>
      </c>
      <c r="C5585" s="6">
        <v>0.26702775565040598</v>
      </c>
    </row>
    <row r="5586" spans="1:3" s="7" customFormat="1" x14ac:dyDescent="0.2">
      <c r="A5586" s="6" t="str">
        <f>"ZBTB33"</f>
        <v>ZBTB33</v>
      </c>
      <c r="B5586" s="6">
        <v>8.9910089910089905E-2</v>
      </c>
      <c r="C5586" s="6">
        <v>0.26777570255831101</v>
      </c>
    </row>
    <row r="5587" spans="1:3" s="7" customFormat="1" x14ac:dyDescent="0.2">
      <c r="A5587" s="6" t="str">
        <f>"RHOT2"</f>
        <v>RHOT2</v>
      </c>
      <c r="B5587" s="6">
        <v>8.9910089910089905E-2</v>
      </c>
      <c r="C5587" s="6">
        <v>0.26777570255831101</v>
      </c>
    </row>
    <row r="5588" spans="1:3" s="7" customFormat="1" x14ac:dyDescent="0.2">
      <c r="A5588" s="6" t="str">
        <f>"POC5"</f>
        <v>POC5</v>
      </c>
      <c r="B5588" s="6">
        <v>8.9910089910089905E-2</v>
      </c>
      <c r="C5588" s="6">
        <v>0.26777570255831101</v>
      </c>
    </row>
    <row r="5589" spans="1:3" s="7" customFormat="1" x14ac:dyDescent="0.2">
      <c r="A5589" s="6" t="str">
        <f>"COQ4"</f>
        <v>COQ4</v>
      </c>
      <c r="B5589" s="6">
        <v>8.9910089910089905E-2</v>
      </c>
      <c r="C5589" s="6">
        <v>0.26777570255831101</v>
      </c>
    </row>
    <row r="5590" spans="1:3" s="7" customFormat="1" x14ac:dyDescent="0.2">
      <c r="A5590" s="6" t="str">
        <f>"ABLIM3"</f>
        <v>ABLIM3</v>
      </c>
      <c r="B5590" s="6">
        <v>8.9910089910089905E-2</v>
      </c>
      <c r="C5590" s="6">
        <v>0.26777570255831101</v>
      </c>
    </row>
    <row r="5591" spans="1:3" s="7" customFormat="1" x14ac:dyDescent="0.2">
      <c r="A5591" s="6" t="str">
        <f>"SCFD2"</f>
        <v>SCFD2</v>
      </c>
      <c r="B5591" s="6">
        <v>8.9910089910089905E-2</v>
      </c>
      <c r="C5591" s="6">
        <v>0.26777570255831101</v>
      </c>
    </row>
    <row r="5592" spans="1:3" s="7" customFormat="1" x14ac:dyDescent="0.2">
      <c r="A5592" s="6" t="str">
        <f>"DHRS12"</f>
        <v>DHRS12</v>
      </c>
      <c r="B5592" s="6">
        <v>8.9910089910089905E-2</v>
      </c>
      <c r="C5592" s="6">
        <v>0.26777570255831101</v>
      </c>
    </row>
    <row r="5593" spans="1:3" s="7" customFormat="1" x14ac:dyDescent="0.2">
      <c r="A5593" s="6" t="str">
        <f>"GHDC"</f>
        <v>GHDC</v>
      </c>
      <c r="B5593" s="6">
        <v>8.9910089910089905E-2</v>
      </c>
      <c r="C5593" s="6">
        <v>0.26777570255831101</v>
      </c>
    </row>
    <row r="5594" spans="1:3" s="7" customFormat="1" x14ac:dyDescent="0.2">
      <c r="A5594" s="6" t="str">
        <f>"PIDD1"</f>
        <v>PIDD1</v>
      </c>
      <c r="B5594" s="6">
        <v>8.9910089910089905E-2</v>
      </c>
      <c r="C5594" s="6">
        <v>0.26777570255831101</v>
      </c>
    </row>
    <row r="5595" spans="1:3" s="7" customFormat="1" x14ac:dyDescent="0.2">
      <c r="A5595" s="6" t="str">
        <f>"RINL"</f>
        <v>RINL</v>
      </c>
      <c r="B5595" s="6">
        <v>8.9910089910089905E-2</v>
      </c>
      <c r="C5595" s="6">
        <v>0.26777570255831101</v>
      </c>
    </row>
    <row r="5596" spans="1:3" s="7" customFormat="1" x14ac:dyDescent="0.2">
      <c r="A5596" s="6" t="str">
        <f>"EFNA5"</f>
        <v>EFNA5</v>
      </c>
      <c r="B5596" s="6">
        <v>8.9910089910089905E-2</v>
      </c>
      <c r="C5596" s="6">
        <v>0.26777570255831101</v>
      </c>
    </row>
    <row r="5597" spans="1:3" s="7" customFormat="1" x14ac:dyDescent="0.2">
      <c r="A5597" s="6" t="str">
        <f>"ZNF529-AS1"</f>
        <v>ZNF529-AS1</v>
      </c>
      <c r="B5597" s="6">
        <v>8.9910089910089905E-2</v>
      </c>
      <c r="C5597" s="6">
        <v>0.26777570255831101</v>
      </c>
    </row>
    <row r="5598" spans="1:3" s="7" customFormat="1" x14ac:dyDescent="0.2">
      <c r="A5598" s="6" t="str">
        <f>"DUSP8P5"</f>
        <v>DUSP8P5</v>
      </c>
      <c r="B5598" s="6">
        <v>8.9537223340040203E-2</v>
      </c>
      <c r="C5598" s="6">
        <v>0.26777570255831101</v>
      </c>
    </row>
    <row r="5599" spans="1:3" s="7" customFormat="1" x14ac:dyDescent="0.2">
      <c r="A5599" s="6" t="str">
        <f>"MBL1P"</f>
        <v>MBL1P</v>
      </c>
      <c r="B5599" s="6">
        <v>8.9910089910089905E-2</v>
      </c>
      <c r="C5599" s="6">
        <v>0.26777570255831101</v>
      </c>
    </row>
    <row r="5600" spans="1:3" s="7" customFormat="1" x14ac:dyDescent="0.2">
      <c r="A5600" s="6" t="str">
        <f>"GPAM"</f>
        <v>GPAM</v>
      </c>
      <c r="B5600" s="6">
        <v>8.9910089910089905E-2</v>
      </c>
      <c r="C5600" s="6">
        <v>0.26777570255831101</v>
      </c>
    </row>
    <row r="5601" spans="1:3" s="7" customFormat="1" x14ac:dyDescent="0.2">
      <c r="A5601" s="6" t="str">
        <f>"MARK4"</f>
        <v>MARK4</v>
      </c>
      <c r="B5601" s="6">
        <v>8.9910089910089905E-2</v>
      </c>
      <c r="C5601" s="6">
        <v>0.26777570255831101</v>
      </c>
    </row>
    <row r="5602" spans="1:3" s="7" customFormat="1" x14ac:dyDescent="0.2">
      <c r="A5602" s="6" t="str">
        <f>"CDH8"</f>
        <v>CDH8</v>
      </c>
      <c r="B5602" s="6">
        <v>8.9910089910089905E-2</v>
      </c>
      <c r="C5602" s="6">
        <v>0.26777570255831101</v>
      </c>
    </row>
    <row r="5603" spans="1:3" s="7" customFormat="1" x14ac:dyDescent="0.2">
      <c r="A5603" s="6" t="str">
        <f>"MAN2A1"</f>
        <v>MAN2A1</v>
      </c>
      <c r="B5603" s="6">
        <v>8.9910089910089905E-2</v>
      </c>
      <c r="C5603" s="6">
        <v>0.26777570255831101</v>
      </c>
    </row>
    <row r="5604" spans="1:3" s="7" customFormat="1" x14ac:dyDescent="0.2">
      <c r="A5604" s="6" t="str">
        <f>"CYTH3"</f>
        <v>CYTH3</v>
      </c>
      <c r="B5604" s="6">
        <v>8.9910089910089905E-2</v>
      </c>
      <c r="C5604" s="6">
        <v>0.26777570255831101</v>
      </c>
    </row>
    <row r="5605" spans="1:3" s="7" customFormat="1" x14ac:dyDescent="0.2">
      <c r="A5605" s="6" t="str">
        <f>"GON7"</f>
        <v>GON7</v>
      </c>
      <c r="B5605" s="6">
        <v>8.9910089910089905E-2</v>
      </c>
      <c r="C5605" s="6">
        <v>0.26777570255831101</v>
      </c>
    </row>
    <row r="5606" spans="1:3" s="7" customFormat="1" x14ac:dyDescent="0.2">
      <c r="A5606" s="6" t="str">
        <f>"NACAD"</f>
        <v>NACAD</v>
      </c>
      <c r="B5606" s="6">
        <v>8.9910089910089905E-2</v>
      </c>
      <c r="C5606" s="6">
        <v>0.26777570255831101</v>
      </c>
    </row>
    <row r="5607" spans="1:3" s="7" customFormat="1" x14ac:dyDescent="0.2">
      <c r="A5607" s="6" t="str">
        <f>"LAMP3"</f>
        <v>LAMP3</v>
      </c>
      <c r="B5607" s="6">
        <v>8.9910089910089905E-2</v>
      </c>
      <c r="C5607" s="6">
        <v>0.26777570255831101</v>
      </c>
    </row>
    <row r="5608" spans="1:3" s="7" customFormat="1" x14ac:dyDescent="0.2">
      <c r="A5608" s="6" t="str">
        <f>"C6orf226"</f>
        <v>C6orf226</v>
      </c>
      <c r="B5608" s="6">
        <v>8.9910089910089905E-2</v>
      </c>
      <c r="C5608" s="6">
        <v>0.26777570255831101</v>
      </c>
    </row>
    <row r="5609" spans="1:3" s="7" customFormat="1" x14ac:dyDescent="0.2">
      <c r="A5609" s="6" t="str">
        <f>"RAB11FIP3"</f>
        <v>RAB11FIP3</v>
      </c>
      <c r="B5609" s="6">
        <v>8.9910089910089905E-2</v>
      </c>
      <c r="C5609" s="6">
        <v>0.26777570255831101</v>
      </c>
    </row>
    <row r="5610" spans="1:3" s="7" customFormat="1" x14ac:dyDescent="0.2">
      <c r="A5610" s="6" t="str">
        <f>"NRL"</f>
        <v>NRL</v>
      </c>
      <c r="B5610" s="6">
        <v>8.9910089910089905E-2</v>
      </c>
      <c r="C5610" s="6">
        <v>0.26777570255831101</v>
      </c>
    </row>
    <row r="5611" spans="1:3" s="7" customFormat="1" x14ac:dyDescent="0.2">
      <c r="A5611" s="6" t="str">
        <f>"RPL10"</f>
        <v>RPL10</v>
      </c>
      <c r="B5611" s="6">
        <v>8.9910089910089905E-2</v>
      </c>
      <c r="C5611" s="6">
        <v>0.26777570255831101</v>
      </c>
    </row>
    <row r="5612" spans="1:3" s="7" customFormat="1" x14ac:dyDescent="0.2">
      <c r="A5612" s="6" t="str">
        <f>"CEP131"</f>
        <v>CEP131</v>
      </c>
      <c r="B5612" s="6">
        <v>8.9910089910089905E-2</v>
      </c>
      <c r="C5612" s="6">
        <v>0.26777570255831101</v>
      </c>
    </row>
    <row r="5613" spans="1:3" s="7" customFormat="1" x14ac:dyDescent="0.2">
      <c r="A5613" s="6" t="str">
        <f>"PCID2"</f>
        <v>PCID2</v>
      </c>
      <c r="B5613" s="6">
        <v>8.9910089910089905E-2</v>
      </c>
      <c r="C5613" s="6">
        <v>0.26777570255831101</v>
      </c>
    </row>
    <row r="5614" spans="1:3" s="7" customFormat="1" x14ac:dyDescent="0.2">
      <c r="A5614" s="6" t="str">
        <f>"HDAC3"</f>
        <v>HDAC3</v>
      </c>
      <c r="B5614" s="6">
        <v>0.09</v>
      </c>
      <c r="C5614" s="6">
        <v>0.26794798717491902</v>
      </c>
    </row>
    <row r="5615" spans="1:3" s="7" customFormat="1" x14ac:dyDescent="0.2">
      <c r="A5615" s="6" t="str">
        <f>"PHC1P1"</f>
        <v>PHC1P1</v>
      </c>
      <c r="B5615" s="6">
        <v>0.09</v>
      </c>
      <c r="C5615" s="6">
        <v>0.26794798717491902</v>
      </c>
    </row>
    <row r="5616" spans="1:3" s="7" customFormat="1" x14ac:dyDescent="0.2">
      <c r="A5616" s="6" t="str">
        <f>"RHOQP3"</f>
        <v>RHOQP3</v>
      </c>
      <c r="B5616" s="6">
        <v>9.0172239108409297E-2</v>
      </c>
      <c r="C5616" s="6">
        <v>0.26836517173396601</v>
      </c>
    </row>
    <row r="5617" spans="1:3" s="7" customFormat="1" x14ac:dyDescent="0.2">
      <c r="A5617" s="6" t="str">
        <f>"STAM-AS1"</f>
        <v>STAM-AS1</v>
      </c>
      <c r="B5617" s="6">
        <v>9.0172239108409297E-2</v>
      </c>
      <c r="C5617" s="6">
        <v>0.26836517173396601</v>
      </c>
    </row>
    <row r="5618" spans="1:3" s="7" customFormat="1" x14ac:dyDescent="0.2">
      <c r="A5618" s="6" t="str">
        <f>"TEDC1"</f>
        <v>TEDC1</v>
      </c>
      <c r="B5618" s="6">
        <v>9.0909090909090898E-2</v>
      </c>
      <c r="C5618" s="6">
        <v>0.26907287860006102</v>
      </c>
    </row>
    <row r="5619" spans="1:3" s="7" customFormat="1" x14ac:dyDescent="0.2">
      <c r="A5619" s="6" t="str">
        <f>"SMCO4"</f>
        <v>SMCO4</v>
      </c>
      <c r="B5619" s="6">
        <v>9.0909090909090898E-2</v>
      </c>
      <c r="C5619" s="6">
        <v>0.26907287860006102</v>
      </c>
    </row>
    <row r="5620" spans="1:3" s="7" customFormat="1" x14ac:dyDescent="0.2">
      <c r="A5620" s="6" t="str">
        <f>"HSF1"</f>
        <v>HSF1</v>
      </c>
      <c r="B5620" s="6">
        <v>9.0909090909090898E-2</v>
      </c>
      <c r="C5620" s="6">
        <v>0.26907287860006102</v>
      </c>
    </row>
    <row r="5621" spans="1:3" s="7" customFormat="1" x14ac:dyDescent="0.2">
      <c r="A5621" s="6" t="str">
        <f>"FSBP"</f>
        <v>FSBP</v>
      </c>
      <c r="B5621" s="6">
        <v>9.0909090909090898E-2</v>
      </c>
      <c r="C5621" s="6">
        <v>0.26907287860006102</v>
      </c>
    </row>
    <row r="5622" spans="1:3" s="7" customFormat="1" x14ac:dyDescent="0.2">
      <c r="A5622" s="6" t="str">
        <f>"GZMH"</f>
        <v>GZMH</v>
      </c>
      <c r="B5622" s="6">
        <v>9.0909090909090898E-2</v>
      </c>
      <c r="C5622" s="6">
        <v>0.26907287860006102</v>
      </c>
    </row>
    <row r="5623" spans="1:3" s="7" customFormat="1" x14ac:dyDescent="0.2">
      <c r="A5623" s="6" t="str">
        <f>"EIF3EP1"</f>
        <v>EIF3EP1</v>
      </c>
      <c r="B5623" s="6">
        <v>9.0909090909090898E-2</v>
      </c>
      <c r="C5623" s="6">
        <v>0.26907287860006102</v>
      </c>
    </row>
    <row r="5624" spans="1:3" s="7" customFormat="1" x14ac:dyDescent="0.2">
      <c r="A5624" s="6" t="str">
        <f>"CD101"</f>
        <v>CD101</v>
      </c>
      <c r="B5624" s="6">
        <v>9.0909090909090898E-2</v>
      </c>
      <c r="C5624" s="6">
        <v>0.26907287860006102</v>
      </c>
    </row>
    <row r="5625" spans="1:3" s="7" customFormat="1" x14ac:dyDescent="0.2">
      <c r="A5625" s="6" t="str">
        <f>"KRT4"</f>
        <v>KRT4</v>
      </c>
      <c r="B5625" s="6">
        <v>9.0909090909090898E-2</v>
      </c>
      <c r="C5625" s="6">
        <v>0.26907287860006102</v>
      </c>
    </row>
    <row r="5626" spans="1:3" s="7" customFormat="1" x14ac:dyDescent="0.2">
      <c r="A5626" s="6" t="str">
        <f>"MBD4"</f>
        <v>MBD4</v>
      </c>
      <c r="B5626" s="6">
        <v>9.0909090909090898E-2</v>
      </c>
      <c r="C5626" s="6">
        <v>0.26907287860006102</v>
      </c>
    </row>
    <row r="5627" spans="1:3" s="7" customFormat="1" x14ac:dyDescent="0.2">
      <c r="A5627" s="6" t="str">
        <f>"DMGDH"</f>
        <v>DMGDH</v>
      </c>
      <c r="B5627" s="6">
        <v>9.0909090909090898E-2</v>
      </c>
      <c r="C5627" s="6">
        <v>0.26907287860006102</v>
      </c>
    </row>
    <row r="5628" spans="1:3" s="7" customFormat="1" x14ac:dyDescent="0.2">
      <c r="A5628" s="6" t="str">
        <f>"ARHGAP27P2"</f>
        <v>ARHGAP27P2</v>
      </c>
      <c r="B5628" s="6">
        <v>9.0909090909090898E-2</v>
      </c>
      <c r="C5628" s="6">
        <v>0.26907287860006102</v>
      </c>
    </row>
    <row r="5629" spans="1:3" s="7" customFormat="1" x14ac:dyDescent="0.2">
      <c r="A5629" s="6" t="str">
        <f>"SCX"</f>
        <v>SCX</v>
      </c>
      <c r="B5629" s="6">
        <v>9.0909090909090898E-2</v>
      </c>
      <c r="C5629" s="6">
        <v>0.26907287860006102</v>
      </c>
    </row>
    <row r="5630" spans="1:3" s="7" customFormat="1" x14ac:dyDescent="0.2">
      <c r="A5630" s="6" t="str">
        <f>"COL6A3"</f>
        <v>COL6A3</v>
      </c>
      <c r="B5630" s="6">
        <v>9.0909090909090898E-2</v>
      </c>
      <c r="C5630" s="6">
        <v>0.26907287860006102</v>
      </c>
    </row>
    <row r="5631" spans="1:3" s="7" customFormat="1" x14ac:dyDescent="0.2">
      <c r="A5631" s="6" t="str">
        <f>"EPS8"</f>
        <v>EPS8</v>
      </c>
      <c r="B5631" s="6">
        <v>9.0909090909090898E-2</v>
      </c>
      <c r="C5631" s="6">
        <v>0.26907287860006102</v>
      </c>
    </row>
    <row r="5632" spans="1:3" s="7" customFormat="1" x14ac:dyDescent="0.2">
      <c r="A5632" s="6" t="str">
        <f>"AL359555.1"</f>
        <v>AL359555.1</v>
      </c>
      <c r="B5632" s="6">
        <v>9.0909090909090898E-2</v>
      </c>
      <c r="C5632" s="6">
        <v>0.26907287860006102</v>
      </c>
    </row>
    <row r="5633" spans="1:3" s="7" customFormat="1" x14ac:dyDescent="0.2">
      <c r="A5633" s="6" t="str">
        <f>"LINC01678"</f>
        <v>LINC01678</v>
      </c>
      <c r="B5633" s="6">
        <v>9.0909090909090898E-2</v>
      </c>
      <c r="C5633" s="6">
        <v>0.26907287860006102</v>
      </c>
    </row>
    <row r="5634" spans="1:3" s="7" customFormat="1" x14ac:dyDescent="0.2">
      <c r="A5634" s="6" t="str">
        <f>"FN1"</f>
        <v>FN1</v>
      </c>
      <c r="B5634" s="6">
        <v>9.0909090909090898E-2</v>
      </c>
      <c r="C5634" s="6">
        <v>0.26907287860006102</v>
      </c>
    </row>
    <row r="5635" spans="1:3" s="7" customFormat="1" x14ac:dyDescent="0.2">
      <c r="A5635" s="6" t="str">
        <f>"LILRA4"</f>
        <v>LILRA4</v>
      </c>
      <c r="B5635" s="6">
        <v>9.0909090909090898E-2</v>
      </c>
      <c r="C5635" s="6">
        <v>0.26907287860006102</v>
      </c>
    </row>
    <row r="5636" spans="1:3" s="7" customFormat="1" x14ac:dyDescent="0.2">
      <c r="A5636" s="6" t="str">
        <f>"ANTKMT"</f>
        <v>ANTKMT</v>
      </c>
      <c r="B5636" s="6">
        <v>9.0909090909090898E-2</v>
      </c>
      <c r="C5636" s="6">
        <v>0.26907287860006102</v>
      </c>
    </row>
    <row r="5637" spans="1:3" s="7" customFormat="1" x14ac:dyDescent="0.2">
      <c r="A5637" s="6" t="str">
        <f>"SAYSD1"</f>
        <v>SAYSD1</v>
      </c>
      <c r="B5637" s="6">
        <v>9.0909090909090898E-2</v>
      </c>
      <c r="C5637" s="6">
        <v>0.26907287860006102</v>
      </c>
    </row>
    <row r="5638" spans="1:3" s="7" customFormat="1" x14ac:dyDescent="0.2">
      <c r="A5638" s="6" t="str">
        <f>"ZBED5-AS1"</f>
        <v>ZBED5-AS1</v>
      </c>
      <c r="B5638" s="6">
        <v>9.0909090909090898E-2</v>
      </c>
      <c r="C5638" s="6">
        <v>0.26907287860006102</v>
      </c>
    </row>
    <row r="5639" spans="1:3" s="7" customFormat="1" x14ac:dyDescent="0.2">
      <c r="A5639" s="6" t="str">
        <f>"PPP1R14C"</f>
        <v>PPP1R14C</v>
      </c>
      <c r="B5639" s="6">
        <v>9.0909090909090898E-2</v>
      </c>
      <c r="C5639" s="6">
        <v>0.26907287860006102</v>
      </c>
    </row>
    <row r="5640" spans="1:3" s="7" customFormat="1" x14ac:dyDescent="0.2">
      <c r="A5640" s="6" t="str">
        <f>"TSIX"</f>
        <v>TSIX</v>
      </c>
      <c r="B5640" s="6">
        <v>9.0909090909090898E-2</v>
      </c>
      <c r="C5640" s="6">
        <v>0.26907287860006102</v>
      </c>
    </row>
    <row r="5641" spans="1:3" s="7" customFormat="1" x14ac:dyDescent="0.2">
      <c r="A5641" s="6" t="str">
        <f>"VWA2"</f>
        <v>VWA2</v>
      </c>
      <c r="B5641" s="6">
        <v>9.0909090909090898E-2</v>
      </c>
      <c r="C5641" s="6">
        <v>0.26907287860006102</v>
      </c>
    </row>
    <row r="5642" spans="1:3" s="7" customFormat="1" x14ac:dyDescent="0.2">
      <c r="A5642" s="6" t="str">
        <f>"TP53I3"</f>
        <v>TP53I3</v>
      </c>
      <c r="B5642" s="6">
        <v>9.0909090909090898E-2</v>
      </c>
      <c r="C5642" s="6">
        <v>0.26907287860006102</v>
      </c>
    </row>
    <row r="5643" spans="1:3" s="7" customFormat="1" x14ac:dyDescent="0.2">
      <c r="A5643" s="6" t="str">
        <f>"UNG"</f>
        <v>UNG</v>
      </c>
      <c r="B5643" s="6">
        <v>9.0909090909090898E-2</v>
      </c>
      <c r="C5643" s="6">
        <v>0.26907287860006102</v>
      </c>
    </row>
    <row r="5644" spans="1:3" s="7" customFormat="1" x14ac:dyDescent="0.2">
      <c r="A5644" s="6" t="str">
        <f>"MBD2"</f>
        <v>MBD2</v>
      </c>
      <c r="B5644" s="6">
        <v>9.0909090909090898E-2</v>
      </c>
      <c r="C5644" s="6">
        <v>0.26907287860006102</v>
      </c>
    </row>
    <row r="5645" spans="1:3" s="7" customFormat="1" x14ac:dyDescent="0.2">
      <c r="A5645" s="6" t="str">
        <f>"AC091167.7"</f>
        <v>AC091167.7</v>
      </c>
      <c r="B5645" s="6">
        <v>9.0909090909090898E-2</v>
      </c>
      <c r="C5645" s="6">
        <v>0.26907287860006102</v>
      </c>
    </row>
    <row r="5646" spans="1:3" s="7" customFormat="1" x14ac:dyDescent="0.2">
      <c r="A5646" s="6" t="str">
        <f>"TIGD5"</f>
        <v>TIGD5</v>
      </c>
      <c r="B5646" s="6">
        <v>9.0909090909090898E-2</v>
      </c>
      <c r="C5646" s="6">
        <v>0.26907287860006102</v>
      </c>
    </row>
    <row r="5647" spans="1:3" s="7" customFormat="1" x14ac:dyDescent="0.2">
      <c r="A5647" s="6" t="str">
        <f>"AP003721.4"</f>
        <v>AP003721.4</v>
      </c>
      <c r="B5647" s="6">
        <v>9.0909090909090898E-2</v>
      </c>
      <c r="C5647" s="6">
        <v>0.26907287860006102</v>
      </c>
    </row>
    <row r="5648" spans="1:3" s="7" customFormat="1" x14ac:dyDescent="0.2">
      <c r="A5648" s="6" t="str">
        <f>"MYL12A"</f>
        <v>MYL12A</v>
      </c>
      <c r="B5648" s="6">
        <v>9.0909090909090898E-2</v>
      </c>
      <c r="C5648" s="6">
        <v>0.26907287860006102</v>
      </c>
    </row>
    <row r="5649" spans="1:3" s="7" customFormat="1" x14ac:dyDescent="0.2">
      <c r="A5649" s="6" t="str">
        <f>"AP001267.1"</f>
        <v>AP001267.1</v>
      </c>
      <c r="B5649" s="6">
        <v>9.0999999999999998E-2</v>
      </c>
      <c r="C5649" s="6">
        <v>0.26919893805309703</v>
      </c>
    </row>
    <row r="5650" spans="1:3" s="7" customFormat="1" x14ac:dyDescent="0.2">
      <c r="A5650" s="6" t="str">
        <f>"SYVN1"</f>
        <v>SYVN1</v>
      </c>
      <c r="B5650" s="6">
        <v>9.0999999999999998E-2</v>
      </c>
      <c r="C5650" s="6">
        <v>0.26919893805309703</v>
      </c>
    </row>
    <row r="5651" spans="1:3" s="7" customFormat="1" x14ac:dyDescent="0.2">
      <c r="A5651" s="6" t="str">
        <f>"DPP3"</f>
        <v>DPP3</v>
      </c>
      <c r="B5651" s="6">
        <v>9.0999999999999998E-2</v>
      </c>
      <c r="C5651" s="6">
        <v>0.26919893805309703</v>
      </c>
    </row>
    <row r="5652" spans="1:3" s="7" customFormat="1" x14ac:dyDescent="0.2">
      <c r="A5652" s="6" t="str">
        <f>"SEC16B"</f>
        <v>SEC16B</v>
      </c>
      <c r="B5652" s="6">
        <v>9.1908091908091905E-2</v>
      </c>
      <c r="C5652" s="6">
        <v>0.27025894583952198</v>
      </c>
    </row>
    <row r="5653" spans="1:3" s="7" customFormat="1" x14ac:dyDescent="0.2">
      <c r="A5653" s="6" t="str">
        <f>"ZNF564"</f>
        <v>ZNF564</v>
      </c>
      <c r="B5653" s="6">
        <v>9.1908091908091905E-2</v>
      </c>
      <c r="C5653" s="6">
        <v>0.27025894583952198</v>
      </c>
    </row>
    <row r="5654" spans="1:3" s="7" customFormat="1" x14ac:dyDescent="0.2">
      <c r="A5654" s="6" t="str">
        <f>"GXYLT2"</f>
        <v>GXYLT2</v>
      </c>
      <c r="B5654" s="6">
        <v>9.1908091908091905E-2</v>
      </c>
      <c r="C5654" s="6">
        <v>0.27025894583952198</v>
      </c>
    </row>
    <row r="5655" spans="1:3" s="7" customFormat="1" x14ac:dyDescent="0.2">
      <c r="A5655" s="6" t="str">
        <f>"GTF2IP7"</f>
        <v>GTF2IP7</v>
      </c>
      <c r="B5655" s="6">
        <v>9.1908091908091905E-2</v>
      </c>
      <c r="C5655" s="6">
        <v>0.27025894583952198</v>
      </c>
    </row>
    <row r="5656" spans="1:3" s="7" customFormat="1" x14ac:dyDescent="0.2">
      <c r="A5656" s="6" t="str">
        <f>"PSMD6-AS2"</f>
        <v>PSMD6-AS2</v>
      </c>
      <c r="B5656" s="6">
        <v>9.1908091908091905E-2</v>
      </c>
      <c r="C5656" s="6">
        <v>0.27025894583952198</v>
      </c>
    </row>
    <row r="5657" spans="1:3" s="7" customFormat="1" x14ac:dyDescent="0.2">
      <c r="A5657" s="6" t="str">
        <f>"NKX1-2"</f>
        <v>NKX1-2</v>
      </c>
      <c r="B5657" s="6">
        <v>9.1908091908091905E-2</v>
      </c>
      <c r="C5657" s="6">
        <v>0.27025894583952198</v>
      </c>
    </row>
    <row r="5658" spans="1:3" s="7" customFormat="1" x14ac:dyDescent="0.2">
      <c r="A5658" s="6" t="str">
        <f>"IL36A"</f>
        <v>IL36A</v>
      </c>
      <c r="B5658" s="6">
        <v>9.1908091908091905E-2</v>
      </c>
      <c r="C5658" s="6">
        <v>0.27025894583952198</v>
      </c>
    </row>
    <row r="5659" spans="1:3" s="7" customFormat="1" x14ac:dyDescent="0.2">
      <c r="A5659" s="6" t="str">
        <f>"UHRF1BP1"</f>
        <v>UHRF1BP1</v>
      </c>
      <c r="B5659" s="6">
        <v>9.1908091908091905E-2</v>
      </c>
      <c r="C5659" s="6">
        <v>0.27025894583952198</v>
      </c>
    </row>
    <row r="5660" spans="1:3" s="7" customFormat="1" x14ac:dyDescent="0.2">
      <c r="A5660" s="6" t="str">
        <f>"AL713852.1"</f>
        <v>AL713852.1</v>
      </c>
      <c r="B5660" s="6">
        <v>9.1457286432160806E-2</v>
      </c>
      <c r="C5660" s="6">
        <v>0.27025894583952198</v>
      </c>
    </row>
    <row r="5661" spans="1:3" s="7" customFormat="1" x14ac:dyDescent="0.2">
      <c r="A5661" s="6" t="str">
        <f>"AL121574.1"</f>
        <v>AL121574.1</v>
      </c>
      <c r="B5661" s="6">
        <v>9.16414904330312E-2</v>
      </c>
      <c r="C5661" s="6">
        <v>0.27025894583952198</v>
      </c>
    </row>
    <row r="5662" spans="1:3" s="7" customFormat="1" x14ac:dyDescent="0.2">
      <c r="A5662" s="6" t="str">
        <f>"ZNF702P"</f>
        <v>ZNF702P</v>
      </c>
      <c r="B5662" s="6">
        <v>9.1908091908091905E-2</v>
      </c>
      <c r="C5662" s="6">
        <v>0.27025894583952198</v>
      </c>
    </row>
    <row r="5663" spans="1:3" s="7" customFormat="1" x14ac:dyDescent="0.2">
      <c r="A5663" s="6" t="str">
        <f>"AC025171.1"</f>
        <v>AC025171.1</v>
      </c>
      <c r="B5663" s="6">
        <v>9.1908091908091905E-2</v>
      </c>
      <c r="C5663" s="6">
        <v>0.27025894583952198</v>
      </c>
    </row>
    <row r="5664" spans="1:3" s="7" customFormat="1" x14ac:dyDescent="0.2">
      <c r="A5664" s="6" t="str">
        <f>"KIAA1586"</f>
        <v>KIAA1586</v>
      </c>
      <c r="B5664" s="6">
        <v>9.1908091908091905E-2</v>
      </c>
      <c r="C5664" s="6">
        <v>0.27025894583952198</v>
      </c>
    </row>
    <row r="5665" spans="1:3" s="7" customFormat="1" x14ac:dyDescent="0.2">
      <c r="A5665" s="6" t="str">
        <f>"TNIP3"</f>
        <v>TNIP3</v>
      </c>
      <c r="B5665" s="6">
        <v>9.1908091908091905E-2</v>
      </c>
      <c r="C5665" s="6">
        <v>0.27025894583952198</v>
      </c>
    </row>
    <row r="5666" spans="1:3" s="7" customFormat="1" x14ac:dyDescent="0.2">
      <c r="A5666" s="6" t="str">
        <f>"NCOA3"</f>
        <v>NCOA3</v>
      </c>
      <c r="B5666" s="6">
        <v>9.1908091908091905E-2</v>
      </c>
      <c r="C5666" s="6">
        <v>0.27025894583952198</v>
      </c>
    </row>
    <row r="5667" spans="1:3" s="7" customFormat="1" x14ac:dyDescent="0.2">
      <c r="A5667" s="6" t="str">
        <f>"PXN-AS1"</f>
        <v>PXN-AS1</v>
      </c>
      <c r="B5667" s="6">
        <v>9.1908091908091905E-2</v>
      </c>
      <c r="C5667" s="6">
        <v>0.27025894583952198</v>
      </c>
    </row>
    <row r="5668" spans="1:3" s="7" customFormat="1" x14ac:dyDescent="0.2">
      <c r="A5668" s="6" t="str">
        <f>"ESAM"</f>
        <v>ESAM</v>
      </c>
      <c r="B5668" s="6">
        <v>9.1908091908091905E-2</v>
      </c>
      <c r="C5668" s="6">
        <v>0.27025894583952198</v>
      </c>
    </row>
    <row r="5669" spans="1:3" s="7" customFormat="1" x14ac:dyDescent="0.2">
      <c r="A5669" s="6" t="str">
        <f>"CBR1"</f>
        <v>CBR1</v>
      </c>
      <c r="B5669" s="6">
        <v>9.1908091908091905E-2</v>
      </c>
      <c r="C5669" s="6">
        <v>0.27025894583952198</v>
      </c>
    </row>
    <row r="5670" spans="1:3" s="7" customFormat="1" x14ac:dyDescent="0.2">
      <c r="A5670" s="6" t="str">
        <f>"TIMM8A"</f>
        <v>TIMM8A</v>
      </c>
      <c r="B5670" s="6">
        <v>9.1908091908091905E-2</v>
      </c>
      <c r="C5670" s="6">
        <v>0.27025894583952198</v>
      </c>
    </row>
    <row r="5671" spans="1:3" s="7" customFormat="1" x14ac:dyDescent="0.2">
      <c r="A5671" s="6" t="str">
        <f>"COPS4"</f>
        <v>COPS4</v>
      </c>
      <c r="B5671" s="6">
        <v>9.1908091908091905E-2</v>
      </c>
      <c r="C5671" s="6">
        <v>0.27025894583952198</v>
      </c>
    </row>
    <row r="5672" spans="1:3" s="7" customFormat="1" x14ac:dyDescent="0.2">
      <c r="A5672" s="6" t="str">
        <f>"AL137847.1"</f>
        <v>AL137847.1</v>
      </c>
      <c r="B5672" s="6">
        <v>9.1908091908091905E-2</v>
      </c>
      <c r="C5672" s="6">
        <v>0.27025894583952198</v>
      </c>
    </row>
    <row r="5673" spans="1:3" s="7" customFormat="1" x14ac:dyDescent="0.2">
      <c r="A5673" s="6" t="str">
        <f>"ELAPOR2"</f>
        <v>ELAPOR2</v>
      </c>
      <c r="B5673" s="6">
        <v>9.1908091908091905E-2</v>
      </c>
      <c r="C5673" s="6">
        <v>0.27025894583952198</v>
      </c>
    </row>
    <row r="5674" spans="1:3" s="7" customFormat="1" x14ac:dyDescent="0.2">
      <c r="A5674" s="6" t="str">
        <f>"C11orf53"</f>
        <v>C11orf53</v>
      </c>
      <c r="B5674" s="6">
        <v>9.1908091908091905E-2</v>
      </c>
      <c r="C5674" s="6">
        <v>0.27025894583952198</v>
      </c>
    </row>
    <row r="5675" spans="1:3" s="7" customFormat="1" x14ac:dyDescent="0.2">
      <c r="A5675" s="6" t="str">
        <f>"NADSYN1"</f>
        <v>NADSYN1</v>
      </c>
      <c r="B5675" s="6">
        <v>9.1908091908091905E-2</v>
      </c>
      <c r="C5675" s="6">
        <v>0.27025894583952198</v>
      </c>
    </row>
    <row r="5676" spans="1:3" s="7" customFormat="1" x14ac:dyDescent="0.2">
      <c r="A5676" s="6" t="str">
        <f>"ZNF436-AS1"</f>
        <v>ZNF436-AS1</v>
      </c>
      <c r="B5676" s="6">
        <v>9.1908091908091905E-2</v>
      </c>
      <c r="C5676" s="6">
        <v>0.27025894583952198</v>
      </c>
    </row>
    <row r="5677" spans="1:3" s="7" customFormat="1" x14ac:dyDescent="0.2">
      <c r="A5677" s="6" t="str">
        <f>"LINC01278"</f>
        <v>LINC01278</v>
      </c>
      <c r="B5677" s="6">
        <v>9.1908091908091905E-2</v>
      </c>
      <c r="C5677" s="6">
        <v>0.27025894583952198</v>
      </c>
    </row>
    <row r="5678" spans="1:3" s="7" customFormat="1" x14ac:dyDescent="0.2">
      <c r="A5678" s="6" t="str">
        <f>"MON1A"</f>
        <v>MON1A</v>
      </c>
      <c r="B5678" s="6">
        <v>9.1908091908091905E-2</v>
      </c>
      <c r="C5678" s="6">
        <v>0.27025894583952198</v>
      </c>
    </row>
    <row r="5679" spans="1:3" s="7" customFormat="1" x14ac:dyDescent="0.2">
      <c r="A5679" s="6" t="str">
        <f>"UBL3"</f>
        <v>UBL3</v>
      </c>
      <c r="B5679" s="6">
        <v>9.1908091908091905E-2</v>
      </c>
      <c r="C5679" s="6">
        <v>0.27025894583952198</v>
      </c>
    </row>
    <row r="5680" spans="1:3" s="7" customFormat="1" x14ac:dyDescent="0.2">
      <c r="A5680" s="6" t="str">
        <f>"RUVBL2"</f>
        <v>RUVBL2</v>
      </c>
      <c r="B5680" s="6">
        <v>9.1908091908091905E-2</v>
      </c>
      <c r="C5680" s="6">
        <v>0.27025894583952198</v>
      </c>
    </row>
    <row r="5681" spans="1:3" s="7" customFormat="1" x14ac:dyDescent="0.2">
      <c r="A5681" s="6" t="str">
        <f>"AC026362.1"</f>
        <v>AC026362.1</v>
      </c>
      <c r="B5681" s="6">
        <v>9.1908091908091905E-2</v>
      </c>
      <c r="C5681" s="6">
        <v>0.27025894583952198</v>
      </c>
    </row>
    <row r="5682" spans="1:3" s="7" customFormat="1" x14ac:dyDescent="0.2">
      <c r="A5682" s="6" t="str">
        <f>"CALML4"</f>
        <v>CALML4</v>
      </c>
      <c r="B5682" s="6">
        <v>9.1908091908091905E-2</v>
      </c>
      <c r="C5682" s="6">
        <v>0.27025894583952198</v>
      </c>
    </row>
    <row r="5683" spans="1:3" s="7" customFormat="1" x14ac:dyDescent="0.2">
      <c r="A5683" s="6" t="str">
        <f>"LINC01522"</f>
        <v>LINC01522</v>
      </c>
      <c r="B5683" s="6">
        <v>9.1908091908091905E-2</v>
      </c>
      <c r="C5683" s="6">
        <v>0.27025894583952198</v>
      </c>
    </row>
    <row r="5684" spans="1:3" s="7" customFormat="1" x14ac:dyDescent="0.2">
      <c r="A5684" s="6" t="str">
        <f>"LINC02021"</f>
        <v>LINC02021</v>
      </c>
      <c r="B5684" s="6">
        <v>9.1908091908091905E-2</v>
      </c>
      <c r="C5684" s="6">
        <v>0.27025894583952198</v>
      </c>
    </row>
    <row r="5685" spans="1:3" s="7" customFormat="1" x14ac:dyDescent="0.2">
      <c r="A5685" s="6" t="str">
        <f>"OVOL2"</f>
        <v>OVOL2</v>
      </c>
      <c r="B5685" s="6">
        <v>9.1908091908091905E-2</v>
      </c>
      <c r="C5685" s="6">
        <v>0.27025894583952198</v>
      </c>
    </row>
    <row r="5686" spans="1:3" s="7" customFormat="1" x14ac:dyDescent="0.2">
      <c r="A5686" s="6" t="str">
        <f>"PNISR"</f>
        <v>PNISR</v>
      </c>
      <c r="B5686" s="6">
        <v>9.2907092907092897E-2</v>
      </c>
      <c r="C5686" s="6">
        <v>0.27176218950807601</v>
      </c>
    </row>
    <row r="5687" spans="1:3" s="7" customFormat="1" x14ac:dyDescent="0.2">
      <c r="A5687" s="6" t="str">
        <f>"XKR8"</f>
        <v>XKR8</v>
      </c>
      <c r="B5687" s="6">
        <v>9.2907092907092897E-2</v>
      </c>
      <c r="C5687" s="6">
        <v>0.27176218950807601</v>
      </c>
    </row>
    <row r="5688" spans="1:3" s="7" customFormat="1" x14ac:dyDescent="0.2">
      <c r="A5688" s="6" t="str">
        <f>"CXCL2"</f>
        <v>CXCL2</v>
      </c>
      <c r="B5688" s="6">
        <v>9.2907092907092897E-2</v>
      </c>
      <c r="C5688" s="6">
        <v>0.27176218950807601</v>
      </c>
    </row>
    <row r="5689" spans="1:3" s="7" customFormat="1" x14ac:dyDescent="0.2">
      <c r="A5689" s="6" t="str">
        <f>"STOML1"</f>
        <v>STOML1</v>
      </c>
      <c r="B5689" s="6">
        <v>9.2907092907092897E-2</v>
      </c>
      <c r="C5689" s="6">
        <v>0.27176218950807601</v>
      </c>
    </row>
    <row r="5690" spans="1:3" s="7" customFormat="1" x14ac:dyDescent="0.2">
      <c r="A5690" s="6" t="str">
        <f>"HOPX"</f>
        <v>HOPX</v>
      </c>
      <c r="B5690" s="6">
        <v>9.2907092907092897E-2</v>
      </c>
      <c r="C5690" s="6">
        <v>0.27176218950807601</v>
      </c>
    </row>
    <row r="5691" spans="1:3" s="7" customFormat="1" x14ac:dyDescent="0.2">
      <c r="A5691" s="6" t="str">
        <f>"ZNF790"</f>
        <v>ZNF790</v>
      </c>
      <c r="B5691" s="6">
        <v>9.2907092907092897E-2</v>
      </c>
      <c r="C5691" s="6">
        <v>0.27176218950807601</v>
      </c>
    </row>
    <row r="5692" spans="1:3" s="7" customFormat="1" x14ac:dyDescent="0.2">
      <c r="A5692" s="6" t="str">
        <f>"AL049757.1"</f>
        <v>AL049757.1</v>
      </c>
      <c r="B5692" s="6">
        <v>9.2907092907092897E-2</v>
      </c>
      <c r="C5692" s="6">
        <v>0.27176218950807601</v>
      </c>
    </row>
    <row r="5693" spans="1:3" s="7" customFormat="1" x14ac:dyDescent="0.2">
      <c r="A5693" s="6" t="str">
        <f>"ZNF433"</f>
        <v>ZNF433</v>
      </c>
      <c r="B5693" s="6">
        <v>9.2907092907092897E-2</v>
      </c>
      <c r="C5693" s="6">
        <v>0.27176218950807601</v>
      </c>
    </row>
    <row r="5694" spans="1:3" s="7" customFormat="1" x14ac:dyDescent="0.2">
      <c r="A5694" s="6" t="str">
        <f>"LTO1"</f>
        <v>LTO1</v>
      </c>
      <c r="B5694" s="6">
        <v>9.2907092907092897E-2</v>
      </c>
      <c r="C5694" s="6">
        <v>0.27176218950807601</v>
      </c>
    </row>
    <row r="5695" spans="1:3" s="7" customFormat="1" x14ac:dyDescent="0.2">
      <c r="A5695" s="6" t="str">
        <f>"CYP4V2"</f>
        <v>CYP4V2</v>
      </c>
      <c r="B5695" s="6">
        <v>9.2907092907092897E-2</v>
      </c>
      <c r="C5695" s="6">
        <v>0.27176218950807601</v>
      </c>
    </row>
    <row r="5696" spans="1:3" s="7" customFormat="1" x14ac:dyDescent="0.2">
      <c r="A5696" s="6" t="str">
        <f>"GTF2H3"</f>
        <v>GTF2H3</v>
      </c>
      <c r="B5696" s="6">
        <v>9.2907092907092897E-2</v>
      </c>
      <c r="C5696" s="6">
        <v>0.27176218950807601</v>
      </c>
    </row>
    <row r="5697" spans="1:3" s="7" customFormat="1" x14ac:dyDescent="0.2">
      <c r="A5697" s="6" t="str">
        <f>"CTU1"</f>
        <v>CTU1</v>
      </c>
      <c r="B5697" s="6">
        <v>9.2907092907092897E-2</v>
      </c>
      <c r="C5697" s="6">
        <v>0.27176218950807601</v>
      </c>
    </row>
    <row r="5698" spans="1:3" s="7" customFormat="1" x14ac:dyDescent="0.2">
      <c r="A5698" s="6" t="str">
        <f>"SETD1B"</f>
        <v>SETD1B</v>
      </c>
      <c r="B5698" s="6">
        <v>9.2907092907092897E-2</v>
      </c>
      <c r="C5698" s="6">
        <v>0.27176218950807601</v>
      </c>
    </row>
    <row r="5699" spans="1:3" s="7" customFormat="1" x14ac:dyDescent="0.2">
      <c r="A5699" s="6" t="str">
        <f>"CALCOCO1"</f>
        <v>CALCOCO1</v>
      </c>
      <c r="B5699" s="6">
        <v>9.2907092907092897E-2</v>
      </c>
      <c r="C5699" s="6">
        <v>0.27176218950807601</v>
      </c>
    </row>
    <row r="5700" spans="1:3" s="7" customFormat="1" x14ac:dyDescent="0.2">
      <c r="A5700" s="6" t="str">
        <f>"AC017083.3"</f>
        <v>AC017083.3</v>
      </c>
      <c r="B5700" s="6">
        <v>9.2907092907092897E-2</v>
      </c>
      <c r="C5700" s="6">
        <v>0.27176218950807601</v>
      </c>
    </row>
    <row r="5701" spans="1:3" s="7" customFormat="1" x14ac:dyDescent="0.2">
      <c r="A5701" s="6" t="str">
        <f>"RNF6"</f>
        <v>RNF6</v>
      </c>
      <c r="B5701" s="6">
        <v>9.2907092907092897E-2</v>
      </c>
      <c r="C5701" s="6">
        <v>0.27176218950807601</v>
      </c>
    </row>
    <row r="5702" spans="1:3" s="7" customFormat="1" x14ac:dyDescent="0.2">
      <c r="A5702" s="6" t="str">
        <f>"Z98883.1"</f>
        <v>Z98883.1</v>
      </c>
      <c r="B5702" s="6">
        <v>9.2907092907092897E-2</v>
      </c>
      <c r="C5702" s="6">
        <v>0.27176218950807601</v>
      </c>
    </row>
    <row r="5703" spans="1:3" s="7" customFormat="1" x14ac:dyDescent="0.2">
      <c r="A5703" s="6" t="str">
        <f>"MPPED1"</f>
        <v>MPPED1</v>
      </c>
      <c r="B5703" s="6">
        <v>9.2907092907092897E-2</v>
      </c>
      <c r="C5703" s="6">
        <v>0.27176218950807601</v>
      </c>
    </row>
    <row r="5704" spans="1:3" s="7" customFormat="1" x14ac:dyDescent="0.2">
      <c r="A5704" s="6" t="str">
        <f>"CEP104"</f>
        <v>CEP104</v>
      </c>
      <c r="B5704" s="6">
        <v>9.2907092907092897E-2</v>
      </c>
      <c r="C5704" s="6">
        <v>0.27176218950807601</v>
      </c>
    </row>
    <row r="5705" spans="1:3" s="7" customFormat="1" x14ac:dyDescent="0.2">
      <c r="A5705" s="6" t="str">
        <f>"AC008752.2"</f>
        <v>AC008752.2</v>
      </c>
      <c r="B5705" s="6">
        <v>9.2907092907092897E-2</v>
      </c>
      <c r="C5705" s="6">
        <v>0.27176218950807601</v>
      </c>
    </row>
    <row r="5706" spans="1:3" s="7" customFormat="1" x14ac:dyDescent="0.2">
      <c r="A5706" s="6" t="str">
        <f>"STK19"</f>
        <v>STK19</v>
      </c>
      <c r="B5706" s="6">
        <v>9.2907092907092897E-2</v>
      </c>
      <c r="C5706" s="6">
        <v>0.27176218950807601</v>
      </c>
    </row>
    <row r="5707" spans="1:3" s="7" customFormat="1" x14ac:dyDescent="0.2">
      <c r="A5707" s="6" t="str">
        <f>"OSBPL6"</f>
        <v>OSBPL6</v>
      </c>
      <c r="B5707" s="6">
        <v>9.2907092907092897E-2</v>
      </c>
      <c r="C5707" s="6">
        <v>0.27176218950807601</v>
      </c>
    </row>
    <row r="5708" spans="1:3" s="7" customFormat="1" x14ac:dyDescent="0.2">
      <c r="A5708" s="6" t="str">
        <f>"LY6G6C"</f>
        <v>LY6G6C</v>
      </c>
      <c r="B5708" s="6">
        <v>9.2907092907092897E-2</v>
      </c>
      <c r="C5708" s="6">
        <v>0.27176218950807601</v>
      </c>
    </row>
    <row r="5709" spans="1:3" s="7" customFormat="1" x14ac:dyDescent="0.2">
      <c r="A5709" s="6" t="str">
        <f>"ZNRF2P1"</f>
        <v>ZNRF2P1</v>
      </c>
      <c r="B5709" s="6">
        <v>9.2907092907092897E-2</v>
      </c>
      <c r="C5709" s="6">
        <v>0.27176218950807601</v>
      </c>
    </row>
    <row r="5710" spans="1:3" s="7" customFormat="1" x14ac:dyDescent="0.2">
      <c r="A5710" s="6" t="str">
        <f>"NDP"</f>
        <v>NDP</v>
      </c>
      <c r="B5710" s="6">
        <v>9.2907092907092897E-2</v>
      </c>
      <c r="C5710" s="6">
        <v>0.27176218950807601</v>
      </c>
    </row>
    <row r="5711" spans="1:3" s="7" customFormat="1" x14ac:dyDescent="0.2">
      <c r="A5711" s="6" t="str">
        <f>"LY6H"</f>
        <v>LY6H</v>
      </c>
      <c r="B5711" s="6">
        <v>9.2907092907092897E-2</v>
      </c>
      <c r="C5711" s="6">
        <v>0.27176218950807601</v>
      </c>
    </row>
    <row r="5712" spans="1:3" s="7" customFormat="1" x14ac:dyDescent="0.2">
      <c r="A5712" s="6" t="str">
        <f>"LINC02526"</f>
        <v>LINC02526</v>
      </c>
      <c r="B5712" s="6">
        <v>9.2907092907092897E-2</v>
      </c>
      <c r="C5712" s="6">
        <v>0.27176218950807601</v>
      </c>
    </row>
    <row r="5713" spans="1:3" s="7" customFormat="1" x14ac:dyDescent="0.2">
      <c r="A5713" s="6" t="str">
        <f>"CPOX"</f>
        <v>CPOX</v>
      </c>
      <c r="B5713" s="6">
        <v>9.2907092907092897E-2</v>
      </c>
      <c r="C5713" s="6">
        <v>0.27176218950807601</v>
      </c>
    </row>
    <row r="5714" spans="1:3" s="7" customFormat="1" x14ac:dyDescent="0.2">
      <c r="A5714" s="6" t="str">
        <f>"PRCP"</f>
        <v>PRCP</v>
      </c>
      <c r="B5714" s="6">
        <v>9.2907092907092897E-2</v>
      </c>
      <c r="C5714" s="6">
        <v>0.27176218950807601</v>
      </c>
    </row>
    <row r="5715" spans="1:3" s="7" customFormat="1" x14ac:dyDescent="0.2">
      <c r="A5715" s="6" t="str">
        <f>"NOCT"</f>
        <v>NOCT</v>
      </c>
      <c r="B5715" s="6">
        <v>9.2907092907092897E-2</v>
      </c>
      <c r="C5715" s="6">
        <v>0.27176218950807601</v>
      </c>
    </row>
    <row r="5716" spans="1:3" s="7" customFormat="1" x14ac:dyDescent="0.2">
      <c r="A5716" s="6" t="str">
        <f>"INHA"</f>
        <v>INHA</v>
      </c>
      <c r="B5716" s="6">
        <v>9.2999999999999999E-2</v>
      </c>
      <c r="C5716" s="6">
        <v>0.27198635170603602</v>
      </c>
    </row>
    <row r="5717" spans="1:3" s="7" customFormat="1" x14ac:dyDescent="0.2">
      <c r="A5717" s="6" t="str">
        <f>"LINC02449"</f>
        <v>LINC02449</v>
      </c>
      <c r="B5717" s="6">
        <v>9.3906093906093904E-2</v>
      </c>
      <c r="C5717" s="6">
        <v>0.27301208097868301</v>
      </c>
    </row>
    <row r="5718" spans="1:3" s="7" customFormat="1" x14ac:dyDescent="0.2">
      <c r="A5718" s="6" t="str">
        <f>"HIP1"</f>
        <v>HIP1</v>
      </c>
      <c r="B5718" s="6">
        <v>9.3906093906093904E-2</v>
      </c>
      <c r="C5718" s="6">
        <v>0.27301208097868301</v>
      </c>
    </row>
    <row r="5719" spans="1:3" s="7" customFormat="1" x14ac:dyDescent="0.2">
      <c r="A5719" s="6" t="str">
        <f>"FGFBP3"</f>
        <v>FGFBP3</v>
      </c>
      <c r="B5719" s="6">
        <v>9.3906093906093904E-2</v>
      </c>
      <c r="C5719" s="6">
        <v>0.27301208097868301</v>
      </c>
    </row>
    <row r="5720" spans="1:3" s="7" customFormat="1" x14ac:dyDescent="0.2">
      <c r="A5720" s="6" t="str">
        <f>"PLAGL1"</f>
        <v>PLAGL1</v>
      </c>
      <c r="B5720" s="6">
        <v>9.3906093906093904E-2</v>
      </c>
      <c r="C5720" s="6">
        <v>0.27301208097868301</v>
      </c>
    </row>
    <row r="5721" spans="1:3" s="7" customFormat="1" x14ac:dyDescent="0.2">
      <c r="A5721" s="6" t="str">
        <f>"AL050341.2"</f>
        <v>AL050341.2</v>
      </c>
      <c r="B5721" s="6">
        <v>9.3906093906093904E-2</v>
      </c>
      <c r="C5721" s="6">
        <v>0.27301208097868301</v>
      </c>
    </row>
    <row r="5722" spans="1:3" s="7" customFormat="1" x14ac:dyDescent="0.2">
      <c r="A5722" s="6" t="str">
        <f>"PDZK1"</f>
        <v>PDZK1</v>
      </c>
      <c r="B5722" s="6">
        <v>9.3906093906093904E-2</v>
      </c>
      <c r="C5722" s="6">
        <v>0.27301208097868301</v>
      </c>
    </row>
    <row r="5723" spans="1:3" s="7" customFormat="1" x14ac:dyDescent="0.2">
      <c r="A5723" s="6" t="str">
        <f>"AKNA"</f>
        <v>AKNA</v>
      </c>
      <c r="B5723" s="6">
        <v>9.3906093906093904E-2</v>
      </c>
      <c r="C5723" s="6">
        <v>0.27301208097868301</v>
      </c>
    </row>
    <row r="5724" spans="1:3" s="7" customFormat="1" x14ac:dyDescent="0.2">
      <c r="A5724" s="6" t="str">
        <f>"ZNF35"</f>
        <v>ZNF35</v>
      </c>
      <c r="B5724" s="6">
        <v>9.3906093906093904E-2</v>
      </c>
      <c r="C5724" s="6">
        <v>0.27301208097868301</v>
      </c>
    </row>
    <row r="5725" spans="1:3" s="7" customFormat="1" x14ac:dyDescent="0.2">
      <c r="A5725" s="6" t="str">
        <f>"TANC2"</f>
        <v>TANC2</v>
      </c>
      <c r="B5725" s="6">
        <v>9.3906093906093904E-2</v>
      </c>
      <c r="C5725" s="6">
        <v>0.27301208097868301</v>
      </c>
    </row>
    <row r="5726" spans="1:3" s="7" customFormat="1" x14ac:dyDescent="0.2">
      <c r="A5726" s="6" t="str">
        <f>"AIDA"</f>
        <v>AIDA</v>
      </c>
      <c r="B5726" s="6">
        <v>9.3906093906093904E-2</v>
      </c>
      <c r="C5726" s="6">
        <v>0.27301208097868301</v>
      </c>
    </row>
    <row r="5727" spans="1:3" s="7" customFormat="1" x14ac:dyDescent="0.2">
      <c r="A5727" s="6" t="str">
        <f>"CEP20"</f>
        <v>CEP20</v>
      </c>
      <c r="B5727" s="6">
        <v>9.3906093906093904E-2</v>
      </c>
      <c r="C5727" s="6">
        <v>0.27301208097868301</v>
      </c>
    </row>
    <row r="5728" spans="1:3" s="7" customFormat="1" x14ac:dyDescent="0.2">
      <c r="A5728" s="6" t="str">
        <f>"CENPS-CORT"</f>
        <v>CENPS-CORT</v>
      </c>
      <c r="B5728" s="6">
        <v>9.3906093906093904E-2</v>
      </c>
      <c r="C5728" s="6">
        <v>0.27301208097868301</v>
      </c>
    </row>
    <row r="5729" spans="1:3" s="7" customFormat="1" x14ac:dyDescent="0.2">
      <c r="A5729" s="6" t="str">
        <f>"TRO"</f>
        <v>TRO</v>
      </c>
      <c r="B5729" s="6">
        <v>9.3906093906093904E-2</v>
      </c>
      <c r="C5729" s="6">
        <v>0.27301208097868301</v>
      </c>
    </row>
    <row r="5730" spans="1:3" s="7" customFormat="1" x14ac:dyDescent="0.2">
      <c r="A5730" s="6" t="str">
        <f>"POLR2I"</f>
        <v>POLR2I</v>
      </c>
      <c r="B5730" s="6">
        <v>9.3906093906093904E-2</v>
      </c>
      <c r="C5730" s="6">
        <v>0.27301208097868301</v>
      </c>
    </row>
    <row r="5731" spans="1:3" s="7" customFormat="1" x14ac:dyDescent="0.2">
      <c r="A5731" s="6" t="str">
        <f>"PPIE"</f>
        <v>PPIE</v>
      </c>
      <c r="B5731" s="6">
        <v>9.3906093906093904E-2</v>
      </c>
      <c r="C5731" s="6">
        <v>0.27301208097868301</v>
      </c>
    </row>
    <row r="5732" spans="1:3" s="7" customFormat="1" x14ac:dyDescent="0.2">
      <c r="A5732" s="6" t="str">
        <f>"AC104590.1"</f>
        <v>AC104590.1</v>
      </c>
      <c r="B5732" s="6">
        <v>9.3906093906093904E-2</v>
      </c>
      <c r="C5732" s="6">
        <v>0.27301208097868301</v>
      </c>
    </row>
    <row r="5733" spans="1:3" s="7" customFormat="1" x14ac:dyDescent="0.2">
      <c r="A5733" s="6" t="str">
        <f>"FBXO4"</f>
        <v>FBXO4</v>
      </c>
      <c r="B5733" s="6">
        <v>9.3906093906093904E-2</v>
      </c>
      <c r="C5733" s="6">
        <v>0.27301208097868301</v>
      </c>
    </row>
    <row r="5734" spans="1:3" s="7" customFormat="1" x14ac:dyDescent="0.2">
      <c r="A5734" s="6" t="str">
        <f>"COQ3"</f>
        <v>COQ3</v>
      </c>
      <c r="B5734" s="6">
        <v>9.3906093906093904E-2</v>
      </c>
      <c r="C5734" s="6">
        <v>0.27301208097868301</v>
      </c>
    </row>
    <row r="5735" spans="1:3" s="7" customFormat="1" x14ac:dyDescent="0.2">
      <c r="A5735" s="6" t="str">
        <f>"ZNF321P"</f>
        <v>ZNF321P</v>
      </c>
      <c r="B5735" s="6">
        <v>9.3906093906093904E-2</v>
      </c>
      <c r="C5735" s="6">
        <v>0.27301208097868301</v>
      </c>
    </row>
    <row r="5736" spans="1:3" s="7" customFormat="1" x14ac:dyDescent="0.2">
      <c r="A5736" s="6" t="str">
        <f>"BCDIN3D"</f>
        <v>BCDIN3D</v>
      </c>
      <c r="B5736" s="6">
        <v>9.3906093906093904E-2</v>
      </c>
      <c r="C5736" s="6">
        <v>0.27301208097868301</v>
      </c>
    </row>
    <row r="5737" spans="1:3" s="7" customFormat="1" x14ac:dyDescent="0.2">
      <c r="A5737" s="6" t="str">
        <f>"AC139495.1"</f>
        <v>AC139495.1</v>
      </c>
      <c r="B5737" s="6">
        <v>9.3906093906093904E-2</v>
      </c>
      <c r="C5737" s="6">
        <v>0.27301208097868301</v>
      </c>
    </row>
    <row r="5738" spans="1:3" s="7" customFormat="1" x14ac:dyDescent="0.2">
      <c r="A5738" s="6" t="str">
        <f>"NR4A1"</f>
        <v>NR4A1</v>
      </c>
      <c r="B5738" s="6">
        <v>9.3906093906093904E-2</v>
      </c>
      <c r="C5738" s="6">
        <v>0.27301208097868301</v>
      </c>
    </row>
    <row r="5739" spans="1:3" s="7" customFormat="1" x14ac:dyDescent="0.2">
      <c r="A5739" s="6" t="str">
        <f>"LRRC2"</f>
        <v>LRRC2</v>
      </c>
      <c r="B5739" s="6">
        <v>9.3906093906093904E-2</v>
      </c>
      <c r="C5739" s="6">
        <v>0.27301208097868301</v>
      </c>
    </row>
    <row r="5740" spans="1:3" s="7" customFormat="1" x14ac:dyDescent="0.2">
      <c r="A5740" s="6" t="str">
        <f>"NNMT"</f>
        <v>NNMT</v>
      </c>
      <c r="B5740" s="6">
        <v>9.3906093906093904E-2</v>
      </c>
      <c r="C5740" s="6">
        <v>0.27301208097868301</v>
      </c>
    </row>
    <row r="5741" spans="1:3" s="7" customFormat="1" x14ac:dyDescent="0.2">
      <c r="A5741" s="6" t="str">
        <f>"AC124067.4"</f>
        <v>AC124067.4</v>
      </c>
      <c r="B5741" s="6">
        <v>9.3906093906093904E-2</v>
      </c>
      <c r="C5741" s="6">
        <v>0.27301208097868301</v>
      </c>
    </row>
    <row r="5742" spans="1:3" s="7" customFormat="1" x14ac:dyDescent="0.2">
      <c r="A5742" s="6" t="str">
        <f>"GNGT1"</f>
        <v>GNGT1</v>
      </c>
      <c r="B5742" s="6">
        <v>9.3906093906093904E-2</v>
      </c>
      <c r="C5742" s="6">
        <v>0.27301208097868301</v>
      </c>
    </row>
    <row r="5743" spans="1:3" s="7" customFormat="1" x14ac:dyDescent="0.2">
      <c r="A5743" s="6" t="str">
        <f>"AL137779.2"</f>
        <v>AL137779.2</v>
      </c>
      <c r="B5743" s="6">
        <v>9.3906093906093904E-2</v>
      </c>
      <c r="C5743" s="6">
        <v>0.27301208097868301</v>
      </c>
    </row>
    <row r="5744" spans="1:3" s="7" customFormat="1" x14ac:dyDescent="0.2">
      <c r="A5744" s="6" t="str">
        <f>"CALM2"</f>
        <v>CALM2</v>
      </c>
      <c r="B5744" s="6">
        <v>9.3906093906093904E-2</v>
      </c>
      <c r="C5744" s="6">
        <v>0.27301208097868301</v>
      </c>
    </row>
    <row r="5745" spans="1:3" s="7" customFormat="1" x14ac:dyDescent="0.2">
      <c r="A5745" s="6" t="str">
        <f>"EFHC1"</f>
        <v>EFHC1</v>
      </c>
      <c r="B5745" s="6">
        <v>9.3906093906093904E-2</v>
      </c>
      <c r="C5745" s="6">
        <v>0.27301208097868301</v>
      </c>
    </row>
    <row r="5746" spans="1:3" s="7" customFormat="1" x14ac:dyDescent="0.2">
      <c r="A5746" s="6" t="str">
        <f>"RPS12"</f>
        <v>RPS12</v>
      </c>
      <c r="B5746" s="6">
        <v>9.3906093906093904E-2</v>
      </c>
      <c r="C5746" s="6">
        <v>0.27301208097868301</v>
      </c>
    </row>
    <row r="5747" spans="1:3" s="7" customFormat="1" x14ac:dyDescent="0.2">
      <c r="A5747" s="6" t="str">
        <f>"AC138969.1"</f>
        <v>AC138969.1</v>
      </c>
      <c r="B5747" s="6">
        <v>9.3906093906093904E-2</v>
      </c>
      <c r="C5747" s="6">
        <v>0.27301208097868301</v>
      </c>
    </row>
    <row r="5748" spans="1:3" s="7" customFormat="1" x14ac:dyDescent="0.2">
      <c r="A5748" s="6" t="str">
        <f>"ATP9B"</f>
        <v>ATP9B</v>
      </c>
      <c r="B5748" s="6">
        <v>9.3906093906093904E-2</v>
      </c>
      <c r="C5748" s="6">
        <v>0.27301208097868301</v>
      </c>
    </row>
    <row r="5749" spans="1:3" s="7" customFormat="1" x14ac:dyDescent="0.2">
      <c r="A5749" s="6" t="str">
        <f>"ZBTB24"</f>
        <v>ZBTB24</v>
      </c>
      <c r="B5749" s="6">
        <v>9.3906093906093904E-2</v>
      </c>
      <c r="C5749" s="6">
        <v>0.27301208097868301</v>
      </c>
    </row>
    <row r="5750" spans="1:3" s="7" customFormat="1" x14ac:dyDescent="0.2">
      <c r="A5750" s="6" t="str">
        <f>"AP1M1"</f>
        <v>AP1M1</v>
      </c>
      <c r="B5750" s="6">
        <v>9.3906093906093904E-2</v>
      </c>
      <c r="C5750" s="6">
        <v>0.27301208097868301</v>
      </c>
    </row>
    <row r="5751" spans="1:3" s="7" customFormat="1" x14ac:dyDescent="0.2">
      <c r="A5751" s="6" t="str">
        <f>"PPP2R1B"</f>
        <v>PPP2R1B</v>
      </c>
      <c r="B5751" s="6">
        <v>9.4E-2</v>
      </c>
      <c r="C5751" s="6">
        <v>0.27319005390366802</v>
      </c>
    </row>
    <row r="5752" spans="1:3" s="7" customFormat="1" x14ac:dyDescent="0.2">
      <c r="A5752" s="6" t="str">
        <f>"DSG2"</f>
        <v>DSG2</v>
      </c>
      <c r="B5752" s="6">
        <v>9.4E-2</v>
      </c>
      <c r="C5752" s="6">
        <v>0.27319005390366802</v>
      </c>
    </row>
    <row r="5753" spans="1:3" s="7" customFormat="1" x14ac:dyDescent="0.2">
      <c r="A5753" s="6" t="str">
        <f>"AC073439.1"</f>
        <v>AC073439.1</v>
      </c>
      <c r="B5753" s="6">
        <v>9.4142259414225896E-2</v>
      </c>
      <c r="C5753" s="6">
        <v>0.273555932519014</v>
      </c>
    </row>
    <row r="5754" spans="1:3" s="7" customFormat="1" x14ac:dyDescent="0.2">
      <c r="A5754" s="6" t="str">
        <f>"DHX40P1"</f>
        <v>DHX40P1</v>
      </c>
      <c r="B5754" s="6">
        <v>9.4438614900314799E-2</v>
      </c>
      <c r="C5754" s="6">
        <v>0.274369374142857</v>
      </c>
    </row>
    <row r="5755" spans="1:3" s="7" customFormat="1" x14ac:dyDescent="0.2">
      <c r="A5755" s="6" t="str">
        <f>"PDE3B"</f>
        <v>PDE3B</v>
      </c>
      <c r="B5755" s="6">
        <v>9.4905094905094897E-2</v>
      </c>
      <c r="C5755" s="6">
        <v>0.27481700558623601</v>
      </c>
    </row>
    <row r="5756" spans="1:3" s="7" customFormat="1" x14ac:dyDescent="0.2">
      <c r="A5756" s="6" t="str">
        <f>"GOLGA8H"</f>
        <v>GOLGA8H</v>
      </c>
      <c r="B5756" s="6">
        <v>9.4905094905094897E-2</v>
      </c>
      <c r="C5756" s="6">
        <v>0.27481700558623601</v>
      </c>
    </row>
    <row r="5757" spans="1:3" s="7" customFormat="1" x14ac:dyDescent="0.2">
      <c r="A5757" s="6" t="str">
        <f>"GPR153"</f>
        <v>GPR153</v>
      </c>
      <c r="B5757" s="6">
        <v>9.4905094905094897E-2</v>
      </c>
      <c r="C5757" s="6">
        <v>0.27481700558623601</v>
      </c>
    </row>
    <row r="5758" spans="1:3" s="7" customFormat="1" x14ac:dyDescent="0.2">
      <c r="A5758" s="6" t="str">
        <f>"PDF"</f>
        <v>PDF</v>
      </c>
      <c r="B5758" s="6">
        <v>9.4905094905094897E-2</v>
      </c>
      <c r="C5758" s="6">
        <v>0.27481700558623601</v>
      </c>
    </row>
    <row r="5759" spans="1:3" s="7" customFormat="1" x14ac:dyDescent="0.2">
      <c r="A5759" s="6" t="str">
        <f>"RPL23AP7"</f>
        <v>RPL23AP7</v>
      </c>
      <c r="B5759" s="6">
        <v>9.4905094905094897E-2</v>
      </c>
      <c r="C5759" s="6">
        <v>0.27481700558623601</v>
      </c>
    </row>
    <row r="5760" spans="1:3" s="7" customFormat="1" x14ac:dyDescent="0.2">
      <c r="A5760" s="6" t="str">
        <f>"MICU3"</f>
        <v>MICU3</v>
      </c>
      <c r="B5760" s="6">
        <v>9.4905094905094897E-2</v>
      </c>
      <c r="C5760" s="6">
        <v>0.27481700558623601</v>
      </c>
    </row>
    <row r="5761" spans="1:3" s="7" customFormat="1" x14ac:dyDescent="0.2">
      <c r="A5761" s="6" t="str">
        <f>"LIN37"</f>
        <v>LIN37</v>
      </c>
      <c r="B5761" s="6">
        <v>9.4905094905094897E-2</v>
      </c>
      <c r="C5761" s="6">
        <v>0.27481700558623601</v>
      </c>
    </row>
    <row r="5762" spans="1:3" s="7" customFormat="1" x14ac:dyDescent="0.2">
      <c r="A5762" s="6" t="str">
        <f>"AL161645.1"</f>
        <v>AL161645.1</v>
      </c>
      <c r="B5762" s="6">
        <v>9.4905094905094897E-2</v>
      </c>
      <c r="C5762" s="6">
        <v>0.27481700558623601</v>
      </c>
    </row>
    <row r="5763" spans="1:3" s="7" customFormat="1" x14ac:dyDescent="0.2">
      <c r="A5763" s="6" t="str">
        <f>"ZFP28"</f>
        <v>ZFP28</v>
      </c>
      <c r="B5763" s="6">
        <v>9.4905094905094897E-2</v>
      </c>
      <c r="C5763" s="6">
        <v>0.27481700558623601</v>
      </c>
    </row>
    <row r="5764" spans="1:3" s="7" customFormat="1" x14ac:dyDescent="0.2">
      <c r="A5764" s="6" t="str">
        <f>"MROH9"</f>
        <v>MROH9</v>
      </c>
      <c r="B5764" s="6">
        <v>9.4905094905094897E-2</v>
      </c>
      <c r="C5764" s="6">
        <v>0.27481700558623601</v>
      </c>
    </row>
    <row r="5765" spans="1:3" s="7" customFormat="1" x14ac:dyDescent="0.2">
      <c r="A5765" s="6" t="str">
        <f>"KRT222"</f>
        <v>KRT222</v>
      </c>
      <c r="B5765" s="6">
        <v>9.4905094905094897E-2</v>
      </c>
      <c r="C5765" s="6">
        <v>0.27481700558623601</v>
      </c>
    </row>
    <row r="5766" spans="1:3" s="7" customFormat="1" x14ac:dyDescent="0.2">
      <c r="A5766" s="6" t="str">
        <f>"CAVIN2"</f>
        <v>CAVIN2</v>
      </c>
      <c r="B5766" s="6">
        <v>9.4905094905094897E-2</v>
      </c>
      <c r="C5766" s="6">
        <v>0.27481700558623601</v>
      </c>
    </row>
    <row r="5767" spans="1:3" s="7" customFormat="1" x14ac:dyDescent="0.2">
      <c r="A5767" s="6" t="str">
        <f>"MTUS2"</f>
        <v>MTUS2</v>
      </c>
      <c r="B5767" s="6">
        <v>9.4905094905094897E-2</v>
      </c>
      <c r="C5767" s="6">
        <v>0.27481700558623601</v>
      </c>
    </row>
    <row r="5768" spans="1:3" s="7" customFormat="1" x14ac:dyDescent="0.2">
      <c r="A5768" s="6" t="str">
        <f>"ZNF652"</f>
        <v>ZNF652</v>
      </c>
      <c r="B5768" s="6">
        <v>9.4905094905094897E-2</v>
      </c>
      <c r="C5768" s="6">
        <v>0.27481700558623601</v>
      </c>
    </row>
    <row r="5769" spans="1:3" s="7" customFormat="1" x14ac:dyDescent="0.2">
      <c r="A5769" s="6" t="str">
        <f>"OMG"</f>
        <v>OMG</v>
      </c>
      <c r="B5769" s="6">
        <v>9.4905094905094897E-2</v>
      </c>
      <c r="C5769" s="6">
        <v>0.27481700558623601</v>
      </c>
    </row>
    <row r="5770" spans="1:3" s="7" customFormat="1" x14ac:dyDescent="0.2">
      <c r="A5770" s="6" t="str">
        <f>"TUBA3FP"</f>
        <v>TUBA3FP</v>
      </c>
      <c r="B5770" s="6">
        <v>9.4905094905094897E-2</v>
      </c>
      <c r="C5770" s="6">
        <v>0.27481700558623601</v>
      </c>
    </row>
    <row r="5771" spans="1:3" s="7" customFormat="1" x14ac:dyDescent="0.2">
      <c r="A5771" s="6" t="str">
        <f>"TMEM60"</f>
        <v>TMEM60</v>
      </c>
      <c r="B5771" s="6">
        <v>9.4905094905094897E-2</v>
      </c>
      <c r="C5771" s="6">
        <v>0.27481700558623601</v>
      </c>
    </row>
    <row r="5772" spans="1:3" s="7" customFormat="1" x14ac:dyDescent="0.2">
      <c r="A5772" s="6" t="str">
        <f>"GTF2E2"</f>
        <v>GTF2E2</v>
      </c>
      <c r="B5772" s="6">
        <v>9.4905094905094897E-2</v>
      </c>
      <c r="C5772" s="6">
        <v>0.27481700558623601</v>
      </c>
    </row>
    <row r="5773" spans="1:3" s="7" customFormat="1" x14ac:dyDescent="0.2">
      <c r="A5773" s="6" t="str">
        <f>"EXOC3L4"</f>
        <v>EXOC3L4</v>
      </c>
      <c r="B5773" s="6">
        <v>9.4905094905094897E-2</v>
      </c>
      <c r="C5773" s="6">
        <v>0.27481700558623601</v>
      </c>
    </row>
    <row r="5774" spans="1:3" s="7" customFormat="1" x14ac:dyDescent="0.2">
      <c r="A5774" s="6" t="str">
        <f>"C10orf55"</f>
        <v>C10orf55</v>
      </c>
      <c r="B5774" s="6">
        <v>9.5000000000000001E-2</v>
      </c>
      <c r="C5774" s="6">
        <v>0.274948917748917</v>
      </c>
    </row>
    <row r="5775" spans="1:3" s="7" customFormat="1" x14ac:dyDescent="0.2">
      <c r="A5775" s="6" t="str">
        <f>"USP3-AS1"</f>
        <v>USP3-AS1</v>
      </c>
      <c r="B5775" s="6">
        <v>9.5000000000000001E-2</v>
      </c>
      <c r="C5775" s="6">
        <v>0.274948917748917</v>
      </c>
    </row>
    <row r="5776" spans="1:3" s="7" customFormat="1" x14ac:dyDescent="0.2">
      <c r="A5776" s="6" t="str">
        <f>"GAS6-DT"</f>
        <v>GAS6-DT</v>
      </c>
      <c r="B5776" s="6">
        <v>9.5000000000000001E-2</v>
      </c>
      <c r="C5776" s="6">
        <v>0.274948917748917</v>
      </c>
    </row>
    <row r="5777" spans="1:3" s="7" customFormat="1" x14ac:dyDescent="0.2">
      <c r="A5777" s="6" t="str">
        <f>"AC008481.2"</f>
        <v>AC008481.2</v>
      </c>
      <c r="B5777" s="6">
        <v>9.5092024539877307E-2</v>
      </c>
      <c r="C5777" s="6">
        <v>0.27516760702207499</v>
      </c>
    </row>
    <row r="5778" spans="1:3" s="7" customFormat="1" x14ac:dyDescent="0.2">
      <c r="A5778" s="6" t="str">
        <f>"OR9H1P"</f>
        <v>OR9H1P</v>
      </c>
      <c r="B5778" s="6">
        <v>9.5381526104417594E-2</v>
      </c>
      <c r="C5778" s="6">
        <v>0.275957560552057</v>
      </c>
    </row>
    <row r="5779" spans="1:3" s="7" customFormat="1" x14ac:dyDescent="0.2">
      <c r="A5779" s="6" t="str">
        <f>"TXNDC15"</f>
        <v>TXNDC15</v>
      </c>
      <c r="B5779" s="6">
        <v>9.5904095904095904E-2</v>
      </c>
      <c r="C5779" s="6">
        <v>0.27617868003808699</v>
      </c>
    </row>
    <row r="5780" spans="1:3" s="7" customFormat="1" x14ac:dyDescent="0.2">
      <c r="A5780" s="6" t="str">
        <f>"CD200"</f>
        <v>CD200</v>
      </c>
      <c r="B5780" s="6">
        <v>9.5904095904095904E-2</v>
      </c>
      <c r="C5780" s="6">
        <v>0.27617868003808699</v>
      </c>
    </row>
    <row r="5781" spans="1:3" s="7" customFormat="1" x14ac:dyDescent="0.2">
      <c r="A5781" s="6" t="str">
        <f>"ABHD5"</f>
        <v>ABHD5</v>
      </c>
      <c r="B5781" s="6">
        <v>9.5904095904095904E-2</v>
      </c>
      <c r="C5781" s="6">
        <v>0.27617868003808699</v>
      </c>
    </row>
    <row r="5782" spans="1:3" s="7" customFormat="1" x14ac:dyDescent="0.2">
      <c r="A5782" s="6" t="str">
        <f>"OTOAP1"</f>
        <v>OTOAP1</v>
      </c>
      <c r="B5782" s="6">
        <v>9.5904095904095904E-2</v>
      </c>
      <c r="C5782" s="6">
        <v>0.27617868003808699</v>
      </c>
    </row>
    <row r="5783" spans="1:3" s="7" customFormat="1" x14ac:dyDescent="0.2">
      <c r="A5783" s="6" t="str">
        <f>"RUFY2"</f>
        <v>RUFY2</v>
      </c>
      <c r="B5783" s="6">
        <v>9.5904095904095904E-2</v>
      </c>
      <c r="C5783" s="6">
        <v>0.27617868003808699</v>
      </c>
    </row>
    <row r="5784" spans="1:3" s="7" customFormat="1" x14ac:dyDescent="0.2">
      <c r="A5784" s="6" t="str">
        <f>"KRTCAP2"</f>
        <v>KRTCAP2</v>
      </c>
      <c r="B5784" s="6">
        <v>9.5904095904095904E-2</v>
      </c>
      <c r="C5784" s="6">
        <v>0.27617868003808699</v>
      </c>
    </row>
    <row r="5785" spans="1:3" s="7" customFormat="1" x14ac:dyDescent="0.2">
      <c r="A5785" s="6" t="str">
        <f>"LINC02604"</f>
        <v>LINC02604</v>
      </c>
      <c r="B5785" s="6">
        <v>9.5904095904095904E-2</v>
      </c>
      <c r="C5785" s="6">
        <v>0.27617868003808699</v>
      </c>
    </row>
    <row r="5786" spans="1:3" s="7" customFormat="1" x14ac:dyDescent="0.2">
      <c r="A5786" s="6" t="str">
        <f>"AL158064.1"</f>
        <v>AL158064.1</v>
      </c>
      <c r="B5786" s="6">
        <v>9.5904095904095904E-2</v>
      </c>
      <c r="C5786" s="6">
        <v>0.27617868003808699</v>
      </c>
    </row>
    <row r="5787" spans="1:3" s="7" customFormat="1" x14ac:dyDescent="0.2">
      <c r="A5787" s="6" t="str">
        <f>"RAP2A"</f>
        <v>RAP2A</v>
      </c>
      <c r="B5787" s="6">
        <v>9.5904095904095904E-2</v>
      </c>
      <c r="C5787" s="6">
        <v>0.27617868003808699</v>
      </c>
    </row>
    <row r="5788" spans="1:3" s="7" customFormat="1" x14ac:dyDescent="0.2">
      <c r="A5788" s="6" t="str">
        <f>"SPECC1"</f>
        <v>SPECC1</v>
      </c>
      <c r="B5788" s="6">
        <v>9.5904095904095904E-2</v>
      </c>
      <c r="C5788" s="6">
        <v>0.27617868003808699</v>
      </c>
    </row>
    <row r="5789" spans="1:3" s="7" customFormat="1" x14ac:dyDescent="0.2">
      <c r="A5789" s="6" t="str">
        <f>"PFKM"</f>
        <v>PFKM</v>
      </c>
      <c r="B5789" s="6">
        <v>9.5904095904095904E-2</v>
      </c>
      <c r="C5789" s="6">
        <v>0.27617868003808699</v>
      </c>
    </row>
    <row r="5790" spans="1:3" s="7" customFormat="1" x14ac:dyDescent="0.2">
      <c r="A5790" s="6" t="str">
        <f>"DKK3"</f>
        <v>DKK3</v>
      </c>
      <c r="B5790" s="6">
        <v>9.5904095904095904E-2</v>
      </c>
      <c r="C5790" s="6">
        <v>0.27617868003808699</v>
      </c>
    </row>
    <row r="5791" spans="1:3" s="7" customFormat="1" x14ac:dyDescent="0.2">
      <c r="A5791" s="6" t="str">
        <f>"POGLUT1"</f>
        <v>POGLUT1</v>
      </c>
      <c r="B5791" s="6">
        <v>9.5904095904095904E-2</v>
      </c>
      <c r="C5791" s="6">
        <v>0.27617868003808699</v>
      </c>
    </row>
    <row r="5792" spans="1:3" s="7" customFormat="1" x14ac:dyDescent="0.2">
      <c r="A5792" s="6" t="str">
        <f>"AC011337.1"</f>
        <v>AC011337.1</v>
      </c>
      <c r="B5792" s="6">
        <v>9.5789473684210494E-2</v>
      </c>
      <c r="C5792" s="6">
        <v>0.27617868003808699</v>
      </c>
    </row>
    <row r="5793" spans="1:3" s="7" customFormat="1" x14ac:dyDescent="0.2">
      <c r="A5793" s="6" t="str">
        <f>"SPAG16"</f>
        <v>SPAG16</v>
      </c>
      <c r="B5793" s="6">
        <v>9.5904095904095904E-2</v>
      </c>
      <c r="C5793" s="6">
        <v>0.27617868003808699</v>
      </c>
    </row>
    <row r="5794" spans="1:3" s="7" customFormat="1" x14ac:dyDescent="0.2">
      <c r="A5794" s="6" t="str">
        <f>"LAG3"</f>
        <v>LAG3</v>
      </c>
      <c r="B5794" s="6">
        <v>9.5904095904095904E-2</v>
      </c>
      <c r="C5794" s="6">
        <v>0.27617868003808699</v>
      </c>
    </row>
    <row r="5795" spans="1:3" s="7" customFormat="1" x14ac:dyDescent="0.2">
      <c r="A5795" s="6" t="str">
        <f>"NPIPB9"</f>
        <v>NPIPB9</v>
      </c>
      <c r="B5795" s="6">
        <v>9.5904095904095904E-2</v>
      </c>
      <c r="C5795" s="6">
        <v>0.27617868003808699</v>
      </c>
    </row>
    <row r="5796" spans="1:3" s="7" customFormat="1" x14ac:dyDescent="0.2">
      <c r="A5796" s="6" t="str">
        <f>"FETUB"</f>
        <v>FETUB</v>
      </c>
      <c r="B5796" s="6">
        <v>9.5904095904095904E-2</v>
      </c>
      <c r="C5796" s="6">
        <v>0.27617868003808699</v>
      </c>
    </row>
    <row r="5797" spans="1:3" s="7" customFormat="1" x14ac:dyDescent="0.2">
      <c r="A5797" s="6" t="str">
        <f>"MEMO1"</f>
        <v>MEMO1</v>
      </c>
      <c r="B5797" s="6">
        <v>9.5904095904095904E-2</v>
      </c>
      <c r="C5797" s="6">
        <v>0.27617868003808699</v>
      </c>
    </row>
    <row r="5798" spans="1:3" s="7" customFormat="1" x14ac:dyDescent="0.2">
      <c r="A5798" s="6" t="str">
        <f>"RGS7BP"</f>
        <v>RGS7BP</v>
      </c>
      <c r="B5798" s="6">
        <v>9.5904095904095904E-2</v>
      </c>
      <c r="C5798" s="6">
        <v>0.27617868003808699</v>
      </c>
    </row>
    <row r="5799" spans="1:3" s="7" customFormat="1" x14ac:dyDescent="0.2">
      <c r="A5799" s="6" t="str">
        <f>"AC006059.2"</f>
        <v>AC006059.2</v>
      </c>
      <c r="B5799" s="6">
        <v>9.5904095904095904E-2</v>
      </c>
      <c r="C5799" s="6">
        <v>0.27617868003808699</v>
      </c>
    </row>
    <row r="5800" spans="1:3" s="7" customFormat="1" x14ac:dyDescent="0.2">
      <c r="A5800" s="6" t="str">
        <f>"AC092198.1"</f>
        <v>AC092198.1</v>
      </c>
      <c r="B5800" s="6">
        <v>9.5904095904095904E-2</v>
      </c>
      <c r="C5800" s="6">
        <v>0.27617868003808699</v>
      </c>
    </row>
    <row r="5801" spans="1:3" s="7" customFormat="1" x14ac:dyDescent="0.2">
      <c r="A5801" s="6" t="str">
        <f>"BEX5"</f>
        <v>BEX5</v>
      </c>
      <c r="B5801" s="6">
        <v>9.5904095904095904E-2</v>
      </c>
      <c r="C5801" s="6">
        <v>0.27617868003808699</v>
      </c>
    </row>
    <row r="5802" spans="1:3" s="7" customFormat="1" x14ac:dyDescent="0.2">
      <c r="A5802" s="6" t="str">
        <f>"TALDO1"</f>
        <v>TALDO1</v>
      </c>
      <c r="B5802" s="6">
        <v>9.5904095904095904E-2</v>
      </c>
      <c r="C5802" s="6">
        <v>0.27617868003808699</v>
      </c>
    </row>
    <row r="5803" spans="1:3" s="7" customFormat="1" x14ac:dyDescent="0.2">
      <c r="A5803" s="6" t="str">
        <f>"DQX1"</f>
        <v>DQX1</v>
      </c>
      <c r="B5803" s="6">
        <v>9.5904095904095904E-2</v>
      </c>
      <c r="C5803" s="6">
        <v>0.27617868003808699</v>
      </c>
    </row>
    <row r="5804" spans="1:3" s="7" customFormat="1" x14ac:dyDescent="0.2">
      <c r="A5804" s="6" t="str">
        <f>"MID1"</f>
        <v>MID1</v>
      </c>
      <c r="B5804" s="6">
        <v>9.5904095904095904E-2</v>
      </c>
      <c r="C5804" s="6">
        <v>0.27617868003808699</v>
      </c>
    </row>
    <row r="5805" spans="1:3" s="7" customFormat="1" x14ac:dyDescent="0.2">
      <c r="A5805" s="6" t="str">
        <f>"MCF2L"</f>
        <v>MCF2L</v>
      </c>
      <c r="B5805" s="6">
        <v>9.5904095904095904E-2</v>
      </c>
      <c r="C5805" s="6">
        <v>0.27617868003808699</v>
      </c>
    </row>
    <row r="5806" spans="1:3" s="7" customFormat="1" x14ac:dyDescent="0.2">
      <c r="A5806" s="6" t="str">
        <f>"MICAL1"</f>
        <v>MICAL1</v>
      </c>
      <c r="B5806" s="6">
        <v>9.6000000000000002E-2</v>
      </c>
      <c r="C5806" s="6">
        <v>0.27640723514211801</v>
      </c>
    </row>
    <row r="5807" spans="1:3" s="7" customFormat="1" x14ac:dyDescent="0.2">
      <c r="A5807" s="6" t="str">
        <f>"AC091180.3"</f>
        <v>AC091180.3</v>
      </c>
      <c r="B5807" s="6">
        <v>9.6385542168674704E-2</v>
      </c>
      <c r="C5807" s="6">
        <v>0.277469505995044</v>
      </c>
    </row>
    <row r="5808" spans="1:3" s="7" customFormat="1" x14ac:dyDescent="0.2">
      <c r="A5808" s="6" t="str">
        <f>"TUBA4A"</f>
        <v>TUBA4A</v>
      </c>
      <c r="B5808" s="6">
        <v>9.6903096903096897E-2</v>
      </c>
      <c r="C5808" s="6">
        <v>0.27762056250229</v>
      </c>
    </row>
    <row r="5809" spans="1:3" s="7" customFormat="1" x14ac:dyDescent="0.2">
      <c r="A5809" s="6" t="str">
        <f>"STAC"</f>
        <v>STAC</v>
      </c>
      <c r="B5809" s="6">
        <v>9.6903096903096897E-2</v>
      </c>
      <c r="C5809" s="6">
        <v>0.27762056250229</v>
      </c>
    </row>
    <row r="5810" spans="1:3" s="7" customFormat="1" x14ac:dyDescent="0.2">
      <c r="A5810" s="6" t="str">
        <f>"MTND4P12"</f>
        <v>MTND4P12</v>
      </c>
      <c r="B5810" s="6">
        <v>9.6903096903096897E-2</v>
      </c>
      <c r="C5810" s="6">
        <v>0.27762056250229</v>
      </c>
    </row>
    <row r="5811" spans="1:3" s="7" customFormat="1" x14ac:dyDescent="0.2">
      <c r="A5811" s="6" t="str">
        <f>"MIA3"</f>
        <v>MIA3</v>
      </c>
      <c r="B5811" s="6">
        <v>9.6903096903096897E-2</v>
      </c>
      <c r="C5811" s="6">
        <v>0.27762056250229</v>
      </c>
    </row>
    <row r="5812" spans="1:3" s="7" customFormat="1" x14ac:dyDescent="0.2">
      <c r="A5812" s="6" t="str">
        <f>"NLN"</f>
        <v>NLN</v>
      </c>
      <c r="B5812" s="6">
        <v>9.6903096903096897E-2</v>
      </c>
      <c r="C5812" s="6">
        <v>0.27762056250229</v>
      </c>
    </row>
    <row r="5813" spans="1:3" s="7" customFormat="1" x14ac:dyDescent="0.2">
      <c r="A5813" s="6" t="str">
        <f>"AC003688.1"</f>
        <v>AC003688.1</v>
      </c>
      <c r="B5813" s="6">
        <v>9.6903096903096897E-2</v>
      </c>
      <c r="C5813" s="6">
        <v>0.27762056250229</v>
      </c>
    </row>
    <row r="5814" spans="1:3" s="7" customFormat="1" x14ac:dyDescent="0.2">
      <c r="A5814" s="6" t="str">
        <f>"ZNF562"</f>
        <v>ZNF562</v>
      </c>
      <c r="B5814" s="6">
        <v>9.6903096903096897E-2</v>
      </c>
      <c r="C5814" s="6">
        <v>0.27762056250229</v>
      </c>
    </row>
    <row r="5815" spans="1:3" s="7" customFormat="1" x14ac:dyDescent="0.2">
      <c r="A5815" s="6" t="str">
        <f>"SERP2"</f>
        <v>SERP2</v>
      </c>
      <c r="B5815" s="6">
        <v>9.6903096903096897E-2</v>
      </c>
      <c r="C5815" s="6">
        <v>0.27762056250229</v>
      </c>
    </row>
    <row r="5816" spans="1:3" s="7" customFormat="1" x14ac:dyDescent="0.2">
      <c r="A5816" s="6" t="str">
        <f>"ZNF556"</f>
        <v>ZNF556</v>
      </c>
      <c r="B5816" s="6">
        <v>9.6903096903096897E-2</v>
      </c>
      <c r="C5816" s="6">
        <v>0.27762056250229</v>
      </c>
    </row>
    <row r="5817" spans="1:3" s="7" customFormat="1" x14ac:dyDescent="0.2">
      <c r="A5817" s="6" t="str">
        <f>"EIF2AK3-DT"</f>
        <v>EIF2AK3-DT</v>
      </c>
      <c r="B5817" s="6">
        <v>9.6903096903096897E-2</v>
      </c>
      <c r="C5817" s="6">
        <v>0.27762056250229</v>
      </c>
    </row>
    <row r="5818" spans="1:3" s="7" customFormat="1" x14ac:dyDescent="0.2">
      <c r="A5818" s="6" t="str">
        <f>"TMEM178A"</f>
        <v>TMEM178A</v>
      </c>
      <c r="B5818" s="6">
        <v>9.6903096903096897E-2</v>
      </c>
      <c r="C5818" s="6">
        <v>0.27762056250229</v>
      </c>
    </row>
    <row r="5819" spans="1:3" s="7" customFormat="1" x14ac:dyDescent="0.2">
      <c r="A5819" s="6" t="str">
        <f>"SGMS1"</f>
        <v>SGMS1</v>
      </c>
      <c r="B5819" s="6">
        <v>9.6903096903096897E-2</v>
      </c>
      <c r="C5819" s="6">
        <v>0.27762056250229</v>
      </c>
    </row>
    <row r="5820" spans="1:3" s="7" customFormat="1" x14ac:dyDescent="0.2">
      <c r="A5820" s="6" t="str">
        <f>"AC121761.1"</f>
        <v>AC121761.1</v>
      </c>
      <c r="B5820" s="6">
        <v>9.6903096903096897E-2</v>
      </c>
      <c r="C5820" s="6">
        <v>0.27762056250229</v>
      </c>
    </row>
    <row r="5821" spans="1:3" s="7" customFormat="1" x14ac:dyDescent="0.2">
      <c r="A5821" s="6" t="str">
        <f>"AC016065.1"</f>
        <v>AC016065.1</v>
      </c>
      <c r="B5821" s="6">
        <v>9.6903096903096897E-2</v>
      </c>
      <c r="C5821" s="6">
        <v>0.27762056250229</v>
      </c>
    </row>
    <row r="5822" spans="1:3" s="7" customFormat="1" x14ac:dyDescent="0.2">
      <c r="A5822" s="6" t="str">
        <f>"HSBP1L1"</f>
        <v>HSBP1L1</v>
      </c>
      <c r="B5822" s="6">
        <v>9.6903096903096897E-2</v>
      </c>
      <c r="C5822" s="6">
        <v>0.27762056250229</v>
      </c>
    </row>
    <row r="5823" spans="1:3" s="7" customFormat="1" x14ac:dyDescent="0.2">
      <c r="A5823" s="6" t="str">
        <f>"AC008556.1"</f>
        <v>AC008556.1</v>
      </c>
      <c r="B5823" s="6">
        <v>9.6903096903096897E-2</v>
      </c>
      <c r="C5823" s="6">
        <v>0.27762056250229</v>
      </c>
    </row>
    <row r="5824" spans="1:3" s="7" customFormat="1" x14ac:dyDescent="0.2">
      <c r="A5824" s="6" t="str">
        <f>"SUV39H2"</f>
        <v>SUV39H2</v>
      </c>
      <c r="B5824" s="6">
        <v>9.6903096903096897E-2</v>
      </c>
      <c r="C5824" s="6">
        <v>0.27762056250229</v>
      </c>
    </row>
    <row r="5825" spans="1:3" s="7" customFormat="1" x14ac:dyDescent="0.2">
      <c r="A5825" s="6" t="str">
        <f>"WBP11"</f>
        <v>WBP11</v>
      </c>
      <c r="B5825" s="6">
        <v>9.6903096903096897E-2</v>
      </c>
      <c r="C5825" s="6">
        <v>0.27762056250229</v>
      </c>
    </row>
    <row r="5826" spans="1:3" s="7" customFormat="1" x14ac:dyDescent="0.2">
      <c r="A5826" s="6" t="str">
        <f>"FAM171B"</f>
        <v>FAM171B</v>
      </c>
      <c r="B5826" s="6">
        <v>9.6903096903096897E-2</v>
      </c>
      <c r="C5826" s="6">
        <v>0.27762056250229</v>
      </c>
    </row>
    <row r="5827" spans="1:3" s="7" customFormat="1" x14ac:dyDescent="0.2">
      <c r="A5827" s="6" t="str">
        <f>"BEX4"</f>
        <v>BEX4</v>
      </c>
      <c r="B5827" s="6">
        <v>9.6903096903096897E-2</v>
      </c>
      <c r="C5827" s="6">
        <v>0.27762056250229</v>
      </c>
    </row>
    <row r="5828" spans="1:3" s="7" customFormat="1" x14ac:dyDescent="0.2">
      <c r="A5828" s="6" t="str">
        <f>"KIF23"</f>
        <v>KIF23</v>
      </c>
      <c r="B5828" s="6">
        <v>9.6903096903096897E-2</v>
      </c>
      <c r="C5828" s="6">
        <v>0.27762056250229</v>
      </c>
    </row>
    <row r="5829" spans="1:3" s="7" customFormat="1" x14ac:dyDescent="0.2">
      <c r="A5829" s="6" t="str">
        <f>"PM20D2"</f>
        <v>PM20D2</v>
      </c>
      <c r="B5829" s="6">
        <v>9.6903096903096897E-2</v>
      </c>
      <c r="C5829" s="6">
        <v>0.27762056250229</v>
      </c>
    </row>
    <row r="5830" spans="1:3" s="7" customFormat="1" x14ac:dyDescent="0.2">
      <c r="A5830" s="6" t="str">
        <f>"CDIPTOSP"</f>
        <v>CDIPTOSP</v>
      </c>
      <c r="B5830" s="6">
        <v>9.6871846619576096E-2</v>
      </c>
      <c r="C5830" s="6">
        <v>0.27762056250229</v>
      </c>
    </row>
    <row r="5831" spans="1:3" s="7" customFormat="1" x14ac:dyDescent="0.2">
      <c r="A5831" s="6" t="str">
        <f>"AC123023.1"</f>
        <v>AC123023.1</v>
      </c>
      <c r="B5831" s="6">
        <v>9.6903096903096897E-2</v>
      </c>
      <c r="C5831" s="6">
        <v>0.27762056250229</v>
      </c>
    </row>
    <row r="5832" spans="1:3" s="7" customFormat="1" x14ac:dyDescent="0.2">
      <c r="A5832" s="6" t="str">
        <f>"SLC25A27"</f>
        <v>SLC25A27</v>
      </c>
      <c r="B5832" s="6">
        <v>9.6903096903096897E-2</v>
      </c>
      <c r="C5832" s="6">
        <v>0.27762056250229</v>
      </c>
    </row>
    <row r="5833" spans="1:3" s="7" customFormat="1" x14ac:dyDescent="0.2">
      <c r="A5833" s="6" t="str">
        <f>"GCNT3"</f>
        <v>GCNT3</v>
      </c>
      <c r="B5833" s="6">
        <v>9.6903096903096897E-2</v>
      </c>
      <c r="C5833" s="6">
        <v>0.27762056250229</v>
      </c>
    </row>
    <row r="5834" spans="1:3" s="7" customFormat="1" x14ac:dyDescent="0.2">
      <c r="A5834" s="6" t="str">
        <f>"GPR156"</f>
        <v>GPR156</v>
      </c>
      <c r="B5834" s="6">
        <v>9.6903096903096897E-2</v>
      </c>
      <c r="C5834" s="6">
        <v>0.27762056250229</v>
      </c>
    </row>
    <row r="5835" spans="1:3" s="7" customFormat="1" x14ac:dyDescent="0.2">
      <c r="A5835" s="6" t="str">
        <f>"MOB3B"</f>
        <v>MOB3B</v>
      </c>
      <c r="B5835" s="6">
        <v>9.6903096903096897E-2</v>
      </c>
      <c r="C5835" s="6">
        <v>0.27762056250229</v>
      </c>
    </row>
    <row r="5836" spans="1:3" s="7" customFormat="1" x14ac:dyDescent="0.2">
      <c r="A5836" s="6" t="str">
        <f>"AC027601.4"</f>
        <v>AC027601.4</v>
      </c>
      <c r="B5836" s="6">
        <v>9.7000000000000003E-2</v>
      </c>
      <c r="C5836" s="6">
        <v>0.27785055698371802</v>
      </c>
    </row>
    <row r="5837" spans="1:3" s="7" customFormat="1" x14ac:dyDescent="0.2">
      <c r="A5837" s="6" t="str">
        <f>"SNHG14"</f>
        <v>SNHG14</v>
      </c>
      <c r="B5837" s="6">
        <v>9.7902097902097904E-2</v>
      </c>
      <c r="C5837" s="6">
        <v>0.27947662926313599</v>
      </c>
    </row>
    <row r="5838" spans="1:3" s="7" customFormat="1" x14ac:dyDescent="0.2">
      <c r="A5838" s="6" t="str">
        <f>"NES"</f>
        <v>NES</v>
      </c>
      <c r="B5838" s="6">
        <v>9.7902097902097904E-2</v>
      </c>
      <c r="C5838" s="6">
        <v>0.27947662926313599</v>
      </c>
    </row>
    <row r="5839" spans="1:3" s="7" customFormat="1" x14ac:dyDescent="0.2">
      <c r="A5839" s="6" t="str">
        <f>"SSX2IP"</f>
        <v>SSX2IP</v>
      </c>
      <c r="B5839" s="6">
        <v>9.7902097902097904E-2</v>
      </c>
      <c r="C5839" s="6">
        <v>0.27947662926313599</v>
      </c>
    </row>
    <row r="5840" spans="1:3" s="7" customFormat="1" x14ac:dyDescent="0.2">
      <c r="A5840" s="6" t="str">
        <f>"PANX1"</f>
        <v>PANX1</v>
      </c>
      <c r="B5840" s="6">
        <v>9.7902097902097904E-2</v>
      </c>
      <c r="C5840" s="6">
        <v>0.27947662926313599</v>
      </c>
    </row>
    <row r="5841" spans="1:3" s="7" customFormat="1" x14ac:dyDescent="0.2">
      <c r="A5841" s="6" t="str">
        <f>"FBLN5"</f>
        <v>FBLN5</v>
      </c>
      <c r="B5841" s="6">
        <v>9.7902097902097904E-2</v>
      </c>
      <c r="C5841" s="6">
        <v>0.27947662926313599</v>
      </c>
    </row>
    <row r="5842" spans="1:3" s="7" customFormat="1" x14ac:dyDescent="0.2">
      <c r="A5842" s="6" t="str">
        <f>"ZBTB17"</f>
        <v>ZBTB17</v>
      </c>
      <c r="B5842" s="6">
        <v>9.7902097902097904E-2</v>
      </c>
      <c r="C5842" s="6">
        <v>0.27947662926313599</v>
      </c>
    </row>
    <row r="5843" spans="1:3" s="7" customFormat="1" x14ac:dyDescent="0.2">
      <c r="A5843" s="6" t="str">
        <f>"RUNDC1"</f>
        <v>RUNDC1</v>
      </c>
      <c r="B5843" s="6">
        <v>9.7902097902097904E-2</v>
      </c>
      <c r="C5843" s="6">
        <v>0.27947662926313599</v>
      </c>
    </row>
    <row r="5844" spans="1:3" s="7" customFormat="1" x14ac:dyDescent="0.2">
      <c r="A5844" s="6" t="str">
        <f>"AP001372.2"</f>
        <v>AP001372.2</v>
      </c>
      <c r="B5844" s="6">
        <v>9.7902097902097904E-2</v>
      </c>
      <c r="C5844" s="6">
        <v>0.27947662926313599</v>
      </c>
    </row>
    <row r="5845" spans="1:3" s="7" customFormat="1" x14ac:dyDescent="0.2">
      <c r="A5845" s="6" t="str">
        <f>"AMDHD1"</f>
        <v>AMDHD1</v>
      </c>
      <c r="B5845" s="6">
        <v>9.7902097902097904E-2</v>
      </c>
      <c r="C5845" s="6">
        <v>0.27947662926313599</v>
      </c>
    </row>
    <row r="5846" spans="1:3" s="7" customFormat="1" x14ac:dyDescent="0.2">
      <c r="A5846" s="6" t="str">
        <f>"ACAP3"</f>
        <v>ACAP3</v>
      </c>
      <c r="B5846" s="6">
        <v>9.7902097902097904E-2</v>
      </c>
      <c r="C5846" s="6">
        <v>0.27947662926313599</v>
      </c>
    </row>
    <row r="5847" spans="1:3" s="7" customFormat="1" x14ac:dyDescent="0.2">
      <c r="A5847" s="6" t="str">
        <f>"C4orf33"</f>
        <v>C4orf33</v>
      </c>
      <c r="B5847" s="6">
        <v>9.7902097902097904E-2</v>
      </c>
      <c r="C5847" s="6">
        <v>0.27947662926313599</v>
      </c>
    </row>
    <row r="5848" spans="1:3" s="7" customFormat="1" x14ac:dyDescent="0.2">
      <c r="A5848" s="6" t="str">
        <f>"JAM3"</f>
        <v>JAM3</v>
      </c>
      <c r="B5848" s="6">
        <v>9.7902097902097904E-2</v>
      </c>
      <c r="C5848" s="6">
        <v>0.27947662926313599</v>
      </c>
    </row>
    <row r="5849" spans="1:3" s="7" customFormat="1" x14ac:dyDescent="0.2">
      <c r="A5849" s="6" t="str">
        <f>"YAP1"</f>
        <v>YAP1</v>
      </c>
      <c r="B5849" s="6">
        <v>9.7902097902097904E-2</v>
      </c>
      <c r="C5849" s="6">
        <v>0.27947662926313599</v>
      </c>
    </row>
    <row r="5850" spans="1:3" s="7" customFormat="1" x14ac:dyDescent="0.2">
      <c r="A5850" s="6" t="str">
        <f>"DDX17"</f>
        <v>DDX17</v>
      </c>
      <c r="B5850" s="6">
        <v>9.7902097902097904E-2</v>
      </c>
      <c r="C5850" s="6">
        <v>0.27947662926313599</v>
      </c>
    </row>
    <row r="5851" spans="1:3" s="7" customFormat="1" x14ac:dyDescent="0.2">
      <c r="A5851" s="6" t="str">
        <f>"AL078587.2"</f>
        <v>AL078587.2</v>
      </c>
      <c r="B5851" s="6">
        <v>9.7902097902097904E-2</v>
      </c>
      <c r="C5851" s="6">
        <v>0.27947662926313599</v>
      </c>
    </row>
    <row r="5852" spans="1:3" s="7" customFormat="1" x14ac:dyDescent="0.2">
      <c r="A5852" s="6" t="str">
        <f>"SLC52A1"</f>
        <v>SLC52A1</v>
      </c>
      <c r="B5852" s="6">
        <v>9.7902097902097904E-2</v>
      </c>
      <c r="C5852" s="6">
        <v>0.27947662926313599</v>
      </c>
    </row>
    <row r="5853" spans="1:3" s="7" customFormat="1" x14ac:dyDescent="0.2">
      <c r="A5853" s="6" t="str">
        <f>"ITGB4"</f>
        <v>ITGB4</v>
      </c>
      <c r="B5853" s="6">
        <v>9.7902097902097904E-2</v>
      </c>
      <c r="C5853" s="6">
        <v>0.27947662926313599</v>
      </c>
    </row>
    <row r="5854" spans="1:3" s="7" customFormat="1" x14ac:dyDescent="0.2">
      <c r="A5854" s="6" t="str">
        <f>"SLC24A5"</f>
        <v>SLC24A5</v>
      </c>
      <c r="B5854" s="6">
        <v>9.7902097902097904E-2</v>
      </c>
      <c r="C5854" s="6">
        <v>0.27947662926313599</v>
      </c>
    </row>
    <row r="5855" spans="1:3" s="7" customFormat="1" x14ac:dyDescent="0.2">
      <c r="A5855" s="6" t="str">
        <f>"PKNOX1"</f>
        <v>PKNOX1</v>
      </c>
      <c r="B5855" s="6">
        <v>9.7902097902097904E-2</v>
      </c>
      <c r="C5855" s="6">
        <v>0.27947662926313599</v>
      </c>
    </row>
    <row r="5856" spans="1:3" s="7" customFormat="1" x14ac:dyDescent="0.2">
      <c r="A5856" s="6" t="str">
        <f>"C1orf159"</f>
        <v>C1orf159</v>
      </c>
      <c r="B5856" s="6">
        <v>9.7902097902097904E-2</v>
      </c>
      <c r="C5856" s="6">
        <v>0.27947662926313599</v>
      </c>
    </row>
    <row r="5857" spans="1:3" s="7" customFormat="1" x14ac:dyDescent="0.2">
      <c r="A5857" s="6" t="str">
        <f>"AC103957.1"</f>
        <v>AC103957.1</v>
      </c>
      <c r="B5857" s="6">
        <v>9.8000000000000004E-2</v>
      </c>
      <c r="C5857" s="6">
        <v>0.279612837145783</v>
      </c>
    </row>
    <row r="5858" spans="1:3" s="7" customFormat="1" x14ac:dyDescent="0.2">
      <c r="A5858" s="6" t="str">
        <f>"AC074135.1"</f>
        <v>AC074135.1</v>
      </c>
      <c r="B5858" s="6">
        <v>9.8000000000000004E-2</v>
      </c>
      <c r="C5858" s="6">
        <v>0.279612837145783</v>
      </c>
    </row>
    <row r="5859" spans="1:3" s="7" customFormat="1" x14ac:dyDescent="0.2">
      <c r="A5859" s="6" t="str">
        <f>"METTL9"</f>
        <v>METTL9</v>
      </c>
      <c r="B5859" s="6">
        <v>9.8000000000000004E-2</v>
      </c>
      <c r="C5859" s="6">
        <v>0.279612837145783</v>
      </c>
    </row>
    <row r="5860" spans="1:3" s="7" customFormat="1" x14ac:dyDescent="0.2">
      <c r="A5860" s="6" t="str">
        <f>"DRC3"</f>
        <v>DRC3</v>
      </c>
      <c r="B5860" s="6">
        <v>9.8098098098098094E-2</v>
      </c>
      <c r="C5860" s="6">
        <v>0.27984495845905599</v>
      </c>
    </row>
    <row r="5861" spans="1:3" s="7" customFormat="1" x14ac:dyDescent="0.2">
      <c r="A5861" s="6" t="str">
        <f>"DDTL"</f>
        <v>DDTL</v>
      </c>
      <c r="B5861" s="6">
        <v>9.8196392785571102E-2</v>
      </c>
      <c r="C5861" s="6">
        <v>0.28007756126587602</v>
      </c>
    </row>
    <row r="5862" spans="1:3" s="7" customFormat="1" x14ac:dyDescent="0.2">
      <c r="A5862" s="6" t="str">
        <f>"AC098487.1"</f>
        <v>AC098487.1</v>
      </c>
      <c r="B5862" s="6">
        <v>9.82948846539618E-2</v>
      </c>
      <c r="C5862" s="6">
        <v>0.28031064700670799</v>
      </c>
    </row>
    <row r="5863" spans="1:3" s="7" customFormat="1" x14ac:dyDescent="0.2">
      <c r="A5863" s="6" t="str">
        <f>"MNT"</f>
        <v>MNT</v>
      </c>
      <c r="B5863" s="6">
        <v>9.8901098901098897E-2</v>
      </c>
      <c r="C5863" s="6">
        <v>0.28069841518644301</v>
      </c>
    </row>
    <row r="5864" spans="1:3" s="7" customFormat="1" x14ac:dyDescent="0.2">
      <c r="A5864" s="6" t="str">
        <f>"TPTEP1"</f>
        <v>TPTEP1</v>
      </c>
      <c r="B5864" s="6">
        <v>9.8901098901098897E-2</v>
      </c>
      <c r="C5864" s="6">
        <v>0.28069841518644301</v>
      </c>
    </row>
    <row r="5865" spans="1:3" s="7" customFormat="1" x14ac:dyDescent="0.2">
      <c r="A5865" s="6" t="str">
        <f>"ZBTB11-AS1"</f>
        <v>ZBTB11-AS1</v>
      </c>
      <c r="B5865" s="6">
        <v>9.8901098901098897E-2</v>
      </c>
      <c r="C5865" s="6">
        <v>0.28069841518644301</v>
      </c>
    </row>
    <row r="5866" spans="1:3" s="7" customFormat="1" x14ac:dyDescent="0.2">
      <c r="A5866" s="6" t="str">
        <f>"HYAL1"</f>
        <v>HYAL1</v>
      </c>
      <c r="B5866" s="6">
        <v>9.8901098901098897E-2</v>
      </c>
      <c r="C5866" s="6">
        <v>0.28069841518644301</v>
      </c>
    </row>
    <row r="5867" spans="1:3" s="7" customFormat="1" x14ac:dyDescent="0.2">
      <c r="A5867" s="6" t="str">
        <f>"MICB-DT"</f>
        <v>MICB-DT</v>
      </c>
      <c r="B5867" s="6">
        <v>9.8901098901098897E-2</v>
      </c>
      <c r="C5867" s="6">
        <v>0.28069841518644301</v>
      </c>
    </row>
    <row r="5868" spans="1:3" s="7" customFormat="1" x14ac:dyDescent="0.2">
      <c r="A5868" s="6" t="str">
        <f>"VWA8-AS1"</f>
        <v>VWA8-AS1</v>
      </c>
      <c r="B5868" s="6">
        <v>9.8901098901098897E-2</v>
      </c>
      <c r="C5868" s="6">
        <v>0.28069841518644301</v>
      </c>
    </row>
    <row r="5869" spans="1:3" s="7" customFormat="1" x14ac:dyDescent="0.2">
      <c r="A5869" s="6" t="str">
        <f>"AL157373.2"</f>
        <v>AL157373.2</v>
      </c>
      <c r="B5869" s="6">
        <v>9.8901098901098897E-2</v>
      </c>
      <c r="C5869" s="6">
        <v>0.28069841518644301</v>
      </c>
    </row>
    <row r="5870" spans="1:3" s="7" customFormat="1" x14ac:dyDescent="0.2">
      <c r="A5870" s="6" t="str">
        <f>"ANKRD39"</f>
        <v>ANKRD39</v>
      </c>
      <c r="B5870" s="6">
        <v>9.8901098901098897E-2</v>
      </c>
      <c r="C5870" s="6">
        <v>0.28069841518644301</v>
      </c>
    </row>
    <row r="5871" spans="1:3" s="7" customFormat="1" x14ac:dyDescent="0.2">
      <c r="A5871" s="6" t="str">
        <f>"AC010186.3"</f>
        <v>AC010186.3</v>
      </c>
      <c r="B5871" s="6">
        <v>9.8901098901098897E-2</v>
      </c>
      <c r="C5871" s="6">
        <v>0.28069841518644301</v>
      </c>
    </row>
    <row r="5872" spans="1:3" s="7" customFormat="1" x14ac:dyDescent="0.2">
      <c r="A5872" s="6" t="str">
        <f>"NHEJ1"</f>
        <v>NHEJ1</v>
      </c>
      <c r="B5872" s="6">
        <v>9.8901098901098897E-2</v>
      </c>
      <c r="C5872" s="6">
        <v>0.28069841518644301</v>
      </c>
    </row>
    <row r="5873" spans="1:3" s="7" customFormat="1" x14ac:dyDescent="0.2">
      <c r="A5873" s="6" t="str">
        <f>"RPS6KL1"</f>
        <v>RPS6KL1</v>
      </c>
      <c r="B5873" s="6">
        <v>9.8901098901098897E-2</v>
      </c>
      <c r="C5873" s="6">
        <v>0.28069841518644301</v>
      </c>
    </row>
    <row r="5874" spans="1:3" s="7" customFormat="1" x14ac:dyDescent="0.2">
      <c r="A5874" s="6" t="str">
        <f>"CD27-AS1"</f>
        <v>CD27-AS1</v>
      </c>
      <c r="B5874" s="6">
        <v>9.8901098901098897E-2</v>
      </c>
      <c r="C5874" s="6">
        <v>0.28069841518644301</v>
      </c>
    </row>
    <row r="5875" spans="1:3" s="7" customFormat="1" x14ac:dyDescent="0.2">
      <c r="A5875" s="6" t="str">
        <f>"GASAL1"</f>
        <v>GASAL1</v>
      </c>
      <c r="B5875" s="6">
        <v>9.8901098901098897E-2</v>
      </c>
      <c r="C5875" s="6">
        <v>0.28069841518644301</v>
      </c>
    </row>
    <row r="5876" spans="1:3" s="7" customFormat="1" x14ac:dyDescent="0.2">
      <c r="A5876" s="6" t="str">
        <f>"TMEM220"</f>
        <v>TMEM220</v>
      </c>
      <c r="B5876" s="6">
        <v>9.8901098901098897E-2</v>
      </c>
      <c r="C5876" s="6">
        <v>0.28069841518644301</v>
      </c>
    </row>
    <row r="5877" spans="1:3" s="7" customFormat="1" x14ac:dyDescent="0.2">
      <c r="A5877" s="6" t="str">
        <f>"AL359813.1"</f>
        <v>AL359813.1</v>
      </c>
      <c r="B5877" s="6">
        <v>9.8901098901098897E-2</v>
      </c>
      <c r="C5877" s="6">
        <v>0.28069841518644301</v>
      </c>
    </row>
    <row r="5878" spans="1:3" s="7" customFormat="1" x14ac:dyDescent="0.2">
      <c r="A5878" s="6" t="str">
        <f>"ZNF423"</f>
        <v>ZNF423</v>
      </c>
      <c r="B5878" s="6">
        <v>9.8901098901098897E-2</v>
      </c>
      <c r="C5878" s="6">
        <v>0.28069841518644301</v>
      </c>
    </row>
    <row r="5879" spans="1:3" s="7" customFormat="1" x14ac:dyDescent="0.2">
      <c r="A5879" s="6" t="str">
        <f>"PUDP"</f>
        <v>PUDP</v>
      </c>
      <c r="B5879" s="6">
        <v>9.8901098901098897E-2</v>
      </c>
      <c r="C5879" s="6">
        <v>0.28069841518644301</v>
      </c>
    </row>
    <row r="5880" spans="1:3" s="7" customFormat="1" x14ac:dyDescent="0.2">
      <c r="A5880" s="6" t="str">
        <f>"PNPLA4"</f>
        <v>PNPLA4</v>
      </c>
      <c r="B5880" s="6">
        <v>9.8901098901098897E-2</v>
      </c>
      <c r="C5880" s="6">
        <v>0.28069841518644301</v>
      </c>
    </row>
    <row r="5881" spans="1:3" s="7" customFormat="1" x14ac:dyDescent="0.2">
      <c r="A5881" s="6" t="str">
        <f>"SPAG5"</f>
        <v>SPAG5</v>
      </c>
      <c r="B5881" s="6">
        <v>9.8901098901098897E-2</v>
      </c>
      <c r="C5881" s="6">
        <v>0.28069841518644301</v>
      </c>
    </row>
    <row r="5882" spans="1:3" s="7" customFormat="1" x14ac:dyDescent="0.2">
      <c r="A5882" s="6" t="str">
        <f>"LY75-CD302"</f>
        <v>LY75-CD302</v>
      </c>
      <c r="B5882" s="6">
        <v>9.8901098901098897E-2</v>
      </c>
      <c r="C5882" s="6">
        <v>0.28069841518644301</v>
      </c>
    </row>
    <row r="5883" spans="1:3" s="7" customFormat="1" x14ac:dyDescent="0.2">
      <c r="A5883" s="6" t="str">
        <f>"SUPV3L1"</f>
        <v>SUPV3L1</v>
      </c>
      <c r="B5883" s="6">
        <v>9.8901098901098897E-2</v>
      </c>
      <c r="C5883" s="6">
        <v>0.28069841518644301</v>
      </c>
    </row>
    <row r="5884" spans="1:3" s="7" customFormat="1" x14ac:dyDescent="0.2">
      <c r="A5884" s="6" t="str">
        <f>"CCDC74B"</f>
        <v>CCDC74B</v>
      </c>
      <c r="B5884" s="6">
        <v>9.8901098901098897E-2</v>
      </c>
      <c r="C5884" s="6">
        <v>0.28069841518644301</v>
      </c>
    </row>
    <row r="5885" spans="1:3" s="7" customFormat="1" x14ac:dyDescent="0.2">
      <c r="A5885" s="6" t="str">
        <f>"RPS3AP6"</f>
        <v>RPS3AP6</v>
      </c>
      <c r="B5885" s="6">
        <v>9.8901098901098897E-2</v>
      </c>
      <c r="C5885" s="6">
        <v>0.28069841518644301</v>
      </c>
    </row>
    <row r="5886" spans="1:3" s="7" customFormat="1" x14ac:dyDescent="0.2">
      <c r="A5886" s="6" t="str">
        <f>"PRRT3"</f>
        <v>PRRT3</v>
      </c>
      <c r="B5886" s="6">
        <v>9.8901098901098897E-2</v>
      </c>
      <c r="C5886" s="6">
        <v>0.28069841518644301</v>
      </c>
    </row>
    <row r="5887" spans="1:3" s="7" customFormat="1" x14ac:dyDescent="0.2">
      <c r="A5887" s="6" t="str">
        <f>"ELMOD3"</f>
        <v>ELMOD3</v>
      </c>
      <c r="B5887" s="6">
        <v>9.8901098901098897E-2</v>
      </c>
      <c r="C5887" s="6">
        <v>0.28069841518644301</v>
      </c>
    </row>
    <row r="5888" spans="1:3" s="7" customFormat="1" x14ac:dyDescent="0.2">
      <c r="A5888" s="6" t="str">
        <f>"SDF2"</f>
        <v>SDF2</v>
      </c>
      <c r="B5888" s="6">
        <v>9.8901098901098897E-2</v>
      </c>
      <c r="C5888" s="6">
        <v>0.28069841518644301</v>
      </c>
    </row>
    <row r="5889" spans="1:3" s="7" customFormat="1" x14ac:dyDescent="0.2">
      <c r="A5889" s="6" t="str">
        <f>"FAM71E1"</f>
        <v>FAM71E1</v>
      </c>
      <c r="B5889" s="6">
        <v>9.8901098901098897E-2</v>
      </c>
      <c r="C5889" s="6">
        <v>0.28069841518644301</v>
      </c>
    </row>
    <row r="5890" spans="1:3" s="7" customFormat="1" x14ac:dyDescent="0.2">
      <c r="A5890" s="6" t="str">
        <f>"FHAD1"</f>
        <v>FHAD1</v>
      </c>
      <c r="B5890" s="6">
        <v>9.8901098901098897E-2</v>
      </c>
      <c r="C5890" s="6">
        <v>0.28069841518644301</v>
      </c>
    </row>
    <row r="5891" spans="1:3" s="7" customFormat="1" x14ac:dyDescent="0.2">
      <c r="A5891" s="6" t="str">
        <f>"AL109615.3"</f>
        <v>AL109615.3</v>
      </c>
      <c r="B5891" s="6">
        <v>9.9000000000000005E-2</v>
      </c>
      <c r="C5891" s="6">
        <v>0.28083604887983699</v>
      </c>
    </row>
    <row r="5892" spans="1:3" s="7" customFormat="1" x14ac:dyDescent="0.2">
      <c r="A5892" s="6" t="str">
        <f>"AL670729.3"</f>
        <v>AL670729.3</v>
      </c>
      <c r="B5892" s="6">
        <v>9.9000000000000005E-2</v>
      </c>
      <c r="C5892" s="6">
        <v>0.28083604887983699</v>
      </c>
    </row>
    <row r="5893" spans="1:3" s="7" customFormat="1" x14ac:dyDescent="0.2">
      <c r="A5893" s="6" t="str">
        <f>"LINC02427"</f>
        <v>LINC02427</v>
      </c>
      <c r="B5893" s="6">
        <v>9.9000000000000005E-2</v>
      </c>
      <c r="C5893" s="6">
        <v>0.28083604887983699</v>
      </c>
    </row>
    <row r="5894" spans="1:3" s="7" customFormat="1" x14ac:dyDescent="0.2">
      <c r="A5894" s="6" t="str">
        <f>"PLA2G6"</f>
        <v>PLA2G6</v>
      </c>
      <c r="B5894" s="6">
        <v>9.9900099900099903E-2</v>
      </c>
      <c r="C5894" s="6">
        <v>0.28209668351584199</v>
      </c>
    </row>
    <row r="5895" spans="1:3" s="7" customFormat="1" x14ac:dyDescent="0.2">
      <c r="A5895" s="6" t="str">
        <f>"FCMR"</f>
        <v>FCMR</v>
      </c>
      <c r="B5895" s="6">
        <v>9.9900099900099903E-2</v>
      </c>
      <c r="C5895" s="6">
        <v>0.28209668351584199</v>
      </c>
    </row>
    <row r="5896" spans="1:3" s="7" customFormat="1" x14ac:dyDescent="0.2">
      <c r="A5896" s="6" t="str">
        <f>"TIGD1"</f>
        <v>TIGD1</v>
      </c>
      <c r="B5896" s="6">
        <v>9.9900099900099903E-2</v>
      </c>
      <c r="C5896" s="6">
        <v>0.28209668351584199</v>
      </c>
    </row>
    <row r="5897" spans="1:3" s="7" customFormat="1" x14ac:dyDescent="0.2">
      <c r="A5897" s="6" t="str">
        <f>"POLA1"</f>
        <v>POLA1</v>
      </c>
      <c r="B5897" s="6">
        <v>9.9900099900099903E-2</v>
      </c>
      <c r="C5897" s="6">
        <v>0.28209668351584199</v>
      </c>
    </row>
    <row r="5898" spans="1:3" s="7" customFormat="1" x14ac:dyDescent="0.2">
      <c r="A5898" s="6" t="str">
        <f>"AC090114.2"</f>
        <v>AC090114.2</v>
      </c>
      <c r="B5898" s="6">
        <v>9.9900099900099903E-2</v>
      </c>
      <c r="C5898" s="6">
        <v>0.28209668351584199</v>
      </c>
    </row>
    <row r="5899" spans="1:3" s="7" customFormat="1" x14ac:dyDescent="0.2">
      <c r="A5899" s="6" t="str">
        <f>"UBN2"</f>
        <v>UBN2</v>
      </c>
      <c r="B5899" s="6">
        <v>9.9900099900099903E-2</v>
      </c>
      <c r="C5899" s="6">
        <v>0.28209668351584199</v>
      </c>
    </row>
    <row r="5900" spans="1:3" s="7" customFormat="1" x14ac:dyDescent="0.2">
      <c r="A5900" s="6" t="str">
        <f>"HERC2P9"</f>
        <v>HERC2P9</v>
      </c>
      <c r="B5900" s="6">
        <v>9.9900099900099903E-2</v>
      </c>
      <c r="C5900" s="6">
        <v>0.28209668351584199</v>
      </c>
    </row>
    <row r="5901" spans="1:3" s="7" customFormat="1" x14ac:dyDescent="0.2">
      <c r="A5901" s="6" t="str">
        <f>"CSTB"</f>
        <v>CSTB</v>
      </c>
      <c r="B5901" s="6">
        <v>9.9900099900099903E-2</v>
      </c>
      <c r="C5901" s="6">
        <v>0.28209668351584199</v>
      </c>
    </row>
    <row r="5902" spans="1:3" s="7" customFormat="1" x14ac:dyDescent="0.2">
      <c r="A5902" s="6" t="str">
        <f>"AKIP1"</f>
        <v>AKIP1</v>
      </c>
      <c r="B5902" s="6">
        <v>9.9900099900099903E-2</v>
      </c>
      <c r="C5902" s="6">
        <v>0.28209668351584199</v>
      </c>
    </row>
    <row r="5903" spans="1:3" s="7" customFormat="1" x14ac:dyDescent="0.2">
      <c r="A5903" s="6" t="str">
        <f>"SMURF1"</f>
        <v>SMURF1</v>
      </c>
      <c r="B5903" s="6">
        <v>9.9900099900099903E-2</v>
      </c>
      <c r="C5903" s="6">
        <v>0.28209668351584199</v>
      </c>
    </row>
    <row r="5904" spans="1:3" s="7" customFormat="1" x14ac:dyDescent="0.2">
      <c r="A5904" s="6" t="str">
        <f>"CD2AP"</f>
        <v>CD2AP</v>
      </c>
      <c r="B5904" s="6">
        <v>9.9900099900099903E-2</v>
      </c>
      <c r="C5904" s="6">
        <v>0.28209668351584199</v>
      </c>
    </row>
    <row r="5905" spans="1:3" s="7" customFormat="1" x14ac:dyDescent="0.2">
      <c r="A5905" s="6" t="str">
        <f>"CCDC120"</f>
        <v>CCDC120</v>
      </c>
      <c r="B5905" s="6">
        <v>9.9900099900099903E-2</v>
      </c>
      <c r="C5905" s="6">
        <v>0.28209668351584199</v>
      </c>
    </row>
    <row r="5906" spans="1:3" s="7" customFormat="1" x14ac:dyDescent="0.2">
      <c r="A5906" s="6" t="str">
        <f>"PYM1"</f>
        <v>PYM1</v>
      </c>
      <c r="B5906" s="6">
        <v>9.9900099900099903E-2</v>
      </c>
      <c r="C5906" s="6">
        <v>0.28209668351584199</v>
      </c>
    </row>
    <row r="5907" spans="1:3" s="7" customFormat="1" x14ac:dyDescent="0.2">
      <c r="A5907" s="6" t="str">
        <f>"CCDC142"</f>
        <v>CCDC142</v>
      </c>
      <c r="B5907" s="6">
        <v>9.9900099900099903E-2</v>
      </c>
      <c r="C5907" s="6">
        <v>0.28209668351584199</v>
      </c>
    </row>
    <row r="5908" spans="1:3" s="7" customFormat="1" x14ac:dyDescent="0.2">
      <c r="A5908" s="6" t="str">
        <f>"C12orf45"</f>
        <v>C12orf45</v>
      </c>
      <c r="B5908" s="6">
        <v>9.9900099900099903E-2</v>
      </c>
      <c r="C5908" s="6">
        <v>0.28209668351584199</v>
      </c>
    </row>
    <row r="5909" spans="1:3" s="7" customFormat="1" x14ac:dyDescent="0.2">
      <c r="A5909" s="6" t="str">
        <f>"MTMR9"</f>
        <v>MTMR9</v>
      </c>
      <c r="B5909" s="6">
        <v>9.9900099900099903E-2</v>
      </c>
      <c r="C5909" s="6">
        <v>0.28209668351584199</v>
      </c>
    </row>
    <row r="5910" spans="1:3" s="7" customFormat="1" x14ac:dyDescent="0.2">
      <c r="A5910" s="6" t="str">
        <f>"NGDN"</f>
        <v>NGDN</v>
      </c>
      <c r="B5910" s="6">
        <v>9.9900099900099903E-2</v>
      </c>
      <c r="C5910" s="6">
        <v>0.28209668351584199</v>
      </c>
    </row>
    <row r="5911" spans="1:3" s="7" customFormat="1" x14ac:dyDescent="0.2">
      <c r="A5911" s="6" t="str">
        <f>"AL590666.2"</f>
        <v>AL590666.2</v>
      </c>
      <c r="B5911" s="6">
        <v>9.9900099900099903E-2</v>
      </c>
      <c r="C5911" s="6">
        <v>0.28209668351584199</v>
      </c>
    </row>
    <row r="5912" spans="1:3" s="7" customFormat="1" x14ac:dyDescent="0.2">
      <c r="A5912" s="6" t="str">
        <f>"HSPG2"</f>
        <v>HSPG2</v>
      </c>
      <c r="B5912" s="6">
        <v>9.9900099900099903E-2</v>
      </c>
      <c r="C5912" s="6">
        <v>0.28209668351584199</v>
      </c>
    </row>
    <row r="5913" spans="1:3" s="7" customFormat="1" x14ac:dyDescent="0.2">
      <c r="A5913" s="6" t="str">
        <f>"SNHG6"</f>
        <v>SNHG6</v>
      </c>
      <c r="B5913" s="6">
        <v>9.9900099900099903E-2</v>
      </c>
      <c r="C5913" s="6">
        <v>0.28209668351584199</v>
      </c>
    </row>
    <row r="5914" spans="1:3" s="7" customFormat="1" x14ac:dyDescent="0.2">
      <c r="A5914" s="6" t="str">
        <f>"DYNLT1"</f>
        <v>DYNLT1</v>
      </c>
      <c r="B5914" s="6">
        <v>9.9900099900099903E-2</v>
      </c>
      <c r="C5914" s="6">
        <v>0.28209668351584199</v>
      </c>
    </row>
    <row r="5915" spans="1:3" s="7" customFormat="1" x14ac:dyDescent="0.2">
      <c r="A5915" s="6" t="str">
        <f>"SRCAP"</f>
        <v>SRCAP</v>
      </c>
      <c r="B5915" s="6">
        <v>9.9900099900099903E-2</v>
      </c>
      <c r="C5915" s="6">
        <v>0.28209668351584199</v>
      </c>
    </row>
    <row r="5916" spans="1:3" s="7" customFormat="1" x14ac:dyDescent="0.2">
      <c r="A5916" s="6" t="str">
        <f>"AC015910.1"</f>
        <v>AC015910.1</v>
      </c>
      <c r="B5916" s="6">
        <v>9.9900099900099903E-2</v>
      </c>
      <c r="C5916" s="6">
        <v>0.28209668351584199</v>
      </c>
    </row>
    <row r="5917" spans="1:3" s="7" customFormat="1" x14ac:dyDescent="0.2">
      <c r="A5917" s="6" t="str">
        <f>"TMOD3"</f>
        <v>TMOD3</v>
      </c>
      <c r="B5917" s="6">
        <v>9.9900099900099903E-2</v>
      </c>
      <c r="C5917" s="6">
        <v>0.28209668351584199</v>
      </c>
    </row>
    <row r="5918" spans="1:3" s="7" customFormat="1" x14ac:dyDescent="0.2">
      <c r="A5918" s="6" t="str">
        <f>"NBPF15"</f>
        <v>NBPF15</v>
      </c>
      <c r="B5918" s="6">
        <v>9.9900099900099903E-2</v>
      </c>
      <c r="C5918" s="6">
        <v>0.28209668351584199</v>
      </c>
    </row>
    <row r="5919" spans="1:3" s="7" customFormat="1" x14ac:dyDescent="0.2">
      <c r="A5919" s="6" t="str">
        <f>"PPT2-EGFL8"</f>
        <v>PPT2-EGFL8</v>
      </c>
      <c r="B5919" s="6">
        <v>9.9900099900099903E-2</v>
      </c>
      <c r="C5919" s="6">
        <v>0.28209668351584199</v>
      </c>
    </row>
    <row r="5920" spans="1:3" s="7" customFormat="1" x14ac:dyDescent="0.2">
      <c r="A5920" s="6" t="str">
        <f>"NOD1"</f>
        <v>NOD1</v>
      </c>
      <c r="B5920" s="6">
        <v>9.9900099900099903E-2</v>
      </c>
      <c r="C5920" s="6">
        <v>0.28209668351584199</v>
      </c>
    </row>
    <row r="5921" spans="1:3" s="7" customFormat="1" x14ac:dyDescent="0.2">
      <c r="A5921" s="6" t="str">
        <f>"AF279873.3"</f>
        <v>AF279873.3</v>
      </c>
      <c r="B5921" s="6">
        <v>0.1</v>
      </c>
      <c r="C5921" s="6">
        <v>0.28223573117190098</v>
      </c>
    </row>
    <row r="5922" spans="1:3" s="7" customFormat="1" x14ac:dyDescent="0.2">
      <c r="A5922" s="6" t="str">
        <f>"ZNF418"</f>
        <v>ZNF418</v>
      </c>
      <c r="B5922" s="6">
        <v>0.1</v>
      </c>
      <c r="C5922" s="6">
        <v>0.28223573117190098</v>
      </c>
    </row>
    <row r="5923" spans="1:3" s="7" customFormat="1" x14ac:dyDescent="0.2">
      <c r="A5923" s="6" t="str">
        <f>"EXOC5"</f>
        <v>EXOC5</v>
      </c>
      <c r="B5923" s="6">
        <v>0.1</v>
      </c>
      <c r="C5923" s="6">
        <v>0.28223573117190098</v>
      </c>
    </row>
    <row r="5924" spans="1:3" s="7" customFormat="1" x14ac:dyDescent="0.2">
      <c r="A5924" s="6" t="str">
        <f>"STIM2-AS1"</f>
        <v>STIM2-AS1</v>
      </c>
      <c r="B5924" s="6">
        <v>0.10040160642570201</v>
      </c>
      <c r="C5924" s="6">
        <v>0.283321365827992</v>
      </c>
    </row>
    <row r="5925" spans="1:3" s="7" customFormat="1" x14ac:dyDescent="0.2">
      <c r="A5925" s="6" t="str">
        <f>"TPGS2"</f>
        <v>TPGS2</v>
      </c>
      <c r="B5925" s="6">
        <v>0.10089910089909999</v>
      </c>
      <c r="C5925" s="6">
        <v>0.28343320545001199</v>
      </c>
    </row>
    <row r="5926" spans="1:3" s="7" customFormat="1" x14ac:dyDescent="0.2">
      <c r="A5926" s="6" t="str">
        <f>"CCDC69"</f>
        <v>CCDC69</v>
      </c>
      <c r="B5926" s="6">
        <v>0.10089910089909999</v>
      </c>
      <c r="C5926" s="6">
        <v>0.28343320545001199</v>
      </c>
    </row>
    <row r="5927" spans="1:3" s="7" customFormat="1" x14ac:dyDescent="0.2">
      <c r="A5927" s="6" t="str">
        <f>"TNIK"</f>
        <v>TNIK</v>
      </c>
      <c r="B5927" s="6">
        <v>0.10089910089909999</v>
      </c>
      <c r="C5927" s="6">
        <v>0.28343320545001199</v>
      </c>
    </row>
    <row r="5928" spans="1:3" s="7" customFormat="1" x14ac:dyDescent="0.2">
      <c r="A5928" s="6" t="str">
        <f>"SERPINB2"</f>
        <v>SERPINB2</v>
      </c>
      <c r="B5928" s="6">
        <v>0.10089910089909999</v>
      </c>
      <c r="C5928" s="6">
        <v>0.28343320545001199</v>
      </c>
    </row>
    <row r="5929" spans="1:3" s="7" customFormat="1" x14ac:dyDescent="0.2">
      <c r="A5929" s="6" t="str">
        <f>"AIDAP2"</f>
        <v>AIDAP2</v>
      </c>
      <c r="B5929" s="6">
        <v>0.10089910089909999</v>
      </c>
      <c r="C5929" s="6">
        <v>0.28343320545001199</v>
      </c>
    </row>
    <row r="5930" spans="1:3" s="7" customFormat="1" x14ac:dyDescent="0.2">
      <c r="A5930" s="6" t="str">
        <f>"TMEM250"</f>
        <v>TMEM250</v>
      </c>
      <c r="B5930" s="6">
        <v>0.10089910089909999</v>
      </c>
      <c r="C5930" s="6">
        <v>0.28343320545001199</v>
      </c>
    </row>
    <row r="5931" spans="1:3" s="7" customFormat="1" x14ac:dyDescent="0.2">
      <c r="A5931" s="6" t="str">
        <f>"FOXN3-AS1"</f>
        <v>FOXN3-AS1</v>
      </c>
      <c r="B5931" s="6">
        <v>0.10089910089909999</v>
      </c>
      <c r="C5931" s="6">
        <v>0.28343320545001199</v>
      </c>
    </row>
    <row r="5932" spans="1:3" s="7" customFormat="1" x14ac:dyDescent="0.2">
      <c r="A5932" s="6" t="str">
        <f>"RGS10"</f>
        <v>RGS10</v>
      </c>
      <c r="B5932" s="6">
        <v>0.10089910089909999</v>
      </c>
      <c r="C5932" s="6">
        <v>0.28343320545001199</v>
      </c>
    </row>
    <row r="5933" spans="1:3" s="7" customFormat="1" x14ac:dyDescent="0.2">
      <c r="A5933" s="6" t="str">
        <f>"SPSB2"</f>
        <v>SPSB2</v>
      </c>
      <c r="B5933" s="6">
        <v>0.10089910089909999</v>
      </c>
      <c r="C5933" s="6">
        <v>0.28343320545001199</v>
      </c>
    </row>
    <row r="5934" spans="1:3" s="7" customFormat="1" x14ac:dyDescent="0.2">
      <c r="A5934" s="6" t="str">
        <f>"LY86-AS1"</f>
        <v>LY86-AS1</v>
      </c>
      <c r="B5934" s="6">
        <v>0.10089910089909999</v>
      </c>
      <c r="C5934" s="6">
        <v>0.28343320545001199</v>
      </c>
    </row>
    <row r="5935" spans="1:3" s="7" customFormat="1" x14ac:dyDescent="0.2">
      <c r="A5935" s="6" t="str">
        <f>"NCR3LG1"</f>
        <v>NCR3LG1</v>
      </c>
      <c r="B5935" s="6">
        <v>0.10089910089909999</v>
      </c>
      <c r="C5935" s="6">
        <v>0.28343320545001199</v>
      </c>
    </row>
    <row r="5936" spans="1:3" s="7" customFormat="1" x14ac:dyDescent="0.2">
      <c r="A5936" s="6" t="str">
        <f>"ZNF805"</f>
        <v>ZNF805</v>
      </c>
      <c r="B5936" s="6">
        <v>0.10089910089909999</v>
      </c>
      <c r="C5936" s="6">
        <v>0.28343320545001199</v>
      </c>
    </row>
    <row r="5937" spans="1:3" s="7" customFormat="1" x14ac:dyDescent="0.2">
      <c r="A5937" s="6" t="str">
        <f>"PPP1R35-AS1"</f>
        <v>PPP1R35-AS1</v>
      </c>
      <c r="B5937" s="6">
        <v>0.10089910089909999</v>
      </c>
      <c r="C5937" s="6">
        <v>0.28343320545001199</v>
      </c>
    </row>
    <row r="5938" spans="1:3" s="7" customFormat="1" x14ac:dyDescent="0.2">
      <c r="A5938" s="6" t="str">
        <f>"UBE2T"</f>
        <v>UBE2T</v>
      </c>
      <c r="B5938" s="6">
        <v>0.10089910089909999</v>
      </c>
      <c r="C5938" s="6">
        <v>0.28343320545001199</v>
      </c>
    </row>
    <row r="5939" spans="1:3" s="7" customFormat="1" x14ac:dyDescent="0.2">
      <c r="A5939" s="6" t="str">
        <f>"AC135050.2"</f>
        <v>AC135050.2</v>
      </c>
      <c r="B5939" s="6">
        <v>0.10089910089909999</v>
      </c>
      <c r="C5939" s="6">
        <v>0.28343320545001199</v>
      </c>
    </row>
    <row r="5940" spans="1:3" s="7" customFormat="1" x14ac:dyDescent="0.2">
      <c r="A5940" s="6" t="str">
        <f>"THNSL1"</f>
        <v>THNSL1</v>
      </c>
      <c r="B5940" s="6">
        <v>0.10089910089909999</v>
      </c>
      <c r="C5940" s="6">
        <v>0.28343320545001199</v>
      </c>
    </row>
    <row r="5941" spans="1:3" s="7" customFormat="1" x14ac:dyDescent="0.2">
      <c r="A5941" s="6" t="str">
        <f>"TAPT1"</f>
        <v>TAPT1</v>
      </c>
      <c r="B5941" s="6">
        <v>0.10089910089909999</v>
      </c>
      <c r="C5941" s="6">
        <v>0.28343320545001199</v>
      </c>
    </row>
    <row r="5942" spans="1:3" s="7" customFormat="1" x14ac:dyDescent="0.2">
      <c r="A5942" s="6" t="str">
        <f>"LINC02503"</f>
        <v>LINC02503</v>
      </c>
      <c r="B5942" s="6">
        <v>0.10089910089909999</v>
      </c>
      <c r="C5942" s="6">
        <v>0.28343320545001199</v>
      </c>
    </row>
    <row r="5943" spans="1:3" s="7" customFormat="1" x14ac:dyDescent="0.2">
      <c r="A5943" s="6" t="str">
        <f>"ZNRD1ASP"</f>
        <v>ZNRD1ASP</v>
      </c>
      <c r="B5943" s="6">
        <v>0.10089910089909999</v>
      </c>
      <c r="C5943" s="6">
        <v>0.28343320545001199</v>
      </c>
    </row>
    <row r="5944" spans="1:3" s="7" customFormat="1" x14ac:dyDescent="0.2">
      <c r="A5944" s="6" t="str">
        <f>"TFB2M"</f>
        <v>TFB2M</v>
      </c>
      <c r="B5944" s="6">
        <v>0.10089910089909999</v>
      </c>
      <c r="C5944" s="6">
        <v>0.28343320545001199</v>
      </c>
    </row>
    <row r="5945" spans="1:3" s="7" customFormat="1" x14ac:dyDescent="0.2">
      <c r="A5945" s="6" t="str">
        <f>"TADA2A"</f>
        <v>TADA2A</v>
      </c>
      <c r="B5945" s="6">
        <v>0.10089910089909999</v>
      </c>
      <c r="C5945" s="6">
        <v>0.28343320545001199</v>
      </c>
    </row>
    <row r="5946" spans="1:3" s="7" customFormat="1" x14ac:dyDescent="0.2">
      <c r="A5946" s="6" t="str">
        <f>"PIK3R3"</f>
        <v>PIK3R3</v>
      </c>
      <c r="B5946" s="6">
        <v>0.10089910089909999</v>
      </c>
      <c r="C5946" s="6">
        <v>0.28343320545001199</v>
      </c>
    </row>
    <row r="5947" spans="1:3" s="7" customFormat="1" x14ac:dyDescent="0.2">
      <c r="A5947" s="6" t="str">
        <f>"ATP5MF-PTCD1"</f>
        <v>ATP5MF-PTCD1</v>
      </c>
      <c r="B5947" s="6">
        <v>0.10089910089909999</v>
      </c>
      <c r="C5947" s="6">
        <v>0.28343320545001199</v>
      </c>
    </row>
    <row r="5948" spans="1:3" s="7" customFormat="1" x14ac:dyDescent="0.2">
      <c r="A5948" s="6" t="str">
        <f>"UNC80"</f>
        <v>UNC80</v>
      </c>
      <c r="B5948" s="6">
        <v>0.10089910089909999</v>
      </c>
      <c r="C5948" s="6">
        <v>0.28343320545001199</v>
      </c>
    </row>
    <row r="5949" spans="1:3" s="7" customFormat="1" x14ac:dyDescent="0.2">
      <c r="A5949" s="6" t="str">
        <f>"HSP90AB1"</f>
        <v>HSP90AB1</v>
      </c>
      <c r="B5949" s="6">
        <v>0.10089910089909999</v>
      </c>
      <c r="C5949" s="6">
        <v>0.28343320545001199</v>
      </c>
    </row>
    <row r="5950" spans="1:3" s="7" customFormat="1" x14ac:dyDescent="0.2">
      <c r="A5950" s="6" t="str">
        <f>"RPL31"</f>
        <v>RPL31</v>
      </c>
      <c r="B5950" s="6">
        <v>0.10089910089909999</v>
      </c>
      <c r="C5950" s="6">
        <v>0.28343320545001199</v>
      </c>
    </row>
    <row r="5951" spans="1:3" s="7" customFormat="1" x14ac:dyDescent="0.2">
      <c r="A5951" s="6" t="str">
        <f>"HOXB4"</f>
        <v>HOXB4</v>
      </c>
      <c r="B5951" s="6">
        <v>0.10089910089909999</v>
      </c>
      <c r="C5951" s="6">
        <v>0.28343320545001199</v>
      </c>
    </row>
    <row r="5952" spans="1:3" s="7" customFormat="1" x14ac:dyDescent="0.2">
      <c r="A5952" s="6" t="str">
        <f>"MATN1"</f>
        <v>MATN1</v>
      </c>
      <c r="B5952" s="6">
        <v>0.10100000000000001</v>
      </c>
      <c r="C5952" s="6">
        <v>0.28357366033932402</v>
      </c>
    </row>
    <row r="5953" spans="1:3" s="7" customFormat="1" x14ac:dyDescent="0.2">
      <c r="A5953" s="6" t="str">
        <f>"CCDC152"</f>
        <v>CCDC152</v>
      </c>
      <c r="B5953" s="6">
        <v>0.10100000000000001</v>
      </c>
      <c r="C5953" s="6">
        <v>0.28357366033932402</v>
      </c>
    </row>
    <row r="5954" spans="1:3" s="7" customFormat="1" x14ac:dyDescent="0.2">
      <c r="A5954" s="6" t="str">
        <f>"MPDZ"</f>
        <v>MPDZ</v>
      </c>
      <c r="B5954" s="6">
        <v>0.10100000000000001</v>
      </c>
      <c r="C5954" s="6">
        <v>0.28357366033932402</v>
      </c>
    </row>
    <row r="5955" spans="1:3" s="7" customFormat="1" x14ac:dyDescent="0.2">
      <c r="A5955" s="6" t="str">
        <f>"LINC02481"</f>
        <v>LINC02481</v>
      </c>
      <c r="B5955" s="6">
        <v>0.101898101898101</v>
      </c>
      <c r="C5955" s="6">
        <v>0.28489877469469299</v>
      </c>
    </row>
    <row r="5956" spans="1:3" s="7" customFormat="1" x14ac:dyDescent="0.2">
      <c r="A5956" s="6" t="str">
        <f>"USB1"</f>
        <v>USB1</v>
      </c>
      <c r="B5956" s="6">
        <v>0.101898101898101</v>
      </c>
      <c r="C5956" s="6">
        <v>0.28489877469469299</v>
      </c>
    </row>
    <row r="5957" spans="1:3" s="7" customFormat="1" x14ac:dyDescent="0.2">
      <c r="A5957" s="6" t="str">
        <f>"ROR2"</f>
        <v>ROR2</v>
      </c>
      <c r="B5957" s="6">
        <v>0.101898101898101</v>
      </c>
      <c r="C5957" s="6">
        <v>0.28489877469469299</v>
      </c>
    </row>
    <row r="5958" spans="1:3" s="7" customFormat="1" x14ac:dyDescent="0.2">
      <c r="A5958" s="6" t="str">
        <f>"AAR2"</f>
        <v>AAR2</v>
      </c>
      <c r="B5958" s="6">
        <v>0.101898101898101</v>
      </c>
      <c r="C5958" s="6">
        <v>0.28489877469469299</v>
      </c>
    </row>
    <row r="5959" spans="1:3" s="7" customFormat="1" x14ac:dyDescent="0.2">
      <c r="A5959" s="6" t="str">
        <f>"TMEM25"</f>
        <v>TMEM25</v>
      </c>
      <c r="B5959" s="6">
        <v>0.101898101898101</v>
      </c>
      <c r="C5959" s="6">
        <v>0.28489877469469299</v>
      </c>
    </row>
    <row r="5960" spans="1:3" s="7" customFormat="1" x14ac:dyDescent="0.2">
      <c r="A5960" s="6" t="str">
        <f>"ZNF511"</f>
        <v>ZNF511</v>
      </c>
      <c r="B5960" s="6">
        <v>0.101898101898101</v>
      </c>
      <c r="C5960" s="6">
        <v>0.28489877469469299</v>
      </c>
    </row>
    <row r="5961" spans="1:3" s="7" customFormat="1" x14ac:dyDescent="0.2">
      <c r="A5961" s="6" t="str">
        <f>"EPM2A"</f>
        <v>EPM2A</v>
      </c>
      <c r="B5961" s="6">
        <v>0.101898101898101</v>
      </c>
      <c r="C5961" s="6">
        <v>0.28489877469469299</v>
      </c>
    </row>
    <row r="5962" spans="1:3" s="7" customFormat="1" x14ac:dyDescent="0.2">
      <c r="A5962" s="6" t="str">
        <f>"PAK5"</f>
        <v>PAK5</v>
      </c>
      <c r="B5962" s="6">
        <v>0.101898101898101</v>
      </c>
      <c r="C5962" s="6">
        <v>0.28489877469469299</v>
      </c>
    </row>
    <row r="5963" spans="1:3" s="7" customFormat="1" x14ac:dyDescent="0.2">
      <c r="A5963" s="6" t="str">
        <f>"OR7E14P"</f>
        <v>OR7E14P</v>
      </c>
      <c r="B5963" s="6">
        <v>0.101898101898101</v>
      </c>
      <c r="C5963" s="6">
        <v>0.28489877469469299</v>
      </c>
    </row>
    <row r="5964" spans="1:3" s="7" customFormat="1" x14ac:dyDescent="0.2">
      <c r="A5964" s="6" t="str">
        <f>"ZNF460"</f>
        <v>ZNF460</v>
      </c>
      <c r="B5964" s="6">
        <v>0.101898101898101</v>
      </c>
      <c r="C5964" s="6">
        <v>0.28489877469469299</v>
      </c>
    </row>
    <row r="5965" spans="1:3" s="7" customFormat="1" x14ac:dyDescent="0.2">
      <c r="A5965" s="6" t="str">
        <f>"LINC01409"</f>
        <v>LINC01409</v>
      </c>
      <c r="B5965" s="6">
        <v>0.101898101898101</v>
      </c>
      <c r="C5965" s="6">
        <v>0.28489877469469299</v>
      </c>
    </row>
    <row r="5966" spans="1:3" s="7" customFormat="1" x14ac:dyDescent="0.2">
      <c r="A5966" s="6" t="str">
        <f>"AL356421.2"</f>
        <v>AL356421.2</v>
      </c>
      <c r="B5966" s="6">
        <v>0.101898101898101</v>
      </c>
      <c r="C5966" s="6">
        <v>0.28489877469469299</v>
      </c>
    </row>
    <row r="5967" spans="1:3" s="7" customFormat="1" x14ac:dyDescent="0.2">
      <c r="A5967" s="6" t="str">
        <f>"AC016355.1"</f>
        <v>AC016355.1</v>
      </c>
      <c r="B5967" s="6">
        <v>0.101898101898101</v>
      </c>
      <c r="C5967" s="6">
        <v>0.28489877469469299</v>
      </c>
    </row>
    <row r="5968" spans="1:3" s="7" customFormat="1" x14ac:dyDescent="0.2">
      <c r="A5968" s="6" t="str">
        <f>"CH17-340M24.3"</f>
        <v>CH17-340M24.3</v>
      </c>
      <c r="B5968" s="6">
        <v>0.101898101898101</v>
      </c>
      <c r="C5968" s="6">
        <v>0.28489877469469299</v>
      </c>
    </row>
    <row r="5969" spans="1:3" s="7" customFormat="1" x14ac:dyDescent="0.2">
      <c r="A5969" s="6" t="str">
        <f>"MTMR10"</f>
        <v>MTMR10</v>
      </c>
      <c r="B5969" s="6">
        <v>0.101898101898101</v>
      </c>
      <c r="C5969" s="6">
        <v>0.28489877469469299</v>
      </c>
    </row>
    <row r="5970" spans="1:3" s="7" customFormat="1" x14ac:dyDescent="0.2">
      <c r="A5970" s="6" t="str">
        <f>"PGD"</f>
        <v>PGD</v>
      </c>
      <c r="B5970" s="6">
        <v>0.101898101898101</v>
      </c>
      <c r="C5970" s="6">
        <v>0.28489877469469299</v>
      </c>
    </row>
    <row r="5971" spans="1:3" s="7" customFormat="1" x14ac:dyDescent="0.2">
      <c r="A5971" s="6" t="str">
        <f>"AC092569.1"</f>
        <v>AC092569.1</v>
      </c>
      <c r="B5971" s="6">
        <v>0.101898101898101</v>
      </c>
      <c r="C5971" s="6">
        <v>0.28489877469469299</v>
      </c>
    </row>
    <row r="5972" spans="1:3" s="7" customFormat="1" x14ac:dyDescent="0.2">
      <c r="A5972" s="6" t="str">
        <f>"TPCN2"</f>
        <v>TPCN2</v>
      </c>
      <c r="B5972" s="6">
        <v>0.101898101898101</v>
      </c>
      <c r="C5972" s="6">
        <v>0.28489877469469299</v>
      </c>
    </row>
    <row r="5973" spans="1:3" s="7" customFormat="1" x14ac:dyDescent="0.2">
      <c r="A5973" s="6" t="str">
        <f>"ARHGEF33"</f>
        <v>ARHGEF33</v>
      </c>
      <c r="B5973" s="6">
        <v>0.101898101898101</v>
      </c>
      <c r="C5973" s="6">
        <v>0.28489877469469299</v>
      </c>
    </row>
    <row r="5974" spans="1:3" s="7" customFormat="1" x14ac:dyDescent="0.2">
      <c r="A5974" s="6" t="str">
        <f>"SPINT1-AS1"</f>
        <v>SPINT1-AS1</v>
      </c>
      <c r="B5974" s="6">
        <v>0.101898101898101</v>
      </c>
      <c r="C5974" s="6">
        <v>0.28489877469469299</v>
      </c>
    </row>
    <row r="5975" spans="1:3" s="7" customFormat="1" x14ac:dyDescent="0.2">
      <c r="A5975" s="6" t="str">
        <f>"FBXL15"</f>
        <v>FBXL15</v>
      </c>
      <c r="B5975" s="6">
        <v>0.101898101898101</v>
      </c>
      <c r="C5975" s="6">
        <v>0.28489877469469299</v>
      </c>
    </row>
    <row r="5976" spans="1:3" s="7" customFormat="1" x14ac:dyDescent="0.2">
      <c r="A5976" s="6" t="str">
        <f>"RAB32"</f>
        <v>RAB32</v>
      </c>
      <c r="B5976" s="6">
        <v>0.101898101898101</v>
      </c>
      <c r="C5976" s="6">
        <v>0.28489877469469299</v>
      </c>
    </row>
    <row r="5977" spans="1:3" s="7" customFormat="1" x14ac:dyDescent="0.2">
      <c r="A5977" s="6" t="str">
        <f>"SLAMF9"</f>
        <v>SLAMF9</v>
      </c>
      <c r="B5977" s="6">
        <v>0.101898101898101</v>
      </c>
      <c r="C5977" s="6">
        <v>0.28489877469469299</v>
      </c>
    </row>
    <row r="5978" spans="1:3" s="7" customFormat="1" x14ac:dyDescent="0.2">
      <c r="A5978" s="6" t="str">
        <f>"MLXIPL"</f>
        <v>MLXIPL</v>
      </c>
      <c r="B5978" s="6">
        <v>0.101898101898101</v>
      </c>
      <c r="C5978" s="6">
        <v>0.28489877469469299</v>
      </c>
    </row>
    <row r="5979" spans="1:3" s="7" customFormat="1" x14ac:dyDescent="0.2">
      <c r="A5979" s="6" t="str">
        <f>"EXOC2"</f>
        <v>EXOC2</v>
      </c>
      <c r="B5979" s="6">
        <v>0.101898101898101</v>
      </c>
      <c r="C5979" s="6">
        <v>0.28489877469469299</v>
      </c>
    </row>
    <row r="5980" spans="1:3" s="7" customFormat="1" x14ac:dyDescent="0.2">
      <c r="A5980" s="6" t="str">
        <f>"AC008972.1"</f>
        <v>AC008972.1</v>
      </c>
      <c r="B5980" s="6">
        <v>0.101952277657266</v>
      </c>
      <c r="C5980" s="6">
        <v>0.28500257045719302</v>
      </c>
    </row>
    <row r="5981" spans="1:3" s="7" customFormat="1" x14ac:dyDescent="0.2">
      <c r="A5981" s="6" t="str">
        <f>"HDDC2"</f>
        <v>HDDC2</v>
      </c>
      <c r="B5981" s="6">
        <v>0.10199999999999999</v>
      </c>
      <c r="C5981" s="6">
        <v>0.28508829431438099</v>
      </c>
    </row>
    <row r="5982" spans="1:3" s="7" customFormat="1" x14ac:dyDescent="0.2">
      <c r="A5982" s="6" t="str">
        <f>"AC003681.1"</f>
        <v>AC003681.1</v>
      </c>
      <c r="B5982" s="6">
        <v>0.102204408817635</v>
      </c>
      <c r="C5982" s="6">
        <v>0.28561185236213898</v>
      </c>
    </row>
    <row r="5983" spans="1:3" s="7" customFormat="1" x14ac:dyDescent="0.2">
      <c r="A5983" s="6" t="str">
        <f>"RCBTB1"</f>
        <v>RCBTB1</v>
      </c>
      <c r="B5983" s="6">
        <v>0.10289710289710199</v>
      </c>
      <c r="C5983" s="6">
        <v>0.28592222407683698</v>
      </c>
    </row>
    <row r="5984" spans="1:3" s="7" customFormat="1" x14ac:dyDescent="0.2">
      <c r="A5984" s="6" t="str">
        <f>"PTGER4"</f>
        <v>PTGER4</v>
      </c>
      <c r="B5984" s="6">
        <v>0.10289710289710199</v>
      </c>
      <c r="C5984" s="6">
        <v>0.28592222407683698</v>
      </c>
    </row>
    <row r="5985" spans="1:3" s="7" customFormat="1" x14ac:dyDescent="0.2">
      <c r="A5985" s="6" t="str">
        <f>"SESN2"</f>
        <v>SESN2</v>
      </c>
      <c r="B5985" s="6">
        <v>0.10289710289710199</v>
      </c>
      <c r="C5985" s="6">
        <v>0.28592222407683698</v>
      </c>
    </row>
    <row r="5986" spans="1:3" s="7" customFormat="1" x14ac:dyDescent="0.2">
      <c r="A5986" s="6" t="str">
        <f>"IGHV1-69D"</f>
        <v>IGHV1-69D</v>
      </c>
      <c r="B5986" s="6">
        <v>0.10289710289710199</v>
      </c>
      <c r="C5986" s="6">
        <v>0.28592222407683698</v>
      </c>
    </row>
    <row r="5987" spans="1:3" s="7" customFormat="1" x14ac:dyDescent="0.2">
      <c r="A5987" s="6" t="str">
        <f>"HORMAD1"</f>
        <v>HORMAD1</v>
      </c>
      <c r="B5987" s="6">
        <v>0.10289710289710199</v>
      </c>
      <c r="C5987" s="6">
        <v>0.28592222407683698</v>
      </c>
    </row>
    <row r="5988" spans="1:3" s="7" customFormat="1" x14ac:dyDescent="0.2">
      <c r="A5988" s="6" t="str">
        <f>"RPL13AP5"</f>
        <v>RPL13AP5</v>
      </c>
      <c r="B5988" s="6">
        <v>0.10289710289710199</v>
      </c>
      <c r="C5988" s="6">
        <v>0.28592222407683698</v>
      </c>
    </row>
    <row r="5989" spans="1:3" s="7" customFormat="1" x14ac:dyDescent="0.2">
      <c r="A5989" s="6" t="str">
        <f>"RCOR1"</f>
        <v>RCOR1</v>
      </c>
      <c r="B5989" s="6">
        <v>0.10289710289710199</v>
      </c>
      <c r="C5989" s="6">
        <v>0.28592222407683698</v>
      </c>
    </row>
    <row r="5990" spans="1:3" s="7" customFormat="1" x14ac:dyDescent="0.2">
      <c r="A5990" s="6" t="str">
        <f>"TDRD6"</f>
        <v>TDRD6</v>
      </c>
      <c r="B5990" s="6">
        <v>0.10289710289710199</v>
      </c>
      <c r="C5990" s="6">
        <v>0.28592222407683698</v>
      </c>
    </row>
    <row r="5991" spans="1:3" s="7" customFormat="1" x14ac:dyDescent="0.2">
      <c r="A5991" s="6" t="str">
        <f>"CA2"</f>
        <v>CA2</v>
      </c>
      <c r="B5991" s="6">
        <v>0.10289710289710199</v>
      </c>
      <c r="C5991" s="6">
        <v>0.28592222407683698</v>
      </c>
    </row>
    <row r="5992" spans="1:3" s="7" customFormat="1" x14ac:dyDescent="0.2">
      <c r="A5992" s="6" t="str">
        <f>"OLAH"</f>
        <v>OLAH</v>
      </c>
      <c r="B5992" s="6">
        <v>0.10289710289710199</v>
      </c>
      <c r="C5992" s="6">
        <v>0.28592222407683698</v>
      </c>
    </row>
    <row r="5993" spans="1:3" s="7" customFormat="1" x14ac:dyDescent="0.2">
      <c r="A5993" s="6" t="str">
        <f>"AIFM3"</f>
        <v>AIFM3</v>
      </c>
      <c r="B5993" s="6">
        <v>0.10289710289710199</v>
      </c>
      <c r="C5993" s="6">
        <v>0.28592222407683698</v>
      </c>
    </row>
    <row r="5994" spans="1:3" s="7" customFormat="1" x14ac:dyDescent="0.2">
      <c r="A5994" s="6" t="str">
        <f>"AL139397.1"</f>
        <v>AL139397.1</v>
      </c>
      <c r="B5994" s="6">
        <v>0.10289710289710199</v>
      </c>
      <c r="C5994" s="6">
        <v>0.28592222407683698</v>
      </c>
    </row>
    <row r="5995" spans="1:3" s="7" customFormat="1" x14ac:dyDescent="0.2">
      <c r="A5995" s="6" t="str">
        <f>"AC011503.2"</f>
        <v>AC011503.2</v>
      </c>
      <c r="B5995" s="6">
        <v>0.102538071065989</v>
      </c>
      <c r="C5995" s="6">
        <v>0.28592222407683698</v>
      </c>
    </row>
    <row r="5996" spans="1:3" s="7" customFormat="1" x14ac:dyDescent="0.2">
      <c r="A5996" s="6" t="str">
        <f>"ZAP70"</f>
        <v>ZAP70</v>
      </c>
      <c r="B5996" s="6">
        <v>0.10289710289710199</v>
      </c>
      <c r="C5996" s="6">
        <v>0.28592222407683698</v>
      </c>
    </row>
    <row r="5997" spans="1:3" s="7" customFormat="1" x14ac:dyDescent="0.2">
      <c r="A5997" s="6" t="str">
        <f>"AGO1"</f>
        <v>AGO1</v>
      </c>
      <c r="B5997" s="6">
        <v>0.10289710289710199</v>
      </c>
      <c r="C5997" s="6">
        <v>0.28592222407683698</v>
      </c>
    </row>
    <row r="5998" spans="1:3" s="7" customFormat="1" x14ac:dyDescent="0.2">
      <c r="A5998" s="6" t="str">
        <f>"CSRNP3"</f>
        <v>CSRNP3</v>
      </c>
      <c r="B5998" s="6">
        <v>0.10289710289710199</v>
      </c>
      <c r="C5998" s="6">
        <v>0.28592222407683698</v>
      </c>
    </row>
    <row r="5999" spans="1:3" s="7" customFormat="1" x14ac:dyDescent="0.2">
      <c r="A5999" s="6" t="str">
        <f>"DPY30"</f>
        <v>DPY30</v>
      </c>
      <c r="B5999" s="6">
        <v>0.10289710289710199</v>
      </c>
      <c r="C5999" s="6">
        <v>0.28592222407683698</v>
      </c>
    </row>
    <row r="6000" spans="1:3" s="7" customFormat="1" x14ac:dyDescent="0.2">
      <c r="A6000" s="6" t="str">
        <f>"PRKACB"</f>
        <v>PRKACB</v>
      </c>
      <c r="B6000" s="6">
        <v>0.10289710289710199</v>
      </c>
      <c r="C6000" s="6">
        <v>0.28592222407683698</v>
      </c>
    </row>
    <row r="6001" spans="1:3" s="7" customFormat="1" x14ac:dyDescent="0.2">
      <c r="A6001" s="6" t="str">
        <f>"DARS2"</f>
        <v>DARS2</v>
      </c>
      <c r="B6001" s="6">
        <v>0.10289710289710199</v>
      </c>
      <c r="C6001" s="6">
        <v>0.28592222407683698</v>
      </c>
    </row>
    <row r="6002" spans="1:3" s="7" customFormat="1" x14ac:dyDescent="0.2">
      <c r="A6002" s="6" t="str">
        <f>"CES3"</f>
        <v>CES3</v>
      </c>
      <c r="B6002" s="6">
        <v>0.10289710289710199</v>
      </c>
      <c r="C6002" s="6">
        <v>0.28592222407683698</v>
      </c>
    </row>
    <row r="6003" spans="1:3" s="7" customFormat="1" x14ac:dyDescent="0.2">
      <c r="A6003" s="6" t="str">
        <f>"TRMT10A"</f>
        <v>TRMT10A</v>
      </c>
      <c r="B6003" s="6">
        <v>0.10289710289710199</v>
      </c>
      <c r="C6003" s="6">
        <v>0.28592222407683698</v>
      </c>
    </row>
    <row r="6004" spans="1:3" s="7" customFormat="1" x14ac:dyDescent="0.2">
      <c r="A6004" s="6" t="str">
        <f>"AC092296.2"</f>
        <v>AC092296.2</v>
      </c>
      <c r="B6004" s="6">
        <v>0.10289710289710199</v>
      </c>
      <c r="C6004" s="6">
        <v>0.28592222407683698</v>
      </c>
    </row>
    <row r="6005" spans="1:3" s="7" customFormat="1" x14ac:dyDescent="0.2">
      <c r="A6005" s="6" t="str">
        <f>"FBXO15"</f>
        <v>FBXO15</v>
      </c>
      <c r="B6005" s="6">
        <v>0.10289710289710199</v>
      </c>
      <c r="C6005" s="6">
        <v>0.28592222407683698</v>
      </c>
    </row>
    <row r="6006" spans="1:3" s="7" customFormat="1" x14ac:dyDescent="0.2">
      <c r="A6006" s="6" t="str">
        <f>"CD84"</f>
        <v>CD84</v>
      </c>
      <c r="B6006" s="6">
        <v>0.10289710289710199</v>
      </c>
      <c r="C6006" s="6">
        <v>0.28592222407683698</v>
      </c>
    </row>
    <row r="6007" spans="1:3" s="7" customFormat="1" x14ac:dyDescent="0.2">
      <c r="A6007" s="6" t="str">
        <f>"SEC22A"</f>
        <v>SEC22A</v>
      </c>
      <c r="B6007" s="6">
        <v>0.10289710289710199</v>
      </c>
      <c r="C6007" s="6">
        <v>0.28592222407683698</v>
      </c>
    </row>
    <row r="6008" spans="1:3" s="7" customFormat="1" x14ac:dyDescent="0.2">
      <c r="A6008" s="6" t="str">
        <f>"LSR"</f>
        <v>LSR</v>
      </c>
      <c r="B6008" s="6">
        <v>0.10289710289710199</v>
      </c>
      <c r="C6008" s="6">
        <v>0.28592222407683698</v>
      </c>
    </row>
    <row r="6009" spans="1:3" s="7" customFormat="1" x14ac:dyDescent="0.2">
      <c r="A6009" s="6" t="str">
        <f>"HDAC4-AS1"</f>
        <v>HDAC4-AS1</v>
      </c>
      <c r="B6009" s="6">
        <v>0.10289710289710199</v>
      </c>
      <c r="C6009" s="6">
        <v>0.28592222407683698</v>
      </c>
    </row>
    <row r="6010" spans="1:3" s="7" customFormat="1" x14ac:dyDescent="0.2">
      <c r="A6010" s="6" t="str">
        <f>"AL158151.1"</f>
        <v>AL158151.1</v>
      </c>
      <c r="B6010" s="6">
        <v>0.10289710289710199</v>
      </c>
      <c r="C6010" s="6">
        <v>0.28592222407683698</v>
      </c>
    </row>
    <row r="6011" spans="1:3" s="7" customFormat="1" x14ac:dyDescent="0.2">
      <c r="A6011" s="6" t="str">
        <f>"DGKG"</f>
        <v>DGKG</v>
      </c>
      <c r="B6011" s="6">
        <v>0.10289710289710199</v>
      </c>
      <c r="C6011" s="6">
        <v>0.28592222407683698</v>
      </c>
    </row>
    <row r="6012" spans="1:3" s="7" customFormat="1" x14ac:dyDescent="0.2">
      <c r="A6012" s="6" t="str">
        <f>"PPM1D"</f>
        <v>PPM1D</v>
      </c>
      <c r="B6012" s="6">
        <v>0.10289710289710199</v>
      </c>
      <c r="C6012" s="6">
        <v>0.28592222407683698</v>
      </c>
    </row>
    <row r="6013" spans="1:3" s="7" customFormat="1" x14ac:dyDescent="0.2">
      <c r="A6013" s="6" t="str">
        <f>"SCN2A"</f>
        <v>SCN2A</v>
      </c>
      <c r="B6013" s="6">
        <v>0.10289710289710199</v>
      </c>
      <c r="C6013" s="6">
        <v>0.28592222407683698</v>
      </c>
    </row>
    <row r="6014" spans="1:3" s="7" customFormat="1" x14ac:dyDescent="0.2">
      <c r="A6014" s="6" t="str">
        <f>"CTSC"</f>
        <v>CTSC</v>
      </c>
      <c r="B6014" s="6">
        <v>0.10289710289710199</v>
      </c>
      <c r="C6014" s="6">
        <v>0.28592222407683698</v>
      </c>
    </row>
    <row r="6015" spans="1:3" s="7" customFormat="1" x14ac:dyDescent="0.2">
      <c r="A6015" s="6" t="str">
        <f>"GPR4"</f>
        <v>GPR4</v>
      </c>
      <c r="B6015" s="6">
        <v>0.10289710289710199</v>
      </c>
      <c r="C6015" s="6">
        <v>0.28592222407683698</v>
      </c>
    </row>
    <row r="6016" spans="1:3" s="7" customFormat="1" x14ac:dyDescent="0.2">
      <c r="A6016" s="6" t="str">
        <f>"LCA5"</f>
        <v>LCA5</v>
      </c>
      <c r="B6016" s="6">
        <v>0.10289710289710199</v>
      </c>
      <c r="C6016" s="6">
        <v>0.28592222407683698</v>
      </c>
    </row>
    <row r="6017" spans="1:3" s="7" customFormat="1" x14ac:dyDescent="0.2">
      <c r="A6017" s="6" t="str">
        <f>"RPL23AP1"</f>
        <v>RPL23AP1</v>
      </c>
      <c r="B6017" s="6">
        <v>0.10299999999999999</v>
      </c>
      <c r="C6017" s="6">
        <v>0.28611301312946602</v>
      </c>
    </row>
    <row r="6018" spans="1:3" s="7" customFormat="1" x14ac:dyDescent="0.2">
      <c r="A6018" s="6" t="str">
        <f>"SSTR5"</f>
        <v>SSTR5</v>
      </c>
      <c r="B6018" s="6">
        <v>0.10299999999999999</v>
      </c>
      <c r="C6018" s="6">
        <v>0.28611301312946602</v>
      </c>
    </row>
    <row r="6019" spans="1:3" s="7" customFormat="1" x14ac:dyDescent="0.2">
      <c r="A6019" s="6" t="str">
        <f>"AL136309.2"</f>
        <v>AL136309.2</v>
      </c>
      <c r="B6019" s="6">
        <v>0.103206412825651</v>
      </c>
      <c r="C6019" s="6">
        <v>0.28659112543079102</v>
      </c>
    </row>
    <row r="6020" spans="1:3" s="7" customFormat="1" x14ac:dyDescent="0.2">
      <c r="A6020" s="6" t="str">
        <f>"AC008115.3"</f>
        <v>AC008115.3</v>
      </c>
      <c r="B6020" s="6">
        <v>0.103206412825651</v>
      </c>
      <c r="C6020" s="6">
        <v>0.28659112543079102</v>
      </c>
    </row>
    <row r="6021" spans="1:3" s="7" customFormat="1" x14ac:dyDescent="0.2">
      <c r="A6021" s="6" t="str">
        <f>"AC135050.5"</f>
        <v>AC135050.5</v>
      </c>
      <c r="B6021" s="6">
        <v>0.103553299492385</v>
      </c>
      <c r="C6021" s="6">
        <v>0.28750661922188298</v>
      </c>
    </row>
    <row r="6022" spans="1:3" s="7" customFormat="1" x14ac:dyDescent="0.2">
      <c r="A6022" s="6" t="str">
        <f>"SLC10A5"</f>
        <v>SLC10A5</v>
      </c>
      <c r="B6022" s="6">
        <v>0.103896103896103</v>
      </c>
      <c r="C6022" s="6">
        <v>0.28759845652856503</v>
      </c>
    </row>
    <row r="6023" spans="1:3" s="7" customFormat="1" x14ac:dyDescent="0.2">
      <c r="A6023" s="6" t="str">
        <f>"AC007879.3"</f>
        <v>AC007879.3</v>
      </c>
      <c r="B6023" s="6">
        <v>0.103896103896103</v>
      </c>
      <c r="C6023" s="6">
        <v>0.28759845652856503</v>
      </c>
    </row>
    <row r="6024" spans="1:3" s="7" customFormat="1" x14ac:dyDescent="0.2">
      <c r="A6024" s="6" t="str">
        <f>"RGS16"</f>
        <v>RGS16</v>
      </c>
      <c r="B6024" s="6">
        <v>0.103896103896103</v>
      </c>
      <c r="C6024" s="6">
        <v>0.28759845652856503</v>
      </c>
    </row>
    <row r="6025" spans="1:3" s="7" customFormat="1" x14ac:dyDescent="0.2">
      <c r="A6025" s="6" t="str">
        <f>"STAG3L2"</f>
        <v>STAG3L2</v>
      </c>
      <c r="B6025" s="6">
        <v>0.103896103896103</v>
      </c>
      <c r="C6025" s="6">
        <v>0.28759845652856503</v>
      </c>
    </row>
    <row r="6026" spans="1:3" s="7" customFormat="1" x14ac:dyDescent="0.2">
      <c r="A6026" s="6" t="str">
        <f>"C11orf98"</f>
        <v>C11orf98</v>
      </c>
      <c r="B6026" s="6">
        <v>0.103896103896103</v>
      </c>
      <c r="C6026" s="6">
        <v>0.28759845652856503</v>
      </c>
    </row>
    <row r="6027" spans="1:3" s="7" customFormat="1" x14ac:dyDescent="0.2">
      <c r="A6027" s="6" t="str">
        <f>"SH3D19"</f>
        <v>SH3D19</v>
      </c>
      <c r="B6027" s="6">
        <v>0.103896103896103</v>
      </c>
      <c r="C6027" s="6">
        <v>0.28759845652856503</v>
      </c>
    </row>
    <row r="6028" spans="1:3" s="7" customFormat="1" x14ac:dyDescent="0.2">
      <c r="A6028" s="6" t="str">
        <f>"FGF9"</f>
        <v>FGF9</v>
      </c>
      <c r="B6028" s="6">
        <v>0.103896103896103</v>
      </c>
      <c r="C6028" s="6">
        <v>0.28759845652856503</v>
      </c>
    </row>
    <row r="6029" spans="1:3" s="7" customFormat="1" x14ac:dyDescent="0.2">
      <c r="A6029" s="6" t="str">
        <f>"PDE4A"</f>
        <v>PDE4A</v>
      </c>
      <c r="B6029" s="6">
        <v>0.103896103896103</v>
      </c>
      <c r="C6029" s="6">
        <v>0.28759845652856503</v>
      </c>
    </row>
    <row r="6030" spans="1:3" s="7" customFormat="1" x14ac:dyDescent="0.2">
      <c r="A6030" s="6" t="str">
        <f>"C12orf60"</f>
        <v>C12orf60</v>
      </c>
      <c r="B6030" s="6">
        <v>0.103896103896103</v>
      </c>
      <c r="C6030" s="6">
        <v>0.28759845652856503</v>
      </c>
    </row>
    <row r="6031" spans="1:3" s="7" customFormat="1" x14ac:dyDescent="0.2">
      <c r="A6031" s="6" t="str">
        <f>"SLC9A8"</f>
        <v>SLC9A8</v>
      </c>
      <c r="B6031" s="6">
        <v>0.103896103896103</v>
      </c>
      <c r="C6031" s="6">
        <v>0.28759845652856503</v>
      </c>
    </row>
    <row r="6032" spans="1:3" s="7" customFormat="1" x14ac:dyDescent="0.2">
      <c r="A6032" s="6" t="str">
        <f>"TRPM4"</f>
        <v>TRPM4</v>
      </c>
      <c r="B6032" s="6">
        <v>0.103896103896103</v>
      </c>
      <c r="C6032" s="6">
        <v>0.28759845652856503</v>
      </c>
    </row>
    <row r="6033" spans="1:3" s="7" customFormat="1" x14ac:dyDescent="0.2">
      <c r="A6033" s="6" t="str">
        <f>"ZNF445"</f>
        <v>ZNF445</v>
      </c>
      <c r="B6033" s="6">
        <v>0.103896103896103</v>
      </c>
      <c r="C6033" s="6">
        <v>0.28759845652856503</v>
      </c>
    </row>
    <row r="6034" spans="1:3" s="7" customFormat="1" x14ac:dyDescent="0.2">
      <c r="A6034" s="6" t="str">
        <f>"AC135050.7"</f>
        <v>AC135050.7</v>
      </c>
      <c r="B6034" s="6">
        <v>0.103896103896103</v>
      </c>
      <c r="C6034" s="6">
        <v>0.28759845652856503</v>
      </c>
    </row>
    <row r="6035" spans="1:3" s="7" customFormat="1" x14ac:dyDescent="0.2">
      <c r="A6035" s="6" t="str">
        <f>"ZMYM6"</f>
        <v>ZMYM6</v>
      </c>
      <c r="B6035" s="6">
        <v>0.103896103896103</v>
      </c>
      <c r="C6035" s="6">
        <v>0.28759845652856503</v>
      </c>
    </row>
    <row r="6036" spans="1:3" s="7" customFormat="1" x14ac:dyDescent="0.2">
      <c r="A6036" s="6" t="str">
        <f>"C7orf57"</f>
        <v>C7orf57</v>
      </c>
      <c r="B6036" s="6">
        <v>0.103896103896103</v>
      </c>
      <c r="C6036" s="6">
        <v>0.28759845652856503</v>
      </c>
    </row>
    <row r="6037" spans="1:3" s="7" customFormat="1" x14ac:dyDescent="0.2">
      <c r="A6037" s="6" t="str">
        <f>"CCDC30"</f>
        <v>CCDC30</v>
      </c>
      <c r="B6037" s="6">
        <v>0.103896103896103</v>
      </c>
      <c r="C6037" s="6">
        <v>0.28759845652856503</v>
      </c>
    </row>
    <row r="6038" spans="1:3" s="7" customFormat="1" x14ac:dyDescent="0.2">
      <c r="A6038" s="6" t="str">
        <f>"PCDHGA1"</f>
        <v>PCDHGA1</v>
      </c>
      <c r="B6038" s="6">
        <v>0.103896103896103</v>
      </c>
      <c r="C6038" s="6">
        <v>0.28759845652856503</v>
      </c>
    </row>
    <row r="6039" spans="1:3" s="7" customFormat="1" x14ac:dyDescent="0.2">
      <c r="A6039" s="6" t="str">
        <f>"ATG101"</f>
        <v>ATG101</v>
      </c>
      <c r="B6039" s="6">
        <v>0.103896103896103</v>
      </c>
      <c r="C6039" s="6">
        <v>0.28759845652856503</v>
      </c>
    </row>
    <row r="6040" spans="1:3" s="7" customFormat="1" x14ac:dyDescent="0.2">
      <c r="A6040" s="6" t="str">
        <f>"TEX11"</f>
        <v>TEX11</v>
      </c>
      <c r="B6040" s="6">
        <v>0.104</v>
      </c>
      <c r="C6040" s="6">
        <v>0.28779072847682102</v>
      </c>
    </row>
    <row r="6041" spans="1:3" s="7" customFormat="1" x14ac:dyDescent="0.2">
      <c r="A6041" s="6" t="str">
        <f>"AL662884.4"</f>
        <v>AL662884.4</v>
      </c>
      <c r="B6041" s="6">
        <v>0.104</v>
      </c>
      <c r="C6041" s="6">
        <v>0.28779072847682102</v>
      </c>
    </row>
    <row r="6042" spans="1:3" s="7" customFormat="1" x14ac:dyDescent="0.2">
      <c r="A6042" s="6" t="str">
        <f>"CTNNA1"</f>
        <v>CTNNA1</v>
      </c>
      <c r="B6042" s="6">
        <v>0.10489510489510399</v>
      </c>
      <c r="C6042" s="6">
        <v>0.28854785767228103</v>
      </c>
    </row>
    <row r="6043" spans="1:3" s="7" customFormat="1" x14ac:dyDescent="0.2">
      <c r="A6043" s="6" t="str">
        <f>"ARID3B"</f>
        <v>ARID3B</v>
      </c>
      <c r="B6043" s="6">
        <v>0.10489510489510399</v>
      </c>
      <c r="C6043" s="6">
        <v>0.28854785767228103</v>
      </c>
    </row>
    <row r="6044" spans="1:3" s="7" customFormat="1" x14ac:dyDescent="0.2">
      <c r="A6044" s="6" t="str">
        <f>"RGPD1"</f>
        <v>RGPD1</v>
      </c>
      <c r="B6044" s="6">
        <v>0.10489510489510399</v>
      </c>
      <c r="C6044" s="6">
        <v>0.28854785767228103</v>
      </c>
    </row>
    <row r="6045" spans="1:3" s="7" customFormat="1" x14ac:dyDescent="0.2">
      <c r="A6045" s="6" t="str">
        <f>"BX324167.1"</f>
        <v>BX324167.1</v>
      </c>
      <c r="B6045" s="6">
        <v>0.10489510489510399</v>
      </c>
      <c r="C6045" s="6">
        <v>0.28854785767228103</v>
      </c>
    </row>
    <row r="6046" spans="1:3" s="7" customFormat="1" x14ac:dyDescent="0.2">
      <c r="A6046" s="6" t="str">
        <f>"IGLON5"</f>
        <v>IGLON5</v>
      </c>
      <c r="B6046" s="6">
        <v>0.10489510489510399</v>
      </c>
      <c r="C6046" s="6">
        <v>0.28854785767228103</v>
      </c>
    </row>
    <row r="6047" spans="1:3" s="7" customFormat="1" x14ac:dyDescent="0.2">
      <c r="A6047" s="6" t="str">
        <f>"ZNF326"</f>
        <v>ZNF326</v>
      </c>
      <c r="B6047" s="6">
        <v>0.10489510489510399</v>
      </c>
      <c r="C6047" s="6">
        <v>0.28854785767228103</v>
      </c>
    </row>
    <row r="6048" spans="1:3" s="7" customFormat="1" x14ac:dyDescent="0.2">
      <c r="A6048" s="6" t="str">
        <f>"BLOC1S4"</f>
        <v>BLOC1S4</v>
      </c>
      <c r="B6048" s="6">
        <v>0.10489510489510399</v>
      </c>
      <c r="C6048" s="6">
        <v>0.28854785767228103</v>
      </c>
    </row>
    <row r="6049" spans="1:3" s="7" customFormat="1" x14ac:dyDescent="0.2">
      <c r="A6049" s="6" t="str">
        <f>"KRT19P1"</f>
        <v>KRT19P1</v>
      </c>
      <c r="B6049" s="6">
        <v>0.10441767068273</v>
      </c>
      <c r="C6049" s="6">
        <v>0.28854785767228103</v>
      </c>
    </row>
    <row r="6050" spans="1:3" s="7" customFormat="1" x14ac:dyDescent="0.2">
      <c r="A6050" s="6" t="str">
        <f>"FAM131C"</f>
        <v>FAM131C</v>
      </c>
      <c r="B6050" s="6">
        <v>0.10489510489510399</v>
      </c>
      <c r="C6050" s="6">
        <v>0.28854785767228103</v>
      </c>
    </row>
    <row r="6051" spans="1:3" s="7" customFormat="1" x14ac:dyDescent="0.2">
      <c r="A6051" s="6" t="str">
        <f>"SYTL3"</f>
        <v>SYTL3</v>
      </c>
      <c r="B6051" s="6">
        <v>0.10489510489510399</v>
      </c>
      <c r="C6051" s="6">
        <v>0.28854785767228103</v>
      </c>
    </row>
    <row r="6052" spans="1:3" s="7" customFormat="1" x14ac:dyDescent="0.2">
      <c r="A6052" s="6" t="str">
        <f>"ZBED3-AS1"</f>
        <v>ZBED3-AS1</v>
      </c>
      <c r="B6052" s="6">
        <v>0.10489510489510399</v>
      </c>
      <c r="C6052" s="6">
        <v>0.28854785767228103</v>
      </c>
    </row>
    <row r="6053" spans="1:3" s="7" customFormat="1" x14ac:dyDescent="0.2">
      <c r="A6053" s="6" t="str">
        <f>"AC010280.1"</f>
        <v>AC010280.1</v>
      </c>
      <c r="B6053" s="6">
        <v>0.10489510489510399</v>
      </c>
      <c r="C6053" s="6">
        <v>0.28854785767228103</v>
      </c>
    </row>
    <row r="6054" spans="1:3" s="7" customFormat="1" x14ac:dyDescent="0.2">
      <c r="A6054" s="6" t="str">
        <f>"COX7A2L"</f>
        <v>COX7A2L</v>
      </c>
      <c r="B6054" s="6">
        <v>0.10489510489510399</v>
      </c>
      <c r="C6054" s="6">
        <v>0.28854785767228103</v>
      </c>
    </row>
    <row r="6055" spans="1:3" s="7" customFormat="1" x14ac:dyDescent="0.2">
      <c r="A6055" s="6" t="str">
        <f>"IKBKB"</f>
        <v>IKBKB</v>
      </c>
      <c r="B6055" s="6">
        <v>0.10489510489510399</v>
      </c>
      <c r="C6055" s="6">
        <v>0.28854785767228103</v>
      </c>
    </row>
    <row r="6056" spans="1:3" s="7" customFormat="1" x14ac:dyDescent="0.2">
      <c r="A6056" s="6" t="str">
        <f>"PARGP1"</f>
        <v>PARGP1</v>
      </c>
      <c r="B6056" s="6">
        <v>0.10489510489510399</v>
      </c>
      <c r="C6056" s="6">
        <v>0.28854785767228103</v>
      </c>
    </row>
    <row r="6057" spans="1:3" s="7" customFormat="1" x14ac:dyDescent="0.2">
      <c r="A6057" s="6" t="str">
        <f>"FGF7P3"</f>
        <v>FGF7P3</v>
      </c>
      <c r="B6057" s="6">
        <v>0.10489510489510399</v>
      </c>
      <c r="C6057" s="6">
        <v>0.28854785767228103</v>
      </c>
    </row>
    <row r="6058" spans="1:3" s="7" customFormat="1" x14ac:dyDescent="0.2">
      <c r="A6058" s="6" t="str">
        <f>"SYNGR1"</f>
        <v>SYNGR1</v>
      </c>
      <c r="B6058" s="6">
        <v>0.10489510489510399</v>
      </c>
      <c r="C6058" s="6">
        <v>0.28854785767228103</v>
      </c>
    </row>
    <row r="6059" spans="1:3" s="7" customFormat="1" x14ac:dyDescent="0.2">
      <c r="A6059" s="6" t="str">
        <f>"LINC01609"</f>
        <v>LINC01609</v>
      </c>
      <c r="B6059" s="6">
        <v>0.10489510489510399</v>
      </c>
      <c r="C6059" s="6">
        <v>0.28854785767228103</v>
      </c>
    </row>
    <row r="6060" spans="1:3" s="7" customFormat="1" x14ac:dyDescent="0.2">
      <c r="A6060" s="6" t="str">
        <f>"IL18"</f>
        <v>IL18</v>
      </c>
      <c r="B6060" s="6">
        <v>0.10489510489510399</v>
      </c>
      <c r="C6060" s="6">
        <v>0.28854785767228103</v>
      </c>
    </row>
    <row r="6061" spans="1:3" s="7" customFormat="1" x14ac:dyDescent="0.2">
      <c r="A6061" s="6" t="str">
        <f>"OLFML2B"</f>
        <v>OLFML2B</v>
      </c>
      <c r="B6061" s="6">
        <v>0.10489510489510399</v>
      </c>
      <c r="C6061" s="6">
        <v>0.28854785767228103</v>
      </c>
    </row>
    <row r="6062" spans="1:3" s="7" customFormat="1" x14ac:dyDescent="0.2">
      <c r="A6062" s="6" t="str">
        <f>"KCNN4"</f>
        <v>KCNN4</v>
      </c>
      <c r="B6062" s="6">
        <v>0.10489510489510399</v>
      </c>
      <c r="C6062" s="6">
        <v>0.28854785767228103</v>
      </c>
    </row>
    <row r="6063" spans="1:3" s="7" customFormat="1" x14ac:dyDescent="0.2">
      <c r="A6063" s="6" t="str">
        <f>"ATRX"</f>
        <v>ATRX</v>
      </c>
      <c r="B6063" s="6">
        <v>0.10489510489510399</v>
      </c>
      <c r="C6063" s="6">
        <v>0.28854785767228103</v>
      </c>
    </row>
    <row r="6064" spans="1:3" s="7" customFormat="1" x14ac:dyDescent="0.2">
      <c r="A6064" s="6" t="str">
        <f>"RGS22"</f>
        <v>RGS22</v>
      </c>
      <c r="B6064" s="6">
        <v>0.10489510489510399</v>
      </c>
      <c r="C6064" s="6">
        <v>0.28854785767228103</v>
      </c>
    </row>
    <row r="6065" spans="1:3" s="7" customFormat="1" x14ac:dyDescent="0.2">
      <c r="A6065" s="6" t="str">
        <f>"KDM5A"</f>
        <v>KDM5A</v>
      </c>
      <c r="B6065" s="6">
        <v>0.10489510489510399</v>
      </c>
      <c r="C6065" s="6">
        <v>0.28854785767228103</v>
      </c>
    </row>
    <row r="6066" spans="1:3" s="7" customFormat="1" x14ac:dyDescent="0.2">
      <c r="A6066" s="6" t="str">
        <f>"NRADDP"</f>
        <v>NRADDP</v>
      </c>
      <c r="B6066" s="6">
        <v>0.10489510489510399</v>
      </c>
      <c r="C6066" s="6">
        <v>0.28854785767228103</v>
      </c>
    </row>
    <row r="6067" spans="1:3" s="7" customFormat="1" x14ac:dyDescent="0.2">
      <c r="A6067" s="6" t="str">
        <f>"AL359397.1"</f>
        <v>AL359397.1</v>
      </c>
      <c r="B6067" s="6">
        <v>0.10489510489510399</v>
      </c>
      <c r="C6067" s="6">
        <v>0.28854785767228103</v>
      </c>
    </row>
    <row r="6068" spans="1:3" s="7" customFormat="1" x14ac:dyDescent="0.2">
      <c r="A6068" s="6" t="str">
        <f>"NUDT4B"</f>
        <v>NUDT4B</v>
      </c>
      <c r="B6068" s="6">
        <v>0.10489510489510399</v>
      </c>
      <c r="C6068" s="6">
        <v>0.28854785767228103</v>
      </c>
    </row>
    <row r="6069" spans="1:3" s="7" customFormat="1" x14ac:dyDescent="0.2">
      <c r="A6069" s="6" t="str">
        <f>"PKD1P2"</f>
        <v>PKD1P2</v>
      </c>
      <c r="B6069" s="6">
        <v>0.10489510489510399</v>
      </c>
      <c r="C6069" s="6">
        <v>0.28854785767228103</v>
      </c>
    </row>
    <row r="6070" spans="1:3" s="7" customFormat="1" x14ac:dyDescent="0.2">
      <c r="A6070" s="6" t="str">
        <f>"MPLKIP"</f>
        <v>MPLKIP</v>
      </c>
      <c r="B6070" s="6">
        <v>0.10489510489510399</v>
      </c>
      <c r="C6070" s="6">
        <v>0.28854785767228103</v>
      </c>
    </row>
    <row r="6071" spans="1:3" s="7" customFormat="1" x14ac:dyDescent="0.2">
      <c r="A6071" s="6" t="str">
        <f>"PRTG"</f>
        <v>PRTG</v>
      </c>
      <c r="B6071" s="6">
        <v>0.10489510489510399</v>
      </c>
      <c r="C6071" s="6">
        <v>0.28854785767228103</v>
      </c>
    </row>
    <row r="6072" spans="1:3" s="7" customFormat="1" x14ac:dyDescent="0.2">
      <c r="A6072" s="6" t="str">
        <f>"SUPT4H1"</f>
        <v>SUPT4H1</v>
      </c>
      <c r="B6072" s="6">
        <v>0.10489510489510399</v>
      </c>
      <c r="C6072" s="6">
        <v>0.28854785767228103</v>
      </c>
    </row>
    <row r="6073" spans="1:3" s="7" customFormat="1" x14ac:dyDescent="0.2">
      <c r="A6073" s="6" t="str">
        <f>"CD24"</f>
        <v>CD24</v>
      </c>
      <c r="B6073" s="6">
        <v>0.10489510489510399</v>
      </c>
      <c r="C6073" s="6">
        <v>0.28854785767228103</v>
      </c>
    </row>
    <row r="6074" spans="1:3" s="7" customFormat="1" x14ac:dyDescent="0.2">
      <c r="A6074" s="6" t="str">
        <f>"CD46"</f>
        <v>CD46</v>
      </c>
      <c r="B6074" s="6">
        <v>0.10489510489510399</v>
      </c>
      <c r="C6074" s="6">
        <v>0.28854785767228103</v>
      </c>
    </row>
    <row r="6075" spans="1:3" s="7" customFormat="1" x14ac:dyDescent="0.2">
      <c r="A6075" s="6" t="str">
        <f>"SPCS2"</f>
        <v>SPCS2</v>
      </c>
      <c r="B6075" s="6">
        <v>0.10489510489510399</v>
      </c>
      <c r="C6075" s="6">
        <v>0.28854785767228103</v>
      </c>
    </row>
    <row r="6076" spans="1:3" s="7" customFormat="1" x14ac:dyDescent="0.2">
      <c r="A6076" s="6" t="str">
        <f>"TRMT61B"</f>
        <v>TRMT61B</v>
      </c>
      <c r="B6076" s="6">
        <v>0.10489510489510399</v>
      </c>
      <c r="C6076" s="6">
        <v>0.28854785767228103</v>
      </c>
    </row>
    <row r="6077" spans="1:3" s="7" customFormat="1" x14ac:dyDescent="0.2">
      <c r="A6077" s="6" t="str">
        <f>"E2F5"</f>
        <v>E2F5</v>
      </c>
      <c r="B6077" s="6">
        <v>0.10489510489510399</v>
      </c>
      <c r="C6077" s="6">
        <v>0.28854785767228103</v>
      </c>
    </row>
    <row r="6078" spans="1:3" s="7" customFormat="1" x14ac:dyDescent="0.2">
      <c r="A6078" s="6" t="str">
        <f>"AC005829.1"</f>
        <v>AC005829.1</v>
      </c>
      <c r="B6078" s="6">
        <v>0.105</v>
      </c>
      <c r="C6078" s="6">
        <v>0.28874136229022701</v>
      </c>
    </row>
    <row r="6079" spans="1:3" s="7" customFormat="1" x14ac:dyDescent="0.2">
      <c r="A6079" s="6" t="str">
        <f>"FTH1P2"</f>
        <v>FTH1P2</v>
      </c>
      <c r="B6079" s="6">
        <v>0.105</v>
      </c>
      <c r="C6079" s="6">
        <v>0.28874136229022701</v>
      </c>
    </row>
    <row r="6080" spans="1:3" s="7" customFormat="1" x14ac:dyDescent="0.2">
      <c r="A6080" s="6" t="str">
        <f>"RNFT1-DT"</f>
        <v>RNFT1-DT</v>
      </c>
      <c r="B6080" s="6">
        <v>0.105210420841683</v>
      </c>
      <c r="C6080" s="6">
        <v>0.28927240894026901</v>
      </c>
    </row>
    <row r="6081" spans="1:3" s="7" customFormat="1" x14ac:dyDescent="0.2">
      <c r="A6081" s="6" t="str">
        <f>"TESMIN"</f>
        <v>TESMIN</v>
      </c>
      <c r="B6081" s="6">
        <v>0.105894105894105</v>
      </c>
      <c r="C6081" s="6">
        <v>0.28939079233389198</v>
      </c>
    </row>
    <row r="6082" spans="1:3" s="7" customFormat="1" x14ac:dyDescent="0.2">
      <c r="A6082" s="6" t="str">
        <f>"FBXO28"</f>
        <v>FBXO28</v>
      </c>
      <c r="B6082" s="6">
        <v>0.105894105894105</v>
      </c>
      <c r="C6082" s="6">
        <v>0.28939079233389198</v>
      </c>
    </row>
    <row r="6083" spans="1:3" s="7" customFormat="1" x14ac:dyDescent="0.2">
      <c r="A6083" s="6" t="str">
        <f>"DSE"</f>
        <v>DSE</v>
      </c>
      <c r="B6083" s="6">
        <v>0.105894105894105</v>
      </c>
      <c r="C6083" s="6">
        <v>0.28939079233389198</v>
      </c>
    </row>
    <row r="6084" spans="1:3" s="7" customFormat="1" x14ac:dyDescent="0.2">
      <c r="A6084" s="6" t="str">
        <f>"UBN1"</f>
        <v>UBN1</v>
      </c>
      <c r="B6084" s="6">
        <v>0.105894105894105</v>
      </c>
      <c r="C6084" s="6">
        <v>0.28939079233389198</v>
      </c>
    </row>
    <row r="6085" spans="1:3" s="7" customFormat="1" x14ac:dyDescent="0.2">
      <c r="A6085" s="6" t="str">
        <f>"ZNF577"</f>
        <v>ZNF577</v>
      </c>
      <c r="B6085" s="6">
        <v>0.105894105894105</v>
      </c>
      <c r="C6085" s="6">
        <v>0.28939079233389198</v>
      </c>
    </row>
    <row r="6086" spans="1:3" s="7" customFormat="1" x14ac:dyDescent="0.2">
      <c r="A6086" s="6" t="str">
        <f>"OR2T12"</f>
        <v>OR2T12</v>
      </c>
      <c r="B6086" s="6">
        <v>0.105894105894105</v>
      </c>
      <c r="C6086" s="6">
        <v>0.28939079233389198</v>
      </c>
    </row>
    <row r="6087" spans="1:3" s="7" customFormat="1" x14ac:dyDescent="0.2">
      <c r="A6087" s="6" t="str">
        <f>"LINC00475"</f>
        <v>LINC00475</v>
      </c>
      <c r="B6087" s="6">
        <v>0.105894105894105</v>
      </c>
      <c r="C6087" s="6">
        <v>0.28939079233389198</v>
      </c>
    </row>
    <row r="6088" spans="1:3" s="7" customFormat="1" x14ac:dyDescent="0.2">
      <c r="A6088" s="6" t="str">
        <f>"SOX21"</f>
        <v>SOX21</v>
      </c>
      <c r="B6088" s="6">
        <v>0.105894105894105</v>
      </c>
      <c r="C6088" s="6">
        <v>0.28939079233389198</v>
      </c>
    </row>
    <row r="6089" spans="1:3" s="7" customFormat="1" x14ac:dyDescent="0.2">
      <c r="A6089" s="6" t="str">
        <f>"LUC7L"</f>
        <v>LUC7L</v>
      </c>
      <c r="B6089" s="6">
        <v>0.105894105894105</v>
      </c>
      <c r="C6089" s="6">
        <v>0.28939079233389198</v>
      </c>
    </row>
    <row r="6090" spans="1:3" s="7" customFormat="1" x14ac:dyDescent="0.2">
      <c r="A6090" s="6" t="str">
        <f>"NHLRC3"</f>
        <v>NHLRC3</v>
      </c>
      <c r="B6090" s="6">
        <v>0.105894105894105</v>
      </c>
      <c r="C6090" s="6">
        <v>0.28939079233389198</v>
      </c>
    </row>
    <row r="6091" spans="1:3" s="7" customFormat="1" x14ac:dyDescent="0.2">
      <c r="A6091" s="6" t="str">
        <f>"AC109486.3"</f>
        <v>AC109486.3</v>
      </c>
      <c r="B6091" s="6">
        <v>0.105894105894105</v>
      </c>
      <c r="C6091" s="6">
        <v>0.28939079233389198</v>
      </c>
    </row>
    <row r="6092" spans="1:3" s="7" customFormat="1" x14ac:dyDescent="0.2">
      <c r="A6092" s="6" t="str">
        <f>"AP2S1"</f>
        <v>AP2S1</v>
      </c>
      <c r="B6092" s="6">
        <v>0.105894105894105</v>
      </c>
      <c r="C6092" s="6">
        <v>0.28939079233389198</v>
      </c>
    </row>
    <row r="6093" spans="1:3" s="7" customFormat="1" x14ac:dyDescent="0.2">
      <c r="A6093" s="6" t="str">
        <f>"AC006001.3"</f>
        <v>AC006001.3</v>
      </c>
      <c r="B6093" s="6">
        <v>0.105894105894105</v>
      </c>
      <c r="C6093" s="6">
        <v>0.28939079233389198</v>
      </c>
    </row>
    <row r="6094" spans="1:3" s="7" customFormat="1" x14ac:dyDescent="0.2">
      <c r="A6094" s="6" t="str">
        <f>"ZNF324"</f>
        <v>ZNF324</v>
      </c>
      <c r="B6094" s="6">
        <v>0.105894105894105</v>
      </c>
      <c r="C6094" s="6">
        <v>0.28939079233389198</v>
      </c>
    </row>
    <row r="6095" spans="1:3" s="7" customFormat="1" x14ac:dyDescent="0.2">
      <c r="A6095" s="6" t="str">
        <f>"FCHO2"</f>
        <v>FCHO2</v>
      </c>
      <c r="B6095" s="6">
        <v>0.105894105894105</v>
      </c>
      <c r="C6095" s="6">
        <v>0.28939079233389198</v>
      </c>
    </row>
    <row r="6096" spans="1:3" s="7" customFormat="1" x14ac:dyDescent="0.2">
      <c r="A6096" s="6" t="str">
        <f>"CKMT1B"</f>
        <v>CKMT1B</v>
      </c>
      <c r="B6096" s="6">
        <v>0.105894105894105</v>
      </c>
      <c r="C6096" s="6">
        <v>0.28939079233389198</v>
      </c>
    </row>
    <row r="6097" spans="1:3" s="7" customFormat="1" x14ac:dyDescent="0.2">
      <c r="A6097" s="6" t="str">
        <f>"ACTN1-AS1"</f>
        <v>ACTN1-AS1</v>
      </c>
      <c r="B6097" s="6">
        <v>0.105894105894105</v>
      </c>
      <c r="C6097" s="6">
        <v>0.28939079233389198</v>
      </c>
    </row>
    <row r="6098" spans="1:3" s="7" customFormat="1" x14ac:dyDescent="0.2">
      <c r="A6098" s="6" t="str">
        <f>"AP1S3"</f>
        <v>AP1S3</v>
      </c>
      <c r="B6098" s="6">
        <v>0.105894105894105</v>
      </c>
      <c r="C6098" s="6">
        <v>0.28939079233389198</v>
      </c>
    </row>
    <row r="6099" spans="1:3" s="7" customFormat="1" x14ac:dyDescent="0.2">
      <c r="A6099" s="6" t="str">
        <f>"LINC00365"</f>
        <v>LINC00365</v>
      </c>
      <c r="B6099" s="6">
        <v>0.105894105894105</v>
      </c>
      <c r="C6099" s="6">
        <v>0.28939079233389198</v>
      </c>
    </row>
    <row r="6100" spans="1:3" s="7" customFormat="1" x14ac:dyDescent="0.2">
      <c r="A6100" s="6" t="str">
        <f>"CWC27"</f>
        <v>CWC27</v>
      </c>
      <c r="B6100" s="6">
        <v>0.105894105894105</v>
      </c>
      <c r="C6100" s="6">
        <v>0.28939079233389198</v>
      </c>
    </row>
    <row r="6101" spans="1:3" s="7" customFormat="1" x14ac:dyDescent="0.2">
      <c r="A6101" s="6" t="str">
        <f>"CSRP3-AS1"</f>
        <v>CSRP3-AS1</v>
      </c>
      <c r="B6101" s="6">
        <v>0.105894105894105</v>
      </c>
      <c r="C6101" s="6">
        <v>0.28939079233389198</v>
      </c>
    </row>
    <row r="6102" spans="1:3" s="7" customFormat="1" x14ac:dyDescent="0.2">
      <c r="A6102" s="6" t="str">
        <f>"BDNF-AS"</f>
        <v>BDNF-AS</v>
      </c>
      <c r="B6102" s="6">
        <v>0.105894105894105</v>
      </c>
      <c r="C6102" s="6">
        <v>0.28939079233389198</v>
      </c>
    </row>
    <row r="6103" spans="1:3" s="7" customFormat="1" x14ac:dyDescent="0.2">
      <c r="A6103" s="6" t="str">
        <f>"HTRA4"</f>
        <v>HTRA4</v>
      </c>
      <c r="B6103" s="6">
        <v>0.105894105894105</v>
      </c>
      <c r="C6103" s="6">
        <v>0.28939079233389198</v>
      </c>
    </row>
    <row r="6104" spans="1:3" s="7" customFormat="1" x14ac:dyDescent="0.2">
      <c r="A6104" s="6" t="str">
        <f>"AL121820.2"</f>
        <v>AL121820.2</v>
      </c>
      <c r="B6104" s="6">
        <v>0.105894105894105</v>
      </c>
      <c r="C6104" s="6">
        <v>0.28939079233389198</v>
      </c>
    </row>
    <row r="6105" spans="1:3" s="7" customFormat="1" x14ac:dyDescent="0.2">
      <c r="A6105" s="6" t="str">
        <f>"LRRC40"</f>
        <v>LRRC40</v>
      </c>
      <c r="B6105" s="6">
        <v>0.105894105894105</v>
      </c>
      <c r="C6105" s="6">
        <v>0.28939079233389198</v>
      </c>
    </row>
    <row r="6106" spans="1:3" s="7" customFormat="1" x14ac:dyDescent="0.2">
      <c r="A6106" s="6" t="str">
        <f>"MUTYH"</f>
        <v>MUTYH</v>
      </c>
      <c r="B6106" s="6">
        <v>0.105894105894105</v>
      </c>
      <c r="C6106" s="6">
        <v>0.28939079233389198</v>
      </c>
    </row>
    <row r="6107" spans="1:3" s="7" customFormat="1" x14ac:dyDescent="0.2">
      <c r="A6107" s="6" t="str">
        <f>"PRSS35"</f>
        <v>PRSS35</v>
      </c>
      <c r="B6107" s="6">
        <v>0.105894105894105</v>
      </c>
      <c r="C6107" s="6">
        <v>0.28939079233389198</v>
      </c>
    </row>
    <row r="6108" spans="1:3" s="7" customFormat="1" x14ac:dyDescent="0.2">
      <c r="A6108" s="6" t="str">
        <f>"GPATCH8"</f>
        <v>GPATCH8</v>
      </c>
      <c r="B6108" s="6">
        <v>0.105894105894105</v>
      </c>
      <c r="C6108" s="6">
        <v>0.28939079233389198</v>
      </c>
    </row>
    <row r="6109" spans="1:3" s="7" customFormat="1" x14ac:dyDescent="0.2">
      <c r="A6109" s="6" t="str">
        <f>"STIM1-AS1"</f>
        <v>STIM1-AS1</v>
      </c>
      <c r="B6109" s="6">
        <v>0.105583756345177</v>
      </c>
      <c r="C6109" s="6">
        <v>0.28939079233389198</v>
      </c>
    </row>
    <row r="6110" spans="1:3" s="7" customFormat="1" x14ac:dyDescent="0.2">
      <c r="A6110" s="6" t="str">
        <f>"HPX"</f>
        <v>HPX</v>
      </c>
      <c r="B6110" s="6">
        <v>0.105894105894105</v>
      </c>
      <c r="C6110" s="6">
        <v>0.28939079233389198</v>
      </c>
    </row>
    <row r="6111" spans="1:3" s="7" customFormat="1" x14ac:dyDescent="0.2">
      <c r="A6111" s="6" t="str">
        <f>"DLG5-AS1"</f>
        <v>DLG5-AS1</v>
      </c>
      <c r="B6111" s="6">
        <v>0.105894105894105</v>
      </c>
      <c r="C6111" s="6">
        <v>0.28939079233389198</v>
      </c>
    </row>
    <row r="6112" spans="1:3" s="7" customFormat="1" x14ac:dyDescent="0.2">
      <c r="A6112" s="6" t="str">
        <f>"CFAP74"</f>
        <v>CFAP74</v>
      </c>
      <c r="B6112" s="6">
        <v>0.105894105894105</v>
      </c>
      <c r="C6112" s="6">
        <v>0.28939079233389198</v>
      </c>
    </row>
    <row r="6113" spans="1:3" s="7" customFormat="1" x14ac:dyDescent="0.2">
      <c r="A6113" s="6" t="str">
        <f>"TAF2"</f>
        <v>TAF2</v>
      </c>
      <c r="B6113" s="6">
        <v>0.105894105894105</v>
      </c>
      <c r="C6113" s="6">
        <v>0.28939079233389198</v>
      </c>
    </row>
    <row r="6114" spans="1:3" s="7" customFormat="1" x14ac:dyDescent="0.2">
      <c r="A6114" s="6" t="str">
        <f>"AC073529.1"</f>
        <v>AC073529.1</v>
      </c>
      <c r="B6114" s="6">
        <v>0.105894105894105</v>
      </c>
      <c r="C6114" s="6">
        <v>0.28939079233389198</v>
      </c>
    </row>
    <row r="6115" spans="1:3" s="7" customFormat="1" x14ac:dyDescent="0.2">
      <c r="A6115" s="6" t="str">
        <f>"SAP30BP"</f>
        <v>SAP30BP</v>
      </c>
      <c r="B6115" s="6">
        <v>0.105894105894105</v>
      </c>
      <c r="C6115" s="6">
        <v>0.28939079233389198</v>
      </c>
    </row>
    <row r="6116" spans="1:3" s="7" customFormat="1" x14ac:dyDescent="0.2">
      <c r="A6116" s="6" t="str">
        <f>"CAMKK2"</f>
        <v>CAMKK2</v>
      </c>
      <c r="B6116" s="6">
        <v>0.105894105894105</v>
      </c>
      <c r="C6116" s="6">
        <v>0.28939079233389198</v>
      </c>
    </row>
    <row r="6117" spans="1:3" s="7" customFormat="1" x14ac:dyDescent="0.2">
      <c r="A6117" s="6" t="str">
        <f>"FAM78B"</f>
        <v>FAM78B</v>
      </c>
      <c r="B6117" s="6">
        <v>0.105894105894105</v>
      </c>
      <c r="C6117" s="6">
        <v>0.28939079233389198</v>
      </c>
    </row>
    <row r="6118" spans="1:3" s="7" customFormat="1" x14ac:dyDescent="0.2">
      <c r="A6118" s="6" t="str">
        <f>"AC003035.1"</f>
        <v>AC003035.1</v>
      </c>
      <c r="B6118" s="6">
        <v>0.10598111227701899</v>
      </c>
      <c r="C6118" s="6">
        <v>0.289538159830037</v>
      </c>
    </row>
    <row r="6119" spans="1:3" s="7" customFormat="1" x14ac:dyDescent="0.2">
      <c r="A6119" s="6" t="str">
        <f>"GCNA"</f>
        <v>GCNA</v>
      </c>
      <c r="B6119" s="6">
        <v>0.106</v>
      </c>
      <c r="C6119" s="6">
        <v>0.289538159830037</v>
      </c>
    </row>
    <row r="6120" spans="1:3" s="7" customFormat="1" x14ac:dyDescent="0.2">
      <c r="A6120" s="6" t="str">
        <f>"STPG1"</f>
        <v>STPG1</v>
      </c>
      <c r="B6120" s="6">
        <v>0.106</v>
      </c>
      <c r="C6120" s="6">
        <v>0.289538159830037</v>
      </c>
    </row>
    <row r="6121" spans="1:3" s="7" customFormat="1" x14ac:dyDescent="0.2">
      <c r="A6121" s="6" t="str">
        <f>"SMR3B"</f>
        <v>SMR3B</v>
      </c>
      <c r="B6121" s="6">
        <v>0.10606060606060599</v>
      </c>
      <c r="C6121" s="6">
        <v>0.28965636759754398</v>
      </c>
    </row>
    <row r="6122" spans="1:3" s="7" customFormat="1" x14ac:dyDescent="0.2">
      <c r="A6122" s="6" t="str">
        <f>"LINC00243"</f>
        <v>LINC00243</v>
      </c>
      <c r="B6122" s="6">
        <v>0.10689310689310599</v>
      </c>
      <c r="C6122" s="6">
        <v>0.29041147409157803</v>
      </c>
    </row>
    <row r="6123" spans="1:3" s="7" customFormat="1" x14ac:dyDescent="0.2">
      <c r="A6123" s="6" t="str">
        <f>"IGKV3-20"</f>
        <v>IGKV3-20</v>
      </c>
      <c r="B6123" s="6">
        <v>0.10689310689310599</v>
      </c>
      <c r="C6123" s="6">
        <v>0.29041147409157803</v>
      </c>
    </row>
    <row r="6124" spans="1:3" s="7" customFormat="1" x14ac:dyDescent="0.2">
      <c r="A6124" s="6" t="str">
        <f>"EGR1"</f>
        <v>EGR1</v>
      </c>
      <c r="B6124" s="6">
        <v>0.10689310689310599</v>
      </c>
      <c r="C6124" s="6">
        <v>0.29041147409157803</v>
      </c>
    </row>
    <row r="6125" spans="1:3" s="7" customFormat="1" x14ac:dyDescent="0.2">
      <c r="A6125" s="6" t="str">
        <f>"HTRA1"</f>
        <v>HTRA1</v>
      </c>
      <c r="B6125" s="6">
        <v>0.10689310689310599</v>
      </c>
      <c r="C6125" s="6">
        <v>0.29041147409157803</v>
      </c>
    </row>
    <row r="6126" spans="1:3" s="7" customFormat="1" x14ac:dyDescent="0.2">
      <c r="A6126" s="6" t="str">
        <f>"HRH4"</f>
        <v>HRH4</v>
      </c>
      <c r="B6126" s="6">
        <v>0.10689310689310599</v>
      </c>
      <c r="C6126" s="6">
        <v>0.29041147409157803</v>
      </c>
    </row>
    <row r="6127" spans="1:3" s="7" customFormat="1" x14ac:dyDescent="0.2">
      <c r="A6127" s="6" t="str">
        <f>"SLC4A11"</f>
        <v>SLC4A11</v>
      </c>
      <c r="B6127" s="6">
        <v>0.10689310689310599</v>
      </c>
      <c r="C6127" s="6">
        <v>0.29041147409157803</v>
      </c>
    </row>
    <row r="6128" spans="1:3" s="7" customFormat="1" x14ac:dyDescent="0.2">
      <c r="A6128" s="6" t="str">
        <f>"TCTE3"</f>
        <v>TCTE3</v>
      </c>
      <c r="B6128" s="6">
        <v>0.10689310689310599</v>
      </c>
      <c r="C6128" s="6">
        <v>0.29041147409157803</v>
      </c>
    </row>
    <row r="6129" spans="1:3" s="7" customFormat="1" x14ac:dyDescent="0.2">
      <c r="A6129" s="6" t="str">
        <f>"RBSN"</f>
        <v>RBSN</v>
      </c>
      <c r="B6129" s="6">
        <v>0.10689310689310599</v>
      </c>
      <c r="C6129" s="6">
        <v>0.29041147409157803</v>
      </c>
    </row>
    <row r="6130" spans="1:3" s="7" customFormat="1" x14ac:dyDescent="0.2">
      <c r="A6130" s="6" t="str">
        <f>"CLEC18B"</f>
        <v>CLEC18B</v>
      </c>
      <c r="B6130" s="6">
        <v>0.10689310689310599</v>
      </c>
      <c r="C6130" s="6">
        <v>0.29041147409157803</v>
      </c>
    </row>
    <row r="6131" spans="1:3" s="7" customFormat="1" x14ac:dyDescent="0.2">
      <c r="A6131" s="6" t="str">
        <f>"PXYLP1"</f>
        <v>PXYLP1</v>
      </c>
      <c r="B6131" s="6">
        <v>0.10689310689310599</v>
      </c>
      <c r="C6131" s="6">
        <v>0.29041147409157803</v>
      </c>
    </row>
    <row r="6132" spans="1:3" s="7" customFormat="1" x14ac:dyDescent="0.2">
      <c r="A6132" s="6" t="str">
        <f>"ZNF836"</f>
        <v>ZNF836</v>
      </c>
      <c r="B6132" s="6">
        <v>0.10689310689310599</v>
      </c>
      <c r="C6132" s="6">
        <v>0.29041147409157803</v>
      </c>
    </row>
    <row r="6133" spans="1:3" s="7" customFormat="1" x14ac:dyDescent="0.2">
      <c r="A6133" s="6" t="str">
        <f>"BCAS2P2"</f>
        <v>BCAS2P2</v>
      </c>
      <c r="B6133" s="6">
        <v>0.10689310689310599</v>
      </c>
      <c r="C6133" s="6">
        <v>0.29041147409157803</v>
      </c>
    </row>
    <row r="6134" spans="1:3" s="7" customFormat="1" x14ac:dyDescent="0.2">
      <c r="A6134" s="6" t="str">
        <f>"AL157902.2"</f>
        <v>AL157902.2</v>
      </c>
      <c r="B6134" s="6">
        <v>0.106425702811244</v>
      </c>
      <c r="C6134" s="6">
        <v>0.29041147409157803</v>
      </c>
    </row>
    <row r="6135" spans="1:3" s="7" customFormat="1" x14ac:dyDescent="0.2">
      <c r="A6135" s="6" t="str">
        <f>"LINC01588"</f>
        <v>LINC01588</v>
      </c>
      <c r="B6135" s="6">
        <v>0.10689310689310599</v>
      </c>
      <c r="C6135" s="6">
        <v>0.29041147409157803</v>
      </c>
    </row>
    <row r="6136" spans="1:3" s="7" customFormat="1" x14ac:dyDescent="0.2">
      <c r="A6136" s="6" t="str">
        <f>"AKAP6"</f>
        <v>AKAP6</v>
      </c>
      <c r="B6136" s="6">
        <v>0.10689310689310599</v>
      </c>
      <c r="C6136" s="6">
        <v>0.29041147409157803</v>
      </c>
    </row>
    <row r="6137" spans="1:3" s="7" customFormat="1" x14ac:dyDescent="0.2">
      <c r="A6137" s="6" t="str">
        <f>"FOXC1"</f>
        <v>FOXC1</v>
      </c>
      <c r="B6137" s="6">
        <v>0.10689310689310599</v>
      </c>
      <c r="C6137" s="6">
        <v>0.29041147409157803</v>
      </c>
    </row>
    <row r="6138" spans="1:3" s="7" customFormat="1" x14ac:dyDescent="0.2">
      <c r="A6138" s="6" t="str">
        <f>"AC008040.1"</f>
        <v>AC008040.1</v>
      </c>
      <c r="B6138" s="6">
        <v>0.10689310689310599</v>
      </c>
      <c r="C6138" s="6">
        <v>0.29041147409157803</v>
      </c>
    </row>
    <row r="6139" spans="1:3" s="7" customFormat="1" x14ac:dyDescent="0.2">
      <c r="A6139" s="6" t="str">
        <f>"HEATR3"</f>
        <v>HEATR3</v>
      </c>
      <c r="B6139" s="6">
        <v>0.10689310689310599</v>
      </c>
      <c r="C6139" s="6">
        <v>0.29041147409157803</v>
      </c>
    </row>
    <row r="6140" spans="1:3" s="7" customFormat="1" x14ac:dyDescent="0.2">
      <c r="A6140" s="6" t="str">
        <f>"TMPRSS11A"</f>
        <v>TMPRSS11A</v>
      </c>
      <c r="B6140" s="6">
        <v>0.10689310689310599</v>
      </c>
      <c r="C6140" s="6">
        <v>0.29041147409157803</v>
      </c>
    </row>
    <row r="6141" spans="1:3" s="7" customFormat="1" x14ac:dyDescent="0.2">
      <c r="A6141" s="6" t="str">
        <f>"SPCS2P4"</f>
        <v>SPCS2P4</v>
      </c>
      <c r="B6141" s="6">
        <v>0.10689310689310599</v>
      </c>
      <c r="C6141" s="6">
        <v>0.29041147409157803</v>
      </c>
    </row>
    <row r="6142" spans="1:3" s="7" customFormat="1" x14ac:dyDescent="0.2">
      <c r="A6142" s="6" t="str">
        <f>"AC108860.2"</f>
        <v>AC108860.2</v>
      </c>
      <c r="B6142" s="6">
        <v>0.10689310689310599</v>
      </c>
      <c r="C6142" s="6">
        <v>0.29041147409157803</v>
      </c>
    </row>
    <row r="6143" spans="1:3" s="7" customFormat="1" x14ac:dyDescent="0.2">
      <c r="A6143" s="6" t="str">
        <f>"AC114490.3"</f>
        <v>AC114490.3</v>
      </c>
      <c r="B6143" s="6">
        <v>0.10689310689310599</v>
      </c>
      <c r="C6143" s="6">
        <v>0.29041147409157803</v>
      </c>
    </row>
    <row r="6144" spans="1:3" s="7" customFormat="1" x14ac:dyDescent="0.2">
      <c r="A6144" s="6" t="str">
        <f>"AC092111.1"</f>
        <v>AC092111.1</v>
      </c>
      <c r="B6144" s="6">
        <v>0.10689310689310599</v>
      </c>
      <c r="C6144" s="6">
        <v>0.29041147409157803</v>
      </c>
    </row>
    <row r="6145" spans="1:3" s="7" customFormat="1" x14ac:dyDescent="0.2">
      <c r="A6145" s="6" t="str">
        <f>"SENP1"</f>
        <v>SENP1</v>
      </c>
      <c r="B6145" s="6">
        <v>0.10689310689310599</v>
      </c>
      <c r="C6145" s="6">
        <v>0.29041147409157803</v>
      </c>
    </row>
    <row r="6146" spans="1:3" s="7" customFormat="1" x14ac:dyDescent="0.2">
      <c r="A6146" s="6" t="str">
        <f>"DCT"</f>
        <v>DCT</v>
      </c>
      <c r="B6146" s="6">
        <v>0.10689310689310599</v>
      </c>
      <c r="C6146" s="6">
        <v>0.29041147409157803</v>
      </c>
    </row>
    <row r="6147" spans="1:3" s="7" customFormat="1" x14ac:dyDescent="0.2">
      <c r="A6147" s="6" t="str">
        <f>"OIP5"</f>
        <v>OIP5</v>
      </c>
      <c r="B6147" s="6">
        <v>0.10689310689310599</v>
      </c>
      <c r="C6147" s="6">
        <v>0.29041147409157803</v>
      </c>
    </row>
    <row r="6148" spans="1:3" s="7" customFormat="1" x14ac:dyDescent="0.2">
      <c r="A6148" s="6" t="str">
        <f>"SIRLNT"</f>
        <v>SIRLNT</v>
      </c>
      <c r="B6148" s="6">
        <v>0.106425702811244</v>
      </c>
      <c r="C6148" s="6">
        <v>0.29041147409157803</v>
      </c>
    </row>
    <row r="6149" spans="1:3" s="7" customFormat="1" x14ac:dyDescent="0.2">
      <c r="A6149" s="6" t="str">
        <f>"SPX"</f>
        <v>SPX</v>
      </c>
      <c r="B6149" s="6">
        <v>0.10689310689310599</v>
      </c>
      <c r="C6149" s="6">
        <v>0.29041147409157803</v>
      </c>
    </row>
    <row r="6150" spans="1:3" s="7" customFormat="1" x14ac:dyDescent="0.2">
      <c r="A6150" s="6" t="str">
        <f>"DNAH2"</f>
        <v>DNAH2</v>
      </c>
      <c r="B6150" s="6">
        <v>0.10689310689310599</v>
      </c>
      <c r="C6150" s="6">
        <v>0.29041147409157803</v>
      </c>
    </row>
    <row r="6151" spans="1:3" s="7" customFormat="1" x14ac:dyDescent="0.2">
      <c r="A6151" s="6" t="str">
        <f>"HES4"</f>
        <v>HES4</v>
      </c>
      <c r="B6151" s="6">
        <v>0.10689310689310599</v>
      </c>
      <c r="C6151" s="6">
        <v>0.29041147409157803</v>
      </c>
    </row>
    <row r="6152" spans="1:3" s="7" customFormat="1" x14ac:dyDescent="0.2">
      <c r="A6152" s="6" t="str">
        <f>"IKBKG"</f>
        <v>IKBKG</v>
      </c>
      <c r="B6152" s="6">
        <v>0.10689310689310599</v>
      </c>
      <c r="C6152" s="6">
        <v>0.29041147409157803</v>
      </c>
    </row>
    <row r="6153" spans="1:3" s="7" customFormat="1" x14ac:dyDescent="0.2">
      <c r="A6153" s="6" t="str">
        <f>"LYZ"</f>
        <v>LYZ</v>
      </c>
      <c r="B6153" s="6">
        <v>0.10689310689310599</v>
      </c>
      <c r="C6153" s="6">
        <v>0.29041147409157803</v>
      </c>
    </row>
    <row r="6154" spans="1:3" s="7" customFormat="1" x14ac:dyDescent="0.2">
      <c r="A6154" s="6" t="str">
        <f>"AC025034.1"</f>
        <v>AC025034.1</v>
      </c>
      <c r="B6154" s="6">
        <v>0.10703043022035599</v>
      </c>
      <c r="C6154" s="6">
        <v>0.29073730061807901</v>
      </c>
    </row>
    <row r="6155" spans="1:3" s="7" customFormat="1" x14ac:dyDescent="0.2">
      <c r="A6155" s="6" t="str">
        <f>"AC104411.1"</f>
        <v>AC104411.1</v>
      </c>
      <c r="B6155" s="6">
        <v>0.107070707070707</v>
      </c>
      <c r="C6155" s="6">
        <v>0.29079944718553702</v>
      </c>
    </row>
    <row r="6156" spans="1:3" s="7" customFormat="1" x14ac:dyDescent="0.2">
      <c r="A6156" s="6" t="str">
        <f>"AC010894.1"</f>
        <v>AC010894.1</v>
      </c>
      <c r="B6156" s="6">
        <v>0.107107107107107</v>
      </c>
      <c r="C6156" s="6">
        <v>0.29080379925084199</v>
      </c>
    </row>
    <row r="6157" spans="1:3" s="7" customFormat="1" x14ac:dyDescent="0.2">
      <c r="A6157" s="6" t="str">
        <f>"AC103871.1"</f>
        <v>AC103871.1</v>
      </c>
      <c r="B6157" s="6">
        <v>0.107107107107107</v>
      </c>
      <c r="C6157" s="6">
        <v>0.29080379925084199</v>
      </c>
    </row>
    <row r="6158" spans="1:3" s="7" customFormat="1" x14ac:dyDescent="0.2">
      <c r="A6158" s="6" t="str">
        <f>"EHHADH"</f>
        <v>EHHADH</v>
      </c>
      <c r="B6158" s="6">
        <v>0.107892107892107</v>
      </c>
      <c r="C6158" s="6">
        <v>0.29099704555570199</v>
      </c>
    </row>
    <row r="6159" spans="1:3" s="7" customFormat="1" x14ac:dyDescent="0.2">
      <c r="A6159" s="6" t="str">
        <f>"MRC2"</f>
        <v>MRC2</v>
      </c>
      <c r="B6159" s="6">
        <v>0.107892107892107</v>
      </c>
      <c r="C6159" s="6">
        <v>0.29099704555570199</v>
      </c>
    </row>
    <row r="6160" spans="1:3" s="7" customFormat="1" x14ac:dyDescent="0.2">
      <c r="A6160" s="6" t="str">
        <f>"PHC2"</f>
        <v>PHC2</v>
      </c>
      <c r="B6160" s="6">
        <v>0.107892107892107</v>
      </c>
      <c r="C6160" s="6">
        <v>0.29099704555570199</v>
      </c>
    </row>
    <row r="6161" spans="1:3" s="7" customFormat="1" x14ac:dyDescent="0.2">
      <c r="A6161" s="6" t="str">
        <f>"DHCR7"</f>
        <v>DHCR7</v>
      </c>
      <c r="B6161" s="6">
        <v>0.107892107892107</v>
      </c>
      <c r="C6161" s="6">
        <v>0.29099704555570199</v>
      </c>
    </row>
    <row r="6162" spans="1:3" s="7" customFormat="1" x14ac:dyDescent="0.2">
      <c r="A6162" s="6" t="str">
        <f>"SEMG2"</f>
        <v>SEMG2</v>
      </c>
      <c r="B6162" s="6">
        <v>0.107892107892107</v>
      </c>
      <c r="C6162" s="6">
        <v>0.29099704555570199</v>
      </c>
    </row>
    <row r="6163" spans="1:3" s="7" customFormat="1" x14ac:dyDescent="0.2">
      <c r="A6163" s="6" t="str">
        <f>"HIKESHI"</f>
        <v>HIKESHI</v>
      </c>
      <c r="B6163" s="6">
        <v>0.107892107892107</v>
      </c>
      <c r="C6163" s="6">
        <v>0.29099704555570199</v>
      </c>
    </row>
    <row r="6164" spans="1:3" s="7" customFormat="1" x14ac:dyDescent="0.2">
      <c r="A6164" s="6" t="str">
        <f>"AARS2"</f>
        <v>AARS2</v>
      </c>
      <c r="B6164" s="6">
        <v>0.107892107892107</v>
      </c>
      <c r="C6164" s="6">
        <v>0.29099704555570199</v>
      </c>
    </row>
    <row r="6165" spans="1:3" s="7" customFormat="1" x14ac:dyDescent="0.2">
      <c r="A6165" s="6" t="str">
        <f>"COPZ2"</f>
        <v>COPZ2</v>
      </c>
      <c r="B6165" s="6">
        <v>0.107892107892107</v>
      </c>
      <c r="C6165" s="6">
        <v>0.29099704555570199</v>
      </c>
    </row>
    <row r="6166" spans="1:3" s="7" customFormat="1" x14ac:dyDescent="0.2">
      <c r="A6166" s="6" t="str">
        <f>"RPS6KA5"</f>
        <v>RPS6KA5</v>
      </c>
      <c r="B6166" s="6">
        <v>0.107892107892107</v>
      </c>
      <c r="C6166" s="6">
        <v>0.29099704555570199</v>
      </c>
    </row>
    <row r="6167" spans="1:3" s="7" customFormat="1" x14ac:dyDescent="0.2">
      <c r="A6167" s="6" t="str">
        <f>"ZNF133"</f>
        <v>ZNF133</v>
      </c>
      <c r="B6167" s="6">
        <v>0.107892107892107</v>
      </c>
      <c r="C6167" s="6">
        <v>0.29099704555570199</v>
      </c>
    </row>
    <row r="6168" spans="1:3" s="7" customFormat="1" x14ac:dyDescent="0.2">
      <c r="A6168" s="6" t="str">
        <f>"PGBD1"</f>
        <v>PGBD1</v>
      </c>
      <c r="B6168" s="6">
        <v>0.107892107892107</v>
      </c>
      <c r="C6168" s="6">
        <v>0.29099704555570199</v>
      </c>
    </row>
    <row r="6169" spans="1:3" s="7" customFormat="1" x14ac:dyDescent="0.2">
      <c r="A6169" s="6" t="str">
        <f>"RASL12"</f>
        <v>RASL12</v>
      </c>
      <c r="B6169" s="6">
        <v>0.107892107892107</v>
      </c>
      <c r="C6169" s="6">
        <v>0.29099704555570199</v>
      </c>
    </row>
    <row r="6170" spans="1:3" s="7" customFormat="1" x14ac:dyDescent="0.2">
      <c r="A6170" s="6" t="str">
        <f>"AC090371.1"</f>
        <v>AC090371.1</v>
      </c>
      <c r="B6170" s="6">
        <v>0.107892107892107</v>
      </c>
      <c r="C6170" s="6">
        <v>0.29099704555570199</v>
      </c>
    </row>
    <row r="6171" spans="1:3" s="7" customFormat="1" x14ac:dyDescent="0.2">
      <c r="A6171" s="6" t="str">
        <f>"TMEM86B"</f>
        <v>TMEM86B</v>
      </c>
      <c r="B6171" s="6">
        <v>0.107892107892107</v>
      </c>
      <c r="C6171" s="6">
        <v>0.29099704555570199</v>
      </c>
    </row>
    <row r="6172" spans="1:3" s="7" customFormat="1" x14ac:dyDescent="0.2">
      <c r="A6172" s="6" t="str">
        <f>"CD5"</f>
        <v>CD5</v>
      </c>
      <c r="B6172" s="6">
        <v>0.107892107892107</v>
      </c>
      <c r="C6172" s="6">
        <v>0.29099704555570199</v>
      </c>
    </row>
    <row r="6173" spans="1:3" s="7" customFormat="1" x14ac:dyDescent="0.2">
      <c r="A6173" s="6" t="str">
        <f>"BHLHE40-AS1"</f>
        <v>BHLHE40-AS1</v>
      </c>
      <c r="B6173" s="6">
        <v>0.107892107892107</v>
      </c>
      <c r="C6173" s="6">
        <v>0.29099704555570199</v>
      </c>
    </row>
    <row r="6174" spans="1:3" s="7" customFormat="1" x14ac:dyDescent="0.2">
      <c r="A6174" s="6" t="str">
        <f>"GTF2H2C"</f>
        <v>GTF2H2C</v>
      </c>
      <c r="B6174" s="6">
        <v>0.107892107892107</v>
      </c>
      <c r="C6174" s="6">
        <v>0.29099704555570199</v>
      </c>
    </row>
    <row r="6175" spans="1:3" s="7" customFormat="1" x14ac:dyDescent="0.2">
      <c r="A6175" s="6" t="str">
        <f>"ZNF658B"</f>
        <v>ZNF658B</v>
      </c>
      <c r="B6175" s="6">
        <v>0.107892107892107</v>
      </c>
      <c r="C6175" s="6">
        <v>0.29099704555570199</v>
      </c>
    </row>
    <row r="6176" spans="1:3" s="7" customFormat="1" x14ac:dyDescent="0.2">
      <c r="A6176" s="6" t="str">
        <f>"CCDC61"</f>
        <v>CCDC61</v>
      </c>
      <c r="B6176" s="6">
        <v>0.107892107892107</v>
      </c>
      <c r="C6176" s="6">
        <v>0.29099704555570199</v>
      </c>
    </row>
    <row r="6177" spans="1:3" s="7" customFormat="1" x14ac:dyDescent="0.2">
      <c r="A6177" s="6" t="str">
        <f>"BHLHE41"</f>
        <v>BHLHE41</v>
      </c>
      <c r="B6177" s="6">
        <v>0.107892107892107</v>
      </c>
      <c r="C6177" s="6">
        <v>0.29099704555570199</v>
      </c>
    </row>
    <row r="6178" spans="1:3" s="7" customFormat="1" x14ac:dyDescent="0.2">
      <c r="A6178" s="6" t="str">
        <f>"PLCXD1"</f>
        <v>PLCXD1</v>
      </c>
      <c r="B6178" s="6">
        <v>0.107892107892107</v>
      </c>
      <c r="C6178" s="6">
        <v>0.29099704555570199</v>
      </c>
    </row>
    <row r="6179" spans="1:3" s="7" customFormat="1" x14ac:dyDescent="0.2">
      <c r="A6179" s="6" t="str">
        <f>"AC092745.2"</f>
        <v>AC092745.2</v>
      </c>
      <c r="B6179" s="6">
        <v>0.107892107892107</v>
      </c>
      <c r="C6179" s="6">
        <v>0.29099704555570199</v>
      </c>
    </row>
    <row r="6180" spans="1:3" s="7" customFormat="1" x14ac:dyDescent="0.2">
      <c r="A6180" s="6" t="str">
        <f>"RHOT1"</f>
        <v>RHOT1</v>
      </c>
      <c r="B6180" s="6">
        <v>0.107892107892107</v>
      </c>
      <c r="C6180" s="6">
        <v>0.29099704555570199</v>
      </c>
    </row>
    <row r="6181" spans="1:3" s="7" customFormat="1" x14ac:dyDescent="0.2">
      <c r="A6181" s="6" t="str">
        <f>"AC134775.1"</f>
        <v>AC134775.1</v>
      </c>
      <c r="B6181" s="6">
        <v>0.10732196589769299</v>
      </c>
      <c r="C6181" s="6">
        <v>0.29099704555570199</v>
      </c>
    </row>
    <row r="6182" spans="1:3" s="7" customFormat="1" x14ac:dyDescent="0.2">
      <c r="A6182" s="6" t="str">
        <f>"TYW3"</f>
        <v>TYW3</v>
      </c>
      <c r="B6182" s="6">
        <v>0.107892107892107</v>
      </c>
      <c r="C6182" s="6">
        <v>0.29099704555570199</v>
      </c>
    </row>
    <row r="6183" spans="1:3" s="7" customFormat="1" x14ac:dyDescent="0.2">
      <c r="A6183" s="6" t="str">
        <f>"PWP1"</f>
        <v>PWP1</v>
      </c>
      <c r="B6183" s="6">
        <v>0.107892107892107</v>
      </c>
      <c r="C6183" s="6">
        <v>0.29099704555570199</v>
      </c>
    </row>
    <row r="6184" spans="1:3" s="7" customFormat="1" x14ac:dyDescent="0.2">
      <c r="A6184" s="6" t="str">
        <f>"AC110079.1"</f>
        <v>AC110079.1</v>
      </c>
      <c r="B6184" s="6">
        <v>0.107892107892107</v>
      </c>
      <c r="C6184" s="6">
        <v>0.29099704555570199</v>
      </c>
    </row>
    <row r="6185" spans="1:3" s="7" customFormat="1" x14ac:dyDescent="0.2">
      <c r="A6185" s="6" t="str">
        <f>"AC011447.7"</f>
        <v>AC011447.7</v>
      </c>
      <c r="B6185" s="6">
        <v>0.107802874743326</v>
      </c>
      <c r="C6185" s="6">
        <v>0.29099704555570199</v>
      </c>
    </row>
    <row r="6186" spans="1:3" s="7" customFormat="1" x14ac:dyDescent="0.2">
      <c r="A6186" s="6" t="str">
        <f>"AP1G2"</f>
        <v>AP1G2</v>
      </c>
      <c r="B6186" s="6">
        <v>0.107892107892107</v>
      </c>
      <c r="C6186" s="6">
        <v>0.29099704555570199</v>
      </c>
    </row>
    <row r="6187" spans="1:3" s="7" customFormat="1" x14ac:dyDescent="0.2">
      <c r="A6187" s="6" t="str">
        <f>"ATP8A2"</f>
        <v>ATP8A2</v>
      </c>
      <c r="B6187" s="6">
        <v>0.107892107892107</v>
      </c>
      <c r="C6187" s="6">
        <v>0.29099704555570199</v>
      </c>
    </row>
    <row r="6188" spans="1:3" s="7" customFormat="1" x14ac:dyDescent="0.2">
      <c r="A6188" s="6" t="str">
        <f>"CFAP77"</f>
        <v>CFAP77</v>
      </c>
      <c r="B6188" s="6">
        <v>0.107892107892107</v>
      </c>
      <c r="C6188" s="6">
        <v>0.29099704555570199</v>
      </c>
    </row>
    <row r="6189" spans="1:3" s="7" customFormat="1" x14ac:dyDescent="0.2">
      <c r="A6189" s="6" t="str">
        <f>"FNDC4"</f>
        <v>FNDC4</v>
      </c>
      <c r="B6189" s="6">
        <v>0.107892107892107</v>
      </c>
      <c r="C6189" s="6">
        <v>0.29099704555570199</v>
      </c>
    </row>
    <row r="6190" spans="1:3" s="7" customFormat="1" x14ac:dyDescent="0.2">
      <c r="A6190" s="6" t="str">
        <f>"PPP1R42"</f>
        <v>PPP1R42</v>
      </c>
      <c r="B6190" s="6">
        <v>0.107892107892107</v>
      </c>
      <c r="C6190" s="6">
        <v>0.29099704555570199</v>
      </c>
    </row>
    <row r="6191" spans="1:3" s="7" customFormat="1" x14ac:dyDescent="0.2">
      <c r="A6191" s="6" t="str">
        <f>"MMP1"</f>
        <v>MMP1</v>
      </c>
      <c r="B6191" s="6">
        <v>0.107892107892107</v>
      </c>
      <c r="C6191" s="6">
        <v>0.29099704555570199</v>
      </c>
    </row>
    <row r="6192" spans="1:3" s="7" customFormat="1" x14ac:dyDescent="0.2">
      <c r="A6192" s="6" t="str">
        <f>"PCAT19"</f>
        <v>PCAT19</v>
      </c>
      <c r="B6192" s="6">
        <v>0.107892107892107</v>
      </c>
      <c r="C6192" s="6">
        <v>0.29099704555570199</v>
      </c>
    </row>
    <row r="6193" spans="1:3" s="7" customFormat="1" x14ac:dyDescent="0.2">
      <c r="A6193" s="6" t="str">
        <f>"ELF4"</f>
        <v>ELF4</v>
      </c>
      <c r="B6193" s="6">
        <v>0.107892107892107</v>
      </c>
      <c r="C6193" s="6">
        <v>0.29099704555570199</v>
      </c>
    </row>
    <row r="6194" spans="1:3" s="7" customFormat="1" x14ac:dyDescent="0.2">
      <c r="A6194" s="6" t="str">
        <f>"ZBTB16"</f>
        <v>ZBTB16</v>
      </c>
      <c r="B6194" s="6">
        <v>0.107892107892107</v>
      </c>
      <c r="C6194" s="6">
        <v>0.29099704555570199</v>
      </c>
    </row>
    <row r="6195" spans="1:3" s="7" customFormat="1" x14ac:dyDescent="0.2">
      <c r="A6195" s="6" t="str">
        <f>"NUDC"</f>
        <v>NUDC</v>
      </c>
      <c r="B6195" s="6">
        <v>0.107892107892107</v>
      </c>
      <c r="C6195" s="6">
        <v>0.29099704555570199</v>
      </c>
    </row>
    <row r="6196" spans="1:3" s="7" customFormat="1" x14ac:dyDescent="0.2">
      <c r="A6196" s="6" t="str">
        <f>"ANAPC16"</f>
        <v>ANAPC16</v>
      </c>
      <c r="B6196" s="6">
        <v>0.107892107892107</v>
      </c>
      <c r="C6196" s="6">
        <v>0.29099704555570199</v>
      </c>
    </row>
    <row r="6197" spans="1:3" s="7" customFormat="1" x14ac:dyDescent="0.2">
      <c r="A6197" s="6" t="str">
        <f>"GIN1"</f>
        <v>GIN1</v>
      </c>
      <c r="B6197" s="6">
        <v>0.107892107892107</v>
      </c>
      <c r="C6197" s="6">
        <v>0.29099704555570199</v>
      </c>
    </row>
    <row r="6198" spans="1:3" s="7" customFormat="1" x14ac:dyDescent="0.2">
      <c r="A6198" s="6" t="str">
        <f>"LMTK2"</f>
        <v>LMTK2</v>
      </c>
      <c r="B6198" s="6">
        <v>0.107892107892107</v>
      </c>
      <c r="C6198" s="6">
        <v>0.29099704555570199</v>
      </c>
    </row>
    <row r="6199" spans="1:3" s="7" customFormat="1" x14ac:dyDescent="0.2">
      <c r="A6199" s="6" t="str">
        <f>"NSUN7"</f>
        <v>NSUN7</v>
      </c>
      <c r="B6199" s="6">
        <v>0.108</v>
      </c>
      <c r="C6199" s="6">
        <v>0.29124104549854701</v>
      </c>
    </row>
    <row r="6200" spans="1:3" s="7" customFormat="1" x14ac:dyDescent="0.2">
      <c r="A6200" s="6" t="str">
        <f>"AL355482.2"</f>
        <v>AL355482.2</v>
      </c>
      <c r="B6200" s="6">
        <v>0.108216432865731</v>
      </c>
      <c r="C6200" s="6">
        <v>0.29177761879622999</v>
      </c>
    </row>
    <row r="6201" spans="1:3" s="7" customFormat="1" x14ac:dyDescent="0.2">
      <c r="A6201" s="6" t="str">
        <f>"FCRL1"</f>
        <v>FCRL1</v>
      </c>
      <c r="B6201" s="6">
        <v>0.10889110889110799</v>
      </c>
      <c r="C6201" s="6">
        <v>0.29213579358041603</v>
      </c>
    </row>
    <row r="6202" spans="1:3" s="7" customFormat="1" x14ac:dyDescent="0.2">
      <c r="A6202" s="6" t="str">
        <f>"TIMM29"</f>
        <v>TIMM29</v>
      </c>
      <c r="B6202" s="6">
        <v>0.10889110889110799</v>
      </c>
      <c r="C6202" s="6">
        <v>0.29213579358041603</v>
      </c>
    </row>
    <row r="6203" spans="1:3" s="7" customFormat="1" x14ac:dyDescent="0.2">
      <c r="A6203" s="6" t="str">
        <f>"FBXO48"</f>
        <v>FBXO48</v>
      </c>
      <c r="B6203" s="6">
        <v>0.10889110889110799</v>
      </c>
      <c r="C6203" s="6">
        <v>0.29213579358041603</v>
      </c>
    </row>
    <row r="6204" spans="1:3" s="7" customFormat="1" x14ac:dyDescent="0.2">
      <c r="A6204" s="6" t="str">
        <f>"TAF12"</f>
        <v>TAF12</v>
      </c>
      <c r="B6204" s="6">
        <v>0.10889110889110799</v>
      </c>
      <c r="C6204" s="6">
        <v>0.29213579358041603</v>
      </c>
    </row>
    <row r="6205" spans="1:3" s="7" customFormat="1" x14ac:dyDescent="0.2">
      <c r="A6205" s="6" t="str">
        <f>"IRX1"</f>
        <v>IRX1</v>
      </c>
      <c r="B6205" s="6">
        <v>0.10889110889110799</v>
      </c>
      <c r="C6205" s="6">
        <v>0.29213579358041603</v>
      </c>
    </row>
    <row r="6206" spans="1:3" s="7" customFormat="1" x14ac:dyDescent="0.2">
      <c r="A6206" s="6" t="str">
        <f>"AL669831.4"</f>
        <v>AL669831.4</v>
      </c>
      <c r="B6206" s="6">
        <v>0.10889110889110799</v>
      </c>
      <c r="C6206" s="6">
        <v>0.29213579358041603</v>
      </c>
    </row>
    <row r="6207" spans="1:3" s="7" customFormat="1" x14ac:dyDescent="0.2">
      <c r="A6207" s="6" t="str">
        <f>"CCDC115"</f>
        <v>CCDC115</v>
      </c>
      <c r="B6207" s="6">
        <v>0.10889110889110799</v>
      </c>
      <c r="C6207" s="6">
        <v>0.29213579358041603</v>
      </c>
    </row>
    <row r="6208" spans="1:3" s="7" customFormat="1" x14ac:dyDescent="0.2">
      <c r="A6208" s="6" t="str">
        <f>"ISLR2"</f>
        <v>ISLR2</v>
      </c>
      <c r="B6208" s="6">
        <v>0.10889110889110799</v>
      </c>
      <c r="C6208" s="6">
        <v>0.29213579358041603</v>
      </c>
    </row>
    <row r="6209" spans="1:3" s="7" customFormat="1" x14ac:dyDescent="0.2">
      <c r="A6209" s="6" t="str">
        <f>"DOK4"</f>
        <v>DOK4</v>
      </c>
      <c r="B6209" s="6">
        <v>0.10889110889110799</v>
      </c>
      <c r="C6209" s="6">
        <v>0.29213579358041603</v>
      </c>
    </row>
    <row r="6210" spans="1:3" s="7" customFormat="1" x14ac:dyDescent="0.2">
      <c r="A6210" s="6" t="str">
        <f>"PTRH2"</f>
        <v>PTRH2</v>
      </c>
      <c r="B6210" s="6">
        <v>0.10889110889110799</v>
      </c>
      <c r="C6210" s="6">
        <v>0.29213579358041603</v>
      </c>
    </row>
    <row r="6211" spans="1:3" s="7" customFormat="1" x14ac:dyDescent="0.2">
      <c r="A6211" s="6" t="str">
        <f>"SUSD4"</f>
        <v>SUSD4</v>
      </c>
      <c r="B6211" s="6">
        <v>0.10889110889110799</v>
      </c>
      <c r="C6211" s="6">
        <v>0.29213579358041603</v>
      </c>
    </row>
    <row r="6212" spans="1:3" s="7" customFormat="1" x14ac:dyDescent="0.2">
      <c r="A6212" s="6" t="str">
        <f>"KCTD19"</f>
        <v>KCTD19</v>
      </c>
      <c r="B6212" s="6">
        <v>0.10889110889110799</v>
      </c>
      <c r="C6212" s="6">
        <v>0.29213579358041603</v>
      </c>
    </row>
    <row r="6213" spans="1:3" s="7" customFormat="1" x14ac:dyDescent="0.2">
      <c r="A6213" s="6" t="str">
        <f>"ITGB1P1"</f>
        <v>ITGB1P1</v>
      </c>
      <c r="B6213" s="6">
        <v>0.10889110889110799</v>
      </c>
      <c r="C6213" s="6">
        <v>0.29213579358041603</v>
      </c>
    </row>
    <row r="6214" spans="1:3" s="7" customFormat="1" x14ac:dyDescent="0.2">
      <c r="A6214" s="6" t="str">
        <f>"ABCA3"</f>
        <v>ABCA3</v>
      </c>
      <c r="B6214" s="6">
        <v>0.10889110889110799</v>
      </c>
      <c r="C6214" s="6">
        <v>0.29213579358041603</v>
      </c>
    </row>
    <row r="6215" spans="1:3" s="7" customFormat="1" x14ac:dyDescent="0.2">
      <c r="A6215" s="6" t="str">
        <f>"VWC2L"</f>
        <v>VWC2L</v>
      </c>
      <c r="B6215" s="6">
        <v>0.10889110889110799</v>
      </c>
      <c r="C6215" s="6">
        <v>0.29213579358041603</v>
      </c>
    </row>
    <row r="6216" spans="1:3" s="7" customFormat="1" x14ac:dyDescent="0.2">
      <c r="A6216" s="6" t="str">
        <f>"AL049828.1"</f>
        <v>AL049828.1</v>
      </c>
      <c r="B6216" s="6">
        <v>0.10889110889110799</v>
      </c>
      <c r="C6216" s="6">
        <v>0.29213579358041603</v>
      </c>
    </row>
    <row r="6217" spans="1:3" s="7" customFormat="1" x14ac:dyDescent="0.2">
      <c r="A6217" s="6" t="str">
        <f>"SEPSECS"</f>
        <v>SEPSECS</v>
      </c>
      <c r="B6217" s="6">
        <v>0.10889110889110799</v>
      </c>
      <c r="C6217" s="6">
        <v>0.29213579358041603</v>
      </c>
    </row>
    <row r="6218" spans="1:3" s="7" customFormat="1" x14ac:dyDescent="0.2">
      <c r="A6218" s="6" t="str">
        <f>"AC135279.3"</f>
        <v>AC135279.3</v>
      </c>
      <c r="B6218" s="6">
        <v>0.10889110889110799</v>
      </c>
      <c r="C6218" s="6">
        <v>0.29213579358041603</v>
      </c>
    </row>
    <row r="6219" spans="1:3" s="7" customFormat="1" x14ac:dyDescent="0.2">
      <c r="A6219" s="6" t="str">
        <f>"PDHX"</f>
        <v>PDHX</v>
      </c>
      <c r="B6219" s="6">
        <v>0.10889110889110799</v>
      </c>
      <c r="C6219" s="6">
        <v>0.29213579358041603</v>
      </c>
    </row>
    <row r="6220" spans="1:3" s="7" customFormat="1" x14ac:dyDescent="0.2">
      <c r="A6220" s="6" t="str">
        <f>"Z99572.1"</f>
        <v>Z99572.1</v>
      </c>
      <c r="B6220" s="6">
        <v>0.10889110889110799</v>
      </c>
      <c r="C6220" s="6">
        <v>0.29213579358041603</v>
      </c>
    </row>
    <row r="6221" spans="1:3" s="7" customFormat="1" x14ac:dyDescent="0.2">
      <c r="A6221" s="6" t="str">
        <f>"PAQR4"</f>
        <v>PAQR4</v>
      </c>
      <c r="B6221" s="6">
        <v>0.10889110889110799</v>
      </c>
      <c r="C6221" s="6">
        <v>0.29213579358041603</v>
      </c>
    </row>
    <row r="6222" spans="1:3" s="7" customFormat="1" x14ac:dyDescent="0.2">
      <c r="A6222" s="6" t="str">
        <f>"EHMT2"</f>
        <v>EHMT2</v>
      </c>
      <c r="B6222" s="6">
        <v>0.10889110889110799</v>
      </c>
      <c r="C6222" s="6">
        <v>0.29213579358041603</v>
      </c>
    </row>
    <row r="6223" spans="1:3" s="7" customFormat="1" x14ac:dyDescent="0.2">
      <c r="A6223" s="6" t="str">
        <f>"UQCC1"</f>
        <v>UQCC1</v>
      </c>
      <c r="B6223" s="6">
        <v>0.10889110889110799</v>
      </c>
      <c r="C6223" s="6">
        <v>0.29213579358041603</v>
      </c>
    </row>
    <row r="6224" spans="1:3" s="7" customFormat="1" x14ac:dyDescent="0.2">
      <c r="A6224" s="6" t="str">
        <f>"BMS1P4"</f>
        <v>BMS1P4</v>
      </c>
      <c r="B6224" s="6">
        <v>0.10889110889110799</v>
      </c>
      <c r="C6224" s="6">
        <v>0.29213579358041603</v>
      </c>
    </row>
    <row r="6225" spans="1:3" s="7" customFormat="1" x14ac:dyDescent="0.2">
      <c r="A6225" s="6" t="str">
        <f>"CU639417.5"</f>
        <v>CU639417.5</v>
      </c>
      <c r="B6225" s="6">
        <v>0.10889110889110799</v>
      </c>
      <c r="C6225" s="6">
        <v>0.29213579358041603</v>
      </c>
    </row>
    <row r="6226" spans="1:3" s="7" customFormat="1" x14ac:dyDescent="0.2">
      <c r="A6226" s="6" t="str">
        <f>"ANKRD18CP"</f>
        <v>ANKRD18CP</v>
      </c>
      <c r="B6226" s="6">
        <v>0.10889110889110799</v>
      </c>
      <c r="C6226" s="6">
        <v>0.29213579358041603</v>
      </c>
    </row>
    <row r="6227" spans="1:3" s="7" customFormat="1" x14ac:dyDescent="0.2">
      <c r="A6227" s="6" t="str">
        <f>"GCN1"</f>
        <v>GCN1</v>
      </c>
      <c r="B6227" s="6">
        <v>0.10889110889110799</v>
      </c>
      <c r="C6227" s="6">
        <v>0.29213579358041603</v>
      </c>
    </row>
    <row r="6228" spans="1:3" s="7" customFormat="1" x14ac:dyDescent="0.2">
      <c r="A6228" s="6" t="str">
        <f>"PRDX6"</f>
        <v>PRDX6</v>
      </c>
      <c r="B6228" s="6">
        <v>0.10889110889110799</v>
      </c>
      <c r="C6228" s="6">
        <v>0.29213579358041603</v>
      </c>
    </row>
    <row r="6229" spans="1:3" s="7" customFormat="1" x14ac:dyDescent="0.2">
      <c r="A6229" s="6" t="str">
        <f>"AK1"</f>
        <v>AK1</v>
      </c>
      <c r="B6229" s="6">
        <v>0.10889110889110799</v>
      </c>
      <c r="C6229" s="6">
        <v>0.29213579358041603</v>
      </c>
    </row>
    <row r="6230" spans="1:3" s="7" customFormat="1" x14ac:dyDescent="0.2">
      <c r="A6230" s="6" t="str">
        <f>"WDR93"</f>
        <v>WDR93</v>
      </c>
      <c r="B6230" s="6">
        <v>0.10889110889110799</v>
      </c>
      <c r="C6230" s="6">
        <v>0.29213579358041603</v>
      </c>
    </row>
    <row r="6231" spans="1:3" s="7" customFormat="1" x14ac:dyDescent="0.2">
      <c r="A6231" s="6" t="str">
        <f>"GTDC1"</f>
        <v>GTDC1</v>
      </c>
      <c r="B6231" s="6">
        <v>0.10889110889110799</v>
      </c>
      <c r="C6231" s="6">
        <v>0.29213579358041603</v>
      </c>
    </row>
    <row r="6232" spans="1:3" s="7" customFormat="1" x14ac:dyDescent="0.2">
      <c r="A6232" s="6" t="str">
        <f>"AC079209.1"</f>
        <v>AC079209.1</v>
      </c>
      <c r="B6232" s="6">
        <v>0.109</v>
      </c>
      <c r="C6232" s="6">
        <v>0.29214656831302099</v>
      </c>
    </row>
    <row r="6233" spans="1:3" s="7" customFormat="1" x14ac:dyDescent="0.2">
      <c r="A6233" s="6" t="str">
        <f>"PMS2P10"</f>
        <v>PMS2P10</v>
      </c>
      <c r="B6233" s="6">
        <v>0.109</v>
      </c>
      <c r="C6233" s="6">
        <v>0.29214656831302099</v>
      </c>
    </row>
    <row r="6234" spans="1:3" s="7" customFormat="1" x14ac:dyDescent="0.2">
      <c r="A6234" s="6" t="str">
        <f>"GNA15"</f>
        <v>GNA15</v>
      </c>
      <c r="B6234" s="6">
        <v>0.109</v>
      </c>
      <c r="C6234" s="6">
        <v>0.29214656831302099</v>
      </c>
    </row>
    <row r="6235" spans="1:3" s="7" customFormat="1" x14ac:dyDescent="0.2">
      <c r="A6235" s="6" t="str">
        <f>"AL583722.1"</f>
        <v>AL583722.1</v>
      </c>
      <c r="B6235" s="6">
        <v>0.108961303462321</v>
      </c>
      <c r="C6235" s="6">
        <v>0.29214656831302099</v>
      </c>
    </row>
    <row r="6236" spans="1:3" s="7" customFormat="1" x14ac:dyDescent="0.2">
      <c r="A6236" s="6" t="str">
        <f>"LINC02618"</f>
        <v>LINC02618</v>
      </c>
      <c r="B6236" s="6">
        <v>0.109</v>
      </c>
      <c r="C6236" s="6">
        <v>0.29214656831302099</v>
      </c>
    </row>
    <row r="6237" spans="1:3" s="7" customFormat="1" x14ac:dyDescent="0.2">
      <c r="A6237" s="6" t="str">
        <f>"AC147067.1"</f>
        <v>AC147067.1</v>
      </c>
      <c r="B6237" s="6">
        <v>0.109</v>
      </c>
      <c r="C6237" s="6">
        <v>0.29214656831302099</v>
      </c>
    </row>
    <row r="6238" spans="1:3" s="7" customFormat="1" x14ac:dyDescent="0.2">
      <c r="A6238" s="6" t="str">
        <f>"STK38"</f>
        <v>STK38</v>
      </c>
      <c r="B6238" s="6">
        <v>0.109109109109109</v>
      </c>
      <c r="C6238" s="6">
        <v>0.29239211955261302</v>
      </c>
    </row>
    <row r="6239" spans="1:3" s="7" customFormat="1" x14ac:dyDescent="0.2">
      <c r="A6239" s="6" t="str">
        <f>"ARFIP1"</f>
        <v>ARFIP1</v>
      </c>
      <c r="B6239" s="6">
        <v>0.109890109890109</v>
      </c>
      <c r="C6239" s="6">
        <v>0.29330937347545399</v>
      </c>
    </row>
    <row r="6240" spans="1:3" s="7" customFormat="1" x14ac:dyDescent="0.2">
      <c r="A6240" s="6" t="str">
        <f>"POMT1"</f>
        <v>POMT1</v>
      </c>
      <c r="B6240" s="6">
        <v>0.109890109890109</v>
      </c>
      <c r="C6240" s="6">
        <v>0.29330937347545399</v>
      </c>
    </row>
    <row r="6241" spans="1:3" s="7" customFormat="1" x14ac:dyDescent="0.2">
      <c r="A6241" s="6" t="str">
        <f>"CSRNP2"</f>
        <v>CSRNP2</v>
      </c>
      <c r="B6241" s="6">
        <v>0.109890109890109</v>
      </c>
      <c r="C6241" s="6">
        <v>0.29330937347545399</v>
      </c>
    </row>
    <row r="6242" spans="1:3" s="7" customFormat="1" x14ac:dyDescent="0.2">
      <c r="A6242" s="6" t="str">
        <f>"TICAM1"</f>
        <v>TICAM1</v>
      </c>
      <c r="B6242" s="6">
        <v>0.109890109890109</v>
      </c>
      <c r="C6242" s="6">
        <v>0.29330937347545399</v>
      </c>
    </row>
    <row r="6243" spans="1:3" s="7" customFormat="1" x14ac:dyDescent="0.2">
      <c r="A6243" s="6" t="str">
        <f>"PCDHA5"</f>
        <v>PCDHA5</v>
      </c>
      <c r="B6243" s="6">
        <v>0.109890109890109</v>
      </c>
      <c r="C6243" s="6">
        <v>0.29330937347545399</v>
      </c>
    </row>
    <row r="6244" spans="1:3" s="7" customFormat="1" x14ac:dyDescent="0.2">
      <c r="A6244" s="6" t="str">
        <f>"MIDEAS"</f>
        <v>MIDEAS</v>
      </c>
      <c r="B6244" s="6">
        <v>0.109890109890109</v>
      </c>
      <c r="C6244" s="6">
        <v>0.29330937347545399</v>
      </c>
    </row>
    <row r="6245" spans="1:3" s="7" customFormat="1" x14ac:dyDescent="0.2">
      <c r="A6245" s="6" t="str">
        <f>"ZBED6CL"</f>
        <v>ZBED6CL</v>
      </c>
      <c r="B6245" s="6">
        <v>0.109890109890109</v>
      </c>
      <c r="C6245" s="6">
        <v>0.29330937347545399</v>
      </c>
    </row>
    <row r="6246" spans="1:3" s="7" customFormat="1" x14ac:dyDescent="0.2">
      <c r="A6246" s="6" t="str">
        <f>"MVK"</f>
        <v>MVK</v>
      </c>
      <c r="B6246" s="6">
        <v>0.109890109890109</v>
      </c>
      <c r="C6246" s="6">
        <v>0.29330937347545399</v>
      </c>
    </row>
    <row r="6247" spans="1:3" s="7" customFormat="1" x14ac:dyDescent="0.2">
      <c r="A6247" s="6" t="str">
        <f>"CACHD1"</f>
        <v>CACHD1</v>
      </c>
      <c r="B6247" s="6">
        <v>0.109890109890109</v>
      </c>
      <c r="C6247" s="6">
        <v>0.29330937347545399</v>
      </c>
    </row>
    <row r="6248" spans="1:3" s="7" customFormat="1" x14ac:dyDescent="0.2">
      <c r="A6248" s="6" t="str">
        <f>"HDAC10"</f>
        <v>HDAC10</v>
      </c>
      <c r="B6248" s="6">
        <v>0.109890109890109</v>
      </c>
      <c r="C6248" s="6">
        <v>0.29330937347545399</v>
      </c>
    </row>
    <row r="6249" spans="1:3" s="7" customFormat="1" x14ac:dyDescent="0.2">
      <c r="A6249" s="6" t="str">
        <f>"GAS6"</f>
        <v>GAS6</v>
      </c>
      <c r="B6249" s="6">
        <v>0.109890109890109</v>
      </c>
      <c r="C6249" s="6">
        <v>0.29330937347545399</v>
      </c>
    </row>
    <row r="6250" spans="1:3" s="7" customFormat="1" x14ac:dyDescent="0.2">
      <c r="A6250" s="6" t="str">
        <f>"TMPO"</f>
        <v>TMPO</v>
      </c>
      <c r="B6250" s="6">
        <v>0.109890109890109</v>
      </c>
      <c r="C6250" s="6">
        <v>0.29330937347545399</v>
      </c>
    </row>
    <row r="6251" spans="1:3" s="7" customFormat="1" x14ac:dyDescent="0.2">
      <c r="A6251" s="6" t="str">
        <f>"CFAP20DC"</f>
        <v>CFAP20DC</v>
      </c>
      <c r="B6251" s="6">
        <v>0.109890109890109</v>
      </c>
      <c r="C6251" s="6">
        <v>0.29330937347545399</v>
      </c>
    </row>
    <row r="6252" spans="1:3" s="7" customFormat="1" x14ac:dyDescent="0.2">
      <c r="A6252" s="6" t="str">
        <f>"COQ8A"</f>
        <v>COQ8A</v>
      </c>
      <c r="B6252" s="6">
        <v>0.109890109890109</v>
      </c>
      <c r="C6252" s="6">
        <v>0.29330937347545399</v>
      </c>
    </row>
    <row r="6253" spans="1:3" s="7" customFormat="1" x14ac:dyDescent="0.2">
      <c r="A6253" s="6" t="str">
        <f>"XPC-AS1"</f>
        <v>XPC-AS1</v>
      </c>
      <c r="B6253" s="6">
        <v>0.109890109890109</v>
      </c>
      <c r="C6253" s="6">
        <v>0.29330937347545399</v>
      </c>
    </row>
    <row r="6254" spans="1:3" s="7" customFormat="1" x14ac:dyDescent="0.2">
      <c r="A6254" s="6" t="str">
        <f>"ZNF534"</f>
        <v>ZNF534</v>
      </c>
      <c r="B6254" s="6">
        <v>0.109890109890109</v>
      </c>
      <c r="C6254" s="6">
        <v>0.29330937347545399</v>
      </c>
    </row>
    <row r="6255" spans="1:3" s="7" customFormat="1" x14ac:dyDescent="0.2">
      <c r="A6255" s="6" t="str">
        <f>"RTN4R"</f>
        <v>RTN4R</v>
      </c>
      <c r="B6255" s="6">
        <v>0.109890109890109</v>
      </c>
      <c r="C6255" s="6">
        <v>0.29330937347545399</v>
      </c>
    </row>
    <row r="6256" spans="1:3" s="7" customFormat="1" x14ac:dyDescent="0.2">
      <c r="A6256" s="6" t="str">
        <f>"Z83745.1"</f>
        <v>Z83745.1</v>
      </c>
      <c r="B6256" s="6">
        <v>0.109890109890109</v>
      </c>
      <c r="C6256" s="6">
        <v>0.29330937347545399</v>
      </c>
    </row>
    <row r="6257" spans="1:3" s="7" customFormat="1" x14ac:dyDescent="0.2">
      <c r="A6257" s="6" t="str">
        <f>"NKIRAS2"</f>
        <v>NKIRAS2</v>
      </c>
      <c r="B6257" s="6">
        <v>0.109890109890109</v>
      </c>
      <c r="C6257" s="6">
        <v>0.29330937347545399</v>
      </c>
    </row>
    <row r="6258" spans="1:3" s="7" customFormat="1" x14ac:dyDescent="0.2">
      <c r="A6258" s="6" t="str">
        <f>"COLQ"</f>
        <v>COLQ</v>
      </c>
      <c r="B6258" s="6">
        <v>0.109890109890109</v>
      </c>
      <c r="C6258" s="6">
        <v>0.29330937347545399</v>
      </c>
    </row>
    <row r="6259" spans="1:3" s="7" customFormat="1" x14ac:dyDescent="0.2">
      <c r="A6259" s="6" t="str">
        <f>"DNAAF1"</f>
        <v>DNAAF1</v>
      </c>
      <c r="B6259" s="6">
        <v>0.109890109890109</v>
      </c>
      <c r="C6259" s="6">
        <v>0.29330937347545399</v>
      </c>
    </row>
    <row r="6260" spans="1:3" s="7" customFormat="1" x14ac:dyDescent="0.2">
      <c r="A6260" s="6" t="str">
        <f>"DNAAF6"</f>
        <v>DNAAF6</v>
      </c>
      <c r="B6260" s="6">
        <v>0.109890109890109</v>
      </c>
      <c r="C6260" s="6">
        <v>0.29330937347545399</v>
      </c>
    </row>
    <row r="6261" spans="1:3" s="7" customFormat="1" x14ac:dyDescent="0.2">
      <c r="A6261" s="6" t="str">
        <f>"TMEM70"</f>
        <v>TMEM70</v>
      </c>
      <c r="B6261" s="6">
        <v>0.109890109890109</v>
      </c>
      <c r="C6261" s="6">
        <v>0.29330937347545399</v>
      </c>
    </row>
    <row r="6262" spans="1:3" s="7" customFormat="1" x14ac:dyDescent="0.2">
      <c r="A6262" s="6" t="str">
        <f>"ID2"</f>
        <v>ID2</v>
      </c>
      <c r="B6262" s="6">
        <v>0.109890109890109</v>
      </c>
      <c r="C6262" s="6">
        <v>0.29330937347545399</v>
      </c>
    </row>
    <row r="6263" spans="1:3" s="7" customFormat="1" x14ac:dyDescent="0.2">
      <c r="A6263" s="6" t="str">
        <f>"TUBA1B"</f>
        <v>TUBA1B</v>
      </c>
      <c r="B6263" s="6">
        <v>0.109890109890109</v>
      </c>
      <c r="C6263" s="6">
        <v>0.29330937347545399</v>
      </c>
    </row>
    <row r="6264" spans="1:3" s="7" customFormat="1" x14ac:dyDescent="0.2">
      <c r="A6264" s="6" t="str">
        <f>"AC000085.1"</f>
        <v>AC000085.1</v>
      </c>
      <c r="B6264" s="6">
        <v>0.10993657505285399</v>
      </c>
      <c r="C6264" s="6">
        <v>0.29338654246102502</v>
      </c>
    </row>
    <row r="6265" spans="1:3" s="7" customFormat="1" x14ac:dyDescent="0.2">
      <c r="A6265" s="6" t="str">
        <f>"FUOM"</f>
        <v>FUOM</v>
      </c>
      <c r="B6265" s="6">
        <v>0.11</v>
      </c>
      <c r="C6265" s="6">
        <v>0.29350893997445698</v>
      </c>
    </row>
    <row r="6266" spans="1:3" s="7" customFormat="1" x14ac:dyDescent="0.2">
      <c r="A6266" s="6" t="str">
        <f>"FOXI3"</f>
        <v>FOXI3</v>
      </c>
      <c r="B6266" s="6">
        <v>0.11010101010101001</v>
      </c>
      <c r="C6266" s="6">
        <v>0.29373156948575901</v>
      </c>
    </row>
    <row r="6267" spans="1:3" s="7" customFormat="1" x14ac:dyDescent="0.2">
      <c r="A6267" s="6" t="str">
        <f>"AL138824.1"</f>
        <v>AL138824.1</v>
      </c>
      <c r="B6267" s="6">
        <v>0.110220440881763</v>
      </c>
      <c r="C6267" s="6">
        <v>0.294003263469166</v>
      </c>
    </row>
    <row r="6268" spans="1:3" s="7" customFormat="1" x14ac:dyDescent="0.2">
      <c r="A6268" s="6" t="str">
        <f>"AC136475.9"</f>
        <v>AC136475.9</v>
      </c>
      <c r="B6268" s="6">
        <v>0.11088911088911001</v>
      </c>
      <c r="C6268" s="6">
        <v>0.29447101992383201</v>
      </c>
    </row>
    <row r="6269" spans="1:3" s="7" customFormat="1" x14ac:dyDescent="0.2">
      <c r="A6269" s="6" t="str">
        <f>"TRAPPC12"</f>
        <v>TRAPPC12</v>
      </c>
      <c r="B6269" s="6">
        <v>0.11088911088911001</v>
      </c>
      <c r="C6269" s="6">
        <v>0.29447101992383201</v>
      </c>
    </row>
    <row r="6270" spans="1:3" s="7" customFormat="1" x14ac:dyDescent="0.2">
      <c r="A6270" s="6" t="str">
        <f>"AC134407.2"</f>
        <v>AC134407.2</v>
      </c>
      <c r="B6270" s="6">
        <v>0.11088911088911001</v>
      </c>
      <c r="C6270" s="6">
        <v>0.29447101992383201</v>
      </c>
    </row>
    <row r="6271" spans="1:3" s="7" customFormat="1" x14ac:dyDescent="0.2">
      <c r="A6271" s="6" t="str">
        <f>"CTAGE4"</f>
        <v>CTAGE4</v>
      </c>
      <c r="B6271" s="6">
        <v>0.11088911088911001</v>
      </c>
      <c r="C6271" s="6">
        <v>0.29447101992383201</v>
      </c>
    </row>
    <row r="6272" spans="1:3" s="7" customFormat="1" x14ac:dyDescent="0.2">
      <c r="A6272" s="6" t="str">
        <f>"RMDN2"</f>
        <v>RMDN2</v>
      </c>
      <c r="B6272" s="6">
        <v>0.11088911088911001</v>
      </c>
      <c r="C6272" s="6">
        <v>0.29447101992383201</v>
      </c>
    </row>
    <row r="6273" spans="1:3" s="7" customFormat="1" x14ac:dyDescent="0.2">
      <c r="A6273" s="6" t="str">
        <f>"AP002026.1"</f>
        <v>AP002026.1</v>
      </c>
      <c r="B6273" s="6">
        <v>0.11088911088911001</v>
      </c>
      <c r="C6273" s="6">
        <v>0.29447101992383201</v>
      </c>
    </row>
    <row r="6274" spans="1:3" s="7" customFormat="1" x14ac:dyDescent="0.2">
      <c r="A6274" s="6" t="str">
        <f>"ANKRA2"</f>
        <v>ANKRA2</v>
      </c>
      <c r="B6274" s="6">
        <v>0.11088911088911001</v>
      </c>
      <c r="C6274" s="6">
        <v>0.29447101992383201</v>
      </c>
    </row>
    <row r="6275" spans="1:3" s="7" customFormat="1" x14ac:dyDescent="0.2">
      <c r="A6275" s="6" t="str">
        <f>"AC073389.2"</f>
        <v>AC073389.2</v>
      </c>
      <c r="B6275" s="6">
        <v>0.11088911088911001</v>
      </c>
      <c r="C6275" s="6">
        <v>0.29447101992383201</v>
      </c>
    </row>
    <row r="6276" spans="1:3" s="7" customFormat="1" x14ac:dyDescent="0.2">
      <c r="A6276" s="6" t="str">
        <f>"PMS2P3"</f>
        <v>PMS2P3</v>
      </c>
      <c r="B6276" s="6">
        <v>0.11088911088911001</v>
      </c>
      <c r="C6276" s="6">
        <v>0.29447101992383201</v>
      </c>
    </row>
    <row r="6277" spans="1:3" s="7" customFormat="1" x14ac:dyDescent="0.2">
      <c r="A6277" s="6" t="str">
        <f>"GTPBP2"</f>
        <v>GTPBP2</v>
      </c>
      <c r="B6277" s="6">
        <v>0.11088911088911001</v>
      </c>
      <c r="C6277" s="6">
        <v>0.29447101992383201</v>
      </c>
    </row>
    <row r="6278" spans="1:3" s="7" customFormat="1" x14ac:dyDescent="0.2">
      <c r="A6278" s="6" t="str">
        <f>"TMEM245"</f>
        <v>TMEM245</v>
      </c>
      <c r="B6278" s="6">
        <v>0.11088911088911001</v>
      </c>
      <c r="C6278" s="6">
        <v>0.29447101992383201</v>
      </c>
    </row>
    <row r="6279" spans="1:3" s="7" customFormat="1" x14ac:dyDescent="0.2">
      <c r="A6279" s="6" t="str">
        <f>"AP003498.2"</f>
        <v>AP003498.2</v>
      </c>
      <c r="B6279" s="6">
        <v>0.11088911088911001</v>
      </c>
      <c r="C6279" s="6">
        <v>0.29447101992383201</v>
      </c>
    </row>
    <row r="6280" spans="1:3" s="7" customFormat="1" x14ac:dyDescent="0.2">
      <c r="A6280" s="6" t="str">
        <f>"AL606834.2"</f>
        <v>AL606834.2</v>
      </c>
      <c r="B6280" s="6">
        <v>0.110775427995971</v>
      </c>
      <c r="C6280" s="6">
        <v>0.29447101992383201</v>
      </c>
    </row>
    <row r="6281" spans="1:3" s="7" customFormat="1" x14ac:dyDescent="0.2">
      <c r="A6281" s="6" t="str">
        <f>"AF196972.1"</f>
        <v>AF196972.1</v>
      </c>
      <c r="B6281" s="6">
        <v>0.11088911088911001</v>
      </c>
      <c r="C6281" s="6">
        <v>0.29447101992383201</v>
      </c>
    </row>
    <row r="6282" spans="1:3" s="7" customFormat="1" x14ac:dyDescent="0.2">
      <c r="A6282" s="6" t="str">
        <f>"ANKRD11"</f>
        <v>ANKRD11</v>
      </c>
      <c r="B6282" s="6">
        <v>0.11088911088911001</v>
      </c>
      <c r="C6282" s="6">
        <v>0.29447101992383201</v>
      </c>
    </row>
    <row r="6283" spans="1:3" s="7" customFormat="1" x14ac:dyDescent="0.2">
      <c r="A6283" s="6" t="str">
        <f>"RNPEPL1"</f>
        <v>RNPEPL1</v>
      </c>
      <c r="B6283" s="6">
        <v>0.11088911088911001</v>
      </c>
      <c r="C6283" s="6">
        <v>0.29447101992383201</v>
      </c>
    </row>
    <row r="6284" spans="1:3" s="7" customFormat="1" x14ac:dyDescent="0.2">
      <c r="A6284" s="6" t="str">
        <f>"ELN-AS1"</f>
        <v>ELN-AS1</v>
      </c>
      <c r="B6284" s="6">
        <v>0.11088911088911001</v>
      </c>
      <c r="C6284" s="6">
        <v>0.29447101992383201</v>
      </c>
    </row>
    <row r="6285" spans="1:3" s="7" customFormat="1" x14ac:dyDescent="0.2">
      <c r="A6285" s="6" t="str">
        <f>"AC116366.2"</f>
        <v>AC116366.2</v>
      </c>
      <c r="B6285" s="6">
        <v>0.11088911088911001</v>
      </c>
      <c r="C6285" s="6">
        <v>0.29447101992383201</v>
      </c>
    </row>
    <row r="6286" spans="1:3" s="7" customFormat="1" x14ac:dyDescent="0.2">
      <c r="A6286" s="6" t="str">
        <f>"HEXB"</f>
        <v>HEXB</v>
      </c>
      <c r="B6286" s="6">
        <v>0.11088911088911001</v>
      </c>
      <c r="C6286" s="6">
        <v>0.29447101992383201</v>
      </c>
    </row>
    <row r="6287" spans="1:3" s="7" customFormat="1" x14ac:dyDescent="0.2">
      <c r="A6287" s="6" t="str">
        <f>"PAM"</f>
        <v>PAM</v>
      </c>
      <c r="B6287" s="6">
        <v>0.11088911088911001</v>
      </c>
      <c r="C6287" s="6">
        <v>0.29447101992383201</v>
      </c>
    </row>
    <row r="6288" spans="1:3" s="7" customFormat="1" x14ac:dyDescent="0.2">
      <c r="A6288" s="6" t="str">
        <f>"ANKK1"</f>
        <v>ANKK1</v>
      </c>
      <c r="B6288" s="6">
        <v>0.11088911088911001</v>
      </c>
      <c r="C6288" s="6">
        <v>0.29447101992383201</v>
      </c>
    </row>
    <row r="6289" spans="1:3" s="7" customFormat="1" x14ac:dyDescent="0.2">
      <c r="A6289" s="6" t="str">
        <f>"PALB2"</f>
        <v>PALB2</v>
      </c>
      <c r="B6289" s="6">
        <v>0.11088911088911001</v>
      </c>
      <c r="C6289" s="6">
        <v>0.29447101992383201</v>
      </c>
    </row>
    <row r="6290" spans="1:3" s="7" customFormat="1" x14ac:dyDescent="0.2">
      <c r="A6290" s="6" t="str">
        <f>"PAPOLG"</f>
        <v>PAPOLG</v>
      </c>
      <c r="B6290" s="6">
        <v>0.11088911088911001</v>
      </c>
      <c r="C6290" s="6">
        <v>0.29447101992383201</v>
      </c>
    </row>
    <row r="6291" spans="1:3" s="7" customFormat="1" x14ac:dyDescent="0.2">
      <c r="A6291" s="6" t="str">
        <f>"PSMC6"</f>
        <v>PSMC6</v>
      </c>
      <c r="B6291" s="6">
        <v>0.11088911088911001</v>
      </c>
      <c r="C6291" s="6">
        <v>0.29447101992383201</v>
      </c>
    </row>
    <row r="6292" spans="1:3" s="7" customFormat="1" x14ac:dyDescent="0.2">
      <c r="A6292" s="6" t="str">
        <f>"FAM78A"</f>
        <v>FAM78A</v>
      </c>
      <c r="B6292" s="6">
        <v>0.11088911088911001</v>
      </c>
      <c r="C6292" s="6">
        <v>0.29447101992383201</v>
      </c>
    </row>
    <row r="6293" spans="1:3" s="7" customFormat="1" x14ac:dyDescent="0.2">
      <c r="A6293" s="6" t="str">
        <f>"NOC4L"</f>
        <v>NOC4L</v>
      </c>
      <c r="B6293" s="6">
        <v>0.11088911088911001</v>
      </c>
      <c r="C6293" s="6">
        <v>0.29447101992383201</v>
      </c>
    </row>
    <row r="6294" spans="1:3" s="7" customFormat="1" x14ac:dyDescent="0.2">
      <c r="A6294" s="6" t="str">
        <f>"E2F4"</f>
        <v>E2F4</v>
      </c>
      <c r="B6294" s="6">
        <v>0.11088911088911001</v>
      </c>
      <c r="C6294" s="6">
        <v>0.29447101992383201</v>
      </c>
    </row>
    <row r="6295" spans="1:3" s="7" customFormat="1" x14ac:dyDescent="0.2">
      <c r="A6295" s="6" t="str">
        <f>"GIPC1"</f>
        <v>GIPC1</v>
      </c>
      <c r="B6295" s="6">
        <v>0.11088911088911001</v>
      </c>
      <c r="C6295" s="6">
        <v>0.29447101992383201</v>
      </c>
    </row>
    <row r="6296" spans="1:3" s="7" customFormat="1" x14ac:dyDescent="0.2">
      <c r="A6296" s="6" t="str">
        <f>"AC016590.2"</f>
        <v>AC016590.2</v>
      </c>
      <c r="B6296" s="6">
        <v>0.111</v>
      </c>
      <c r="C6296" s="6">
        <v>0.294718665607625</v>
      </c>
    </row>
    <row r="6297" spans="1:3" s="7" customFormat="1" x14ac:dyDescent="0.2">
      <c r="A6297" s="6" t="str">
        <f>"AL359551.1"</f>
        <v>AL359551.1</v>
      </c>
      <c r="B6297" s="6">
        <v>0.11111111111111099</v>
      </c>
      <c r="C6297" s="6">
        <v>0.29496682196809199</v>
      </c>
    </row>
    <row r="6298" spans="1:3" s="7" customFormat="1" x14ac:dyDescent="0.2">
      <c r="A6298" s="6" t="str">
        <f>"SERPINB1"</f>
        <v>SERPINB1</v>
      </c>
      <c r="B6298" s="6">
        <v>0.111888111888111</v>
      </c>
      <c r="C6298" s="6">
        <v>0.29557419031103199</v>
      </c>
    </row>
    <row r="6299" spans="1:3" s="7" customFormat="1" x14ac:dyDescent="0.2">
      <c r="A6299" s="6" t="str">
        <f>"CDC23"</f>
        <v>CDC23</v>
      </c>
      <c r="B6299" s="6">
        <v>0.111888111888111</v>
      </c>
      <c r="C6299" s="6">
        <v>0.29557419031103199</v>
      </c>
    </row>
    <row r="6300" spans="1:3" s="7" customFormat="1" x14ac:dyDescent="0.2">
      <c r="A6300" s="6" t="str">
        <f>"IGLV3-19"</f>
        <v>IGLV3-19</v>
      </c>
      <c r="B6300" s="6">
        <v>0.111888111888111</v>
      </c>
      <c r="C6300" s="6">
        <v>0.29557419031103199</v>
      </c>
    </row>
    <row r="6301" spans="1:3" s="7" customFormat="1" x14ac:dyDescent="0.2">
      <c r="A6301" s="6" t="str">
        <f>"SEMA6C"</f>
        <v>SEMA6C</v>
      </c>
      <c r="B6301" s="6">
        <v>0.111888111888111</v>
      </c>
      <c r="C6301" s="6">
        <v>0.29557419031103199</v>
      </c>
    </row>
    <row r="6302" spans="1:3" s="7" customFormat="1" x14ac:dyDescent="0.2">
      <c r="A6302" s="6" t="str">
        <f>"TRAPPC2L"</f>
        <v>TRAPPC2L</v>
      </c>
      <c r="B6302" s="6">
        <v>0.111888111888111</v>
      </c>
      <c r="C6302" s="6">
        <v>0.29557419031103199</v>
      </c>
    </row>
    <row r="6303" spans="1:3" s="7" customFormat="1" x14ac:dyDescent="0.2">
      <c r="A6303" s="6" t="str">
        <f>"AJAP1"</f>
        <v>AJAP1</v>
      </c>
      <c r="B6303" s="6">
        <v>0.111888111888111</v>
      </c>
      <c r="C6303" s="6">
        <v>0.29557419031103199</v>
      </c>
    </row>
    <row r="6304" spans="1:3" s="7" customFormat="1" x14ac:dyDescent="0.2">
      <c r="A6304" s="6" t="str">
        <f>"AC005695.1"</f>
        <v>AC005695.1</v>
      </c>
      <c r="B6304" s="6">
        <v>0.111888111888111</v>
      </c>
      <c r="C6304" s="6">
        <v>0.29557419031103199</v>
      </c>
    </row>
    <row r="6305" spans="1:3" s="7" customFormat="1" x14ac:dyDescent="0.2">
      <c r="A6305" s="6" t="str">
        <f>"SLC66A1"</f>
        <v>SLC66A1</v>
      </c>
      <c r="B6305" s="6">
        <v>0.111888111888111</v>
      </c>
      <c r="C6305" s="6">
        <v>0.29557419031103199</v>
      </c>
    </row>
    <row r="6306" spans="1:3" s="7" customFormat="1" x14ac:dyDescent="0.2">
      <c r="A6306" s="6" t="str">
        <f>"PITPNB"</f>
        <v>PITPNB</v>
      </c>
      <c r="B6306" s="6">
        <v>0.111888111888111</v>
      </c>
      <c r="C6306" s="6">
        <v>0.29557419031103199</v>
      </c>
    </row>
    <row r="6307" spans="1:3" s="7" customFormat="1" x14ac:dyDescent="0.2">
      <c r="A6307" s="6" t="str">
        <f>"IL15RA"</f>
        <v>IL15RA</v>
      </c>
      <c r="B6307" s="6">
        <v>0.111888111888111</v>
      </c>
      <c r="C6307" s="6">
        <v>0.29557419031103199</v>
      </c>
    </row>
    <row r="6308" spans="1:3" s="7" customFormat="1" x14ac:dyDescent="0.2">
      <c r="A6308" s="6" t="str">
        <f>"IGHMBP2"</f>
        <v>IGHMBP2</v>
      </c>
      <c r="B6308" s="6">
        <v>0.111888111888111</v>
      </c>
      <c r="C6308" s="6">
        <v>0.29557419031103199</v>
      </c>
    </row>
    <row r="6309" spans="1:3" s="7" customFormat="1" x14ac:dyDescent="0.2">
      <c r="A6309" s="6" t="str">
        <f>"RRAGB"</f>
        <v>RRAGB</v>
      </c>
      <c r="B6309" s="6">
        <v>0.111888111888111</v>
      </c>
      <c r="C6309" s="6">
        <v>0.29557419031103199</v>
      </c>
    </row>
    <row r="6310" spans="1:3" s="7" customFormat="1" x14ac:dyDescent="0.2">
      <c r="A6310" s="6" t="str">
        <f>"GOLGA6L4"</f>
        <v>GOLGA6L4</v>
      </c>
      <c r="B6310" s="6">
        <v>0.111888111888111</v>
      </c>
      <c r="C6310" s="6">
        <v>0.29557419031103199</v>
      </c>
    </row>
    <row r="6311" spans="1:3" s="7" customFormat="1" x14ac:dyDescent="0.2">
      <c r="A6311" s="6" t="str">
        <f>"AL035425.1"</f>
        <v>AL035425.1</v>
      </c>
      <c r="B6311" s="6">
        <v>0.111888111888111</v>
      </c>
      <c r="C6311" s="6">
        <v>0.29557419031103199</v>
      </c>
    </row>
    <row r="6312" spans="1:3" s="7" customFormat="1" x14ac:dyDescent="0.2">
      <c r="A6312" s="6" t="str">
        <f>"ATOH8"</f>
        <v>ATOH8</v>
      </c>
      <c r="B6312" s="6">
        <v>0.111888111888111</v>
      </c>
      <c r="C6312" s="6">
        <v>0.29557419031103199</v>
      </c>
    </row>
    <row r="6313" spans="1:3" s="7" customFormat="1" x14ac:dyDescent="0.2">
      <c r="A6313" s="6" t="str">
        <f>"DLK2"</f>
        <v>DLK2</v>
      </c>
      <c r="B6313" s="6">
        <v>0.111888111888111</v>
      </c>
      <c r="C6313" s="6">
        <v>0.29557419031103199</v>
      </c>
    </row>
    <row r="6314" spans="1:3" s="7" customFormat="1" x14ac:dyDescent="0.2">
      <c r="A6314" s="6" t="str">
        <f>"CALR3"</f>
        <v>CALR3</v>
      </c>
      <c r="B6314" s="6">
        <v>0.111888111888111</v>
      </c>
      <c r="C6314" s="6">
        <v>0.29557419031103199</v>
      </c>
    </row>
    <row r="6315" spans="1:3" s="7" customFormat="1" x14ac:dyDescent="0.2">
      <c r="A6315" s="6" t="str">
        <f>"DMPK"</f>
        <v>DMPK</v>
      </c>
      <c r="B6315" s="6">
        <v>0.111888111888111</v>
      </c>
      <c r="C6315" s="6">
        <v>0.29557419031103199</v>
      </c>
    </row>
    <row r="6316" spans="1:3" s="7" customFormat="1" x14ac:dyDescent="0.2">
      <c r="A6316" s="6" t="str">
        <f>"AMN"</f>
        <v>AMN</v>
      </c>
      <c r="B6316" s="6">
        <v>0.111888111888111</v>
      </c>
      <c r="C6316" s="6">
        <v>0.29557419031103199</v>
      </c>
    </row>
    <row r="6317" spans="1:3" s="7" customFormat="1" x14ac:dyDescent="0.2">
      <c r="A6317" s="6" t="str">
        <f>"AP002800.1"</f>
        <v>AP002800.1</v>
      </c>
      <c r="B6317" s="6">
        <v>0.111888111888111</v>
      </c>
      <c r="C6317" s="6">
        <v>0.29557419031103199</v>
      </c>
    </row>
    <row r="6318" spans="1:3" s="7" customFormat="1" x14ac:dyDescent="0.2">
      <c r="A6318" s="6" t="str">
        <f>"DCAKD"</f>
        <v>DCAKD</v>
      </c>
      <c r="B6318" s="6">
        <v>0.111888111888111</v>
      </c>
      <c r="C6318" s="6">
        <v>0.29557419031103199</v>
      </c>
    </row>
    <row r="6319" spans="1:3" s="7" customFormat="1" x14ac:dyDescent="0.2">
      <c r="A6319" s="6" t="str">
        <f>"SGSM3"</f>
        <v>SGSM3</v>
      </c>
      <c r="B6319" s="6">
        <v>0.111888111888111</v>
      </c>
      <c r="C6319" s="6">
        <v>0.29557419031103199</v>
      </c>
    </row>
    <row r="6320" spans="1:3" s="7" customFormat="1" x14ac:dyDescent="0.2">
      <c r="A6320" s="6" t="str">
        <f>"PPIEL"</f>
        <v>PPIEL</v>
      </c>
      <c r="B6320" s="6">
        <v>0.111888111888111</v>
      </c>
      <c r="C6320" s="6">
        <v>0.29557419031103199</v>
      </c>
    </row>
    <row r="6321" spans="1:3" s="7" customFormat="1" x14ac:dyDescent="0.2">
      <c r="A6321" s="6" t="str">
        <f>"AC069366.1"</f>
        <v>AC069366.1</v>
      </c>
      <c r="B6321" s="6">
        <v>0.111888111888111</v>
      </c>
      <c r="C6321" s="6">
        <v>0.29557419031103199</v>
      </c>
    </row>
    <row r="6322" spans="1:3" s="7" customFormat="1" x14ac:dyDescent="0.2">
      <c r="A6322" s="6" t="str">
        <f>"C11orf97"</f>
        <v>C11orf97</v>
      </c>
      <c r="B6322" s="6">
        <v>0.111888111888111</v>
      </c>
      <c r="C6322" s="6">
        <v>0.29557419031103199</v>
      </c>
    </row>
    <row r="6323" spans="1:3" s="7" customFormat="1" x14ac:dyDescent="0.2">
      <c r="A6323" s="6" t="str">
        <f>"MASTL"</f>
        <v>MASTL</v>
      </c>
      <c r="B6323" s="6">
        <v>0.111888111888111</v>
      </c>
      <c r="C6323" s="6">
        <v>0.29557419031103199</v>
      </c>
    </row>
    <row r="6324" spans="1:3" s="7" customFormat="1" x14ac:dyDescent="0.2">
      <c r="A6324" s="6" t="str">
        <f>"C16orf46"</f>
        <v>C16orf46</v>
      </c>
      <c r="B6324" s="6">
        <v>0.111888111888111</v>
      </c>
      <c r="C6324" s="6">
        <v>0.29557419031103199</v>
      </c>
    </row>
    <row r="6325" spans="1:3" s="7" customFormat="1" x14ac:dyDescent="0.2">
      <c r="A6325" s="6" t="str">
        <f>"USP2"</f>
        <v>USP2</v>
      </c>
      <c r="B6325" s="6">
        <v>0.111888111888111</v>
      </c>
      <c r="C6325" s="6">
        <v>0.29557419031103199</v>
      </c>
    </row>
    <row r="6326" spans="1:3" s="7" customFormat="1" x14ac:dyDescent="0.2">
      <c r="A6326" s="6" t="str">
        <f>"OSER1-DT"</f>
        <v>OSER1-DT</v>
      </c>
      <c r="B6326" s="6">
        <v>0.111888111888111</v>
      </c>
      <c r="C6326" s="6">
        <v>0.29557419031103199</v>
      </c>
    </row>
    <row r="6327" spans="1:3" s="7" customFormat="1" x14ac:dyDescent="0.2">
      <c r="A6327" s="6" t="str">
        <f>"TCEAL3"</f>
        <v>TCEAL3</v>
      </c>
      <c r="B6327" s="6">
        <v>0.111888111888111</v>
      </c>
      <c r="C6327" s="6">
        <v>0.29557419031103199</v>
      </c>
    </row>
    <row r="6328" spans="1:3" s="7" customFormat="1" x14ac:dyDescent="0.2">
      <c r="A6328" s="6" t="str">
        <f>"E2F7"</f>
        <v>E2F7</v>
      </c>
      <c r="B6328" s="6">
        <v>0.111888111888111</v>
      </c>
      <c r="C6328" s="6">
        <v>0.29557419031103199</v>
      </c>
    </row>
    <row r="6329" spans="1:3" s="7" customFormat="1" x14ac:dyDescent="0.2">
      <c r="A6329" s="6" t="str">
        <f>"MNX1"</f>
        <v>MNX1</v>
      </c>
      <c r="B6329" s="6">
        <v>0.112112112112112</v>
      </c>
      <c r="C6329" s="6">
        <v>0.29609637215894102</v>
      </c>
    </row>
    <row r="6330" spans="1:3" s="7" customFormat="1" x14ac:dyDescent="0.2">
      <c r="A6330" s="6" t="str">
        <f>"LINC01795"</f>
        <v>LINC01795</v>
      </c>
      <c r="B6330" s="6">
        <v>0.112121212121212</v>
      </c>
      <c r="C6330" s="6">
        <v>0.29609637215894102</v>
      </c>
    </row>
    <row r="6331" spans="1:3" s="7" customFormat="1" x14ac:dyDescent="0.2">
      <c r="A6331" s="6" t="str">
        <f>"ZFP14"</f>
        <v>ZFP14</v>
      </c>
      <c r="B6331" s="6">
        <v>0.11288711288711201</v>
      </c>
      <c r="C6331" s="6">
        <v>0.29675923321723802</v>
      </c>
    </row>
    <row r="6332" spans="1:3" s="7" customFormat="1" x14ac:dyDescent="0.2">
      <c r="A6332" s="6" t="str">
        <f>"SH3BP5"</f>
        <v>SH3BP5</v>
      </c>
      <c r="B6332" s="6">
        <v>0.11288711288711201</v>
      </c>
      <c r="C6332" s="6">
        <v>0.29675923321723802</v>
      </c>
    </row>
    <row r="6333" spans="1:3" s="7" customFormat="1" x14ac:dyDescent="0.2">
      <c r="A6333" s="6" t="str">
        <f>"HERPUD2"</f>
        <v>HERPUD2</v>
      </c>
      <c r="B6333" s="6">
        <v>0.11288711288711201</v>
      </c>
      <c r="C6333" s="6">
        <v>0.29675923321723802</v>
      </c>
    </row>
    <row r="6334" spans="1:3" s="7" customFormat="1" x14ac:dyDescent="0.2">
      <c r="A6334" s="6" t="str">
        <f>"RBMS1"</f>
        <v>RBMS1</v>
      </c>
      <c r="B6334" s="6">
        <v>0.11288711288711201</v>
      </c>
      <c r="C6334" s="6">
        <v>0.29675923321723802</v>
      </c>
    </row>
    <row r="6335" spans="1:3" s="7" customFormat="1" x14ac:dyDescent="0.2">
      <c r="A6335" s="6" t="str">
        <f>"OR2I1P"</f>
        <v>OR2I1P</v>
      </c>
      <c r="B6335" s="6">
        <v>0.11288711288711201</v>
      </c>
      <c r="C6335" s="6">
        <v>0.29675923321723802</v>
      </c>
    </row>
    <row r="6336" spans="1:3" s="7" customFormat="1" x14ac:dyDescent="0.2">
      <c r="A6336" s="6" t="str">
        <f>"BDP1"</f>
        <v>BDP1</v>
      </c>
      <c r="B6336" s="6">
        <v>0.11288711288711201</v>
      </c>
      <c r="C6336" s="6">
        <v>0.29675923321723802</v>
      </c>
    </row>
    <row r="6337" spans="1:3" s="7" customFormat="1" x14ac:dyDescent="0.2">
      <c r="A6337" s="6" t="str">
        <f>"ZNF287"</f>
        <v>ZNF287</v>
      </c>
      <c r="B6337" s="6">
        <v>0.11288711288711201</v>
      </c>
      <c r="C6337" s="6">
        <v>0.29675923321723802</v>
      </c>
    </row>
    <row r="6338" spans="1:3" s="7" customFormat="1" x14ac:dyDescent="0.2">
      <c r="A6338" s="6" t="str">
        <f>"PCBP4"</f>
        <v>PCBP4</v>
      </c>
      <c r="B6338" s="6">
        <v>0.11288711288711201</v>
      </c>
      <c r="C6338" s="6">
        <v>0.29675923321723802</v>
      </c>
    </row>
    <row r="6339" spans="1:3" s="7" customFormat="1" x14ac:dyDescent="0.2">
      <c r="A6339" s="6" t="str">
        <f>"CBR3"</f>
        <v>CBR3</v>
      </c>
      <c r="B6339" s="6">
        <v>0.11288711288711201</v>
      </c>
      <c r="C6339" s="6">
        <v>0.29675923321723802</v>
      </c>
    </row>
    <row r="6340" spans="1:3" s="7" customFormat="1" x14ac:dyDescent="0.2">
      <c r="A6340" s="6" t="str">
        <f>"LINC01527"</f>
        <v>LINC01527</v>
      </c>
      <c r="B6340" s="6">
        <v>0.11288711288711201</v>
      </c>
      <c r="C6340" s="6">
        <v>0.29675923321723802</v>
      </c>
    </row>
    <row r="6341" spans="1:3" s="7" customFormat="1" x14ac:dyDescent="0.2">
      <c r="A6341" s="6" t="str">
        <f>"EPHB3"</f>
        <v>EPHB3</v>
      </c>
      <c r="B6341" s="6">
        <v>0.11288711288711201</v>
      </c>
      <c r="C6341" s="6">
        <v>0.29675923321723802</v>
      </c>
    </row>
    <row r="6342" spans="1:3" s="7" customFormat="1" x14ac:dyDescent="0.2">
      <c r="A6342" s="6" t="str">
        <f>"PVR"</f>
        <v>PVR</v>
      </c>
      <c r="B6342" s="6">
        <v>0.11288711288711201</v>
      </c>
      <c r="C6342" s="6">
        <v>0.29675923321723802</v>
      </c>
    </row>
    <row r="6343" spans="1:3" s="7" customFormat="1" x14ac:dyDescent="0.2">
      <c r="A6343" s="6" t="str">
        <f>"DMRTA1"</f>
        <v>DMRTA1</v>
      </c>
      <c r="B6343" s="6">
        <v>0.11288711288711201</v>
      </c>
      <c r="C6343" s="6">
        <v>0.29675923321723802</v>
      </c>
    </row>
    <row r="6344" spans="1:3" s="7" customFormat="1" x14ac:dyDescent="0.2">
      <c r="A6344" s="6" t="str">
        <f>"DPP8"</f>
        <v>DPP8</v>
      </c>
      <c r="B6344" s="6">
        <v>0.11288711288711201</v>
      </c>
      <c r="C6344" s="6">
        <v>0.29675923321723802</v>
      </c>
    </row>
    <row r="6345" spans="1:3" s="7" customFormat="1" x14ac:dyDescent="0.2">
      <c r="A6345" s="6" t="str">
        <f>"TMCC2"</f>
        <v>TMCC2</v>
      </c>
      <c r="B6345" s="6">
        <v>0.11288711288711201</v>
      </c>
      <c r="C6345" s="6">
        <v>0.29675923321723802</v>
      </c>
    </row>
    <row r="6346" spans="1:3" s="7" customFormat="1" x14ac:dyDescent="0.2">
      <c r="A6346" s="6" t="str">
        <f>"CBLC"</f>
        <v>CBLC</v>
      </c>
      <c r="B6346" s="6">
        <v>0.11288711288711201</v>
      </c>
      <c r="C6346" s="6">
        <v>0.29675923321723802</v>
      </c>
    </row>
    <row r="6347" spans="1:3" s="7" customFormat="1" x14ac:dyDescent="0.2">
      <c r="A6347" s="6" t="str">
        <f>"SLC10A1"</f>
        <v>SLC10A1</v>
      </c>
      <c r="B6347" s="6">
        <v>0.11288711288711201</v>
      </c>
      <c r="C6347" s="6">
        <v>0.29675923321723802</v>
      </c>
    </row>
    <row r="6348" spans="1:3" s="7" customFormat="1" x14ac:dyDescent="0.2">
      <c r="A6348" s="6" t="str">
        <f>"DYNC1LI1"</f>
        <v>DYNC1LI1</v>
      </c>
      <c r="B6348" s="6">
        <v>0.11288711288711201</v>
      </c>
      <c r="C6348" s="6">
        <v>0.29675923321723802</v>
      </c>
    </row>
    <row r="6349" spans="1:3" s="7" customFormat="1" x14ac:dyDescent="0.2">
      <c r="A6349" s="6" t="str">
        <f>"CIB2"</f>
        <v>CIB2</v>
      </c>
      <c r="B6349" s="6">
        <v>0.11288711288711201</v>
      </c>
      <c r="C6349" s="6">
        <v>0.29675923321723802</v>
      </c>
    </row>
    <row r="6350" spans="1:3" s="7" customFormat="1" x14ac:dyDescent="0.2">
      <c r="A6350" s="6" t="str">
        <f>"CHCHD10"</f>
        <v>CHCHD10</v>
      </c>
      <c r="B6350" s="6">
        <v>0.11288711288711201</v>
      </c>
      <c r="C6350" s="6">
        <v>0.29675923321723802</v>
      </c>
    </row>
    <row r="6351" spans="1:3" s="7" customFormat="1" x14ac:dyDescent="0.2">
      <c r="A6351" s="6" t="str">
        <f>"CX3CL1"</f>
        <v>CX3CL1</v>
      </c>
      <c r="B6351" s="6">
        <v>0.11288711288711201</v>
      </c>
      <c r="C6351" s="6">
        <v>0.29675923321723802</v>
      </c>
    </row>
    <row r="6352" spans="1:3" s="7" customFormat="1" x14ac:dyDescent="0.2">
      <c r="A6352" s="6" t="str">
        <f>"AC010255.1"</f>
        <v>AC010255.1</v>
      </c>
      <c r="B6352" s="6">
        <v>0.11288711288711201</v>
      </c>
      <c r="C6352" s="6">
        <v>0.29675923321723802</v>
      </c>
    </row>
    <row r="6353" spans="1:3" s="7" customFormat="1" x14ac:dyDescent="0.2">
      <c r="A6353" s="6" t="str">
        <f>"SLC22A4"</f>
        <v>SLC22A4</v>
      </c>
      <c r="B6353" s="6">
        <v>0.11288711288711201</v>
      </c>
      <c r="C6353" s="6">
        <v>0.29675923321723802</v>
      </c>
    </row>
    <row r="6354" spans="1:3" s="7" customFormat="1" x14ac:dyDescent="0.2">
      <c r="A6354" s="6" t="str">
        <f>"RBPMS"</f>
        <v>RBPMS</v>
      </c>
      <c r="B6354" s="6">
        <v>0.11288711288711201</v>
      </c>
      <c r="C6354" s="6">
        <v>0.29675923321723802</v>
      </c>
    </row>
    <row r="6355" spans="1:3" s="7" customFormat="1" x14ac:dyDescent="0.2">
      <c r="A6355" s="6" t="str">
        <f>"ZNFX1"</f>
        <v>ZNFX1</v>
      </c>
      <c r="B6355" s="6">
        <v>0.11288711288711201</v>
      </c>
      <c r="C6355" s="6">
        <v>0.29675923321723802</v>
      </c>
    </row>
    <row r="6356" spans="1:3" s="7" customFormat="1" x14ac:dyDescent="0.2">
      <c r="A6356" s="6" t="str">
        <f>"IRS1"</f>
        <v>IRS1</v>
      </c>
      <c r="B6356" s="6">
        <v>0.11288711288711201</v>
      </c>
      <c r="C6356" s="6">
        <v>0.29675923321723802</v>
      </c>
    </row>
    <row r="6357" spans="1:3" s="7" customFormat="1" x14ac:dyDescent="0.2">
      <c r="A6357" s="6" t="str">
        <f>"MAPRE3"</f>
        <v>MAPRE3</v>
      </c>
      <c r="B6357" s="6">
        <v>0.11288711288711201</v>
      </c>
      <c r="C6357" s="6">
        <v>0.29675923321723802</v>
      </c>
    </row>
    <row r="6358" spans="1:3" s="7" customFormat="1" x14ac:dyDescent="0.2">
      <c r="A6358" s="6" t="str">
        <f>"COX4I1"</f>
        <v>COX4I1</v>
      </c>
      <c r="B6358" s="6">
        <v>0.11288711288711201</v>
      </c>
      <c r="C6358" s="6">
        <v>0.29675923321723802</v>
      </c>
    </row>
    <row r="6359" spans="1:3" s="7" customFormat="1" x14ac:dyDescent="0.2">
      <c r="A6359" s="6" t="str">
        <f>"FIBP"</f>
        <v>FIBP</v>
      </c>
      <c r="B6359" s="6">
        <v>0.11288711288711201</v>
      </c>
      <c r="C6359" s="6">
        <v>0.29675923321723802</v>
      </c>
    </row>
    <row r="6360" spans="1:3" s="7" customFormat="1" x14ac:dyDescent="0.2">
      <c r="A6360" s="6" t="str">
        <f>"TIAM2"</f>
        <v>TIAM2</v>
      </c>
      <c r="B6360" s="6">
        <v>0.113</v>
      </c>
      <c r="C6360" s="6">
        <v>0.29686922351461797</v>
      </c>
    </row>
    <row r="6361" spans="1:3" s="7" customFormat="1" x14ac:dyDescent="0.2">
      <c r="A6361" s="6" t="str">
        <f>"GTF2IP23"</f>
        <v>GTF2IP23</v>
      </c>
      <c r="B6361" s="6">
        <v>0.113</v>
      </c>
      <c r="C6361" s="6">
        <v>0.29686922351461797</v>
      </c>
    </row>
    <row r="6362" spans="1:3" s="7" customFormat="1" x14ac:dyDescent="0.2">
      <c r="A6362" s="6" t="str">
        <f>"DHX32"</f>
        <v>DHX32</v>
      </c>
      <c r="B6362" s="6">
        <v>0.113</v>
      </c>
      <c r="C6362" s="6">
        <v>0.29686922351461797</v>
      </c>
    </row>
    <row r="6363" spans="1:3" s="7" customFormat="1" x14ac:dyDescent="0.2">
      <c r="A6363" s="6" t="str">
        <f>"GIPC2"</f>
        <v>GIPC2</v>
      </c>
      <c r="B6363" s="6">
        <v>0.113</v>
      </c>
      <c r="C6363" s="6">
        <v>0.29686922351461797</v>
      </c>
    </row>
    <row r="6364" spans="1:3" s="7" customFormat="1" x14ac:dyDescent="0.2">
      <c r="A6364" s="6" t="str">
        <f>"AC010327.8"</f>
        <v>AC010327.8</v>
      </c>
      <c r="B6364" s="6">
        <v>0.11311311311311301</v>
      </c>
      <c r="C6364" s="6">
        <v>0.29711968765874103</v>
      </c>
    </row>
    <row r="6365" spans="1:3" s="7" customFormat="1" x14ac:dyDescent="0.2">
      <c r="A6365" s="6" t="str">
        <f>"AL358075.2"</f>
        <v>AL358075.2</v>
      </c>
      <c r="B6365" s="6">
        <v>0.11338100102145</v>
      </c>
      <c r="C6365" s="6">
        <v>0.297776563650616</v>
      </c>
    </row>
    <row r="6366" spans="1:3" s="7" customFormat="1" x14ac:dyDescent="0.2">
      <c r="A6366" s="6" t="str">
        <f>"AC138035.2"</f>
        <v>AC138035.2</v>
      </c>
      <c r="B6366" s="6">
        <v>0.113886113886113</v>
      </c>
      <c r="C6366" s="6">
        <v>0.29797941570014203</v>
      </c>
    </row>
    <row r="6367" spans="1:3" s="7" customFormat="1" x14ac:dyDescent="0.2">
      <c r="A6367" s="6" t="str">
        <f>"AC018529.2"</f>
        <v>AC018529.2</v>
      </c>
      <c r="B6367" s="6">
        <v>0.113886113886113</v>
      </c>
      <c r="C6367" s="6">
        <v>0.29797941570014203</v>
      </c>
    </row>
    <row r="6368" spans="1:3" s="7" customFormat="1" x14ac:dyDescent="0.2">
      <c r="A6368" s="6" t="str">
        <f>"IGHV1-18"</f>
        <v>IGHV1-18</v>
      </c>
      <c r="B6368" s="6">
        <v>0.113886113886113</v>
      </c>
      <c r="C6368" s="6">
        <v>0.29797941570014203</v>
      </c>
    </row>
    <row r="6369" spans="1:3" s="7" customFormat="1" x14ac:dyDescent="0.2">
      <c r="A6369" s="6" t="str">
        <f>"RIC3"</f>
        <v>RIC3</v>
      </c>
      <c r="B6369" s="6">
        <v>0.113886113886113</v>
      </c>
      <c r="C6369" s="6">
        <v>0.29797941570014203</v>
      </c>
    </row>
    <row r="6370" spans="1:3" s="7" customFormat="1" x14ac:dyDescent="0.2">
      <c r="A6370" s="6" t="str">
        <f>"C1GALT1"</f>
        <v>C1GALT1</v>
      </c>
      <c r="B6370" s="6">
        <v>0.113886113886113</v>
      </c>
      <c r="C6370" s="6">
        <v>0.29797941570014203</v>
      </c>
    </row>
    <row r="6371" spans="1:3" s="7" customFormat="1" x14ac:dyDescent="0.2">
      <c r="A6371" s="6" t="str">
        <f>"VTCN1"</f>
        <v>VTCN1</v>
      </c>
      <c r="B6371" s="6">
        <v>0.113886113886113</v>
      </c>
      <c r="C6371" s="6">
        <v>0.29797941570014203</v>
      </c>
    </row>
    <row r="6372" spans="1:3" s="7" customFormat="1" x14ac:dyDescent="0.2">
      <c r="A6372" s="6" t="str">
        <f>"RABGAP1"</f>
        <v>RABGAP1</v>
      </c>
      <c r="B6372" s="6">
        <v>0.113886113886113</v>
      </c>
      <c r="C6372" s="6">
        <v>0.29797941570014203</v>
      </c>
    </row>
    <row r="6373" spans="1:3" s="7" customFormat="1" x14ac:dyDescent="0.2">
      <c r="A6373" s="6" t="str">
        <f>"GGA2"</f>
        <v>GGA2</v>
      </c>
      <c r="B6373" s="6">
        <v>0.113886113886113</v>
      </c>
      <c r="C6373" s="6">
        <v>0.29797941570014203</v>
      </c>
    </row>
    <row r="6374" spans="1:3" s="7" customFormat="1" x14ac:dyDescent="0.2">
      <c r="A6374" s="6" t="str">
        <f>"PCDHGA3"</f>
        <v>PCDHGA3</v>
      </c>
      <c r="B6374" s="6">
        <v>0.113886113886113</v>
      </c>
      <c r="C6374" s="6">
        <v>0.29797941570014203</v>
      </c>
    </row>
    <row r="6375" spans="1:3" s="7" customFormat="1" x14ac:dyDescent="0.2">
      <c r="A6375" s="6" t="str">
        <f>"DTWD2"</f>
        <v>DTWD2</v>
      </c>
      <c r="B6375" s="6">
        <v>0.113886113886113</v>
      </c>
      <c r="C6375" s="6">
        <v>0.29797941570014203</v>
      </c>
    </row>
    <row r="6376" spans="1:3" s="7" customFormat="1" x14ac:dyDescent="0.2">
      <c r="A6376" s="6" t="str">
        <f>"MPV17L2"</f>
        <v>MPV17L2</v>
      </c>
      <c r="B6376" s="6">
        <v>0.113886113886113</v>
      </c>
      <c r="C6376" s="6">
        <v>0.29797941570014203</v>
      </c>
    </row>
    <row r="6377" spans="1:3" s="7" customFormat="1" x14ac:dyDescent="0.2">
      <c r="A6377" s="6" t="str">
        <f>"THSD4"</f>
        <v>THSD4</v>
      </c>
      <c r="B6377" s="6">
        <v>0.113886113886113</v>
      </c>
      <c r="C6377" s="6">
        <v>0.29797941570014203</v>
      </c>
    </row>
    <row r="6378" spans="1:3" s="7" customFormat="1" x14ac:dyDescent="0.2">
      <c r="A6378" s="6" t="str">
        <f>"CYYR1"</f>
        <v>CYYR1</v>
      </c>
      <c r="B6378" s="6">
        <v>0.113886113886113</v>
      </c>
      <c r="C6378" s="6">
        <v>0.29797941570014203</v>
      </c>
    </row>
    <row r="6379" spans="1:3" s="7" customFormat="1" x14ac:dyDescent="0.2">
      <c r="A6379" s="6" t="str">
        <f>"ZNF833P"</f>
        <v>ZNF833P</v>
      </c>
      <c r="B6379" s="6">
        <v>0.113886113886113</v>
      </c>
      <c r="C6379" s="6">
        <v>0.29797941570014203</v>
      </c>
    </row>
    <row r="6380" spans="1:3" s="7" customFormat="1" x14ac:dyDescent="0.2">
      <c r="A6380" s="6" t="str">
        <f>"NRSN2-AS1"</f>
        <v>NRSN2-AS1</v>
      </c>
      <c r="B6380" s="6">
        <v>0.113886113886113</v>
      </c>
      <c r="C6380" s="6">
        <v>0.29797941570014203</v>
      </c>
    </row>
    <row r="6381" spans="1:3" s="7" customFormat="1" x14ac:dyDescent="0.2">
      <c r="A6381" s="6" t="str">
        <f>"CCDC71"</f>
        <v>CCDC71</v>
      </c>
      <c r="B6381" s="6">
        <v>0.113886113886113</v>
      </c>
      <c r="C6381" s="6">
        <v>0.29797941570014203</v>
      </c>
    </row>
    <row r="6382" spans="1:3" s="7" customFormat="1" x14ac:dyDescent="0.2">
      <c r="A6382" s="6" t="str">
        <f>"PDK4"</f>
        <v>PDK4</v>
      </c>
      <c r="B6382" s="6">
        <v>0.113886113886113</v>
      </c>
      <c r="C6382" s="6">
        <v>0.29797941570014203</v>
      </c>
    </row>
    <row r="6383" spans="1:3" s="7" customFormat="1" x14ac:dyDescent="0.2">
      <c r="A6383" s="6" t="str">
        <f>"TSPO"</f>
        <v>TSPO</v>
      </c>
      <c r="B6383" s="6">
        <v>0.113886113886113</v>
      </c>
      <c r="C6383" s="6">
        <v>0.29797941570014203</v>
      </c>
    </row>
    <row r="6384" spans="1:3" s="7" customFormat="1" x14ac:dyDescent="0.2">
      <c r="A6384" s="6" t="str">
        <f>"YKT6"</f>
        <v>YKT6</v>
      </c>
      <c r="B6384" s="6">
        <v>0.113886113886113</v>
      </c>
      <c r="C6384" s="6">
        <v>0.29797941570014203</v>
      </c>
    </row>
    <row r="6385" spans="1:3" s="7" customFormat="1" x14ac:dyDescent="0.2">
      <c r="A6385" s="6" t="str">
        <f>"PARVB"</f>
        <v>PARVB</v>
      </c>
      <c r="B6385" s="6">
        <v>0.113886113886113</v>
      </c>
      <c r="C6385" s="6">
        <v>0.29797941570014203</v>
      </c>
    </row>
    <row r="6386" spans="1:3" s="7" customFormat="1" x14ac:dyDescent="0.2">
      <c r="A6386" s="6" t="str">
        <f>"CCDC34"</f>
        <v>CCDC34</v>
      </c>
      <c r="B6386" s="6">
        <v>0.113886113886113</v>
      </c>
      <c r="C6386" s="6">
        <v>0.29797941570014203</v>
      </c>
    </row>
    <row r="6387" spans="1:3" s="7" customFormat="1" x14ac:dyDescent="0.2">
      <c r="A6387" s="6" t="str">
        <f>"STAM"</f>
        <v>STAM</v>
      </c>
      <c r="B6387" s="6">
        <v>0.113886113886113</v>
      </c>
      <c r="C6387" s="6">
        <v>0.29797941570014203</v>
      </c>
    </row>
    <row r="6388" spans="1:3" s="7" customFormat="1" x14ac:dyDescent="0.2">
      <c r="A6388" s="6" t="str">
        <f>"IL2RA"</f>
        <v>IL2RA</v>
      </c>
      <c r="B6388" s="6">
        <v>0.113886113886113</v>
      </c>
      <c r="C6388" s="6">
        <v>0.29797941570014203</v>
      </c>
    </row>
    <row r="6389" spans="1:3" s="7" customFormat="1" x14ac:dyDescent="0.2">
      <c r="A6389" s="6" t="str">
        <f>"LMOD3"</f>
        <v>LMOD3</v>
      </c>
      <c r="B6389" s="6">
        <v>0.113886113886113</v>
      </c>
      <c r="C6389" s="6">
        <v>0.29797941570014203</v>
      </c>
    </row>
    <row r="6390" spans="1:3" s="7" customFormat="1" x14ac:dyDescent="0.2">
      <c r="A6390" s="6" t="str">
        <f>"PQBP1"</f>
        <v>PQBP1</v>
      </c>
      <c r="B6390" s="6">
        <v>0.114</v>
      </c>
      <c r="C6390" s="6">
        <v>0.298184037558685</v>
      </c>
    </row>
    <row r="6391" spans="1:3" s="7" customFormat="1" x14ac:dyDescent="0.2">
      <c r="A6391" s="6" t="str">
        <f>"ARL3"</f>
        <v>ARL3</v>
      </c>
      <c r="B6391" s="6">
        <v>0.114</v>
      </c>
      <c r="C6391" s="6">
        <v>0.298184037558685</v>
      </c>
    </row>
    <row r="6392" spans="1:3" s="7" customFormat="1" x14ac:dyDescent="0.2">
      <c r="A6392" s="6" t="str">
        <f>"PSME4"</f>
        <v>PSME4</v>
      </c>
      <c r="B6392" s="6">
        <v>0.11488511488511401</v>
      </c>
      <c r="C6392" s="6">
        <v>0.29918819105481598</v>
      </c>
    </row>
    <row r="6393" spans="1:3" s="7" customFormat="1" x14ac:dyDescent="0.2">
      <c r="A6393" s="6" t="str">
        <f>"LTF"</f>
        <v>LTF</v>
      </c>
      <c r="B6393" s="6">
        <v>0.11488511488511401</v>
      </c>
      <c r="C6393" s="6">
        <v>0.29918819105481598</v>
      </c>
    </row>
    <row r="6394" spans="1:3" s="7" customFormat="1" x14ac:dyDescent="0.2">
      <c r="A6394" s="6" t="str">
        <f>"IGHV3-23"</f>
        <v>IGHV3-23</v>
      </c>
      <c r="B6394" s="6">
        <v>0.11488511488511401</v>
      </c>
      <c r="C6394" s="6">
        <v>0.29918819105481598</v>
      </c>
    </row>
    <row r="6395" spans="1:3" s="7" customFormat="1" x14ac:dyDescent="0.2">
      <c r="A6395" s="6" t="str">
        <f>"AC007728.2"</f>
        <v>AC007728.2</v>
      </c>
      <c r="B6395" s="6">
        <v>0.11488511488511401</v>
      </c>
      <c r="C6395" s="6">
        <v>0.29918819105481598</v>
      </c>
    </row>
    <row r="6396" spans="1:3" s="7" customFormat="1" x14ac:dyDescent="0.2">
      <c r="A6396" s="6" t="str">
        <f>"CFL2"</f>
        <v>CFL2</v>
      </c>
      <c r="B6396" s="6">
        <v>0.11488511488511401</v>
      </c>
      <c r="C6396" s="6">
        <v>0.29918819105481598</v>
      </c>
    </row>
    <row r="6397" spans="1:3" s="7" customFormat="1" x14ac:dyDescent="0.2">
      <c r="A6397" s="6" t="str">
        <f>"HLA-DMB"</f>
        <v>HLA-DMB</v>
      </c>
      <c r="B6397" s="6">
        <v>0.11488511488511401</v>
      </c>
      <c r="C6397" s="6">
        <v>0.29918819105481598</v>
      </c>
    </row>
    <row r="6398" spans="1:3" s="7" customFormat="1" x14ac:dyDescent="0.2">
      <c r="A6398" s="6" t="str">
        <f>"IGHV3-21"</f>
        <v>IGHV3-21</v>
      </c>
      <c r="B6398" s="6">
        <v>0.11488511488511401</v>
      </c>
      <c r="C6398" s="6">
        <v>0.29918819105481598</v>
      </c>
    </row>
    <row r="6399" spans="1:3" s="7" customFormat="1" x14ac:dyDescent="0.2">
      <c r="A6399" s="6" t="str">
        <f>"SGCD"</f>
        <v>SGCD</v>
      </c>
      <c r="B6399" s="6">
        <v>0.11488511488511401</v>
      </c>
      <c r="C6399" s="6">
        <v>0.29918819105481598</v>
      </c>
    </row>
    <row r="6400" spans="1:3" s="7" customFormat="1" x14ac:dyDescent="0.2">
      <c r="A6400" s="6" t="str">
        <f>"TM4SF18"</f>
        <v>TM4SF18</v>
      </c>
      <c r="B6400" s="6">
        <v>0.11488511488511401</v>
      </c>
      <c r="C6400" s="6">
        <v>0.29918819105481598</v>
      </c>
    </row>
    <row r="6401" spans="1:3" s="7" customFormat="1" x14ac:dyDescent="0.2">
      <c r="A6401" s="6" t="str">
        <f>"MGAT2"</f>
        <v>MGAT2</v>
      </c>
      <c r="B6401" s="6">
        <v>0.11488511488511401</v>
      </c>
      <c r="C6401" s="6">
        <v>0.29918819105481598</v>
      </c>
    </row>
    <row r="6402" spans="1:3" s="7" customFormat="1" x14ac:dyDescent="0.2">
      <c r="A6402" s="6" t="str">
        <f>"HES1"</f>
        <v>HES1</v>
      </c>
      <c r="B6402" s="6">
        <v>0.11488511488511401</v>
      </c>
      <c r="C6402" s="6">
        <v>0.29918819105481598</v>
      </c>
    </row>
    <row r="6403" spans="1:3" s="7" customFormat="1" x14ac:dyDescent="0.2">
      <c r="A6403" s="6" t="str">
        <f>"ATP6V1C2"</f>
        <v>ATP6V1C2</v>
      </c>
      <c r="B6403" s="6">
        <v>0.11488511488511401</v>
      </c>
      <c r="C6403" s="6">
        <v>0.29918819105481598</v>
      </c>
    </row>
    <row r="6404" spans="1:3" s="7" customFormat="1" x14ac:dyDescent="0.2">
      <c r="A6404" s="6" t="str">
        <f>"AC020659.1"</f>
        <v>AC020659.1</v>
      </c>
      <c r="B6404" s="6">
        <v>0.11488511488511401</v>
      </c>
      <c r="C6404" s="6">
        <v>0.29918819105481598</v>
      </c>
    </row>
    <row r="6405" spans="1:3" s="7" customFormat="1" x14ac:dyDescent="0.2">
      <c r="A6405" s="6" t="str">
        <f>"SPTLC3"</f>
        <v>SPTLC3</v>
      </c>
      <c r="B6405" s="6">
        <v>0.11488511488511401</v>
      </c>
      <c r="C6405" s="6">
        <v>0.29918819105481598</v>
      </c>
    </row>
    <row r="6406" spans="1:3" s="7" customFormat="1" x14ac:dyDescent="0.2">
      <c r="A6406" s="6" t="str">
        <f>"FMR1-IT1"</f>
        <v>FMR1-IT1</v>
      </c>
      <c r="B6406" s="6">
        <v>0.11488511488511401</v>
      </c>
      <c r="C6406" s="6">
        <v>0.29918819105481598</v>
      </c>
    </row>
    <row r="6407" spans="1:3" s="7" customFormat="1" x14ac:dyDescent="0.2">
      <c r="A6407" s="6" t="str">
        <f>"CSPG4P12"</f>
        <v>CSPG4P12</v>
      </c>
      <c r="B6407" s="6">
        <v>0.11488511488511401</v>
      </c>
      <c r="C6407" s="6">
        <v>0.29918819105481598</v>
      </c>
    </row>
    <row r="6408" spans="1:3" s="7" customFormat="1" x14ac:dyDescent="0.2">
      <c r="A6408" s="6" t="str">
        <f>"PRDX4"</f>
        <v>PRDX4</v>
      </c>
      <c r="B6408" s="6">
        <v>0.11488511488511401</v>
      </c>
      <c r="C6408" s="6">
        <v>0.29918819105481598</v>
      </c>
    </row>
    <row r="6409" spans="1:3" s="7" customFormat="1" x14ac:dyDescent="0.2">
      <c r="A6409" s="6" t="str">
        <f>"LY86"</f>
        <v>LY86</v>
      </c>
      <c r="B6409" s="6">
        <v>0.11488511488511401</v>
      </c>
      <c r="C6409" s="6">
        <v>0.29918819105481598</v>
      </c>
    </row>
    <row r="6410" spans="1:3" s="7" customFormat="1" x14ac:dyDescent="0.2">
      <c r="A6410" s="6" t="str">
        <f>"RTL10"</f>
        <v>RTL10</v>
      </c>
      <c r="B6410" s="6">
        <v>0.11488511488511401</v>
      </c>
      <c r="C6410" s="6">
        <v>0.29918819105481598</v>
      </c>
    </row>
    <row r="6411" spans="1:3" s="7" customFormat="1" x14ac:dyDescent="0.2">
      <c r="A6411" s="6" t="str">
        <f>"PRX"</f>
        <v>PRX</v>
      </c>
      <c r="B6411" s="6">
        <v>0.11488511488511401</v>
      </c>
      <c r="C6411" s="6">
        <v>0.29918819105481598</v>
      </c>
    </row>
    <row r="6412" spans="1:3" s="7" customFormat="1" x14ac:dyDescent="0.2">
      <c r="A6412" s="6" t="str">
        <f>"MAPK7"</f>
        <v>MAPK7</v>
      </c>
      <c r="B6412" s="6">
        <v>0.11488511488511401</v>
      </c>
      <c r="C6412" s="6">
        <v>0.29918819105481598</v>
      </c>
    </row>
    <row r="6413" spans="1:3" s="7" customFormat="1" x14ac:dyDescent="0.2">
      <c r="A6413" s="6" t="str">
        <f>"NUBPL"</f>
        <v>NUBPL</v>
      </c>
      <c r="B6413" s="6">
        <v>0.11488511488511401</v>
      </c>
      <c r="C6413" s="6">
        <v>0.29918819105481598</v>
      </c>
    </row>
    <row r="6414" spans="1:3" s="7" customFormat="1" x14ac:dyDescent="0.2">
      <c r="A6414" s="6" t="str">
        <f>"ZFYVE26"</f>
        <v>ZFYVE26</v>
      </c>
      <c r="B6414" s="6">
        <v>0.11488511488511401</v>
      </c>
      <c r="C6414" s="6">
        <v>0.29918819105481598</v>
      </c>
    </row>
    <row r="6415" spans="1:3" s="7" customFormat="1" x14ac:dyDescent="0.2">
      <c r="A6415" s="6" t="str">
        <f>"AP001972.5"</f>
        <v>AP001972.5</v>
      </c>
      <c r="B6415" s="6">
        <v>0.11488511488511401</v>
      </c>
      <c r="C6415" s="6">
        <v>0.29918819105481598</v>
      </c>
    </row>
    <row r="6416" spans="1:3" s="7" customFormat="1" x14ac:dyDescent="0.2">
      <c r="A6416" s="6" t="str">
        <f>"TRAK1"</f>
        <v>TRAK1</v>
      </c>
      <c r="B6416" s="6">
        <v>0.11488511488511401</v>
      </c>
      <c r="C6416" s="6">
        <v>0.29918819105481598</v>
      </c>
    </row>
    <row r="6417" spans="1:3" s="7" customFormat="1" x14ac:dyDescent="0.2">
      <c r="A6417" s="6" t="str">
        <f>"TP73"</f>
        <v>TP73</v>
      </c>
      <c r="B6417" s="6">
        <v>0.11488511488511401</v>
      </c>
      <c r="C6417" s="6">
        <v>0.29918819105481598</v>
      </c>
    </row>
    <row r="6418" spans="1:3" s="7" customFormat="1" x14ac:dyDescent="0.2">
      <c r="A6418" s="6" t="str">
        <f>"DICER1"</f>
        <v>DICER1</v>
      </c>
      <c r="B6418" s="6">
        <v>0.11488511488511401</v>
      </c>
      <c r="C6418" s="6">
        <v>0.29918819105481598</v>
      </c>
    </row>
    <row r="6419" spans="1:3" s="7" customFormat="1" x14ac:dyDescent="0.2">
      <c r="A6419" s="6" t="str">
        <f>"MCIDAS"</f>
        <v>MCIDAS</v>
      </c>
      <c r="B6419" s="6">
        <v>0.11488511488511401</v>
      </c>
      <c r="C6419" s="6">
        <v>0.29918819105481598</v>
      </c>
    </row>
    <row r="6420" spans="1:3" s="7" customFormat="1" x14ac:dyDescent="0.2">
      <c r="A6420" s="6" t="str">
        <f>"LAMC1"</f>
        <v>LAMC1</v>
      </c>
      <c r="B6420" s="6">
        <v>0.115</v>
      </c>
      <c r="C6420" s="6">
        <v>0.29944072285402701</v>
      </c>
    </row>
    <row r="6421" spans="1:3" s="7" customFormat="1" x14ac:dyDescent="0.2">
      <c r="A6421" s="6" t="str">
        <f>"NEXN-AS1"</f>
        <v>NEXN-AS1</v>
      </c>
      <c r="B6421" s="6">
        <v>0.115115115115115</v>
      </c>
      <c r="C6421" s="6">
        <v>0.29969377477165599</v>
      </c>
    </row>
    <row r="6422" spans="1:3" s="7" customFormat="1" x14ac:dyDescent="0.2">
      <c r="A6422" s="6" t="str">
        <f>"AC015917.2"</f>
        <v>AC015917.2</v>
      </c>
      <c r="B6422" s="6">
        <v>0.115173674588665</v>
      </c>
      <c r="C6422" s="6">
        <v>0.299799532327511</v>
      </c>
    </row>
    <row r="6423" spans="1:3" s="7" customFormat="1" x14ac:dyDescent="0.2">
      <c r="A6423" s="6" t="str">
        <f>"AC010883.1"</f>
        <v>AC010883.1</v>
      </c>
      <c r="B6423" s="6">
        <v>0.115230460921843</v>
      </c>
      <c r="C6423" s="6">
        <v>0.299900642143833</v>
      </c>
    </row>
    <row r="6424" spans="1:3" s="7" customFormat="1" x14ac:dyDescent="0.2">
      <c r="A6424" s="6" t="str">
        <f>"MPC2"</f>
        <v>MPC2</v>
      </c>
      <c r="B6424" s="6">
        <v>0.115884115884115</v>
      </c>
      <c r="C6424" s="6">
        <v>0.30032709202941699</v>
      </c>
    </row>
    <row r="6425" spans="1:3" s="7" customFormat="1" x14ac:dyDescent="0.2">
      <c r="A6425" s="6" t="str">
        <f>"NIPBL-DT"</f>
        <v>NIPBL-DT</v>
      </c>
      <c r="B6425" s="6">
        <v>0.115884115884115</v>
      </c>
      <c r="C6425" s="6">
        <v>0.30032709202941699</v>
      </c>
    </row>
    <row r="6426" spans="1:3" s="7" customFormat="1" x14ac:dyDescent="0.2">
      <c r="A6426" s="6" t="str">
        <f>"METTL18"</f>
        <v>METTL18</v>
      </c>
      <c r="B6426" s="6">
        <v>0.115884115884115</v>
      </c>
      <c r="C6426" s="6">
        <v>0.30032709202941699</v>
      </c>
    </row>
    <row r="6427" spans="1:3" s="7" customFormat="1" x14ac:dyDescent="0.2">
      <c r="A6427" s="6" t="str">
        <f>"IL18BP"</f>
        <v>IL18BP</v>
      </c>
      <c r="B6427" s="6">
        <v>0.115884115884115</v>
      </c>
      <c r="C6427" s="6">
        <v>0.30032709202941699</v>
      </c>
    </row>
    <row r="6428" spans="1:3" s="7" customFormat="1" x14ac:dyDescent="0.2">
      <c r="A6428" s="6" t="str">
        <f>"BLM"</f>
        <v>BLM</v>
      </c>
      <c r="B6428" s="6">
        <v>0.115884115884115</v>
      </c>
      <c r="C6428" s="6">
        <v>0.30032709202941699</v>
      </c>
    </row>
    <row r="6429" spans="1:3" s="7" customFormat="1" x14ac:dyDescent="0.2">
      <c r="A6429" s="6" t="str">
        <f>"CCDC62"</f>
        <v>CCDC62</v>
      </c>
      <c r="B6429" s="6">
        <v>0.115884115884115</v>
      </c>
      <c r="C6429" s="6">
        <v>0.30032709202941699</v>
      </c>
    </row>
    <row r="6430" spans="1:3" s="7" customFormat="1" x14ac:dyDescent="0.2">
      <c r="A6430" s="6" t="str">
        <f>"AKT1S1"</f>
        <v>AKT1S1</v>
      </c>
      <c r="B6430" s="6">
        <v>0.115884115884115</v>
      </c>
      <c r="C6430" s="6">
        <v>0.30032709202941699</v>
      </c>
    </row>
    <row r="6431" spans="1:3" s="7" customFormat="1" x14ac:dyDescent="0.2">
      <c r="A6431" s="6" t="str">
        <f>"CATSPER2P1"</f>
        <v>CATSPER2P1</v>
      </c>
      <c r="B6431" s="6">
        <v>0.115884115884115</v>
      </c>
      <c r="C6431" s="6">
        <v>0.30032709202941699</v>
      </c>
    </row>
    <row r="6432" spans="1:3" s="7" customFormat="1" x14ac:dyDescent="0.2">
      <c r="A6432" s="6" t="str">
        <f>"LINC02580"</f>
        <v>LINC02580</v>
      </c>
      <c r="B6432" s="6">
        <v>0.115884115884115</v>
      </c>
      <c r="C6432" s="6">
        <v>0.30032709202941699</v>
      </c>
    </row>
    <row r="6433" spans="1:3" s="7" customFormat="1" x14ac:dyDescent="0.2">
      <c r="A6433" s="6" t="str">
        <f>"PFN2"</f>
        <v>PFN2</v>
      </c>
      <c r="B6433" s="6">
        <v>0.115884115884115</v>
      </c>
      <c r="C6433" s="6">
        <v>0.30032709202941699</v>
      </c>
    </row>
    <row r="6434" spans="1:3" s="7" customFormat="1" x14ac:dyDescent="0.2">
      <c r="A6434" s="6" t="str">
        <f>"GUSBP14"</f>
        <v>GUSBP14</v>
      </c>
      <c r="B6434" s="6">
        <v>0.115884115884115</v>
      </c>
      <c r="C6434" s="6">
        <v>0.30032709202941699</v>
      </c>
    </row>
    <row r="6435" spans="1:3" s="7" customFormat="1" x14ac:dyDescent="0.2">
      <c r="A6435" s="6" t="str">
        <f>"MEX3C"</f>
        <v>MEX3C</v>
      </c>
      <c r="B6435" s="6">
        <v>0.115884115884115</v>
      </c>
      <c r="C6435" s="6">
        <v>0.30032709202941699</v>
      </c>
    </row>
    <row r="6436" spans="1:3" s="7" customFormat="1" x14ac:dyDescent="0.2">
      <c r="A6436" s="6" t="str">
        <f>"RNASEH2B"</f>
        <v>RNASEH2B</v>
      </c>
      <c r="B6436" s="6">
        <v>0.115884115884115</v>
      </c>
      <c r="C6436" s="6">
        <v>0.30032709202941699</v>
      </c>
    </row>
    <row r="6437" spans="1:3" s="7" customFormat="1" x14ac:dyDescent="0.2">
      <c r="A6437" s="6" t="str">
        <f>"DPF1"</f>
        <v>DPF1</v>
      </c>
      <c r="B6437" s="6">
        <v>0.115884115884115</v>
      </c>
      <c r="C6437" s="6">
        <v>0.30032709202941699</v>
      </c>
    </row>
    <row r="6438" spans="1:3" s="7" customFormat="1" x14ac:dyDescent="0.2">
      <c r="A6438" s="6" t="str">
        <f>"NSMCE1"</f>
        <v>NSMCE1</v>
      </c>
      <c r="B6438" s="6">
        <v>0.115884115884115</v>
      </c>
      <c r="C6438" s="6">
        <v>0.30032709202941699</v>
      </c>
    </row>
    <row r="6439" spans="1:3" s="7" customFormat="1" x14ac:dyDescent="0.2">
      <c r="A6439" s="6" t="str">
        <f>"HHAT"</f>
        <v>HHAT</v>
      </c>
      <c r="B6439" s="6">
        <v>0.115884115884115</v>
      </c>
      <c r="C6439" s="6">
        <v>0.30032709202941699</v>
      </c>
    </row>
    <row r="6440" spans="1:3" s="7" customFormat="1" x14ac:dyDescent="0.2">
      <c r="A6440" s="6" t="str">
        <f>"USP13"</f>
        <v>USP13</v>
      </c>
      <c r="B6440" s="6">
        <v>0.115884115884115</v>
      </c>
      <c r="C6440" s="6">
        <v>0.30032709202941699</v>
      </c>
    </row>
    <row r="6441" spans="1:3" s="7" customFormat="1" x14ac:dyDescent="0.2">
      <c r="A6441" s="6" t="str">
        <f>"CATSPER3"</f>
        <v>CATSPER3</v>
      </c>
      <c r="B6441" s="6">
        <v>0.11589743589743499</v>
      </c>
      <c r="C6441" s="6">
        <v>0.30032709202941699</v>
      </c>
    </row>
    <row r="6442" spans="1:3" s="7" customFormat="1" x14ac:dyDescent="0.2">
      <c r="A6442" s="6" t="str">
        <f>"TSLP"</f>
        <v>TSLP</v>
      </c>
      <c r="B6442" s="6">
        <v>0.115884115884115</v>
      </c>
      <c r="C6442" s="6">
        <v>0.30032709202941699</v>
      </c>
    </row>
    <row r="6443" spans="1:3" s="7" customFormat="1" x14ac:dyDescent="0.2">
      <c r="A6443" s="6" t="str">
        <f>"SERPINB4"</f>
        <v>SERPINB4</v>
      </c>
      <c r="B6443" s="6">
        <v>0.115884115884115</v>
      </c>
      <c r="C6443" s="6">
        <v>0.30032709202941699</v>
      </c>
    </row>
    <row r="6444" spans="1:3" s="7" customFormat="1" x14ac:dyDescent="0.2">
      <c r="A6444" s="6" t="str">
        <f>"AC091152.4"</f>
        <v>AC091152.4</v>
      </c>
      <c r="B6444" s="6">
        <v>0.115884115884115</v>
      </c>
      <c r="C6444" s="6">
        <v>0.30032709202941699</v>
      </c>
    </row>
    <row r="6445" spans="1:3" s="7" customFormat="1" x14ac:dyDescent="0.2">
      <c r="A6445" s="6" t="str">
        <f>"SPATA33"</f>
        <v>SPATA33</v>
      </c>
      <c r="B6445" s="6">
        <v>0.115884115884115</v>
      </c>
      <c r="C6445" s="6">
        <v>0.30032709202941699</v>
      </c>
    </row>
    <row r="6446" spans="1:3" s="7" customFormat="1" x14ac:dyDescent="0.2">
      <c r="A6446" s="6" t="str">
        <f>"AC138409.2"</f>
        <v>AC138409.2</v>
      </c>
      <c r="B6446" s="6">
        <v>0.115884115884115</v>
      </c>
      <c r="C6446" s="6">
        <v>0.30032709202941699</v>
      </c>
    </row>
    <row r="6447" spans="1:3" s="7" customFormat="1" x14ac:dyDescent="0.2">
      <c r="A6447" s="6" t="str">
        <f>"SAXO2"</f>
        <v>SAXO2</v>
      </c>
      <c r="B6447" s="6">
        <v>0.115884115884115</v>
      </c>
      <c r="C6447" s="6">
        <v>0.30032709202941699</v>
      </c>
    </row>
    <row r="6448" spans="1:3" s="7" customFormat="1" x14ac:dyDescent="0.2">
      <c r="A6448" s="6" t="str">
        <f>"LSM10"</f>
        <v>LSM10</v>
      </c>
      <c r="B6448" s="6">
        <v>0.115884115884115</v>
      </c>
      <c r="C6448" s="6">
        <v>0.30032709202941699</v>
      </c>
    </row>
    <row r="6449" spans="1:3" s="7" customFormat="1" x14ac:dyDescent="0.2">
      <c r="A6449" s="6" t="str">
        <f>"C10orf95"</f>
        <v>C10orf95</v>
      </c>
      <c r="B6449" s="6">
        <v>0.115884115884115</v>
      </c>
      <c r="C6449" s="6">
        <v>0.30032709202941699</v>
      </c>
    </row>
    <row r="6450" spans="1:3" s="7" customFormat="1" x14ac:dyDescent="0.2">
      <c r="A6450" s="6" t="str">
        <f>"EVI5L"</f>
        <v>EVI5L</v>
      </c>
      <c r="B6450" s="6">
        <v>0.115884115884115</v>
      </c>
      <c r="C6450" s="6">
        <v>0.30032709202941699</v>
      </c>
    </row>
    <row r="6451" spans="1:3" s="7" customFormat="1" x14ac:dyDescent="0.2">
      <c r="A6451" s="6" t="str">
        <f>"PIK3C3"</f>
        <v>PIK3C3</v>
      </c>
      <c r="B6451" s="6">
        <v>0.115884115884115</v>
      </c>
      <c r="C6451" s="6">
        <v>0.30032709202941699</v>
      </c>
    </row>
    <row r="6452" spans="1:3" s="7" customFormat="1" x14ac:dyDescent="0.2">
      <c r="A6452" s="6" t="str">
        <f>"AL139289.1"</f>
        <v>AL139289.1</v>
      </c>
      <c r="B6452" s="6">
        <v>0.116116116116116</v>
      </c>
      <c r="C6452" s="6">
        <v>0.30084711901484401</v>
      </c>
    </row>
    <row r="6453" spans="1:3" s="7" customFormat="1" x14ac:dyDescent="0.2">
      <c r="A6453" s="6" t="str">
        <f>"DHFR"</f>
        <v>DHFR</v>
      </c>
      <c r="B6453" s="6">
        <v>0.11688311688311601</v>
      </c>
      <c r="C6453" s="6">
        <v>0.30185173293949502</v>
      </c>
    </row>
    <row r="6454" spans="1:3" s="7" customFormat="1" x14ac:dyDescent="0.2">
      <c r="A6454" s="6" t="str">
        <f>"SMIM4"</f>
        <v>SMIM4</v>
      </c>
      <c r="B6454" s="6">
        <v>0.11688311688311601</v>
      </c>
      <c r="C6454" s="6">
        <v>0.30185173293949502</v>
      </c>
    </row>
    <row r="6455" spans="1:3" s="7" customFormat="1" x14ac:dyDescent="0.2">
      <c r="A6455" s="6" t="str">
        <f>"IGLV2-14"</f>
        <v>IGLV2-14</v>
      </c>
      <c r="B6455" s="6">
        <v>0.11688311688311601</v>
      </c>
      <c r="C6455" s="6">
        <v>0.30185173293949502</v>
      </c>
    </row>
    <row r="6456" spans="1:3" s="7" customFormat="1" x14ac:dyDescent="0.2">
      <c r="A6456" s="6" t="str">
        <f>"AL390066.1"</f>
        <v>AL390066.1</v>
      </c>
      <c r="B6456" s="6">
        <v>0.11688311688311601</v>
      </c>
      <c r="C6456" s="6">
        <v>0.30185173293949502</v>
      </c>
    </row>
    <row r="6457" spans="1:3" s="7" customFormat="1" x14ac:dyDescent="0.2">
      <c r="A6457" s="6" t="str">
        <f>"DLGAP1-AS2"</f>
        <v>DLGAP1-AS2</v>
      </c>
      <c r="B6457" s="6">
        <v>0.11688311688311601</v>
      </c>
      <c r="C6457" s="6">
        <v>0.30185173293949502</v>
      </c>
    </row>
    <row r="6458" spans="1:3" s="7" customFormat="1" x14ac:dyDescent="0.2">
      <c r="A6458" s="6" t="str">
        <f>"TRAPPC9"</f>
        <v>TRAPPC9</v>
      </c>
      <c r="B6458" s="6">
        <v>0.11688311688311601</v>
      </c>
      <c r="C6458" s="6">
        <v>0.30185173293949502</v>
      </c>
    </row>
    <row r="6459" spans="1:3" s="7" customFormat="1" x14ac:dyDescent="0.2">
      <c r="A6459" s="6" t="str">
        <f>"USP48"</f>
        <v>USP48</v>
      </c>
      <c r="B6459" s="6">
        <v>0.11688311688311601</v>
      </c>
      <c r="C6459" s="6">
        <v>0.30185173293949502</v>
      </c>
    </row>
    <row r="6460" spans="1:3" s="7" customFormat="1" x14ac:dyDescent="0.2">
      <c r="A6460" s="6" t="str">
        <f>"ATXN7L2"</f>
        <v>ATXN7L2</v>
      </c>
      <c r="B6460" s="6">
        <v>0.11688311688311601</v>
      </c>
      <c r="C6460" s="6">
        <v>0.30185173293949502</v>
      </c>
    </row>
    <row r="6461" spans="1:3" s="7" customFormat="1" x14ac:dyDescent="0.2">
      <c r="A6461" s="6" t="str">
        <f>"BLOC1S5"</f>
        <v>BLOC1S5</v>
      </c>
      <c r="B6461" s="6">
        <v>0.11688311688311601</v>
      </c>
      <c r="C6461" s="6">
        <v>0.30185173293949502</v>
      </c>
    </row>
    <row r="6462" spans="1:3" s="7" customFormat="1" x14ac:dyDescent="0.2">
      <c r="A6462" s="6" t="str">
        <f>"UBE3A"</f>
        <v>UBE3A</v>
      </c>
      <c r="B6462" s="6">
        <v>0.11688311688311601</v>
      </c>
      <c r="C6462" s="6">
        <v>0.30185173293949502</v>
      </c>
    </row>
    <row r="6463" spans="1:3" s="7" customFormat="1" x14ac:dyDescent="0.2">
      <c r="A6463" s="6" t="str">
        <f>"ZNF707"</f>
        <v>ZNF707</v>
      </c>
      <c r="B6463" s="6">
        <v>0.11688311688311601</v>
      </c>
      <c r="C6463" s="6">
        <v>0.30185173293949502</v>
      </c>
    </row>
    <row r="6464" spans="1:3" s="7" customFormat="1" x14ac:dyDescent="0.2">
      <c r="A6464" s="6" t="str">
        <f>"AC026801.2"</f>
        <v>AC026801.2</v>
      </c>
      <c r="B6464" s="6">
        <v>0.11688311688311601</v>
      </c>
      <c r="C6464" s="6">
        <v>0.30185173293949502</v>
      </c>
    </row>
    <row r="6465" spans="1:3" s="7" customFormat="1" x14ac:dyDescent="0.2">
      <c r="A6465" s="6" t="str">
        <f>"STARD4"</f>
        <v>STARD4</v>
      </c>
      <c r="B6465" s="6">
        <v>0.11688311688311601</v>
      </c>
      <c r="C6465" s="6">
        <v>0.30185173293949502</v>
      </c>
    </row>
    <row r="6466" spans="1:3" s="7" customFormat="1" x14ac:dyDescent="0.2">
      <c r="A6466" s="6" t="str">
        <f>"MPP5"</f>
        <v>MPP5</v>
      </c>
      <c r="B6466" s="6">
        <v>0.11688311688311601</v>
      </c>
      <c r="C6466" s="6">
        <v>0.30185173293949502</v>
      </c>
    </row>
    <row r="6467" spans="1:3" s="7" customFormat="1" x14ac:dyDescent="0.2">
      <c r="A6467" s="6" t="str">
        <f>"ZBTB11"</f>
        <v>ZBTB11</v>
      </c>
      <c r="B6467" s="6">
        <v>0.11688311688311601</v>
      </c>
      <c r="C6467" s="6">
        <v>0.30185173293949502</v>
      </c>
    </row>
    <row r="6468" spans="1:3" s="7" customFormat="1" x14ac:dyDescent="0.2">
      <c r="A6468" s="6" t="str">
        <f>"AL662884.3"</f>
        <v>AL662884.3</v>
      </c>
      <c r="B6468" s="6">
        <v>0.11688311688311601</v>
      </c>
      <c r="C6468" s="6">
        <v>0.30185173293949502</v>
      </c>
    </row>
    <row r="6469" spans="1:3" s="7" customFormat="1" x14ac:dyDescent="0.2">
      <c r="A6469" s="6" t="str">
        <f>"DHODH"</f>
        <v>DHODH</v>
      </c>
      <c r="B6469" s="6">
        <v>0.11688311688311601</v>
      </c>
      <c r="C6469" s="6">
        <v>0.30185173293949502</v>
      </c>
    </row>
    <row r="6470" spans="1:3" s="7" customFormat="1" x14ac:dyDescent="0.2">
      <c r="A6470" s="6" t="str">
        <f>"SPATA17"</f>
        <v>SPATA17</v>
      </c>
      <c r="B6470" s="6">
        <v>0.11688311688311601</v>
      </c>
      <c r="C6470" s="6">
        <v>0.30185173293949502</v>
      </c>
    </row>
    <row r="6471" spans="1:3" s="7" customFormat="1" x14ac:dyDescent="0.2">
      <c r="A6471" s="6" t="str">
        <f>"CCDC59"</f>
        <v>CCDC59</v>
      </c>
      <c r="B6471" s="6">
        <v>0.11688311688311601</v>
      </c>
      <c r="C6471" s="6">
        <v>0.30185173293949502</v>
      </c>
    </row>
    <row r="6472" spans="1:3" s="7" customFormat="1" x14ac:dyDescent="0.2">
      <c r="A6472" s="6" t="str">
        <f>"SPEF2"</f>
        <v>SPEF2</v>
      </c>
      <c r="B6472" s="6">
        <v>0.11688311688311601</v>
      </c>
      <c r="C6472" s="6">
        <v>0.30185173293949502</v>
      </c>
    </row>
    <row r="6473" spans="1:3" s="7" customFormat="1" x14ac:dyDescent="0.2">
      <c r="A6473" s="6" t="str">
        <f>"TIGD2"</f>
        <v>TIGD2</v>
      </c>
      <c r="B6473" s="6">
        <v>0.11688311688311601</v>
      </c>
      <c r="C6473" s="6">
        <v>0.30185173293949502</v>
      </c>
    </row>
    <row r="6474" spans="1:3" s="7" customFormat="1" x14ac:dyDescent="0.2">
      <c r="A6474" s="6" t="str">
        <f>"CDC37"</f>
        <v>CDC37</v>
      </c>
      <c r="B6474" s="6">
        <v>0.11700000000000001</v>
      </c>
      <c r="C6474" s="6">
        <v>0.30210690560790898</v>
      </c>
    </row>
    <row r="6475" spans="1:3" s="7" customFormat="1" x14ac:dyDescent="0.2">
      <c r="A6475" s="6" t="str">
        <f>"AC005912.1"</f>
        <v>AC005912.1</v>
      </c>
      <c r="B6475" s="6">
        <v>0.11741935483870899</v>
      </c>
      <c r="C6475" s="6">
        <v>0.30314289415727402</v>
      </c>
    </row>
    <row r="6476" spans="1:3" s="7" customFormat="1" x14ac:dyDescent="0.2">
      <c r="A6476" s="6" t="str">
        <f>"CGNL1"</f>
        <v>CGNL1</v>
      </c>
      <c r="B6476" s="6">
        <v>0.117882117882117</v>
      </c>
      <c r="C6476" s="6">
        <v>0.303493795175865</v>
      </c>
    </row>
    <row r="6477" spans="1:3" s="7" customFormat="1" x14ac:dyDescent="0.2">
      <c r="A6477" s="6" t="str">
        <f>"RTL8B"</f>
        <v>RTL8B</v>
      </c>
      <c r="B6477" s="6">
        <v>0.117882117882117</v>
      </c>
      <c r="C6477" s="6">
        <v>0.303493795175865</v>
      </c>
    </row>
    <row r="6478" spans="1:3" s="7" customFormat="1" x14ac:dyDescent="0.2">
      <c r="A6478" s="6" t="str">
        <f>"HEXA-AS1"</f>
        <v>HEXA-AS1</v>
      </c>
      <c r="B6478" s="6">
        <v>0.117882117882117</v>
      </c>
      <c r="C6478" s="6">
        <v>0.303493795175865</v>
      </c>
    </row>
    <row r="6479" spans="1:3" s="7" customFormat="1" x14ac:dyDescent="0.2">
      <c r="A6479" s="6" t="str">
        <f>"SLC7A4"</f>
        <v>SLC7A4</v>
      </c>
      <c r="B6479" s="6">
        <v>0.117882117882117</v>
      </c>
      <c r="C6479" s="6">
        <v>0.303493795175865</v>
      </c>
    </row>
    <row r="6480" spans="1:3" s="7" customFormat="1" x14ac:dyDescent="0.2">
      <c r="A6480" s="6" t="str">
        <f>"AL512625.3"</f>
        <v>AL512625.3</v>
      </c>
      <c r="B6480" s="6">
        <v>0.117882117882117</v>
      </c>
      <c r="C6480" s="6">
        <v>0.303493795175865</v>
      </c>
    </row>
    <row r="6481" spans="1:3" s="7" customFormat="1" x14ac:dyDescent="0.2">
      <c r="A6481" s="6" t="str">
        <f>"PEX11G"</f>
        <v>PEX11G</v>
      </c>
      <c r="B6481" s="6">
        <v>0.117882117882117</v>
      </c>
      <c r="C6481" s="6">
        <v>0.303493795175865</v>
      </c>
    </row>
    <row r="6482" spans="1:3" s="7" customFormat="1" x14ac:dyDescent="0.2">
      <c r="A6482" s="6" t="str">
        <f>"DAGLB"</f>
        <v>DAGLB</v>
      </c>
      <c r="B6482" s="6">
        <v>0.117882117882117</v>
      </c>
      <c r="C6482" s="6">
        <v>0.303493795175865</v>
      </c>
    </row>
    <row r="6483" spans="1:3" s="7" customFormat="1" x14ac:dyDescent="0.2">
      <c r="A6483" s="6" t="str">
        <f>"WASF1"</f>
        <v>WASF1</v>
      </c>
      <c r="B6483" s="6">
        <v>0.117882117882117</v>
      </c>
      <c r="C6483" s="6">
        <v>0.303493795175865</v>
      </c>
    </row>
    <row r="6484" spans="1:3" s="7" customFormat="1" x14ac:dyDescent="0.2">
      <c r="A6484" s="6" t="str">
        <f>"ZNF513"</f>
        <v>ZNF513</v>
      </c>
      <c r="B6484" s="6">
        <v>0.117882117882117</v>
      </c>
      <c r="C6484" s="6">
        <v>0.303493795175865</v>
      </c>
    </row>
    <row r="6485" spans="1:3" s="7" customFormat="1" x14ac:dyDescent="0.2">
      <c r="A6485" s="6" t="str">
        <f>"TUT4"</f>
        <v>TUT4</v>
      </c>
      <c r="B6485" s="6">
        <v>0.117882117882117</v>
      </c>
      <c r="C6485" s="6">
        <v>0.303493795175865</v>
      </c>
    </row>
    <row r="6486" spans="1:3" s="7" customFormat="1" x14ac:dyDescent="0.2">
      <c r="A6486" s="6" t="str">
        <f>"AC005034.6"</f>
        <v>AC005034.6</v>
      </c>
      <c r="B6486" s="6">
        <v>0.117882117882117</v>
      </c>
      <c r="C6486" s="6">
        <v>0.303493795175865</v>
      </c>
    </row>
    <row r="6487" spans="1:3" s="7" customFormat="1" x14ac:dyDescent="0.2">
      <c r="A6487" s="6" t="str">
        <f>"DPH6"</f>
        <v>DPH6</v>
      </c>
      <c r="B6487" s="6">
        <v>0.117882117882117</v>
      </c>
      <c r="C6487" s="6">
        <v>0.303493795175865</v>
      </c>
    </row>
    <row r="6488" spans="1:3" s="7" customFormat="1" x14ac:dyDescent="0.2">
      <c r="A6488" s="6" t="str">
        <f>"CAVIN3"</f>
        <v>CAVIN3</v>
      </c>
      <c r="B6488" s="6">
        <v>0.117882117882117</v>
      </c>
      <c r="C6488" s="6">
        <v>0.303493795175865</v>
      </c>
    </row>
    <row r="6489" spans="1:3" s="7" customFormat="1" x14ac:dyDescent="0.2">
      <c r="A6489" s="6" t="str">
        <f>"PRH2"</f>
        <v>PRH2</v>
      </c>
      <c r="B6489" s="6">
        <v>0.117882117882117</v>
      </c>
      <c r="C6489" s="6">
        <v>0.303493795175865</v>
      </c>
    </row>
    <row r="6490" spans="1:3" s="7" customFormat="1" x14ac:dyDescent="0.2">
      <c r="A6490" s="6" t="str">
        <f>"FRG1JP"</f>
        <v>FRG1JP</v>
      </c>
      <c r="B6490" s="6">
        <v>0.11764705882352899</v>
      </c>
      <c r="C6490" s="6">
        <v>0.303493795175865</v>
      </c>
    </row>
    <row r="6491" spans="1:3" s="7" customFormat="1" x14ac:dyDescent="0.2">
      <c r="A6491" s="6" t="str">
        <f>"TULP3"</f>
        <v>TULP3</v>
      </c>
      <c r="B6491" s="6">
        <v>0.117882117882117</v>
      </c>
      <c r="C6491" s="6">
        <v>0.303493795175865</v>
      </c>
    </row>
    <row r="6492" spans="1:3" s="7" customFormat="1" x14ac:dyDescent="0.2">
      <c r="A6492" s="6" t="str">
        <f>"FAM76B"</f>
        <v>FAM76B</v>
      </c>
      <c r="B6492" s="6">
        <v>0.117882117882117</v>
      </c>
      <c r="C6492" s="6">
        <v>0.303493795175865</v>
      </c>
    </row>
    <row r="6493" spans="1:3" s="7" customFormat="1" x14ac:dyDescent="0.2">
      <c r="A6493" s="6" t="str">
        <f>"DNAJA4"</f>
        <v>DNAJA4</v>
      </c>
      <c r="B6493" s="6">
        <v>0.117882117882117</v>
      </c>
      <c r="C6493" s="6">
        <v>0.303493795175865</v>
      </c>
    </row>
    <row r="6494" spans="1:3" s="7" customFormat="1" x14ac:dyDescent="0.2">
      <c r="A6494" s="6" t="str">
        <f>"RBMX"</f>
        <v>RBMX</v>
      </c>
      <c r="B6494" s="6">
        <v>0.11799999999999999</v>
      </c>
      <c r="C6494" s="6">
        <v>0.30365696689761301</v>
      </c>
    </row>
    <row r="6495" spans="1:3" s="7" customFormat="1" x14ac:dyDescent="0.2">
      <c r="A6495" s="6" t="str">
        <f>"AL009176.1"</f>
        <v>AL009176.1</v>
      </c>
      <c r="B6495" s="6">
        <v>0.11799999999999999</v>
      </c>
      <c r="C6495" s="6">
        <v>0.30365696689761301</v>
      </c>
    </row>
    <row r="6496" spans="1:3" s="7" customFormat="1" x14ac:dyDescent="0.2">
      <c r="A6496" s="6" t="str">
        <f>"AC010504.1"</f>
        <v>AC010504.1</v>
      </c>
      <c r="B6496" s="6">
        <v>0.11799999999999999</v>
      </c>
      <c r="C6496" s="6">
        <v>0.30365696689761301</v>
      </c>
    </row>
    <row r="6497" spans="1:3" s="7" customFormat="1" x14ac:dyDescent="0.2">
      <c r="A6497" s="6" t="str">
        <f>"Z99716.2"</f>
        <v>Z99716.2</v>
      </c>
      <c r="B6497" s="6">
        <v>0.118069815195071</v>
      </c>
      <c r="C6497" s="6">
        <v>0.30378985393633401</v>
      </c>
    </row>
    <row r="6498" spans="1:3" s="7" customFormat="1" x14ac:dyDescent="0.2">
      <c r="A6498" s="6" t="str">
        <f>"AL358472.6"</f>
        <v>AL358472.6</v>
      </c>
      <c r="B6498" s="6">
        <v>0.11888111888111801</v>
      </c>
      <c r="C6498" s="6">
        <v>0.304798131765458</v>
      </c>
    </row>
    <row r="6499" spans="1:3" s="7" customFormat="1" x14ac:dyDescent="0.2">
      <c r="A6499" s="6" t="str">
        <f>"CHAC2"</f>
        <v>CHAC2</v>
      </c>
      <c r="B6499" s="6">
        <v>0.11888111888111801</v>
      </c>
      <c r="C6499" s="6">
        <v>0.304798131765458</v>
      </c>
    </row>
    <row r="6500" spans="1:3" s="7" customFormat="1" x14ac:dyDescent="0.2">
      <c r="A6500" s="6" t="str">
        <f>"PPP6R1"</f>
        <v>PPP6R1</v>
      </c>
      <c r="B6500" s="6">
        <v>0.11888111888111801</v>
      </c>
      <c r="C6500" s="6">
        <v>0.304798131765458</v>
      </c>
    </row>
    <row r="6501" spans="1:3" s="7" customFormat="1" x14ac:dyDescent="0.2">
      <c r="A6501" s="6" t="str">
        <f>"AC079336.5"</f>
        <v>AC079336.5</v>
      </c>
      <c r="B6501" s="6">
        <v>0.118736383442265</v>
      </c>
      <c r="C6501" s="6">
        <v>0.304798131765458</v>
      </c>
    </row>
    <row r="6502" spans="1:3" s="7" customFormat="1" x14ac:dyDescent="0.2">
      <c r="A6502" s="6" t="str">
        <f>"ITGB5"</f>
        <v>ITGB5</v>
      </c>
      <c r="B6502" s="6">
        <v>0.11888111888111801</v>
      </c>
      <c r="C6502" s="6">
        <v>0.304798131765458</v>
      </c>
    </row>
    <row r="6503" spans="1:3" s="7" customFormat="1" x14ac:dyDescent="0.2">
      <c r="A6503" s="6" t="str">
        <f>"BX293535.1"</f>
        <v>BX293535.1</v>
      </c>
      <c r="B6503" s="6">
        <v>0.11888111888111801</v>
      </c>
      <c r="C6503" s="6">
        <v>0.304798131765458</v>
      </c>
    </row>
    <row r="6504" spans="1:3" s="7" customFormat="1" x14ac:dyDescent="0.2">
      <c r="A6504" s="6" t="str">
        <f>"UBA6-AS1"</f>
        <v>UBA6-AS1</v>
      </c>
      <c r="B6504" s="6">
        <v>0.11888111888111801</v>
      </c>
      <c r="C6504" s="6">
        <v>0.304798131765458</v>
      </c>
    </row>
    <row r="6505" spans="1:3" s="7" customFormat="1" x14ac:dyDescent="0.2">
      <c r="A6505" s="6" t="str">
        <f>"AL513190.1"</f>
        <v>AL513190.1</v>
      </c>
      <c r="B6505" s="6">
        <v>0.11888111888111801</v>
      </c>
      <c r="C6505" s="6">
        <v>0.304798131765458</v>
      </c>
    </row>
    <row r="6506" spans="1:3" s="7" customFormat="1" x14ac:dyDescent="0.2">
      <c r="A6506" s="6" t="str">
        <f>"SLC51A"</f>
        <v>SLC51A</v>
      </c>
      <c r="B6506" s="6">
        <v>0.11888111888111801</v>
      </c>
      <c r="C6506" s="6">
        <v>0.304798131765458</v>
      </c>
    </row>
    <row r="6507" spans="1:3" s="7" customFormat="1" x14ac:dyDescent="0.2">
      <c r="A6507" s="6" t="str">
        <f>"MPI"</f>
        <v>MPI</v>
      </c>
      <c r="B6507" s="6">
        <v>0.11888111888111801</v>
      </c>
      <c r="C6507" s="6">
        <v>0.304798131765458</v>
      </c>
    </row>
    <row r="6508" spans="1:3" s="7" customFormat="1" x14ac:dyDescent="0.2">
      <c r="A6508" s="6" t="str">
        <f>"TMEM107"</f>
        <v>TMEM107</v>
      </c>
      <c r="B6508" s="6">
        <v>0.11888111888111801</v>
      </c>
      <c r="C6508" s="6">
        <v>0.304798131765458</v>
      </c>
    </row>
    <row r="6509" spans="1:3" s="7" customFormat="1" x14ac:dyDescent="0.2">
      <c r="A6509" s="6" t="str">
        <f>"HSF4"</f>
        <v>HSF4</v>
      </c>
      <c r="B6509" s="6">
        <v>0.11888111888111801</v>
      </c>
      <c r="C6509" s="6">
        <v>0.304798131765458</v>
      </c>
    </row>
    <row r="6510" spans="1:3" s="7" customFormat="1" x14ac:dyDescent="0.2">
      <c r="A6510" s="6" t="str">
        <f>"USP43"</f>
        <v>USP43</v>
      </c>
      <c r="B6510" s="6">
        <v>0.11888111888111801</v>
      </c>
      <c r="C6510" s="6">
        <v>0.304798131765458</v>
      </c>
    </row>
    <row r="6511" spans="1:3" s="7" customFormat="1" x14ac:dyDescent="0.2">
      <c r="A6511" s="6" t="str">
        <f>"SYT13"</f>
        <v>SYT13</v>
      </c>
      <c r="B6511" s="6">
        <v>0.11888111888111801</v>
      </c>
      <c r="C6511" s="6">
        <v>0.304798131765458</v>
      </c>
    </row>
    <row r="6512" spans="1:3" s="7" customFormat="1" x14ac:dyDescent="0.2">
      <c r="A6512" s="6" t="str">
        <f>"TOM1L2"</f>
        <v>TOM1L2</v>
      </c>
      <c r="B6512" s="6">
        <v>0.11888111888111801</v>
      </c>
      <c r="C6512" s="6">
        <v>0.304798131765458</v>
      </c>
    </row>
    <row r="6513" spans="1:3" s="7" customFormat="1" x14ac:dyDescent="0.2">
      <c r="A6513" s="6" t="str">
        <f>"GPD1L"</f>
        <v>GPD1L</v>
      </c>
      <c r="B6513" s="6">
        <v>0.11888111888111801</v>
      </c>
      <c r="C6513" s="6">
        <v>0.304798131765458</v>
      </c>
    </row>
    <row r="6514" spans="1:3" s="7" customFormat="1" x14ac:dyDescent="0.2">
      <c r="A6514" s="6" t="str">
        <f>"CCDC189"</f>
        <v>CCDC189</v>
      </c>
      <c r="B6514" s="6">
        <v>0.11888111888111801</v>
      </c>
      <c r="C6514" s="6">
        <v>0.304798131765458</v>
      </c>
    </row>
    <row r="6515" spans="1:3" s="7" customFormat="1" x14ac:dyDescent="0.2">
      <c r="A6515" s="6" t="str">
        <f>"ST8SIA1"</f>
        <v>ST8SIA1</v>
      </c>
      <c r="B6515" s="6">
        <v>0.11888111888111801</v>
      </c>
      <c r="C6515" s="6">
        <v>0.304798131765458</v>
      </c>
    </row>
    <row r="6516" spans="1:3" s="7" customFormat="1" x14ac:dyDescent="0.2">
      <c r="A6516" s="6" t="str">
        <f>"TMPO-AS1"</f>
        <v>TMPO-AS1</v>
      </c>
      <c r="B6516" s="6">
        <v>0.11888111888111801</v>
      </c>
      <c r="C6516" s="6">
        <v>0.304798131765458</v>
      </c>
    </row>
    <row r="6517" spans="1:3" s="7" customFormat="1" x14ac:dyDescent="0.2">
      <c r="A6517" s="6" t="str">
        <f>"HSPA9"</f>
        <v>HSPA9</v>
      </c>
      <c r="B6517" s="6">
        <v>0.11888111888111801</v>
      </c>
      <c r="C6517" s="6">
        <v>0.304798131765458</v>
      </c>
    </row>
    <row r="6518" spans="1:3" s="7" customFormat="1" x14ac:dyDescent="0.2">
      <c r="A6518" s="6" t="str">
        <f>"FAM162A"</f>
        <v>FAM162A</v>
      </c>
      <c r="B6518" s="6">
        <v>0.11888111888111801</v>
      </c>
      <c r="C6518" s="6">
        <v>0.304798131765458</v>
      </c>
    </row>
    <row r="6519" spans="1:3" s="7" customFormat="1" x14ac:dyDescent="0.2">
      <c r="A6519" s="6" t="str">
        <f>"PCGF3"</f>
        <v>PCGF3</v>
      </c>
      <c r="B6519" s="6">
        <v>0.11888111888111801</v>
      </c>
      <c r="C6519" s="6">
        <v>0.304798131765458</v>
      </c>
    </row>
    <row r="6520" spans="1:3" s="7" customFormat="1" x14ac:dyDescent="0.2">
      <c r="A6520" s="6" t="str">
        <f>"KARS1"</f>
        <v>KARS1</v>
      </c>
      <c r="B6520" s="6">
        <v>0.11888111888111801</v>
      </c>
      <c r="C6520" s="6">
        <v>0.304798131765458</v>
      </c>
    </row>
    <row r="6521" spans="1:3" s="7" customFormat="1" x14ac:dyDescent="0.2">
      <c r="A6521" s="6" t="str">
        <f>"TRAF3IP2-AS1"</f>
        <v>TRAF3IP2-AS1</v>
      </c>
      <c r="B6521" s="6">
        <v>0.119880119880119</v>
      </c>
      <c r="C6521" s="6">
        <v>0.30543846397504898</v>
      </c>
    </row>
    <row r="6522" spans="1:3" s="7" customFormat="1" x14ac:dyDescent="0.2">
      <c r="A6522" s="6" t="str">
        <f>"IZUMO4"</f>
        <v>IZUMO4</v>
      </c>
      <c r="B6522" s="6">
        <v>0.119880119880119</v>
      </c>
      <c r="C6522" s="6">
        <v>0.30543846397504898</v>
      </c>
    </row>
    <row r="6523" spans="1:3" s="7" customFormat="1" x14ac:dyDescent="0.2">
      <c r="A6523" s="6" t="str">
        <f>"IL1RAP"</f>
        <v>IL1RAP</v>
      </c>
      <c r="B6523" s="6">
        <v>0.119880119880119</v>
      </c>
      <c r="C6523" s="6">
        <v>0.30543846397504898</v>
      </c>
    </row>
    <row r="6524" spans="1:3" s="7" customFormat="1" x14ac:dyDescent="0.2">
      <c r="A6524" s="6" t="str">
        <f>"HDAC11"</f>
        <v>HDAC11</v>
      </c>
      <c r="B6524" s="6">
        <v>0.119880119880119</v>
      </c>
      <c r="C6524" s="6">
        <v>0.30543846397504898</v>
      </c>
    </row>
    <row r="6525" spans="1:3" s="7" customFormat="1" x14ac:dyDescent="0.2">
      <c r="A6525" s="6" t="str">
        <f>"AC018647.1"</f>
        <v>AC018647.1</v>
      </c>
      <c r="B6525" s="6">
        <v>0.119880119880119</v>
      </c>
      <c r="C6525" s="6">
        <v>0.30543846397504898</v>
      </c>
    </row>
    <row r="6526" spans="1:3" s="7" customFormat="1" x14ac:dyDescent="0.2">
      <c r="A6526" s="6" t="str">
        <f>"CLCA2"</f>
        <v>CLCA2</v>
      </c>
      <c r="B6526" s="6">
        <v>0.119880119880119</v>
      </c>
      <c r="C6526" s="6">
        <v>0.30543846397504898</v>
      </c>
    </row>
    <row r="6527" spans="1:3" s="7" customFormat="1" x14ac:dyDescent="0.2">
      <c r="A6527" s="6" t="str">
        <f>"GMPPA"</f>
        <v>GMPPA</v>
      </c>
      <c r="B6527" s="6">
        <v>0.119880119880119</v>
      </c>
      <c r="C6527" s="6">
        <v>0.30543846397504898</v>
      </c>
    </row>
    <row r="6528" spans="1:3" s="7" customFormat="1" x14ac:dyDescent="0.2">
      <c r="A6528" s="6" t="str">
        <f>"RBM28"</f>
        <v>RBM28</v>
      </c>
      <c r="B6528" s="6">
        <v>0.119880119880119</v>
      </c>
      <c r="C6528" s="6">
        <v>0.30543846397504898</v>
      </c>
    </row>
    <row r="6529" spans="1:3" s="7" customFormat="1" x14ac:dyDescent="0.2">
      <c r="A6529" s="6" t="str">
        <f>"AC005674.1"</f>
        <v>AC005674.1</v>
      </c>
      <c r="B6529" s="6">
        <v>0.119880119880119</v>
      </c>
      <c r="C6529" s="6">
        <v>0.30543846397504898</v>
      </c>
    </row>
    <row r="6530" spans="1:3" s="7" customFormat="1" x14ac:dyDescent="0.2">
      <c r="A6530" s="6" t="str">
        <f>"TUBGCP4"</f>
        <v>TUBGCP4</v>
      </c>
      <c r="B6530" s="6">
        <v>0.119880119880119</v>
      </c>
      <c r="C6530" s="6">
        <v>0.30543846397504898</v>
      </c>
    </row>
    <row r="6531" spans="1:3" s="7" customFormat="1" x14ac:dyDescent="0.2">
      <c r="A6531" s="6" t="str">
        <f>"AC068733.3"</f>
        <v>AC068733.3</v>
      </c>
      <c r="B6531" s="6">
        <v>0.119477911646586</v>
      </c>
      <c r="C6531" s="6">
        <v>0.30543846397504898</v>
      </c>
    </row>
    <row r="6532" spans="1:3" s="7" customFormat="1" x14ac:dyDescent="0.2">
      <c r="A6532" s="6" t="str">
        <f>"SCRN1"</f>
        <v>SCRN1</v>
      </c>
      <c r="B6532" s="6">
        <v>0.119880119880119</v>
      </c>
      <c r="C6532" s="6">
        <v>0.30543846397504898</v>
      </c>
    </row>
    <row r="6533" spans="1:3" s="7" customFormat="1" x14ac:dyDescent="0.2">
      <c r="A6533" s="6" t="str">
        <f>"SNHG18"</f>
        <v>SNHG18</v>
      </c>
      <c r="B6533" s="6">
        <v>0.119880119880119</v>
      </c>
      <c r="C6533" s="6">
        <v>0.30543846397504898</v>
      </c>
    </row>
    <row r="6534" spans="1:3" s="7" customFormat="1" x14ac:dyDescent="0.2">
      <c r="A6534" s="6" t="str">
        <f>"FBP1"</f>
        <v>FBP1</v>
      </c>
      <c r="B6534" s="6">
        <v>0.119880119880119</v>
      </c>
      <c r="C6534" s="6">
        <v>0.30543846397504898</v>
      </c>
    </row>
    <row r="6535" spans="1:3" s="7" customFormat="1" x14ac:dyDescent="0.2">
      <c r="A6535" s="6" t="str">
        <f>"FAM168A"</f>
        <v>FAM168A</v>
      </c>
      <c r="B6535" s="6">
        <v>0.119880119880119</v>
      </c>
      <c r="C6535" s="6">
        <v>0.30543846397504898</v>
      </c>
    </row>
    <row r="6536" spans="1:3" s="7" customFormat="1" x14ac:dyDescent="0.2">
      <c r="A6536" s="6" t="str">
        <f>"PCDHB4"</f>
        <v>PCDHB4</v>
      </c>
      <c r="B6536" s="6">
        <v>0.119880119880119</v>
      </c>
      <c r="C6536" s="6">
        <v>0.30543846397504898</v>
      </c>
    </row>
    <row r="6537" spans="1:3" s="7" customFormat="1" x14ac:dyDescent="0.2">
      <c r="A6537" s="6" t="str">
        <f>"RRN3P3"</f>
        <v>RRN3P3</v>
      </c>
      <c r="B6537" s="6">
        <v>0.119880119880119</v>
      </c>
      <c r="C6537" s="6">
        <v>0.30543846397504898</v>
      </c>
    </row>
    <row r="6538" spans="1:3" s="7" customFormat="1" x14ac:dyDescent="0.2">
      <c r="A6538" s="6" t="str">
        <f>"STEAP3"</f>
        <v>STEAP3</v>
      </c>
      <c r="B6538" s="6">
        <v>0.119880119880119</v>
      </c>
      <c r="C6538" s="6">
        <v>0.30543846397504898</v>
      </c>
    </row>
    <row r="6539" spans="1:3" s="7" customFormat="1" x14ac:dyDescent="0.2">
      <c r="A6539" s="6" t="str">
        <f>"RRN3P2"</f>
        <v>RRN3P2</v>
      </c>
      <c r="B6539" s="6">
        <v>0.119477911646586</v>
      </c>
      <c r="C6539" s="6">
        <v>0.30543846397504898</v>
      </c>
    </row>
    <row r="6540" spans="1:3" s="7" customFormat="1" x14ac:dyDescent="0.2">
      <c r="A6540" s="6" t="str">
        <f>"AC122718.1"</f>
        <v>AC122718.1</v>
      </c>
      <c r="B6540" s="6">
        <v>0.119880119880119</v>
      </c>
      <c r="C6540" s="6">
        <v>0.30543846397504898</v>
      </c>
    </row>
    <row r="6541" spans="1:3" s="7" customFormat="1" x14ac:dyDescent="0.2">
      <c r="A6541" s="6" t="str">
        <f>"WFDC21P"</f>
        <v>WFDC21P</v>
      </c>
      <c r="B6541" s="6">
        <v>0.119880119880119</v>
      </c>
      <c r="C6541" s="6">
        <v>0.30543846397504898</v>
      </c>
    </row>
    <row r="6542" spans="1:3" s="7" customFormat="1" x14ac:dyDescent="0.2">
      <c r="A6542" s="6" t="str">
        <f>"BX284668.2"</f>
        <v>BX284668.2</v>
      </c>
      <c r="B6542" s="6">
        <v>0.119880119880119</v>
      </c>
      <c r="C6542" s="6">
        <v>0.30543846397504898</v>
      </c>
    </row>
    <row r="6543" spans="1:3" s="7" customFormat="1" x14ac:dyDescent="0.2">
      <c r="A6543" s="6" t="str">
        <f>"IGSF8"</f>
        <v>IGSF8</v>
      </c>
      <c r="B6543" s="6">
        <v>0.119880119880119</v>
      </c>
      <c r="C6543" s="6">
        <v>0.30543846397504898</v>
      </c>
    </row>
    <row r="6544" spans="1:3" s="7" customFormat="1" x14ac:dyDescent="0.2">
      <c r="A6544" s="6" t="str">
        <f>"SLC6A8"</f>
        <v>SLC6A8</v>
      </c>
      <c r="B6544" s="6">
        <v>0.119880119880119</v>
      </c>
      <c r="C6544" s="6">
        <v>0.30543846397504898</v>
      </c>
    </row>
    <row r="6545" spans="1:3" s="7" customFormat="1" x14ac:dyDescent="0.2">
      <c r="A6545" s="6" t="str">
        <f>"C16orf95"</f>
        <v>C16orf95</v>
      </c>
      <c r="B6545" s="6">
        <v>0.119880119880119</v>
      </c>
      <c r="C6545" s="6">
        <v>0.30543846397504898</v>
      </c>
    </row>
    <row r="6546" spans="1:3" s="7" customFormat="1" x14ac:dyDescent="0.2">
      <c r="A6546" s="6" t="str">
        <f>"FRMD4A"</f>
        <v>FRMD4A</v>
      </c>
      <c r="B6546" s="6">
        <v>0.119880119880119</v>
      </c>
      <c r="C6546" s="6">
        <v>0.30543846397504898</v>
      </c>
    </row>
    <row r="6547" spans="1:3" s="7" customFormat="1" x14ac:dyDescent="0.2">
      <c r="A6547" s="6" t="str">
        <f>"TTC23"</f>
        <v>TTC23</v>
      </c>
      <c r="B6547" s="6">
        <v>0.119880119880119</v>
      </c>
      <c r="C6547" s="6">
        <v>0.30543846397504898</v>
      </c>
    </row>
    <row r="6548" spans="1:3" s="7" customFormat="1" x14ac:dyDescent="0.2">
      <c r="A6548" s="6" t="str">
        <f>"ZNF446"</f>
        <v>ZNF446</v>
      </c>
      <c r="B6548" s="6">
        <v>0.119880119880119</v>
      </c>
      <c r="C6548" s="6">
        <v>0.30543846397504898</v>
      </c>
    </row>
    <row r="6549" spans="1:3" s="7" customFormat="1" x14ac:dyDescent="0.2">
      <c r="A6549" s="6" t="str">
        <f>"OR1I1"</f>
        <v>OR1I1</v>
      </c>
      <c r="B6549" s="6">
        <v>0.119838872104733</v>
      </c>
      <c r="C6549" s="6">
        <v>0.30543846397504898</v>
      </c>
    </row>
    <row r="6550" spans="1:3" s="7" customFormat="1" x14ac:dyDescent="0.2">
      <c r="A6550" s="6" t="str">
        <f>"HSD3B7"</f>
        <v>HSD3B7</v>
      </c>
      <c r="B6550" s="6">
        <v>0.119880119880119</v>
      </c>
      <c r="C6550" s="6">
        <v>0.30543846397504898</v>
      </c>
    </row>
    <row r="6551" spans="1:3" s="7" customFormat="1" x14ac:dyDescent="0.2">
      <c r="A6551" s="6" t="str">
        <f>"NME8"</f>
        <v>NME8</v>
      </c>
      <c r="B6551" s="6">
        <v>0.119880119880119</v>
      </c>
      <c r="C6551" s="6">
        <v>0.30543846397504898</v>
      </c>
    </row>
    <row r="6552" spans="1:3" s="7" customFormat="1" x14ac:dyDescent="0.2">
      <c r="A6552" s="6" t="str">
        <f>"TCF4"</f>
        <v>TCF4</v>
      </c>
      <c r="B6552" s="6">
        <v>0.119880119880119</v>
      </c>
      <c r="C6552" s="6">
        <v>0.30543846397504898</v>
      </c>
    </row>
    <row r="6553" spans="1:3" s="7" customFormat="1" x14ac:dyDescent="0.2">
      <c r="A6553" s="6" t="str">
        <f>"TPSB2"</f>
        <v>TPSB2</v>
      </c>
      <c r="B6553" s="6">
        <v>0.119880119880119</v>
      </c>
      <c r="C6553" s="6">
        <v>0.30543846397504898</v>
      </c>
    </row>
    <row r="6554" spans="1:3" s="7" customFormat="1" x14ac:dyDescent="0.2">
      <c r="A6554" s="6" t="str">
        <f>"CLDN11"</f>
        <v>CLDN11</v>
      </c>
      <c r="B6554" s="6">
        <v>0.119880119880119</v>
      </c>
      <c r="C6554" s="6">
        <v>0.30543846397504898</v>
      </c>
    </row>
    <row r="6555" spans="1:3" s="7" customFormat="1" x14ac:dyDescent="0.2">
      <c r="A6555" s="6" t="str">
        <f>"DOK2"</f>
        <v>DOK2</v>
      </c>
      <c r="B6555" s="6">
        <v>0.119880119880119</v>
      </c>
      <c r="C6555" s="6">
        <v>0.30543846397504898</v>
      </c>
    </row>
    <row r="6556" spans="1:3" s="7" customFormat="1" x14ac:dyDescent="0.2">
      <c r="A6556" s="6" t="str">
        <f>"EFCAB5"</f>
        <v>EFCAB5</v>
      </c>
      <c r="B6556" s="6">
        <v>0.119880119880119</v>
      </c>
      <c r="C6556" s="6">
        <v>0.30543846397504898</v>
      </c>
    </row>
    <row r="6557" spans="1:3" s="7" customFormat="1" x14ac:dyDescent="0.2">
      <c r="A6557" s="6" t="str">
        <f>"EEF2K"</f>
        <v>EEF2K</v>
      </c>
      <c r="B6557" s="6">
        <v>0.119880119880119</v>
      </c>
      <c r="C6557" s="6">
        <v>0.30543846397504898</v>
      </c>
    </row>
    <row r="6558" spans="1:3" s="7" customFormat="1" x14ac:dyDescent="0.2">
      <c r="A6558" s="6" t="str">
        <f>"ADAM22"</f>
        <v>ADAM22</v>
      </c>
      <c r="B6558" s="6">
        <v>0.119880119880119</v>
      </c>
      <c r="C6558" s="6">
        <v>0.30543846397504898</v>
      </c>
    </row>
    <row r="6559" spans="1:3" s="7" customFormat="1" x14ac:dyDescent="0.2">
      <c r="A6559" s="6" t="str">
        <f>"SLC44A4"</f>
        <v>SLC44A4</v>
      </c>
      <c r="B6559" s="6">
        <v>0.119880119880119</v>
      </c>
      <c r="C6559" s="6">
        <v>0.30543846397504898</v>
      </c>
    </row>
    <row r="6560" spans="1:3" s="7" customFormat="1" x14ac:dyDescent="0.2">
      <c r="A6560" s="6" t="str">
        <f>"NIPA2"</f>
        <v>NIPA2</v>
      </c>
      <c r="B6560" s="6">
        <v>0.119880119880119</v>
      </c>
      <c r="C6560" s="6">
        <v>0.30543846397504898</v>
      </c>
    </row>
    <row r="6561" spans="1:3" s="7" customFormat="1" x14ac:dyDescent="0.2">
      <c r="A6561" s="6" t="str">
        <f>"NTAQ1"</f>
        <v>NTAQ1</v>
      </c>
      <c r="B6561" s="6">
        <v>0.119880119880119</v>
      </c>
      <c r="C6561" s="6">
        <v>0.30543846397504898</v>
      </c>
    </row>
    <row r="6562" spans="1:3" s="7" customFormat="1" x14ac:dyDescent="0.2">
      <c r="A6562" s="6" t="str">
        <f>"AC010536.1"</f>
        <v>AC010536.1</v>
      </c>
      <c r="B6562" s="6">
        <v>0.119958634953464</v>
      </c>
      <c r="C6562" s="6">
        <v>0.30559192571440302</v>
      </c>
    </row>
    <row r="6563" spans="1:3" s="7" customFormat="1" x14ac:dyDescent="0.2">
      <c r="A6563" s="6" t="str">
        <f>"CEP19"</f>
        <v>CEP19</v>
      </c>
      <c r="B6563" s="6">
        <v>0.12</v>
      </c>
      <c r="C6563" s="6">
        <v>0.30565071624504703</v>
      </c>
    </row>
    <row r="6564" spans="1:3" s="7" customFormat="1" x14ac:dyDescent="0.2">
      <c r="A6564" s="6" t="str">
        <f>"TRIM66"</f>
        <v>TRIM66</v>
      </c>
      <c r="B6564" s="6">
        <v>0.12087912087912001</v>
      </c>
      <c r="C6564" s="6">
        <v>0.30597813514669397</v>
      </c>
    </row>
    <row r="6565" spans="1:3" s="7" customFormat="1" x14ac:dyDescent="0.2">
      <c r="A6565" s="6" t="str">
        <f>"MTHFS"</f>
        <v>MTHFS</v>
      </c>
      <c r="B6565" s="6">
        <v>0.12087912087912001</v>
      </c>
      <c r="C6565" s="6">
        <v>0.30597813514669397</v>
      </c>
    </row>
    <row r="6566" spans="1:3" s="7" customFormat="1" x14ac:dyDescent="0.2">
      <c r="A6566" s="6" t="str">
        <f>"AP003733.3"</f>
        <v>AP003733.3</v>
      </c>
      <c r="B6566" s="6">
        <v>0.12087912087912001</v>
      </c>
      <c r="C6566" s="6">
        <v>0.30597813514669397</v>
      </c>
    </row>
    <row r="6567" spans="1:3" s="7" customFormat="1" x14ac:dyDescent="0.2">
      <c r="A6567" s="6" t="str">
        <f>"ZFP92"</f>
        <v>ZFP92</v>
      </c>
      <c r="B6567" s="6">
        <v>0.12087912087912001</v>
      </c>
      <c r="C6567" s="6">
        <v>0.30597813514669397</v>
      </c>
    </row>
    <row r="6568" spans="1:3" s="7" customFormat="1" x14ac:dyDescent="0.2">
      <c r="A6568" s="6" t="str">
        <f>"RCHY1"</f>
        <v>RCHY1</v>
      </c>
      <c r="B6568" s="6">
        <v>0.12087912087912001</v>
      </c>
      <c r="C6568" s="6">
        <v>0.30597813514669397</v>
      </c>
    </row>
    <row r="6569" spans="1:3" s="7" customFormat="1" x14ac:dyDescent="0.2">
      <c r="A6569" s="6" t="str">
        <f>"BCL11A"</f>
        <v>BCL11A</v>
      </c>
      <c r="B6569" s="6">
        <v>0.12087912087912001</v>
      </c>
      <c r="C6569" s="6">
        <v>0.30597813514669397</v>
      </c>
    </row>
    <row r="6570" spans="1:3" s="7" customFormat="1" x14ac:dyDescent="0.2">
      <c r="A6570" s="6" t="str">
        <f>"NFYC"</f>
        <v>NFYC</v>
      </c>
      <c r="B6570" s="6">
        <v>0.12087912087912001</v>
      </c>
      <c r="C6570" s="6">
        <v>0.30597813514669397</v>
      </c>
    </row>
    <row r="6571" spans="1:3" s="7" customFormat="1" x14ac:dyDescent="0.2">
      <c r="A6571" s="6" t="str">
        <f>"CCDC25"</f>
        <v>CCDC25</v>
      </c>
      <c r="B6571" s="6">
        <v>0.12087912087912001</v>
      </c>
      <c r="C6571" s="6">
        <v>0.30597813514669397</v>
      </c>
    </row>
    <row r="6572" spans="1:3" s="7" customFormat="1" x14ac:dyDescent="0.2">
      <c r="A6572" s="6" t="str">
        <f>"LINC01618"</f>
        <v>LINC01618</v>
      </c>
      <c r="B6572" s="6">
        <v>0.12087912087912001</v>
      </c>
      <c r="C6572" s="6">
        <v>0.30597813514669397</v>
      </c>
    </row>
    <row r="6573" spans="1:3" s="7" customFormat="1" x14ac:dyDescent="0.2">
      <c r="A6573" s="6" t="str">
        <f>"ZNF670-ZNF695"</f>
        <v>ZNF670-ZNF695</v>
      </c>
      <c r="B6573" s="6">
        <v>0.12087912087912001</v>
      </c>
      <c r="C6573" s="6">
        <v>0.30597813514669397</v>
      </c>
    </row>
    <row r="6574" spans="1:3" s="7" customFormat="1" x14ac:dyDescent="0.2">
      <c r="A6574" s="6" t="str">
        <f>"AC068989.1"</f>
        <v>AC068989.1</v>
      </c>
      <c r="B6574" s="6">
        <v>0.12087912087912001</v>
      </c>
      <c r="C6574" s="6">
        <v>0.30597813514669397</v>
      </c>
    </row>
    <row r="6575" spans="1:3" s="7" customFormat="1" x14ac:dyDescent="0.2">
      <c r="A6575" s="6" t="str">
        <f>"GGA3"</f>
        <v>GGA3</v>
      </c>
      <c r="B6575" s="6">
        <v>0.12087912087912001</v>
      </c>
      <c r="C6575" s="6">
        <v>0.30597813514669397</v>
      </c>
    </row>
    <row r="6576" spans="1:3" s="7" customFormat="1" x14ac:dyDescent="0.2">
      <c r="A6576" s="6" t="str">
        <f>"JMJD4"</f>
        <v>JMJD4</v>
      </c>
      <c r="B6576" s="6">
        <v>0.12087912087912001</v>
      </c>
      <c r="C6576" s="6">
        <v>0.30597813514669397</v>
      </c>
    </row>
    <row r="6577" spans="1:3" s="7" customFormat="1" x14ac:dyDescent="0.2">
      <c r="A6577" s="6" t="str">
        <f>"DCXR"</f>
        <v>DCXR</v>
      </c>
      <c r="B6577" s="6">
        <v>0.12087912087912001</v>
      </c>
      <c r="C6577" s="6">
        <v>0.30597813514669397</v>
      </c>
    </row>
    <row r="6578" spans="1:3" s="7" customFormat="1" x14ac:dyDescent="0.2">
      <c r="A6578" s="6" t="str">
        <f>"KCTD14"</f>
        <v>KCTD14</v>
      </c>
      <c r="B6578" s="6">
        <v>0.12087912087912001</v>
      </c>
      <c r="C6578" s="6">
        <v>0.30597813514669397</v>
      </c>
    </row>
    <row r="6579" spans="1:3" s="7" customFormat="1" x14ac:dyDescent="0.2">
      <c r="A6579" s="6" t="str">
        <f>"ZCWPW2"</f>
        <v>ZCWPW2</v>
      </c>
      <c r="B6579" s="6">
        <v>0.12087912087912001</v>
      </c>
      <c r="C6579" s="6">
        <v>0.30597813514669397</v>
      </c>
    </row>
    <row r="6580" spans="1:3" s="7" customFormat="1" x14ac:dyDescent="0.2">
      <c r="A6580" s="6" t="str">
        <f>"SLC17A9"</f>
        <v>SLC17A9</v>
      </c>
      <c r="B6580" s="6">
        <v>0.12087912087912001</v>
      </c>
      <c r="C6580" s="6">
        <v>0.30597813514669397</v>
      </c>
    </row>
    <row r="6581" spans="1:3" s="7" customFormat="1" x14ac:dyDescent="0.2">
      <c r="A6581" s="6" t="str">
        <f>"NAA40"</f>
        <v>NAA40</v>
      </c>
      <c r="B6581" s="6">
        <v>0.12087912087912001</v>
      </c>
      <c r="C6581" s="6">
        <v>0.30597813514669397</v>
      </c>
    </row>
    <row r="6582" spans="1:3" s="7" customFormat="1" x14ac:dyDescent="0.2">
      <c r="A6582" s="6" t="str">
        <f>"ADAMTS7"</f>
        <v>ADAMTS7</v>
      </c>
      <c r="B6582" s="6">
        <v>0.12087912087912001</v>
      </c>
      <c r="C6582" s="6">
        <v>0.30597813514669397</v>
      </c>
    </row>
    <row r="6583" spans="1:3" s="7" customFormat="1" x14ac:dyDescent="0.2">
      <c r="A6583" s="6" t="str">
        <f>"AC099063.4"</f>
        <v>AC099063.4</v>
      </c>
      <c r="B6583" s="6">
        <v>0.12087912087912001</v>
      </c>
      <c r="C6583" s="6">
        <v>0.30597813514669397</v>
      </c>
    </row>
    <row r="6584" spans="1:3" s="7" customFormat="1" x14ac:dyDescent="0.2">
      <c r="A6584" s="6" t="str">
        <f>"SRSF4"</f>
        <v>SRSF4</v>
      </c>
      <c r="B6584" s="6">
        <v>0.12087912087912001</v>
      </c>
      <c r="C6584" s="6">
        <v>0.30597813514669397</v>
      </c>
    </row>
    <row r="6585" spans="1:3" s="7" customFormat="1" x14ac:dyDescent="0.2">
      <c r="A6585" s="6" t="str">
        <f>"CPSF4"</f>
        <v>CPSF4</v>
      </c>
      <c r="B6585" s="6">
        <v>0.12087912087912001</v>
      </c>
      <c r="C6585" s="6">
        <v>0.30597813514669397</v>
      </c>
    </row>
    <row r="6586" spans="1:3" s="7" customFormat="1" x14ac:dyDescent="0.2">
      <c r="A6586" s="6" t="str">
        <f>"AC112487.1"</f>
        <v>AC112487.1</v>
      </c>
      <c r="B6586" s="6">
        <v>0.12087912087912001</v>
      </c>
      <c r="C6586" s="6">
        <v>0.30597813514669397</v>
      </c>
    </row>
    <row r="6587" spans="1:3" s="7" customFormat="1" x14ac:dyDescent="0.2">
      <c r="A6587" s="6" t="str">
        <f>"AC034154.1"</f>
        <v>AC034154.1</v>
      </c>
      <c r="B6587" s="6">
        <v>0.12087912087912001</v>
      </c>
      <c r="C6587" s="6">
        <v>0.30597813514669397</v>
      </c>
    </row>
    <row r="6588" spans="1:3" s="7" customFormat="1" x14ac:dyDescent="0.2">
      <c r="A6588" s="6" t="str">
        <f>"TRIM27"</f>
        <v>TRIM27</v>
      </c>
      <c r="B6588" s="6">
        <v>0.12087912087912001</v>
      </c>
      <c r="C6588" s="6">
        <v>0.30597813514669397</v>
      </c>
    </row>
    <row r="6589" spans="1:3" s="7" customFormat="1" x14ac:dyDescent="0.2">
      <c r="A6589" s="6" t="str">
        <f>"RN7SL138P"</f>
        <v>RN7SL138P</v>
      </c>
      <c r="B6589" s="6">
        <v>0.12087912087912001</v>
      </c>
      <c r="C6589" s="6">
        <v>0.30597813514669397</v>
      </c>
    </row>
    <row r="6590" spans="1:3" s="7" customFormat="1" x14ac:dyDescent="0.2">
      <c r="A6590" s="6" t="str">
        <f>"ACHE"</f>
        <v>ACHE</v>
      </c>
      <c r="B6590" s="6">
        <v>0.12087912087912001</v>
      </c>
      <c r="C6590" s="6">
        <v>0.30597813514669397</v>
      </c>
    </row>
    <row r="6591" spans="1:3" s="7" customFormat="1" x14ac:dyDescent="0.2">
      <c r="A6591" s="6" t="str">
        <f>"PPM1L"</f>
        <v>PPM1L</v>
      </c>
      <c r="B6591" s="6">
        <v>0.12087912087912001</v>
      </c>
      <c r="C6591" s="6">
        <v>0.30597813514669397</v>
      </c>
    </row>
    <row r="6592" spans="1:3" s="7" customFormat="1" x14ac:dyDescent="0.2">
      <c r="A6592" s="6" t="str">
        <f>"PAQR7"</f>
        <v>PAQR7</v>
      </c>
      <c r="B6592" s="6">
        <v>0.12087912087912001</v>
      </c>
      <c r="C6592" s="6">
        <v>0.30597813514669397</v>
      </c>
    </row>
    <row r="6593" spans="1:3" s="7" customFormat="1" x14ac:dyDescent="0.2">
      <c r="A6593" s="6" t="str">
        <f>"ZBED2"</f>
        <v>ZBED2</v>
      </c>
      <c r="B6593" s="6">
        <v>0.12087912087912001</v>
      </c>
      <c r="C6593" s="6">
        <v>0.30597813514669397</v>
      </c>
    </row>
    <row r="6594" spans="1:3" s="7" customFormat="1" x14ac:dyDescent="0.2">
      <c r="A6594" s="6" t="str">
        <f>"KIFC2"</f>
        <v>KIFC2</v>
      </c>
      <c r="B6594" s="6">
        <v>0.12087912087912001</v>
      </c>
      <c r="C6594" s="6">
        <v>0.30597813514669397</v>
      </c>
    </row>
    <row r="6595" spans="1:3" s="7" customFormat="1" x14ac:dyDescent="0.2">
      <c r="A6595" s="6" t="str">
        <f>"NIN"</f>
        <v>NIN</v>
      </c>
      <c r="B6595" s="6">
        <v>0.12087912087912001</v>
      </c>
      <c r="C6595" s="6">
        <v>0.30597813514669397</v>
      </c>
    </row>
    <row r="6596" spans="1:3" s="7" customFormat="1" x14ac:dyDescent="0.2">
      <c r="A6596" s="6" t="str">
        <f>"GDE1"</f>
        <v>GDE1</v>
      </c>
      <c r="B6596" s="6">
        <v>0.12087912087912001</v>
      </c>
      <c r="C6596" s="6">
        <v>0.30597813514669397</v>
      </c>
    </row>
    <row r="6597" spans="1:3" s="7" customFormat="1" x14ac:dyDescent="0.2">
      <c r="A6597" s="6" t="str">
        <f>"PRR11"</f>
        <v>PRR11</v>
      </c>
      <c r="B6597" s="6">
        <v>0.12087912087912001</v>
      </c>
      <c r="C6597" s="6">
        <v>0.30597813514669397</v>
      </c>
    </row>
    <row r="6598" spans="1:3" s="7" customFormat="1" x14ac:dyDescent="0.2">
      <c r="A6598" s="6" t="str">
        <f>"ANKRD7"</f>
        <v>ANKRD7</v>
      </c>
      <c r="B6598" s="6">
        <v>0.12087912087912001</v>
      </c>
      <c r="C6598" s="6">
        <v>0.30597813514669397</v>
      </c>
    </row>
    <row r="6599" spans="1:3" s="7" customFormat="1" x14ac:dyDescent="0.2">
      <c r="A6599" s="6" t="str">
        <f>"CXCL14"</f>
        <v>CXCL14</v>
      </c>
      <c r="B6599" s="6">
        <v>0.12087912087912001</v>
      </c>
      <c r="C6599" s="6">
        <v>0.30597813514669397</v>
      </c>
    </row>
    <row r="6600" spans="1:3" s="7" customFormat="1" x14ac:dyDescent="0.2">
      <c r="A6600" s="6" t="str">
        <f>"CFAP44"</f>
        <v>CFAP44</v>
      </c>
      <c r="B6600" s="6">
        <v>0.12087912087912001</v>
      </c>
      <c r="C6600" s="6">
        <v>0.30597813514669397</v>
      </c>
    </row>
    <row r="6601" spans="1:3" s="7" customFormat="1" x14ac:dyDescent="0.2">
      <c r="A6601" s="6" t="str">
        <f>"MEIG1"</f>
        <v>MEIG1</v>
      </c>
      <c r="B6601" s="6">
        <v>0.12087912087912001</v>
      </c>
      <c r="C6601" s="6">
        <v>0.30597813514669397</v>
      </c>
    </row>
    <row r="6602" spans="1:3" s="7" customFormat="1" x14ac:dyDescent="0.2">
      <c r="A6602" s="6" t="str">
        <f>"UAP1"</f>
        <v>UAP1</v>
      </c>
      <c r="B6602" s="6">
        <v>0.12087912087912001</v>
      </c>
      <c r="C6602" s="6">
        <v>0.30597813514669397</v>
      </c>
    </row>
    <row r="6603" spans="1:3" s="7" customFormat="1" x14ac:dyDescent="0.2">
      <c r="A6603" s="6" t="str">
        <f>"LINC00954"</f>
        <v>LINC00954</v>
      </c>
      <c r="B6603" s="6">
        <v>0.12087912087912001</v>
      </c>
      <c r="C6603" s="6">
        <v>0.30597813514669397</v>
      </c>
    </row>
    <row r="6604" spans="1:3" s="7" customFormat="1" x14ac:dyDescent="0.2">
      <c r="A6604" s="6" t="str">
        <f>"IER5"</f>
        <v>IER5</v>
      </c>
      <c r="B6604" s="6">
        <v>0.12087912087912001</v>
      </c>
      <c r="C6604" s="6">
        <v>0.30597813514669397</v>
      </c>
    </row>
    <row r="6605" spans="1:3" s="7" customFormat="1" x14ac:dyDescent="0.2">
      <c r="A6605" s="6" t="str">
        <f>"FRMPD1"</f>
        <v>FRMPD1</v>
      </c>
      <c r="B6605" s="6">
        <v>0.121</v>
      </c>
      <c r="C6605" s="6">
        <v>0.30619137017411002</v>
      </c>
    </row>
    <row r="6606" spans="1:3" s="7" customFormat="1" x14ac:dyDescent="0.2">
      <c r="A6606" s="6" t="str">
        <f>"DNAH7"</f>
        <v>DNAH7</v>
      </c>
      <c r="B6606" s="6">
        <v>0.121</v>
      </c>
      <c r="C6606" s="6">
        <v>0.30619137017411002</v>
      </c>
    </row>
    <row r="6607" spans="1:3" s="7" customFormat="1" x14ac:dyDescent="0.2">
      <c r="A6607" s="6" t="str">
        <f>"AP002495.1"</f>
        <v>AP002495.1</v>
      </c>
      <c r="B6607" s="6">
        <v>0.121334681496461</v>
      </c>
      <c r="C6607" s="6">
        <v>0.30699180540899901</v>
      </c>
    </row>
    <row r="6608" spans="1:3" s="7" customFormat="1" x14ac:dyDescent="0.2">
      <c r="A6608" s="6" t="str">
        <f>"SYT17"</f>
        <v>SYT17</v>
      </c>
      <c r="B6608" s="6">
        <v>0.121878121878121</v>
      </c>
      <c r="C6608" s="6">
        <v>0.30701897951332702</v>
      </c>
    </row>
    <row r="6609" spans="1:3" s="7" customFormat="1" x14ac:dyDescent="0.2">
      <c r="A6609" s="6" t="str">
        <f>"PAX7"</f>
        <v>PAX7</v>
      </c>
      <c r="B6609" s="6">
        <v>0.121878121878121</v>
      </c>
      <c r="C6609" s="6">
        <v>0.30701897951332702</v>
      </c>
    </row>
    <row r="6610" spans="1:3" s="7" customFormat="1" x14ac:dyDescent="0.2">
      <c r="A6610" s="6" t="str">
        <f>"CEP295NL"</f>
        <v>CEP295NL</v>
      </c>
      <c r="B6610" s="6">
        <v>0.121878121878121</v>
      </c>
      <c r="C6610" s="6">
        <v>0.30701897951332702</v>
      </c>
    </row>
    <row r="6611" spans="1:3" s="7" customFormat="1" x14ac:dyDescent="0.2">
      <c r="A6611" s="6" t="str">
        <f>"FAM238A"</f>
        <v>FAM238A</v>
      </c>
      <c r="B6611" s="6">
        <v>0.121878121878121</v>
      </c>
      <c r="C6611" s="6">
        <v>0.30701897951332702</v>
      </c>
    </row>
    <row r="6612" spans="1:3" s="7" customFormat="1" x14ac:dyDescent="0.2">
      <c r="A6612" s="6" t="str">
        <f>"CACNG4"</f>
        <v>CACNG4</v>
      </c>
      <c r="B6612" s="6">
        <v>0.121878121878121</v>
      </c>
      <c r="C6612" s="6">
        <v>0.30701897951332702</v>
      </c>
    </row>
    <row r="6613" spans="1:3" s="7" customFormat="1" x14ac:dyDescent="0.2">
      <c r="A6613" s="6" t="str">
        <f>"ERF"</f>
        <v>ERF</v>
      </c>
      <c r="B6613" s="6">
        <v>0.121878121878121</v>
      </c>
      <c r="C6613" s="6">
        <v>0.30701897951332702</v>
      </c>
    </row>
    <row r="6614" spans="1:3" s="7" customFormat="1" x14ac:dyDescent="0.2">
      <c r="A6614" s="6" t="str">
        <f>"LRRC37A11P"</f>
        <v>LRRC37A11P</v>
      </c>
      <c r="B6614" s="6">
        <v>0.121878121878121</v>
      </c>
      <c r="C6614" s="6">
        <v>0.30701897951332702</v>
      </c>
    </row>
    <row r="6615" spans="1:3" s="7" customFormat="1" x14ac:dyDescent="0.2">
      <c r="A6615" s="6" t="str">
        <f>"SLCO4A1-AS1"</f>
        <v>SLCO4A1-AS1</v>
      </c>
      <c r="B6615" s="6">
        <v>0.121878121878121</v>
      </c>
      <c r="C6615" s="6">
        <v>0.30701897951332702</v>
      </c>
    </row>
    <row r="6616" spans="1:3" s="7" customFormat="1" x14ac:dyDescent="0.2">
      <c r="A6616" s="6" t="str">
        <f>"LLPH"</f>
        <v>LLPH</v>
      </c>
      <c r="B6616" s="6">
        <v>0.121878121878121</v>
      </c>
      <c r="C6616" s="6">
        <v>0.30701897951332702</v>
      </c>
    </row>
    <row r="6617" spans="1:3" s="7" customFormat="1" x14ac:dyDescent="0.2">
      <c r="A6617" s="6" t="str">
        <f>"EFNA3"</f>
        <v>EFNA3</v>
      </c>
      <c r="B6617" s="6">
        <v>0.121878121878121</v>
      </c>
      <c r="C6617" s="6">
        <v>0.30701897951332702</v>
      </c>
    </row>
    <row r="6618" spans="1:3" s="7" customFormat="1" x14ac:dyDescent="0.2">
      <c r="A6618" s="6" t="str">
        <f>"C14orf132"</f>
        <v>C14orf132</v>
      </c>
      <c r="B6618" s="6">
        <v>0.121878121878121</v>
      </c>
      <c r="C6618" s="6">
        <v>0.30701897951332702</v>
      </c>
    </row>
    <row r="6619" spans="1:3" s="7" customFormat="1" x14ac:dyDescent="0.2">
      <c r="A6619" s="6" t="str">
        <f>"MAPK12"</f>
        <v>MAPK12</v>
      </c>
      <c r="B6619" s="6">
        <v>0.121878121878121</v>
      </c>
      <c r="C6619" s="6">
        <v>0.30701897951332702</v>
      </c>
    </row>
    <row r="6620" spans="1:3" s="7" customFormat="1" x14ac:dyDescent="0.2">
      <c r="A6620" s="6" t="str">
        <f>"ARMC6"</f>
        <v>ARMC6</v>
      </c>
      <c r="B6620" s="6">
        <v>0.121878121878121</v>
      </c>
      <c r="C6620" s="6">
        <v>0.30701897951332702</v>
      </c>
    </row>
    <row r="6621" spans="1:3" s="7" customFormat="1" x14ac:dyDescent="0.2">
      <c r="A6621" s="6" t="str">
        <f>"CWC15"</f>
        <v>CWC15</v>
      </c>
      <c r="B6621" s="6">
        <v>0.121878121878121</v>
      </c>
      <c r="C6621" s="6">
        <v>0.30701897951332702</v>
      </c>
    </row>
    <row r="6622" spans="1:3" s="7" customFormat="1" x14ac:dyDescent="0.2">
      <c r="A6622" s="6" t="str">
        <f>"AC068631.2"</f>
        <v>AC068631.2</v>
      </c>
      <c r="B6622" s="6">
        <v>0.121878121878121</v>
      </c>
      <c r="C6622" s="6">
        <v>0.30701897951332702</v>
      </c>
    </row>
    <row r="6623" spans="1:3" s="7" customFormat="1" x14ac:dyDescent="0.2">
      <c r="A6623" s="6" t="str">
        <f>"ITPR1"</f>
        <v>ITPR1</v>
      </c>
      <c r="B6623" s="6">
        <v>0.121878121878121</v>
      </c>
      <c r="C6623" s="6">
        <v>0.30701897951332702</v>
      </c>
    </row>
    <row r="6624" spans="1:3" s="7" customFormat="1" x14ac:dyDescent="0.2">
      <c r="A6624" s="6" t="str">
        <f>"CENPC"</f>
        <v>CENPC</v>
      </c>
      <c r="B6624" s="6">
        <v>0.121878121878121</v>
      </c>
      <c r="C6624" s="6">
        <v>0.30701897951332702</v>
      </c>
    </row>
    <row r="6625" spans="1:3" s="7" customFormat="1" x14ac:dyDescent="0.2">
      <c r="A6625" s="6" t="str">
        <f>"AC005726.1"</f>
        <v>AC005726.1</v>
      </c>
      <c r="B6625" s="6">
        <v>0.121878121878121</v>
      </c>
      <c r="C6625" s="6">
        <v>0.30701897951332702</v>
      </c>
    </row>
    <row r="6626" spans="1:3" s="7" customFormat="1" x14ac:dyDescent="0.2">
      <c r="A6626" s="6" t="str">
        <f>"FEM1B"</f>
        <v>FEM1B</v>
      </c>
      <c r="B6626" s="6">
        <v>0.121878121878121</v>
      </c>
      <c r="C6626" s="6">
        <v>0.30701897951332702</v>
      </c>
    </row>
    <row r="6627" spans="1:3" s="7" customFormat="1" x14ac:dyDescent="0.2">
      <c r="A6627" s="6" t="str">
        <f>"CUTALP"</f>
        <v>CUTALP</v>
      </c>
      <c r="B6627" s="6">
        <v>0.121878121878121</v>
      </c>
      <c r="C6627" s="6">
        <v>0.30701897951332702</v>
      </c>
    </row>
    <row r="6628" spans="1:3" s="7" customFormat="1" x14ac:dyDescent="0.2">
      <c r="A6628" s="6" t="str">
        <f>"AP001453.1"</f>
        <v>AP001453.1</v>
      </c>
      <c r="B6628" s="6">
        <v>0.121878121878121</v>
      </c>
      <c r="C6628" s="6">
        <v>0.30701897951332702</v>
      </c>
    </row>
    <row r="6629" spans="1:3" s="7" customFormat="1" x14ac:dyDescent="0.2">
      <c r="A6629" s="6" t="str">
        <f>"SLC12A7"</f>
        <v>SLC12A7</v>
      </c>
      <c r="B6629" s="6">
        <v>0.121878121878121</v>
      </c>
      <c r="C6629" s="6">
        <v>0.30701897951332702</v>
      </c>
    </row>
    <row r="6630" spans="1:3" s="7" customFormat="1" x14ac:dyDescent="0.2">
      <c r="A6630" s="6" t="str">
        <f>"SCAMP5"</f>
        <v>SCAMP5</v>
      </c>
      <c r="B6630" s="6">
        <v>0.121878121878121</v>
      </c>
      <c r="C6630" s="6">
        <v>0.30701897951332702</v>
      </c>
    </row>
    <row r="6631" spans="1:3" s="7" customFormat="1" x14ac:dyDescent="0.2">
      <c r="A6631" s="6" t="str">
        <f>"RTL6"</f>
        <v>RTL6</v>
      </c>
      <c r="B6631" s="6">
        <v>0.121878121878121</v>
      </c>
      <c r="C6631" s="6">
        <v>0.30701897951332702</v>
      </c>
    </row>
    <row r="6632" spans="1:3" s="7" customFormat="1" x14ac:dyDescent="0.2">
      <c r="A6632" s="6" t="str">
        <f>"NIPSNAP1"</f>
        <v>NIPSNAP1</v>
      </c>
      <c r="B6632" s="6">
        <v>0.121878121878121</v>
      </c>
      <c r="C6632" s="6">
        <v>0.30701897951332702</v>
      </c>
    </row>
    <row r="6633" spans="1:3" s="7" customFormat="1" x14ac:dyDescent="0.2">
      <c r="A6633" s="6" t="str">
        <f>"SLC22A16"</f>
        <v>SLC22A16</v>
      </c>
      <c r="B6633" s="6">
        <v>0.121878121878121</v>
      </c>
      <c r="C6633" s="6">
        <v>0.30701897951332702</v>
      </c>
    </row>
    <row r="6634" spans="1:3" s="7" customFormat="1" x14ac:dyDescent="0.2">
      <c r="A6634" s="6" t="str">
        <f>"TK2"</f>
        <v>TK2</v>
      </c>
      <c r="B6634" s="6">
        <v>0.121878121878121</v>
      </c>
      <c r="C6634" s="6">
        <v>0.30701897951332702</v>
      </c>
    </row>
    <row r="6635" spans="1:3" s="7" customFormat="1" x14ac:dyDescent="0.2">
      <c r="A6635" s="6" t="str">
        <f>"AC005837.1"</f>
        <v>AC005837.1</v>
      </c>
      <c r="B6635" s="6">
        <v>0.121878121878121</v>
      </c>
      <c r="C6635" s="6">
        <v>0.30701897951332702</v>
      </c>
    </row>
    <row r="6636" spans="1:3" s="7" customFormat="1" x14ac:dyDescent="0.2">
      <c r="A6636" s="6" t="str">
        <f>"KANSL1-AS1"</f>
        <v>KANSL1-AS1</v>
      </c>
      <c r="B6636" s="6">
        <v>0.121878121878121</v>
      </c>
      <c r="C6636" s="6">
        <v>0.30701897951332702</v>
      </c>
    </row>
    <row r="6637" spans="1:3" s="7" customFormat="1" x14ac:dyDescent="0.2">
      <c r="A6637" s="6" t="str">
        <f>"SLC25A10"</f>
        <v>SLC25A10</v>
      </c>
      <c r="B6637" s="6">
        <v>0.122</v>
      </c>
      <c r="C6637" s="6">
        <v>0.30718710454956299</v>
      </c>
    </row>
    <row r="6638" spans="1:3" s="7" customFormat="1" x14ac:dyDescent="0.2">
      <c r="A6638" s="6" t="str">
        <f>"SLC22A23"</f>
        <v>SLC22A23</v>
      </c>
      <c r="B6638" s="6">
        <v>0.122</v>
      </c>
      <c r="C6638" s="6">
        <v>0.30718710454956299</v>
      </c>
    </row>
    <row r="6639" spans="1:3" s="7" customFormat="1" x14ac:dyDescent="0.2">
      <c r="A6639" s="6" t="str">
        <f>"MRPL52"</f>
        <v>MRPL52</v>
      </c>
      <c r="B6639" s="6">
        <v>0.122</v>
      </c>
      <c r="C6639" s="6">
        <v>0.30718710454956299</v>
      </c>
    </row>
    <row r="6640" spans="1:3" s="7" customFormat="1" x14ac:dyDescent="0.2">
      <c r="A6640" s="6" t="str">
        <f>"SUGT1P3"</f>
        <v>SUGT1P3</v>
      </c>
      <c r="B6640" s="6">
        <v>0.12212212212212201</v>
      </c>
      <c r="C6640" s="6">
        <v>0.30744828274576702</v>
      </c>
    </row>
    <row r="6641" spans="1:3" s="7" customFormat="1" x14ac:dyDescent="0.2">
      <c r="A6641" s="6" t="str">
        <f>"AC016999.1"</f>
        <v>AC016999.1</v>
      </c>
      <c r="B6641" s="6">
        <v>0.122427983539094</v>
      </c>
      <c r="C6641" s="6">
        <v>0.30817188507114801</v>
      </c>
    </row>
    <row r="6642" spans="1:3" s="7" customFormat="1" x14ac:dyDescent="0.2">
      <c r="A6642" s="6" t="str">
        <f>"KIR2DL3"</f>
        <v>KIR2DL3</v>
      </c>
      <c r="B6642" s="6">
        <v>0.12287712287712201</v>
      </c>
      <c r="C6642" s="6">
        <v>0.30828103148727498</v>
      </c>
    </row>
    <row r="6643" spans="1:3" s="7" customFormat="1" x14ac:dyDescent="0.2">
      <c r="A6643" s="6" t="str">
        <f>"ZNF670"</f>
        <v>ZNF670</v>
      </c>
      <c r="B6643" s="6">
        <v>0.12287712287712201</v>
      </c>
      <c r="C6643" s="6">
        <v>0.30828103148727498</v>
      </c>
    </row>
    <row r="6644" spans="1:3" s="7" customFormat="1" x14ac:dyDescent="0.2">
      <c r="A6644" s="6" t="str">
        <f>"NUAK2"</f>
        <v>NUAK2</v>
      </c>
      <c r="B6644" s="6">
        <v>0.12287712287712201</v>
      </c>
      <c r="C6644" s="6">
        <v>0.30828103148727498</v>
      </c>
    </row>
    <row r="6645" spans="1:3" s="7" customFormat="1" x14ac:dyDescent="0.2">
      <c r="A6645" s="6" t="str">
        <f>"AL390778.2"</f>
        <v>AL390778.2</v>
      </c>
      <c r="B6645" s="6">
        <v>0.12287712287712201</v>
      </c>
      <c r="C6645" s="6">
        <v>0.30828103148727498</v>
      </c>
    </row>
    <row r="6646" spans="1:3" s="7" customFormat="1" x14ac:dyDescent="0.2">
      <c r="A6646" s="6" t="str">
        <f>"TUBB2B"</f>
        <v>TUBB2B</v>
      </c>
      <c r="B6646" s="6">
        <v>0.12287712287712201</v>
      </c>
      <c r="C6646" s="6">
        <v>0.30828103148727498</v>
      </c>
    </row>
    <row r="6647" spans="1:3" s="7" customFormat="1" x14ac:dyDescent="0.2">
      <c r="A6647" s="6" t="str">
        <f>"SENP3-EIF4A1"</f>
        <v>SENP3-EIF4A1</v>
      </c>
      <c r="B6647" s="6">
        <v>0.12287712287712201</v>
      </c>
      <c r="C6647" s="6">
        <v>0.30828103148727498</v>
      </c>
    </row>
    <row r="6648" spans="1:3" s="7" customFormat="1" x14ac:dyDescent="0.2">
      <c r="A6648" s="6" t="str">
        <f>"ZNF569"</f>
        <v>ZNF569</v>
      </c>
      <c r="B6648" s="6">
        <v>0.12287712287712201</v>
      </c>
      <c r="C6648" s="6">
        <v>0.30828103148727498</v>
      </c>
    </row>
    <row r="6649" spans="1:3" s="7" customFormat="1" x14ac:dyDescent="0.2">
      <c r="A6649" s="6" t="str">
        <f>"PIPOX"</f>
        <v>PIPOX</v>
      </c>
      <c r="B6649" s="6">
        <v>0.12287712287712201</v>
      </c>
      <c r="C6649" s="6">
        <v>0.30828103148727498</v>
      </c>
    </row>
    <row r="6650" spans="1:3" s="7" customFormat="1" x14ac:dyDescent="0.2">
      <c r="A6650" s="6" t="str">
        <f>"CATSPERG"</f>
        <v>CATSPERG</v>
      </c>
      <c r="B6650" s="6">
        <v>0.12287712287712201</v>
      </c>
      <c r="C6650" s="6">
        <v>0.30828103148727498</v>
      </c>
    </row>
    <row r="6651" spans="1:3" s="7" customFormat="1" x14ac:dyDescent="0.2">
      <c r="A6651" s="6" t="str">
        <f>"ARID2"</f>
        <v>ARID2</v>
      </c>
      <c r="B6651" s="6">
        <v>0.12287712287712201</v>
      </c>
      <c r="C6651" s="6">
        <v>0.30828103148727498</v>
      </c>
    </row>
    <row r="6652" spans="1:3" s="7" customFormat="1" x14ac:dyDescent="0.2">
      <c r="A6652" s="6" t="str">
        <f>"KIR2DL4"</f>
        <v>KIR2DL4</v>
      </c>
      <c r="B6652" s="6">
        <v>0.12287712287712201</v>
      </c>
      <c r="C6652" s="6">
        <v>0.30828103148727498</v>
      </c>
    </row>
    <row r="6653" spans="1:3" s="7" customFormat="1" x14ac:dyDescent="0.2">
      <c r="A6653" s="6" t="str">
        <f>"SETDB2"</f>
        <v>SETDB2</v>
      </c>
      <c r="B6653" s="6">
        <v>0.12287712287712201</v>
      </c>
      <c r="C6653" s="6">
        <v>0.30828103148727498</v>
      </c>
    </row>
    <row r="6654" spans="1:3" s="7" customFormat="1" x14ac:dyDescent="0.2">
      <c r="A6654" s="6" t="str">
        <f>"AMMECR1"</f>
        <v>AMMECR1</v>
      </c>
      <c r="B6654" s="6">
        <v>0.12287712287712201</v>
      </c>
      <c r="C6654" s="6">
        <v>0.30828103148727498</v>
      </c>
    </row>
    <row r="6655" spans="1:3" s="7" customFormat="1" x14ac:dyDescent="0.2">
      <c r="A6655" s="6" t="str">
        <f>"C10orf67"</f>
        <v>C10orf67</v>
      </c>
      <c r="B6655" s="6">
        <v>0.12287712287712201</v>
      </c>
      <c r="C6655" s="6">
        <v>0.30828103148727498</v>
      </c>
    </row>
    <row r="6656" spans="1:3" s="7" customFormat="1" x14ac:dyDescent="0.2">
      <c r="A6656" s="6" t="str">
        <f>"TMBIM6"</f>
        <v>TMBIM6</v>
      </c>
      <c r="B6656" s="6">
        <v>0.12287712287712201</v>
      </c>
      <c r="C6656" s="6">
        <v>0.30828103148727498</v>
      </c>
    </row>
    <row r="6657" spans="1:3" s="7" customFormat="1" x14ac:dyDescent="0.2">
      <c r="A6657" s="6" t="str">
        <f>"RABGAP1L-DT"</f>
        <v>RABGAP1L-DT</v>
      </c>
      <c r="B6657" s="6">
        <v>0.12287712287712201</v>
      </c>
      <c r="C6657" s="6">
        <v>0.30828103148727498</v>
      </c>
    </row>
    <row r="6658" spans="1:3" s="7" customFormat="1" x14ac:dyDescent="0.2">
      <c r="A6658" s="6" t="str">
        <f>"ANKRD54"</f>
        <v>ANKRD54</v>
      </c>
      <c r="B6658" s="6">
        <v>0.12287712287712201</v>
      </c>
      <c r="C6658" s="6">
        <v>0.30828103148727498</v>
      </c>
    </row>
    <row r="6659" spans="1:3" s="7" customFormat="1" x14ac:dyDescent="0.2">
      <c r="A6659" s="6" t="str">
        <f>"SLC22A18AS"</f>
        <v>SLC22A18AS</v>
      </c>
      <c r="B6659" s="6">
        <v>0.12287712287712201</v>
      </c>
      <c r="C6659" s="6">
        <v>0.30828103148727498</v>
      </c>
    </row>
    <row r="6660" spans="1:3" s="7" customFormat="1" x14ac:dyDescent="0.2">
      <c r="A6660" s="6" t="str">
        <f>"SLC20A1"</f>
        <v>SLC20A1</v>
      </c>
      <c r="B6660" s="6">
        <v>0.12287712287712201</v>
      </c>
      <c r="C6660" s="6">
        <v>0.30828103148727498</v>
      </c>
    </row>
    <row r="6661" spans="1:3" s="7" customFormat="1" x14ac:dyDescent="0.2">
      <c r="A6661" s="6" t="str">
        <f>"KANK2"</f>
        <v>KANK2</v>
      </c>
      <c r="B6661" s="6">
        <v>0.12287712287712201</v>
      </c>
      <c r="C6661" s="6">
        <v>0.30828103148727498</v>
      </c>
    </row>
    <row r="6662" spans="1:3" s="7" customFormat="1" x14ac:dyDescent="0.2">
      <c r="A6662" s="6" t="str">
        <f>"IDE"</f>
        <v>IDE</v>
      </c>
      <c r="B6662" s="6">
        <v>0.12287712287712201</v>
      </c>
      <c r="C6662" s="6">
        <v>0.30828103148727498</v>
      </c>
    </row>
    <row r="6663" spans="1:3" s="7" customFormat="1" x14ac:dyDescent="0.2">
      <c r="A6663" s="6" t="str">
        <f>"LCN2"</f>
        <v>LCN2</v>
      </c>
      <c r="B6663" s="6">
        <v>0.12287712287712201</v>
      </c>
      <c r="C6663" s="6">
        <v>0.30828103148727498</v>
      </c>
    </row>
    <row r="6664" spans="1:3" s="7" customFormat="1" x14ac:dyDescent="0.2">
      <c r="A6664" s="6" t="str">
        <f>"PCDH11Y"</f>
        <v>PCDH11Y</v>
      </c>
      <c r="B6664" s="6">
        <v>0.123</v>
      </c>
      <c r="C6664" s="6">
        <v>0.30849669867947099</v>
      </c>
    </row>
    <row r="6665" spans="1:3" s="7" customFormat="1" x14ac:dyDescent="0.2">
      <c r="A6665" s="6" t="str">
        <f>"AC079035.1"</f>
        <v>AC079035.1</v>
      </c>
      <c r="B6665" s="6">
        <v>0.123</v>
      </c>
      <c r="C6665" s="6">
        <v>0.30849669867947099</v>
      </c>
    </row>
    <row r="6666" spans="1:3" s="7" customFormat="1" x14ac:dyDescent="0.2">
      <c r="A6666" s="6" t="str">
        <f>"MBLAC1"</f>
        <v>MBLAC1</v>
      </c>
      <c r="B6666" s="6">
        <v>0.123123123123123</v>
      </c>
      <c r="C6666" s="6">
        <v>0.30875917177492501</v>
      </c>
    </row>
    <row r="6667" spans="1:3" s="7" customFormat="1" x14ac:dyDescent="0.2">
      <c r="A6667" s="6" t="str">
        <f>"AC079174.2"</f>
        <v>AC079174.2</v>
      </c>
      <c r="B6667" s="6">
        <v>0.123246492985971</v>
      </c>
      <c r="C6667" s="6">
        <v>0.30902218478360799</v>
      </c>
    </row>
    <row r="6668" spans="1:3" s="7" customFormat="1" x14ac:dyDescent="0.2">
      <c r="A6668" s="6" t="str">
        <f>"JAZF1"</f>
        <v>JAZF1</v>
      </c>
      <c r="B6668" s="6">
        <v>0.123876123876123</v>
      </c>
      <c r="C6668" s="6">
        <v>0.309209309209309</v>
      </c>
    </row>
    <row r="6669" spans="1:3" s="7" customFormat="1" x14ac:dyDescent="0.2">
      <c r="A6669" s="6" t="str">
        <f>"CBX6"</f>
        <v>CBX6</v>
      </c>
      <c r="B6669" s="6">
        <v>0.123876123876123</v>
      </c>
      <c r="C6669" s="6">
        <v>0.309209309209309</v>
      </c>
    </row>
    <row r="6670" spans="1:3" s="7" customFormat="1" x14ac:dyDescent="0.2">
      <c r="A6670" s="6" t="str">
        <f>"AC025175.2"</f>
        <v>AC025175.2</v>
      </c>
      <c r="B6670" s="6">
        <v>0.123417721518987</v>
      </c>
      <c r="C6670" s="6">
        <v>0.309209309209309</v>
      </c>
    </row>
    <row r="6671" spans="1:3" s="7" customFormat="1" x14ac:dyDescent="0.2">
      <c r="A6671" s="6" t="str">
        <f>"GASK1A"</f>
        <v>GASK1A</v>
      </c>
      <c r="B6671" s="6">
        <v>0.123876123876123</v>
      </c>
      <c r="C6671" s="6">
        <v>0.309209309209309</v>
      </c>
    </row>
    <row r="6672" spans="1:3" s="7" customFormat="1" x14ac:dyDescent="0.2">
      <c r="A6672" s="6" t="str">
        <f>"ZNF575"</f>
        <v>ZNF575</v>
      </c>
      <c r="B6672" s="6">
        <v>0.123876123876123</v>
      </c>
      <c r="C6672" s="6">
        <v>0.309209309209309</v>
      </c>
    </row>
    <row r="6673" spans="1:3" s="7" customFormat="1" x14ac:dyDescent="0.2">
      <c r="A6673" s="6" t="str">
        <f>"ZNF787"</f>
        <v>ZNF787</v>
      </c>
      <c r="B6673" s="6">
        <v>0.123876123876123</v>
      </c>
      <c r="C6673" s="6">
        <v>0.309209309209309</v>
      </c>
    </row>
    <row r="6674" spans="1:3" s="7" customFormat="1" x14ac:dyDescent="0.2">
      <c r="A6674" s="6" t="str">
        <f>"GARS1-DT"</f>
        <v>GARS1-DT</v>
      </c>
      <c r="B6674" s="6">
        <v>0.123876123876123</v>
      </c>
      <c r="C6674" s="6">
        <v>0.309209309209309</v>
      </c>
    </row>
    <row r="6675" spans="1:3" s="7" customFormat="1" x14ac:dyDescent="0.2">
      <c r="A6675" s="6" t="str">
        <f>"FAM221B"</f>
        <v>FAM221B</v>
      </c>
      <c r="B6675" s="6">
        <v>0.123876123876123</v>
      </c>
      <c r="C6675" s="6">
        <v>0.309209309209309</v>
      </c>
    </row>
    <row r="6676" spans="1:3" s="7" customFormat="1" x14ac:dyDescent="0.2">
      <c r="A6676" s="6" t="str">
        <f>"ZNF571-AS1"</f>
        <v>ZNF571-AS1</v>
      </c>
      <c r="B6676" s="6">
        <v>0.123876123876123</v>
      </c>
      <c r="C6676" s="6">
        <v>0.309209309209309</v>
      </c>
    </row>
    <row r="6677" spans="1:3" s="7" customFormat="1" x14ac:dyDescent="0.2">
      <c r="A6677" s="6" t="str">
        <f>"AIFM2"</f>
        <v>AIFM2</v>
      </c>
      <c r="B6677" s="6">
        <v>0.123876123876123</v>
      </c>
      <c r="C6677" s="6">
        <v>0.309209309209309</v>
      </c>
    </row>
    <row r="6678" spans="1:3" s="7" customFormat="1" x14ac:dyDescent="0.2">
      <c r="A6678" s="6" t="str">
        <f>"ZNF684"</f>
        <v>ZNF684</v>
      </c>
      <c r="B6678" s="6">
        <v>0.123876123876123</v>
      </c>
      <c r="C6678" s="6">
        <v>0.309209309209309</v>
      </c>
    </row>
    <row r="6679" spans="1:3" s="7" customFormat="1" x14ac:dyDescent="0.2">
      <c r="A6679" s="6" t="str">
        <f>"TAF1A-AS1"</f>
        <v>TAF1A-AS1</v>
      </c>
      <c r="B6679" s="6">
        <v>0.123876123876123</v>
      </c>
      <c r="C6679" s="6">
        <v>0.309209309209309</v>
      </c>
    </row>
    <row r="6680" spans="1:3" s="7" customFormat="1" x14ac:dyDescent="0.2">
      <c r="A6680" s="6" t="str">
        <f>"SLC35A2"</f>
        <v>SLC35A2</v>
      </c>
      <c r="B6680" s="6">
        <v>0.123876123876123</v>
      </c>
      <c r="C6680" s="6">
        <v>0.309209309209309</v>
      </c>
    </row>
    <row r="6681" spans="1:3" s="7" customFormat="1" x14ac:dyDescent="0.2">
      <c r="A6681" s="6" t="str">
        <f>"ULBP2"</f>
        <v>ULBP2</v>
      </c>
      <c r="B6681" s="6">
        <v>0.123876123876123</v>
      </c>
      <c r="C6681" s="6">
        <v>0.309209309209309</v>
      </c>
    </row>
    <row r="6682" spans="1:3" s="7" customFormat="1" x14ac:dyDescent="0.2">
      <c r="A6682" s="6" t="str">
        <f>"PITPNM2"</f>
        <v>PITPNM2</v>
      </c>
      <c r="B6682" s="6">
        <v>0.123876123876123</v>
      </c>
      <c r="C6682" s="6">
        <v>0.309209309209309</v>
      </c>
    </row>
    <row r="6683" spans="1:3" s="7" customFormat="1" x14ac:dyDescent="0.2">
      <c r="A6683" s="6" t="str">
        <f>"MVB12B"</f>
        <v>MVB12B</v>
      </c>
      <c r="B6683" s="6">
        <v>0.123876123876123</v>
      </c>
      <c r="C6683" s="6">
        <v>0.309209309209309</v>
      </c>
    </row>
    <row r="6684" spans="1:3" s="7" customFormat="1" x14ac:dyDescent="0.2">
      <c r="A6684" s="6" t="str">
        <f>"MINAR1"</f>
        <v>MINAR1</v>
      </c>
      <c r="B6684" s="6">
        <v>0.123876123876123</v>
      </c>
      <c r="C6684" s="6">
        <v>0.309209309209309</v>
      </c>
    </row>
    <row r="6685" spans="1:3" s="7" customFormat="1" x14ac:dyDescent="0.2">
      <c r="A6685" s="6" t="str">
        <f>"MROH3P"</f>
        <v>MROH3P</v>
      </c>
      <c r="B6685" s="6">
        <v>0.123876123876123</v>
      </c>
      <c r="C6685" s="6">
        <v>0.309209309209309</v>
      </c>
    </row>
    <row r="6686" spans="1:3" s="7" customFormat="1" x14ac:dyDescent="0.2">
      <c r="A6686" s="6" t="str">
        <f>"MRAP2"</f>
        <v>MRAP2</v>
      </c>
      <c r="B6686" s="6">
        <v>0.123876123876123</v>
      </c>
      <c r="C6686" s="6">
        <v>0.309209309209309</v>
      </c>
    </row>
    <row r="6687" spans="1:3" s="7" customFormat="1" x14ac:dyDescent="0.2">
      <c r="A6687" s="6" t="str">
        <f>"PSMB10"</f>
        <v>PSMB10</v>
      </c>
      <c r="B6687" s="6">
        <v>0.123876123876123</v>
      </c>
      <c r="C6687" s="6">
        <v>0.309209309209309</v>
      </c>
    </row>
    <row r="6688" spans="1:3" s="7" customFormat="1" x14ac:dyDescent="0.2">
      <c r="A6688" s="6" t="str">
        <f>"GFUS"</f>
        <v>GFUS</v>
      </c>
      <c r="B6688" s="6">
        <v>0.123876123876123</v>
      </c>
      <c r="C6688" s="6">
        <v>0.309209309209309</v>
      </c>
    </row>
    <row r="6689" spans="1:3" s="7" customFormat="1" x14ac:dyDescent="0.2">
      <c r="A6689" s="6" t="str">
        <f>"TIGIT"</f>
        <v>TIGIT</v>
      </c>
      <c r="B6689" s="6">
        <v>0.123876123876123</v>
      </c>
      <c r="C6689" s="6">
        <v>0.309209309209309</v>
      </c>
    </row>
    <row r="6690" spans="1:3" s="7" customFormat="1" x14ac:dyDescent="0.2">
      <c r="A6690" s="6" t="str">
        <f>"NGRN"</f>
        <v>NGRN</v>
      </c>
      <c r="B6690" s="6">
        <v>0.123876123876123</v>
      </c>
      <c r="C6690" s="6">
        <v>0.309209309209309</v>
      </c>
    </row>
    <row r="6691" spans="1:3" s="7" customFormat="1" x14ac:dyDescent="0.2">
      <c r="A6691" s="6" t="str">
        <f>"AC116533.1"</f>
        <v>AC116533.1</v>
      </c>
      <c r="B6691" s="6">
        <v>0.123876123876123</v>
      </c>
      <c r="C6691" s="6">
        <v>0.309209309209309</v>
      </c>
    </row>
    <row r="6692" spans="1:3" s="7" customFormat="1" x14ac:dyDescent="0.2">
      <c r="A6692" s="6" t="str">
        <f>"PSMC3IP"</f>
        <v>PSMC3IP</v>
      </c>
      <c r="B6692" s="6">
        <v>0.123876123876123</v>
      </c>
      <c r="C6692" s="6">
        <v>0.309209309209309</v>
      </c>
    </row>
    <row r="6693" spans="1:3" s="7" customFormat="1" x14ac:dyDescent="0.2">
      <c r="A6693" s="6" t="str">
        <f>"EIF2AK3"</f>
        <v>EIF2AK3</v>
      </c>
      <c r="B6693" s="6">
        <v>0.123876123876123</v>
      </c>
      <c r="C6693" s="6">
        <v>0.309209309209309</v>
      </c>
    </row>
    <row r="6694" spans="1:3" s="7" customFormat="1" x14ac:dyDescent="0.2">
      <c r="A6694" s="6" t="str">
        <f>"SPEF1"</f>
        <v>SPEF1</v>
      </c>
      <c r="B6694" s="6">
        <v>0.123876123876123</v>
      </c>
      <c r="C6694" s="6">
        <v>0.309209309209309</v>
      </c>
    </row>
    <row r="6695" spans="1:3" s="7" customFormat="1" x14ac:dyDescent="0.2">
      <c r="A6695" s="6" t="str">
        <f>"DSCAML1"</f>
        <v>DSCAML1</v>
      </c>
      <c r="B6695" s="6">
        <v>0.123876123876123</v>
      </c>
      <c r="C6695" s="6">
        <v>0.309209309209309</v>
      </c>
    </row>
    <row r="6696" spans="1:3" s="7" customFormat="1" x14ac:dyDescent="0.2">
      <c r="A6696" s="6" t="str">
        <f>"CD40"</f>
        <v>CD40</v>
      </c>
      <c r="B6696" s="6">
        <v>0.123876123876123</v>
      </c>
      <c r="C6696" s="6">
        <v>0.309209309209309</v>
      </c>
    </row>
    <row r="6697" spans="1:3" s="7" customFormat="1" x14ac:dyDescent="0.2">
      <c r="A6697" s="6" t="str">
        <f>"RTKN"</f>
        <v>RTKN</v>
      </c>
      <c r="B6697" s="6">
        <v>0.123876123876123</v>
      </c>
      <c r="C6697" s="6">
        <v>0.309209309209309</v>
      </c>
    </row>
    <row r="6698" spans="1:3" s="7" customFormat="1" x14ac:dyDescent="0.2">
      <c r="A6698" s="6" t="str">
        <f>"PIGQ"</f>
        <v>PIGQ</v>
      </c>
      <c r="B6698" s="6">
        <v>0.124</v>
      </c>
      <c r="C6698" s="6">
        <v>0.30942609734248999</v>
      </c>
    </row>
    <row r="6699" spans="1:3" s="7" customFormat="1" x14ac:dyDescent="0.2">
      <c r="A6699" s="6" t="str">
        <f>"FAM110C"</f>
        <v>FAM110C</v>
      </c>
      <c r="B6699" s="6">
        <v>0.124</v>
      </c>
      <c r="C6699" s="6">
        <v>0.30942609734248999</v>
      </c>
    </row>
    <row r="6700" spans="1:3" s="7" customFormat="1" x14ac:dyDescent="0.2">
      <c r="A6700" s="6" t="str">
        <f>"AP003390.1"</f>
        <v>AP003390.1</v>
      </c>
      <c r="B6700" s="6">
        <v>0.12412412412412401</v>
      </c>
      <c r="C6700" s="6">
        <v>0.30964337471800102</v>
      </c>
    </row>
    <row r="6701" spans="1:3" s="7" customFormat="1" x14ac:dyDescent="0.2">
      <c r="A6701" s="6" t="str">
        <f>"SIRPAP1"</f>
        <v>SIRPAP1</v>
      </c>
      <c r="B6701" s="6">
        <v>0.12412412412412401</v>
      </c>
      <c r="C6701" s="6">
        <v>0.30964337471800102</v>
      </c>
    </row>
    <row r="6702" spans="1:3" s="7" customFormat="1" x14ac:dyDescent="0.2">
      <c r="A6702" s="6" t="str">
        <f>"POP1"</f>
        <v>POP1</v>
      </c>
      <c r="B6702" s="6">
        <v>0.12487512487512401</v>
      </c>
      <c r="C6702" s="6">
        <v>0.31017429590768802</v>
      </c>
    </row>
    <row r="6703" spans="1:3" s="7" customFormat="1" x14ac:dyDescent="0.2">
      <c r="A6703" s="6" t="str">
        <f>"DIPK1A"</f>
        <v>DIPK1A</v>
      </c>
      <c r="B6703" s="6">
        <v>0.12487512487512401</v>
      </c>
      <c r="C6703" s="6">
        <v>0.31017429590768802</v>
      </c>
    </row>
    <row r="6704" spans="1:3" s="7" customFormat="1" x14ac:dyDescent="0.2">
      <c r="A6704" s="6" t="str">
        <f>"RASGRP3"</f>
        <v>RASGRP3</v>
      </c>
      <c r="B6704" s="6">
        <v>0.12487512487512401</v>
      </c>
      <c r="C6704" s="6">
        <v>0.31017429590768802</v>
      </c>
    </row>
    <row r="6705" spans="1:3" s="7" customFormat="1" x14ac:dyDescent="0.2">
      <c r="A6705" s="6" t="str">
        <f>"GATD1"</f>
        <v>GATD1</v>
      </c>
      <c r="B6705" s="6">
        <v>0.12487512487512401</v>
      </c>
      <c r="C6705" s="6">
        <v>0.31017429590768802</v>
      </c>
    </row>
    <row r="6706" spans="1:3" s="7" customFormat="1" x14ac:dyDescent="0.2">
      <c r="A6706" s="6" t="str">
        <f>"UNC5B"</f>
        <v>UNC5B</v>
      </c>
      <c r="B6706" s="6">
        <v>0.12487512487512401</v>
      </c>
      <c r="C6706" s="6">
        <v>0.31017429590768802</v>
      </c>
    </row>
    <row r="6707" spans="1:3" s="7" customFormat="1" x14ac:dyDescent="0.2">
      <c r="A6707" s="6" t="str">
        <f>"TRAM1L1"</f>
        <v>TRAM1L1</v>
      </c>
      <c r="B6707" s="6">
        <v>0.12487512487512401</v>
      </c>
      <c r="C6707" s="6">
        <v>0.31017429590768802</v>
      </c>
    </row>
    <row r="6708" spans="1:3" s="7" customFormat="1" x14ac:dyDescent="0.2">
      <c r="A6708" s="6" t="str">
        <f>"SNHG9"</f>
        <v>SNHG9</v>
      </c>
      <c r="B6708" s="6">
        <v>0.12487512487512401</v>
      </c>
      <c r="C6708" s="6">
        <v>0.31017429590768802</v>
      </c>
    </row>
    <row r="6709" spans="1:3" s="7" customFormat="1" x14ac:dyDescent="0.2">
      <c r="A6709" s="6" t="str">
        <f>"HES6"</f>
        <v>HES6</v>
      </c>
      <c r="B6709" s="6">
        <v>0.12487512487512401</v>
      </c>
      <c r="C6709" s="6">
        <v>0.31017429590768802</v>
      </c>
    </row>
    <row r="6710" spans="1:3" s="7" customFormat="1" x14ac:dyDescent="0.2">
      <c r="A6710" s="6" t="str">
        <f>"FAM229A"</f>
        <v>FAM229A</v>
      </c>
      <c r="B6710" s="6">
        <v>0.12487512487512401</v>
      </c>
      <c r="C6710" s="6">
        <v>0.31017429590768802</v>
      </c>
    </row>
    <row r="6711" spans="1:3" s="7" customFormat="1" x14ac:dyDescent="0.2">
      <c r="A6711" s="6" t="str">
        <f>"ZFPM1"</f>
        <v>ZFPM1</v>
      </c>
      <c r="B6711" s="6">
        <v>0.12487512487512401</v>
      </c>
      <c r="C6711" s="6">
        <v>0.31017429590768802</v>
      </c>
    </row>
    <row r="6712" spans="1:3" s="7" customFormat="1" x14ac:dyDescent="0.2">
      <c r="A6712" s="6" t="str">
        <f>"AC016907.2"</f>
        <v>AC016907.2</v>
      </c>
      <c r="B6712" s="6">
        <v>0.12487512487512401</v>
      </c>
      <c r="C6712" s="6">
        <v>0.31017429590768802</v>
      </c>
    </row>
    <row r="6713" spans="1:3" s="7" customFormat="1" x14ac:dyDescent="0.2">
      <c r="A6713" s="6" t="str">
        <f>"CLDN8"</f>
        <v>CLDN8</v>
      </c>
      <c r="B6713" s="6">
        <v>0.12487512487512401</v>
      </c>
      <c r="C6713" s="6">
        <v>0.31017429590768802</v>
      </c>
    </row>
    <row r="6714" spans="1:3" s="7" customFormat="1" x14ac:dyDescent="0.2">
      <c r="A6714" s="6" t="str">
        <f>"MORC2"</f>
        <v>MORC2</v>
      </c>
      <c r="B6714" s="6">
        <v>0.12487512487512401</v>
      </c>
      <c r="C6714" s="6">
        <v>0.31017429590768802</v>
      </c>
    </row>
    <row r="6715" spans="1:3" s="7" customFormat="1" x14ac:dyDescent="0.2">
      <c r="A6715" s="6" t="str">
        <f>"HERC2"</f>
        <v>HERC2</v>
      </c>
      <c r="B6715" s="6">
        <v>0.12487512487512401</v>
      </c>
      <c r="C6715" s="6">
        <v>0.31017429590768802</v>
      </c>
    </row>
    <row r="6716" spans="1:3" s="7" customFormat="1" x14ac:dyDescent="0.2">
      <c r="A6716" s="6" t="str">
        <f>"AF186192.2"</f>
        <v>AF186192.2</v>
      </c>
      <c r="B6716" s="6">
        <v>0.12487512487512401</v>
      </c>
      <c r="C6716" s="6">
        <v>0.31017429590768802</v>
      </c>
    </row>
    <row r="6717" spans="1:3" s="7" customFormat="1" x14ac:dyDescent="0.2">
      <c r="A6717" s="6" t="str">
        <f>"CFAP43"</f>
        <v>CFAP43</v>
      </c>
      <c r="B6717" s="6">
        <v>0.12487512487512401</v>
      </c>
      <c r="C6717" s="6">
        <v>0.31017429590768802</v>
      </c>
    </row>
    <row r="6718" spans="1:3" s="7" customFormat="1" x14ac:dyDescent="0.2">
      <c r="A6718" s="6" t="str">
        <f>"PRC1"</f>
        <v>PRC1</v>
      </c>
      <c r="B6718" s="6">
        <v>0.12487512487512401</v>
      </c>
      <c r="C6718" s="6">
        <v>0.31017429590768802</v>
      </c>
    </row>
    <row r="6719" spans="1:3" s="7" customFormat="1" x14ac:dyDescent="0.2">
      <c r="A6719" s="6" t="str">
        <f>"NHLRC4"</f>
        <v>NHLRC4</v>
      </c>
      <c r="B6719" s="6">
        <v>0.12487512487512401</v>
      </c>
      <c r="C6719" s="6">
        <v>0.31017429590768802</v>
      </c>
    </row>
    <row r="6720" spans="1:3" s="7" customFormat="1" x14ac:dyDescent="0.2">
      <c r="A6720" s="6" t="str">
        <f>"ABRACL"</f>
        <v>ABRACL</v>
      </c>
      <c r="B6720" s="6">
        <v>0.12487512487512401</v>
      </c>
      <c r="C6720" s="6">
        <v>0.31017429590768802</v>
      </c>
    </row>
    <row r="6721" spans="1:3" s="7" customFormat="1" x14ac:dyDescent="0.2">
      <c r="A6721" s="6" t="str">
        <f>"ERGIC3"</f>
        <v>ERGIC3</v>
      </c>
      <c r="B6721" s="6">
        <v>0.12487512487512401</v>
      </c>
      <c r="C6721" s="6">
        <v>0.31017429590768802</v>
      </c>
    </row>
    <row r="6722" spans="1:3" s="7" customFormat="1" x14ac:dyDescent="0.2">
      <c r="A6722" s="6" t="str">
        <f>"SUMF2"</f>
        <v>SUMF2</v>
      </c>
      <c r="B6722" s="6">
        <v>0.12487512487512401</v>
      </c>
      <c r="C6722" s="6">
        <v>0.31017429590768802</v>
      </c>
    </row>
    <row r="6723" spans="1:3" s="7" customFormat="1" x14ac:dyDescent="0.2">
      <c r="A6723" s="6" t="str">
        <f>"SFXN1"</f>
        <v>SFXN1</v>
      </c>
      <c r="B6723" s="6">
        <v>0.12487512487512401</v>
      </c>
      <c r="C6723" s="6">
        <v>0.31017429590768802</v>
      </c>
    </row>
    <row r="6724" spans="1:3" s="7" customFormat="1" x14ac:dyDescent="0.2">
      <c r="A6724" s="6" t="str">
        <f>"AL110114.1"</f>
        <v>AL110114.1</v>
      </c>
      <c r="B6724" s="6">
        <v>0.12487512487512401</v>
      </c>
      <c r="C6724" s="6">
        <v>0.31017429590768802</v>
      </c>
    </row>
    <row r="6725" spans="1:3" s="7" customFormat="1" x14ac:dyDescent="0.2">
      <c r="A6725" s="6" t="str">
        <f>"PDZD7"</f>
        <v>PDZD7</v>
      </c>
      <c r="B6725" s="6">
        <v>0.12487512487512401</v>
      </c>
      <c r="C6725" s="6">
        <v>0.31017429590768802</v>
      </c>
    </row>
    <row r="6726" spans="1:3" s="7" customFormat="1" x14ac:dyDescent="0.2">
      <c r="A6726" s="6" t="str">
        <f>"SLC7A6"</f>
        <v>SLC7A6</v>
      </c>
      <c r="B6726" s="6">
        <v>0.12487512487512401</v>
      </c>
      <c r="C6726" s="6">
        <v>0.31017429590768802</v>
      </c>
    </row>
    <row r="6727" spans="1:3" s="7" customFormat="1" x14ac:dyDescent="0.2">
      <c r="A6727" s="6" t="str">
        <f>"ZBTB34"</f>
        <v>ZBTB34</v>
      </c>
      <c r="B6727" s="6">
        <v>0.12487512487512401</v>
      </c>
      <c r="C6727" s="6">
        <v>0.31017429590768802</v>
      </c>
    </row>
    <row r="6728" spans="1:3" s="7" customFormat="1" x14ac:dyDescent="0.2">
      <c r="A6728" s="6" t="str">
        <f>"AKT1"</f>
        <v>AKT1</v>
      </c>
      <c r="B6728" s="6">
        <v>0.12487512487512401</v>
      </c>
      <c r="C6728" s="6">
        <v>0.31017429590768802</v>
      </c>
    </row>
    <row r="6729" spans="1:3" s="7" customFormat="1" x14ac:dyDescent="0.2">
      <c r="A6729" s="6" t="str">
        <f>"NUF2"</f>
        <v>NUF2</v>
      </c>
      <c r="B6729" s="6">
        <v>0.12487512487512401</v>
      </c>
      <c r="C6729" s="6">
        <v>0.31017429590768802</v>
      </c>
    </row>
    <row r="6730" spans="1:3" s="7" customFormat="1" x14ac:dyDescent="0.2">
      <c r="A6730" s="6" t="str">
        <f>"MRPL42"</f>
        <v>MRPL42</v>
      </c>
      <c r="B6730" s="6">
        <v>0.12487512487512401</v>
      </c>
      <c r="C6730" s="6">
        <v>0.31017429590768802</v>
      </c>
    </row>
    <row r="6731" spans="1:3" s="7" customFormat="1" x14ac:dyDescent="0.2">
      <c r="A6731" s="6" t="str">
        <f>"ADAM20P1"</f>
        <v>ADAM20P1</v>
      </c>
      <c r="B6731" s="6">
        <v>0.12525050100200399</v>
      </c>
      <c r="C6731" s="6">
        <v>0.311060456723253</v>
      </c>
    </row>
    <row r="6732" spans="1:3" s="7" customFormat="1" x14ac:dyDescent="0.2">
      <c r="A6732" s="6" t="str">
        <f>"TIMMDC1"</f>
        <v>TIMMDC1</v>
      </c>
      <c r="B6732" s="6">
        <v>0.125874125874125</v>
      </c>
      <c r="C6732" s="6">
        <v>0.31131401891981902</v>
      </c>
    </row>
    <row r="6733" spans="1:3" s="7" customFormat="1" x14ac:dyDescent="0.2">
      <c r="A6733" s="6" t="str">
        <f>"COPG1"</f>
        <v>COPG1</v>
      </c>
      <c r="B6733" s="6">
        <v>0.125874125874125</v>
      </c>
      <c r="C6733" s="6">
        <v>0.31131401891981902</v>
      </c>
    </row>
    <row r="6734" spans="1:3" s="7" customFormat="1" x14ac:dyDescent="0.2">
      <c r="A6734" s="6" t="str">
        <f>"RMND5B"</f>
        <v>RMND5B</v>
      </c>
      <c r="B6734" s="6">
        <v>0.125874125874125</v>
      </c>
      <c r="C6734" s="6">
        <v>0.31131401891981902</v>
      </c>
    </row>
    <row r="6735" spans="1:3" s="7" customFormat="1" x14ac:dyDescent="0.2">
      <c r="A6735" s="6" t="str">
        <f>"FAM247B"</f>
        <v>FAM247B</v>
      </c>
      <c r="B6735" s="6">
        <v>0.125874125874125</v>
      </c>
      <c r="C6735" s="6">
        <v>0.31131401891981902</v>
      </c>
    </row>
    <row r="6736" spans="1:3" s="7" customFormat="1" x14ac:dyDescent="0.2">
      <c r="A6736" s="6" t="str">
        <f>"HLA-DMA"</f>
        <v>HLA-DMA</v>
      </c>
      <c r="B6736" s="6">
        <v>0.125874125874125</v>
      </c>
      <c r="C6736" s="6">
        <v>0.31131401891981902</v>
      </c>
    </row>
    <row r="6737" spans="1:3" s="7" customFormat="1" x14ac:dyDescent="0.2">
      <c r="A6737" s="6" t="str">
        <f>"EIF2S3"</f>
        <v>EIF2S3</v>
      </c>
      <c r="B6737" s="6">
        <v>0.125874125874125</v>
      </c>
      <c r="C6737" s="6">
        <v>0.31131401891981902</v>
      </c>
    </row>
    <row r="6738" spans="1:3" s="7" customFormat="1" x14ac:dyDescent="0.2">
      <c r="A6738" s="6" t="str">
        <f>"HTR3B"</f>
        <v>HTR3B</v>
      </c>
      <c r="B6738" s="6">
        <v>0.125874125874125</v>
      </c>
      <c r="C6738" s="6">
        <v>0.31131401891981902</v>
      </c>
    </row>
    <row r="6739" spans="1:3" s="7" customFormat="1" x14ac:dyDescent="0.2">
      <c r="A6739" s="6" t="str">
        <f>"SLC39A11"</f>
        <v>SLC39A11</v>
      </c>
      <c r="B6739" s="6">
        <v>0.125874125874125</v>
      </c>
      <c r="C6739" s="6">
        <v>0.31131401891981902</v>
      </c>
    </row>
    <row r="6740" spans="1:3" s="7" customFormat="1" x14ac:dyDescent="0.2">
      <c r="A6740" s="6" t="str">
        <f>"EIF4G3"</f>
        <v>EIF4G3</v>
      </c>
      <c r="B6740" s="6">
        <v>0.125874125874125</v>
      </c>
      <c r="C6740" s="6">
        <v>0.31131401891981902</v>
      </c>
    </row>
    <row r="6741" spans="1:3" s="7" customFormat="1" x14ac:dyDescent="0.2">
      <c r="A6741" s="6" t="str">
        <f>"PRPF3"</f>
        <v>PRPF3</v>
      </c>
      <c r="B6741" s="6">
        <v>0.125874125874125</v>
      </c>
      <c r="C6741" s="6">
        <v>0.31131401891981902</v>
      </c>
    </row>
    <row r="6742" spans="1:3" s="7" customFormat="1" x14ac:dyDescent="0.2">
      <c r="A6742" s="6" t="str">
        <f>"ACVR1B"</f>
        <v>ACVR1B</v>
      </c>
      <c r="B6742" s="6">
        <v>0.125874125874125</v>
      </c>
      <c r="C6742" s="6">
        <v>0.31131401891981902</v>
      </c>
    </row>
    <row r="6743" spans="1:3" s="7" customFormat="1" x14ac:dyDescent="0.2">
      <c r="A6743" s="6" t="str">
        <f>"HSPB1"</f>
        <v>HSPB1</v>
      </c>
      <c r="B6743" s="6">
        <v>0.125874125874125</v>
      </c>
      <c r="C6743" s="6">
        <v>0.31131401891981902</v>
      </c>
    </row>
    <row r="6744" spans="1:3" s="7" customFormat="1" x14ac:dyDescent="0.2">
      <c r="A6744" s="6" t="str">
        <f>"ABCC3"</f>
        <v>ABCC3</v>
      </c>
      <c r="B6744" s="6">
        <v>0.125874125874125</v>
      </c>
      <c r="C6744" s="6">
        <v>0.31131401891981902</v>
      </c>
    </row>
    <row r="6745" spans="1:3" s="7" customFormat="1" x14ac:dyDescent="0.2">
      <c r="A6745" s="6" t="str">
        <f>"CACTIN"</f>
        <v>CACTIN</v>
      </c>
      <c r="B6745" s="6">
        <v>0.125874125874125</v>
      </c>
      <c r="C6745" s="6">
        <v>0.31131401891981902</v>
      </c>
    </row>
    <row r="6746" spans="1:3" s="7" customFormat="1" x14ac:dyDescent="0.2">
      <c r="A6746" s="6" t="str">
        <f>"VPS25"</f>
        <v>VPS25</v>
      </c>
      <c r="B6746" s="6">
        <v>0.125874125874125</v>
      </c>
      <c r="C6746" s="6">
        <v>0.31131401891981902</v>
      </c>
    </row>
    <row r="6747" spans="1:3" s="7" customFormat="1" x14ac:dyDescent="0.2">
      <c r="A6747" s="6" t="str">
        <f>"DBIL5P"</f>
        <v>DBIL5P</v>
      </c>
      <c r="B6747" s="6">
        <v>0.125874125874125</v>
      </c>
      <c r="C6747" s="6">
        <v>0.31131401891981902</v>
      </c>
    </row>
    <row r="6748" spans="1:3" s="7" customFormat="1" x14ac:dyDescent="0.2">
      <c r="A6748" s="6" t="str">
        <f>"PGM2L1"</f>
        <v>PGM2L1</v>
      </c>
      <c r="B6748" s="6">
        <v>0.125874125874125</v>
      </c>
      <c r="C6748" s="6">
        <v>0.31131401891981902</v>
      </c>
    </row>
    <row r="6749" spans="1:3" s="7" customFormat="1" x14ac:dyDescent="0.2">
      <c r="A6749" s="6" t="str">
        <f>"MTR"</f>
        <v>MTR</v>
      </c>
      <c r="B6749" s="6">
        <v>0.125874125874125</v>
      </c>
      <c r="C6749" s="6">
        <v>0.31131401891981902</v>
      </c>
    </row>
    <row r="6750" spans="1:3" s="7" customFormat="1" x14ac:dyDescent="0.2">
      <c r="A6750" s="6" t="str">
        <f>"NBL1"</f>
        <v>NBL1</v>
      </c>
      <c r="B6750" s="6">
        <v>0.125874125874125</v>
      </c>
      <c r="C6750" s="6">
        <v>0.31131401891981902</v>
      </c>
    </row>
    <row r="6751" spans="1:3" s="7" customFormat="1" x14ac:dyDescent="0.2">
      <c r="A6751" s="6" t="str">
        <f>"LINC00885"</f>
        <v>LINC00885</v>
      </c>
      <c r="B6751" s="6">
        <v>0.125874125874125</v>
      </c>
      <c r="C6751" s="6">
        <v>0.31131401891981902</v>
      </c>
    </row>
    <row r="6752" spans="1:3" s="7" customFormat="1" x14ac:dyDescent="0.2">
      <c r="A6752" s="6" t="str">
        <f>"TIMP3"</f>
        <v>TIMP3</v>
      </c>
      <c r="B6752" s="6">
        <v>0.125874125874125</v>
      </c>
      <c r="C6752" s="6">
        <v>0.31131401891981902</v>
      </c>
    </row>
    <row r="6753" spans="1:3" s="7" customFormat="1" x14ac:dyDescent="0.2">
      <c r="A6753" s="6" t="str">
        <f>"EPHX2"</f>
        <v>EPHX2</v>
      </c>
      <c r="B6753" s="6">
        <v>0.125874125874125</v>
      </c>
      <c r="C6753" s="6">
        <v>0.31131401891981902</v>
      </c>
    </row>
    <row r="6754" spans="1:3" s="7" customFormat="1" x14ac:dyDescent="0.2">
      <c r="A6754" s="6" t="str">
        <f>"TMEM254"</f>
        <v>TMEM254</v>
      </c>
      <c r="B6754" s="6">
        <v>0.125874125874125</v>
      </c>
      <c r="C6754" s="6">
        <v>0.31131401891981902</v>
      </c>
    </row>
    <row r="6755" spans="1:3" s="7" customFormat="1" x14ac:dyDescent="0.2">
      <c r="A6755" s="6" t="str">
        <f>"UNC5B-AS1"</f>
        <v>UNC5B-AS1</v>
      </c>
      <c r="B6755" s="6">
        <v>0.125874125874125</v>
      </c>
      <c r="C6755" s="6">
        <v>0.31131401891981902</v>
      </c>
    </row>
    <row r="6756" spans="1:3" s="7" customFormat="1" x14ac:dyDescent="0.2">
      <c r="A6756" s="6" t="str">
        <f>"R3HDM1"</f>
        <v>R3HDM1</v>
      </c>
      <c r="B6756" s="6">
        <v>0.125874125874125</v>
      </c>
      <c r="C6756" s="6">
        <v>0.31131401891981902</v>
      </c>
    </row>
    <row r="6757" spans="1:3" s="7" customFormat="1" x14ac:dyDescent="0.2">
      <c r="A6757" s="6" t="str">
        <f>"NR2F2"</f>
        <v>NR2F2</v>
      </c>
      <c r="B6757" s="6">
        <v>0.125874125874125</v>
      </c>
      <c r="C6757" s="6">
        <v>0.31131401891981902</v>
      </c>
    </row>
    <row r="6758" spans="1:3" s="7" customFormat="1" x14ac:dyDescent="0.2">
      <c r="A6758" s="6" t="str">
        <f>"CCDC113"</f>
        <v>CCDC113</v>
      </c>
      <c r="B6758" s="6">
        <v>0.125874125874125</v>
      </c>
      <c r="C6758" s="6">
        <v>0.31131401891981902</v>
      </c>
    </row>
    <row r="6759" spans="1:3" s="7" customFormat="1" x14ac:dyDescent="0.2">
      <c r="A6759" s="6" t="str">
        <f>"PSIP1"</f>
        <v>PSIP1</v>
      </c>
      <c r="B6759" s="6">
        <v>0.125874125874125</v>
      </c>
      <c r="C6759" s="6">
        <v>0.31131401891981902</v>
      </c>
    </row>
    <row r="6760" spans="1:3" s="7" customFormat="1" x14ac:dyDescent="0.2">
      <c r="A6760" s="6" t="str">
        <f>"ETF1"</f>
        <v>ETF1</v>
      </c>
      <c r="B6760" s="6">
        <v>0.126</v>
      </c>
      <c r="C6760" s="6">
        <v>0.311487058127495</v>
      </c>
    </row>
    <row r="6761" spans="1:3" s="7" customFormat="1" x14ac:dyDescent="0.2">
      <c r="A6761" s="6" t="str">
        <f>"PLA2G3"</f>
        <v>PLA2G3</v>
      </c>
      <c r="B6761" s="6">
        <v>0.126</v>
      </c>
      <c r="C6761" s="6">
        <v>0.311487058127495</v>
      </c>
    </row>
    <row r="6762" spans="1:3" s="7" customFormat="1" x14ac:dyDescent="0.2">
      <c r="A6762" s="6" t="str">
        <f>"LIG1"</f>
        <v>LIG1</v>
      </c>
      <c r="B6762" s="6">
        <v>0.126</v>
      </c>
      <c r="C6762" s="6">
        <v>0.311487058127495</v>
      </c>
    </row>
    <row r="6763" spans="1:3" s="7" customFormat="1" x14ac:dyDescent="0.2">
      <c r="A6763" s="6" t="str">
        <f>"AC137932.3"</f>
        <v>AC137932.3</v>
      </c>
      <c r="B6763" s="6">
        <v>0.126126126126126</v>
      </c>
      <c r="C6763" s="6">
        <v>0.31175274653535501</v>
      </c>
    </row>
    <row r="6764" spans="1:3" s="7" customFormat="1" x14ac:dyDescent="0.2">
      <c r="A6764" s="6" t="str">
        <f>"AC003086.1"</f>
        <v>AC003086.1</v>
      </c>
      <c r="B6764" s="6">
        <v>0.12625250501002</v>
      </c>
      <c r="C6764" s="6">
        <v>0.31201898103467002</v>
      </c>
    </row>
    <row r="6765" spans="1:3" s="7" customFormat="1" x14ac:dyDescent="0.2">
      <c r="A6765" s="6" t="str">
        <f>"BMERB1"</f>
        <v>BMERB1</v>
      </c>
      <c r="B6765" s="6">
        <v>0.12687312687312599</v>
      </c>
      <c r="C6765" s="6">
        <v>0.31225996798077399</v>
      </c>
    </row>
    <row r="6766" spans="1:3" s="7" customFormat="1" x14ac:dyDescent="0.2">
      <c r="A6766" s="6" t="str">
        <f>"RIPOR2"</f>
        <v>RIPOR2</v>
      </c>
      <c r="B6766" s="6">
        <v>0.12687312687312599</v>
      </c>
      <c r="C6766" s="6">
        <v>0.31225996798077399</v>
      </c>
    </row>
    <row r="6767" spans="1:3" s="7" customFormat="1" x14ac:dyDescent="0.2">
      <c r="A6767" s="6" t="str">
        <f>"ANTXR2"</f>
        <v>ANTXR2</v>
      </c>
      <c r="B6767" s="6">
        <v>0.12687312687312599</v>
      </c>
      <c r="C6767" s="6">
        <v>0.31225996798077399</v>
      </c>
    </row>
    <row r="6768" spans="1:3" s="7" customFormat="1" x14ac:dyDescent="0.2">
      <c r="A6768" s="6" t="str">
        <f>"CBX4"</f>
        <v>CBX4</v>
      </c>
      <c r="B6768" s="6">
        <v>0.12687312687312599</v>
      </c>
      <c r="C6768" s="6">
        <v>0.31225996798077399</v>
      </c>
    </row>
    <row r="6769" spans="1:3" s="7" customFormat="1" x14ac:dyDescent="0.2">
      <c r="A6769" s="6" t="str">
        <f>"PGAP6"</f>
        <v>PGAP6</v>
      </c>
      <c r="B6769" s="6">
        <v>0.12687312687312599</v>
      </c>
      <c r="C6769" s="6">
        <v>0.31225996798077399</v>
      </c>
    </row>
    <row r="6770" spans="1:3" s="7" customFormat="1" x14ac:dyDescent="0.2">
      <c r="A6770" s="6" t="str">
        <f>"MTNR1A"</f>
        <v>MTNR1A</v>
      </c>
      <c r="B6770" s="6">
        <v>0.12687312687312599</v>
      </c>
      <c r="C6770" s="6">
        <v>0.31225996798077399</v>
      </c>
    </row>
    <row r="6771" spans="1:3" s="7" customFormat="1" x14ac:dyDescent="0.2">
      <c r="A6771" s="6" t="str">
        <f>"RPAP1"</f>
        <v>RPAP1</v>
      </c>
      <c r="B6771" s="6">
        <v>0.12687312687312599</v>
      </c>
      <c r="C6771" s="6">
        <v>0.31225996798077399</v>
      </c>
    </row>
    <row r="6772" spans="1:3" s="7" customFormat="1" x14ac:dyDescent="0.2">
      <c r="A6772" s="6" t="str">
        <f>"PDSS1"</f>
        <v>PDSS1</v>
      </c>
      <c r="B6772" s="6">
        <v>0.12687312687312599</v>
      </c>
      <c r="C6772" s="6">
        <v>0.31225996798077399</v>
      </c>
    </row>
    <row r="6773" spans="1:3" s="7" customFormat="1" x14ac:dyDescent="0.2">
      <c r="A6773" s="6" t="str">
        <f>"LACTB2"</f>
        <v>LACTB2</v>
      </c>
      <c r="B6773" s="6">
        <v>0.12687312687312599</v>
      </c>
      <c r="C6773" s="6">
        <v>0.31225996798077399</v>
      </c>
    </row>
    <row r="6774" spans="1:3" s="7" customFormat="1" x14ac:dyDescent="0.2">
      <c r="A6774" s="6" t="str">
        <f>"MIEF1"</f>
        <v>MIEF1</v>
      </c>
      <c r="B6774" s="6">
        <v>0.12687312687312599</v>
      </c>
      <c r="C6774" s="6">
        <v>0.31225996798077399</v>
      </c>
    </row>
    <row r="6775" spans="1:3" s="7" customFormat="1" x14ac:dyDescent="0.2">
      <c r="A6775" s="6" t="str">
        <f>"COL3A1"</f>
        <v>COL3A1</v>
      </c>
      <c r="B6775" s="6">
        <v>0.12687312687312599</v>
      </c>
      <c r="C6775" s="6">
        <v>0.31225996798077399</v>
      </c>
    </row>
    <row r="6776" spans="1:3" s="7" customFormat="1" x14ac:dyDescent="0.2">
      <c r="A6776" s="6" t="str">
        <f>"LINC01605"</f>
        <v>LINC01605</v>
      </c>
      <c r="B6776" s="6">
        <v>0.12687312687312599</v>
      </c>
      <c r="C6776" s="6">
        <v>0.31225996798077399</v>
      </c>
    </row>
    <row r="6777" spans="1:3" s="7" customFormat="1" x14ac:dyDescent="0.2">
      <c r="A6777" s="6" t="str">
        <f>"ERCC8"</f>
        <v>ERCC8</v>
      </c>
      <c r="B6777" s="6">
        <v>0.12687312687312599</v>
      </c>
      <c r="C6777" s="6">
        <v>0.31225996798077399</v>
      </c>
    </row>
    <row r="6778" spans="1:3" s="7" customFormat="1" x14ac:dyDescent="0.2">
      <c r="A6778" s="6" t="str">
        <f>"AC019322.4"</f>
        <v>AC019322.4</v>
      </c>
      <c r="B6778" s="6">
        <v>0.12687312687312599</v>
      </c>
      <c r="C6778" s="6">
        <v>0.31225996798077399</v>
      </c>
    </row>
    <row r="6779" spans="1:3" s="7" customFormat="1" x14ac:dyDescent="0.2">
      <c r="A6779" s="6" t="str">
        <f>"ZNF827"</f>
        <v>ZNF827</v>
      </c>
      <c r="B6779" s="6">
        <v>0.12687312687312599</v>
      </c>
      <c r="C6779" s="6">
        <v>0.31225996798077399</v>
      </c>
    </row>
    <row r="6780" spans="1:3" s="7" customFormat="1" x14ac:dyDescent="0.2">
      <c r="A6780" s="6" t="str">
        <f>"TMEM255A"</f>
        <v>TMEM255A</v>
      </c>
      <c r="B6780" s="6">
        <v>0.12687312687312599</v>
      </c>
      <c r="C6780" s="6">
        <v>0.31225996798077399</v>
      </c>
    </row>
    <row r="6781" spans="1:3" s="7" customFormat="1" x14ac:dyDescent="0.2">
      <c r="A6781" s="6" t="str">
        <f>"AC079322.1"</f>
        <v>AC079322.1</v>
      </c>
      <c r="B6781" s="6">
        <v>0.126518218623481</v>
      </c>
      <c r="C6781" s="6">
        <v>0.31225996798077399</v>
      </c>
    </row>
    <row r="6782" spans="1:3" s="7" customFormat="1" x14ac:dyDescent="0.2">
      <c r="A6782" s="6" t="str">
        <f>"GNE"</f>
        <v>GNE</v>
      </c>
      <c r="B6782" s="6">
        <v>0.12687312687312599</v>
      </c>
      <c r="C6782" s="6">
        <v>0.31225996798077399</v>
      </c>
    </row>
    <row r="6783" spans="1:3" s="7" customFormat="1" x14ac:dyDescent="0.2">
      <c r="A6783" s="6" t="str">
        <f>"SNHG10"</f>
        <v>SNHG10</v>
      </c>
      <c r="B6783" s="6">
        <v>0.12687312687312599</v>
      </c>
      <c r="C6783" s="6">
        <v>0.31225996798077399</v>
      </c>
    </row>
    <row r="6784" spans="1:3" s="7" customFormat="1" x14ac:dyDescent="0.2">
      <c r="A6784" s="6" t="str">
        <f>"PLCD3"</f>
        <v>PLCD3</v>
      </c>
      <c r="B6784" s="6">
        <v>0.12687312687312599</v>
      </c>
      <c r="C6784" s="6">
        <v>0.31225996798077399</v>
      </c>
    </row>
    <row r="6785" spans="1:3" s="7" customFormat="1" x14ac:dyDescent="0.2">
      <c r="A6785" s="6" t="str">
        <f>"ANKRD29"</f>
        <v>ANKRD29</v>
      </c>
      <c r="B6785" s="6">
        <v>0.12687312687312599</v>
      </c>
      <c r="C6785" s="6">
        <v>0.31225996798077399</v>
      </c>
    </row>
    <row r="6786" spans="1:3" s="7" customFormat="1" x14ac:dyDescent="0.2">
      <c r="A6786" s="6" t="str">
        <f>"TEKT1"</f>
        <v>TEKT1</v>
      </c>
      <c r="B6786" s="6">
        <v>0.12687312687312599</v>
      </c>
      <c r="C6786" s="6">
        <v>0.31225996798077399</v>
      </c>
    </row>
    <row r="6787" spans="1:3" s="7" customFormat="1" x14ac:dyDescent="0.2">
      <c r="A6787" s="6" t="str">
        <f>"AC116562.2"</f>
        <v>AC116562.2</v>
      </c>
      <c r="B6787" s="6">
        <v>0.126673532440782</v>
      </c>
      <c r="C6787" s="6">
        <v>0.31225996798077399</v>
      </c>
    </row>
    <row r="6788" spans="1:3" s="7" customFormat="1" x14ac:dyDescent="0.2">
      <c r="A6788" s="6" t="str">
        <f>"CCDC187"</f>
        <v>CCDC187</v>
      </c>
      <c r="B6788" s="6">
        <v>0.12687312687312599</v>
      </c>
      <c r="C6788" s="6">
        <v>0.31225996798077399</v>
      </c>
    </row>
    <row r="6789" spans="1:3" s="7" customFormat="1" x14ac:dyDescent="0.2">
      <c r="A6789" s="6" t="str">
        <f>"TSGA10"</f>
        <v>TSGA10</v>
      </c>
      <c r="B6789" s="6">
        <v>0.12687312687312599</v>
      </c>
      <c r="C6789" s="6">
        <v>0.31225996798077399</v>
      </c>
    </row>
    <row r="6790" spans="1:3" s="7" customFormat="1" x14ac:dyDescent="0.2">
      <c r="A6790" s="6" t="str">
        <f>"ZFAND5"</f>
        <v>ZFAND5</v>
      </c>
      <c r="B6790" s="6">
        <v>0.12687312687312599</v>
      </c>
      <c r="C6790" s="6">
        <v>0.31225996798077399</v>
      </c>
    </row>
    <row r="6791" spans="1:3" s="7" customFormat="1" x14ac:dyDescent="0.2">
      <c r="A6791" s="6" t="str">
        <f>"MARCO"</f>
        <v>MARCO</v>
      </c>
      <c r="B6791" s="6">
        <v>0.12687312687312599</v>
      </c>
      <c r="C6791" s="6">
        <v>0.31225996798077399</v>
      </c>
    </row>
    <row r="6792" spans="1:3" s="7" customFormat="1" x14ac:dyDescent="0.2">
      <c r="A6792" s="6" t="str">
        <f>"MYH7"</f>
        <v>MYH7</v>
      </c>
      <c r="B6792" s="6">
        <v>0.12687312687312599</v>
      </c>
      <c r="C6792" s="6">
        <v>0.31225996798077399</v>
      </c>
    </row>
    <row r="6793" spans="1:3" s="7" customFormat="1" x14ac:dyDescent="0.2">
      <c r="A6793" s="6" t="str">
        <f>"NALT1"</f>
        <v>NALT1</v>
      </c>
      <c r="B6793" s="6">
        <v>0.12701612903225801</v>
      </c>
      <c r="C6793" s="6">
        <v>0.31247388587653202</v>
      </c>
    </row>
    <row r="6794" spans="1:3" s="7" customFormat="1" x14ac:dyDescent="0.2">
      <c r="A6794" s="6" t="str">
        <f>"RDM1P5"</f>
        <v>RDM1P5</v>
      </c>
      <c r="B6794" s="6">
        <v>0.127</v>
      </c>
      <c r="C6794" s="6">
        <v>0.31247388587653202</v>
      </c>
    </row>
    <row r="6795" spans="1:3" s="7" customFormat="1" x14ac:dyDescent="0.2">
      <c r="A6795" s="6" t="str">
        <f>"LINC00992"</f>
        <v>LINC00992</v>
      </c>
      <c r="B6795" s="6">
        <v>0.127</v>
      </c>
      <c r="C6795" s="6">
        <v>0.31247388587653202</v>
      </c>
    </row>
    <row r="6796" spans="1:3" s="7" customFormat="1" x14ac:dyDescent="0.2">
      <c r="A6796" s="6" t="str">
        <f>"LINC01694"</f>
        <v>LINC01694</v>
      </c>
      <c r="B6796" s="6">
        <v>0.12725450901803601</v>
      </c>
      <c r="C6796" s="6">
        <v>0.31301425514752801</v>
      </c>
    </row>
    <row r="6797" spans="1:3" s="7" customFormat="1" x14ac:dyDescent="0.2">
      <c r="A6797" s="6" t="str">
        <f>"AL034546.1"</f>
        <v>AL034546.1</v>
      </c>
      <c r="B6797" s="6">
        <v>0.127382146439317</v>
      </c>
      <c r="C6797" s="6">
        <v>0.31328210647244797</v>
      </c>
    </row>
    <row r="6798" spans="1:3" s="7" customFormat="1" x14ac:dyDescent="0.2">
      <c r="A6798" s="6" t="str">
        <f>"AC005332.3"</f>
        <v>AC005332.3</v>
      </c>
      <c r="B6798" s="6">
        <v>0.127906976744186</v>
      </c>
      <c r="C6798" s="6">
        <v>0.313603815359003</v>
      </c>
    </row>
    <row r="6799" spans="1:3" s="7" customFormat="1" x14ac:dyDescent="0.2">
      <c r="A6799" s="6" t="str">
        <f>"KPTN"</f>
        <v>KPTN</v>
      </c>
      <c r="B6799" s="6">
        <v>0.12787212787212701</v>
      </c>
      <c r="C6799" s="6">
        <v>0.313603815359003</v>
      </c>
    </row>
    <row r="6800" spans="1:3" s="7" customFormat="1" x14ac:dyDescent="0.2">
      <c r="A6800" s="6" t="str">
        <f>"HECTD3"</f>
        <v>HECTD3</v>
      </c>
      <c r="B6800" s="6">
        <v>0.12787212787212701</v>
      </c>
      <c r="C6800" s="6">
        <v>0.313603815359003</v>
      </c>
    </row>
    <row r="6801" spans="1:3" s="7" customFormat="1" x14ac:dyDescent="0.2">
      <c r="A6801" s="6" t="str">
        <f>"USP20"</f>
        <v>USP20</v>
      </c>
      <c r="B6801" s="6">
        <v>0.12787212787212701</v>
      </c>
      <c r="C6801" s="6">
        <v>0.313603815359003</v>
      </c>
    </row>
    <row r="6802" spans="1:3" s="7" customFormat="1" x14ac:dyDescent="0.2">
      <c r="A6802" s="6" t="str">
        <f>"DAPK3"</f>
        <v>DAPK3</v>
      </c>
      <c r="B6802" s="6">
        <v>0.12787212787212701</v>
      </c>
      <c r="C6802" s="6">
        <v>0.313603815359003</v>
      </c>
    </row>
    <row r="6803" spans="1:3" s="7" customFormat="1" x14ac:dyDescent="0.2">
      <c r="A6803" s="6" t="str">
        <f>"AC092070.2"</f>
        <v>AC092070.2</v>
      </c>
      <c r="B6803" s="6">
        <v>0.12787212787212701</v>
      </c>
      <c r="C6803" s="6">
        <v>0.313603815359003</v>
      </c>
    </row>
    <row r="6804" spans="1:3" s="7" customFormat="1" x14ac:dyDescent="0.2">
      <c r="A6804" s="6" t="str">
        <f>"PRSS40A"</f>
        <v>PRSS40A</v>
      </c>
      <c r="B6804" s="6">
        <v>0.12789526686807601</v>
      </c>
      <c r="C6804" s="6">
        <v>0.313603815359003</v>
      </c>
    </row>
    <row r="6805" spans="1:3" s="7" customFormat="1" x14ac:dyDescent="0.2">
      <c r="A6805" s="6" t="str">
        <f>"FGF17"</f>
        <v>FGF17</v>
      </c>
      <c r="B6805" s="6">
        <v>0.12787212787212701</v>
      </c>
      <c r="C6805" s="6">
        <v>0.313603815359003</v>
      </c>
    </row>
    <row r="6806" spans="1:3" s="7" customFormat="1" x14ac:dyDescent="0.2">
      <c r="A6806" s="6" t="str">
        <f>"SNHG32"</f>
        <v>SNHG32</v>
      </c>
      <c r="B6806" s="6">
        <v>0.12787212787212701</v>
      </c>
      <c r="C6806" s="6">
        <v>0.313603815359003</v>
      </c>
    </row>
    <row r="6807" spans="1:3" s="7" customFormat="1" x14ac:dyDescent="0.2">
      <c r="A6807" s="6" t="str">
        <f>"TEP1"</f>
        <v>TEP1</v>
      </c>
      <c r="B6807" s="6">
        <v>0.12787212787212701</v>
      </c>
      <c r="C6807" s="6">
        <v>0.313603815359003</v>
      </c>
    </row>
    <row r="6808" spans="1:3" s="7" customFormat="1" x14ac:dyDescent="0.2">
      <c r="A6808" s="6" t="str">
        <f>"TSPAN13"</f>
        <v>TSPAN13</v>
      </c>
      <c r="B6808" s="6">
        <v>0.12787212787212701</v>
      </c>
      <c r="C6808" s="6">
        <v>0.313603815359003</v>
      </c>
    </row>
    <row r="6809" spans="1:3" s="7" customFormat="1" x14ac:dyDescent="0.2">
      <c r="A6809" s="6" t="str">
        <f>"CAMK2G"</f>
        <v>CAMK2G</v>
      </c>
      <c r="B6809" s="6">
        <v>0.12787212787212701</v>
      </c>
      <c r="C6809" s="6">
        <v>0.313603815359003</v>
      </c>
    </row>
    <row r="6810" spans="1:3" s="7" customFormat="1" x14ac:dyDescent="0.2">
      <c r="A6810" s="6" t="str">
        <f>"ITGB7"</f>
        <v>ITGB7</v>
      </c>
      <c r="B6810" s="6">
        <v>0.12787212787212701</v>
      </c>
      <c r="C6810" s="6">
        <v>0.313603815359003</v>
      </c>
    </row>
    <row r="6811" spans="1:3" s="7" customFormat="1" x14ac:dyDescent="0.2">
      <c r="A6811" s="6" t="str">
        <f>"GTF2H2B"</f>
        <v>GTF2H2B</v>
      </c>
      <c r="B6811" s="6">
        <v>0.12787212787212701</v>
      </c>
      <c r="C6811" s="6">
        <v>0.313603815359003</v>
      </c>
    </row>
    <row r="6812" spans="1:3" s="7" customFormat="1" x14ac:dyDescent="0.2">
      <c r="A6812" s="6" t="str">
        <f>"PKD1P3"</f>
        <v>PKD1P3</v>
      </c>
      <c r="B6812" s="6">
        <v>0.12787212787212701</v>
      </c>
      <c r="C6812" s="6">
        <v>0.313603815359003</v>
      </c>
    </row>
    <row r="6813" spans="1:3" s="7" customFormat="1" x14ac:dyDescent="0.2">
      <c r="A6813" s="6" t="str">
        <f>"SLC16A8"</f>
        <v>SLC16A8</v>
      </c>
      <c r="B6813" s="6">
        <v>0.12787212787212701</v>
      </c>
      <c r="C6813" s="6">
        <v>0.313603815359003</v>
      </c>
    </row>
    <row r="6814" spans="1:3" s="7" customFormat="1" x14ac:dyDescent="0.2">
      <c r="A6814" s="6" t="str">
        <f>"SPATA18"</f>
        <v>SPATA18</v>
      </c>
      <c r="B6814" s="6">
        <v>0.12787212787212701</v>
      </c>
      <c r="C6814" s="6">
        <v>0.313603815359003</v>
      </c>
    </row>
    <row r="6815" spans="1:3" s="7" customFormat="1" x14ac:dyDescent="0.2">
      <c r="A6815" s="6" t="str">
        <f>"AL390755.2"</f>
        <v>AL390755.2</v>
      </c>
      <c r="B6815" s="6">
        <v>0.12787212787212701</v>
      </c>
      <c r="C6815" s="6">
        <v>0.313603815359003</v>
      </c>
    </row>
    <row r="6816" spans="1:3" s="7" customFormat="1" x14ac:dyDescent="0.2">
      <c r="A6816" s="6" t="str">
        <f>"ADA"</f>
        <v>ADA</v>
      </c>
      <c r="B6816" s="6">
        <v>0.12787212787212701</v>
      </c>
      <c r="C6816" s="6">
        <v>0.313603815359003</v>
      </c>
    </row>
    <row r="6817" spans="1:3" s="7" customFormat="1" x14ac:dyDescent="0.2">
      <c r="A6817" s="6" t="str">
        <f>"GNRH1"</f>
        <v>GNRH1</v>
      </c>
      <c r="B6817" s="6">
        <v>0.12787212787212701</v>
      </c>
      <c r="C6817" s="6">
        <v>0.313603815359003</v>
      </c>
    </row>
    <row r="6818" spans="1:3" s="7" customFormat="1" x14ac:dyDescent="0.2">
      <c r="A6818" s="6" t="str">
        <f>"LIME1"</f>
        <v>LIME1</v>
      </c>
      <c r="B6818" s="6">
        <v>0.12787212787212701</v>
      </c>
      <c r="C6818" s="6">
        <v>0.313603815359003</v>
      </c>
    </row>
    <row r="6819" spans="1:3" s="7" customFormat="1" x14ac:dyDescent="0.2">
      <c r="A6819" s="6" t="str">
        <f>"AC073343.2"</f>
        <v>AC073343.2</v>
      </c>
      <c r="B6819" s="6">
        <v>0.128</v>
      </c>
      <c r="C6819" s="6">
        <v>0.31378586095629202</v>
      </c>
    </row>
    <row r="6820" spans="1:3" s="7" customFormat="1" x14ac:dyDescent="0.2">
      <c r="A6820" s="6" t="str">
        <f>"MFHAS1"</f>
        <v>MFHAS1</v>
      </c>
      <c r="B6820" s="6">
        <v>0.128871128871128</v>
      </c>
      <c r="C6820" s="6">
        <v>0.31472122266979002</v>
      </c>
    </row>
    <row r="6821" spans="1:3" s="7" customFormat="1" x14ac:dyDescent="0.2">
      <c r="A6821" s="6" t="str">
        <f>"SNORD3A"</f>
        <v>SNORD3A</v>
      </c>
      <c r="B6821" s="6">
        <v>0.128871128871128</v>
      </c>
      <c r="C6821" s="6">
        <v>0.31472122266979002</v>
      </c>
    </row>
    <row r="6822" spans="1:3" s="7" customFormat="1" x14ac:dyDescent="0.2">
      <c r="A6822" s="6" t="str">
        <f>"NHLRC2"</f>
        <v>NHLRC2</v>
      </c>
      <c r="B6822" s="6">
        <v>0.128871128871128</v>
      </c>
      <c r="C6822" s="6">
        <v>0.31472122266979002</v>
      </c>
    </row>
    <row r="6823" spans="1:3" s="7" customFormat="1" x14ac:dyDescent="0.2">
      <c r="A6823" s="6" t="str">
        <f>"TMPRSS5"</f>
        <v>TMPRSS5</v>
      </c>
      <c r="B6823" s="6">
        <v>0.128871128871128</v>
      </c>
      <c r="C6823" s="6">
        <v>0.31472122266979002</v>
      </c>
    </row>
    <row r="6824" spans="1:3" s="7" customFormat="1" x14ac:dyDescent="0.2">
      <c r="A6824" s="6" t="str">
        <f>"RIN1"</f>
        <v>RIN1</v>
      </c>
      <c r="B6824" s="6">
        <v>0.128871128871128</v>
      </c>
      <c r="C6824" s="6">
        <v>0.31472122266979002</v>
      </c>
    </row>
    <row r="6825" spans="1:3" s="7" customFormat="1" x14ac:dyDescent="0.2">
      <c r="A6825" s="6" t="str">
        <f>"AC098820.1"</f>
        <v>AC098820.1</v>
      </c>
      <c r="B6825" s="6">
        <v>0.128871128871128</v>
      </c>
      <c r="C6825" s="6">
        <v>0.31472122266979002</v>
      </c>
    </row>
    <row r="6826" spans="1:3" s="7" customFormat="1" x14ac:dyDescent="0.2">
      <c r="A6826" s="6" t="str">
        <f>"AC018647.2"</f>
        <v>AC018647.2</v>
      </c>
      <c r="B6826" s="6">
        <v>0.128871128871128</v>
      </c>
      <c r="C6826" s="6">
        <v>0.31472122266979002</v>
      </c>
    </row>
    <row r="6827" spans="1:3" s="7" customFormat="1" x14ac:dyDescent="0.2">
      <c r="A6827" s="6" t="str">
        <f>"AC015908.6"</f>
        <v>AC015908.6</v>
      </c>
      <c r="B6827" s="6">
        <v>0.128871128871128</v>
      </c>
      <c r="C6827" s="6">
        <v>0.31472122266979002</v>
      </c>
    </row>
    <row r="6828" spans="1:3" s="7" customFormat="1" x14ac:dyDescent="0.2">
      <c r="A6828" s="6" t="str">
        <f>"PEX13"</f>
        <v>PEX13</v>
      </c>
      <c r="B6828" s="6">
        <v>0.128871128871128</v>
      </c>
      <c r="C6828" s="6">
        <v>0.31472122266979002</v>
      </c>
    </row>
    <row r="6829" spans="1:3" s="7" customFormat="1" x14ac:dyDescent="0.2">
      <c r="A6829" s="6" t="str">
        <f>"SEC14L6"</f>
        <v>SEC14L6</v>
      </c>
      <c r="B6829" s="6">
        <v>0.128871128871128</v>
      </c>
      <c r="C6829" s="6">
        <v>0.31472122266979002</v>
      </c>
    </row>
    <row r="6830" spans="1:3" s="7" customFormat="1" x14ac:dyDescent="0.2">
      <c r="A6830" s="6" t="str">
        <f>"MMEL1"</f>
        <v>MMEL1</v>
      </c>
      <c r="B6830" s="6">
        <v>0.128871128871128</v>
      </c>
      <c r="C6830" s="6">
        <v>0.31472122266979002</v>
      </c>
    </row>
    <row r="6831" spans="1:3" s="7" customFormat="1" x14ac:dyDescent="0.2">
      <c r="A6831" s="6" t="str">
        <f>"MARVELD1"</f>
        <v>MARVELD1</v>
      </c>
      <c r="B6831" s="6">
        <v>0.128871128871128</v>
      </c>
      <c r="C6831" s="6">
        <v>0.31472122266979002</v>
      </c>
    </row>
    <row r="6832" spans="1:3" s="7" customFormat="1" x14ac:dyDescent="0.2">
      <c r="A6832" s="6" t="str">
        <f>"SUSD1"</f>
        <v>SUSD1</v>
      </c>
      <c r="B6832" s="6">
        <v>0.128871128871128</v>
      </c>
      <c r="C6832" s="6">
        <v>0.31472122266979002</v>
      </c>
    </row>
    <row r="6833" spans="1:3" s="7" customFormat="1" x14ac:dyDescent="0.2">
      <c r="A6833" s="6" t="str">
        <f>"COL16A1"</f>
        <v>COL16A1</v>
      </c>
      <c r="B6833" s="6">
        <v>0.128871128871128</v>
      </c>
      <c r="C6833" s="6">
        <v>0.31472122266979002</v>
      </c>
    </row>
    <row r="6834" spans="1:3" s="7" customFormat="1" x14ac:dyDescent="0.2">
      <c r="A6834" s="6" t="str">
        <f>"NMRK1"</f>
        <v>NMRK1</v>
      </c>
      <c r="B6834" s="6">
        <v>0.128871128871128</v>
      </c>
      <c r="C6834" s="6">
        <v>0.31472122266979002</v>
      </c>
    </row>
    <row r="6835" spans="1:3" s="7" customFormat="1" x14ac:dyDescent="0.2">
      <c r="A6835" s="6" t="str">
        <f>"CKAP2L"</f>
        <v>CKAP2L</v>
      </c>
      <c r="B6835" s="6">
        <v>0.128871128871128</v>
      </c>
      <c r="C6835" s="6">
        <v>0.31472122266979002</v>
      </c>
    </row>
    <row r="6836" spans="1:3" s="7" customFormat="1" x14ac:dyDescent="0.2">
      <c r="A6836" s="6" t="str">
        <f>"AL590004.3"</f>
        <v>AL590004.3</v>
      </c>
      <c r="B6836" s="6">
        <v>0.128871128871128</v>
      </c>
      <c r="C6836" s="6">
        <v>0.31472122266979002</v>
      </c>
    </row>
    <row r="6837" spans="1:3" s="7" customFormat="1" x14ac:dyDescent="0.2">
      <c r="A6837" s="6" t="str">
        <f>"EP300"</f>
        <v>EP300</v>
      </c>
      <c r="B6837" s="6">
        <v>0.128871128871128</v>
      </c>
      <c r="C6837" s="6">
        <v>0.31472122266979002</v>
      </c>
    </row>
    <row r="6838" spans="1:3" s="7" customFormat="1" x14ac:dyDescent="0.2">
      <c r="A6838" s="6" t="str">
        <f>"DDX19B"</f>
        <v>DDX19B</v>
      </c>
      <c r="B6838" s="6">
        <v>0.128871128871128</v>
      </c>
      <c r="C6838" s="6">
        <v>0.31472122266979002</v>
      </c>
    </row>
    <row r="6839" spans="1:3" s="7" customFormat="1" x14ac:dyDescent="0.2">
      <c r="A6839" s="6" t="str">
        <f>"HOXB-AS1"</f>
        <v>HOXB-AS1</v>
      </c>
      <c r="B6839" s="6">
        <v>0.128871128871128</v>
      </c>
      <c r="C6839" s="6">
        <v>0.31472122266979002</v>
      </c>
    </row>
    <row r="6840" spans="1:3" s="7" customFormat="1" x14ac:dyDescent="0.2">
      <c r="A6840" s="6" t="str">
        <f>"SMPDL3B"</f>
        <v>SMPDL3B</v>
      </c>
      <c r="B6840" s="6">
        <v>0.128871128871128</v>
      </c>
      <c r="C6840" s="6">
        <v>0.31472122266979002</v>
      </c>
    </row>
    <row r="6841" spans="1:3" s="7" customFormat="1" x14ac:dyDescent="0.2">
      <c r="A6841" s="6" t="str">
        <f>"LINC02552"</f>
        <v>LINC02552</v>
      </c>
      <c r="B6841" s="6">
        <v>0.128871128871128</v>
      </c>
      <c r="C6841" s="6">
        <v>0.31472122266979002</v>
      </c>
    </row>
    <row r="6842" spans="1:3" s="7" customFormat="1" x14ac:dyDescent="0.2">
      <c r="A6842" s="6" t="str">
        <f>"AL157911.1"</f>
        <v>AL157911.1</v>
      </c>
      <c r="B6842" s="6">
        <v>0.128871128871128</v>
      </c>
      <c r="C6842" s="6">
        <v>0.31472122266979002</v>
      </c>
    </row>
    <row r="6843" spans="1:3" s="7" customFormat="1" x14ac:dyDescent="0.2">
      <c r="A6843" s="6" t="str">
        <f>"XPOT"</f>
        <v>XPOT</v>
      </c>
      <c r="B6843" s="6">
        <v>0.128871128871128</v>
      </c>
      <c r="C6843" s="6">
        <v>0.31472122266979002</v>
      </c>
    </row>
    <row r="6844" spans="1:3" s="7" customFormat="1" x14ac:dyDescent="0.2">
      <c r="A6844" s="6" t="str">
        <f>"CD164L2"</f>
        <v>CD164L2</v>
      </c>
      <c r="B6844" s="6">
        <v>0.128871128871128</v>
      </c>
      <c r="C6844" s="6">
        <v>0.31472122266979002</v>
      </c>
    </row>
    <row r="6845" spans="1:3" s="7" customFormat="1" x14ac:dyDescent="0.2">
      <c r="A6845" s="6" t="str">
        <f>"PRTFDC1"</f>
        <v>PRTFDC1</v>
      </c>
      <c r="B6845" s="6">
        <v>0.128871128871128</v>
      </c>
      <c r="C6845" s="6">
        <v>0.31472122266979002</v>
      </c>
    </row>
    <row r="6846" spans="1:3" s="7" customFormat="1" x14ac:dyDescent="0.2">
      <c r="A6846" s="6" t="str">
        <f>"AC073878.1"</f>
        <v>AC073878.1</v>
      </c>
      <c r="B6846" s="6">
        <v>0.129</v>
      </c>
      <c r="C6846" s="6">
        <v>0.314943908851884</v>
      </c>
    </row>
    <row r="6847" spans="1:3" s="7" customFormat="1" x14ac:dyDescent="0.2">
      <c r="A6847" s="6" t="str">
        <f>"LINC01358"</f>
        <v>LINC01358</v>
      </c>
      <c r="B6847" s="6">
        <v>0.129</v>
      </c>
      <c r="C6847" s="6">
        <v>0.314943908851884</v>
      </c>
    </row>
    <row r="6848" spans="1:3" s="7" customFormat="1" x14ac:dyDescent="0.2">
      <c r="A6848" s="6" t="str">
        <f>"AL591503.1"</f>
        <v>AL591503.1</v>
      </c>
      <c r="B6848" s="6">
        <v>0.12909441233140601</v>
      </c>
      <c r="C6848" s="6">
        <v>0.31512837851717901</v>
      </c>
    </row>
    <row r="6849" spans="1:3" s="7" customFormat="1" x14ac:dyDescent="0.2">
      <c r="A6849" s="6" t="str">
        <f>"AC090579.1"</f>
        <v>AC090579.1</v>
      </c>
      <c r="B6849" s="6">
        <v>0.12925851703406799</v>
      </c>
      <c r="C6849" s="6">
        <v>0.31548289335680701</v>
      </c>
    </row>
    <row r="6850" spans="1:3" s="7" customFormat="1" x14ac:dyDescent="0.2">
      <c r="A6850" s="6" t="str">
        <f>"TMEM220-AS1"</f>
        <v>TMEM220-AS1</v>
      </c>
      <c r="B6850" s="6">
        <v>0.129870129870129</v>
      </c>
      <c r="C6850" s="6">
        <v>0.315868648231861</v>
      </c>
    </row>
    <row r="6851" spans="1:3" s="7" customFormat="1" x14ac:dyDescent="0.2">
      <c r="A6851" s="6" t="str">
        <f>"ANKAR"</f>
        <v>ANKAR</v>
      </c>
      <c r="B6851" s="6">
        <v>0.129870129870129</v>
      </c>
      <c r="C6851" s="6">
        <v>0.315868648231861</v>
      </c>
    </row>
    <row r="6852" spans="1:3" s="7" customFormat="1" x14ac:dyDescent="0.2">
      <c r="A6852" s="6" t="str">
        <f>"LY6G5B"</f>
        <v>LY6G5B</v>
      </c>
      <c r="B6852" s="6">
        <v>0.129870129870129</v>
      </c>
      <c r="C6852" s="6">
        <v>0.315868648231861</v>
      </c>
    </row>
    <row r="6853" spans="1:3" s="7" customFormat="1" x14ac:dyDescent="0.2">
      <c r="A6853" s="6" t="str">
        <f>"ACTE1P"</f>
        <v>ACTE1P</v>
      </c>
      <c r="B6853" s="6">
        <v>0.129870129870129</v>
      </c>
      <c r="C6853" s="6">
        <v>0.315868648231861</v>
      </c>
    </row>
    <row r="6854" spans="1:3" s="7" customFormat="1" x14ac:dyDescent="0.2">
      <c r="A6854" s="6" t="str">
        <f>"NFATC2IP"</f>
        <v>NFATC2IP</v>
      </c>
      <c r="B6854" s="6">
        <v>0.129870129870129</v>
      </c>
      <c r="C6854" s="6">
        <v>0.315868648231861</v>
      </c>
    </row>
    <row r="6855" spans="1:3" s="7" customFormat="1" x14ac:dyDescent="0.2">
      <c r="A6855" s="6" t="str">
        <f>"NR2E1"</f>
        <v>NR2E1</v>
      </c>
      <c r="B6855" s="6">
        <v>0.129870129870129</v>
      </c>
      <c r="C6855" s="6">
        <v>0.315868648231861</v>
      </c>
    </row>
    <row r="6856" spans="1:3" s="7" customFormat="1" x14ac:dyDescent="0.2">
      <c r="A6856" s="6" t="str">
        <f>"SLC5A1"</f>
        <v>SLC5A1</v>
      </c>
      <c r="B6856" s="6">
        <v>0.129870129870129</v>
      </c>
      <c r="C6856" s="6">
        <v>0.315868648231861</v>
      </c>
    </row>
    <row r="6857" spans="1:3" s="7" customFormat="1" x14ac:dyDescent="0.2">
      <c r="A6857" s="6" t="str">
        <f>"CEP135"</f>
        <v>CEP135</v>
      </c>
      <c r="B6857" s="6">
        <v>0.129870129870129</v>
      </c>
      <c r="C6857" s="6">
        <v>0.315868648231861</v>
      </c>
    </row>
    <row r="6858" spans="1:3" s="7" customFormat="1" x14ac:dyDescent="0.2">
      <c r="A6858" s="6" t="str">
        <f>"ZNF529"</f>
        <v>ZNF529</v>
      </c>
      <c r="B6858" s="6">
        <v>0.129870129870129</v>
      </c>
      <c r="C6858" s="6">
        <v>0.315868648231861</v>
      </c>
    </row>
    <row r="6859" spans="1:3" s="7" customFormat="1" x14ac:dyDescent="0.2">
      <c r="A6859" s="6" t="str">
        <f>"KIAA2026"</f>
        <v>KIAA2026</v>
      </c>
      <c r="B6859" s="6">
        <v>0.129870129870129</v>
      </c>
      <c r="C6859" s="6">
        <v>0.315868648231861</v>
      </c>
    </row>
    <row r="6860" spans="1:3" s="7" customFormat="1" x14ac:dyDescent="0.2">
      <c r="A6860" s="6" t="str">
        <f>"METTL14"</f>
        <v>METTL14</v>
      </c>
      <c r="B6860" s="6">
        <v>0.129870129870129</v>
      </c>
      <c r="C6860" s="6">
        <v>0.315868648231861</v>
      </c>
    </row>
    <row r="6861" spans="1:3" s="7" customFormat="1" x14ac:dyDescent="0.2">
      <c r="A6861" s="6" t="str">
        <f>"COL8A2"</f>
        <v>COL8A2</v>
      </c>
      <c r="B6861" s="6">
        <v>0.12951807228915599</v>
      </c>
      <c r="C6861" s="6">
        <v>0.315868648231861</v>
      </c>
    </row>
    <row r="6862" spans="1:3" s="7" customFormat="1" x14ac:dyDescent="0.2">
      <c r="A6862" s="6" t="str">
        <f>"TSPY26P"</f>
        <v>TSPY26P</v>
      </c>
      <c r="B6862" s="6">
        <v>0.129870129870129</v>
      </c>
      <c r="C6862" s="6">
        <v>0.315868648231861</v>
      </c>
    </row>
    <row r="6863" spans="1:3" s="7" customFormat="1" x14ac:dyDescent="0.2">
      <c r="A6863" s="6" t="str">
        <f>"SARM1"</f>
        <v>SARM1</v>
      </c>
      <c r="B6863" s="6">
        <v>0.129870129870129</v>
      </c>
      <c r="C6863" s="6">
        <v>0.315868648231861</v>
      </c>
    </row>
    <row r="6864" spans="1:3" s="7" customFormat="1" x14ac:dyDescent="0.2">
      <c r="A6864" s="6" t="str">
        <f>"RAB5IF"</f>
        <v>RAB5IF</v>
      </c>
      <c r="B6864" s="6">
        <v>0.129870129870129</v>
      </c>
      <c r="C6864" s="6">
        <v>0.315868648231861</v>
      </c>
    </row>
    <row r="6865" spans="1:3" s="7" customFormat="1" x14ac:dyDescent="0.2">
      <c r="A6865" s="6" t="str">
        <f>"AGMAT"</f>
        <v>AGMAT</v>
      </c>
      <c r="B6865" s="6">
        <v>0.129870129870129</v>
      </c>
      <c r="C6865" s="6">
        <v>0.315868648231861</v>
      </c>
    </row>
    <row r="6866" spans="1:3" s="7" customFormat="1" x14ac:dyDescent="0.2">
      <c r="A6866" s="6" t="str">
        <f>"C19orf18"</f>
        <v>C19orf18</v>
      </c>
      <c r="B6866" s="6">
        <v>0.129870129870129</v>
      </c>
      <c r="C6866" s="6">
        <v>0.315868648231861</v>
      </c>
    </row>
    <row r="6867" spans="1:3" s="7" customFormat="1" x14ac:dyDescent="0.2">
      <c r="A6867" s="6" t="str">
        <f>"DAB2IP"</f>
        <v>DAB2IP</v>
      </c>
      <c r="B6867" s="6">
        <v>0.129870129870129</v>
      </c>
      <c r="C6867" s="6">
        <v>0.315868648231861</v>
      </c>
    </row>
    <row r="6868" spans="1:3" s="7" customFormat="1" x14ac:dyDescent="0.2">
      <c r="A6868" s="6" t="str">
        <f>"CFAP36"</f>
        <v>CFAP36</v>
      </c>
      <c r="B6868" s="6">
        <v>0.129870129870129</v>
      </c>
      <c r="C6868" s="6">
        <v>0.315868648231861</v>
      </c>
    </row>
    <row r="6869" spans="1:3" s="7" customFormat="1" x14ac:dyDescent="0.2">
      <c r="A6869" s="6" t="str">
        <f>"NPTX2"</f>
        <v>NPTX2</v>
      </c>
      <c r="B6869" s="6">
        <v>0.129870129870129</v>
      </c>
      <c r="C6869" s="6">
        <v>0.315868648231861</v>
      </c>
    </row>
    <row r="6870" spans="1:3" s="7" customFormat="1" x14ac:dyDescent="0.2">
      <c r="A6870" s="6" t="str">
        <f>"RAB7B"</f>
        <v>RAB7B</v>
      </c>
      <c r="B6870" s="6">
        <v>0.129870129870129</v>
      </c>
      <c r="C6870" s="6">
        <v>0.315868648231861</v>
      </c>
    </row>
    <row r="6871" spans="1:3" s="7" customFormat="1" x14ac:dyDescent="0.2">
      <c r="A6871" s="6" t="str">
        <f>"CFAP206"</f>
        <v>CFAP206</v>
      </c>
      <c r="B6871" s="6">
        <v>0.129870129870129</v>
      </c>
      <c r="C6871" s="6">
        <v>0.315868648231861</v>
      </c>
    </row>
    <row r="6872" spans="1:3" s="7" customFormat="1" x14ac:dyDescent="0.2">
      <c r="A6872" s="6" t="str">
        <f>"DOLPP1"</f>
        <v>DOLPP1</v>
      </c>
      <c r="B6872" s="6">
        <v>0.129870129870129</v>
      </c>
      <c r="C6872" s="6">
        <v>0.315868648231861</v>
      </c>
    </row>
    <row r="6873" spans="1:3" s="7" customFormat="1" x14ac:dyDescent="0.2">
      <c r="A6873" s="6" t="str">
        <f>"NDUFAF3"</f>
        <v>NDUFAF3</v>
      </c>
      <c r="B6873" s="6">
        <v>0.129870129870129</v>
      </c>
      <c r="C6873" s="6">
        <v>0.315868648231861</v>
      </c>
    </row>
    <row r="6874" spans="1:3" s="7" customFormat="1" x14ac:dyDescent="0.2">
      <c r="A6874" s="6" t="str">
        <f>"RN7SL811P"</f>
        <v>RN7SL811P</v>
      </c>
      <c r="B6874" s="6">
        <v>0.13</v>
      </c>
      <c r="C6874" s="6">
        <v>0.31609252254873399</v>
      </c>
    </row>
    <row r="6875" spans="1:3" s="7" customFormat="1" x14ac:dyDescent="0.2">
      <c r="A6875" s="6" t="str">
        <f>"ING4"</f>
        <v>ING4</v>
      </c>
      <c r="B6875" s="6">
        <v>0.13</v>
      </c>
      <c r="C6875" s="6">
        <v>0.31609252254873399</v>
      </c>
    </row>
    <row r="6876" spans="1:3" s="7" customFormat="1" x14ac:dyDescent="0.2">
      <c r="A6876" s="6" t="str">
        <f>"AC016394.2"</f>
        <v>AC016394.2</v>
      </c>
      <c r="B6876" s="6">
        <v>0.13028169014084501</v>
      </c>
      <c r="C6876" s="6">
        <v>0.31673137003841201</v>
      </c>
    </row>
    <row r="6877" spans="1:3" s="7" customFormat="1" x14ac:dyDescent="0.2">
      <c r="A6877" s="6" t="str">
        <f>"SDHAP1"</f>
        <v>SDHAP1</v>
      </c>
      <c r="B6877" s="6">
        <v>0.13086913086912999</v>
      </c>
      <c r="C6877" s="6">
        <v>0.31696082500313699</v>
      </c>
    </row>
    <row r="6878" spans="1:3" s="7" customFormat="1" x14ac:dyDescent="0.2">
      <c r="A6878" s="6" t="str">
        <f>"AC019322.3"</f>
        <v>AC019322.3</v>
      </c>
      <c r="B6878" s="6">
        <v>0.13086913086912999</v>
      </c>
      <c r="C6878" s="6">
        <v>0.31696082500313699</v>
      </c>
    </row>
    <row r="6879" spans="1:3" s="7" customFormat="1" x14ac:dyDescent="0.2">
      <c r="A6879" s="6" t="str">
        <f>"AC018638.4"</f>
        <v>AC018638.4</v>
      </c>
      <c r="B6879" s="6">
        <v>0.13086913086912999</v>
      </c>
      <c r="C6879" s="6">
        <v>0.31696082500313699</v>
      </c>
    </row>
    <row r="6880" spans="1:3" s="7" customFormat="1" x14ac:dyDescent="0.2">
      <c r="A6880" s="6" t="str">
        <f>"VRK3"</f>
        <v>VRK3</v>
      </c>
      <c r="B6880" s="6">
        <v>0.13086913086912999</v>
      </c>
      <c r="C6880" s="6">
        <v>0.31696082500313699</v>
      </c>
    </row>
    <row r="6881" spans="1:3" s="7" customFormat="1" x14ac:dyDescent="0.2">
      <c r="A6881" s="6" t="str">
        <f>"FBXL16"</f>
        <v>FBXL16</v>
      </c>
      <c r="B6881" s="6">
        <v>0.13086913086912999</v>
      </c>
      <c r="C6881" s="6">
        <v>0.31696082500313699</v>
      </c>
    </row>
    <row r="6882" spans="1:3" s="7" customFormat="1" x14ac:dyDescent="0.2">
      <c r="A6882" s="6" t="str">
        <f>"PSAT1"</f>
        <v>PSAT1</v>
      </c>
      <c r="B6882" s="6">
        <v>0.13086913086912999</v>
      </c>
      <c r="C6882" s="6">
        <v>0.31696082500313699</v>
      </c>
    </row>
    <row r="6883" spans="1:3" s="7" customFormat="1" x14ac:dyDescent="0.2">
      <c r="A6883" s="6" t="str">
        <f>"AC008073.3"</f>
        <v>AC008073.3</v>
      </c>
      <c r="B6883" s="6">
        <v>0.13086913086912999</v>
      </c>
      <c r="C6883" s="6">
        <v>0.31696082500313699</v>
      </c>
    </row>
    <row r="6884" spans="1:3" s="7" customFormat="1" x14ac:dyDescent="0.2">
      <c r="A6884" s="6" t="str">
        <f>"LINC00621"</f>
        <v>LINC00621</v>
      </c>
      <c r="B6884" s="6">
        <v>0.13086913086912999</v>
      </c>
      <c r="C6884" s="6">
        <v>0.31696082500313699</v>
      </c>
    </row>
    <row r="6885" spans="1:3" s="7" customFormat="1" x14ac:dyDescent="0.2">
      <c r="A6885" s="6" t="str">
        <f>"COLCA2"</f>
        <v>COLCA2</v>
      </c>
      <c r="B6885" s="6">
        <v>0.13086913086912999</v>
      </c>
      <c r="C6885" s="6">
        <v>0.31696082500313699</v>
      </c>
    </row>
    <row r="6886" spans="1:3" s="7" customFormat="1" x14ac:dyDescent="0.2">
      <c r="A6886" s="6" t="str">
        <f>"SPRY1"</f>
        <v>SPRY1</v>
      </c>
      <c r="B6886" s="6">
        <v>0.13086913086912999</v>
      </c>
      <c r="C6886" s="6">
        <v>0.31696082500313699</v>
      </c>
    </row>
    <row r="6887" spans="1:3" s="7" customFormat="1" x14ac:dyDescent="0.2">
      <c r="A6887" s="6" t="str">
        <f>"KIFBP"</f>
        <v>KIFBP</v>
      </c>
      <c r="B6887" s="6">
        <v>0.13086913086912999</v>
      </c>
      <c r="C6887" s="6">
        <v>0.31696082500313699</v>
      </c>
    </row>
    <row r="6888" spans="1:3" s="7" customFormat="1" x14ac:dyDescent="0.2">
      <c r="A6888" s="6" t="str">
        <f>"HPN"</f>
        <v>HPN</v>
      </c>
      <c r="B6888" s="6">
        <v>0.13086913086912999</v>
      </c>
      <c r="C6888" s="6">
        <v>0.31696082500313699</v>
      </c>
    </row>
    <row r="6889" spans="1:3" s="7" customFormat="1" x14ac:dyDescent="0.2">
      <c r="A6889" s="6" t="str">
        <f>"ZFP62"</f>
        <v>ZFP62</v>
      </c>
      <c r="B6889" s="6">
        <v>0.13086913086912999</v>
      </c>
      <c r="C6889" s="6">
        <v>0.31696082500313699</v>
      </c>
    </row>
    <row r="6890" spans="1:3" s="7" customFormat="1" x14ac:dyDescent="0.2">
      <c r="A6890" s="6" t="str">
        <f>"HDDC3"</f>
        <v>HDDC3</v>
      </c>
      <c r="B6890" s="6">
        <v>0.13086913086912999</v>
      </c>
      <c r="C6890" s="6">
        <v>0.31696082500313699</v>
      </c>
    </row>
    <row r="6891" spans="1:3" s="7" customFormat="1" x14ac:dyDescent="0.2">
      <c r="A6891" s="6" t="str">
        <f>"RMI1"</f>
        <v>RMI1</v>
      </c>
      <c r="B6891" s="6">
        <v>0.13086913086912999</v>
      </c>
      <c r="C6891" s="6">
        <v>0.31696082500313699</v>
      </c>
    </row>
    <row r="6892" spans="1:3" s="7" customFormat="1" x14ac:dyDescent="0.2">
      <c r="A6892" s="6" t="str">
        <f>"JAK1"</f>
        <v>JAK1</v>
      </c>
      <c r="B6892" s="6">
        <v>0.13086913086912999</v>
      </c>
      <c r="C6892" s="6">
        <v>0.31696082500313699</v>
      </c>
    </row>
    <row r="6893" spans="1:3" s="7" customFormat="1" x14ac:dyDescent="0.2">
      <c r="A6893" s="6" t="str">
        <f>"ZNF84"</f>
        <v>ZNF84</v>
      </c>
      <c r="B6893" s="6">
        <v>0.13086913086912999</v>
      </c>
      <c r="C6893" s="6">
        <v>0.31696082500313699</v>
      </c>
    </row>
    <row r="6894" spans="1:3" s="7" customFormat="1" x14ac:dyDescent="0.2">
      <c r="A6894" s="6" t="str">
        <f>"OR4F17"</f>
        <v>OR4F17</v>
      </c>
      <c r="B6894" s="6">
        <v>0.13086913086912999</v>
      </c>
      <c r="C6894" s="6">
        <v>0.31696082500313699</v>
      </c>
    </row>
    <row r="6895" spans="1:3" s="7" customFormat="1" x14ac:dyDescent="0.2">
      <c r="A6895" s="6" t="str">
        <f>"EFL1"</f>
        <v>EFL1</v>
      </c>
      <c r="B6895" s="6">
        <v>0.13086913086912999</v>
      </c>
      <c r="C6895" s="6">
        <v>0.31696082500313699</v>
      </c>
    </row>
    <row r="6896" spans="1:3" s="7" customFormat="1" x14ac:dyDescent="0.2">
      <c r="A6896" s="6" t="str">
        <f>"SLC41A1"</f>
        <v>SLC41A1</v>
      </c>
      <c r="B6896" s="6">
        <v>0.13086913086912999</v>
      </c>
      <c r="C6896" s="6">
        <v>0.31696082500313699</v>
      </c>
    </row>
    <row r="6897" spans="1:3" s="7" customFormat="1" x14ac:dyDescent="0.2">
      <c r="A6897" s="6" t="str">
        <f>"KRBOX1"</f>
        <v>KRBOX1</v>
      </c>
      <c r="B6897" s="6">
        <v>0.13086913086912999</v>
      </c>
      <c r="C6897" s="6">
        <v>0.31696082500313699</v>
      </c>
    </row>
    <row r="6898" spans="1:3" s="7" customFormat="1" x14ac:dyDescent="0.2">
      <c r="A6898" s="6" t="str">
        <f>"AC099791.4"</f>
        <v>AC099791.4</v>
      </c>
      <c r="B6898" s="6">
        <v>0.13086913086912999</v>
      </c>
      <c r="C6898" s="6">
        <v>0.31696082500313699</v>
      </c>
    </row>
    <row r="6899" spans="1:3" s="7" customFormat="1" x14ac:dyDescent="0.2">
      <c r="A6899" s="6" t="str">
        <f>"AL157396.1"</f>
        <v>AL157396.1</v>
      </c>
      <c r="B6899" s="6">
        <v>0.13086913086912999</v>
      </c>
      <c r="C6899" s="6">
        <v>0.31696082500313699</v>
      </c>
    </row>
    <row r="6900" spans="1:3" s="7" customFormat="1" x14ac:dyDescent="0.2">
      <c r="A6900" s="6" t="str">
        <f>"SPACA9"</f>
        <v>SPACA9</v>
      </c>
      <c r="B6900" s="6">
        <v>0.13086913086912999</v>
      </c>
      <c r="C6900" s="6">
        <v>0.31696082500313699</v>
      </c>
    </row>
    <row r="6901" spans="1:3" s="7" customFormat="1" x14ac:dyDescent="0.2">
      <c r="A6901" s="6" t="str">
        <f>"CCDC121"</f>
        <v>CCDC121</v>
      </c>
      <c r="B6901" s="6">
        <v>0.13086913086912999</v>
      </c>
      <c r="C6901" s="6">
        <v>0.31696082500313699</v>
      </c>
    </row>
    <row r="6902" spans="1:3" s="7" customFormat="1" x14ac:dyDescent="0.2">
      <c r="A6902" s="6" t="str">
        <f>"DDX49"</f>
        <v>DDX49</v>
      </c>
      <c r="B6902" s="6">
        <v>0.13086913086912999</v>
      </c>
      <c r="C6902" s="6">
        <v>0.31696082500313699</v>
      </c>
    </row>
    <row r="6903" spans="1:3" s="7" customFormat="1" x14ac:dyDescent="0.2">
      <c r="A6903" s="6" t="str">
        <f>"AC069120.1"</f>
        <v>AC069120.1</v>
      </c>
      <c r="B6903" s="6">
        <v>0.13100000000000001</v>
      </c>
      <c r="C6903" s="6">
        <v>0.317231816864676</v>
      </c>
    </row>
    <row r="6904" spans="1:3" s="7" customFormat="1" x14ac:dyDescent="0.2">
      <c r="A6904" s="6" t="str">
        <f>"ELAC2"</f>
        <v>ELAC2</v>
      </c>
      <c r="B6904" s="6">
        <v>0.13113113113113101</v>
      </c>
      <c r="C6904" s="6">
        <v>0.31750336458434297</v>
      </c>
    </row>
    <row r="6905" spans="1:3" s="7" customFormat="1" x14ac:dyDescent="0.2">
      <c r="A6905" s="6" t="str">
        <f>"MAP2K7"</f>
        <v>MAP2K7</v>
      </c>
      <c r="B6905" s="6">
        <v>0.13186813186813101</v>
      </c>
      <c r="C6905" s="6">
        <v>0.31772292864984197</v>
      </c>
    </row>
    <row r="6906" spans="1:3" s="7" customFormat="1" x14ac:dyDescent="0.2">
      <c r="A6906" s="6" t="str">
        <f>"ZNF672"</f>
        <v>ZNF672</v>
      </c>
      <c r="B6906" s="6">
        <v>0.13186813186813101</v>
      </c>
      <c r="C6906" s="6">
        <v>0.31772292864984197</v>
      </c>
    </row>
    <row r="6907" spans="1:3" s="7" customFormat="1" x14ac:dyDescent="0.2">
      <c r="A6907" s="6" t="str">
        <f>"SLC9A2"</f>
        <v>SLC9A2</v>
      </c>
      <c r="B6907" s="6">
        <v>0.13186813186813101</v>
      </c>
      <c r="C6907" s="6">
        <v>0.31772292864984197</v>
      </c>
    </row>
    <row r="6908" spans="1:3" s="7" customFormat="1" x14ac:dyDescent="0.2">
      <c r="A6908" s="6" t="str">
        <f>"Z69720.1"</f>
        <v>Z69720.1</v>
      </c>
      <c r="B6908" s="6">
        <v>0.13139418254764201</v>
      </c>
      <c r="C6908" s="6">
        <v>0.31772292864984197</v>
      </c>
    </row>
    <row r="6909" spans="1:3" s="7" customFormat="1" x14ac:dyDescent="0.2">
      <c r="A6909" s="6" t="str">
        <f>"SLC5A8"</f>
        <v>SLC5A8</v>
      </c>
      <c r="B6909" s="6">
        <v>0.13186813186813101</v>
      </c>
      <c r="C6909" s="6">
        <v>0.31772292864984197</v>
      </c>
    </row>
    <row r="6910" spans="1:3" s="7" customFormat="1" x14ac:dyDescent="0.2">
      <c r="A6910" s="6" t="str">
        <f>"FEM1A"</f>
        <v>FEM1A</v>
      </c>
      <c r="B6910" s="6">
        <v>0.13186813186813101</v>
      </c>
      <c r="C6910" s="6">
        <v>0.31772292864984197</v>
      </c>
    </row>
    <row r="6911" spans="1:3" s="7" customFormat="1" x14ac:dyDescent="0.2">
      <c r="A6911" s="6" t="str">
        <f>"RNF34"</f>
        <v>RNF34</v>
      </c>
      <c r="B6911" s="6">
        <v>0.13186813186813101</v>
      </c>
      <c r="C6911" s="6">
        <v>0.31772292864984197</v>
      </c>
    </row>
    <row r="6912" spans="1:3" s="7" customFormat="1" x14ac:dyDescent="0.2">
      <c r="A6912" s="6" t="str">
        <f>"TMEM80"</f>
        <v>TMEM80</v>
      </c>
      <c r="B6912" s="6">
        <v>0.13186813186813101</v>
      </c>
      <c r="C6912" s="6">
        <v>0.31772292864984197</v>
      </c>
    </row>
    <row r="6913" spans="1:3" s="7" customFormat="1" x14ac:dyDescent="0.2">
      <c r="A6913" s="6" t="str">
        <f>"HSF2BP"</f>
        <v>HSF2BP</v>
      </c>
      <c r="B6913" s="6">
        <v>0.13186813186813101</v>
      </c>
      <c r="C6913" s="6">
        <v>0.31772292864984197</v>
      </c>
    </row>
    <row r="6914" spans="1:3" s="7" customFormat="1" x14ac:dyDescent="0.2">
      <c r="A6914" s="6" t="str">
        <f>"AL118558.3"</f>
        <v>AL118558.3</v>
      </c>
      <c r="B6914" s="6">
        <v>0.13186813186813101</v>
      </c>
      <c r="C6914" s="6">
        <v>0.31772292864984197</v>
      </c>
    </row>
    <row r="6915" spans="1:3" s="7" customFormat="1" x14ac:dyDescent="0.2">
      <c r="A6915" s="6" t="str">
        <f>"NRP2"</f>
        <v>NRP2</v>
      </c>
      <c r="B6915" s="6">
        <v>0.13186813186813101</v>
      </c>
      <c r="C6915" s="6">
        <v>0.31772292864984197</v>
      </c>
    </row>
    <row r="6916" spans="1:3" s="7" customFormat="1" x14ac:dyDescent="0.2">
      <c r="A6916" s="6" t="str">
        <f>"FAM214A"</f>
        <v>FAM214A</v>
      </c>
      <c r="B6916" s="6">
        <v>0.13186813186813101</v>
      </c>
      <c r="C6916" s="6">
        <v>0.31772292864984197</v>
      </c>
    </row>
    <row r="6917" spans="1:3" s="7" customFormat="1" x14ac:dyDescent="0.2">
      <c r="A6917" s="6" t="str">
        <f>"NINJ2-AS1"</f>
        <v>NINJ2-AS1</v>
      </c>
      <c r="B6917" s="6">
        <v>0.13186813186813101</v>
      </c>
      <c r="C6917" s="6">
        <v>0.31772292864984197</v>
      </c>
    </row>
    <row r="6918" spans="1:3" s="7" customFormat="1" x14ac:dyDescent="0.2">
      <c r="A6918" s="6" t="str">
        <f>"C7orf50"</f>
        <v>C7orf50</v>
      </c>
      <c r="B6918" s="6">
        <v>0.13186813186813101</v>
      </c>
      <c r="C6918" s="6">
        <v>0.31772292864984197</v>
      </c>
    </row>
    <row r="6919" spans="1:3" s="7" customFormat="1" x14ac:dyDescent="0.2">
      <c r="A6919" s="6" t="str">
        <f>"ITGB3BP"</f>
        <v>ITGB3BP</v>
      </c>
      <c r="B6919" s="6">
        <v>0.13186813186813101</v>
      </c>
      <c r="C6919" s="6">
        <v>0.31772292864984197</v>
      </c>
    </row>
    <row r="6920" spans="1:3" s="7" customFormat="1" x14ac:dyDescent="0.2">
      <c r="A6920" s="6" t="str">
        <f>"KDM2B"</f>
        <v>KDM2B</v>
      </c>
      <c r="B6920" s="6">
        <v>0.13186813186813101</v>
      </c>
      <c r="C6920" s="6">
        <v>0.31772292864984197</v>
      </c>
    </row>
    <row r="6921" spans="1:3" s="7" customFormat="1" x14ac:dyDescent="0.2">
      <c r="A6921" s="6" t="str">
        <f>"HEMGN"</f>
        <v>HEMGN</v>
      </c>
      <c r="B6921" s="6">
        <v>0.13186813186813101</v>
      </c>
      <c r="C6921" s="6">
        <v>0.31772292864984197</v>
      </c>
    </row>
    <row r="6922" spans="1:3" s="7" customFormat="1" x14ac:dyDescent="0.2">
      <c r="A6922" s="6" t="str">
        <f>"COL6A1"</f>
        <v>COL6A1</v>
      </c>
      <c r="B6922" s="6">
        <v>0.13186813186813101</v>
      </c>
      <c r="C6922" s="6">
        <v>0.31772292864984197</v>
      </c>
    </row>
    <row r="6923" spans="1:3" s="7" customFormat="1" x14ac:dyDescent="0.2">
      <c r="A6923" s="6" t="str">
        <f>"ABHD1"</f>
        <v>ABHD1</v>
      </c>
      <c r="B6923" s="6">
        <v>0.13186813186813101</v>
      </c>
      <c r="C6923" s="6">
        <v>0.31772292864984197</v>
      </c>
    </row>
    <row r="6924" spans="1:3" s="7" customFormat="1" x14ac:dyDescent="0.2">
      <c r="A6924" s="6" t="str">
        <f>"EPM2AIP1"</f>
        <v>EPM2AIP1</v>
      </c>
      <c r="B6924" s="6">
        <v>0.13186813186813101</v>
      </c>
      <c r="C6924" s="6">
        <v>0.31772292864984197</v>
      </c>
    </row>
    <row r="6925" spans="1:3" s="7" customFormat="1" x14ac:dyDescent="0.2">
      <c r="A6925" s="6" t="str">
        <f>"TPBG"</f>
        <v>TPBG</v>
      </c>
      <c r="B6925" s="6">
        <v>0.13186813186813101</v>
      </c>
      <c r="C6925" s="6">
        <v>0.31772292864984197</v>
      </c>
    </row>
    <row r="6926" spans="1:3" s="7" customFormat="1" x14ac:dyDescent="0.2">
      <c r="A6926" s="6" t="str">
        <f>"HRH1"</f>
        <v>HRH1</v>
      </c>
      <c r="B6926" s="6">
        <v>0.13186813186813101</v>
      </c>
      <c r="C6926" s="6">
        <v>0.31772292864984197</v>
      </c>
    </row>
    <row r="6927" spans="1:3" s="7" customFormat="1" x14ac:dyDescent="0.2">
      <c r="A6927" s="6" t="str">
        <f>"COL4A1"</f>
        <v>COL4A1</v>
      </c>
      <c r="B6927" s="6">
        <v>0.13186813186813101</v>
      </c>
      <c r="C6927" s="6">
        <v>0.31772292864984197</v>
      </c>
    </row>
    <row r="6928" spans="1:3" s="7" customFormat="1" x14ac:dyDescent="0.2">
      <c r="A6928" s="6" t="str">
        <f>"CDC42EP5"</f>
        <v>CDC42EP5</v>
      </c>
      <c r="B6928" s="6">
        <v>0.13186813186813101</v>
      </c>
      <c r="C6928" s="6">
        <v>0.31772292864984197</v>
      </c>
    </row>
    <row r="6929" spans="1:3" s="7" customFormat="1" x14ac:dyDescent="0.2">
      <c r="A6929" s="6" t="str">
        <f>"HERC2P5"</f>
        <v>HERC2P5</v>
      </c>
      <c r="B6929" s="6">
        <v>0.1317907444668</v>
      </c>
      <c r="C6929" s="6">
        <v>0.31772292864984197</v>
      </c>
    </row>
    <row r="6930" spans="1:3" s="7" customFormat="1" x14ac:dyDescent="0.2">
      <c r="A6930" s="6" t="str">
        <f>"CCDC74A"</f>
        <v>CCDC74A</v>
      </c>
      <c r="B6930" s="6">
        <v>0.13186813186813101</v>
      </c>
      <c r="C6930" s="6">
        <v>0.31772292864984197</v>
      </c>
    </row>
    <row r="6931" spans="1:3" s="7" customFormat="1" x14ac:dyDescent="0.2">
      <c r="A6931" s="6" t="str">
        <f>"FNDC11"</f>
        <v>FNDC11</v>
      </c>
      <c r="B6931" s="6">
        <v>0.13186813186813101</v>
      </c>
      <c r="C6931" s="6">
        <v>0.31772292864984197</v>
      </c>
    </row>
    <row r="6932" spans="1:3" s="7" customFormat="1" x14ac:dyDescent="0.2">
      <c r="A6932" s="6" t="str">
        <f>"PLOD3"</f>
        <v>PLOD3</v>
      </c>
      <c r="B6932" s="6">
        <v>0.13186813186813101</v>
      </c>
      <c r="C6932" s="6">
        <v>0.31772292864984197</v>
      </c>
    </row>
    <row r="6933" spans="1:3" s="7" customFormat="1" x14ac:dyDescent="0.2">
      <c r="A6933" s="6" t="str">
        <f>"PGAM4"</f>
        <v>PGAM4</v>
      </c>
      <c r="B6933" s="6">
        <v>0.13177159590043899</v>
      </c>
      <c r="C6933" s="6">
        <v>0.31772292864984197</v>
      </c>
    </row>
    <row r="6934" spans="1:3" s="7" customFormat="1" x14ac:dyDescent="0.2">
      <c r="A6934" s="6" t="str">
        <f>"Z97832.2"</f>
        <v>Z97832.2</v>
      </c>
      <c r="B6934" s="6">
        <v>0.13186813186813101</v>
      </c>
      <c r="C6934" s="6">
        <v>0.31772292864984197</v>
      </c>
    </row>
    <row r="6935" spans="1:3" s="7" customFormat="1" x14ac:dyDescent="0.2">
      <c r="A6935" s="6" t="str">
        <f>"RHPN1-AS1"</f>
        <v>RHPN1-AS1</v>
      </c>
      <c r="B6935" s="6">
        <v>0.13186813186813101</v>
      </c>
      <c r="C6935" s="6">
        <v>0.31772292864984197</v>
      </c>
    </row>
    <row r="6936" spans="1:3" s="7" customFormat="1" x14ac:dyDescent="0.2">
      <c r="A6936" s="6" t="str">
        <f>"DNAJB6P1"</f>
        <v>DNAJB6P1</v>
      </c>
      <c r="B6936" s="6">
        <v>0.13186813186813101</v>
      </c>
      <c r="C6936" s="6">
        <v>0.31772292864984197</v>
      </c>
    </row>
    <row r="6937" spans="1:3" s="7" customFormat="1" x14ac:dyDescent="0.2">
      <c r="A6937" s="6" t="str">
        <f>"OTX2"</f>
        <v>OTX2</v>
      </c>
      <c r="B6937" s="6">
        <v>0.13186813186813101</v>
      </c>
      <c r="C6937" s="6">
        <v>0.31772292864984197</v>
      </c>
    </row>
    <row r="6938" spans="1:3" s="7" customFormat="1" x14ac:dyDescent="0.2">
      <c r="A6938" s="6" t="str">
        <f>"IDH2"</f>
        <v>IDH2</v>
      </c>
      <c r="B6938" s="6">
        <v>0.13186813186813101</v>
      </c>
      <c r="C6938" s="6">
        <v>0.31772292864984197</v>
      </c>
    </row>
    <row r="6939" spans="1:3" s="7" customFormat="1" x14ac:dyDescent="0.2">
      <c r="A6939" s="6" t="str">
        <f>"SEPTIN4"</f>
        <v>SEPTIN4</v>
      </c>
      <c r="B6939" s="6">
        <v>0.13200000000000001</v>
      </c>
      <c r="C6939" s="6">
        <v>0.31799481118477901</v>
      </c>
    </row>
    <row r="6940" spans="1:3" s="7" customFormat="1" x14ac:dyDescent="0.2">
      <c r="A6940" s="6" t="str">
        <f>"ATXN7L1"</f>
        <v>ATXN7L1</v>
      </c>
      <c r="B6940" s="6">
        <v>0.132867132867132</v>
      </c>
      <c r="C6940" s="6">
        <v>0.318705691552993</v>
      </c>
    </row>
    <row r="6941" spans="1:3" s="7" customFormat="1" x14ac:dyDescent="0.2">
      <c r="A6941" s="6" t="str">
        <f>"ROGDI"</f>
        <v>ROGDI</v>
      </c>
      <c r="B6941" s="6">
        <v>0.132867132867132</v>
      </c>
      <c r="C6941" s="6">
        <v>0.318705691552993</v>
      </c>
    </row>
    <row r="6942" spans="1:3" s="7" customFormat="1" x14ac:dyDescent="0.2">
      <c r="A6942" s="6" t="str">
        <f>"IGLL5"</f>
        <v>IGLL5</v>
      </c>
      <c r="B6942" s="6">
        <v>0.132867132867132</v>
      </c>
      <c r="C6942" s="6">
        <v>0.318705691552993</v>
      </c>
    </row>
    <row r="6943" spans="1:3" s="7" customFormat="1" x14ac:dyDescent="0.2">
      <c r="A6943" s="6" t="str">
        <f>"AP002414.2"</f>
        <v>AP002414.2</v>
      </c>
      <c r="B6943" s="6">
        <v>0.132867132867132</v>
      </c>
      <c r="C6943" s="6">
        <v>0.318705691552993</v>
      </c>
    </row>
    <row r="6944" spans="1:3" s="7" customFormat="1" x14ac:dyDescent="0.2">
      <c r="A6944" s="6" t="str">
        <f>"LIN7C"</f>
        <v>LIN7C</v>
      </c>
      <c r="B6944" s="6">
        <v>0.132867132867132</v>
      </c>
      <c r="C6944" s="6">
        <v>0.318705691552993</v>
      </c>
    </row>
    <row r="6945" spans="1:3" s="7" customFormat="1" x14ac:dyDescent="0.2">
      <c r="A6945" s="6" t="str">
        <f>"AC135983.2"</f>
        <v>AC135983.2</v>
      </c>
      <c r="B6945" s="6">
        <v>0.132867132867132</v>
      </c>
      <c r="C6945" s="6">
        <v>0.318705691552993</v>
      </c>
    </row>
    <row r="6946" spans="1:3" s="7" customFormat="1" x14ac:dyDescent="0.2">
      <c r="A6946" s="6" t="str">
        <f>"TNK2"</f>
        <v>TNK2</v>
      </c>
      <c r="B6946" s="6">
        <v>0.132867132867132</v>
      </c>
      <c r="C6946" s="6">
        <v>0.318705691552993</v>
      </c>
    </row>
    <row r="6947" spans="1:3" s="7" customFormat="1" x14ac:dyDescent="0.2">
      <c r="A6947" s="6" t="str">
        <f>"SMG9"</f>
        <v>SMG9</v>
      </c>
      <c r="B6947" s="6">
        <v>0.132867132867132</v>
      </c>
      <c r="C6947" s="6">
        <v>0.318705691552993</v>
      </c>
    </row>
    <row r="6948" spans="1:3" s="7" customFormat="1" x14ac:dyDescent="0.2">
      <c r="A6948" s="6" t="str">
        <f>"TRIM65"</f>
        <v>TRIM65</v>
      </c>
      <c r="B6948" s="6">
        <v>0.132867132867132</v>
      </c>
      <c r="C6948" s="6">
        <v>0.318705691552993</v>
      </c>
    </row>
    <row r="6949" spans="1:3" s="7" customFormat="1" x14ac:dyDescent="0.2">
      <c r="A6949" s="6" t="str">
        <f>"TSEN54"</f>
        <v>TSEN54</v>
      </c>
      <c r="B6949" s="6">
        <v>0.132867132867132</v>
      </c>
      <c r="C6949" s="6">
        <v>0.318705691552993</v>
      </c>
    </row>
    <row r="6950" spans="1:3" s="7" customFormat="1" x14ac:dyDescent="0.2">
      <c r="A6950" s="6" t="str">
        <f>"CLK2"</f>
        <v>CLK2</v>
      </c>
      <c r="B6950" s="6">
        <v>0.132867132867132</v>
      </c>
      <c r="C6950" s="6">
        <v>0.318705691552993</v>
      </c>
    </row>
    <row r="6951" spans="1:3" s="7" customFormat="1" x14ac:dyDescent="0.2">
      <c r="A6951" s="6" t="str">
        <f>"SNAPC2"</f>
        <v>SNAPC2</v>
      </c>
      <c r="B6951" s="6">
        <v>0.132867132867132</v>
      </c>
      <c r="C6951" s="6">
        <v>0.318705691552993</v>
      </c>
    </row>
    <row r="6952" spans="1:3" s="7" customFormat="1" x14ac:dyDescent="0.2">
      <c r="A6952" s="6" t="str">
        <f>"HLA-DPA1"</f>
        <v>HLA-DPA1</v>
      </c>
      <c r="B6952" s="6">
        <v>0.132867132867132</v>
      </c>
      <c r="C6952" s="6">
        <v>0.318705691552993</v>
      </c>
    </row>
    <row r="6953" spans="1:3" s="7" customFormat="1" x14ac:dyDescent="0.2">
      <c r="A6953" s="6" t="str">
        <f>"SLC25A19"</f>
        <v>SLC25A19</v>
      </c>
      <c r="B6953" s="6">
        <v>0.132867132867132</v>
      </c>
      <c r="C6953" s="6">
        <v>0.318705691552993</v>
      </c>
    </row>
    <row r="6954" spans="1:3" s="7" customFormat="1" x14ac:dyDescent="0.2">
      <c r="A6954" s="6" t="str">
        <f>"AK3"</f>
        <v>AK3</v>
      </c>
      <c r="B6954" s="6">
        <v>0.132867132867132</v>
      </c>
      <c r="C6954" s="6">
        <v>0.318705691552993</v>
      </c>
    </row>
    <row r="6955" spans="1:3" s="7" customFormat="1" x14ac:dyDescent="0.2">
      <c r="A6955" s="6" t="str">
        <f>"ZNF419"</f>
        <v>ZNF419</v>
      </c>
      <c r="B6955" s="6">
        <v>0.132867132867132</v>
      </c>
      <c r="C6955" s="6">
        <v>0.318705691552993</v>
      </c>
    </row>
    <row r="6956" spans="1:3" s="7" customFormat="1" x14ac:dyDescent="0.2">
      <c r="A6956" s="6" t="str">
        <f>"AGFG2"</f>
        <v>AGFG2</v>
      </c>
      <c r="B6956" s="6">
        <v>0.132867132867132</v>
      </c>
      <c r="C6956" s="6">
        <v>0.318705691552993</v>
      </c>
    </row>
    <row r="6957" spans="1:3" s="7" customFormat="1" x14ac:dyDescent="0.2">
      <c r="A6957" s="6" t="str">
        <f>"ZNF10"</f>
        <v>ZNF10</v>
      </c>
      <c r="B6957" s="6">
        <v>0.132867132867132</v>
      </c>
      <c r="C6957" s="6">
        <v>0.318705691552993</v>
      </c>
    </row>
    <row r="6958" spans="1:3" s="7" customFormat="1" x14ac:dyDescent="0.2">
      <c r="A6958" s="6" t="str">
        <f>"ITGA9-AS1"</f>
        <v>ITGA9-AS1</v>
      </c>
      <c r="B6958" s="6">
        <v>0.132867132867132</v>
      </c>
      <c r="C6958" s="6">
        <v>0.318705691552993</v>
      </c>
    </row>
    <row r="6959" spans="1:3" s="7" customFormat="1" x14ac:dyDescent="0.2">
      <c r="A6959" s="6" t="str">
        <f>"PID1"</f>
        <v>PID1</v>
      </c>
      <c r="B6959" s="6">
        <v>0.132867132867132</v>
      </c>
      <c r="C6959" s="6">
        <v>0.318705691552993</v>
      </c>
    </row>
    <row r="6960" spans="1:3" s="7" customFormat="1" x14ac:dyDescent="0.2">
      <c r="A6960" s="6" t="str">
        <f>"RIMS4"</f>
        <v>RIMS4</v>
      </c>
      <c r="B6960" s="6">
        <v>0.132867132867132</v>
      </c>
      <c r="C6960" s="6">
        <v>0.318705691552993</v>
      </c>
    </row>
    <row r="6961" spans="1:3" s="7" customFormat="1" x14ac:dyDescent="0.2">
      <c r="A6961" s="6" t="str">
        <f>"NSDHL"</f>
        <v>NSDHL</v>
      </c>
      <c r="B6961" s="6">
        <v>0.132867132867132</v>
      </c>
      <c r="C6961" s="6">
        <v>0.318705691552993</v>
      </c>
    </row>
    <row r="6962" spans="1:3" s="7" customFormat="1" x14ac:dyDescent="0.2">
      <c r="A6962" s="6" t="str">
        <f>"CTNNB1"</f>
        <v>CTNNB1</v>
      </c>
      <c r="B6962" s="6">
        <v>0.132867132867132</v>
      </c>
      <c r="C6962" s="6">
        <v>0.318705691552993</v>
      </c>
    </row>
    <row r="6963" spans="1:3" s="7" customFormat="1" x14ac:dyDescent="0.2">
      <c r="A6963" s="6" t="str">
        <f>"MATN4"</f>
        <v>MATN4</v>
      </c>
      <c r="B6963" s="6">
        <v>0.13239719157472399</v>
      </c>
      <c r="C6963" s="6">
        <v>0.318705691552993</v>
      </c>
    </row>
    <row r="6964" spans="1:3" s="7" customFormat="1" x14ac:dyDescent="0.2">
      <c r="A6964" s="6" t="str">
        <f>"CEP72"</f>
        <v>CEP72</v>
      </c>
      <c r="B6964" s="6">
        <v>0.132867132867132</v>
      </c>
      <c r="C6964" s="6">
        <v>0.318705691552993</v>
      </c>
    </row>
    <row r="6965" spans="1:3" s="7" customFormat="1" x14ac:dyDescent="0.2">
      <c r="A6965" s="6" t="str">
        <f>"MANSC1"</f>
        <v>MANSC1</v>
      </c>
      <c r="B6965" s="6">
        <v>0.132867132867132</v>
      </c>
      <c r="C6965" s="6">
        <v>0.318705691552993</v>
      </c>
    </row>
    <row r="6966" spans="1:3" s="7" customFormat="1" x14ac:dyDescent="0.2">
      <c r="A6966" s="6" t="str">
        <f>"IKZF3"</f>
        <v>IKZF3</v>
      </c>
      <c r="B6966" s="6">
        <v>0.132867132867132</v>
      </c>
      <c r="C6966" s="6">
        <v>0.318705691552993</v>
      </c>
    </row>
    <row r="6967" spans="1:3" s="7" customFormat="1" x14ac:dyDescent="0.2">
      <c r="A6967" s="6" t="str">
        <f>"ELMOD2"</f>
        <v>ELMOD2</v>
      </c>
      <c r="B6967" s="6">
        <v>0.132867132867132</v>
      </c>
      <c r="C6967" s="6">
        <v>0.318705691552993</v>
      </c>
    </row>
    <row r="6968" spans="1:3" s="7" customFormat="1" x14ac:dyDescent="0.2">
      <c r="A6968" s="6" t="str">
        <f>"LNC-LBCS"</f>
        <v>LNC-LBCS</v>
      </c>
      <c r="B6968" s="6">
        <v>0.132867132867132</v>
      </c>
      <c r="C6968" s="6">
        <v>0.318705691552993</v>
      </c>
    </row>
    <row r="6969" spans="1:3" s="7" customFormat="1" x14ac:dyDescent="0.2">
      <c r="A6969" s="6" t="str">
        <f>"DNAJB14"</f>
        <v>DNAJB14</v>
      </c>
      <c r="B6969" s="6">
        <v>0.132867132867132</v>
      </c>
      <c r="C6969" s="6">
        <v>0.318705691552993</v>
      </c>
    </row>
    <row r="6970" spans="1:3" s="7" customFormat="1" x14ac:dyDescent="0.2">
      <c r="A6970" s="6" t="str">
        <f>"RNASEH1"</f>
        <v>RNASEH1</v>
      </c>
      <c r="B6970" s="6">
        <v>0.13300000000000001</v>
      </c>
      <c r="C6970" s="6">
        <v>0.31897861960108997</v>
      </c>
    </row>
    <row r="6971" spans="1:3" s="7" customFormat="1" x14ac:dyDescent="0.2">
      <c r="A6971" s="6" t="str">
        <f>"DOCK9-DT"</f>
        <v>DOCK9-DT</v>
      </c>
      <c r="B6971" s="6">
        <v>0.133866133866133</v>
      </c>
      <c r="C6971" s="6">
        <v>0.31958842471626298</v>
      </c>
    </row>
    <row r="6972" spans="1:3" s="7" customFormat="1" x14ac:dyDescent="0.2">
      <c r="A6972" s="6" t="str">
        <f>"LINC01480"</f>
        <v>LINC01480</v>
      </c>
      <c r="B6972" s="6">
        <v>0.133866133866133</v>
      </c>
      <c r="C6972" s="6">
        <v>0.31958842471626298</v>
      </c>
    </row>
    <row r="6973" spans="1:3" s="7" customFormat="1" x14ac:dyDescent="0.2">
      <c r="A6973" s="6" t="str">
        <f>"ZNF384"</f>
        <v>ZNF384</v>
      </c>
      <c r="B6973" s="6">
        <v>0.133866133866133</v>
      </c>
      <c r="C6973" s="6">
        <v>0.31958842471626298</v>
      </c>
    </row>
    <row r="6974" spans="1:3" s="7" customFormat="1" x14ac:dyDescent="0.2">
      <c r="A6974" s="6" t="str">
        <f>"RPL13A"</f>
        <v>RPL13A</v>
      </c>
      <c r="B6974" s="6">
        <v>0.133866133866133</v>
      </c>
      <c r="C6974" s="6">
        <v>0.31958842471626298</v>
      </c>
    </row>
    <row r="6975" spans="1:3" s="7" customFormat="1" x14ac:dyDescent="0.2">
      <c r="A6975" s="6" t="str">
        <f>"AFAP1"</f>
        <v>AFAP1</v>
      </c>
      <c r="B6975" s="6">
        <v>0.133866133866133</v>
      </c>
      <c r="C6975" s="6">
        <v>0.31958842471626298</v>
      </c>
    </row>
    <row r="6976" spans="1:3" s="7" customFormat="1" x14ac:dyDescent="0.2">
      <c r="A6976" s="6" t="str">
        <f>"TMEM258"</f>
        <v>TMEM258</v>
      </c>
      <c r="B6976" s="6">
        <v>0.133866133866133</v>
      </c>
      <c r="C6976" s="6">
        <v>0.31958842471626298</v>
      </c>
    </row>
    <row r="6977" spans="1:3" s="7" customFormat="1" x14ac:dyDescent="0.2">
      <c r="A6977" s="6" t="str">
        <f>"SLAMF1"</f>
        <v>SLAMF1</v>
      </c>
      <c r="B6977" s="6">
        <v>0.133866133866133</v>
      </c>
      <c r="C6977" s="6">
        <v>0.31958842471626298</v>
      </c>
    </row>
    <row r="6978" spans="1:3" s="7" customFormat="1" x14ac:dyDescent="0.2">
      <c r="A6978" s="6" t="str">
        <f>"AC019117.3"</f>
        <v>AC019117.3</v>
      </c>
      <c r="B6978" s="6">
        <v>0.133866133866133</v>
      </c>
      <c r="C6978" s="6">
        <v>0.31958842471626298</v>
      </c>
    </row>
    <row r="6979" spans="1:3" s="7" customFormat="1" x14ac:dyDescent="0.2">
      <c r="A6979" s="6" t="str">
        <f>"LAMA1"</f>
        <v>LAMA1</v>
      </c>
      <c r="B6979" s="6">
        <v>0.133866133866133</v>
      </c>
      <c r="C6979" s="6">
        <v>0.31958842471626298</v>
      </c>
    </row>
    <row r="6980" spans="1:3" s="7" customFormat="1" x14ac:dyDescent="0.2">
      <c r="A6980" s="6" t="str">
        <f>"PWP2"</f>
        <v>PWP2</v>
      </c>
      <c r="B6980" s="6">
        <v>0.133866133866133</v>
      </c>
      <c r="C6980" s="6">
        <v>0.31958842471626298</v>
      </c>
    </row>
    <row r="6981" spans="1:3" s="7" customFormat="1" x14ac:dyDescent="0.2">
      <c r="A6981" s="6" t="str">
        <f>"ZKSCAN3"</f>
        <v>ZKSCAN3</v>
      </c>
      <c r="B6981" s="6">
        <v>0.133866133866133</v>
      </c>
      <c r="C6981" s="6">
        <v>0.31958842471626298</v>
      </c>
    </row>
    <row r="6982" spans="1:3" s="7" customFormat="1" x14ac:dyDescent="0.2">
      <c r="A6982" s="6" t="str">
        <f>"RPS6KA2"</f>
        <v>RPS6KA2</v>
      </c>
      <c r="B6982" s="6">
        <v>0.133866133866133</v>
      </c>
      <c r="C6982" s="6">
        <v>0.31958842471626298</v>
      </c>
    </row>
    <row r="6983" spans="1:3" s="7" customFormat="1" x14ac:dyDescent="0.2">
      <c r="A6983" s="6" t="str">
        <f>"DPY19L3"</f>
        <v>DPY19L3</v>
      </c>
      <c r="B6983" s="6">
        <v>0.133866133866133</v>
      </c>
      <c r="C6983" s="6">
        <v>0.31958842471626298</v>
      </c>
    </row>
    <row r="6984" spans="1:3" s="7" customFormat="1" x14ac:dyDescent="0.2">
      <c r="A6984" s="6" t="str">
        <f>"NT5E"</f>
        <v>NT5E</v>
      </c>
      <c r="B6984" s="6">
        <v>0.133866133866133</v>
      </c>
      <c r="C6984" s="6">
        <v>0.31958842471626298</v>
      </c>
    </row>
    <row r="6985" spans="1:3" s="7" customFormat="1" x14ac:dyDescent="0.2">
      <c r="A6985" s="6" t="str">
        <f>"DYNLT3"</f>
        <v>DYNLT3</v>
      </c>
      <c r="B6985" s="6">
        <v>0.133866133866133</v>
      </c>
      <c r="C6985" s="6">
        <v>0.31958842471626298</v>
      </c>
    </row>
    <row r="6986" spans="1:3" s="7" customFormat="1" x14ac:dyDescent="0.2">
      <c r="A6986" s="6" t="str">
        <f>"ICE1"</f>
        <v>ICE1</v>
      </c>
      <c r="B6986" s="6">
        <v>0.133866133866133</v>
      </c>
      <c r="C6986" s="6">
        <v>0.31958842471626298</v>
      </c>
    </row>
    <row r="6987" spans="1:3" s="7" customFormat="1" x14ac:dyDescent="0.2">
      <c r="A6987" s="6" t="str">
        <f>"DCTPP1"</f>
        <v>DCTPP1</v>
      </c>
      <c r="B6987" s="6">
        <v>0.133866133866133</v>
      </c>
      <c r="C6987" s="6">
        <v>0.31958842471626298</v>
      </c>
    </row>
    <row r="6988" spans="1:3" s="7" customFormat="1" x14ac:dyDescent="0.2">
      <c r="A6988" s="6" t="str">
        <f>"AL365295.1"</f>
        <v>AL365295.1</v>
      </c>
      <c r="B6988" s="6">
        <v>0.133866133866133</v>
      </c>
      <c r="C6988" s="6">
        <v>0.31958842471626298</v>
      </c>
    </row>
    <row r="6989" spans="1:3" s="7" customFormat="1" x14ac:dyDescent="0.2">
      <c r="A6989" s="6" t="str">
        <f>"GATC"</f>
        <v>GATC</v>
      </c>
      <c r="B6989" s="6">
        <v>0.133866133866133</v>
      </c>
      <c r="C6989" s="6">
        <v>0.31958842471626298</v>
      </c>
    </row>
    <row r="6990" spans="1:3" s="7" customFormat="1" x14ac:dyDescent="0.2">
      <c r="A6990" s="6" t="str">
        <f>"ETHE1"</f>
        <v>ETHE1</v>
      </c>
      <c r="B6990" s="6">
        <v>0.133866133866133</v>
      </c>
      <c r="C6990" s="6">
        <v>0.31958842471626298</v>
      </c>
    </row>
    <row r="6991" spans="1:3" s="7" customFormat="1" x14ac:dyDescent="0.2">
      <c r="A6991" s="6" t="str">
        <f>"USP40"</f>
        <v>USP40</v>
      </c>
      <c r="B6991" s="6">
        <v>0.133866133866133</v>
      </c>
      <c r="C6991" s="6">
        <v>0.31958842471626298</v>
      </c>
    </row>
    <row r="6992" spans="1:3" s="7" customFormat="1" x14ac:dyDescent="0.2">
      <c r="A6992" s="6" t="str">
        <f>"ATXN7L3B"</f>
        <v>ATXN7L3B</v>
      </c>
      <c r="B6992" s="6">
        <v>0.133866133866133</v>
      </c>
      <c r="C6992" s="6">
        <v>0.31958842471626298</v>
      </c>
    </row>
    <row r="6993" spans="1:3" s="7" customFormat="1" x14ac:dyDescent="0.2">
      <c r="A6993" s="6" t="str">
        <f>"AC011498.1"</f>
        <v>AC011498.1</v>
      </c>
      <c r="B6993" s="6">
        <v>0.133866133866133</v>
      </c>
      <c r="C6993" s="6">
        <v>0.31958842471626298</v>
      </c>
    </row>
    <row r="6994" spans="1:3" s="7" customFormat="1" x14ac:dyDescent="0.2">
      <c r="A6994" s="6" t="str">
        <f>"PMM1"</f>
        <v>PMM1</v>
      </c>
      <c r="B6994" s="6">
        <v>0.133866133866133</v>
      </c>
      <c r="C6994" s="6">
        <v>0.31958842471626298</v>
      </c>
    </row>
    <row r="6995" spans="1:3" s="7" customFormat="1" x14ac:dyDescent="0.2">
      <c r="A6995" s="6" t="str">
        <f>"VPS13B"</f>
        <v>VPS13B</v>
      </c>
      <c r="B6995" s="6">
        <v>0.133866133866133</v>
      </c>
      <c r="C6995" s="6">
        <v>0.31958842471626298</v>
      </c>
    </row>
    <row r="6996" spans="1:3" s="7" customFormat="1" x14ac:dyDescent="0.2">
      <c r="A6996" s="6" t="str">
        <f>"MPRIP"</f>
        <v>MPRIP</v>
      </c>
      <c r="B6996" s="6">
        <v>0.133866133866133</v>
      </c>
      <c r="C6996" s="6">
        <v>0.31958842471626298</v>
      </c>
    </row>
    <row r="6997" spans="1:3" s="7" customFormat="1" x14ac:dyDescent="0.2">
      <c r="A6997" s="6" t="str">
        <f>"IARS2"</f>
        <v>IARS2</v>
      </c>
      <c r="B6997" s="6">
        <v>0.133866133866133</v>
      </c>
      <c r="C6997" s="6">
        <v>0.31958842471626298</v>
      </c>
    </row>
    <row r="6998" spans="1:3" s="7" customFormat="1" x14ac:dyDescent="0.2">
      <c r="A6998" s="6" t="str">
        <f>"DMKN"</f>
        <v>DMKN</v>
      </c>
      <c r="B6998" s="6">
        <v>0.133866133866133</v>
      </c>
      <c r="C6998" s="6">
        <v>0.31958842471626298</v>
      </c>
    </row>
    <row r="6999" spans="1:3" s="7" customFormat="1" x14ac:dyDescent="0.2">
      <c r="A6999" s="6" t="str">
        <f>"NCAPD2"</f>
        <v>NCAPD2</v>
      </c>
      <c r="B6999" s="6">
        <v>0.133866133866133</v>
      </c>
      <c r="C6999" s="6">
        <v>0.31958842471626298</v>
      </c>
    </row>
    <row r="7000" spans="1:3" s="7" customFormat="1" x14ac:dyDescent="0.2">
      <c r="A7000" s="6" t="str">
        <f>"HSPA5"</f>
        <v>HSPA5</v>
      </c>
      <c r="B7000" s="6">
        <v>0.133866133866133</v>
      </c>
      <c r="C7000" s="6">
        <v>0.31958842471626298</v>
      </c>
    </row>
    <row r="7001" spans="1:3" s="7" customFormat="1" x14ac:dyDescent="0.2">
      <c r="A7001" s="6" t="str">
        <f>"ZNF700"</f>
        <v>ZNF700</v>
      </c>
      <c r="B7001" s="6">
        <v>0.133866133866133</v>
      </c>
      <c r="C7001" s="6">
        <v>0.31958842471626298</v>
      </c>
    </row>
    <row r="7002" spans="1:3" s="7" customFormat="1" x14ac:dyDescent="0.2">
      <c r="A7002" s="6" t="str">
        <f>"LMF1"</f>
        <v>LMF1</v>
      </c>
      <c r="B7002" s="6">
        <v>0.133866133866133</v>
      </c>
      <c r="C7002" s="6">
        <v>0.31958842471626298</v>
      </c>
    </row>
    <row r="7003" spans="1:3" s="7" customFormat="1" x14ac:dyDescent="0.2">
      <c r="A7003" s="6" t="str">
        <f>"AP001547.1"</f>
        <v>AP001547.1</v>
      </c>
      <c r="B7003" s="6">
        <v>0.13400000000000001</v>
      </c>
      <c r="C7003" s="6">
        <v>0.31986232504998502</v>
      </c>
    </row>
    <row r="7004" spans="1:3" s="7" customFormat="1" x14ac:dyDescent="0.2">
      <c r="A7004" s="6" t="str">
        <f>"OR10A2"</f>
        <v>OR10A2</v>
      </c>
      <c r="B7004" s="6">
        <v>0.134134134134134</v>
      </c>
      <c r="C7004" s="6">
        <v>0.32013678679393298</v>
      </c>
    </row>
    <row r="7005" spans="1:3" s="7" customFormat="1" x14ac:dyDescent="0.2">
      <c r="A7005" s="6" t="str">
        <f>"SPATA41"</f>
        <v>SPATA41</v>
      </c>
      <c r="B7005" s="6">
        <v>0.13417721518987299</v>
      </c>
      <c r="C7005" s="6">
        <v>0.32019388559159601</v>
      </c>
    </row>
    <row r="7006" spans="1:3" s="7" customFormat="1" x14ac:dyDescent="0.2">
      <c r="A7006" s="6" t="str">
        <f>"AC026329.1"</f>
        <v>AC026329.1</v>
      </c>
      <c r="B7006" s="6">
        <v>0.13426853707414799</v>
      </c>
      <c r="C7006" s="6">
        <v>0.32032034379921698</v>
      </c>
    </row>
    <row r="7007" spans="1:3" s="7" customFormat="1" x14ac:dyDescent="0.2">
      <c r="A7007" s="6" t="str">
        <f>"AC018475.1"</f>
        <v>AC018475.1</v>
      </c>
      <c r="B7007" s="6">
        <v>0.13426853707414799</v>
      </c>
      <c r="C7007" s="6">
        <v>0.32032034379921698</v>
      </c>
    </row>
    <row r="7008" spans="1:3" s="7" customFormat="1" x14ac:dyDescent="0.2">
      <c r="A7008" s="6" t="str">
        <f>"PSPC1"</f>
        <v>PSPC1</v>
      </c>
      <c r="B7008" s="6">
        <v>0.13486513486513399</v>
      </c>
      <c r="C7008" s="6">
        <v>0.32050844079850099</v>
      </c>
    </row>
    <row r="7009" spans="1:3" s="7" customFormat="1" x14ac:dyDescent="0.2">
      <c r="A7009" s="6" t="str">
        <f>"YAF2"</f>
        <v>YAF2</v>
      </c>
      <c r="B7009" s="6">
        <v>0.13486513486513399</v>
      </c>
      <c r="C7009" s="6">
        <v>0.32050844079850099</v>
      </c>
    </row>
    <row r="7010" spans="1:3" s="7" customFormat="1" x14ac:dyDescent="0.2">
      <c r="A7010" s="6" t="str">
        <f>"DLX6"</f>
        <v>DLX6</v>
      </c>
      <c r="B7010" s="6">
        <v>0.13486513486513399</v>
      </c>
      <c r="C7010" s="6">
        <v>0.32050844079850099</v>
      </c>
    </row>
    <row r="7011" spans="1:3" s="7" customFormat="1" x14ac:dyDescent="0.2">
      <c r="A7011" s="6" t="str">
        <f>"AC006042.3"</f>
        <v>AC006042.3</v>
      </c>
      <c r="B7011" s="6">
        <v>0.13440320962888599</v>
      </c>
      <c r="C7011" s="6">
        <v>0.32050844079850099</v>
      </c>
    </row>
    <row r="7012" spans="1:3" s="7" customFormat="1" x14ac:dyDescent="0.2">
      <c r="A7012" s="6" t="str">
        <f>"DDX11-AS1"</f>
        <v>DDX11-AS1</v>
      </c>
      <c r="B7012" s="6">
        <v>0.13486513486513399</v>
      </c>
      <c r="C7012" s="6">
        <v>0.32050844079850099</v>
      </c>
    </row>
    <row r="7013" spans="1:3" s="7" customFormat="1" x14ac:dyDescent="0.2">
      <c r="A7013" s="6" t="str">
        <f>"RNFT2"</f>
        <v>RNFT2</v>
      </c>
      <c r="B7013" s="6">
        <v>0.13486513486513399</v>
      </c>
      <c r="C7013" s="6">
        <v>0.32050844079850099</v>
      </c>
    </row>
    <row r="7014" spans="1:3" s="7" customFormat="1" x14ac:dyDescent="0.2">
      <c r="A7014" s="6" t="str">
        <f>"CLDN4"</f>
        <v>CLDN4</v>
      </c>
      <c r="B7014" s="6">
        <v>0.13486513486513399</v>
      </c>
      <c r="C7014" s="6">
        <v>0.32050844079850099</v>
      </c>
    </row>
    <row r="7015" spans="1:3" s="7" customFormat="1" x14ac:dyDescent="0.2">
      <c r="A7015" s="6" t="str">
        <f>"BUB3"</f>
        <v>BUB3</v>
      </c>
      <c r="B7015" s="6">
        <v>0.13486513486513399</v>
      </c>
      <c r="C7015" s="6">
        <v>0.32050844079850099</v>
      </c>
    </row>
    <row r="7016" spans="1:3" s="7" customFormat="1" x14ac:dyDescent="0.2">
      <c r="A7016" s="6" t="str">
        <f>"AP001993.1"</f>
        <v>AP001993.1</v>
      </c>
      <c r="B7016" s="6">
        <v>0.13486513486513399</v>
      </c>
      <c r="C7016" s="6">
        <v>0.32050844079850099</v>
      </c>
    </row>
    <row r="7017" spans="1:3" s="7" customFormat="1" x14ac:dyDescent="0.2">
      <c r="A7017" s="6" t="str">
        <f>"IAH1"</f>
        <v>IAH1</v>
      </c>
      <c r="B7017" s="6">
        <v>0.13486513486513399</v>
      </c>
      <c r="C7017" s="6">
        <v>0.32050844079850099</v>
      </c>
    </row>
    <row r="7018" spans="1:3" s="7" customFormat="1" x14ac:dyDescent="0.2">
      <c r="A7018" s="6" t="str">
        <f>"HERC3"</f>
        <v>HERC3</v>
      </c>
      <c r="B7018" s="6">
        <v>0.13486513486513399</v>
      </c>
      <c r="C7018" s="6">
        <v>0.32050844079850099</v>
      </c>
    </row>
    <row r="7019" spans="1:3" s="7" customFormat="1" x14ac:dyDescent="0.2">
      <c r="A7019" s="6" t="str">
        <f>"BDNF"</f>
        <v>BDNF</v>
      </c>
      <c r="B7019" s="6">
        <v>0.13486513486513399</v>
      </c>
      <c r="C7019" s="6">
        <v>0.32050844079850099</v>
      </c>
    </row>
    <row r="7020" spans="1:3" s="7" customFormat="1" x14ac:dyDescent="0.2">
      <c r="A7020" s="6" t="str">
        <f>"NAB2"</f>
        <v>NAB2</v>
      </c>
      <c r="B7020" s="6">
        <v>0.13486513486513399</v>
      </c>
      <c r="C7020" s="6">
        <v>0.32050844079850099</v>
      </c>
    </row>
    <row r="7021" spans="1:3" s="7" customFormat="1" x14ac:dyDescent="0.2">
      <c r="A7021" s="6" t="str">
        <f>"SMIM13"</f>
        <v>SMIM13</v>
      </c>
      <c r="B7021" s="6">
        <v>0.13486513486513399</v>
      </c>
      <c r="C7021" s="6">
        <v>0.32050844079850099</v>
      </c>
    </row>
    <row r="7022" spans="1:3" s="7" customFormat="1" x14ac:dyDescent="0.2">
      <c r="A7022" s="6" t="str">
        <f>"RIOK2"</f>
        <v>RIOK2</v>
      </c>
      <c r="B7022" s="6">
        <v>0.13486513486513399</v>
      </c>
      <c r="C7022" s="6">
        <v>0.32050844079850099</v>
      </c>
    </row>
    <row r="7023" spans="1:3" s="7" customFormat="1" x14ac:dyDescent="0.2">
      <c r="A7023" s="6" t="str">
        <f>"LINC00880"</f>
        <v>LINC00880</v>
      </c>
      <c r="B7023" s="6">
        <v>0.13486513486513399</v>
      </c>
      <c r="C7023" s="6">
        <v>0.32050844079850099</v>
      </c>
    </row>
    <row r="7024" spans="1:3" s="7" customFormat="1" x14ac:dyDescent="0.2">
      <c r="A7024" s="6" t="str">
        <f>"SPIN1"</f>
        <v>SPIN1</v>
      </c>
      <c r="B7024" s="6">
        <v>0.13486513486513399</v>
      </c>
      <c r="C7024" s="6">
        <v>0.32050844079850099</v>
      </c>
    </row>
    <row r="7025" spans="1:3" s="7" customFormat="1" x14ac:dyDescent="0.2">
      <c r="A7025" s="6" t="str">
        <f>"KIAA1549L"</f>
        <v>KIAA1549L</v>
      </c>
      <c r="B7025" s="6">
        <v>0.13486513486513399</v>
      </c>
      <c r="C7025" s="6">
        <v>0.32050844079850099</v>
      </c>
    </row>
    <row r="7026" spans="1:3" s="7" customFormat="1" x14ac:dyDescent="0.2">
      <c r="A7026" s="6" t="str">
        <f>"XDH"</f>
        <v>XDH</v>
      </c>
      <c r="B7026" s="6">
        <v>0.13486513486513399</v>
      </c>
      <c r="C7026" s="6">
        <v>0.32050844079850099</v>
      </c>
    </row>
    <row r="7027" spans="1:3" s="7" customFormat="1" x14ac:dyDescent="0.2">
      <c r="A7027" s="6" t="str">
        <f>"DCP2"</f>
        <v>DCP2</v>
      </c>
      <c r="B7027" s="6">
        <v>0.13486513486513399</v>
      </c>
      <c r="C7027" s="6">
        <v>0.32050844079850099</v>
      </c>
    </row>
    <row r="7028" spans="1:3" s="7" customFormat="1" x14ac:dyDescent="0.2">
      <c r="A7028" s="6" t="str">
        <f>"RINT1"</f>
        <v>RINT1</v>
      </c>
      <c r="B7028" s="6">
        <v>0.13486513486513399</v>
      </c>
      <c r="C7028" s="6">
        <v>0.32050844079850099</v>
      </c>
    </row>
    <row r="7029" spans="1:3" s="7" customFormat="1" x14ac:dyDescent="0.2">
      <c r="A7029" s="6" t="str">
        <f>"NLK"</f>
        <v>NLK</v>
      </c>
      <c r="B7029" s="6">
        <v>0.13486513486513399</v>
      </c>
      <c r="C7029" s="6">
        <v>0.32050844079850099</v>
      </c>
    </row>
    <row r="7030" spans="1:3" s="7" customFormat="1" x14ac:dyDescent="0.2">
      <c r="A7030" s="6" t="str">
        <f>"CTNND1"</f>
        <v>CTNND1</v>
      </c>
      <c r="B7030" s="6">
        <v>0.13486513486513399</v>
      </c>
      <c r="C7030" s="6">
        <v>0.32050844079850099</v>
      </c>
    </row>
    <row r="7031" spans="1:3" s="7" customFormat="1" x14ac:dyDescent="0.2">
      <c r="A7031" s="6" t="str">
        <f>"ZNF527"</f>
        <v>ZNF527</v>
      </c>
      <c r="B7031" s="6">
        <v>0.13486513486513399</v>
      </c>
      <c r="C7031" s="6">
        <v>0.32050844079850099</v>
      </c>
    </row>
    <row r="7032" spans="1:3" s="7" customFormat="1" x14ac:dyDescent="0.2">
      <c r="A7032" s="6" t="str">
        <f>"MAP6"</f>
        <v>MAP6</v>
      </c>
      <c r="B7032" s="6">
        <v>0.13486513486513399</v>
      </c>
      <c r="C7032" s="6">
        <v>0.32050844079850099</v>
      </c>
    </row>
    <row r="7033" spans="1:3" s="7" customFormat="1" x14ac:dyDescent="0.2">
      <c r="A7033" s="6" t="str">
        <f>"NAIF1"</f>
        <v>NAIF1</v>
      </c>
      <c r="B7033" s="6">
        <v>0.13486513486513399</v>
      </c>
      <c r="C7033" s="6">
        <v>0.32050844079850099</v>
      </c>
    </row>
    <row r="7034" spans="1:3" s="7" customFormat="1" x14ac:dyDescent="0.2">
      <c r="A7034" s="6" t="str">
        <f>"JRKL"</f>
        <v>JRKL</v>
      </c>
      <c r="B7034" s="6">
        <v>0.13486513486513399</v>
      </c>
      <c r="C7034" s="6">
        <v>0.32050844079850099</v>
      </c>
    </row>
    <row r="7035" spans="1:3" s="7" customFormat="1" x14ac:dyDescent="0.2">
      <c r="A7035" s="6" t="str">
        <f>"AL662907.1"</f>
        <v>AL662907.1</v>
      </c>
      <c r="B7035" s="6">
        <v>0.135025380710659</v>
      </c>
      <c r="C7035" s="6">
        <v>0.32084364702842799</v>
      </c>
    </row>
    <row r="7036" spans="1:3" s="7" customFormat="1" x14ac:dyDescent="0.2">
      <c r="A7036" s="6" t="str">
        <f>"HSD52"</f>
        <v>HSD52</v>
      </c>
      <c r="B7036" s="6">
        <v>0.13586413586413501</v>
      </c>
      <c r="C7036" s="6">
        <v>0.32183009734030099</v>
      </c>
    </row>
    <row r="7037" spans="1:3" s="7" customFormat="1" x14ac:dyDescent="0.2">
      <c r="A7037" s="6" t="str">
        <f>"IRAK3"</f>
        <v>IRAK3</v>
      </c>
      <c r="B7037" s="6">
        <v>0.13586413586413501</v>
      </c>
      <c r="C7037" s="6">
        <v>0.32183009734030099</v>
      </c>
    </row>
    <row r="7038" spans="1:3" s="7" customFormat="1" x14ac:dyDescent="0.2">
      <c r="A7038" s="6" t="str">
        <f>"XYLB"</f>
        <v>XYLB</v>
      </c>
      <c r="B7038" s="6">
        <v>0.13586413586413501</v>
      </c>
      <c r="C7038" s="6">
        <v>0.32183009734030099</v>
      </c>
    </row>
    <row r="7039" spans="1:3" s="7" customFormat="1" x14ac:dyDescent="0.2">
      <c r="A7039" s="6" t="str">
        <f>"PMS2"</f>
        <v>PMS2</v>
      </c>
      <c r="B7039" s="6">
        <v>0.13586413586413501</v>
      </c>
      <c r="C7039" s="6">
        <v>0.32183009734030099</v>
      </c>
    </row>
    <row r="7040" spans="1:3" s="7" customFormat="1" x14ac:dyDescent="0.2">
      <c r="A7040" s="6" t="str">
        <f>"CFB"</f>
        <v>CFB</v>
      </c>
      <c r="B7040" s="6">
        <v>0.13586413586413501</v>
      </c>
      <c r="C7040" s="6">
        <v>0.32183009734030099</v>
      </c>
    </row>
    <row r="7041" spans="1:3" s="7" customFormat="1" x14ac:dyDescent="0.2">
      <c r="A7041" s="6" t="str">
        <f>"SLC2A4RG"</f>
        <v>SLC2A4RG</v>
      </c>
      <c r="B7041" s="6">
        <v>0.13586413586413501</v>
      </c>
      <c r="C7041" s="6">
        <v>0.32183009734030099</v>
      </c>
    </row>
    <row r="7042" spans="1:3" s="7" customFormat="1" x14ac:dyDescent="0.2">
      <c r="A7042" s="6" t="str">
        <f>"LINC01783"</f>
        <v>LINC01783</v>
      </c>
      <c r="B7042" s="6">
        <v>0.13586413586413501</v>
      </c>
      <c r="C7042" s="6">
        <v>0.32183009734030099</v>
      </c>
    </row>
    <row r="7043" spans="1:3" s="7" customFormat="1" x14ac:dyDescent="0.2">
      <c r="A7043" s="6" t="str">
        <f>"NARF-IT1"</f>
        <v>NARF-IT1</v>
      </c>
      <c r="B7043" s="6">
        <v>0.13586413586413501</v>
      </c>
      <c r="C7043" s="6">
        <v>0.32183009734030099</v>
      </c>
    </row>
    <row r="7044" spans="1:3" s="7" customFormat="1" x14ac:dyDescent="0.2">
      <c r="A7044" s="6" t="str">
        <f>"RBAK"</f>
        <v>RBAK</v>
      </c>
      <c r="B7044" s="6">
        <v>0.13586413586413501</v>
      </c>
      <c r="C7044" s="6">
        <v>0.32183009734030099</v>
      </c>
    </row>
    <row r="7045" spans="1:3" s="7" customFormat="1" x14ac:dyDescent="0.2">
      <c r="A7045" s="6" t="str">
        <f>"CIBAR1"</f>
        <v>CIBAR1</v>
      </c>
      <c r="B7045" s="6">
        <v>0.13586413586413501</v>
      </c>
      <c r="C7045" s="6">
        <v>0.32183009734030099</v>
      </c>
    </row>
    <row r="7046" spans="1:3" s="7" customFormat="1" x14ac:dyDescent="0.2">
      <c r="A7046" s="6" t="str">
        <f>"ERI2"</f>
        <v>ERI2</v>
      </c>
      <c r="B7046" s="6">
        <v>0.13586413586413501</v>
      </c>
      <c r="C7046" s="6">
        <v>0.32183009734030099</v>
      </c>
    </row>
    <row r="7047" spans="1:3" s="7" customFormat="1" x14ac:dyDescent="0.2">
      <c r="A7047" s="6" t="str">
        <f>"TNS2"</f>
        <v>TNS2</v>
      </c>
      <c r="B7047" s="6">
        <v>0.13586413586413501</v>
      </c>
      <c r="C7047" s="6">
        <v>0.32183009734030099</v>
      </c>
    </row>
    <row r="7048" spans="1:3" s="7" customFormat="1" x14ac:dyDescent="0.2">
      <c r="A7048" s="6" t="str">
        <f>"AC026471.1"</f>
        <v>AC026471.1</v>
      </c>
      <c r="B7048" s="6">
        <v>0.13586413586413501</v>
      </c>
      <c r="C7048" s="6">
        <v>0.32183009734030099</v>
      </c>
    </row>
    <row r="7049" spans="1:3" s="7" customFormat="1" x14ac:dyDescent="0.2">
      <c r="A7049" s="6" t="str">
        <f>"RTBDN"</f>
        <v>RTBDN</v>
      </c>
      <c r="B7049" s="6">
        <v>0.13586413586413501</v>
      </c>
      <c r="C7049" s="6">
        <v>0.32183009734030099</v>
      </c>
    </row>
    <row r="7050" spans="1:3" s="7" customFormat="1" x14ac:dyDescent="0.2">
      <c r="A7050" s="6" t="str">
        <f>"AC008758.6"</f>
        <v>AC008758.6</v>
      </c>
      <c r="B7050" s="6">
        <v>0.13586413586413501</v>
      </c>
      <c r="C7050" s="6">
        <v>0.32183009734030099</v>
      </c>
    </row>
    <row r="7051" spans="1:3" s="7" customFormat="1" x14ac:dyDescent="0.2">
      <c r="A7051" s="6" t="str">
        <f>"STMND1"</f>
        <v>STMND1</v>
      </c>
      <c r="B7051" s="6">
        <v>0.13586413586413501</v>
      </c>
      <c r="C7051" s="6">
        <v>0.32183009734030099</v>
      </c>
    </row>
    <row r="7052" spans="1:3" s="7" customFormat="1" x14ac:dyDescent="0.2">
      <c r="A7052" s="6" t="str">
        <f>"MAP2"</f>
        <v>MAP2</v>
      </c>
      <c r="B7052" s="6">
        <v>0.13586413586413501</v>
      </c>
      <c r="C7052" s="6">
        <v>0.32183009734030099</v>
      </c>
    </row>
    <row r="7053" spans="1:3" s="7" customFormat="1" x14ac:dyDescent="0.2">
      <c r="A7053" s="6" t="str">
        <f>"VPS16"</f>
        <v>VPS16</v>
      </c>
      <c r="B7053" s="6">
        <v>0.13586413586413501</v>
      </c>
      <c r="C7053" s="6">
        <v>0.32183009734030099</v>
      </c>
    </row>
    <row r="7054" spans="1:3" s="7" customFormat="1" x14ac:dyDescent="0.2">
      <c r="A7054" s="6" t="str">
        <f>"LINC01273"</f>
        <v>LINC01273</v>
      </c>
      <c r="B7054" s="6">
        <v>0.13586413586413501</v>
      </c>
      <c r="C7054" s="6">
        <v>0.32183009734030099</v>
      </c>
    </row>
    <row r="7055" spans="1:3" s="7" customFormat="1" x14ac:dyDescent="0.2">
      <c r="A7055" s="6" t="str">
        <f>"DPY19L2P2"</f>
        <v>DPY19L2P2</v>
      </c>
      <c r="B7055" s="6">
        <v>0.13586413586413501</v>
      </c>
      <c r="C7055" s="6">
        <v>0.32183009734030099</v>
      </c>
    </row>
    <row r="7056" spans="1:3" s="7" customFormat="1" x14ac:dyDescent="0.2">
      <c r="A7056" s="6" t="str">
        <f>"MAN1C1"</f>
        <v>MAN1C1</v>
      </c>
      <c r="B7056" s="6">
        <v>0.13586413586413501</v>
      </c>
      <c r="C7056" s="6">
        <v>0.32183009734030099</v>
      </c>
    </row>
    <row r="7057" spans="1:3" s="7" customFormat="1" x14ac:dyDescent="0.2">
      <c r="A7057" s="6" t="str">
        <f>"CEP164"</f>
        <v>CEP164</v>
      </c>
      <c r="B7057" s="6">
        <v>0.13586413586413501</v>
      </c>
      <c r="C7057" s="6">
        <v>0.32183009734030099</v>
      </c>
    </row>
    <row r="7058" spans="1:3" s="7" customFormat="1" x14ac:dyDescent="0.2">
      <c r="A7058" s="6" t="str">
        <f>"SOWAHCP5"</f>
        <v>SOWAHCP5</v>
      </c>
      <c r="B7058" s="6">
        <v>0.13600000000000001</v>
      </c>
      <c r="C7058" s="6">
        <v>0.32210627745500903</v>
      </c>
    </row>
    <row r="7059" spans="1:3" s="7" customFormat="1" x14ac:dyDescent="0.2">
      <c r="A7059" s="6" t="str">
        <f>"ATP5F1AP3"</f>
        <v>ATP5F1AP3</v>
      </c>
      <c r="B7059" s="6">
        <v>0.13613613613613601</v>
      </c>
      <c r="C7059" s="6">
        <v>0.32238302343147901</v>
      </c>
    </row>
    <row r="7060" spans="1:3" s="7" customFormat="1" x14ac:dyDescent="0.2">
      <c r="A7060" s="6" t="str">
        <f>"RWDD2A"</f>
        <v>RWDD2A</v>
      </c>
      <c r="B7060" s="6">
        <v>0.136863136863136</v>
      </c>
      <c r="C7060" s="6">
        <v>0.32291508604326202</v>
      </c>
    </row>
    <row r="7061" spans="1:3" s="7" customFormat="1" x14ac:dyDescent="0.2">
      <c r="A7061" s="6" t="str">
        <f>"ARHGEF40"</f>
        <v>ARHGEF40</v>
      </c>
      <c r="B7061" s="6">
        <v>0.136863136863136</v>
      </c>
      <c r="C7061" s="6">
        <v>0.32291508604326202</v>
      </c>
    </row>
    <row r="7062" spans="1:3" s="7" customFormat="1" x14ac:dyDescent="0.2">
      <c r="A7062" s="6" t="str">
        <f>"LINC02821"</f>
        <v>LINC02821</v>
      </c>
      <c r="B7062" s="6">
        <v>0.136863136863136</v>
      </c>
      <c r="C7062" s="6">
        <v>0.32291508604326202</v>
      </c>
    </row>
    <row r="7063" spans="1:3" s="7" customFormat="1" x14ac:dyDescent="0.2">
      <c r="A7063" s="6" t="str">
        <f>"ST3GAL1"</f>
        <v>ST3GAL1</v>
      </c>
      <c r="B7063" s="6">
        <v>0.136863136863136</v>
      </c>
      <c r="C7063" s="6">
        <v>0.32291508604326202</v>
      </c>
    </row>
    <row r="7064" spans="1:3" s="7" customFormat="1" x14ac:dyDescent="0.2">
      <c r="A7064" s="6" t="str">
        <f>"ZNF417"</f>
        <v>ZNF417</v>
      </c>
      <c r="B7064" s="6">
        <v>0.136863136863136</v>
      </c>
      <c r="C7064" s="6">
        <v>0.32291508604326202</v>
      </c>
    </row>
    <row r="7065" spans="1:3" s="7" customFormat="1" x14ac:dyDescent="0.2">
      <c r="A7065" s="6" t="str">
        <f>"CD2BP2-DT"</f>
        <v>CD2BP2-DT</v>
      </c>
      <c r="B7065" s="6">
        <v>0.136863136863136</v>
      </c>
      <c r="C7065" s="6">
        <v>0.32291508604326202</v>
      </c>
    </row>
    <row r="7066" spans="1:3" s="7" customFormat="1" x14ac:dyDescent="0.2">
      <c r="A7066" s="6" t="str">
        <f>"NAPG"</f>
        <v>NAPG</v>
      </c>
      <c r="B7066" s="6">
        <v>0.136863136863136</v>
      </c>
      <c r="C7066" s="6">
        <v>0.32291508604326202</v>
      </c>
    </row>
    <row r="7067" spans="1:3" s="7" customFormat="1" x14ac:dyDescent="0.2">
      <c r="A7067" s="6" t="str">
        <f>"ULK3"</f>
        <v>ULK3</v>
      </c>
      <c r="B7067" s="6">
        <v>0.136863136863136</v>
      </c>
      <c r="C7067" s="6">
        <v>0.32291508604326202</v>
      </c>
    </row>
    <row r="7068" spans="1:3" s="7" customFormat="1" x14ac:dyDescent="0.2">
      <c r="A7068" s="6" t="str">
        <f>"AC099343.2"</f>
        <v>AC099343.2</v>
      </c>
      <c r="B7068" s="6">
        <v>0.136863136863136</v>
      </c>
      <c r="C7068" s="6">
        <v>0.32291508604326202</v>
      </c>
    </row>
    <row r="7069" spans="1:3" s="7" customFormat="1" x14ac:dyDescent="0.2">
      <c r="A7069" s="6" t="str">
        <f>"IRS3P"</f>
        <v>IRS3P</v>
      </c>
      <c r="B7069" s="6">
        <v>0.136863136863136</v>
      </c>
      <c r="C7069" s="6">
        <v>0.32291508604326202</v>
      </c>
    </row>
    <row r="7070" spans="1:3" s="7" customFormat="1" x14ac:dyDescent="0.2">
      <c r="A7070" s="6" t="str">
        <f>"KREMEN1"</f>
        <v>KREMEN1</v>
      </c>
      <c r="B7070" s="6">
        <v>0.136863136863136</v>
      </c>
      <c r="C7070" s="6">
        <v>0.32291508604326202</v>
      </c>
    </row>
    <row r="7071" spans="1:3" s="7" customFormat="1" x14ac:dyDescent="0.2">
      <c r="A7071" s="6" t="str">
        <f>"NT5DC3"</f>
        <v>NT5DC3</v>
      </c>
      <c r="B7071" s="6">
        <v>0.136863136863136</v>
      </c>
      <c r="C7071" s="6">
        <v>0.32291508604326202</v>
      </c>
    </row>
    <row r="7072" spans="1:3" s="7" customFormat="1" x14ac:dyDescent="0.2">
      <c r="A7072" s="6" t="str">
        <f>"CTPS2"</f>
        <v>CTPS2</v>
      </c>
      <c r="B7072" s="6">
        <v>0.136863136863136</v>
      </c>
      <c r="C7072" s="6">
        <v>0.32291508604326202</v>
      </c>
    </row>
    <row r="7073" spans="1:3" s="7" customFormat="1" x14ac:dyDescent="0.2">
      <c r="A7073" s="6" t="str">
        <f>"LAT"</f>
        <v>LAT</v>
      </c>
      <c r="B7073" s="6">
        <v>0.136863136863136</v>
      </c>
      <c r="C7073" s="6">
        <v>0.32291508604326202</v>
      </c>
    </row>
    <row r="7074" spans="1:3" s="7" customFormat="1" x14ac:dyDescent="0.2">
      <c r="A7074" s="6" t="str">
        <f>"SH3BP5L"</f>
        <v>SH3BP5L</v>
      </c>
      <c r="B7074" s="6">
        <v>0.136863136863136</v>
      </c>
      <c r="C7074" s="6">
        <v>0.32291508604326202</v>
      </c>
    </row>
    <row r="7075" spans="1:3" s="7" customFormat="1" x14ac:dyDescent="0.2">
      <c r="A7075" s="6" t="str">
        <f>"CD276"</f>
        <v>CD276</v>
      </c>
      <c r="B7075" s="6">
        <v>0.136863136863136</v>
      </c>
      <c r="C7075" s="6">
        <v>0.32291508604326202</v>
      </c>
    </row>
    <row r="7076" spans="1:3" s="7" customFormat="1" x14ac:dyDescent="0.2">
      <c r="A7076" s="6" t="str">
        <f>"AGBL3"</f>
        <v>AGBL3</v>
      </c>
      <c r="B7076" s="6">
        <v>0.136863136863136</v>
      </c>
      <c r="C7076" s="6">
        <v>0.32291508604326202</v>
      </c>
    </row>
    <row r="7077" spans="1:3" s="7" customFormat="1" x14ac:dyDescent="0.2">
      <c r="A7077" s="6" t="str">
        <f>"SFSWAP"</f>
        <v>SFSWAP</v>
      </c>
      <c r="B7077" s="6">
        <v>0.136863136863136</v>
      </c>
      <c r="C7077" s="6">
        <v>0.32291508604326202</v>
      </c>
    </row>
    <row r="7078" spans="1:3" s="7" customFormat="1" x14ac:dyDescent="0.2">
      <c r="A7078" s="6" t="str">
        <f>"AC097658.1"</f>
        <v>AC097658.1</v>
      </c>
      <c r="B7078" s="6">
        <v>0.136863136863136</v>
      </c>
      <c r="C7078" s="6">
        <v>0.32291508604326202</v>
      </c>
    </row>
    <row r="7079" spans="1:3" s="7" customFormat="1" x14ac:dyDescent="0.2">
      <c r="A7079" s="6" t="str">
        <f>"AL645608.7"</f>
        <v>AL645608.7</v>
      </c>
      <c r="B7079" s="6">
        <v>0.136863136863136</v>
      </c>
      <c r="C7079" s="6">
        <v>0.32291508604326202</v>
      </c>
    </row>
    <row r="7080" spans="1:3" s="7" customFormat="1" x14ac:dyDescent="0.2">
      <c r="A7080" s="6" t="str">
        <f>"EFCAB6"</f>
        <v>EFCAB6</v>
      </c>
      <c r="B7080" s="6">
        <v>0.136863136863136</v>
      </c>
      <c r="C7080" s="6">
        <v>0.32291508604326202</v>
      </c>
    </row>
    <row r="7081" spans="1:3" s="7" customFormat="1" x14ac:dyDescent="0.2">
      <c r="A7081" s="6" t="str">
        <f>"ZNF391"</f>
        <v>ZNF391</v>
      </c>
      <c r="B7081" s="6">
        <v>0.136863136863136</v>
      </c>
      <c r="C7081" s="6">
        <v>0.32291508604326202</v>
      </c>
    </row>
    <row r="7082" spans="1:3" s="7" customFormat="1" x14ac:dyDescent="0.2">
      <c r="A7082" s="6" t="str">
        <f>"ANGPTL4"</f>
        <v>ANGPTL4</v>
      </c>
      <c r="B7082" s="6">
        <v>0.136863136863136</v>
      </c>
      <c r="C7082" s="6">
        <v>0.32291508604326202</v>
      </c>
    </row>
    <row r="7083" spans="1:3" s="7" customFormat="1" x14ac:dyDescent="0.2">
      <c r="A7083" s="6" t="str">
        <f>"AC073111.3"</f>
        <v>AC073111.3</v>
      </c>
      <c r="B7083" s="6">
        <v>0.136863136863136</v>
      </c>
      <c r="C7083" s="6">
        <v>0.32291508604326202</v>
      </c>
    </row>
    <row r="7084" spans="1:3" s="7" customFormat="1" x14ac:dyDescent="0.2">
      <c r="A7084" s="6" t="str">
        <f>"LINC00958"</f>
        <v>LINC00958</v>
      </c>
      <c r="B7084" s="6">
        <v>0.136863136863136</v>
      </c>
      <c r="C7084" s="6">
        <v>0.32291508604326202</v>
      </c>
    </row>
    <row r="7085" spans="1:3" s="7" customFormat="1" x14ac:dyDescent="0.2">
      <c r="A7085" s="6" t="str">
        <f>"DNAJB13"</f>
        <v>DNAJB13</v>
      </c>
      <c r="B7085" s="6">
        <v>0.136863136863136</v>
      </c>
      <c r="C7085" s="6">
        <v>0.32291508604326202</v>
      </c>
    </row>
    <row r="7086" spans="1:3" s="7" customFormat="1" x14ac:dyDescent="0.2">
      <c r="A7086" s="6" t="str">
        <f>"RGS12"</f>
        <v>RGS12</v>
      </c>
      <c r="B7086" s="6">
        <v>0.13700000000000001</v>
      </c>
      <c r="C7086" s="6">
        <v>0.32319237826393699</v>
      </c>
    </row>
    <row r="7087" spans="1:3" s="7" customFormat="1" x14ac:dyDescent="0.2">
      <c r="A7087" s="6" t="str">
        <f>"AC005481.1"</f>
        <v>AC005481.1</v>
      </c>
      <c r="B7087" s="6">
        <v>0.13713713713713699</v>
      </c>
      <c r="C7087" s="6">
        <v>0.32347023851398599</v>
      </c>
    </row>
    <row r="7088" spans="1:3" s="7" customFormat="1" x14ac:dyDescent="0.2">
      <c r="A7088" s="6" t="str">
        <f>"TJP2"</f>
        <v>TJP2</v>
      </c>
      <c r="B7088" s="6">
        <v>0.137862137862137</v>
      </c>
      <c r="C7088" s="6">
        <v>0.32440205155959001</v>
      </c>
    </row>
    <row r="7089" spans="1:3" s="7" customFormat="1" x14ac:dyDescent="0.2">
      <c r="A7089" s="6" t="str">
        <f>"C11orf95"</f>
        <v>C11orf95</v>
      </c>
      <c r="B7089" s="6">
        <v>0.137862137862137</v>
      </c>
      <c r="C7089" s="6">
        <v>0.32440205155959001</v>
      </c>
    </row>
    <row r="7090" spans="1:3" s="7" customFormat="1" x14ac:dyDescent="0.2">
      <c r="A7090" s="6" t="str">
        <f>"IGLC1"</f>
        <v>IGLC1</v>
      </c>
      <c r="B7090" s="6">
        <v>0.137862137862137</v>
      </c>
      <c r="C7090" s="6">
        <v>0.32440205155959001</v>
      </c>
    </row>
    <row r="7091" spans="1:3" s="7" customFormat="1" x14ac:dyDescent="0.2">
      <c r="A7091" s="6" t="str">
        <f>"CLSTN3"</f>
        <v>CLSTN3</v>
      </c>
      <c r="B7091" s="6">
        <v>0.137862137862137</v>
      </c>
      <c r="C7091" s="6">
        <v>0.32440205155959001</v>
      </c>
    </row>
    <row r="7092" spans="1:3" s="7" customFormat="1" x14ac:dyDescent="0.2">
      <c r="A7092" s="6" t="str">
        <f>"MTF1"</f>
        <v>MTF1</v>
      </c>
      <c r="B7092" s="6">
        <v>0.137862137862137</v>
      </c>
      <c r="C7092" s="6">
        <v>0.32440205155959001</v>
      </c>
    </row>
    <row r="7093" spans="1:3" s="7" customFormat="1" x14ac:dyDescent="0.2">
      <c r="A7093" s="6" t="str">
        <f>"AC145124.1"</f>
        <v>AC145124.1</v>
      </c>
      <c r="B7093" s="6">
        <v>0.137862137862137</v>
      </c>
      <c r="C7093" s="6">
        <v>0.32440205155959001</v>
      </c>
    </row>
    <row r="7094" spans="1:3" s="7" customFormat="1" x14ac:dyDescent="0.2">
      <c r="A7094" s="6" t="str">
        <f>"TPM2"</f>
        <v>TPM2</v>
      </c>
      <c r="B7094" s="6">
        <v>0.137862137862137</v>
      </c>
      <c r="C7094" s="6">
        <v>0.32440205155959001</v>
      </c>
    </row>
    <row r="7095" spans="1:3" s="7" customFormat="1" x14ac:dyDescent="0.2">
      <c r="A7095" s="6" t="str">
        <f>"TUBGCP5"</f>
        <v>TUBGCP5</v>
      </c>
      <c r="B7095" s="6">
        <v>0.137862137862137</v>
      </c>
      <c r="C7095" s="6">
        <v>0.32440205155959001</v>
      </c>
    </row>
    <row r="7096" spans="1:3" s="7" customFormat="1" x14ac:dyDescent="0.2">
      <c r="A7096" s="6" t="str">
        <f>"UHRF2"</f>
        <v>UHRF2</v>
      </c>
      <c r="B7096" s="6">
        <v>0.137862137862137</v>
      </c>
      <c r="C7096" s="6">
        <v>0.32440205155959001</v>
      </c>
    </row>
    <row r="7097" spans="1:3" s="7" customFormat="1" x14ac:dyDescent="0.2">
      <c r="A7097" s="6" t="str">
        <f>"ARHGAP27P1-BPTFP1-KPNA2P3"</f>
        <v>ARHGAP27P1-BPTFP1-KPNA2P3</v>
      </c>
      <c r="B7097" s="6">
        <v>0.137862137862137</v>
      </c>
      <c r="C7097" s="6">
        <v>0.32440205155959001</v>
      </c>
    </row>
    <row r="7098" spans="1:3" s="7" customFormat="1" x14ac:dyDescent="0.2">
      <c r="A7098" s="6" t="str">
        <f>"XXYLT1"</f>
        <v>XXYLT1</v>
      </c>
      <c r="B7098" s="6">
        <v>0.137862137862137</v>
      </c>
      <c r="C7098" s="6">
        <v>0.32440205155959001</v>
      </c>
    </row>
    <row r="7099" spans="1:3" s="7" customFormat="1" x14ac:dyDescent="0.2">
      <c r="A7099" s="6" t="str">
        <f>"EHD4-AS1"</f>
        <v>EHD4-AS1</v>
      </c>
      <c r="B7099" s="6">
        <v>0.137862137862137</v>
      </c>
      <c r="C7099" s="6">
        <v>0.32440205155959001</v>
      </c>
    </row>
    <row r="7100" spans="1:3" s="7" customFormat="1" x14ac:dyDescent="0.2">
      <c r="A7100" s="6" t="str">
        <f>"GAS1RR"</f>
        <v>GAS1RR</v>
      </c>
      <c r="B7100" s="6">
        <v>0.137862137862137</v>
      </c>
      <c r="C7100" s="6">
        <v>0.32440205155959001</v>
      </c>
    </row>
    <row r="7101" spans="1:3" s="7" customFormat="1" x14ac:dyDescent="0.2">
      <c r="A7101" s="6" t="str">
        <f>"MTURN"</f>
        <v>MTURN</v>
      </c>
      <c r="B7101" s="6">
        <v>0.137862137862137</v>
      </c>
      <c r="C7101" s="6">
        <v>0.32440205155959001</v>
      </c>
    </row>
    <row r="7102" spans="1:3" s="7" customFormat="1" x14ac:dyDescent="0.2">
      <c r="A7102" s="6" t="str">
        <f>"IRAK1BP1"</f>
        <v>IRAK1BP1</v>
      </c>
      <c r="B7102" s="6">
        <v>0.137862137862137</v>
      </c>
      <c r="C7102" s="6">
        <v>0.32440205155959001</v>
      </c>
    </row>
    <row r="7103" spans="1:3" s="7" customFormat="1" x14ac:dyDescent="0.2">
      <c r="A7103" s="6" t="str">
        <f>"LRRIQ1"</f>
        <v>LRRIQ1</v>
      </c>
      <c r="B7103" s="6">
        <v>0.137862137862137</v>
      </c>
      <c r="C7103" s="6">
        <v>0.32440205155959001</v>
      </c>
    </row>
    <row r="7104" spans="1:3" s="7" customFormat="1" x14ac:dyDescent="0.2">
      <c r="A7104" s="6" t="str">
        <f>"IDUA"</f>
        <v>IDUA</v>
      </c>
      <c r="B7104" s="6">
        <v>0.137862137862137</v>
      </c>
      <c r="C7104" s="6">
        <v>0.32440205155959001</v>
      </c>
    </row>
    <row r="7105" spans="1:3" s="7" customFormat="1" x14ac:dyDescent="0.2">
      <c r="A7105" s="6" t="str">
        <f>"AC018816.1"</f>
        <v>AC018816.1</v>
      </c>
      <c r="B7105" s="6">
        <v>0.13800000000000001</v>
      </c>
      <c r="C7105" s="6">
        <v>0.32454368932038802</v>
      </c>
    </row>
    <row r="7106" spans="1:3" s="7" customFormat="1" x14ac:dyDescent="0.2">
      <c r="A7106" s="6" t="str">
        <f>"TIE1"</f>
        <v>TIE1</v>
      </c>
      <c r="B7106" s="6">
        <v>0.13800000000000001</v>
      </c>
      <c r="C7106" s="6">
        <v>0.32454368932038802</v>
      </c>
    </row>
    <row r="7107" spans="1:3" s="7" customFormat="1" x14ac:dyDescent="0.2">
      <c r="A7107" s="6" t="str">
        <f>"AC104109.2"</f>
        <v>AC104109.2</v>
      </c>
      <c r="B7107" s="6">
        <v>0.13800000000000001</v>
      </c>
      <c r="C7107" s="6">
        <v>0.32454368932038802</v>
      </c>
    </row>
    <row r="7108" spans="1:3" s="7" customFormat="1" x14ac:dyDescent="0.2">
      <c r="A7108" s="6" t="str">
        <f>"C16orf72"</f>
        <v>C16orf72</v>
      </c>
      <c r="B7108" s="6">
        <v>0.13800000000000001</v>
      </c>
      <c r="C7108" s="6">
        <v>0.32454368932038802</v>
      </c>
    </row>
    <row r="7109" spans="1:3" s="7" customFormat="1" x14ac:dyDescent="0.2">
      <c r="A7109" s="6" t="str">
        <f>"SPTY2D1OS"</f>
        <v>SPTY2D1OS</v>
      </c>
      <c r="B7109" s="6">
        <v>0.138198757763975</v>
      </c>
      <c r="C7109" s="6">
        <v>0.324965396351587</v>
      </c>
    </row>
    <row r="7110" spans="1:3" s="7" customFormat="1" x14ac:dyDescent="0.2">
      <c r="A7110" s="6" t="str">
        <f>"BCO1"</f>
        <v>BCO1</v>
      </c>
      <c r="B7110" s="6">
        <v>0.13886113886113799</v>
      </c>
      <c r="C7110" s="6">
        <v>0.32560677257646897</v>
      </c>
    </row>
    <row r="7111" spans="1:3" s="7" customFormat="1" x14ac:dyDescent="0.2">
      <c r="A7111" s="6" t="str">
        <f>"SPATA2L"</f>
        <v>SPATA2L</v>
      </c>
      <c r="B7111" s="6">
        <v>0.13886113886113799</v>
      </c>
      <c r="C7111" s="6">
        <v>0.32560677257646897</v>
      </c>
    </row>
    <row r="7112" spans="1:3" s="7" customFormat="1" x14ac:dyDescent="0.2">
      <c r="A7112" s="6" t="str">
        <f>"AL355312.1"</f>
        <v>AL355312.1</v>
      </c>
      <c r="B7112" s="6">
        <v>0.13886113886113799</v>
      </c>
      <c r="C7112" s="6">
        <v>0.32560677257646897</v>
      </c>
    </row>
    <row r="7113" spans="1:3" s="7" customFormat="1" x14ac:dyDescent="0.2">
      <c r="A7113" s="6" t="str">
        <f>"FEZF1"</f>
        <v>FEZF1</v>
      </c>
      <c r="B7113" s="6">
        <v>0.13886113886113799</v>
      </c>
      <c r="C7113" s="6">
        <v>0.32560677257646897</v>
      </c>
    </row>
    <row r="7114" spans="1:3" s="7" customFormat="1" x14ac:dyDescent="0.2">
      <c r="A7114" s="6" t="str">
        <f>"RBM12"</f>
        <v>RBM12</v>
      </c>
      <c r="B7114" s="6">
        <v>0.13886113886113799</v>
      </c>
      <c r="C7114" s="6">
        <v>0.32560677257646897</v>
      </c>
    </row>
    <row r="7115" spans="1:3" s="7" customFormat="1" x14ac:dyDescent="0.2">
      <c r="A7115" s="6" t="str">
        <f>"BX640514.2"</f>
        <v>BX640514.2</v>
      </c>
      <c r="B7115" s="6">
        <v>0.13886113886113799</v>
      </c>
      <c r="C7115" s="6">
        <v>0.32560677257646897</v>
      </c>
    </row>
    <row r="7116" spans="1:3" s="7" customFormat="1" x14ac:dyDescent="0.2">
      <c r="A7116" s="6" t="str">
        <f>"MTFR1"</f>
        <v>MTFR1</v>
      </c>
      <c r="B7116" s="6">
        <v>0.13886113886113799</v>
      </c>
      <c r="C7116" s="6">
        <v>0.32560677257646897</v>
      </c>
    </row>
    <row r="7117" spans="1:3" s="7" customFormat="1" x14ac:dyDescent="0.2">
      <c r="A7117" s="6" t="str">
        <f>"ZNF347"</f>
        <v>ZNF347</v>
      </c>
      <c r="B7117" s="6">
        <v>0.13886113886113799</v>
      </c>
      <c r="C7117" s="6">
        <v>0.32560677257646897</v>
      </c>
    </row>
    <row r="7118" spans="1:3" s="7" customFormat="1" x14ac:dyDescent="0.2">
      <c r="A7118" s="6" t="str">
        <f>"PEX19"</f>
        <v>PEX19</v>
      </c>
      <c r="B7118" s="6">
        <v>0.13886113886113799</v>
      </c>
      <c r="C7118" s="6">
        <v>0.32560677257646897</v>
      </c>
    </row>
    <row r="7119" spans="1:3" s="7" customFormat="1" x14ac:dyDescent="0.2">
      <c r="A7119" s="6" t="str">
        <f>"AC073111.2"</f>
        <v>AC073111.2</v>
      </c>
      <c r="B7119" s="6">
        <v>0.13886113886113799</v>
      </c>
      <c r="C7119" s="6">
        <v>0.32560677257646897</v>
      </c>
    </row>
    <row r="7120" spans="1:3" s="7" customFormat="1" x14ac:dyDescent="0.2">
      <c r="A7120" s="6" t="str">
        <f>"ACSM2A"</f>
        <v>ACSM2A</v>
      </c>
      <c r="B7120" s="6">
        <v>0.13886113886113799</v>
      </c>
      <c r="C7120" s="6">
        <v>0.32560677257646897</v>
      </c>
    </row>
    <row r="7121" spans="1:3" s="7" customFormat="1" x14ac:dyDescent="0.2">
      <c r="A7121" s="6" t="str">
        <f>"SPR"</f>
        <v>SPR</v>
      </c>
      <c r="B7121" s="6">
        <v>0.13886113886113799</v>
      </c>
      <c r="C7121" s="6">
        <v>0.32560677257646897</v>
      </c>
    </row>
    <row r="7122" spans="1:3" s="7" customFormat="1" x14ac:dyDescent="0.2">
      <c r="A7122" s="6" t="str">
        <f>"BMP15"</f>
        <v>BMP15</v>
      </c>
      <c r="B7122" s="6">
        <v>0.13886113886113799</v>
      </c>
      <c r="C7122" s="6">
        <v>0.32560677257646897</v>
      </c>
    </row>
    <row r="7123" spans="1:3" s="7" customFormat="1" x14ac:dyDescent="0.2">
      <c r="A7123" s="6" t="str">
        <f>"GPHN"</f>
        <v>GPHN</v>
      </c>
      <c r="B7123" s="6">
        <v>0.13886113886113799</v>
      </c>
      <c r="C7123" s="6">
        <v>0.32560677257646897</v>
      </c>
    </row>
    <row r="7124" spans="1:3" s="7" customFormat="1" x14ac:dyDescent="0.2">
      <c r="A7124" s="6" t="str">
        <f>"AGR3"</f>
        <v>AGR3</v>
      </c>
      <c r="B7124" s="6">
        <v>0.13886113886113799</v>
      </c>
      <c r="C7124" s="6">
        <v>0.32560677257646897</v>
      </c>
    </row>
    <row r="7125" spans="1:3" s="7" customFormat="1" x14ac:dyDescent="0.2">
      <c r="A7125" s="6" t="str">
        <f>"TSC2"</f>
        <v>TSC2</v>
      </c>
      <c r="B7125" s="6">
        <v>0.13886113886113799</v>
      </c>
      <c r="C7125" s="6">
        <v>0.32560677257646897</v>
      </c>
    </row>
    <row r="7126" spans="1:3" s="7" customFormat="1" x14ac:dyDescent="0.2">
      <c r="A7126" s="6" t="str">
        <f>"SESN3"</f>
        <v>SESN3</v>
      </c>
      <c r="B7126" s="6">
        <v>0.13886113886113799</v>
      </c>
      <c r="C7126" s="6">
        <v>0.32560677257646897</v>
      </c>
    </row>
    <row r="7127" spans="1:3" s="7" customFormat="1" x14ac:dyDescent="0.2">
      <c r="A7127" s="6" t="str">
        <f>"RWDD2B"</f>
        <v>RWDD2B</v>
      </c>
      <c r="B7127" s="6">
        <v>0.13886113886113799</v>
      </c>
      <c r="C7127" s="6">
        <v>0.32560677257646897</v>
      </c>
    </row>
    <row r="7128" spans="1:3" s="7" customFormat="1" x14ac:dyDescent="0.2">
      <c r="A7128" s="6" t="str">
        <f>"SBF2"</f>
        <v>SBF2</v>
      </c>
      <c r="B7128" s="6">
        <v>0.13886113886113799</v>
      </c>
      <c r="C7128" s="6">
        <v>0.32560677257646897</v>
      </c>
    </row>
    <row r="7129" spans="1:3" s="7" customFormat="1" x14ac:dyDescent="0.2">
      <c r="A7129" s="6" t="str">
        <f>"TESK2"</f>
        <v>TESK2</v>
      </c>
      <c r="B7129" s="6">
        <v>0.13886113886113799</v>
      </c>
      <c r="C7129" s="6">
        <v>0.32560677257646897</v>
      </c>
    </row>
    <row r="7130" spans="1:3" s="7" customFormat="1" x14ac:dyDescent="0.2">
      <c r="A7130" s="6" t="str">
        <f>"GRTP1"</f>
        <v>GRTP1</v>
      </c>
      <c r="B7130" s="6">
        <v>0.139139139139139</v>
      </c>
      <c r="C7130" s="6">
        <v>0.326212872993627</v>
      </c>
    </row>
    <row r="7131" spans="1:3" s="7" customFormat="1" x14ac:dyDescent="0.2">
      <c r="A7131" s="6" t="str">
        <f>"DOK1"</f>
        <v>DOK1</v>
      </c>
      <c r="B7131" s="6">
        <v>0.13986013986013901</v>
      </c>
      <c r="C7131" s="6">
        <v>0.32684876644608102</v>
      </c>
    </row>
    <row r="7132" spans="1:3" s="7" customFormat="1" x14ac:dyDescent="0.2">
      <c r="A7132" s="6" t="str">
        <f>"UBC"</f>
        <v>UBC</v>
      </c>
      <c r="B7132" s="6">
        <v>0.13986013986013901</v>
      </c>
      <c r="C7132" s="6">
        <v>0.32684876644608102</v>
      </c>
    </row>
    <row r="7133" spans="1:3" s="7" customFormat="1" x14ac:dyDescent="0.2">
      <c r="A7133" s="6" t="str">
        <f>"ATP1A2"</f>
        <v>ATP1A2</v>
      </c>
      <c r="B7133" s="6">
        <v>0.13986013986013901</v>
      </c>
      <c r="C7133" s="6">
        <v>0.32684876644608102</v>
      </c>
    </row>
    <row r="7134" spans="1:3" s="7" customFormat="1" x14ac:dyDescent="0.2">
      <c r="A7134" s="6" t="str">
        <f>"C19orf48"</f>
        <v>C19orf48</v>
      </c>
      <c r="B7134" s="6">
        <v>0.13986013986013901</v>
      </c>
      <c r="C7134" s="6">
        <v>0.32684876644608102</v>
      </c>
    </row>
    <row r="7135" spans="1:3" s="7" customFormat="1" x14ac:dyDescent="0.2">
      <c r="A7135" s="6" t="str">
        <f>"POP5"</f>
        <v>POP5</v>
      </c>
      <c r="B7135" s="6">
        <v>0.13986013986013901</v>
      </c>
      <c r="C7135" s="6">
        <v>0.32684876644608102</v>
      </c>
    </row>
    <row r="7136" spans="1:3" s="7" customFormat="1" x14ac:dyDescent="0.2">
      <c r="A7136" s="6" t="str">
        <f>"ABCD1"</f>
        <v>ABCD1</v>
      </c>
      <c r="B7136" s="6">
        <v>0.13986013986013901</v>
      </c>
      <c r="C7136" s="6">
        <v>0.32684876644608102</v>
      </c>
    </row>
    <row r="7137" spans="1:3" s="7" customFormat="1" x14ac:dyDescent="0.2">
      <c r="A7137" s="6" t="str">
        <f>"GPC2"</f>
        <v>GPC2</v>
      </c>
      <c r="B7137" s="6">
        <v>0.13986013986013901</v>
      </c>
      <c r="C7137" s="6">
        <v>0.32684876644608102</v>
      </c>
    </row>
    <row r="7138" spans="1:3" s="7" customFormat="1" x14ac:dyDescent="0.2">
      <c r="A7138" s="6" t="str">
        <f>"SPSB1"</f>
        <v>SPSB1</v>
      </c>
      <c r="B7138" s="6">
        <v>0.13986013986013901</v>
      </c>
      <c r="C7138" s="6">
        <v>0.32684876644608102</v>
      </c>
    </row>
    <row r="7139" spans="1:3" s="7" customFormat="1" x14ac:dyDescent="0.2">
      <c r="A7139" s="6" t="str">
        <f>"TCEA3"</f>
        <v>TCEA3</v>
      </c>
      <c r="B7139" s="6">
        <v>0.13986013986013901</v>
      </c>
      <c r="C7139" s="6">
        <v>0.32684876644608102</v>
      </c>
    </row>
    <row r="7140" spans="1:3" s="7" customFormat="1" x14ac:dyDescent="0.2">
      <c r="A7140" s="6" t="str">
        <f>"SLC36A1"</f>
        <v>SLC36A1</v>
      </c>
      <c r="B7140" s="6">
        <v>0.13986013986013901</v>
      </c>
      <c r="C7140" s="6">
        <v>0.32684876644608102</v>
      </c>
    </row>
    <row r="7141" spans="1:3" s="7" customFormat="1" x14ac:dyDescent="0.2">
      <c r="A7141" s="6" t="str">
        <f>"RBM11"</f>
        <v>RBM11</v>
      </c>
      <c r="B7141" s="6">
        <v>0.13986013986013901</v>
      </c>
      <c r="C7141" s="6">
        <v>0.32684876644608102</v>
      </c>
    </row>
    <row r="7142" spans="1:3" s="7" customFormat="1" x14ac:dyDescent="0.2">
      <c r="A7142" s="6" t="str">
        <f>"SETD1A"</f>
        <v>SETD1A</v>
      </c>
      <c r="B7142" s="6">
        <v>0.13986013986013901</v>
      </c>
      <c r="C7142" s="6">
        <v>0.32684876644608102</v>
      </c>
    </row>
    <row r="7143" spans="1:3" s="7" customFormat="1" x14ac:dyDescent="0.2">
      <c r="A7143" s="6" t="str">
        <f>"FBXO41"</f>
        <v>FBXO41</v>
      </c>
      <c r="B7143" s="6">
        <v>0.13986013986013901</v>
      </c>
      <c r="C7143" s="6">
        <v>0.32684876644608102</v>
      </c>
    </row>
    <row r="7144" spans="1:3" s="7" customFormat="1" x14ac:dyDescent="0.2">
      <c r="A7144" s="6" t="str">
        <f>"ETV1"</f>
        <v>ETV1</v>
      </c>
      <c r="B7144" s="6">
        <v>0.13986013986013901</v>
      </c>
      <c r="C7144" s="6">
        <v>0.32684876644608102</v>
      </c>
    </row>
    <row r="7145" spans="1:3" s="7" customFormat="1" x14ac:dyDescent="0.2">
      <c r="A7145" s="6" t="str">
        <f>"LRP2BP"</f>
        <v>LRP2BP</v>
      </c>
      <c r="B7145" s="6">
        <v>0.13986013986013901</v>
      </c>
      <c r="C7145" s="6">
        <v>0.32684876644608102</v>
      </c>
    </row>
    <row r="7146" spans="1:3" s="7" customFormat="1" x14ac:dyDescent="0.2">
      <c r="A7146" s="6" t="str">
        <f>"AC079075.1"</f>
        <v>AC079075.1</v>
      </c>
      <c r="B7146" s="6">
        <v>0.13986013986013901</v>
      </c>
      <c r="C7146" s="6">
        <v>0.32684876644608102</v>
      </c>
    </row>
    <row r="7147" spans="1:3" s="7" customFormat="1" x14ac:dyDescent="0.2">
      <c r="A7147" s="6" t="str">
        <f>"DUSP5"</f>
        <v>DUSP5</v>
      </c>
      <c r="B7147" s="6">
        <v>0.13986013986013901</v>
      </c>
      <c r="C7147" s="6">
        <v>0.32684876644608102</v>
      </c>
    </row>
    <row r="7148" spans="1:3" s="7" customFormat="1" x14ac:dyDescent="0.2">
      <c r="A7148" s="6" t="str">
        <f>"MOB3C"</f>
        <v>MOB3C</v>
      </c>
      <c r="B7148" s="6">
        <v>0.13986013986013901</v>
      </c>
      <c r="C7148" s="6">
        <v>0.32684876644608102</v>
      </c>
    </row>
    <row r="7149" spans="1:3" s="7" customFormat="1" x14ac:dyDescent="0.2">
      <c r="A7149" s="6" t="str">
        <f>"CFAP73"</f>
        <v>CFAP73</v>
      </c>
      <c r="B7149" s="6">
        <v>0.13986013986013901</v>
      </c>
      <c r="C7149" s="6">
        <v>0.32684876644608102</v>
      </c>
    </row>
    <row r="7150" spans="1:3" s="7" customFormat="1" x14ac:dyDescent="0.2">
      <c r="A7150" s="6" t="str">
        <f>"BNIP2"</f>
        <v>BNIP2</v>
      </c>
      <c r="B7150" s="6">
        <v>0.13986013986013901</v>
      </c>
      <c r="C7150" s="6">
        <v>0.32684876644608102</v>
      </c>
    </row>
    <row r="7151" spans="1:3" s="7" customFormat="1" x14ac:dyDescent="0.2">
      <c r="A7151" s="6" t="str">
        <f>"PSMD1"</f>
        <v>PSMD1</v>
      </c>
      <c r="B7151" s="6">
        <v>0.13986013986013901</v>
      </c>
      <c r="C7151" s="6">
        <v>0.32684876644608102</v>
      </c>
    </row>
    <row r="7152" spans="1:3" s="7" customFormat="1" x14ac:dyDescent="0.2">
      <c r="A7152" s="6" t="str">
        <f>"DUXAP10"</f>
        <v>DUXAP10</v>
      </c>
      <c r="B7152" s="6">
        <v>0.13986013986013901</v>
      </c>
      <c r="C7152" s="6">
        <v>0.32684876644608102</v>
      </c>
    </row>
    <row r="7153" spans="1:3" s="7" customFormat="1" x14ac:dyDescent="0.2">
      <c r="A7153" s="6" t="str">
        <f>"GJB1"</f>
        <v>GJB1</v>
      </c>
      <c r="B7153" s="6">
        <v>0.13986013986013901</v>
      </c>
      <c r="C7153" s="6">
        <v>0.32684876644608102</v>
      </c>
    </row>
    <row r="7154" spans="1:3" s="7" customFormat="1" x14ac:dyDescent="0.2">
      <c r="A7154" s="6" t="str">
        <f>"POMC"</f>
        <v>POMC</v>
      </c>
      <c r="B7154" s="6">
        <v>0.14000000000000001</v>
      </c>
      <c r="C7154" s="6">
        <v>0.32703843466107602</v>
      </c>
    </row>
    <row r="7155" spans="1:3" s="7" customFormat="1" x14ac:dyDescent="0.2">
      <c r="A7155" s="6" t="str">
        <f>"RBM19"</f>
        <v>RBM19</v>
      </c>
      <c r="B7155" s="6">
        <v>0.14000000000000001</v>
      </c>
      <c r="C7155" s="6">
        <v>0.32703843466107602</v>
      </c>
    </row>
    <row r="7156" spans="1:3" s="7" customFormat="1" x14ac:dyDescent="0.2">
      <c r="A7156" s="6" t="str">
        <f>"CCDC181"</f>
        <v>CCDC181</v>
      </c>
      <c r="B7156" s="6">
        <v>0.14000000000000001</v>
      </c>
      <c r="C7156" s="6">
        <v>0.32703843466107602</v>
      </c>
    </row>
    <row r="7157" spans="1:3" s="7" customFormat="1" x14ac:dyDescent="0.2">
      <c r="A7157" s="6" t="str">
        <f>"AL357874.3"</f>
        <v>AL357874.3</v>
      </c>
      <c r="B7157" s="6">
        <v>0.14016489988221401</v>
      </c>
      <c r="C7157" s="6">
        <v>0.32737788382215299</v>
      </c>
    </row>
    <row r="7158" spans="1:3" s="7" customFormat="1" x14ac:dyDescent="0.2">
      <c r="A7158" s="6" t="str">
        <f>"BMPR1A"</f>
        <v>BMPR1A</v>
      </c>
      <c r="B7158" s="6">
        <v>0.14085914085914</v>
      </c>
      <c r="C7158" s="6">
        <v>0.328311209080976</v>
      </c>
    </row>
    <row r="7159" spans="1:3" s="7" customFormat="1" x14ac:dyDescent="0.2">
      <c r="A7159" s="6" t="str">
        <f>"AL390195.1"</f>
        <v>AL390195.1</v>
      </c>
      <c r="B7159" s="6">
        <v>0.14085914085914</v>
      </c>
      <c r="C7159" s="6">
        <v>0.328311209080976</v>
      </c>
    </row>
    <row r="7160" spans="1:3" s="7" customFormat="1" x14ac:dyDescent="0.2">
      <c r="A7160" s="6" t="str">
        <f>"ABL2"</f>
        <v>ABL2</v>
      </c>
      <c r="B7160" s="6">
        <v>0.14085914085914</v>
      </c>
      <c r="C7160" s="6">
        <v>0.328311209080976</v>
      </c>
    </row>
    <row r="7161" spans="1:3" s="7" customFormat="1" x14ac:dyDescent="0.2">
      <c r="A7161" s="6" t="str">
        <f>"TULP4"</f>
        <v>TULP4</v>
      </c>
      <c r="B7161" s="6">
        <v>0.14085914085914</v>
      </c>
      <c r="C7161" s="6">
        <v>0.328311209080976</v>
      </c>
    </row>
    <row r="7162" spans="1:3" s="7" customFormat="1" x14ac:dyDescent="0.2">
      <c r="A7162" s="6" t="str">
        <f>"AL512603.2"</f>
        <v>AL512603.2</v>
      </c>
      <c r="B7162" s="6">
        <v>0.14085914085914</v>
      </c>
      <c r="C7162" s="6">
        <v>0.328311209080976</v>
      </c>
    </row>
    <row r="7163" spans="1:3" s="7" customFormat="1" x14ac:dyDescent="0.2">
      <c r="A7163" s="6" t="str">
        <f>"MMACHC"</f>
        <v>MMACHC</v>
      </c>
      <c r="B7163" s="6">
        <v>0.14085914085914</v>
      </c>
      <c r="C7163" s="6">
        <v>0.328311209080976</v>
      </c>
    </row>
    <row r="7164" spans="1:3" s="7" customFormat="1" x14ac:dyDescent="0.2">
      <c r="A7164" s="6" t="str">
        <f>"PCDHAC1"</f>
        <v>PCDHAC1</v>
      </c>
      <c r="B7164" s="6">
        <v>0.14085914085914</v>
      </c>
      <c r="C7164" s="6">
        <v>0.328311209080976</v>
      </c>
    </row>
    <row r="7165" spans="1:3" s="7" customFormat="1" x14ac:dyDescent="0.2">
      <c r="A7165" s="6" t="str">
        <f>"OSTF1"</f>
        <v>OSTF1</v>
      </c>
      <c r="B7165" s="6">
        <v>0.14085914085914</v>
      </c>
      <c r="C7165" s="6">
        <v>0.328311209080976</v>
      </c>
    </row>
    <row r="7166" spans="1:3" s="7" customFormat="1" x14ac:dyDescent="0.2">
      <c r="A7166" s="6" t="str">
        <f>"AC092506.1"</f>
        <v>AC092506.1</v>
      </c>
      <c r="B7166" s="6">
        <v>0.14085914085914</v>
      </c>
      <c r="C7166" s="6">
        <v>0.328311209080976</v>
      </c>
    </row>
    <row r="7167" spans="1:3" s="7" customFormat="1" x14ac:dyDescent="0.2">
      <c r="A7167" s="6" t="str">
        <f>"CIDEB"</f>
        <v>CIDEB</v>
      </c>
      <c r="B7167" s="6">
        <v>0.14085914085914</v>
      </c>
      <c r="C7167" s="6">
        <v>0.328311209080976</v>
      </c>
    </row>
    <row r="7168" spans="1:3" s="7" customFormat="1" x14ac:dyDescent="0.2">
      <c r="A7168" s="6" t="str">
        <f>"LAMP2"</f>
        <v>LAMP2</v>
      </c>
      <c r="B7168" s="6">
        <v>0.14085914085914</v>
      </c>
      <c r="C7168" s="6">
        <v>0.328311209080976</v>
      </c>
    </row>
    <row r="7169" spans="1:3" s="7" customFormat="1" x14ac:dyDescent="0.2">
      <c r="A7169" s="6" t="str">
        <f>"PRR12"</f>
        <v>PRR12</v>
      </c>
      <c r="B7169" s="6">
        <v>0.14085914085914</v>
      </c>
      <c r="C7169" s="6">
        <v>0.328311209080976</v>
      </c>
    </row>
    <row r="7170" spans="1:3" s="7" customFormat="1" x14ac:dyDescent="0.2">
      <c r="A7170" s="6" t="str">
        <f>"C8B"</f>
        <v>C8B</v>
      </c>
      <c r="B7170" s="6">
        <v>0.14085914085914</v>
      </c>
      <c r="C7170" s="6">
        <v>0.328311209080976</v>
      </c>
    </row>
    <row r="7171" spans="1:3" s="7" customFormat="1" x14ac:dyDescent="0.2">
      <c r="A7171" s="6" t="str">
        <f>"NAIPP3"</f>
        <v>NAIPP3</v>
      </c>
      <c r="B7171" s="6">
        <v>0.14085914085914</v>
      </c>
      <c r="C7171" s="6">
        <v>0.328311209080976</v>
      </c>
    </row>
    <row r="7172" spans="1:3" s="7" customFormat="1" x14ac:dyDescent="0.2">
      <c r="A7172" s="6" t="str">
        <f>"EIF3E"</f>
        <v>EIF3E</v>
      </c>
      <c r="B7172" s="6">
        <v>0.14085914085914</v>
      </c>
      <c r="C7172" s="6">
        <v>0.328311209080976</v>
      </c>
    </row>
    <row r="7173" spans="1:3" s="7" customFormat="1" x14ac:dyDescent="0.2">
      <c r="A7173" s="6" t="str">
        <f>"EEF1G"</f>
        <v>EEF1G</v>
      </c>
      <c r="B7173" s="6">
        <v>0.14099999999999999</v>
      </c>
      <c r="C7173" s="6">
        <v>0.32859369771332902</v>
      </c>
    </row>
    <row r="7174" spans="1:3" s="7" customFormat="1" x14ac:dyDescent="0.2">
      <c r="A7174" s="6" t="str">
        <f>"SYBU"</f>
        <v>SYBU</v>
      </c>
      <c r="B7174" s="6">
        <v>0.141858141858141</v>
      </c>
      <c r="C7174" s="6">
        <v>0.32939941414517598</v>
      </c>
    </row>
    <row r="7175" spans="1:3" s="7" customFormat="1" x14ac:dyDescent="0.2">
      <c r="A7175" s="6" t="str">
        <f>"AASDH"</f>
        <v>AASDH</v>
      </c>
      <c r="B7175" s="6">
        <v>0.141858141858141</v>
      </c>
      <c r="C7175" s="6">
        <v>0.32939941414517598</v>
      </c>
    </row>
    <row r="7176" spans="1:3" s="7" customFormat="1" x14ac:dyDescent="0.2">
      <c r="A7176" s="6" t="str">
        <f>"TP53I13"</f>
        <v>TP53I13</v>
      </c>
      <c r="B7176" s="6">
        <v>0.141858141858141</v>
      </c>
      <c r="C7176" s="6">
        <v>0.32939941414517598</v>
      </c>
    </row>
    <row r="7177" spans="1:3" s="7" customFormat="1" x14ac:dyDescent="0.2">
      <c r="A7177" s="6" t="str">
        <f>"SLC19A2"</f>
        <v>SLC19A2</v>
      </c>
      <c r="B7177" s="6">
        <v>0.141858141858141</v>
      </c>
      <c r="C7177" s="6">
        <v>0.32939941414517598</v>
      </c>
    </row>
    <row r="7178" spans="1:3" s="7" customFormat="1" x14ac:dyDescent="0.2">
      <c r="A7178" s="6" t="str">
        <f>"LINC01767"</f>
        <v>LINC01767</v>
      </c>
      <c r="B7178" s="6">
        <v>0.141858141858141</v>
      </c>
      <c r="C7178" s="6">
        <v>0.32939941414517598</v>
      </c>
    </row>
    <row r="7179" spans="1:3" s="7" customFormat="1" x14ac:dyDescent="0.2">
      <c r="A7179" s="6" t="str">
        <f>"ZFYVE1"</f>
        <v>ZFYVE1</v>
      </c>
      <c r="B7179" s="6">
        <v>0.141858141858141</v>
      </c>
      <c r="C7179" s="6">
        <v>0.32939941414517598</v>
      </c>
    </row>
    <row r="7180" spans="1:3" s="7" customFormat="1" x14ac:dyDescent="0.2">
      <c r="A7180" s="6" t="str">
        <f>"CPHL1P"</f>
        <v>CPHL1P</v>
      </c>
      <c r="B7180" s="6">
        <v>0.141858141858141</v>
      </c>
      <c r="C7180" s="6">
        <v>0.32939941414517598</v>
      </c>
    </row>
    <row r="7181" spans="1:3" s="7" customFormat="1" x14ac:dyDescent="0.2">
      <c r="A7181" s="6" t="str">
        <f>"PNMA8C"</f>
        <v>PNMA8C</v>
      </c>
      <c r="B7181" s="6">
        <v>0.141858141858141</v>
      </c>
      <c r="C7181" s="6">
        <v>0.32939941414517598</v>
      </c>
    </row>
    <row r="7182" spans="1:3" s="7" customFormat="1" x14ac:dyDescent="0.2">
      <c r="A7182" s="6" t="str">
        <f>"KRT15"</f>
        <v>KRT15</v>
      </c>
      <c r="B7182" s="6">
        <v>0.141858141858141</v>
      </c>
      <c r="C7182" s="6">
        <v>0.32939941414517598</v>
      </c>
    </row>
    <row r="7183" spans="1:3" s="7" customFormat="1" x14ac:dyDescent="0.2">
      <c r="A7183" s="6" t="str">
        <f>"FBXL8"</f>
        <v>FBXL8</v>
      </c>
      <c r="B7183" s="6">
        <v>0.141858141858141</v>
      </c>
      <c r="C7183" s="6">
        <v>0.32939941414517598</v>
      </c>
    </row>
    <row r="7184" spans="1:3" s="7" customFormat="1" x14ac:dyDescent="0.2">
      <c r="A7184" s="6" t="str">
        <f>"KIAA0319"</f>
        <v>KIAA0319</v>
      </c>
      <c r="B7184" s="6">
        <v>0.141858141858141</v>
      </c>
      <c r="C7184" s="6">
        <v>0.32939941414517598</v>
      </c>
    </row>
    <row r="7185" spans="1:3" s="7" customFormat="1" x14ac:dyDescent="0.2">
      <c r="A7185" s="6" t="str">
        <f>"AL139423.1"</f>
        <v>AL139423.1</v>
      </c>
      <c r="B7185" s="6">
        <v>0.141858141858141</v>
      </c>
      <c r="C7185" s="6">
        <v>0.32939941414517598</v>
      </c>
    </row>
    <row r="7186" spans="1:3" s="7" customFormat="1" x14ac:dyDescent="0.2">
      <c r="A7186" s="6" t="str">
        <f>"EIF1AX"</f>
        <v>EIF1AX</v>
      </c>
      <c r="B7186" s="6">
        <v>0.141858141858141</v>
      </c>
      <c r="C7186" s="6">
        <v>0.32939941414517598</v>
      </c>
    </row>
    <row r="7187" spans="1:3" s="7" customFormat="1" x14ac:dyDescent="0.2">
      <c r="A7187" s="6" t="str">
        <f>"COPB1"</f>
        <v>COPB1</v>
      </c>
      <c r="B7187" s="6">
        <v>0.141858141858141</v>
      </c>
      <c r="C7187" s="6">
        <v>0.32939941414517598</v>
      </c>
    </row>
    <row r="7188" spans="1:3" s="7" customFormat="1" x14ac:dyDescent="0.2">
      <c r="A7188" s="6" t="str">
        <f>"FP236315.2"</f>
        <v>FP236315.2</v>
      </c>
      <c r="B7188" s="6">
        <v>0.141858141858141</v>
      </c>
      <c r="C7188" s="6">
        <v>0.32939941414517598</v>
      </c>
    </row>
    <row r="7189" spans="1:3" s="7" customFormat="1" x14ac:dyDescent="0.2">
      <c r="A7189" s="6" t="str">
        <f>"SLC6A16"</f>
        <v>SLC6A16</v>
      </c>
      <c r="B7189" s="6">
        <v>0.141858141858141</v>
      </c>
      <c r="C7189" s="6">
        <v>0.32939941414517598</v>
      </c>
    </row>
    <row r="7190" spans="1:3" s="7" customFormat="1" x14ac:dyDescent="0.2">
      <c r="A7190" s="6" t="str">
        <f>"KCNMB4"</f>
        <v>KCNMB4</v>
      </c>
      <c r="B7190" s="6">
        <v>0.141858141858141</v>
      </c>
      <c r="C7190" s="6">
        <v>0.32939941414517598</v>
      </c>
    </row>
    <row r="7191" spans="1:3" s="7" customFormat="1" x14ac:dyDescent="0.2">
      <c r="A7191" s="6" t="str">
        <f>"NKX2-8"</f>
        <v>NKX2-8</v>
      </c>
      <c r="B7191" s="6">
        <v>0.141858141858141</v>
      </c>
      <c r="C7191" s="6">
        <v>0.32939941414517598</v>
      </c>
    </row>
    <row r="7192" spans="1:3" s="7" customFormat="1" x14ac:dyDescent="0.2">
      <c r="A7192" s="6" t="str">
        <f>"Z98885.2"</f>
        <v>Z98885.2</v>
      </c>
      <c r="B7192" s="6">
        <v>0.141708542713567</v>
      </c>
      <c r="C7192" s="6">
        <v>0.32939941414517598</v>
      </c>
    </row>
    <row r="7193" spans="1:3" s="7" customFormat="1" x14ac:dyDescent="0.2">
      <c r="A7193" s="6" t="str">
        <f>"FCF1"</f>
        <v>FCF1</v>
      </c>
      <c r="B7193" s="6">
        <v>0.141858141858141</v>
      </c>
      <c r="C7193" s="6">
        <v>0.32939941414517598</v>
      </c>
    </row>
    <row r="7194" spans="1:3" s="7" customFormat="1" x14ac:dyDescent="0.2">
      <c r="A7194" s="6" t="str">
        <f>"FAM182A"</f>
        <v>FAM182A</v>
      </c>
      <c r="B7194" s="6">
        <v>0.141858141858141</v>
      </c>
      <c r="C7194" s="6">
        <v>0.32939941414517598</v>
      </c>
    </row>
    <row r="7195" spans="1:3" s="7" customFormat="1" x14ac:dyDescent="0.2">
      <c r="A7195" s="6" t="str">
        <f>"MAP3K5"</f>
        <v>MAP3K5</v>
      </c>
      <c r="B7195" s="6">
        <v>0.141858141858141</v>
      </c>
      <c r="C7195" s="6">
        <v>0.32939941414517598</v>
      </c>
    </row>
    <row r="7196" spans="1:3" s="7" customFormat="1" x14ac:dyDescent="0.2">
      <c r="A7196" s="6" t="str">
        <f>"PHACTR4"</f>
        <v>PHACTR4</v>
      </c>
      <c r="B7196" s="6">
        <v>0.141858141858141</v>
      </c>
      <c r="C7196" s="6">
        <v>0.32939941414517598</v>
      </c>
    </row>
    <row r="7197" spans="1:3" s="7" customFormat="1" x14ac:dyDescent="0.2">
      <c r="A7197" s="6" t="str">
        <f>"DBF4B"</f>
        <v>DBF4B</v>
      </c>
      <c r="B7197" s="6">
        <v>0.141858141858141</v>
      </c>
      <c r="C7197" s="6">
        <v>0.32939941414517598</v>
      </c>
    </row>
    <row r="7198" spans="1:3" s="7" customFormat="1" x14ac:dyDescent="0.2">
      <c r="A7198" s="6" t="str">
        <f>"SENP5"</f>
        <v>SENP5</v>
      </c>
      <c r="B7198" s="6">
        <v>0.141858141858141</v>
      </c>
      <c r="C7198" s="6">
        <v>0.32939941414517598</v>
      </c>
    </row>
    <row r="7199" spans="1:3" s="7" customFormat="1" x14ac:dyDescent="0.2">
      <c r="A7199" s="6" t="str">
        <f>"OTUD7A"</f>
        <v>OTUD7A</v>
      </c>
      <c r="B7199" s="6">
        <v>0.141858141858141</v>
      </c>
      <c r="C7199" s="6">
        <v>0.32939941414517598</v>
      </c>
    </row>
    <row r="7200" spans="1:3" s="7" customFormat="1" x14ac:dyDescent="0.2">
      <c r="A7200" s="6" t="str">
        <f>"C18orf25"</f>
        <v>C18orf25</v>
      </c>
      <c r="B7200" s="6">
        <v>0.14285714285714199</v>
      </c>
      <c r="C7200" s="6">
        <v>0.33089166930630298</v>
      </c>
    </row>
    <row r="7201" spans="1:3" s="7" customFormat="1" x14ac:dyDescent="0.2">
      <c r="A7201" s="6" t="str">
        <f>"IGLV3-1"</f>
        <v>IGLV3-1</v>
      </c>
      <c r="B7201" s="6">
        <v>0.14285714285714199</v>
      </c>
      <c r="C7201" s="6">
        <v>0.33089166930630298</v>
      </c>
    </row>
    <row r="7202" spans="1:3" s="7" customFormat="1" x14ac:dyDescent="0.2">
      <c r="A7202" s="6" t="str">
        <f>"AC104825.1"</f>
        <v>AC104825.1</v>
      </c>
      <c r="B7202" s="6">
        <v>0.14285714285714199</v>
      </c>
      <c r="C7202" s="6">
        <v>0.33089166930630298</v>
      </c>
    </row>
    <row r="7203" spans="1:3" s="7" customFormat="1" x14ac:dyDescent="0.2">
      <c r="A7203" s="6" t="str">
        <f>"SPNS2"</f>
        <v>SPNS2</v>
      </c>
      <c r="B7203" s="6">
        <v>0.14285714285714199</v>
      </c>
      <c r="C7203" s="6">
        <v>0.33089166930630298</v>
      </c>
    </row>
    <row r="7204" spans="1:3" s="7" customFormat="1" x14ac:dyDescent="0.2">
      <c r="A7204" s="6" t="str">
        <f>"PEDS1"</f>
        <v>PEDS1</v>
      </c>
      <c r="B7204" s="6">
        <v>0.14285714285714199</v>
      </c>
      <c r="C7204" s="6">
        <v>0.33089166930630298</v>
      </c>
    </row>
    <row r="7205" spans="1:3" s="7" customFormat="1" x14ac:dyDescent="0.2">
      <c r="A7205" s="6" t="str">
        <f>"NATD1"</f>
        <v>NATD1</v>
      </c>
      <c r="B7205" s="6">
        <v>0.14285714285714199</v>
      </c>
      <c r="C7205" s="6">
        <v>0.33089166930630298</v>
      </c>
    </row>
    <row r="7206" spans="1:3" s="7" customFormat="1" x14ac:dyDescent="0.2">
      <c r="A7206" s="6" t="str">
        <f>"ZFP30"</f>
        <v>ZFP30</v>
      </c>
      <c r="B7206" s="6">
        <v>0.14285714285714199</v>
      </c>
      <c r="C7206" s="6">
        <v>0.33089166930630298</v>
      </c>
    </row>
    <row r="7207" spans="1:3" s="7" customFormat="1" x14ac:dyDescent="0.2">
      <c r="A7207" s="6" t="str">
        <f>"RHBDD2"</f>
        <v>RHBDD2</v>
      </c>
      <c r="B7207" s="6">
        <v>0.14285714285714199</v>
      </c>
      <c r="C7207" s="6">
        <v>0.33089166930630298</v>
      </c>
    </row>
    <row r="7208" spans="1:3" s="7" customFormat="1" x14ac:dyDescent="0.2">
      <c r="A7208" s="6" t="str">
        <f>"ABCF2"</f>
        <v>ABCF2</v>
      </c>
      <c r="B7208" s="6">
        <v>0.14285714285714199</v>
      </c>
      <c r="C7208" s="6">
        <v>0.33089166930630298</v>
      </c>
    </row>
    <row r="7209" spans="1:3" s="7" customFormat="1" x14ac:dyDescent="0.2">
      <c r="A7209" s="6" t="str">
        <f>"TCERG1"</f>
        <v>TCERG1</v>
      </c>
      <c r="B7209" s="6">
        <v>0.14285714285714199</v>
      </c>
      <c r="C7209" s="6">
        <v>0.33089166930630298</v>
      </c>
    </row>
    <row r="7210" spans="1:3" s="7" customFormat="1" x14ac:dyDescent="0.2">
      <c r="A7210" s="6" t="str">
        <f>"EP400P1"</f>
        <v>EP400P1</v>
      </c>
      <c r="B7210" s="6">
        <v>0.14285714285714199</v>
      </c>
      <c r="C7210" s="6">
        <v>0.33089166930630298</v>
      </c>
    </row>
    <row r="7211" spans="1:3" s="7" customFormat="1" x14ac:dyDescent="0.2">
      <c r="A7211" s="6" t="str">
        <f>"ADAMTS18"</f>
        <v>ADAMTS18</v>
      </c>
      <c r="B7211" s="6">
        <v>0.14285714285714199</v>
      </c>
      <c r="C7211" s="6">
        <v>0.33089166930630298</v>
      </c>
    </row>
    <row r="7212" spans="1:3" s="7" customFormat="1" x14ac:dyDescent="0.2">
      <c r="A7212" s="6" t="str">
        <f>"USP28"</f>
        <v>USP28</v>
      </c>
      <c r="B7212" s="6">
        <v>0.14285714285714199</v>
      </c>
      <c r="C7212" s="6">
        <v>0.33089166930630298</v>
      </c>
    </row>
    <row r="7213" spans="1:3" s="7" customFormat="1" x14ac:dyDescent="0.2">
      <c r="A7213" s="6" t="str">
        <f>"FGD5-AS1"</f>
        <v>FGD5-AS1</v>
      </c>
      <c r="B7213" s="6">
        <v>0.14285714285714199</v>
      </c>
      <c r="C7213" s="6">
        <v>0.33089166930630298</v>
      </c>
    </row>
    <row r="7214" spans="1:3" s="7" customFormat="1" x14ac:dyDescent="0.2">
      <c r="A7214" s="6" t="str">
        <f>"LRRC71"</f>
        <v>LRRC71</v>
      </c>
      <c r="B7214" s="6">
        <v>0.14285714285714199</v>
      </c>
      <c r="C7214" s="6">
        <v>0.33089166930630298</v>
      </c>
    </row>
    <row r="7215" spans="1:3" s="7" customFormat="1" x14ac:dyDescent="0.2">
      <c r="A7215" s="6" t="str">
        <f>"RPS8"</f>
        <v>RPS8</v>
      </c>
      <c r="B7215" s="6">
        <v>0.14285714285714199</v>
      </c>
      <c r="C7215" s="6">
        <v>0.33089166930630298</v>
      </c>
    </row>
    <row r="7216" spans="1:3" s="7" customFormat="1" x14ac:dyDescent="0.2">
      <c r="A7216" s="6" t="str">
        <f>"PODXL2"</f>
        <v>PODXL2</v>
      </c>
      <c r="B7216" s="6">
        <v>0.14285714285714199</v>
      </c>
      <c r="C7216" s="6">
        <v>0.33089166930630298</v>
      </c>
    </row>
    <row r="7217" spans="1:3" s="7" customFormat="1" x14ac:dyDescent="0.2">
      <c r="A7217" s="6" t="str">
        <f>"MINPP1"</f>
        <v>MINPP1</v>
      </c>
      <c r="B7217" s="6">
        <v>0.14285714285714199</v>
      </c>
      <c r="C7217" s="6">
        <v>0.33089166930630298</v>
      </c>
    </row>
    <row r="7218" spans="1:3" s="7" customFormat="1" x14ac:dyDescent="0.2">
      <c r="A7218" s="6" t="str">
        <f>"LIMK1"</f>
        <v>LIMK1</v>
      </c>
      <c r="B7218" s="6">
        <v>0.14299999999999999</v>
      </c>
      <c r="C7218" s="6">
        <v>0.331084914808145</v>
      </c>
    </row>
    <row r="7219" spans="1:3" s="7" customFormat="1" x14ac:dyDescent="0.2">
      <c r="A7219" s="6" t="str">
        <f>"AC023906.3"</f>
        <v>AC023906.3</v>
      </c>
      <c r="B7219" s="6">
        <v>0.14299999999999999</v>
      </c>
      <c r="C7219" s="6">
        <v>0.331084914808145</v>
      </c>
    </row>
    <row r="7220" spans="1:3" s="7" customFormat="1" x14ac:dyDescent="0.2">
      <c r="A7220" s="6" t="str">
        <f>"LRRC23"</f>
        <v>LRRC23</v>
      </c>
      <c r="B7220" s="6">
        <v>0.14299999999999999</v>
      </c>
      <c r="C7220" s="6">
        <v>0.331084914808145</v>
      </c>
    </row>
    <row r="7221" spans="1:3" s="7" customFormat="1" x14ac:dyDescent="0.2">
      <c r="A7221" s="6" t="str">
        <f>"TNFSF4"</f>
        <v>TNFSF4</v>
      </c>
      <c r="B7221" s="6">
        <v>0.14328657314629201</v>
      </c>
      <c r="C7221" s="6">
        <v>0.33170246309794099</v>
      </c>
    </row>
    <row r="7222" spans="1:3" s="7" customFormat="1" x14ac:dyDescent="0.2">
      <c r="A7222" s="6" t="str">
        <f>"AL359878.1"</f>
        <v>AL359878.1</v>
      </c>
      <c r="B7222" s="6">
        <v>0.14343029087261699</v>
      </c>
      <c r="C7222" s="6">
        <v>0.33198918178159997</v>
      </c>
    </row>
    <row r="7223" spans="1:3" s="7" customFormat="1" x14ac:dyDescent="0.2">
      <c r="A7223" s="6" t="str">
        <f>"AL357075.3"</f>
        <v>AL357075.3</v>
      </c>
      <c r="B7223" s="6">
        <v>0.14351320321469499</v>
      </c>
      <c r="C7223" s="6">
        <v>0.33213509810723102</v>
      </c>
    </row>
    <row r="7224" spans="1:3" s="7" customFormat="1" x14ac:dyDescent="0.2">
      <c r="A7224" s="6" t="str">
        <f>"DTX2"</f>
        <v>DTX2</v>
      </c>
      <c r="B7224" s="6">
        <v>0.14385614385614301</v>
      </c>
      <c r="C7224" s="6">
        <v>0.33214692477021501</v>
      </c>
    </row>
    <row r="7225" spans="1:3" s="7" customFormat="1" x14ac:dyDescent="0.2">
      <c r="A7225" s="6" t="str">
        <f>"NCOA2"</f>
        <v>NCOA2</v>
      </c>
      <c r="B7225" s="6">
        <v>0.14385614385614301</v>
      </c>
      <c r="C7225" s="6">
        <v>0.33214692477021501</v>
      </c>
    </row>
    <row r="7226" spans="1:3" s="7" customFormat="1" x14ac:dyDescent="0.2">
      <c r="A7226" s="6" t="str">
        <f>"AC112206.2"</f>
        <v>AC112206.2</v>
      </c>
      <c r="B7226" s="6">
        <v>0.14385614385614301</v>
      </c>
      <c r="C7226" s="6">
        <v>0.33214692477021501</v>
      </c>
    </row>
    <row r="7227" spans="1:3" s="7" customFormat="1" x14ac:dyDescent="0.2">
      <c r="A7227" s="6" t="str">
        <f>"LINC02352"</f>
        <v>LINC02352</v>
      </c>
      <c r="B7227" s="6">
        <v>0.14385614385614301</v>
      </c>
      <c r="C7227" s="6">
        <v>0.33214692477021501</v>
      </c>
    </row>
    <row r="7228" spans="1:3" s="7" customFormat="1" x14ac:dyDescent="0.2">
      <c r="A7228" s="6" t="str">
        <f>"NIT1"</f>
        <v>NIT1</v>
      </c>
      <c r="B7228" s="6">
        <v>0.14385614385614301</v>
      </c>
      <c r="C7228" s="6">
        <v>0.33214692477021501</v>
      </c>
    </row>
    <row r="7229" spans="1:3" s="7" customFormat="1" x14ac:dyDescent="0.2">
      <c r="A7229" s="6" t="str">
        <f>"SENP2"</f>
        <v>SENP2</v>
      </c>
      <c r="B7229" s="6">
        <v>0.14385614385614301</v>
      </c>
      <c r="C7229" s="6">
        <v>0.33214692477021501</v>
      </c>
    </row>
    <row r="7230" spans="1:3" s="7" customFormat="1" x14ac:dyDescent="0.2">
      <c r="A7230" s="6" t="str">
        <f>"SLC11A2"</f>
        <v>SLC11A2</v>
      </c>
      <c r="B7230" s="6">
        <v>0.14385614385614301</v>
      </c>
      <c r="C7230" s="6">
        <v>0.33214692477021501</v>
      </c>
    </row>
    <row r="7231" spans="1:3" s="7" customFormat="1" x14ac:dyDescent="0.2">
      <c r="A7231" s="6" t="str">
        <f>"SCGB2B2"</f>
        <v>SCGB2B2</v>
      </c>
      <c r="B7231" s="6">
        <v>0.14385614385614301</v>
      </c>
      <c r="C7231" s="6">
        <v>0.33214692477021501</v>
      </c>
    </row>
    <row r="7232" spans="1:3" s="7" customFormat="1" x14ac:dyDescent="0.2">
      <c r="A7232" s="6" t="str">
        <f>"FAM66B"</f>
        <v>FAM66B</v>
      </c>
      <c r="B7232" s="6">
        <v>0.14385614385614301</v>
      </c>
      <c r="C7232" s="6">
        <v>0.33214692477021501</v>
      </c>
    </row>
    <row r="7233" spans="1:3" s="7" customFormat="1" x14ac:dyDescent="0.2">
      <c r="A7233" s="6" t="str">
        <f>"AC079145.1"</f>
        <v>AC079145.1</v>
      </c>
      <c r="B7233" s="6">
        <v>0.14385614385614301</v>
      </c>
      <c r="C7233" s="6">
        <v>0.33214692477021501</v>
      </c>
    </row>
    <row r="7234" spans="1:3" s="7" customFormat="1" x14ac:dyDescent="0.2">
      <c r="A7234" s="6" t="str">
        <f>"TSPAN6"</f>
        <v>TSPAN6</v>
      </c>
      <c r="B7234" s="6">
        <v>0.14385614385614301</v>
      </c>
      <c r="C7234" s="6">
        <v>0.33214692477021501</v>
      </c>
    </row>
    <row r="7235" spans="1:3" s="7" customFormat="1" x14ac:dyDescent="0.2">
      <c r="A7235" s="6" t="str">
        <f>"DUS3L"</f>
        <v>DUS3L</v>
      </c>
      <c r="B7235" s="6">
        <v>0.14385614385614301</v>
      </c>
      <c r="C7235" s="6">
        <v>0.33214692477021501</v>
      </c>
    </row>
    <row r="7236" spans="1:3" s="7" customFormat="1" x14ac:dyDescent="0.2">
      <c r="A7236" s="6" t="str">
        <f>"WAKMAR2"</f>
        <v>WAKMAR2</v>
      </c>
      <c r="B7236" s="6">
        <v>0.14385614385614301</v>
      </c>
      <c r="C7236" s="6">
        <v>0.33214692477021501</v>
      </c>
    </row>
    <row r="7237" spans="1:3" s="7" customFormat="1" x14ac:dyDescent="0.2">
      <c r="A7237" s="6" t="str">
        <f>"BBS9"</f>
        <v>BBS9</v>
      </c>
      <c r="B7237" s="6">
        <v>0.14385614385614301</v>
      </c>
      <c r="C7237" s="6">
        <v>0.33214692477021501</v>
      </c>
    </row>
    <row r="7238" spans="1:3" s="7" customFormat="1" x14ac:dyDescent="0.2">
      <c r="A7238" s="6" t="str">
        <f>"TEX9"</f>
        <v>TEX9</v>
      </c>
      <c r="B7238" s="6">
        <v>0.14385614385614301</v>
      </c>
      <c r="C7238" s="6">
        <v>0.33214692477021501</v>
      </c>
    </row>
    <row r="7239" spans="1:3" s="7" customFormat="1" x14ac:dyDescent="0.2">
      <c r="A7239" s="6" t="str">
        <f>"ANAPC15"</f>
        <v>ANAPC15</v>
      </c>
      <c r="B7239" s="6">
        <v>0.14385614385614301</v>
      </c>
      <c r="C7239" s="6">
        <v>0.33214692477021501</v>
      </c>
    </row>
    <row r="7240" spans="1:3" s="7" customFormat="1" x14ac:dyDescent="0.2">
      <c r="A7240" s="6" t="str">
        <f>"HOXB-AS2"</f>
        <v>HOXB-AS2</v>
      </c>
      <c r="B7240" s="6">
        <v>0.14385614385614301</v>
      </c>
      <c r="C7240" s="6">
        <v>0.33214692477021501</v>
      </c>
    </row>
    <row r="7241" spans="1:3" s="7" customFormat="1" x14ac:dyDescent="0.2">
      <c r="A7241" s="6" t="str">
        <f>"DHRS1"</f>
        <v>DHRS1</v>
      </c>
      <c r="B7241" s="6">
        <v>0.14399999999999999</v>
      </c>
      <c r="C7241" s="6">
        <v>0.33235993573350903</v>
      </c>
    </row>
    <row r="7242" spans="1:3" s="7" customFormat="1" x14ac:dyDescent="0.2">
      <c r="A7242" s="6" t="str">
        <f>"IL7"</f>
        <v>IL7</v>
      </c>
      <c r="B7242" s="6">
        <v>0.14399999999999999</v>
      </c>
      <c r="C7242" s="6">
        <v>0.33235993573350903</v>
      </c>
    </row>
    <row r="7243" spans="1:3" s="7" customFormat="1" x14ac:dyDescent="0.2">
      <c r="A7243" s="6" t="str">
        <f>"LINC01361"</f>
        <v>LINC01361</v>
      </c>
      <c r="B7243" s="6">
        <v>0.144008056394763</v>
      </c>
      <c r="C7243" s="6">
        <v>0.33235993573350903</v>
      </c>
    </row>
    <row r="7244" spans="1:3" s="7" customFormat="1" x14ac:dyDescent="0.2">
      <c r="A7244" s="6" t="str">
        <f>"AL139351.3"</f>
        <v>AL139351.3</v>
      </c>
      <c r="B7244" s="6">
        <v>0.14421930870083399</v>
      </c>
      <c r="C7244" s="6">
        <v>0.33280153605215301</v>
      </c>
    </row>
    <row r="7245" spans="1:3" s="7" customFormat="1" x14ac:dyDescent="0.2">
      <c r="A7245" s="6" t="str">
        <f>"CYSLTR1"</f>
        <v>CYSLTR1</v>
      </c>
      <c r="B7245" s="6">
        <v>0.144855144855144</v>
      </c>
      <c r="C7245" s="6">
        <v>0.33316483983884498</v>
      </c>
    </row>
    <row r="7246" spans="1:3" s="7" customFormat="1" x14ac:dyDescent="0.2">
      <c r="A7246" s="6" t="str">
        <f>"ADAMTS17"</f>
        <v>ADAMTS17</v>
      </c>
      <c r="B7246" s="6">
        <v>0.144855144855144</v>
      </c>
      <c r="C7246" s="6">
        <v>0.33316483983884498</v>
      </c>
    </row>
    <row r="7247" spans="1:3" s="7" customFormat="1" x14ac:dyDescent="0.2">
      <c r="A7247" s="6" t="str">
        <f>"COMMD3-BMI1"</f>
        <v>COMMD3-BMI1</v>
      </c>
      <c r="B7247" s="6">
        <v>0.144855144855144</v>
      </c>
      <c r="C7247" s="6">
        <v>0.33316483983884498</v>
      </c>
    </row>
    <row r="7248" spans="1:3" s="7" customFormat="1" x14ac:dyDescent="0.2">
      <c r="A7248" s="6" t="str">
        <f>"FER1L6"</f>
        <v>FER1L6</v>
      </c>
      <c r="B7248" s="6">
        <v>0.144855144855144</v>
      </c>
      <c r="C7248" s="6">
        <v>0.33316483983884498</v>
      </c>
    </row>
    <row r="7249" spans="1:3" s="7" customFormat="1" x14ac:dyDescent="0.2">
      <c r="A7249" s="6" t="str">
        <f>"MMRN2"</f>
        <v>MMRN2</v>
      </c>
      <c r="B7249" s="6">
        <v>0.144855144855144</v>
      </c>
      <c r="C7249" s="6">
        <v>0.33316483983884498</v>
      </c>
    </row>
    <row r="7250" spans="1:3" s="7" customFormat="1" x14ac:dyDescent="0.2">
      <c r="A7250" s="6" t="str">
        <f>"NKX3-1"</f>
        <v>NKX3-1</v>
      </c>
      <c r="B7250" s="6">
        <v>0.144855144855144</v>
      </c>
      <c r="C7250" s="6">
        <v>0.33316483983884498</v>
      </c>
    </row>
    <row r="7251" spans="1:3" s="7" customFormat="1" x14ac:dyDescent="0.2">
      <c r="A7251" s="6" t="str">
        <f>"COL19A1"</f>
        <v>COL19A1</v>
      </c>
      <c r="B7251" s="6">
        <v>0.144855144855144</v>
      </c>
      <c r="C7251" s="6">
        <v>0.33316483983884498</v>
      </c>
    </row>
    <row r="7252" spans="1:3" s="7" customFormat="1" x14ac:dyDescent="0.2">
      <c r="A7252" s="6" t="str">
        <f>"AC109347.1"</f>
        <v>AC109347.1</v>
      </c>
      <c r="B7252" s="6">
        <v>0.144855144855144</v>
      </c>
      <c r="C7252" s="6">
        <v>0.33316483983884498</v>
      </c>
    </row>
    <row r="7253" spans="1:3" s="7" customFormat="1" x14ac:dyDescent="0.2">
      <c r="A7253" s="6" t="str">
        <f>"SUPT6H"</f>
        <v>SUPT6H</v>
      </c>
      <c r="B7253" s="6">
        <v>0.144855144855144</v>
      </c>
      <c r="C7253" s="6">
        <v>0.33316483983884498</v>
      </c>
    </row>
    <row r="7254" spans="1:3" s="7" customFormat="1" x14ac:dyDescent="0.2">
      <c r="A7254" s="6" t="str">
        <f>"UBA7"</f>
        <v>UBA7</v>
      </c>
      <c r="B7254" s="6">
        <v>0.144855144855144</v>
      </c>
      <c r="C7254" s="6">
        <v>0.33316483983884498</v>
      </c>
    </row>
    <row r="7255" spans="1:3" s="7" customFormat="1" x14ac:dyDescent="0.2">
      <c r="A7255" s="6" t="str">
        <f>"SLC22A3"</f>
        <v>SLC22A3</v>
      </c>
      <c r="B7255" s="6">
        <v>0.144855144855144</v>
      </c>
      <c r="C7255" s="6">
        <v>0.33316483983884498</v>
      </c>
    </row>
    <row r="7256" spans="1:3" s="7" customFormat="1" x14ac:dyDescent="0.2">
      <c r="A7256" s="6" t="str">
        <f>"HEATR5A"</f>
        <v>HEATR5A</v>
      </c>
      <c r="B7256" s="6">
        <v>0.144855144855144</v>
      </c>
      <c r="C7256" s="6">
        <v>0.33316483983884498</v>
      </c>
    </row>
    <row r="7257" spans="1:3" s="7" customFormat="1" x14ac:dyDescent="0.2">
      <c r="A7257" s="6" t="str">
        <f>"AL021026.1"</f>
        <v>AL021026.1</v>
      </c>
      <c r="B7257" s="6">
        <v>0.144855144855144</v>
      </c>
      <c r="C7257" s="6">
        <v>0.33316483983884498</v>
      </c>
    </row>
    <row r="7258" spans="1:3" s="7" customFormat="1" x14ac:dyDescent="0.2">
      <c r="A7258" s="6" t="str">
        <f>"NKRF"</f>
        <v>NKRF</v>
      </c>
      <c r="B7258" s="6">
        <v>0.144855144855144</v>
      </c>
      <c r="C7258" s="6">
        <v>0.33316483983884498</v>
      </c>
    </row>
    <row r="7259" spans="1:3" s="7" customFormat="1" x14ac:dyDescent="0.2">
      <c r="A7259" s="6" t="str">
        <f>"ARMC2"</f>
        <v>ARMC2</v>
      </c>
      <c r="B7259" s="6">
        <v>0.144855144855144</v>
      </c>
      <c r="C7259" s="6">
        <v>0.33316483983884498</v>
      </c>
    </row>
    <row r="7260" spans="1:3" s="7" customFormat="1" x14ac:dyDescent="0.2">
      <c r="A7260" s="6" t="str">
        <f>"ZNF510"</f>
        <v>ZNF510</v>
      </c>
      <c r="B7260" s="6">
        <v>0.144855144855144</v>
      </c>
      <c r="C7260" s="6">
        <v>0.33316483983884498</v>
      </c>
    </row>
    <row r="7261" spans="1:3" s="7" customFormat="1" x14ac:dyDescent="0.2">
      <c r="A7261" s="6" t="str">
        <f>"TESK1"</f>
        <v>TESK1</v>
      </c>
      <c r="B7261" s="6">
        <v>0.144855144855144</v>
      </c>
      <c r="C7261" s="6">
        <v>0.33316483983884498</v>
      </c>
    </row>
    <row r="7262" spans="1:3" s="7" customFormat="1" x14ac:dyDescent="0.2">
      <c r="A7262" s="6" t="str">
        <f>"PUM2"</f>
        <v>PUM2</v>
      </c>
      <c r="B7262" s="6">
        <v>0.144855144855144</v>
      </c>
      <c r="C7262" s="6">
        <v>0.33316483983884498</v>
      </c>
    </row>
    <row r="7263" spans="1:3" s="7" customFormat="1" x14ac:dyDescent="0.2">
      <c r="A7263" s="6" t="str">
        <f>"EFCAB1"</f>
        <v>EFCAB1</v>
      </c>
      <c r="B7263" s="6">
        <v>0.144855144855144</v>
      </c>
      <c r="C7263" s="6">
        <v>0.33316483983884498</v>
      </c>
    </row>
    <row r="7264" spans="1:3" s="7" customFormat="1" x14ac:dyDescent="0.2">
      <c r="A7264" s="6" t="str">
        <f>"DPY19L2P3"</f>
        <v>DPY19L2P3</v>
      </c>
      <c r="B7264" s="6">
        <v>0.14472361809045201</v>
      </c>
      <c r="C7264" s="6">
        <v>0.33316483983884498</v>
      </c>
    </row>
    <row r="7265" spans="1:3" s="7" customFormat="1" x14ac:dyDescent="0.2">
      <c r="A7265" s="6" t="str">
        <f>"CSPP1"</f>
        <v>CSPP1</v>
      </c>
      <c r="B7265" s="6">
        <v>0.144855144855144</v>
      </c>
      <c r="C7265" s="6">
        <v>0.33316483983884498</v>
      </c>
    </row>
    <row r="7266" spans="1:3" s="7" customFormat="1" x14ac:dyDescent="0.2">
      <c r="A7266" s="6" t="str">
        <f>"RPL23AP82"</f>
        <v>RPL23AP82</v>
      </c>
      <c r="B7266" s="6">
        <v>0.144855144855144</v>
      </c>
      <c r="C7266" s="6">
        <v>0.33316483983884498</v>
      </c>
    </row>
    <row r="7267" spans="1:3" s="7" customFormat="1" x14ac:dyDescent="0.2">
      <c r="A7267" s="6" t="str">
        <f>"FXR2"</f>
        <v>FXR2</v>
      </c>
      <c r="B7267" s="6">
        <v>0.144855144855144</v>
      </c>
      <c r="C7267" s="6">
        <v>0.33316483983884498</v>
      </c>
    </row>
    <row r="7268" spans="1:3" s="7" customFormat="1" x14ac:dyDescent="0.2">
      <c r="A7268" s="6" t="str">
        <f>"IDO1"</f>
        <v>IDO1</v>
      </c>
      <c r="B7268" s="6">
        <v>0.144855144855144</v>
      </c>
      <c r="C7268" s="6">
        <v>0.33316483983884498</v>
      </c>
    </row>
    <row r="7269" spans="1:3" s="7" customFormat="1" x14ac:dyDescent="0.2">
      <c r="A7269" s="6" t="str">
        <f>"SYS1-DBNDD2"</f>
        <v>SYS1-DBNDD2</v>
      </c>
      <c r="B7269" s="6">
        <v>0.14499999999999999</v>
      </c>
      <c r="C7269" s="6">
        <v>0.33340624570092098</v>
      </c>
    </row>
    <row r="7270" spans="1:3" s="7" customFormat="1" x14ac:dyDescent="0.2">
      <c r="A7270" s="6" t="str">
        <f>"RNF20"</f>
        <v>RNF20</v>
      </c>
      <c r="B7270" s="6">
        <v>0.14499999999999999</v>
      </c>
      <c r="C7270" s="6">
        <v>0.33340624570092098</v>
      </c>
    </row>
    <row r="7271" spans="1:3" s="7" customFormat="1" x14ac:dyDescent="0.2">
      <c r="A7271" s="6" t="str">
        <f>"AC104389.5"</f>
        <v>AC104389.5</v>
      </c>
      <c r="B7271" s="6">
        <v>0.14529058116232399</v>
      </c>
      <c r="C7271" s="6">
        <v>0.33402844202848597</v>
      </c>
    </row>
    <row r="7272" spans="1:3" s="7" customFormat="1" x14ac:dyDescent="0.2">
      <c r="A7272" s="6" t="str">
        <f>"ABCB6"</f>
        <v>ABCB6</v>
      </c>
      <c r="B7272" s="6">
        <v>0.145854145854145</v>
      </c>
      <c r="C7272" s="6">
        <v>0.33417494089187</v>
      </c>
    </row>
    <row r="7273" spans="1:3" s="7" customFormat="1" x14ac:dyDescent="0.2">
      <c r="A7273" s="6" t="str">
        <f>"DYRK1B"</f>
        <v>DYRK1B</v>
      </c>
      <c r="B7273" s="6">
        <v>0.145854145854145</v>
      </c>
      <c r="C7273" s="6">
        <v>0.33417494089187</v>
      </c>
    </row>
    <row r="7274" spans="1:3" s="7" customFormat="1" x14ac:dyDescent="0.2">
      <c r="A7274" s="6" t="str">
        <f>"CD22"</f>
        <v>CD22</v>
      </c>
      <c r="B7274" s="6">
        <v>0.145854145854145</v>
      </c>
      <c r="C7274" s="6">
        <v>0.33417494089187</v>
      </c>
    </row>
    <row r="7275" spans="1:3" s="7" customFormat="1" x14ac:dyDescent="0.2">
      <c r="A7275" s="6" t="str">
        <f>"MGRN1"</f>
        <v>MGRN1</v>
      </c>
      <c r="B7275" s="6">
        <v>0.145854145854145</v>
      </c>
      <c r="C7275" s="6">
        <v>0.33417494089187</v>
      </c>
    </row>
    <row r="7276" spans="1:3" s="7" customFormat="1" x14ac:dyDescent="0.2">
      <c r="A7276" s="6" t="str">
        <f>"IGLV1-40"</f>
        <v>IGLV1-40</v>
      </c>
      <c r="B7276" s="6">
        <v>0.145854145854145</v>
      </c>
      <c r="C7276" s="6">
        <v>0.33417494089187</v>
      </c>
    </row>
    <row r="7277" spans="1:3" s="7" customFormat="1" x14ac:dyDescent="0.2">
      <c r="A7277" s="6" t="str">
        <f>"TOX2"</f>
        <v>TOX2</v>
      </c>
      <c r="B7277" s="6">
        <v>0.145854145854145</v>
      </c>
      <c r="C7277" s="6">
        <v>0.33417494089187</v>
      </c>
    </row>
    <row r="7278" spans="1:3" s="7" customFormat="1" x14ac:dyDescent="0.2">
      <c r="A7278" s="6" t="str">
        <f>"C14orf39"</f>
        <v>C14orf39</v>
      </c>
      <c r="B7278" s="6">
        <v>0.145854145854145</v>
      </c>
      <c r="C7278" s="6">
        <v>0.33417494089187</v>
      </c>
    </row>
    <row r="7279" spans="1:3" s="7" customFormat="1" x14ac:dyDescent="0.2">
      <c r="A7279" s="6" t="str">
        <f>"GON4L"</f>
        <v>GON4L</v>
      </c>
      <c r="B7279" s="6">
        <v>0.145854145854145</v>
      </c>
      <c r="C7279" s="6">
        <v>0.33417494089187</v>
      </c>
    </row>
    <row r="7280" spans="1:3" s="7" customFormat="1" x14ac:dyDescent="0.2">
      <c r="A7280" s="6" t="str">
        <f>"AC027644.3"</f>
        <v>AC027644.3</v>
      </c>
      <c r="B7280" s="6">
        <v>0.145854145854145</v>
      </c>
      <c r="C7280" s="6">
        <v>0.33417494089187</v>
      </c>
    </row>
    <row r="7281" spans="1:3" s="7" customFormat="1" x14ac:dyDescent="0.2">
      <c r="A7281" s="6" t="str">
        <f>"ATP6V0E2"</f>
        <v>ATP6V0E2</v>
      </c>
      <c r="B7281" s="6">
        <v>0.145854145854145</v>
      </c>
      <c r="C7281" s="6">
        <v>0.33417494089187</v>
      </c>
    </row>
    <row r="7282" spans="1:3" s="7" customFormat="1" x14ac:dyDescent="0.2">
      <c r="A7282" s="6" t="str">
        <f>"FBXL19"</f>
        <v>FBXL19</v>
      </c>
      <c r="B7282" s="6">
        <v>0.145854145854145</v>
      </c>
      <c r="C7282" s="6">
        <v>0.33417494089187</v>
      </c>
    </row>
    <row r="7283" spans="1:3" s="7" customFormat="1" x14ac:dyDescent="0.2">
      <c r="A7283" s="6" t="str">
        <f>"RGPD6"</f>
        <v>RGPD6</v>
      </c>
      <c r="B7283" s="6">
        <v>0.145854145854145</v>
      </c>
      <c r="C7283" s="6">
        <v>0.33417494089187</v>
      </c>
    </row>
    <row r="7284" spans="1:3" s="7" customFormat="1" x14ac:dyDescent="0.2">
      <c r="A7284" s="6" t="str">
        <f>"SLC22A5"</f>
        <v>SLC22A5</v>
      </c>
      <c r="B7284" s="6">
        <v>0.145854145854145</v>
      </c>
      <c r="C7284" s="6">
        <v>0.33417494089187</v>
      </c>
    </row>
    <row r="7285" spans="1:3" s="7" customFormat="1" x14ac:dyDescent="0.2">
      <c r="A7285" s="6" t="str">
        <f>"VTI1A"</f>
        <v>VTI1A</v>
      </c>
      <c r="B7285" s="6">
        <v>0.145854145854145</v>
      </c>
      <c r="C7285" s="6">
        <v>0.33417494089187</v>
      </c>
    </row>
    <row r="7286" spans="1:3" s="7" customFormat="1" x14ac:dyDescent="0.2">
      <c r="A7286" s="6" t="str">
        <f>"RRAS2"</f>
        <v>RRAS2</v>
      </c>
      <c r="B7286" s="6">
        <v>0.145854145854145</v>
      </c>
      <c r="C7286" s="6">
        <v>0.33417494089187</v>
      </c>
    </row>
    <row r="7287" spans="1:3" s="7" customFormat="1" x14ac:dyDescent="0.2">
      <c r="A7287" s="6" t="str">
        <f>"MANBA"</f>
        <v>MANBA</v>
      </c>
      <c r="B7287" s="6">
        <v>0.145854145854145</v>
      </c>
      <c r="C7287" s="6">
        <v>0.33417494089187</v>
      </c>
    </row>
    <row r="7288" spans="1:3" s="7" customFormat="1" x14ac:dyDescent="0.2">
      <c r="A7288" s="6" t="str">
        <f>"PLLP"</f>
        <v>PLLP</v>
      </c>
      <c r="B7288" s="6">
        <v>0.145854145854145</v>
      </c>
      <c r="C7288" s="6">
        <v>0.33417494089187</v>
      </c>
    </row>
    <row r="7289" spans="1:3" s="7" customFormat="1" x14ac:dyDescent="0.2">
      <c r="A7289" s="6" t="str">
        <f>"NR3C1"</f>
        <v>NR3C1</v>
      </c>
      <c r="B7289" s="6">
        <v>0.145854145854145</v>
      </c>
      <c r="C7289" s="6">
        <v>0.33417494089187</v>
      </c>
    </row>
    <row r="7290" spans="1:3" s="7" customFormat="1" x14ac:dyDescent="0.2">
      <c r="A7290" s="6" t="str">
        <f>"ATP13A4"</f>
        <v>ATP13A4</v>
      </c>
      <c r="B7290" s="6">
        <v>0.145854145854145</v>
      </c>
      <c r="C7290" s="6">
        <v>0.33417494089187</v>
      </c>
    </row>
    <row r="7291" spans="1:3" s="7" customFormat="1" x14ac:dyDescent="0.2">
      <c r="A7291" s="6" t="str">
        <f>"VAMP8"</f>
        <v>VAMP8</v>
      </c>
      <c r="B7291" s="6">
        <v>0.145854145854145</v>
      </c>
      <c r="C7291" s="6">
        <v>0.33417494089187</v>
      </c>
    </row>
    <row r="7292" spans="1:3" s="7" customFormat="1" x14ac:dyDescent="0.2">
      <c r="A7292" s="6" t="str">
        <f>"RPS29"</f>
        <v>RPS29</v>
      </c>
      <c r="B7292" s="6">
        <v>0.145854145854145</v>
      </c>
      <c r="C7292" s="6">
        <v>0.33417494089187</v>
      </c>
    </row>
    <row r="7293" spans="1:3" s="7" customFormat="1" x14ac:dyDescent="0.2">
      <c r="A7293" s="6" t="str">
        <f>"ACAT2"</f>
        <v>ACAT2</v>
      </c>
      <c r="B7293" s="6">
        <v>0.145854145854145</v>
      </c>
      <c r="C7293" s="6">
        <v>0.33417494089187</v>
      </c>
    </row>
    <row r="7294" spans="1:3" s="7" customFormat="1" x14ac:dyDescent="0.2">
      <c r="A7294" s="6" t="str">
        <f>"NCOA4"</f>
        <v>NCOA4</v>
      </c>
      <c r="B7294" s="6">
        <v>0.145854145854145</v>
      </c>
      <c r="C7294" s="6">
        <v>0.33417494089187</v>
      </c>
    </row>
    <row r="7295" spans="1:3" s="7" customFormat="1" x14ac:dyDescent="0.2">
      <c r="A7295" s="6" t="str">
        <f>"EPB41"</f>
        <v>EPB41</v>
      </c>
      <c r="B7295" s="6">
        <v>0.145854145854145</v>
      </c>
      <c r="C7295" s="6">
        <v>0.33417494089187</v>
      </c>
    </row>
    <row r="7296" spans="1:3" s="7" customFormat="1" x14ac:dyDescent="0.2">
      <c r="A7296" s="6" t="str">
        <f>"NBPF26"</f>
        <v>NBPF26</v>
      </c>
      <c r="B7296" s="6">
        <v>0.145854145854145</v>
      </c>
      <c r="C7296" s="6">
        <v>0.33417494089187</v>
      </c>
    </row>
    <row r="7297" spans="1:3" s="7" customFormat="1" x14ac:dyDescent="0.2">
      <c r="A7297" s="6" t="str">
        <f>"UBE2D3"</f>
        <v>UBE2D3</v>
      </c>
      <c r="B7297" s="6">
        <v>0.14599999999999999</v>
      </c>
      <c r="C7297" s="6">
        <v>0.334325798054528</v>
      </c>
    </row>
    <row r="7298" spans="1:3" s="7" customFormat="1" x14ac:dyDescent="0.2">
      <c r="A7298" s="6" t="str">
        <f>"LINC01309"</f>
        <v>LINC01309</v>
      </c>
      <c r="B7298" s="6">
        <v>0.14599999999999999</v>
      </c>
      <c r="C7298" s="6">
        <v>0.334325798054528</v>
      </c>
    </row>
    <row r="7299" spans="1:3" s="7" customFormat="1" x14ac:dyDescent="0.2">
      <c r="A7299" s="6" t="str">
        <f>"AC137894.4"</f>
        <v>AC137894.4</v>
      </c>
      <c r="B7299" s="6">
        <v>0.14599999999999999</v>
      </c>
      <c r="C7299" s="6">
        <v>0.334325798054528</v>
      </c>
    </row>
    <row r="7300" spans="1:3" s="7" customFormat="1" x14ac:dyDescent="0.2">
      <c r="A7300" s="6" t="str">
        <f>"CFAP57"</f>
        <v>CFAP57</v>
      </c>
      <c r="B7300" s="6">
        <v>0.14599999999999999</v>
      </c>
      <c r="C7300" s="6">
        <v>0.334325798054528</v>
      </c>
    </row>
    <row r="7301" spans="1:3" s="7" customFormat="1" x14ac:dyDescent="0.2">
      <c r="A7301" s="6" t="str">
        <f>"MGAT4B"</f>
        <v>MGAT4B</v>
      </c>
      <c r="B7301" s="6">
        <v>0.14614614614614599</v>
      </c>
      <c r="C7301" s="6">
        <v>0.33456878327444001</v>
      </c>
    </row>
    <row r="7302" spans="1:3" s="7" customFormat="1" x14ac:dyDescent="0.2">
      <c r="A7302" s="6" t="str">
        <f>"AC027237.3"</f>
        <v>AC027237.3</v>
      </c>
      <c r="B7302" s="6">
        <v>0.14614614614614599</v>
      </c>
      <c r="C7302" s="6">
        <v>0.33456878327444001</v>
      </c>
    </row>
    <row r="7303" spans="1:3" s="7" customFormat="1" x14ac:dyDescent="0.2">
      <c r="A7303" s="6" t="str">
        <f>"BCL2L13"</f>
        <v>BCL2L13</v>
      </c>
      <c r="B7303" s="6">
        <v>0.14685314685314599</v>
      </c>
      <c r="C7303" s="6">
        <v>0.33504006231278899</v>
      </c>
    </row>
    <row r="7304" spans="1:3" s="7" customFormat="1" x14ac:dyDescent="0.2">
      <c r="A7304" s="6" t="str">
        <f>"YWHAB"</f>
        <v>YWHAB</v>
      </c>
      <c r="B7304" s="6">
        <v>0.14685314685314599</v>
      </c>
      <c r="C7304" s="6">
        <v>0.33504006231278899</v>
      </c>
    </row>
    <row r="7305" spans="1:3" s="7" customFormat="1" x14ac:dyDescent="0.2">
      <c r="A7305" s="6" t="str">
        <f>"IGLC3"</f>
        <v>IGLC3</v>
      </c>
      <c r="B7305" s="6">
        <v>0.14685314685314599</v>
      </c>
      <c r="C7305" s="6">
        <v>0.33504006231278899</v>
      </c>
    </row>
    <row r="7306" spans="1:3" s="7" customFormat="1" x14ac:dyDescent="0.2">
      <c r="A7306" s="6" t="str">
        <f>"LINC01324"</f>
        <v>LINC01324</v>
      </c>
      <c r="B7306" s="6">
        <v>0.14685314685314599</v>
      </c>
      <c r="C7306" s="6">
        <v>0.33504006231278899</v>
      </c>
    </row>
    <row r="7307" spans="1:3" s="7" customFormat="1" x14ac:dyDescent="0.2">
      <c r="A7307" s="6" t="str">
        <f>"AC018467.1"</f>
        <v>AC018467.1</v>
      </c>
      <c r="B7307" s="6">
        <v>0.14685314685314599</v>
      </c>
      <c r="C7307" s="6">
        <v>0.33504006231278899</v>
      </c>
    </row>
    <row r="7308" spans="1:3" s="7" customFormat="1" x14ac:dyDescent="0.2">
      <c r="A7308" s="6" t="str">
        <f>"SPN"</f>
        <v>SPN</v>
      </c>
      <c r="B7308" s="6">
        <v>0.14685314685314599</v>
      </c>
      <c r="C7308" s="6">
        <v>0.33504006231278899</v>
      </c>
    </row>
    <row r="7309" spans="1:3" s="7" customFormat="1" x14ac:dyDescent="0.2">
      <c r="A7309" s="6" t="str">
        <f>"AL121888.1"</f>
        <v>AL121888.1</v>
      </c>
      <c r="B7309" s="6">
        <v>0.14685314685314599</v>
      </c>
      <c r="C7309" s="6">
        <v>0.33504006231278899</v>
      </c>
    </row>
    <row r="7310" spans="1:3" s="7" customFormat="1" x14ac:dyDescent="0.2">
      <c r="A7310" s="6" t="str">
        <f>"ERO1B"</f>
        <v>ERO1B</v>
      </c>
      <c r="B7310" s="6">
        <v>0.14685314685314599</v>
      </c>
      <c r="C7310" s="6">
        <v>0.33504006231278899</v>
      </c>
    </row>
    <row r="7311" spans="1:3" s="7" customFormat="1" x14ac:dyDescent="0.2">
      <c r="A7311" s="6" t="str">
        <f>"ZNF174"</f>
        <v>ZNF174</v>
      </c>
      <c r="B7311" s="6">
        <v>0.14685314685314599</v>
      </c>
      <c r="C7311" s="6">
        <v>0.33504006231278899</v>
      </c>
    </row>
    <row r="7312" spans="1:3" s="7" customFormat="1" x14ac:dyDescent="0.2">
      <c r="A7312" s="6" t="str">
        <f>"ZNF214"</f>
        <v>ZNF214</v>
      </c>
      <c r="B7312" s="6">
        <v>0.14685314685314599</v>
      </c>
      <c r="C7312" s="6">
        <v>0.33504006231278899</v>
      </c>
    </row>
    <row r="7313" spans="1:3" s="7" customFormat="1" x14ac:dyDescent="0.2">
      <c r="A7313" s="6" t="str">
        <f>"AC006116.6"</f>
        <v>AC006116.6</v>
      </c>
      <c r="B7313" s="6">
        <v>0.14685314685314599</v>
      </c>
      <c r="C7313" s="6">
        <v>0.33504006231278899</v>
      </c>
    </row>
    <row r="7314" spans="1:3" s="7" customFormat="1" x14ac:dyDescent="0.2">
      <c r="A7314" s="6" t="str">
        <f>"SPATA32"</f>
        <v>SPATA32</v>
      </c>
      <c r="B7314" s="6">
        <v>0.14685314685314599</v>
      </c>
      <c r="C7314" s="6">
        <v>0.33504006231278899</v>
      </c>
    </row>
    <row r="7315" spans="1:3" s="7" customFormat="1" x14ac:dyDescent="0.2">
      <c r="A7315" s="6" t="str">
        <f>"TRIP6"</f>
        <v>TRIP6</v>
      </c>
      <c r="B7315" s="6">
        <v>0.14685314685314599</v>
      </c>
      <c r="C7315" s="6">
        <v>0.33504006231278899</v>
      </c>
    </row>
    <row r="7316" spans="1:3" s="7" customFormat="1" x14ac:dyDescent="0.2">
      <c r="A7316" s="6" t="str">
        <f>"ZNF37BP"</f>
        <v>ZNF37BP</v>
      </c>
      <c r="B7316" s="6">
        <v>0.14685314685314599</v>
      </c>
      <c r="C7316" s="6">
        <v>0.33504006231278899</v>
      </c>
    </row>
    <row r="7317" spans="1:3" s="7" customFormat="1" x14ac:dyDescent="0.2">
      <c r="A7317" s="6" t="str">
        <f>"TMEM63B"</f>
        <v>TMEM63B</v>
      </c>
      <c r="B7317" s="6">
        <v>0.14685314685314599</v>
      </c>
      <c r="C7317" s="6">
        <v>0.33504006231278899</v>
      </c>
    </row>
    <row r="7318" spans="1:3" s="7" customFormat="1" x14ac:dyDescent="0.2">
      <c r="A7318" s="6" t="str">
        <f>"SERP1"</f>
        <v>SERP1</v>
      </c>
      <c r="B7318" s="6">
        <v>0.14685314685314599</v>
      </c>
      <c r="C7318" s="6">
        <v>0.33504006231278899</v>
      </c>
    </row>
    <row r="7319" spans="1:3" s="7" customFormat="1" x14ac:dyDescent="0.2">
      <c r="A7319" s="6" t="str">
        <f>"TMEM51-AS1"</f>
        <v>TMEM51-AS1</v>
      </c>
      <c r="B7319" s="6">
        <v>0.14685314685314599</v>
      </c>
      <c r="C7319" s="6">
        <v>0.33504006231278899</v>
      </c>
    </row>
    <row r="7320" spans="1:3" s="7" customFormat="1" x14ac:dyDescent="0.2">
      <c r="A7320" s="6" t="str">
        <f>"TMEM170B"</f>
        <v>TMEM170B</v>
      </c>
      <c r="B7320" s="6">
        <v>0.14685314685314599</v>
      </c>
      <c r="C7320" s="6">
        <v>0.33504006231278899</v>
      </c>
    </row>
    <row r="7321" spans="1:3" s="7" customFormat="1" x14ac:dyDescent="0.2">
      <c r="A7321" s="6" t="str">
        <f>"LINC00471"</f>
        <v>LINC00471</v>
      </c>
      <c r="B7321" s="6">
        <v>0.14685314685314599</v>
      </c>
      <c r="C7321" s="6">
        <v>0.33504006231278899</v>
      </c>
    </row>
    <row r="7322" spans="1:3" s="7" customFormat="1" x14ac:dyDescent="0.2">
      <c r="A7322" s="6" t="str">
        <f>"TUBB1"</f>
        <v>TUBB1</v>
      </c>
      <c r="B7322" s="6">
        <v>0.14685314685314599</v>
      </c>
      <c r="C7322" s="6">
        <v>0.33504006231278899</v>
      </c>
    </row>
    <row r="7323" spans="1:3" s="7" customFormat="1" x14ac:dyDescent="0.2">
      <c r="A7323" s="6" t="str">
        <f>"RECQL"</f>
        <v>RECQL</v>
      </c>
      <c r="B7323" s="6">
        <v>0.14685314685314599</v>
      </c>
      <c r="C7323" s="6">
        <v>0.33504006231278899</v>
      </c>
    </row>
    <row r="7324" spans="1:3" s="7" customFormat="1" x14ac:dyDescent="0.2">
      <c r="A7324" s="6" t="str">
        <f>"DNAAF3"</f>
        <v>DNAAF3</v>
      </c>
      <c r="B7324" s="6">
        <v>0.14685314685314599</v>
      </c>
      <c r="C7324" s="6">
        <v>0.33504006231278899</v>
      </c>
    </row>
    <row r="7325" spans="1:3" s="7" customFormat="1" x14ac:dyDescent="0.2">
      <c r="A7325" s="6" t="str">
        <f>"UBE2F"</f>
        <v>UBE2F</v>
      </c>
      <c r="B7325" s="6">
        <v>0.14685314685314599</v>
      </c>
      <c r="C7325" s="6">
        <v>0.33504006231278899</v>
      </c>
    </row>
    <row r="7326" spans="1:3" s="7" customFormat="1" x14ac:dyDescent="0.2">
      <c r="A7326" s="6" t="str">
        <f>"COMTD1"</f>
        <v>COMTD1</v>
      </c>
      <c r="B7326" s="6">
        <v>0.14685314685314599</v>
      </c>
      <c r="C7326" s="6">
        <v>0.33504006231278899</v>
      </c>
    </row>
    <row r="7327" spans="1:3" s="7" customFormat="1" x14ac:dyDescent="0.2">
      <c r="A7327" s="6" t="str">
        <f>"KAT2A"</f>
        <v>KAT2A</v>
      </c>
      <c r="B7327" s="6">
        <v>0.14685314685314599</v>
      </c>
      <c r="C7327" s="6">
        <v>0.33504006231278899</v>
      </c>
    </row>
    <row r="7328" spans="1:3" s="7" customFormat="1" x14ac:dyDescent="0.2">
      <c r="A7328" s="6" t="str">
        <f>"OR14J1"</f>
        <v>OR14J1</v>
      </c>
      <c r="B7328" s="6">
        <v>0.146881287726358</v>
      </c>
      <c r="C7328" s="6">
        <v>0.33505852914676498</v>
      </c>
    </row>
    <row r="7329" spans="1:3" s="7" customFormat="1" x14ac:dyDescent="0.2">
      <c r="A7329" s="6" t="str">
        <f>"MBP"</f>
        <v>MBP</v>
      </c>
      <c r="B7329" s="6">
        <v>0.14699999999999999</v>
      </c>
      <c r="C7329" s="6">
        <v>0.33514636475242099</v>
      </c>
    </row>
    <row r="7330" spans="1:3" s="7" customFormat="1" x14ac:dyDescent="0.2">
      <c r="A7330" s="6" t="str">
        <f>"AC026803.2"</f>
        <v>AC026803.2</v>
      </c>
      <c r="B7330" s="6">
        <v>0.14699999999999999</v>
      </c>
      <c r="C7330" s="6">
        <v>0.33514636475242099</v>
      </c>
    </row>
    <row r="7331" spans="1:3" s="7" customFormat="1" x14ac:dyDescent="0.2">
      <c r="A7331" s="6" t="str">
        <f>"NME7"</f>
        <v>NME7</v>
      </c>
      <c r="B7331" s="6">
        <v>0.14699999999999999</v>
      </c>
      <c r="C7331" s="6">
        <v>0.33514636475242099</v>
      </c>
    </row>
    <row r="7332" spans="1:3" s="7" customFormat="1" x14ac:dyDescent="0.2">
      <c r="A7332" s="6" t="str">
        <f>"AC005832.4"</f>
        <v>AC005832.4</v>
      </c>
      <c r="B7332" s="6">
        <v>0.14699999999999999</v>
      </c>
      <c r="C7332" s="6">
        <v>0.33514636475242099</v>
      </c>
    </row>
    <row r="7333" spans="1:3" s="7" customFormat="1" x14ac:dyDescent="0.2">
      <c r="A7333" s="6" t="str">
        <f>"AC016168.4"</f>
        <v>AC016168.4</v>
      </c>
      <c r="B7333" s="6">
        <v>0.147294589178356</v>
      </c>
      <c r="C7333" s="6">
        <v>0.33577219906260902</v>
      </c>
    </row>
    <row r="7334" spans="1:3" s="7" customFormat="1" x14ac:dyDescent="0.2">
      <c r="A7334" s="6" t="str">
        <f>"RAB11B"</f>
        <v>RAB11B</v>
      </c>
      <c r="B7334" s="6">
        <v>0.14785214785214701</v>
      </c>
      <c r="C7334" s="6">
        <v>0.33608062004634798</v>
      </c>
    </row>
    <row r="7335" spans="1:3" s="7" customFormat="1" x14ac:dyDescent="0.2">
      <c r="A7335" s="6" t="str">
        <f>"PRELID1"</f>
        <v>PRELID1</v>
      </c>
      <c r="B7335" s="6">
        <v>0.14785214785214701</v>
      </c>
      <c r="C7335" s="6">
        <v>0.33608062004634798</v>
      </c>
    </row>
    <row r="7336" spans="1:3" s="7" customFormat="1" x14ac:dyDescent="0.2">
      <c r="A7336" s="6" t="str">
        <f>"PLPP3"</f>
        <v>PLPP3</v>
      </c>
      <c r="B7336" s="6">
        <v>0.14785214785214701</v>
      </c>
      <c r="C7336" s="6">
        <v>0.33608062004634798</v>
      </c>
    </row>
    <row r="7337" spans="1:3" s="7" customFormat="1" x14ac:dyDescent="0.2">
      <c r="A7337" s="6" t="str">
        <f>"AL359962.3"</f>
        <v>AL359962.3</v>
      </c>
      <c r="B7337" s="6">
        <v>0.14785214785214701</v>
      </c>
      <c r="C7337" s="6">
        <v>0.33608062004634798</v>
      </c>
    </row>
    <row r="7338" spans="1:3" s="7" customFormat="1" x14ac:dyDescent="0.2">
      <c r="A7338" s="6" t="str">
        <f>"AC116913.1"</f>
        <v>AC116913.1</v>
      </c>
      <c r="B7338" s="6">
        <v>0.14785214785214701</v>
      </c>
      <c r="C7338" s="6">
        <v>0.33608062004634798</v>
      </c>
    </row>
    <row r="7339" spans="1:3" s="7" customFormat="1" x14ac:dyDescent="0.2">
      <c r="A7339" s="6" t="str">
        <f>"AL138756.1"</f>
        <v>AL138756.1</v>
      </c>
      <c r="B7339" s="6">
        <v>0.14785214785214701</v>
      </c>
      <c r="C7339" s="6">
        <v>0.33608062004634798</v>
      </c>
    </row>
    <row r="7340" spans="1:3" s="7" customFormat="1" x14ac:dyDescent="0.2">
      <c r="A7340" s="6" t="str">
        <f>"DLAT"</f>
        <v>DLAT</v>
      </c>
      <c r="B7340" s="6">
        <v>0.14785214785214701</v>
      </c>
      <c r="C7340" s="6">
        <v>0.33608062004634798</v>
      </c>
    </row>
    <row r="7341" spans="1:3" s="7" customFormat="1" x14ac:dyDescent="0.2">
      <c r="A7341" s="6" t="str">
        <f>"DXO"</f>
        <v>DXO</v>
      </c>
      <c r="B7341" s="6">
        <v>0.14785214785214701</v>
      </c>
      <c r="C7341" s="6">
        <v>0.33608062004634798</v>
      </c>
    </row>
    <row r="7342" spans="1:3" s="7" customFormat="1" x14ac:dyDescent="0.2">
      <c r="A7342" s="6" t="str">
        <f>"PPP1R13B"</f>
        <v>PPP1R13B</v>
      </c>
      <c r="B7342" s="6">
        <v>0.14785214785214701</v>
      </c>
      <c r="C7342" s="6">
        <v>0.33608062004634798</v>
      </c>
    </row>
    <row r="7343" spans="1:3" s="7" customFormat="1" x14ac:dyDescent="0.2">
      <c r="A7343" s="6" t="str">
        <f>"RBMS2"</f>
        <v>RBMS2</v>
      </c>
      <c r="B7343" s="6">
        <v>0.14785214785214701</v>
      </c>
      <c r="C7343" s="6">
        <v>0.33608062004634798</v>
      </c>
    </row>
    <row r="7344" spans="1:3" s="7" customFormat="1" x14ac:dyDescent="0.2">
      <c r="A7344" s="6" t="str">
        <f>"CD6"</f>
        <v>CD6</v>
      </c>
      <c r="B7344" s="6">
        <v>0.14785214785214701</v>
      </c>
      <c r="C7344" s="6">
        <v>0.33608062004634798</v>
      </c>
    </row>
    <row r="7345" spans="1:3" s="7" customFormat="1" x14ac:dyDescent="0.2">
      <c r="A7345" s="6" t="str">
        <f>"MORC3"</f>
        <v>MORC3</v>
      </c>
      <c r="B7345" s="6">
        <v>0.14785214785214701</v>
      </c>
      <c r="C7345" s="6">
        <v>0.33608062004634798</v>
      </c>
    </row>
    <row r="7346" spans="1:3" s="7" customFormat="1" x14ac:dyDescent="0.2">
      <c r="A7346" s="6" t="str">
        <f>"MINDY1"</f>
        <v>MINDY1</v>
      </c>
      <c r="B7346" s="6">
        <v>0.14785214785214701</v>
      </c>
      <c r="C7346" s="6">
        <v>0.33608062004634798</v>
      </c>
    </row>
    <row r="7347" spans="1:3" s="7" customFormat="1" x14ac:dyDescent="0.2">
      <c r="A7347" s="6" t="str">
        <f>"LY6G5C"</f>
        <v>LY6G5C</v>
      </c>
      <c r="B7347" s="6">
        <v>0.14785214785214701</v>
      </c>
      <c r="C7347" s="6">
        <v>0.33608062004634798</v>
      </c>
    </row>
    <row r="7348" spans="1:3" s="7" customFormat="1" x14ac:dyDescent="0.2">
      <c r="A7348" s="6" t="str">
        <f>"ELFN1"</f>
        <v>ELFN1</v>
      </c>
      <c r="B7348" s="6">
        <v>0.14785214785214701</v>
      </c>
      <c r="C7348" s="6">
        <v>0.33608062004634798</v>
      </c>
    </row>
    <row r="7349" spans="1:3" s="7" customFormat="1" x14ac:dyDescent="0.2">
      <c r="A7349" s="6" t="str">
        <f>"MICAL3"</f>
        <v>MICAL3</v>
      </c>
      <c r="B7349" s="6">
        <v>0.14785214785214701</v>
      </c>
      <c r="C7349" s="6">
        <v>0.33608062004634798</v>
      </c>
    </row>
    <row r="7350" spans="1:3" s="7" customFormat="1" x14ac:dyDescent="0.2">
      <c r="A7350" s="6" t="str">
        <f>"FAM166C"</f>
        <v>FAM166C</v>
      </c>
      <c r="B7350" s="6">
        <v>0.14785214785214701</v>
      </c>
      <c r="C7350" s="6">
        <v>0.33608062004634798</v>
      </c>
    </row>
    <row r="7351" spans="1:3" s="7" customFormat="1" x14ac:dyDescent="0.2">
      <c r="A7351" s="6" t="str">
        <f>"SLCO5A1"</f>
        <v>SLCO5A1</v>
      </c>
      <c r="B7351" s="6">
        <v>0.14785214785214701</v>
      </c>
      <c r="C7351" s="6">
        <v>0.33608062004634798</v>
      </c>
    </row>
    <row r="7352" spans="1:3" s="7" customFormat="1" x14ac:dyDescent="0.2">
      <c r="A7352" s="6" t="str">
        <f>"OLFML2A"</f>
        <v>OLFML2A</v>
      </c>
      <c r="B7352" s="6">
        <v>0.14785214785214701</v>
      </c>
      <c r="C7352" s="6">
        <v>0.33608062004634798</v>
      </c>
    </row>
    <row r="7353" spans="1:3" s="7" customFormat="1" x14ac:dyDescent="0.2">
      <c r="A7353" s="6" t="str">
        <f>"VPS26C"</f>
        <v>VPS26C</v>
      </c>
      <c r="B7353" s="6">
        <v>0.14785214785214701</v>
      </c>
      <c r="C7353" s="6">
        <v>0.33608062004634798</v>
      </c>
    </row>
    <row r="7354" spans="1:3" s="7" customFormat="1" x14ac:dyDescent="0.2">
      <c r="A7354" s="6" t="str">
        <f>"FZD2"</f>
        <v>FZD2</v>
      </c>
      <c r="B7354" s="6">
        <v>0.14785214785214701</v>
      </c>
      <c r="C7354" s="6">
        <v>0.33608062004634798</v>
      </c>
    </row>
    <row r="7355" spans="1:3" s="7" customFormat="1" x14ac:dyDescent="0.2">
      <c r="A7355" s="6" t="str">
        <f>"AL139349.1"</f>
        <v>AL139349.1</v>
      </c>
      <c r="B7355" s="6">
        <v>0.14833501513622599</v>
      </c>
      <c r="C7355" s="6">
        <v>0.33713236918505302</v>
      </c>
    </row>
    <row r="7356" spans="1:3" s="7" customFormat="1" x14ac:dyDescent="0.2">
      <c r="A7356" s="6" t="str">
        <f>"AL357033.4"</f>
        <v>AL357033.4</v>
      </c>
      <c r="B7356" s="6">
        <v>0.148851148851148</v>
      </c>
      <c r="C7356" s="6">
        <v>0.33738786301845702</v>
      </c>
    </row>
    <row r="7357" spans="1:3" s="7" customFormat="1" x14ac:dyDescent="0.2">
      <c r="A7357" s="6" t="str">
        <f>"DTD1"</f>
        <v>DTD1</v>
      </c>
      <c r="B7357" s="6">
        <v>0.148851148851148</v>
      </c>
      <c r="C7357" s="6">
        <v>0.33738786301845702</v>
      </c>
    </row>
    <row r="7358" spans="1:3" s="7" customFormat="1" x14ac:dyDescent="0.2">
      <c r="A7358" s="6" t="str">
        <f>"SLC30A6"</f>
        <v>SLC30A6</v>
      </c>
      <c r="B7358" s="6">
        <v>0.148851148851148</v>
      </c>
      <c r="C7358" s="6">
        <v>0.33738786301845702</v>
      </c>
    </row>
    <row r="7359" spans="1:3" s="7" customFormat="1" x14ac:dyDescent="0.2">
      <c r="A7359" s="6" t="str">
        <f>"ZMIZ1-AS1"</f>
        <v>ZMIZ1-AS1</v>
      </c>
      <c r="B7359" s="6">
        <v>0.148851148851148</v>
      </c>
      <c r="C7359" s="6">
        <v>0.33738786301845702</v>
      </c>
    </row>
    <row r="7360" spans="1:3" s="7" customFormat="1" x14ac:dyDescent="0.2">
      <c r="A7360" s="6" t="str">
        <f>"MAP3K9"</f>
        <v>MAP3K9</v>
      </c>
      <c r="B7360" s="6">
        <v>0.148851148851148</v>
      </c>
      <c r="C7360" s="6">
        <v>0.33738786301845702</v>
      </c>
    </row>
    <row r="7361" spans="1:3" s="7" customFormat="1" x14ac:dyDescent="0.2">
      <c r="A7361" s="6" t="str">
        <f>"RN7SL274P"</f>
        <v>RN7SL274P</v>
      </c>
      <c r="B7361" s="6">
        <v>0.148851148851148</v>
      </c>
      <c r="C7361" s="6">
        <v>0.33738786301845702</v>
      </c>
    </row>
    <row r="7362" spans="1:3" s="7" customFormat="1" x14ac:dyDescent="0.2">
      <c r="A7362" s="6" t="str">
        <f>"ANKRD6"</f>
        <v>ANKRD6</v>
      </c>
      <c r="B7362" s="6">
        <v>0.148851148851148</v>
      </c>
      <c r="C7362" s="6">
        <v>0.33738786301845702</v>
      </c>
    </row>
    <row r="7363" spans="1:3" s="7" customFormat="1" x14ac:dyDescent="0.2">
      <c r="A7363" s="6" t="str">
        <f>"LIPE"</f>
        <v>LIPE</v>
      </c>
      <c r="B7363" s="6">
        <v>0.148851148851148</v>
      </c>
      <c r="C7363" s="6">
        <v>0.33738786301845702</v>
      </c>
    </row>
    <row r="7364" spans="1:3" s="7" customFormat="1" x14ac:dyDescent="0.2">
      <c r="A7364" s="6" t="str">
        <f>"KCTD9"</f>
        <v>KCTD9</v>
      </c>
      <c r="B7364" s="6">
        <v>0.148851148851148</v>
      </c>
      <c r="C7364" s="6">
        <v>0.33738786301845702</v>
      </c>
    </row>
    <row r="7365" spans="1:3" s="7" customFormat="1" x14ac:dyDescent="0.2">
      <c r="A7365" s="6" t="str">
        <f>"PKD1P4"</f>
        <v>PKD1P4</v>
      </c>
      <c r="B7365" s="6">
        <v>0.148851148851148</v>
      </c>
      <c r="C7365" s="6">
        <v>0.33738786301845702</v>
      </c>
    </row>
    <row r="7366" spans="1:3" s="7" customFormat="1" x14ac:dyDescent="0.2">
      <c r="A7366" s="6" t="str">
        <f>"TMEM64"</f>
        <v>TMEM64</v>
      </c>
      <c r="B7366" s="6">
        <v>0.148851148851148</v>
      </c>
      <c r="C7366" s="6">
        <v>0.33738786301845702</v>
      </c>
    </row>
    <row r="7367" spans="1:3" s="7" customFormat="1" x14ac:dyDescent="0.2">
      <c r="A7367" s="6" t="str">
        <f>"BEND3"</f>
        <v>BEND3</v>
      </c>
      <c r="B7367" s="6">
        <v>0.148851148851148</v>
      </c>
      <c r="C7367" s="6">
        <v>0.33738786301845702</v>
      </c>
    </row>
    <row r="7368" spans="1:3" s="7" customFormat="1" x14ac:dyDescent="0.2">
      <c r="A7368" s="6" t="str">
        <f>"AL157400.5"</f>
        <v>AL157400.5</v>
      </c>
      <c r="B7368" s="6">
        <v>0.148851148851148</v>
      </c>
      <c r="C7368" s="6">
        <v>0.33738786301845702</v>
      </c>
    </row>
    <row r="7369" spans="1:3" s="7" customFormat="1" x14ac:dyDescent="0.2">
      <c r="A7369" s="6" t="str">
        <f>"CLVS1"</f>
        <v>CLVS1</v>
      </c>
      <c r="B7369" s="6">
        <v>0.148851148851148</v>
      </c>
      <c r="C7369" s="6">
        <v>0.33738786301845702</v>
      </c>
    </row>
    <row r="7370" spans="1:3" s="7" customFormat="1" x14ac:dyDescent="0.2">
      <c r="A7370" s="6" t="str">
        <f>"ADAM32"</f>
        <v>ADAM32</v>
      </c>
      <c r="B7370" s="6">
        <v>0.148851148851148</v>
      </c>
      <c r="C7370" s="6">
        <v>0.33738786301845702</v>
      </c>
    </row>
    <row r="7371" spans="1:3" s="7" customFormat="1" x14ac:dyDescent="0.2">
      <c r="A7371" s="6" t="str">
        <f>"AL590434.1"</f>
        <v>AL590434.1</v>
      </c>
      <c r="B7371" s="6">
        <v>0.148851148851148</v>
      </c>
      <c r="C7371" s="6">
        <v>0.33738786301845702</v>
      </c>
    </row>
    <row r="7372" spans="1:3" s="7" customFormat="1" x14ac:dyDescent="0.2">
      <c r="A7372" s="6" t="str">
        <f>"YTHDF3"</f>
        <v>YTHDF3</v>
      </c>
      <c r="B7372" s="6">
        <v>0.148851148851148</v>
      </c>
      <c r="C7372" s="6">
        <v>0.33738786301845702</v>
      </c>
    </row>
    <row r="7373" spans="1:3" s="7" customFormat="1" x14ac:dyDescent="0.2">
      <c r="A7373" s="6" t="str">
        <f>"D2HGDH"</f>
        <v>D2HGDH</v>
      </c>
      <c r="B7373" s="6">
        <v>0.148851148851148</v>
      </c>
      <c r="C7373" s="6">
        <v>0.33738786301845702</v>
      </c>
    </row>
    <row r="7374" spans="1:3" s="7" customFormat="1" x14ac:dyDescent="0.2">
      <c r="A7374" s="6" t="str">
        <f>"OTULIN"</f>
        <v>OTULIN</v>
      </c>
      <c r="B7374" s="6">
        <v>0.148851148851148</v>
      </c>
      <c r="C7374" s="6">
        <v>0.33738786301845702</v>
      </c>
    </row>
    <row r="7375" spans="1:3" s="7" customFormat="1" x14ac:dyDescent="0.2">
      <c r="A7375" s="6" t="str">
        <f>"KLC2"</f>
        <v>KLC2</v>
      </c>
      <c r="B7375" s="6">
        <v>0.148851148851148</v>
      </c>
      <c r="C7375" s="6">
        <v>0.33738786301845702</v>
      </c>
    </row>
    <row r="7376" spans="1:3" s="7" customFormat="1" x14ac:dyDescent="0.2">
      <c r="A7376" s="6" t="str">
        <f>"STAP2"</f>
        <v>STAP2</v>
      </c>
      <c r="B7376" s="6">
        <v>0.14899999999999999</v>
      </c>
      <c r="C7376" s="6">
        <v>0.33767945762711798</v>
      </c>
    </row>
    <row r="7377" spans="1:3" s="7" customFormat="1" x14ac:dyDescent="0.2">
      <c r="A7377" s="6" t="str">
        <f>"RBM47"</f>
        <v>RBM47</v>
      </c>
      <c r="B7377" s="6">
        <v>0.14914914914914901</v>
      </c>
      <c r="C7377" s="6">
        <v>0.33797164843802502</v>
      </c>
    </row>
    <row r="7378" spans="1:3" s="7" customFormat="1" x14ac:dyDescent="0.2">
      <c r="A7378" s="6" t="str">
        <f>"AC010494.1"</f>
        <v>AC010494.1</v>
      </c>
      <c r="B7378" s="6">
        <v>0.14929859719438801</v>
      </c>
      <c r="C7378" s="6">
        <v>0.33826443723831001</v>
      </c>
    </row>
    <row r="7379" spans="1:3" s="7" customFormat="1" x14ac:dyDescent="0.2">
      <c r="A7379" s="6" t="str">
        <f>"AL157893.2"</f>
        <v>AL157893.2</v>
      </c>
      <c r="B7379" s="6">
        <v>0.149484536082474</v>
      </c>
      <c r="C7379" s="6">
        <v>0.33863981242646701</v>
      </c>
    </row>
    <row r="7380" spans="1:3" s="7" customFormat="1" x14ac:dyDescent="0.2">
      <c r="A7380" s="6" t="str">
        <f>"BMP2K"</f>
        <v>BMP2K</v>
      </c>
      <c r="B7380" s="6">
        <v>0.14985014985014899</v>
      </c>
      <c r="C7380" s="6">
        <v>0.33868768148687001</v>
      </c>
    </row>
    <row r="7381" spans="1:3" s="7" customFormat="1" x14ac:dyDescent="0.2">
      <c r="A7381" s="6" t="str">
        <f>"CENPBD1P1"</f>
        <v>CENPBD1P1</v>
      </c>
      <c r="B7381" s="6">
        <v>0.14985014985014899</v>
      </c>
      <c r="C7381" s="6">
        <v>0.33868768148687001</v>
      </c>
    </row>
    <row r="7382" spans="1:3" s="7" customFormat="1" x14ac:dyDescent="0.2">
      <c r="A7382" s="6" t="str">
        <f>"SZT2"</f>
        <v>SZT2</v>
      </c>
      <c r="B7382" s="6">
        <v>0.14985014985014899</v>
      </c>
      <c r="C7382" s="6">
        <v>0.33868768148687001</v>
      </c>
    </row>
    <row r="7383" spans="1:3" s="7" customFormat="1" x14ac:dyDescent="0.2">
      <c r="A7383" s="6" t="str">
        <f>"AC116667.1"</f>
        <v>AC116667.1</v>
      </c>
      <c r="B7383" s="6">
        <v>0.14985014985014899</v>
      </c>
      <c r="C7383" s="6">
        <v>0.33868768148687001</v>
      </c>
    </row>
    <row r="7384" spans="1:3" s="7" customFormat="1" x14ac:dyDescent="0.2">
      <c r="A7384" s="6" t="str">
        <f>"ANXA1"</f>
        <v>ANXA1</v>
      </c>
      <c r="B7384" s="6">
        <v>0.14985014985014899</v>
      </c>
      <c r="C7384" s="6">
        <v>0.33868768148687001</v>
      </c>
    </row>
    <row r="7385" spans="1:3" s="7" customFormat="1" x14ac:dyDescent="0.2">
      <c r="A7385" s="6" t="str">
        <f>"MARF1"</f>
        <v>MARF1</v>
      </c>
      <c r="B7385" s="6">
        <v>0.14985014985014899</v>
      </c>
      <c r="C7385" s="6">
        <v>0.33868768148687001</v>
      </c>
    </row>
    <row r="7386" spans="1:3" s="7" customFormat="1" x14ac:dyDescent="0.2">
      <c r="A7386" s="6" t="str">
        <f>"CCDC7"</f>
        <v>CCDC7</v>
      </c>
      <c r="B7386" s="6">
        <v>0.14985014985014899</v>
      </c>
      <c r="C7386" s="6">
        <v>0.33868768148687001</v>
      </c>
    </row>
    <row r="7387" spans="1:3" s="7" customFormat="1" x14ac:dyDescent="0.2">
      <c r="A7387" s="6" t="str">
        <f>"CLUAP1"</f>
        <v>CLUAP1</v>
      </c>
      <c r="B7387" s="6">
        <v>0.14985014985014899</v>
      </c>
      <c r="C7387" s="6">
        <v>0.33868768148687001</v>
      </c>
    </row>
    <row r="7388" spans="1:3" s="7" customFormat="1" x14ac:dyDescent="0.2">
      <c r="A7388" s="6" t="str">
        <f>"ELL2"</f>
        <v>ELL2</v>
      </c>
      <c r="B7388" s="6">
        <v>0.14985014985014899</v>
      </c>
      <c r="C7388" s="6">
        <v>0.33868768148687001</v>
      </c>
    </row>
    <row r="7389" spans="1:3" s="7" customFormat="1" x14ac:dyDescent="0.2">
      <c r="A7389" s="6" t="str">
        <f>"AC079781.5"</f>
        <v>AC079781.5</v>
      </c>
      <c r="B7389" s="6">
        <v>0.14985014985014899</v>
      </c>
      <c r="C7389" s="6">
        <v>0.33868768148687001</v>
      </c>
    </row>
    <row r="7390" spans="1:3" s="7" customFormat="1" x14ac:dyDescent="0.2">
      <c r="A7390" s="6" t="str">
        <f>"CDH3"</f>
        <v>CDH3</v>
      </c>
      <c r="B7390" s="6">
        <v>0.14985014985014899</v>
      </c>
      <c r="C7390" s="6">
        <v>0.33868768148687001</v>
      </c>
    </row>
    <row r="7391" spans="1:3" s="7" customFormat="1" x14ac:dyDescent="0.2">
      <c r="A7391" s="6" t="str">
        <f>"PTGES3"</f>
        <v>PTGES3</v>
      </c>
      <c r="B7391" s="6">
        <v>0.14985014985014899</v>
      </c>
      <c r="C7391" s="6">
        <v>0.33868768148687001</v>
      </c>
    </row>
    <row r="7392" spans="1:3" s="7" customFormat="1" x14ac:dyDescent="0.2">
      <c r="A7392" s="6" t="str">
        <f>"TMED3"</f>
        <v>TMED3</v>
      </c>
      <c r="B7392" s="6">
        <v>0.14985014985014899</v>
      </c>
      <c r="C7392" s="6">
        <v>0.33868768148687001</v>
      </c>
    </row>
    <row r="7393" spans="1:3" s="7" customFormat="1" x14ac:dyDescent="0.2">
      <c r="A7393" s="6" t="str">
        <f>"ST13"</f>
        <v>ST13</v>
      </c>
      <c r="B7393" s="6">
        <v>0.14985014985014899</v>
      </c>
      <c r="C7393" s="6">
        <v>0.33868768148687001</v>
      </c>
    </row>
    <row r="7394" spans="1:3" s="7" customFormat="1" x14ac:dyDescent="0.2">
      <c r="A7394" s="6" t="str">
        <f>"SQOR"</f>
        <v>SQOR</v>
      </c>
      <c r="B7394" s="6">
        <v>0.14985014985014899</v>
      </c>
      <c r="C7394" s="6">
        <v>0.33868768148687001</v>
      </c>
    </row>
    <row r="7395" spans="1:3" s="7" customFormat="1" x14ac:dyDescent="0.2">
      <c r="A7395" s="6" t="str">
        <f>"MAPKBP1"</f>
        <v>MAPKBP1</v>
      </c>
      <c r="B7395" s="6">
        <v>0.14985014985014899</v>
      </c>
      <c r="C7395" s="6">
        <v>0.33868768148687001</v>
      </c>
    </row>
    <row r="7396" spans="1:3" s="7" customFormat="1" x14ac:dyDescent="0.2">
      <c r="A7396" s="6" t="str">
        <f>"TM4SF19-AS1"</f>
        <v>TM4SF19-AS1</v>
      </c>
      <c r="B7396" s="6">
        <v>0.14985014985014899</v>
      </c>
      <c r="C7396" s="6">
        <v>0.33868768148687001</v>
      </c>
    </row>
    <row r="7397" spans="1:3" s="7" customFormat="1" x14ac:dyDescent="0.2">
      <c r="A7397" s="6" t="str">
        <f>"AC008946.1"</f>
        <v>AC008946.1</v>
      </c>
      <c r="B7397" s="6">
        <v>0.15</v>
      </c>
      <c r="C7397" s="6">
        <v>0.33893470325807701</v>
      </c>
    </row>
    <row r="7398" spans="1:3" s="7" customFormat="1" x14ac:dyDescent="0.2">
      <c r="A7398" s="6" t="str">
        <f>"LMNB2"</f>
        <v>LMNB2</v>
      </c>
      <c r="B7398" s="6">
        <v>0.15</v>
      </c>
      <c r="C7398" s="6">
        <v>0.33893470325807701</v>
      </c>
    </row>
    <row r="7399" spans="1:3" s="7" customFormat="1" x14ac:dyDescent="0.2">
      <c r="A7399" s="6" t="str">
        <f>"UBALD2"</f>
        <v>UBALD2</v>
      </c>
      <c r="B7399" s="6">
        <v>0.15084915084914999</v>
      </c>
      <c r="C7399" s="6">
        <v>0.33975107226690499</v>
      </c>
    </row>
    <row r="7400" spans="1:3" s="7" customFormat="1" x14ac:dyDescent="0.2">
      <c r="A7400" s="6" t="str">
        <f>"LINC00189"</f>
        <v>LINC00189</v>
      </c>
      <c r="B7400" s="6">
        <v>0.15084915084914999</v>
      </c>
      <c r="C7400" s="6">
        <v>0.33975107226690499</v>
      </c>
    </row>
    <row r="7401" spans="1:3" s="7" customFormat="1" x14ac:dyDescent="0.2">
      <c r="A7401" s="6" t="str">
        <f>"AC090720.1"</f>
        <v>AC090720.1</v>
      </c>
      <c r="B7401" s="6">
        <v>0.15045135406218599</v>
      </c>
      <c r="C7401" s="6">
        <v>0.33975107226690499</v>
      </c>
    </row>
    <row r="7402" spans="1:3" s="7" customFormat="1" x14ac:dyDescent="0.2">
      <c r="A7402" s="6" t="str">
        <f>"RPGRIP1"</f>
        <v>RPGRIP1</v>
      </c>
      <c r="B7402" s="6">
        <v>0.15084915084914999</v>
      </c>
      <c r="C7402" s="6">
        <v>0.33975107226690499</v>
      </c>
    </row>
    <row r="7403" spans="1:3" s="7" customFormat="1" x14ac:dyDescent="0.2">
      <c r="A7403" s="6" t="str">
        <f>"AC005865.2"</f>
        <v>AC005865.2</v>
      </c>
      <c r="B7403" s="6">
        <v>0.15084915084914999</v>
      </c>
      <c r="C7403" s="6">
        <v>0.33975107226690499</v>
      </c>
    </row>
    <row r="7404" spans="1:3" s="7" customFormat="1" x14ac:dyDescent="0.2">
      <c r="A7404" s="6" t="str">
        <f>"FRG1-DT"</f>
        <v>FRG1-DT</v>
      </c>
      <c r="B7404" s="6">
        <v>0.15084915084914999</v>
      </c>
      <c r="C7404" s="6">
        <v>0.33975107226690499</v>
      </c>
    </row>
    <row r="7405" spans="1:3" s="7" customFormat="1" x14ac:dyDescent="0.2">
      <c r="A7405" s="6" t="str">
        <f>"DMBT1L1"</f>
        <v>DMBT1L1</v>
      </c>
      <c r="B7405" s="6">
        <v>0.15084915084914999</v>
      </c>
      <c r="C7405" s="6">
        <v>0.33975107226690499</v>
      </c>
    </row>
    <row r="7406" spans="1:3" s="7" customFormat="1" x14ac:dyDescent="0.2">
      <c r="A7406" s="6" t="str">
        <f>"BCAR3"</f>
        <v>BCAR3</v>
      </c>
      <c r="B7406" s="6">
        <v>0.15084915084914999</v>
      </c>
      <c r="C7406" s="6">
        <v>0.33975107226690499</v>
      </c>
    </row>
    <row r="7407" spans="1:3" s="7" customFormat="1" x14ac:dyDescent="0.2">
      <c r="A7407" s="6" t="str">
        <f>"YJU2"</f>
        <v>YJU2</v>
      </c>
      <c r="B7407" s="6">
        <v>0.15084915084914999</v>
      </c>
      <c r="C7407" s="6">
        <v>0.33975107226690499</v>
      </c>
    </row>
    <row r="7408" spans="1:3" s="7" customFormat="1" x14ac:dyDescent="0.2">
      <c r="A7408" s="6" t="str">
        <f>"AFG3L1P"</f>
        <v>AFG3L1P</v>
      </c>
      <c r="B7408" s="6">
        <v>0.15084915084914999</v>
      </c>
      <c r="C7408" s="6">
        <v>0.33975107226690499</v>
      </c>
    </row>
    <row r="7409" spans="1:3" s="7" customFormat="1" x14ac:dyDescent="0.2">
      <c r="A7409" s="6" t="str">
        <f>"PLCD4"</f>
        <v>PLCD4</v>
      </c>
      <c r="B7409" s="6">
        <v>0.15084915084914999</v>
      </c>
      <c r="C7409" s="6">
        <v>0.33975107226690499</v>
      </c>
    </row>
    <row r="7410" spans="1:3" s="7" customFormat="1" x14ac:dyDescent="0.2">
      <c r="A7410" s="6" t="str">
        <f>"TEPSIN"</f>
        <v>TEPSIN</v>
      </c>
      <c r="B7410" s="6">
        <v>0.15084915084914999</v>
      </c>
      <c r="C7410" s="6">
        <v>0.33975107226690499</v>
      </c>
    </row>
    <row r="7411" spans="1:3" s="7" customFormat="1" x14ac:dyDescent="0.2">
      <c r="A7411" s="6" t="str">
        <f>"DPH1"</f>
        <v>DPH1</v>
      </c>
      <c r="B7411" s="6">
        <v>0.15084915084914999</v>
      </c>
      <c r="C7411" s="6">
        <v>0.33975107226690499</v>
      </c>
    </row>
    <row r="7412" spans="1:3" s="7" customFormat="1" x14ac:dyDescent="0.2">
      <c r="A7412" s="6" t="str">
        <f>"LINC00511"</f>
        <v>LINC00511</v>
      </c>
      <c r="B7412" s="6">
        <v>0.15084915084914999</v>
      </c>
      <c r="C7412" s="6">
        <v>0.33975107226690499</v>
      </c>
    </row>
    <row r="7413" spans="1:3" s="7" customFormat="1" x14ac:dyDescent="0.2">
      <c r="A7413" s="6" t="str">
        <f>"POLR1E"</f>
        <v>POLR1E</v>
      </c>
      <c r="B7413" s="6">
        <v>0.15084915084914999</v>
      </c>
      <c r="C7413" s="6">
        <v>0.33975107226690499</v>
      </c>
    </row>
    <row r="7414" spans="1:3" s="7" customFormat="1" x14ac:dyDescent="0.2">
      <c r="A7414" s="6" t="str">
        <f>"AC090360.1"</f>
        <v>AC090360.1</v>
      </c>
      <c r="B7414" s="6">
        <v>0.15084915084914999</v>
      </c>
      <c r="C7414" s="6">
        <v>0.33975107226690499</v>
      </c>
    </row>
    <row r="7415" spans="1:3" s="7" customFormat="1" x14ac:dyDescent="0.2">
      <c r="A7415" s="6" t="str">
        <f>"THOC6"</f>
        <v>THOC6</v>
      </c>
      <c r="B7415" s="6">
        <v>0.15084915084914999</v>
      </c>
      <c r="C7415" s="6">
        <v>0.33975107226690499</v>
      </c>
    </row>
    <row r="7416" spans="1:3" s="7" customFormat="1" x14ac:dyDescent="0.2">
      <c r="A7416" s="6" t="str">
        <f>"OGFRP1"</f>
        <v>OGFRP1</v>
      </c>
      <c r="B7416" s="6">
        <v>0.15084915084914999</v>
      </c>
      <c r="C7416" s="6">
        <v>0.33975107226690499</v>
      </c>
    </row>
    <row r="7417" spans="1:3" s="7" customFormat="1" x14ac:dyDescent="0.2">
      <c r="A7417" s="6" t="str">
        <f>"STC1"</f>
        <v>STC1</v>
      </c>
      <c r="B7417" s="6">
        <v>0.15084915084914999</v>
      </c>
      <c r="C7417" s="6">
        <v>0.33975107226690499</v>
      </c>
    </row>
    <row r="7418" spans="1:3" s="7" customFormat="1" x14ac:dyDescent="0.2">
      <c r="A7418" s="6" t="str">
        <f>"AC026304.1"</f>
        <v>AC026304.1</v>
      </c>
      <c r="B7418" s="6">
        <v>0.15084915084914999</v>
      </c>
      <c r="C7418" s="6">
        <v>0.33975107226690499</v>
      </c>
    </row>
    <row r="7419" spans="1:3" s="7" customFormat="1" x14ac:dyDescent="0.2">
      <c r="A7419" s="6" t="str">
        <f>"KYNU"</f>
        <v>KYNU</v>
      </c>
      <c r="B7419" s="6">
        <v>0.15084915084914999</v>
      </c>
      <c r="C7419" s="6">
        <v>0.33975107226690499</v>
      </c>
    </row>
    <row r="7420" spans="1:3" s="7" customFormat="1" x14ac:dyDescent="0.2">
      <c r="A7420" s="6" t="str">
        <f>"MTMR8"</f>
        <v>MTMR8</v>
      </c>
      <c r="B7420" s="6">
        <v>0.15084915084914999</v>
      </c>
      <c r="C7420" s="6">
        <v>0.33975107226690499</v>
      </c>
    </row>
    <row r="7421" spans="1:3" s="7" customFormat="1" x14ac:dyDescent="0.2">
      <c r="A7421" s="6" t="str">
        <f>"KRT18"</f>
        <v>KRT18</v>
      </c>
      <c r="B7421" s="6">
        <v>0.15084915084914999</v>
      </c>
      <c r="C7421" s="6">
        <v>0.33975107226690499</v>
      </c>
    </row>
    <row r="7422" spans="1:3" s="7" customFormat="1" x14ac:dyDescent="0.2">
      <c r="A7422" s="6" t="str">
        <f>"SGK1"</f>
        <v>SGK1</v>
      </c>
      <c r="B7422" s="6">
        <v>0.15084915084914999</v>
      </c>
      <c r="C7422" s="6">
        <v>0.33975107226690499</v>
      </c>
    </row>
    <row r="7423" spans="1:3" s="7" customFormat="1" x14ac:dyDescent="0.2">
      <c r="A7423" s="6" t="str">
        <f>"NR3C2"</f>
        <v>NR3C2</v>
      </c>
      <c r="B7423" s="6">
        <v>0.151</v>
      </c>
      <c r="C7423" s="6">
        <v>0.33995339439655098</v>
      </c>
    </row>
    <row r="7424" spans="1:3" s="7" customFormat="1" x14ac:dyDescent="0.2">
      <c r="A7424" s="6" t="str">
        <f>"ANKS6"</f>
        <v>ANKS6</v>
      </c>
      <c r="B7424" s="6">
        <v>0.151</v>
      </c>
      <c r="C7424" s="6">
        <v>0.33995339439655098</v>
      </c>
    </row>
    <row r="7425" spans="1:3" s="7" customFormat="1" x14ac:dyDescent="0.2">
      <c r="A7425" s="6" t="str">
        <f>"AC068946.2"</f>
        <v>AC068946.2</v>
      </c>
      <c r="B7425" s="6">
        <v>0.151</v>
      </c>
      <c r="C7425" s="6">
        <v>0.33995339439655098</v>
      </c>
    </row>
    <row r="7426" spans="1:3" s="7" customFormat="1" x14ac:dyDescent="0.2">
      <c r="A7426" s="6" t="str">
        <f>"FO704657.1"</f>
        <v>FO704657.1</v>
      </c>
      <c r="B7426" s="6">
        <v>0.15130260521041999</v>
      </c>
      <c r="C7426" s="6">
        <v>0.34058878700161199</v>
      </c>
    </row>
    <row r="7427" spans="1:3" s="7" customFormat="1" x14ac:dyDescent="0.2">
      <c r="A7427" s="6" t="str">
        <f>"AL139246.5"</f>
        <v>AL139246.5</v>
      </c>
      <c r="B7427" s="6">
        <v>0.15184815184815101</v>
      </c>
      <c r="C7427" s="6">
        <v>0.34066979999865898</v>
      </c>
    </row>
    <row r="7428" spans="1:3" s="7" customFormat="1" x14ac:dyDescent="0.2">
      <c r="A7428" s="6" t="str">
        <f>"LINC00862"</f>
        <v>LINC00862</v>
      </c>
      <c r="B7428" s="6">
        <v>0.15184815184815101</v>
      </c>
      <c r="C7428" s="6">
        <v>0.34066979999865898</v>
      </c>
    </row>
    <row r="7429" spans="1:3" s="7" customFormat="1" x14ac:dyDescent="0.2">
      <c r="A7429" s="6" t="str">
        <f>"ANKHD1"</f>
        <v>ANKHD1</v>
      </c>
      <c r="B7429" s="6">
        <v>0.15184815184815101</v>
      </c>
      <c r="C7429" s="6">
        <v>0.34066979999865898</v>
      </c>
    </row>
    <row r="7430" spans="1:3" s="7" customFormat="1" x14ac:dyDescent="0.2">
      <c r="A7430" s="6" t="str">
        <f>"NHLRC1"</f>
        <v>NHLRC1</v>
      </c>
      <c r="B7430" s="6">
        <v>0.15184815184815101</v>
      </c>
      <c r="C7430" s="6">
        <v>0.34066979999865898</v>
      </c>
    </row>
    <row r="7431" spans="1:3" s="7" customFormat="1" x14ac:dyDescent="0.2">
      <c r="A7431" s="6" t="str">
        <f>"FAM27C"</f>
        <v>FAM27C</v>
      </c>
      <c r="B7431" s="6">
        <v>0.15184815184815101</v>
      </c>
      <c r="C7431" s="6">
        <v>0.34066979999865898</v>
      </c>
    </row>
    <row r="7432" spans="1:3" s="7" customFormat="1" x14ac:dyDescent="0.2">
      <c r="A7432" s="6" t="str">
        <f>"AC079061.1"</f>
        <v>AC079061.1</v>
      </c>
      <c r="B7432" s="6">
        <v>0.15184815184815101</v>
      </c>
      <c r="C7432" s="6">
        <v>0.34066979999865898</v>
      </c>
    </row>
    <row r="7433" spans="1:3" s="7" customFormat="1" x14ac:dyDescent="0.2">
      <c r="A7433" s="6" t="str">
        <f>"GNLY"</f>
        <v>GNLY</v>
      </c>
      <c r="B7433" s="6">
        <v>0.15184815184815101</v>
      </c>
      <c r="C7433" s="6">
        <v>0.34066979999865898</v>
      </c>
    </row>
    <row r="7434" spans="1:3" s="7" customFormat="1" x14ac:dyDescent="0.2">
      <c r="A7434" s="6" t="str">
        <f>"RABGGTA"</f>
        <v>RABGGTA</v>
      </c>
      <c r="B7434" s="6">
        <v>0.15184815184815101</v>
      </c>
      <c r="C7434" s="6">
        <v>0.34066979999865898</v>
      </c>
    </row>
    <row r="7435" spans="1:3" s="7" customFormat="1" x14ac:dyDescent="0.2">
      <c r="A7435" s="6" t="str">
        <f>"IGHV3-48"</f>
        <v>IGHV3-48</v>
      </c>
      <c r="B7435" s="6">
        <v>0.15184815184815101</v>
      </c>
      <c r="C7435" s="6">
        <v>0.34066979999865898</v>
      </c>
    </row>
    <row r="7436" spans="1:3" s="7" customFormat="1" x14ac:dyDescent="0.2">
      <c r="A7436" s="6" t="str">
        <f>"TMPRSS11F"</f>
        <v>TMPRSS11F</v>
      </c>
      <c r="B7436" s="6">
        <v>0.15184815184815101</v>
      </c>
      <c r="C7436" s="6">
        <v>0.34066979999865898</v>
      </c>
    </row>
    <row r="7437" spans="1:3" s="7" customFormat="1" x14ac:dyDescent="0.2">
      <c r="A7437" s="6" t="str">
        <f>"ANKRD36B"</f>
        <v>ANKRD36B</v>
      </c>
      <c r="B7437" s="6">
        <v>0.15184815184815101</v>
      </c>
      <c r="C7437" s="6">
        <v>0.34066979999865898</v>
      </c>
    </row>
    <row r="7438" spans="1:3" s="7" customFormat="1" x14ac:dyDescent="0.2">
      <c r="A7438" s="6" t="str">
        <f>"SGK3"</f>
        <v>SGK3</v>
      </c>
      <c r="B7438" s="6">
        <v>0.15184815184815101</v>
      </c>
      <c r="C7438" s="6">
        <v>0.34066979999865898</v>
      </c>
    </row>
    <row r="7439" spans="1:3" s="7" customFormat="1" x14ac:dyDescent="0.2">
      <c r="A7439" s="6" t="str">
        <f>"COMMD10"</f>
        <v>COMMD10</v>
      </c>
      <c r="B7439" s="6">
        <v>0.15184815184815101</v>
      </c>
      <c r="C7439" s="6">
        <v>0.34066979999865898</v>
      </c>
    </row>
    <row r="7440" spans="1:3" s="7" customFormat="1" x14ac:dyDescent="0.2">
      <c r="A7440" s="6" t="str">
        <f>"PTGER3"</f>
        <v>PTGER3</v>
      </c>
      <c r="B7440" s="6">
        <v>0.15184815184815101</v>
      </c>
      <c r="C7440" s="6">
        <v>0.34066979999865898</v>
      </c>
    </row>
    <row r="7441" spans="1:3" s="7" customFormat="1" x14ac:dyDescent="0.2">
      <c r="A7441" s="6" t="str">
        <f>"PMF1"</f>
        <v>PMF1</v>
      </c>
      <c r="B7441" s="6">
        <v>0.15184815184815101</v>
      </c>
      <c r="C7441" s="6">
        <v>0.34066979999865898</v>
      </c>
    </row>
    <row r="7442" spans="1:3" s="7" customFormat="1" x14ac:dyDescent="0.2">
      <c r="A7442" s="6" t="str">
        <f>"PEX6"</f>
        <v>PEX6</v>
      </c>
      <c r="B7442" s="6">
        <v>0.15184815184815101</v>
      </c>
      <c r="C7442" s="6">
        <v>0.34066979999865898</v>
      </c>
    </row>
    <row r="7443" spans="1:3" s="7" customFormat="1" x14ac:dyDescent="0.2">
      <c r="A7443" s="6" t="str">
        <f>"TNIP2"</f>
        <v>TNIP2</v>
      </c>
      <c r="B7443" s="6">
        <v>0.15184815184815101</v>
      </c>
      <c r="C7443" s="6">
        <v>0.34066979999865898</v>
      </c>
    </row>
    <row r="7444" spans="1:3" s="7" customFormat="1" x14ac:dyDescent="0.2">
      <c r="A7444" s="6" t="str">
        <f>"TAS2R14"</f>
        <v>TAS2R14</v>
      </c>
      <c r="B7444" s="6">
        <v>0.15184815184815101</v>
      </c>
      <c r="C7444" s="6">
        <v>0.34066979999865898</v>
      </c>
    </row>
    <row r="7445" spans="1:3" s="7" customFormat="1" x14ac:dyDescent="0.2">
      <c r="A7445" s="6" t="str">
        <f>"PPP1R21"</f>
        <v>PPP1R21</v>
      </c>
      <c r="B7445" s="6">
        <v>0.15184815184815101</v>
      </c>
      <c r="C7445" s="6">
        <v>0.34066979999865898</v>
      </c>
    </row>
    <row r="7446" spans="1:3" s="7" customFormat="1" x14ac:dyDescent="0.2">
      <c r="A7446" s="6" t="str">
        <f>"LINC02613"</f>
        <v>LINC02613</v>
      </c>
      <c r="B7446" s="6">
        <v>0.15184815184815101</v>
      </c>
      <c r="C7446" s="6">
        <v>0.34066979999865898</v>
      </c>
    </row>
    <row r="7447" spans="1:3" s="7" customFormat="1" x14ac:dyDescent="0.2">
      <c r="A7447" s="6" t="str">
        <f>"ARHGAP28"</f>
        <v>ARHGAP28</v>
      </c>
      <c r="B7447" s="6">
        <v>0.15184815184815101</v>
      </c>
      <c r="C7447" s="6">
        <v>0.34066979999865898</v>
      </c>
    </row>
    <row r="7448" spans="1:3" s="7" customFormat="1" x14ac:dyDescent="0.2">
      <c r="A7448" s="6" t="str">
        <f>"NUCB2"</f>
        <v>NUCB2</v>
      </c>
      <c r="B7448" s="6">
        <v>0.15184815184815101</v>
      </c>
      <c r="C7448" s="6">
        <v>0.34066979999865898</v>
      </c>
    </row>
    <row r="7449" spans="1:3" s="7" customFormat="1" x14ac:dyDescent="0.2">
      <c r="A7449" s="6" t="str">
        <f>"DGCR8"</f>
        <v>DGCR8</v>
      </c>
      <c r="B7449" s="6">
        <v>0.15184815184815101</v>
      </c>
      <c r="C7449" s="6">
        <v>0.34066979999865898</v>
      </c>
    </row>
    <row r="7450" spans="1:3" s="7" customFormat="1" x14ac:dyDescent="0.2">
      <c r="A7450" s="6" t="str">
        <f>"CSRP1"</f>
        <v>CSRP1</v>
      </c>
      <c r="B7450" s="6">
        <v>0.15184815184815101</v>
      </c>
      <c r="C7450" s="6">
        <v>0.34066979999865898</v>
      </c>
    </row>
    <row r="7451" spans="1:3" s="7" customFormat="1" x14ac:dyDescent="0.2">
      <c r="A7451" s="6" t="str">
        <f>"PSD4"</f>
        <v>PSD4</v>
      </c>
      <c r="B7451" s="6">
        <v>0.15184815184815101</v>
      </c>
      <c r="C7451" s="6">
        <v>0.34066979999865898</v>
      </c>
    </row>
    <row r="7452" spans="1:3" s="7" customFormat="1" x14ac:dyDescent="0.2">
      <c r="A7452" s="6" t="str">
        <f>"AL358933.1"</f>
        <v>AL358933.1</v>
      </c>
      <c r="B7452" s="6">
        <v>0.152152152152152</v>
      </c>
      <c r="C7452" s="6">
        <v>0.34126020814158198</v>
      </c>
    </row>
    <row r="7453" spans="1:3" s="7" customFormat="1" x14ac:dyDescent="0.2">
      <c r="A7453" s="6" t="str">
        <f>"SP1"</f>
        <v>SP1</v>
      </c>
      <c r="B7453" s="6">
        <v>0.152152152152152</v>
      </c>
      <c r="C7453" s="6">
        <v>0.34126020814158198</v>
      </c>
    </row>
    <row r="7454" spans="1:3" s="7" customFormat="1" x14ac:dyDescent="0.2">
      <c r="A7454" s="6" t="str">
        <f>"AKR7A2"</f>
        <v>AKR7A2</v>
      </c>
      <c r="B7454" s="6">
        <v>0.152847152847152</v>
      </c>
      <c r="C7454" s="6">
        <v>0.342130348558633</v>
      </c>
    </row>
    <row r="7455" spans="1:3" s="7" customFormat="1" x14ac:dyDescent="0.2">
      <c r="A7455" s="6" t="str">
        <f>"AC099661.1"</f>
        <v>AC099661.1</v>
      </c>
      <c r="B7455" s="6">
        <v>0.15283400809716599</v>
      </c>
      <c r="C7455" s="6">
        <v>0.342130348558633</v>
      </c>
    </row>
    <row r="7456" spans="1:3" s="7" customFormat="1" x14ac:dyDescent="0.2">
      <c r="A7456" s="6" t="str">
        <f>"DDHD2"</f>
        <v>DDHD2</v>
      </c>
      <c r="B7456" s="6">
        <v>0.152847152847152</v>
      </c>
      <c r="C7456" s="6">
        <v>0.342130348558633</v>
      </c>
    </row>
    <row r="7457" spans="1:3" s="7" customFormat="1" x14ac:dyDescent="0.2">
      <c r="A7457" s="6" t="str">
        <f>"GOLGA6L5P"</f>
        <v>GOLGA6L5P</v>
      </c>
      <c r="B7457" s="6">
        <v>0.152847152847152</v>
      </c>
      <c r="C7457" s="6">
        <v>0.342130348558633</v>
      </c>
    </row>
    <row r="7458" spans="1:3" s="7" customFormat="1" x14ac:dyDescent="0.2">
      <c r="A7458" s="6" t="str">
        <f>"STAT2"</f>
        <v>STAT2</v>
      </c>
      <c r="B7458" s="6">
        <v>0.152847152847152</v>
      </c>
      <c r="C7458" s="6">
        <v>0.342130348558633</v>
      </c>
    </row>
    <row r="7459" spans="1:3" s="7" customFormat="1" x14ac:dyDescent="0.2">
      <c r="A7459" s="6" t="str">
        <f>"TRIM5"</f>
        <v>TRIM5</v>
      </c>
      <c r="B7459" s="6">
        <v>0.152847152847152</v>
      </c>
      <c r="C7459" s="6">
        <v>0.342130348558633</v>
      </c>
    </row>
    <row r="7460" spans="1:3" s="7" customFormat="1" x14ac:dyDescent="0.2">
      <c r="A7460" s="6" t="str">
        <f>"MFSD9"</f>
        <v>MFSD9</v>
      </c>
      <c r="B7460" s="6">
        <v>0.152847152847152</v>
      </c>
      <c r="C7460" s="6">
        <v>0.342130348558633</v>
      </c>
    </row>
    <row r="7461" spans="1:3" s="7" customFormat="1" x14ac:dyDescent="0.2">
      <c r="A7461" s="6" t="str">
        <f>"SCN1A-AS1"</f>
        <v>SCN1A-AS1</v>
      </c>
      <c r="B7461" s="6">
        <v>0.15261044176706801</v>
      </c>
      <c r="C7461" s="6">
        <v>0.342130348558633</v>
      </c>
    </row>
    <row r="7462" spans="1:3" s="7" customFormat="1" x14ac:dyDescent="0.2">
      <c r="A7462" s="6" t="str">
        <f>"ARMH4"</f>
        <v>ARMH4</v>
      </c>
      <c r="B7462" s="6">
        <v>0.152847152847152</v>
      </c>
      <c r="C7462" s="6">
        <v>0.342130348558633</v>
      </c>
    </row>
    <row r="7463" spans="1:3" s="7" customFormat="1" x14ac:dyDescent="0.2">
      <c r="A7463" s="6" t="str">
        <f>"SCRIB"</f>
        <v>SCRIB</v>
      </c>
      <c r="B7463" s="6">
        <v>0.152847152847152</v>
      </c>
      <c r="C7463" s="6">
        <v>0.342130348558633</v>
      </c>
    </row>
    <row r="7464" spans="1:3" s="7" customFormat="1" x14ac:dyDescent="0.2">
      <c r="A7464" s="6" t="str">
        <f>"MORN1"</f>
        <v>MORN1</v>
      </c>
      <c r="B7464" s="6">
        <v>0.152847152847152</v>
      </c>
      <c r="C7464" s="6">
        <v>0.342130348558633</v>
      </c>
    </row>
    <row r="7465" spans="1:3" s="7" customFormat="1" x14ac:dyDescent="0.2">
      <c r="A7465" s="6" t="str">
        <f>"DCTN1"</f>
        <v>DCTN1</v>
      </c>
      <c r="B7465" s="6">
        <v>0.152847152847152</v>
      </c>
      <c r="C7465" s="6">
        <v>0.342130348558633</v>
      </c>
    </row>
    <row r="7466" spans="1:3" s="7" customFormat="1" x14ac:dyDescent="0.2">
      <c r="A7466" s="6" t="str">
        <f>"LINC01819"</f>
        <v>LINC01819</v>
      </c>
      <c r="B7466" s="6">
        <v>0.152847152847152</v>
      </c>
      <c r="C7466" s="6">
        <v>0.342130348558633</v>
      </c>
    </row>
    <row r="7467" spans="1:3" s="7" customFormat="1" x14ac:dyDescent="0.2">
      <c r="A7467" s="6" t="str">
        <f>"IL5RA"</f>
        <v>IL5RA</v>
      </c>
      <c r="B7467" s="6">
        <v>0.152847152847152</v>
      </c>
      <c r="C7467" s="6">
        <v>0.342130348558633</v>
      </c>
    </row>
    <row r="7468" spans="1:3" s="7" customFormat="1" x14ac:dyDescent="0.2">
      <c r="A7468" s="6" t="str">
        <f>"HDAC6"</f>
        <v>HDAC6</v>
      </c>
      <c r="B7468" s="6">
        <v>0.152847152847152</v>
      </c>
      <c r="C7468" s="6">
        <v>0.342130348558633</v>
      </c>
    </row>
    <row r="7469" spans="1:3" s="7" customFormat="1" x14ac:dyDescent="0.2">
      <c r="A7469" s="6" t="str">
        <f>"SBSPON"</f>
        <v>SBSPON</v>
      </c>
      <c r="B7469" s="6">
        <v>0.15290519877675801</v>
      </c>
      <c r="C7469" s="6">
        <v>0.34221444728906503</v>
      </c>
    </row>
    <row r="7470" spans="1:3" s="7" customFormat="1" x14ac:dyDescent="0.2">
      <c r="A7470" s="6" t="str">
        <f>"HEY1"</f>
        <v>HEY1</v>
      </c>
      <c r="B7470" s="6">
        <v>0.153</v>
      </c>
      <c r="C7470" s="6">
        <v>0.34233493975903601</v>
      </c>
    </row>
    <row r="7471" spans="1:3" s="7" customFormat="1" x14ac:dyDescent="0.2">
      <c r="A7471" s="6" t="str">
        <f>"AVL9"</f>
        <v>AVL9</v>
      </c>
      <c r="B7471" s="6">
        <v>0.153</v>
      </c>
      <c r="C7471" s="6">
        <v>0.34233493975903601</v>
      </c>
    </row>
    <row r="7472" spans="1:3" s="7" customFormat="1" x14ac:dyDescent="0.2">
      <c r="A7472" s="6" t="str">
        <f>"FAM221A"</f>
        <v>FAM221A</v>
      </c>
      <c r="B7472" s="6">
        <v>0.15384615384615299</v>
      </c>
      <c r="C7472" s="6">
        <v>0.34285128205128201</v>
      </c>
    </row>
    <row r="7473" spans="1:3" s="7" customFormat="1" x14ac:dyDescent="0.2">
      <c r="A7473" s="6" t="str">
        <f>"DDN"</f>
        <v>DDN</v>
      </c>
      <c r="B7473" s="6">
        <v>0.15384615384615299</v>
      </c>
      <c r="C7473" s="6">
        <v>0.34285128205128201</v>
      </c>
    </row>
    <row r="7474" spans="1:3" s="7" customFormat="1" x14ac:dyDescent="0.2">
      <c r="A7474" s="6" t="str">
        <f>"CIAPIN1"</f>
        <v>CIAPIN1</v>
      </c>
      <c r="B7474" s="6">
        <v>0.15384615384615299</v>
      </c>
      <c r="C7474" s="6">
        <v>0.34285128205128201</v>
      </c>
    </row>
    <row r="7475" spans="1:3" s="7" customFormat="1" x14ac:dyDescent="0.2">
      <c r="A7475" s="6" t="str">
        <f>"ABCD2"</f>
        <v>ABCD2</v>
      </c>
      <c r="B7475" s="6">
        <v>0.15384615384615299</v>
      </c>
      <c r="C7475" s="6">
        <v>0.34285128205128201</v>
      </c>
    </row>
    <row r="7476" spans="1:3" s="7" customFormat="1" x14ac:dyDescent="0.2">
      <c r="A7476" s="6" t="str">
        <f>"DHRS7"</f>
        <v>DHRS7</v>
      </c>
      <c r="B7476" s="6">
        <v>0.15384615384615299</v>
      </c>
      <c r="C7476" s="6">
        <v>0.34285128205128201</v>
      </c>
    </row>
    <row r="7477" spans="1:3" s="7" customFormat="1" x14ac:dyDescent="0.2">
      <c r="A7477" s="6" t="str">
        <f>"CLEC3B"</f>
        <v>CLEC3B</v>
      </c>
      <c r="B7477" s="6">
        <v>0.15384615384615299</v>
      </c>
      <c r="C7477" s="6">
        <v>0.34285128205128201</v>
      </c>
    </row>
    <row r="7478" spans="1:3" s="7" customFormat="1" x14ac:dyDescent="0.2">
      <c r="A7478" s="6" t="str">
        <f>"ZNF549"</f>
        <v>ZNF549</v>
      </c>
      <c r="B7478" s="6">
        <v>0.15384615384615299</v>
      </c>
      <c r="C7478" s="6">
        <v>0.34285128205128201</v>
      </c>
    </row>
    <row r="7479" spans="1:3" s="7" customFormat="1" x14ac:dyDescent="0.2">
      <c r="A7479" s="6" t="str">
        <f>"SIGLEC6"</f>
        <v>SIGLEC6</v>
      </c>
      <c r="B7479" s="6">
        <v>0.15384615384615299</v>
      </c>
      <c r="C7479" s="6">
        <v>0.34285128205128201</v>
      </c>
    </row>
    <row r="7480" spans="1:3" s="7" customFormat="1" x14ac:dyDescent="0.2">
      <c r="A7480" s="6" t="str">
        <f>"SH3GL3"</f>
        <v>SH3GL3</v>
      </c>
      <c r="B7480" s="6">
        <v>0.15384615384615299</v>
      </c>
      <c r="C7480" s="6">
        <v>0.34285128205128201</v>
      </c>
    </row>
    <row r="7481" spans="1:3" s="7" customFormat="1" x14ac:dyDescent="0.2">
      <c r="A7481" s="6" t="str">
        <f>"RGS17P1"</f>
        <v>RGS17P1</v>
      </c>
      <c r="B7481" s="6">
        <v>0.15384615384615299</v>
      </c>
      <c r="C7481" s="6">
        <v>0.34285128205128201</v>
      </c>
    </row>
    <row r="7482" spans="1:3" s="7" customFormat="1" x14ac:dyDescent="0.2">
      <c r="A7482" s="6" t="str">
        <f>"LRRC26"</f>
        <v>LRRC26</v>
      </c>
      <c r="B7482" s="6">
        <v>0.15384615384615299</v>
      </c>
      <c r="C7482" s="6">
        <v>0.34285128205128201</v>
      </c>
    </row>
    <row r="7483" spans="1:3" s="7" customFormat="1" x14ac:dyDescent="0.2">
      <c r="A7483" s="6" t="str">
        <f>"GPKOW"</f>
        <v>GPKOW</v>
      </c>
      <c r="B7483" s="6">
        <v>0.15384615384615299</v>
      </c>
      <c r="C7483" s="6">
        <v>0.34285128205128201</v>
      </c>
    </row>
    <row r="7484" spans="1:3" s="7" customFormat="1" x14ac:dyDescent="0.2">
      <c r="A7484" s="6" t="str">
        <f>"RPF2"</f>
        <v>RPF2</v>
      </c>
      <c r="B7484" s="6">
        <v>0.15384615384615299</v>
      </c>
      <c r="C7484" s="6">
        <v>0.34285128205128201</v>
      </c>
    </row>
    <row r="7485" spans="1:3" s="7" customFormat="1" x14ac:dyDescent="0.2">
      <c r="A7485" s="6" t="str">
        <f>"AP001527.2"</f>
        <v>AP001527.2</v>
      </c>
      <c r="B7485" s="6">
        <v>0.153306613226452</v>
      </c>
      <c r="C7485" s="6">
        <v>0.34285128205128201</v>
      </c>
    </row>
    <row r="7486" spans="1:3" s="7" customFormat="1" x14ac:dyDescent="0.2">
      <c r="A7486" s="6" t="str">
        <f>"ITPRIPL1"</f>
        <v>ITPRIPL1</v>
      </c>
      <c r="B7486" s="6">
        <v>0.15384615384615299</v>
      </c>
      <c r="C7486" s="6">
        <v>0.34285128205128201</v>
      </c>
    </row>
    <row r="7487" spans="1:3" s="7" customFormat="1" x14ac:dyDescent="0.2">
      <c r="A7487" s="6" t="str">
        <f>"FUT6"</f>
        <v>FUT6</v>
      </c>
      <c r="B7487" s="6">
        <v>0.15384615384615299</v>
      </c>
      <c r="C7487" s="6">
        <v>0.34285128205128201</v>
      </c>
    </row>
    <row r="7488" spans="1:3" s="7" customFormat="1" x14ac:dyDescent="0.2">
      <c r="A7488" s="6" t="str">
        <f>"FAM174A"</f>
        <v>FAM174A</v>
      </c>
      <c r="B7488" s="6">
        <v>0.15384615384615299</v>
      </c>
      <c r="C7488" s="6">
        <v>0.34285128205128201</v>
      </c>
    </row>
    <row r="7489" spans="1:3" s="7" customFormat="1" x14ac:dyDescent="0.2">
      <c r="A7489" s="6" t="str">
        <f>"SH2D1A"</f>
        <v>SH2D1A</v>
      </c>
      <c r="B7489" s="6">
        <v>0.15384615384615299</v>
      </c>
      <c r="C7489" s="6">
        <v>0.34285128205128201</v>
      </c>
    </row>
    <row r="7490" spans="1:3" s="7" customFormat="1" x14ac:dyDescent="0.2">
      <c r="A7490" s="6" t="str">
        <f>"TWNK"</f>
        <v>TWNK</v>
      </c>
      <c r="B7490" s="6">
        <v>0.15384615384615299</v>
      </c>
      <c r="C7490" s="6">
        <v>0.34285128205128201</v>
      </c>
    </row>
    <row r="7491" spans="1:3" s="7" customFormat="1" x14ac:dyDescent="0.2">
      <c r="A7491" s="6" t="str">
        <f>"PKHD1L1"</f>
        <v>PKHD1L1</v>
      </c>
      <c r="B7491" s="6">
        <v>0.15384615384615299</v>
      </c>
      <c r="C7491" s="6">
        <v>0.34285128205128201</v>
      </c>
    </row>
    <row r="7492" spans="1:3" s="7" customFormat="1" x14ac:dyDescent="0.2">
      <c r="A7492" s="6" t="str">
        <f>"GSN"</f>
        <v>GSN</v>
      </c>
      <c r="B7492" s="6">
        <v>0.15384615384615299</v>
      </c>
      <c r="C7492" s="6">
        <v>0.34285128205128201</v>
      </c>
    </row>
    <row r="7493" spans="1:3" s="7" customFormat="1" x14ac:dyDescent="0.2">
      <c r="A7493" s="6" t="str">
        <f>"NIPBL"</f>
        <v>NIPBL</v>
      </c>
      <c r="B7493" s="6">
        <v>0.15384615384615299</v>
      </c>
      <c r="C7493" s="6">
        <v>0.34285128205128201</v>
      </c>
    </row>
    <row r="7494" spans="1:3" s="7" customFormat="1" x14ac:dyDescent="0.2">
      <c r="A7494" s="6" t="str">
        <f>"ERLIN1"</f>
        <v>ERLIN1</v>
      </c>
      <c r="B7494" s="6">
        <v>0.15384615384615299</v>
      </c>
      <c r="C7494" s="6">
        <v>0.34285128205128201</v>
      </c>
    </row>
    <row r="7495" spans="1:3" s="7" customFormat="1" x14ac:dyDescent="0.2">
      <c r="A7495" s="6" t="str">
        <f>"IRAK1"</f>
        <v>IRAK1</v>
      </c>
      <c r="B7495" s="6">
        <v>0.15384615384615299</v>
      </c>
      <c r="C7495" s="6">
        <v>0.34285128205128201</v>
      </c>
    </row>
    <row r="7496" spans="1:3" s="7" customFormat="1" x14ac:dyDescent="0.2">
      <c r="A7496" s="6" t="str">
        <f>"CFAP65"</f>
        <v>CFAP65</v>
      </c>
      <c r="B7496" s="6">
        <v>0.15384615384615299</v>
      </c>
      <c r="C7496" s="6">
        <v>0.34285128205128201</v>
      </c>
    </row>
    <row r="7497" spans="1:3" s="7" customFormat="1" x14ac:dyDescent="0.2">
      <c r="A7497" s="6" t="str">
        <f>"EPGN"</f>
        <v>EPGN</v>
      </c>
      <c r="B7497" s="6">
        <v>0.15384615384615299</v>
      </c>
      <c r="C7497" s="6">
        <v>0.34285128205128201</v>
      </c>
    </row>
    <row r="7498" spans="1:3" s="7" customFormat="1" x14ac:dyDescent="0.2">
      <c r="A7498" s="6" t="str">
        <f>"RSPH3"</f>
        <v>RSPH3</v>
      </c>
      <c r="B7498" s="6">
        <v>0.15384615384615299</v>
      </c>
      <c r="C7498" s="6">
        <v>0.34285128205128201</v>
      </c>
    </row>
    <row r="7499" spans="1:3" s="7" customFormat="1" x14ac:dyDescent="0.2">
      <c r="A7499" s="6" t="str">
        <f>"SNX18P3"</f>
        <v>SNX18P3</v>
      </c>
      <c r="B7499" s="6">
        <v>0.15384615384615299</v>
      </c>
      <c r="C7499" s="6">
        <v>0.34285128205128201</v>
      </c>
    </row>
    <row r="7500" spans="1:3" s="7" customFormat="1" x14ac:dyDescent="0.2">
      <c r="A7500" s="6" t="str">
        <f>"PGM5"</f>
        <v>PGM5</v>
      </c>
      <c r="B7500" s="6">
        <v>0.15384615384615299</v>
      </c>
      <c r="C7500" s="6">
        <v>0.34285128205128201</v>
      </c>
    </row>
    <row r="7501" spans="1:3" s="7" customFormat="1" x14ac:dyDescent="0.2">
      <c r="A7501" s="6" t="str">
        <f>"KANSL1L"</f>
        <v>KANSL1L</v>
      </c>
      <c r="B7501" s="6">
        <v>0.15384615384615299</v>
      </c>
      <c r="C7501" s="6">
        <v>0.34285128205128201</v>
      </c>
    </row>
    <row r="7502" spans="1:3" s="7" customFormat="1" x14ac:dyDescent="0.2">
      <c r="A7502" s="6" t="str">
        <f>"KIAA1671-AS1"</f>
        <v>KIAA1671-AS1</v>
      </c>
      <c r="B7502" s="6">
        <v>0.153924566768603</v>
      </c>
      <c r="C7502" s="6">
        <v>0.34298029715643702</v>
      </c>
    </row>
    <row r="7503" spans="1:3" s="7" customFormat="1" x14ac:dyDescent="0.2">
      <c r="A7503" s="6" t="str">
        <f>"PVRIG2P"</f>
        <v>PVRIG2P</v>
      </c>
      <c r="B7503" s="6">
        <v>0.154</v>
      </c>
      <c r="C7503" s="6">
        <v>0.34305691056910498</v>
      </c>
    </row>
    <row r="7504" spans="1:3" s="7" customFormat="1" x14ac:dyDescent="0.2">
      <c r="A7504" s="6" t="str">
        <f>"ABCC6P1"</f>
        <v>ABCC6P1</v>
      </c>
      <c r="B7504" s="6">
        <v>0.154</v>
      </c>
      <c r="C7504" s="6">
        <v>0.34305691056910498</v>
      </c>
    </row>
    <row r="7505" spans="1:3" s="7" customFormat="1" x14ac:dyDescent="0.2">
      <c r="A7505" s="6" t="str">
        <f>"SERINC4"</f>
        <v>SERINC4</v>
      </c>
      <c r="B7505" s="6">
        <v>0.15415415415415401</v>
      </c>
      <c r="C7505" s="6">
        <v>0.34335454857842901</v>
      </c>
    </row>
    <row r="7506" spans="1:3" s="7" customFormat="1" x14ac:dyDescent="0.2">
      <c r="A7506" s="6" t="str">
        <f>"AC092614.1"</f>
        <v>AC092614.1</v>
      </c>
      <c r="B7506" s="6">
        <v>0.15423387096774099</v>
      </c>
      <c r="C7506" s="6">
        <v>0.34348633169284898</v>
      </c>
    </row>
    <row r="7507" spans="1:3" s="7" customFormat="1" x14ac:dyDescent="0.2">
      <c r="A7507" s="6" t="str">
        <f>"UTY"</f>
        <v>UTY</v>
      </c>
      <c r="B7507" s="6">
        <v>0.15469613259668499</v>
      </c>
      <c r="C7507" s="6">
        <v>0.34352029706423098</v>
      </c>
    </row>
    <row r="7508" spans="1:3" s="7" customFormat="1" x14ac:dyDescent="0.2">
      <c r="A7508" s="6" t="str">
        <f>"TMEM91"</f>
        <v>TMEM91</v>
      </c>
      <c r="B7508" s="6">
        <v>0.15484515484515399</v>
      </c>
      <c r="C7508" s="6">
        <v>0.34352029706423098</v>
      </c>
    </row>
    <row r="7509" spans="1:3" s="7" customFormat="1" x14ac:dyDescent="0.2">
      <c r="A7509" s="6" t="str">
        <f>"BET1L"</f>
        <v>BET1L</v>
      </c>
      <c r="B7509" s="6">
        <v>0.15484515484515399</v>
      </c>
      <c r="C7509" s="6">
        <v>0.34352029706423098</v>
      </c>
    </row>
    <row r="7510" spans="1:3" s="7" customFormat="1" x14ac:dyDescent="0.2">
      <c r="A7510" s="6" t="str">
        <f>"SIX3-AS1"</f>
        <v>SIX3-AS1</v>
      </c>
      <c r="B7510" s="6">
        <v>0.15484515484515399</v>
      </c>
      <c r="C7510" s="6">
        <v>0.34352029706423098</v>
      </c>
    </row>
    <row r="7511" spans="1:3" s="7" customFormat="1" x14ac:dyDescent="0.2">
      <c r="A7511" s="6" t="str">
        <f>"AC007998.2"</f>
        <v>AC007998.2</v>
      </c>
      <c r="B7511" s="6">
        <v>0.15484515484515399</v>
      </c>
      <c r="C7511" s="6">
        <v>0.34352029706423098</v>
      </c>
    </row>
    <row r="7512" spans="1:3" s="7" customFormat="1" x14ac:dyDescent="0.2">
      <c r="A7512" s="6" t="str">
        <f>"MAP3K3"</f>
        <v>MAP3K3</v>
      </c>
      <c r="B7512" s="6">
        <v>0.15484515484515399</v>
      </c>
      <c r="C7512" s="6">
        <v>0.34352029706423098</v>
      </c>
    </row>
    <row r="7513" spans="1:3" s="7" customFormat="1" x14ac:dyDescent="0.2">
      <c r="A7513" s="6" t="str">
        <f>"RPS19BP1"</f>
        <v>RPS19BP1</v>
      </c>
      <c r="B7513" s="6">
        <v>0.15484515484515399</v>
      </c>
      <c r="C7513" s="6">
        <v>0.34352029706423098</v>
      </c>
    </row>
    <row r="7514" spans="1:3" s="7" customFormat="1" x14ac:dyDescent="0.2">
      <c r="A7514" s="6" t="str">
        <f>"POC1B-GALNT4"</f>
        <v>POC1B-GALNT4</v>
      </c>
      <c r="B7514" s="6">
        <v>0.15484515484515399</v>
      </c>
      <c r="C7514" s="6">
        <v>0.34352029706423098</v>
      </c>
    </row>
    <row r="7515" spans="1:3" s="7" customFormat="1" x14ac:dyDescent="0.2">
      <c r="A7515" s="6" t="str">
        <f>"TAB3"</f>
        <v>TAB3</v>
      </c>
      <c r="B7515" s="6">
        <v>0.15484515484515399</v>
      </c>
      <c r="C7515" s="6">
        <v>0.34352029706423098</v>
      </c>
    </row>
    <row r="7516" spans="1:3" s="7" customFormat="1" x14ac:dyDescent="0.2">
      <c r="A7516" s="6" t="str">
        <f>"AC010655.4"</f>
        <v>AC010655.4</v>
      </c>
      <c r="B7516" s="6">
        <v>0.15484515484515399</v>
      </c>
      <c r="C7516" s="6">
        <v>0.34352029706423098</v>
      </c>
    </row>
    <row r="7517" spans="1:3" s="7" customFormat="1" x14ac:dyDescent="0.2">
      <c r="A7517" s="6" t="str">
        <f>"NIFK"</f>
        <v>NIFK</v>
      </c>
      <c r="B7517" s="6">
        <v>0.15484515484515399</v>
      </c>
      <c r="C7517" s="6">
        <v>0.34352029706423098</v>
      </c>
    </row>
    <row r="7518" spans="1:3" s="7" customFormat="1" x14ac:dyDescent="0.2">
      <c r="A7518" s="6" t="str">
        <f>"PEX16"</f>
        <v>PEX16</v>
      </c>
      <c r="B7518" s="6">
        <v>0.15484515484515399</v>
      </c>
      <c r="C7518" s="6">
        <v>0.34352029706423098</v>
      </c>
    </row>
    <row r="7519" spans="1:3" s="7" customFormat="1" x14ac:dyDescent="0.2">
      <c r="A7519" s="6" t="str">
        <f>"EVI5"</f>
        <v>EVI5</v>
      </c>
      <c r="B7519" s="6">
        <v>0.15484515484515399</v>
      </c>
      <c r="C7519" s="6">
        <v>0.34352029706423098</v>
      </c>
    </row>
    <row r="7520" spans="1:3" s="7" customFormat="1" x14ac:dyDescent="0.2">
      <c r="A7520" s="6" t="str">
        <f>"NKAPP1"</f>
        <v>NKAPP1</v>
      </c>
      <c r="B7520" s="6">
        <v>0.15484515484515399</v>
      </c>
      <c r="C7520" s="6">
        <v>0.34352029706423098</v>
      </c>
    </row>
    <row r="7521" spans="1:3" s="7" customFormat="1" x14ac:dyDescent="0.2">
      <c r="A7521" s="6" t="str">
        <f>"NDUFA1"</f>
        <v>NDUFA1</v>
      </c>
      <c r="B7521" s="6">
        <v>0.15484515484515399</v>
      </c>
      <c r="C7521" s="6">
        <v>0.34352029706423098</v>
      </c>
    </row>
    <row r="7522" spans="1:3" s="7" customFormat="1" x14ac:dyDescent="0.2">
      <c r="A7522" s="6" t="str">
        <f>"AC017002.3"</f>
        <v>AC017002.3</v>
      </c>
      <c r="B7522" s="6">
        <v>0.15484515484515399</v>
      </c>
      <c r="C7522" s="6">
        <v>0.34352029706423098</v>
      </c>
    </row>
    <row r="7523" spans="1:3" s="7" customFormat="1" x14ac:dyDescent="0.2">
      <c r="A7523" s="6" t="str">
        <f>"NUDT2"</f>
        <v>NUDT2</v>
      </c>
      <c r="B7523" s="6">
        <v>0.15484515484515399</v>
      </c>
      <c r="C7523" s="6">
        <v>0.34352029706423098</v>
      </c>
    </row>
    <row r="7524" spans="1:3" s="7" customFormat="1" x14ac:dyDescent="0.2">
      <c r="A7524" s="6" t="str">
        <f>"LURAP1"</f>
        <v>LURAP1</v>
      </c>
      <c r="B7524" s="6">
        <v>0.15484515484515399</v>
      </c>
      <c r="C7524" s="6">
        <v>0.34352029706423098</v>
      </c>
    </row>
    <row r="7525" spans="1:3" s="7" customFormat="1" x14ac:dyDescent="0.2">
      <c r="A7525" s="6" t="str">
        <f>"AC073046.1"</f>
        <v>AC073046.1</v>
      </c>
      <c r="B7525" s="6">
        <v>0.154463390170511</v>
      </c>
      <c r="C7525" s="6">
        <v>0.34352029706423098</v>
      </c>
    </row>
    <row r="7526" spans="1:3" s="7" customFormat="1" x14ac:dyDescent="0.2">
      <c r="A7526" s="6" t="str">
        <f>"RHOXF1-AS1"</f>
        <v>RHOXF1-AS1</v>
      </c>
      <c r="B7526" s="6">
        <v>0.15484515484515399</v>
      </c>
      <c r="C7526" s="6">
        <v>0.34352029706423098</v>
      </c>
    </row>
    <row r="7527" spans="1:3" s="7" customFormat="1" x14ac:dyDescent="0.2">
      <c r="A7527" s="6" t="str">
        <f>"C5orf15"</f>
        <v>C5orf15</v>
      </c>
      <c r="B7527" s="6">
        <v>0.15484515484515399</v>
      </c>
      <c r="C7527" s="6">
        <v>0.34352029706423098</v>
      </c>
    </row>
    <row r="7528" spans="1:3" s="7" customFormat="1" x14ac:dyDescent="0.2">
      <c r="A7528" s="6" t="str">
        <f>"RIOK1"</f>
        <v>RIOK1</v>
      </c>
      <c r="B7528" s="6">
        <v>0.15484515484515399</v>
      </c>
      <c r="C7528" s="6">
        <v>0.34352029706423098</v>
      </c>
    </row>
    <row r="7529" spans="1:3" s="7" customFormat="1" x14ac:dyDescent="0.2">
      <c r="A7529" s="6" t="str">
        <f>"TPPP3"</f>
        <v>TPPP3</v>
      </c>
      <c r="B7529" s="6">
        <v>0.15484515484515399</v>
      </c>
      <c r="C7529" s="6">
        <v>0.34352029706423098</v>
      </c>
    </row>
    <row r="7530" spans="1:3" s="7" customFormat="1" x14ac:dyDescent="0.2">
      <c r="A7530" s="6" t="str">
        <f>"AL390208.1"</f>
        <v>AL390208.1</v>
      </c>
      <c r="B7530" s="6">
        <v>0.15484515484515399</v>
      </c>
      <c r="C7530" s="6">
        <v>0.34352029706423098</v>
      </c>
    </row>
    <row r="7531" spans="1:3" s="7" customFormat="1" x14ac:dyDescent="0.2">
      <c r="A7531" s="6" t="str">
        <f>"PCAT1"</f>
        <v>PCAT1</v>
      </c>
      <c r="B7531" s="6">
        <v>0.15484515484515399</v>
      </c>
      <c r="C7531" s="6">
        <v>0.34352029706423098</v>
      </c>
    </row>
    <row r="7532" spans="1:3" s="7" customFormat="1" x14ac:dyDescent="0.2">
      <c r="A7532" s="6" t="str">
        <f>"FDX1"</f>
        <v>FDX1</v>
      </c>
      <c r="B7532" s="6">
        <v>0.15484515484515399</v>
      </c>
      <c r="C7532" s="6">
        <v>0.34352029706423098</v>
      </c>
    </row>
    <row r="7533" spans="1:3" s="7" customFormat="1" x14ac:dyDescent="0.2">
      <c r="A7533" s="6" t="str">
        <f>"ARHGAP39"</f>
        <v>ARHGAP39</v>
      </c>
      <c r="B7533" s="6">
        <v>0.15484515484515399</v>
      </c>
      <c r="C7533" s="6">
        <v>0.34352029706423098</v>
      </c>
    </row>
    <row r="7534" spans="1:3" s="7" customFormat="1" x14ac:dyDescent="0.2">
      <c r="A7534" s="6" t="str">
        <f>"OSTM1"</f>
        <v>OSTM1</v>
      </c>
      <c r="B7534" s="6">
        <v>0.15484515484515399</v>
      </c>
      <c r="C7534" s="6">
        <v>0.34352029706423098</v>
      </c>
    </row>
    <row r="7535" spans="1:3" s="7" customFormat="1" x14ac:dyDescent="0.2">
      <c r="A7535" s="6" t="str">
        <f>"NUP188"</f>
        <v>NUP188</v>
      </c>
      <c r="B7535" s="6">
        <v>0.15484515484515399</v>
      </c>
      <c r="C7535" s="6">
        <v>0.34352029706423098</v>
      </c>
    </row>
    <row r="7536" spans="1:3" s="7" customFormat="1" x14ac:dyDescent="0.2">
      <c r="A7536" s="6" t="str">
        <f>"TRAF3"</f>
        <v>TRAF3</v>
      </c>
      <c r="B7536" s="6">
        <v>0.155</v>
      </c>
      <c r="C7536" s="6">
        <v>0.34377255838641102</v>
      </c>
    </row>
    <row r="7537" spans="1:3" s="7" customFormat="1" x14ac:dyDescent="0.2">
      <c r="A7537" s="6" t="str">
        <f>"FAM186B"</f>
        <v>FAM186B</v>
      </c>
      <c r="B7537" s="6">
        <v>0.155</v>
      </c>
      <c r="C7537" s="6">
        <v>0.34377255838641102</v>
      </c>
    </row>
    <row r="7538" spans="1:3" s="7" customFormat="1" x14ac:dyDescent="0.2">
      <c r="A7538" s="6" t="str">
        <f>"ACOT4"</f>
        <v>ACOT4</v>
      </c>
      <c r="B7538" s="6">
        <v>0.15584415584415501</v>
      </c>
      <c r="C7538" s="6">
        <v>0.34454751597608702</v>
      </c>
    </row>
    <row r="7539" spans="1:3" s="7" customFormat="1" x14ac:dyDescent="0.2">
      <c r="A7539" s="6" t="str">
        <f>"MAP2K4"</f>
        <v>MAP2K4</v>
      </c>
      <c r="B7539" s="6">
        <v>0.15584415584415501</v>
      </c>
      <c r="C7539" s="6">
        <v>0.34454751597608702</v>
      </c>
    </row>
    <row r="7540" spans="1:3" s="7" customFormat="1" x14ac:dyDescent="0.2">
      <c r="A7540" s="6" t="str">
        <f>"AC026412.4"</f>
        <v>AC026412.4</v>
      </c>
      <c r="B7540" s="6">
        <v>0.15584415584415501</v>
      </c>
      <c r="C7540" s="6">
        <v>0.34454751597608702</v>
      </c>
    </row>
    <row r="7541" spans="1:3" s="7" customFormat="1" x14ac:dyDescent="0.2">
      <c r="A7541" s="6" t="str">
        <f>"WDR82"</f>
        <v>WDR82</v>
      </c>
      <c r="B7541" s="6">
        <v>0.15584415584415501</v>
      </c>
      <c r="C7541" s="6">
        <v>0.34454751597608702</v>
      </c>
    </row>
    <row r="7542" spans="1:3" s="7" customFormat="1" x14ac:dyDescent="0.2">
      <c r="A7542" s="6" t="str">
        <f>"RGMB"</f>
        <v>RGMB</v>
      </c>
      <c r="B7542" s="6">
        <v>0.15584415584415501</v>
      </c>
      <c r="C7542" s="6">
        <v>0.34454751597608702</v>
      </c>
    </row>
    <row r="7543" spans="1:3" s="7" customFormat="1" x14ac:dyDescent="0.2">
      <c r="A7543" s="6" t="str">
        <f>"C5orf52"</f>
        <v>C5orf52</v>
      </c>
      <c r="B7543" s="6">
        <v>0.15584415584415501</v>
      </c>
      <c r="C7543" s="6">
        <v>0.34454751597608702</v>
      </c>
    </row>
    <row r="7544" spans="1:3" s="7" customFormat="1" x14ac:dyDescent="0.2">
      <c r="A7544" s="6" t="str">
        <f>"ATP6V1G2"</f>
        <v>ATP6V1G2</v>
      </c>
      <c r="B7544" s="6">
        <v>0.15584415584415501</v>
      </c>
      <c r="C7544" s="6">
        <v>0.34454751597608702</v>
      </c>
    </row>
    <row r="7545" spans="1:3" s="7" customFormat="1" x14ac:dyDescent="0.2">
      <c r="A7545" s="6" t="str">
        <f>"CCDC14"</f>
        <v>CCDC14</v>
      </c>
      <c r="B7545" s="6">
        <v>0.15584415584415501</v>
      </c>
      <c r="C7545" s="6">
        <v>0.34454751597608702</v>
      </c>
    </row>
    <row r="7546" spans="1:3" s="7" customFormat="1" x14ac:dyDescent="0.2">
      <c r="A7546" s="6" t="str">
        <f>"MOCS1"</f>
        <v>MOCS1</v>
      </c>
      <c r="B7546" s="6">
        <v>0.15584415584415501</v>
      </c>
      <c r="C7546" s="6">
        <v>0.34454751597608702</v>
      </c>
    </row>
    <row r="7547" spans="1:3" s="7" customFormat="1" x14ac:dyDescent="0.2">
      <c r="A7547" s="6" t="str">
        <f>"RORA-AS1"</f>
        <v>RORA-AS1</v>
      </c>
      <c r="B7547" s="6">
        <v>0.15584415584415501</v>
      </c>
      <c r="C7547" s="6">
        <v>0.34454751597608702</v>
      </c>
    </row>
    <row r="7548" spans="1:3" s="7" customFormat="1" x14ac:dyDescent="0.2">
      <c r="A7548" s="6" t="str">
        <f>"PTPRN2-AS1"</f>
        <v>PTPRN2-AS1</v>
      </c>
      <c r="B7548" s="6">
        <v>0.15584415584415501</v>
      </c>
      <c r="C7548" s="6">
        <v>0.34454751597608702</v>
      </c>
    </row>
    <row r="7549" spans="1:3" s="7" customFormat="1" x14ac:dyDescent="0.2">
      <c r="A7549" s="6" t="str">
        <f>"AL359715.3"</f>
        <v>AL359715.3</v>
      </c>
      <c r="B7549" s="6">
        <v>0.15562248995983899</v>
      </c>
      <c r="C7549" s="6">
        <v>0.34454751597608702</v>
      </c>
    </row>
    <row r="7550" spans="1:3" s="7" customFormat="1" x14ac:dyDescent="0.2">
      <c r="A7550" s="6" t="str">
        <f>"SLC4A2"</f>
        <v>SLC4A2</v>
      </c>
      <c r="B7550" s="6">
        <v>0.15584415584415501</v>
      </c>
      <c r="C7550" s="6">
        <v>0.34454751597608702</v>
      </c>
    </row>
    <row r="7551" spans="1:3" s="7" customFormat="1" x14ac:dyDescent="0.2">
      <c r="A7551" s="6" t="str">
        <f>"PEX1"</f>
        <v>PEX1</v>
      </c>
      <c r="B7551" s="6">
        <v>0.15584415584415501</v>
      </c>
      <c r="C7551" s="6">
        <v>0.34454751597608702</v>
      </c>
    </row>
    <row r="7552" spans="1:3" s="7" customFormat="1" x14ac:dyDescent="0.2">
      <c r="A7552" s="6" t="str">
        <f>"NPRL3"</f>
        <v>NPRL3</v>
      </c>
      <c r="B7552" s="6">
        <v>0.15584415584415501</v>
      </c>
      <c r="C7552" s="6">
        <v>0.34454751597608702</v>
      </c>
    </row>
    <row r="7553" spans="1:3" s="7" customFormat="1" x14ac:dyDescent="0.2">
      <c r="A7553" s="6" t="str">
        <f>"TENM2"</f>
        <v>TENM2</v>
      </c>
      <c r="B7553" s="6">
        <v>0.15584415584415501</v>
      </c>
      <c r="C7553" s="6">
        <v>0.34454751597608702</v>
      </c>
    </row>
    <row r="7554" spans="1:3" s="7" customFormat="1" x14ac:dyDescent="0.2">
      <c r="A7554" s="6" t="str">
        <f>"DMXL2"</f>
        <v>DMXL2</v>
      </c>
      <c r="B7554" s="6">
        <v>0.15584415584415501</v>
      </c>
      <c r="C7554" s="6">
        <v>0.34454751597608702</v>
      </c>
    </row>
    <row r="7555" spans="1:3" s="7" customFormat="1" x14ac:dyDescent="0.2">
      <c r="A7555" s="6" t="str">
        <f>"TESC"</f>
        <v>TESC</v>
      </c>
      <c r="B7555" s="6">
        <v>0.15584415584415501</v>
      </c>
      <c r="C7555" s="6">
        <v>0.34454751597608702</v>
      </c>
    </row>
    <row r="7556" spans="1:3" s="7" customFormat="1" x14ac:dyDescent="0.2">
      <c r="A7556" s="6" t="str">
        <f>"ZNF117"</f>
        <v>ZNF117</v>
      </c>
      <c r="B7556" s="6">
        <v>0.15584415584415501</v>
      </c>
      <c r="C7556" s="6">
        <v>0.34454751597608702</v>
      </c>
    </row>
    <row r="7557" spans="1:3" s="7" customFormat="1" x14ac:dyDescent="0.2">
      <c r="A7557" s="6" t="str">
        <f>"JHY"</f>
        <v>JHY</v>
      </c>
      <c r="B7557" s="6">
        <v>0.15584415584415501</v>
      </c>
      <c r="C7557" s="6">
        <v>0.34454751597608702</v>
      </c>
    </row>
    <row r="7558" spans="1:3" s="7" customFormat="1" x14ac:dyDescent="0.2">
      <c r="A7558" s="6" t="str">
        <f>"DNAH3"</f>
        <v>DNAH3</v>
      </c>
      <c r="B7558" s="6">
        <v>0.15584415584415501</v>
      </c>
      <c r="C7558" s="6">
        <v>0.34454751597608702</v>
      </c>
    </row>
    <row r="7559" spans="1:3" s="7" customFormat="1" x14ac:dyDescent="0.2">
      <c r="A7559" s="6" t="str">
        <f>"LINC01873"</f>
        <v>LINC01873</v>
      </c>
      <c r="B7559" s="6">
        <v>0.15584415584415501</v>
      </c>
      <c r="C7559" s="6">
        <v>0.34454751597608702</v>
      </c>
    </row>
    <row r="7560" spans="1:3" s="7" customFormat="1" x14ac:dyDescent="0.2">
      <c r="A7560" s="6" t="str">
        <f>"PCF11-AS1"</f>
        <v>PCF11-AS1</v>
      </c>
      <c r="B7560" s="6">
        <v>0.15584415584415501</v>
      </c>
      <c r="C7560" s="6">
        <v>0.34454751597608702</v>
      </c>
    </row>
    <row r="7561" spans="1:3" s="7" customFormat="1" x14ac:dyDescent="0.2">
      <c r="A7561" s="6" t="str">
        <f>"ELP3"</f>
        <v>ELP3</v>
      </c>
      <c r="B7561" s="6">
        <v>0.15584415584415501</v>
      </c>
      <c r="C7561" s="6">
        <v>0.34454751597608702</v>
      </c>
    </row>
    <row r="7562" spans="1:3" s="7" customFormat="1" x14ac:dyDescent="0.2">
      <c r="A7562" s="6" t="str">
        <f>"ZNF664"</f>
        <v>ZNF664</v>
      </c>
      <c r="B7562" s="6">
        <v>0.156</v>
      </c>
      <c r="C7562" s="6">
        <v>0.34470967741935399</v>
      </c>
    </row>
    <row r="7563" spans="1:3" s="7" customFormat="1" x14ac:dyDescent="0.2">
      <c r="A7563" s="6" t="str">
        <f>"DBH-AS1"</f>
        <v>DBH-AS1</v>
      </c>
      <c r="B7563" s="6">
        <v>0.156</v>
      </c>
      <c r="C7563" s="6">
        <v>0.34470967741935399</v>
      </c>
    </row>
    <row r="7564" spans="1:3" s="7" customFormat="1" x14ac:dyDescent="0.2">
      <c r="A7564" s="6" t="str">
        <f>"SAXO1"</f>
        <v>SAXO1</v>
      </c>
      <c r="B7564" s="6">
        <v>0.156</v>
      </c>
      <c r="C7564" s="6">
        <v>0.34470967741935399</v>
      </c>
    </row>
    <row r="7565" spans="1:3" s="7" customFormat="1" x14ac:dyDescent="0.2">
      <c r="A7565" s="6" t="str">
        <f>"LINC00449"</f>
        <v>LINC00449</v>
      </c>
      <c r="B7565" s="6">
        <v>0.156</v>
      </c>
      <c r="C7565" s="6">
        <v>0.34470967741935399</v>
      </c>
    </row>
    <row r="7566" spans="1:3" s="7" customFormat="1" x14ac:dyDescent="0.2">
      <c r="A7566" s="6" t="str">
        <f>"RASSF1-AS1"</f>
        <v>RASSF1-AS1</v>
      </c>
      <c r="B7566" s="6">
        <v>0.15631262525050099</v>
      </c>
      <c r="C7566" s="6">
        <v>0.345354820679031</v>
      </c>
    </row>
    <row r="7567" spans="1:3" s="7" customFormat="1" x14ac:dyDescent="0.2">
      <c r="A7567" s="6" t="str">
        <f>"GCLM"</f>
        <v>GCLM</v>
      </c>
      <c r="B7567" s="6">
        <v>0.156843156843156</v>
      </c>
      <c r="C7567" s="6">
        <v>0.34547661089569298</v>
      </c>
    </row>
    <row r="7568" spans="1:3" s="7" customFormat="1" x14ac:dyDescent="0.2">
      <c r="A7568" s="6" t="str">
        <f>"ZNF668"</f>
        <v>ZNF668</v>
      </c>
      <c r="B7568" s="6">
        <v>0.156843156843156</v>
      </c>
      <c r="C7568" s="6">
        <v>0.34547661089569298</v>
      </c>
    </row>
    <row r="7569" spans="1:3" s="7" customFormat="1" x14ac:dyDescent="0.2">
      <c r="A7569" s="6" t="str">
        <f>"POLI"</f>
        <v>POLI</v>
      </c>
      <c r="B7569" s="6">
        <v>0.156843156843156</v>
      </c>
      <c r="C7569" s="6">
        <v>0.34547661089569298</v>
      </c>
    </row>
    <row r="7570" spans="1:3" s="7" customFormat="1" x14ac:dyDescent="0.2">
      <c r="A7570" s="6" t="str">
        <f>"C10orf53"</f>
        <v>C10orf53</v>
      </c>
      <c r="B7570" s="6">
        <v>0.156843156843156</v>
      </c>
      <c r="C7570" s="6">
        <v>0.34547661089569298</v>
      </c>
    </row>
    <row r="7571" spans="1:3" s="7" customFormat="1" x14ac:dyDescent="0.2">
      <c r="A7571" s="6" t="str">
        <f>"KRT75"</f>
        <v>KRT75</v>
      </c>
      <c r="B7571" s="6">
        <v>0.156843156843156</v>
      </c>
      <c r="C7571" s="6">
        <v>0.34547661089569298</v>
      </c>
    </row>
    <row r="7572" spans="1:3" s="7" customFormat="1" x14ac:dyDescent="0.2">
      <c r="A7572" s="6" t="str">
        <f>"ST3GAL3"</f>
        <v>ST3GAL3</v>
      </c>
      <c r="B7572" s="6">
        <v>0.156843156843156</v>
      </c>
      <c r="C7572" s="6">
        <v>0.34547661089569298</v>
      </c>
    </row>
    <row r="7573" spans="1:3" s="7" customFormat="1" x14ac:dyDescent="0.2">
      <c r="A7573" s="6" t="str">
        <f>"KIF1C-AS1"</f>
        <v>KIF1C-AS1</v>
      </c>
      <c r="B7573" s="6">
        <v>0.156626506024096</v>
      </c>
      <c r="C7573" s="6">
        <v>0.34547661089569298</v>
      </c>
    </row>
    <row r="7574" spans="1:3" s="7" customFormat="1" x14ac:dyDescent="0.2">
      <c r="A7574" s="6" t="str">
        <f>"TCEANC2"</f>
        <v>TCEANC2</v>
      </c>
      <c r="B7574" s="6">
        <v>0.156843156843156</v>
      </c>
      <c r="C7574" s="6">
        <v>0.34547661089569298</v>
      </c>
    </row>
    <row r="7575" spans="1:3" s="7" customFormat="1" x14ac:dyDescent="0.2">
      <c r="A7575" s="6" t="str">
        <f>"MAP3K2-DT"</f>
        <v>MAP3K2-DT</v>
      </c>
      <c r="B7575" s="6">
        <v>0.156843156843156</v>
      </c>
      <c r="C7575" s="6">
        <v>0.34547661089569298</v>
      </c>
    </row>
    <row r="7576" spans="1:3" s="7" customFormat="1" x14ac:dyDescent="0.2">
      <c r="A7576" s="6" t="str">
        <f>"NRDE2"</f>
        <v>NRDE2</v>
      </c>
      <c r="B7576" s="6">
        <v>0.156843156843156</v>
      </c>
      <c r="C7576" s="6">
        <v>0.34547661089569298</v>
      </c>
    </row>
    <row r="7577" spans="1:3" s="7" customFormat="1" x14ac:dyDescent="0.2">
      <c r="A7577" s="6" t="str">
        <f>"METTL17"</f>
        <v>METTL17</v>
      </c>
      <c r="B7577" s="6">
        <v>0.156843156843156</v>
      </c>
      <c r="C7577" s="6">
        <v>0.34547661089569298</v>
      </c>
    </row>
    <row r="7578" spans="1:3" s="7" customFormat="1" x14ac:dyDescent="0.2">
      <c r="A7578" s="6" t="str">
        <f>"HPRT1"</f>
        <v>HPRT1</v>
      </c>
      <c r="B7578" s="6">
        <v>0.156843156843156</v>
      </c>
      <c r="C7578" s="6">
        <v>0.34547661089569298</v>
      </c>
    </row>
    <row r="7579" spans="1:3" s="7" customFormat="1" x14ac:dyDescent="0.2">
      <c r="A7579" s="6" t="str">
        <f>"KRT7-AS"</f>
        <v>KRT7-AS</v>
      </c>
      <c r="B7579" s="6">
        <v>0.156843156843156</v>
      </c>
      <c r="C7579" s="6">
        <v>0.34547661089569298</v>
      </c>
    </row>
    <row r="7580" spans="1:3" s="7" customFormat="1" x14ac:dyDescent="0.2">
      <c r="A7580" s="6" t="str">
        <f>"DDAH1"</f>
        <v>DDAH1</v>
      </c>
      <c r="B7580" s="6">
        <v>0.156843156843156</v>
      </c>
      <c r="C7580" s="6">
        <v>0.34547661089569298</v>
      </c>
    </row>
    <row r="7581" spans="1:3" s="7" customFormat="1" x14ac:dyDescent="0.2">
      <c r="A7581" s="6" t="str">
        <f>"SS18L1"</f>
        <v>SS18L1</v>
      </c>
      <c r="B7581" s="6">
        <v>0.156843156843156</v>
      </c>
      <c r="C7581" s="6">
        <v>0.34547661089569298</v>
      </c>
    </row>
    <row r="7582" spans="1:3" s="7" customFormat="1" x14ac:dyDescent="0.2">
      <c r="A7582" s="6" t="str">
        <f>"AC008278.1"</f>
        <v>AC008278.1</v>
      </c>
      <c r="B7582" s="6">
        <v>0.156843156843156</v>
      </c>
      <c r="C7582" s="6">
        <v>0.34547661089569298</v>
      </c>
    </row>
    <row r="7583" spans="1:3" s="7" customFormat="1" x14ac:dyDescent="0.2">
      <c r="A7583" s="6" t="str">
        <f>"GTF3C1"</f>
        <v>GTF3C1</v>
      </c>
      <c r="B7583" s="6">
        <v>0.156843156843156</v>
      </c>
      <c r="C7583" s="6">
        <v>0.34547661089569298</v>
      </c>
    </row>
    <row r="7584" spans="1:3" s="7" customFormat="1" x14ac:dyDescent="0.2">
      <c r="A7584" s="6" t="str">
        <f>"CLEC16A"</f>
        <v>CLEC16A</v>
      </c>
      <c r="B7584" s="6">
        <v>0.156843156843156</v>
      </c>
      <c r="C7584" s="6">
        <v>0.34547661089569298</v>
      </c>
    </row>
    <row r="7585" spans="1:3" s="7" customFormat="1" x14ac:dyDescent="0.2">
      <c r="A7585" s="6" t="str">
        <f>"TMPRSS4"</f>
        <v>TMPRSS4</v>
      </c>
      <c r="B7585" s="6">
        <v>0.156843156843156</v>
      </c>
      <c r="C7585" s="6">
        <v>0.34547661089569298</v>
      </c>
    </row>
    <row r="7586" spans="1:3" s="7" customFormat="1" x14ac:dyDescent="0.2">
      <c r="A7586" s="6" t="str">
        <f>"NME9"</f>
        <v>NME9</v>
      </c>
      <c r="B7586" s="6">
        <v>0.156843156843156</v>
      </c>
      <c r="C7586" s="6">
        <v>0.34547661089569298</v>
      </c>
    </row>
    <row r="7587" spans="1:3" s="7" customFormat="1" x14ac:dyDescent="0.2">
      <c r="A7587" s="6" t="str">
        <f>"GPR162"</f>
        <v>GPR162</v>
      </c>
      <c r="B7587" s="6">
        <v>0.156843156843156</v>
      </c>
      <c r="C7587" s="6">
        <v>0.34547661089569298</v>
      </c>
    </row>
    <row r="7588" spans="1:3" s="7" customFormat="1" x14ac:dyDescent="0.2">
      <c r="A7588" s="6" t="str">
        <f>"YIPF3"</f>
        <v>YIPF3</v>
      </c>
      <c r="B7588" s="6">
        <v>0.156843156843156</v>
      </c>
      <c r="C7588" s="6">
        <v>0.34547661089569298</v>
      </c>
    </row>
    <row r="7589" spans="1:3" s="7" customFormat="1" x14ac:dyDescent="0.2">
      <c r="A7589" s="6" t="str">
        <f>"GIMAP2"</f>
        <v>GIMAP2</v>
      </c>
      <c r="B7589" s="6">
        <v>0.156843156843156</v>
      </c>
      <c r="C7589" s="6">
        <v>0.34547661089569298</v>
      </c>
    </row>
    <row r="7590" spans="1:3" s="7" customFormat="1" x14ac:dyDescent="0.2">
      <c r="A7590" s="6" t="str">
        <f>"PKN2-AS1"</f>
        <v>PKN2-AS1</v>
      </c>
      <c r="B7590" s="6">
        <v>0.157</v>
      </c>
      <c r="C7590" s="6">
        <v>0.34573096179183099</v>
      </c>
    </row>
    <row r="7591" spans="1:3" s="7" customFormat="1" x14ac:dyDescent="0.2">
      <c r="A7591" s="6" t="str">
        <f>"FAM229B"</f>
        <v>FAM229B</v>
      </c>
      <c r="B7591" s="6">
        <v>0.157</v>
      </c>
      <c r="C7591" s="6">
        <v>0.34573096179183099</v>
      </c>
    </row>
    <row r="7592" spans="1:3" s="7" customFormat="1" x14ac:dyDescent="0.2">
      <c r="A7592" s="6" t="str">
        <f>"AC000068.3"</f>
        <v>AC000068.3</v>
      </c>
      <c r="B7592" s="6">
        <v>0.15730337078651599</v>
      </c>
      <c r="C7592" s="6">
        <v>0.34635338418203698</v>
      </c>
    </row>
    <row r="7593" spans="1:3" s="7" customFormat="1" x14ac:dyDescent="0.2">
      <c r="A7593" s="6" t="str">
        <f>"GNAL"</f>
        <v>GNAL</v>
      </c>
      <c r="B7593" s="6">
        <v>0.15784215784215699</v>
      </c>
      <c r="C7593" s="6">
        <v>0.34644436325329198</v>
      </c>
    </row>
    <row r="7594" spans="1:3" s="7" customFormat="1" x14ac:dyDescent="0.2">
      <c r="A7594" s="6" t="str">
        <f>"CYP51A1"</f>
        <v>CYP51A1</v>
      </c>
      <c r="B7594" s="6">
        <v>0.15784215784215699</v>
      </c>
      <c r="C7594" s="6">
        <v>0.34644436325329198</v>
      </c>
    </row>
    <row r="7595" spans="1:3" s="7" customFormat="1" x14ac:dyDescent="0.2">
      <c r="A7595" s="6" t="str">
        <f>"SCRN3"</f>
        <v>SCRN3</v>
      </c>
      <c r="B7595" s="6">
        <v>0.15784215784215699</v>
      </c>
      <c r="C7595" s="6">
        <v>0.34644436325329198</v>
      </c>
    </row>
    <row r="7596" spans="1:3" s="7" customFormat="1" x14ac:dyDescent="0.2">
      <c r="A7596" s="6" t="str">
        <f>"PRIM1"</f>
        <v>PRIM1</v>
      </c>
      <c r="B7596" s="6">
        <v>0.15784215784215699</v>
      </c>
      <c r="C7596" s="6">
        <v>0.34644436325329198</v>
      </c>
    </row>
    <row r="7597" spans="1:3" s="7" customFormat="1" x14ac:dyDescent="0.2">
      <c r="A7597" s="6" t="str">
        <f>"SLC30A1"</f>
        <v>SLC30A1</v>
      </c>
      <c r="B7597" s="6">
        <v>0.15784215784215699</v>
      </c>
      <c r="C7597" s="6">
        <v>0.34644436325329198</v>
      </c>
    </row>
    <row r="7598" spans="1:3" s="7" customFormat="1" x14ac:dyDescent="0.2">
      <c r="A7598" s="6" t="str">
        <f>"PRPF38A"</f>
        <v>PRPF38A</v>
      </c>
      <c r="B7598" s="6">
        <v>0.15784215784215699</v>
      </c>
      <c r="C7598" s="6">
        <v>0.34644436325329198</v>
      </c>
    </row>
    <row r="7599" spans="1:3" s="7" customFormat="1" x14ac:dyDescent="0.2">
      <c r="A7599" s="6" t="str">
        <f>"TRIP11"</f>
        <v>TRIP11</v>
      </c>
      <c r="B7599" s="6">
        <v>0.15784215784215699</v>
      </c>
      <c r="C7599" s="6">
        <v>0.34644436325329198</v>
      </c>
    </row>
    <row r="7600" spans="1:3" s="7" customFormat="1" x14ac:dyDescent="0.2">
      <c r="A7600" s="6" t="str">
        <f>"GGT7"</f>
        <v>GGT7</v>
      </c>
      <c r="B7600" s="6">
        <v>0.15784215784215699</v>
      </c>
      <c r="C7600" s="6">
        <v>0.34644436325329198</v>
      </c>
    </row>
    <row r="7601" spans="1:3" s="7" customFormat="1" x14ac:dyDescent="0.2">
      <c r="A7601" s="6" t="str">
        <f>"GOLGA7B"</f>
        <v>GOLGA7B</v>
      </c>
      <c r="B7601" s="6">
        <v>0.15784215784215699</v>
      </c>
      <c r="C7601" s="6">
        <v>0.34644436325329198</v>
      </c>
    </row>
    <row r="7602" spans="1:3" s="7" customFormat="1" x14ac:dyDescent="0.2">
      <c r="A7602" s="6" t="str">
        <f>"NLRC3"</f>
        <v>NLRC3</v>
      </c>
      <c r="B7602" s="6">
        <v>0.15784215784215699</v>
      </c>
      <c r="C7602" s="6">
        <v>0.34644436325329198</v>
      </c>
    </row>
    <row r="7603" spans="1:3" s="7" customFormat="1" x14ac:dyDescent="0.2">
      <c r="A7603" s="6" t="str">
        <f>"GOLGA8O"</f>
        <v>GOLGA8O</v>
      </c>
      <c r="B7603" s="6">
        <v>0.15784215784215699</v>
      </c>
      <c r="C7603" s="6">
        <v>0.34644436325329198</v>
      </c>
    </row>
    <row r="7604" spans="1:3" s="7" customFormat="1" x14ac:dyDescent="0.2">
      <c r="A7604" s="6" t="str">
        <f>"GCHFR"</f>
        <v>GCHFR</v>
      </c>
      <c r="B7604" s="6">
        <v>0.15784215784215699</v>
      </c>
      <c r="C7604" s="6">
        <v>0.34644436325329198</v>
      </c>
    </row>
    <row r="7605" spans="1:3" s="7" customFormat="1" x14ac:dyDescent="0.2">
      <c r="A7605" s="6" t="str">
        <f>"MPHOSPH8"</f>
        <v>MPHOSPH8</v>
      </c>
      <c r="B7605" s="6">
        <v>0.15784215784215699</v>
      </c>
      <c r="C7605" s="6">
        <v>0.34644436325329198</v>
      </c>
    </row>
    <row r="7606" spans="1:3" s="7" customFormat="1" x14ac:dyDescent="0.2">
      <c r="A7606" s="6" t="str">
        <f>"SMC5"</f>
        <v>SMC5</v>
      </c>
      <c r="B7606" s="6">
        <v>0.15784215784215699</v>
      </c>
      <c r="C7606" s="6">
        <v>0.34644436325329198</v>
      </c>
    </row>
    <row r="7607" spans="1:3" s="7" customFormat="1" x14ac:dyDescent="0.2">
      <c r="A7607" s="6" t="str">
        <f>"BMS1P10"</f>
        <v>BMS1P10</v>
      </c>
      <c r="B7607" s="6">
        <v>0.15784215784215699</v>
      </c>
      <c r="C7607" s="6">
        <v>0.34644436325329198</v>
      </c>
    </row>
    <row r="7608" spans="1:3" s="7" customFormat="1" x14ac:dyDescent="0.2">
      <c r="A7608" s="6" t="str">
        <f>"RP9P"</f>
        <v>RP9P</v>
      </c>
      <c r="B7608" s="6">
        <v>0.15784215784215699</v>
      </c>
      <c r="C7608" s="6">
        <v>0.34644436325329198</v>
      </c>
    </row>
    <row r="7609" spans="1:3" s="7" customFormat="1" x14ac:dyDescent="0.2">
      <c r="A7609" s="6" t="str">
        <f>"BCDIN3D-AS1"</f>
        <v>BCDIN3D-AS1</v>
      </c>
      <c r="B7609" s="6">
        <v>0.15784215784215699</v>
      </c>
      <c r="C7609" s="6">
        <v>0.34644436325329198</v>
      </c>
    </row>
    <row r="7610" spans="1:3" s="7" customFormat="1" x14ac:dyDescent="0.2">
      <c r="A7610" s="6" t="str">
        <f>"AKT3"</f>
        <v>AKT3</v>
      </c>
      <c r="B7610" s="6">
        <v>0.15784215784215699</v>
      </c>
      <c r="C7610" s="6">
        <v>0.34644436325329198</v>
      </c>
    </row>
    <row r="7611" spans="1:3" s="7" customFormat="1" x14ac:dyDescent="0.2">
      <c r="A7611" s="6" t="str">
        <f>"PNMA2"</f>
        <v>PNMA2</v>
      </c>
      <c r="B7611" s="6">
        <v>0.15784215784215699</v>
      </c>
      <c r="C7611" s="6">
        <v>0.34644436325329198</v>
      </c>
    </row>
    <row r="7612" spans="1:3" s="7" customFormat="1" x14ac:dyDescent="0.2">
      <c r="A7612" s="6" t="str">
        <f>"LRRC10B"</f>
        <v>LRRC10B</v>
      </c>
      <c r="B7612" s="6">
        <v>0.15784215784215699</v>
      </c>
      <c r="C7612" s="6">
        <v>0.34644436325329198</v>
      </c>
    </row>
    <row r="7613" spans="1:3" s="7" customFormat="1" x14ac:dyDescent="0.2">
      <c r="A7613" s="6" t="str">
        <f>"AC006206.2"</f>
        <v>AC006206.2</v>
      </c>
      <c r="B7613" s="6">
        <v>0.15784215784215699</v>
      </c>
      <c r="C7613" s="6">
        <v>0.34644436325329198</v>
      </c>
    </row>
    <row r="7614" spans="1:3" s="7" customFormat="1" x14ac:dyDescent="0.2">
      <c r="A7614" s="6" t="str">
        <f>"SH2D4B"</f>
        <v>SH2D4B</v>
      </c>
      <c r="B7614" s="6">
        <v>0.15784215784215699</v>
      </c>
      <c r="C7614" s="6">
        <v>0.34644436325329198</v>
      </c>
    </row>
    <row r="7615" spans="1:3" s="7" customFormat="1" x14ac:dyDescent="0.2">
      <c r="A7615" s="6" t="str">
        <f>"EAF1-AS1"</f>
        <v>EAF1-AS1</v>
      </c>
      <c r="B7615" s="6">
        <v>0.15784215784215699</v>
      </c>
      <c r="C7615" s="6">
        <v>0.34644436325329198</v>
      </c>
    </row>
    <row r="7616" spans="1:3" s="7" customFormat="1" x14ac:dyDescent="0.2">
      <c r="A7616" s="6" t="str">
        <f>"PCGF6"</f>
        <v>PCGF6</v>
      </c>
      <c r="B7616" s="6">
        <v>0.15784215784215699</v>
      </c>
      <c r="C7616" s="6">
        <v>0.34644436325329198</v>
      </c>
    </row>
    <row r="7617" spans="1:3" s="7" customFormat="1" x14ac:dyDescent="0.2">
      <c r="A7617" s="6" t="str">
        <f>"ADAM10"</f>
        <v>ADAM10</v>
      </c>
      <c r="B7617" s="6">
        <v>0.158</v>
      </c>
      <c r="C7617" s="6">
        <v>0.34669975055796198</v>
      </c>
    </row>
    <row r="7618" spans="1:3" s="7" customFormat="1" x14ac:dyDescent="0.2">
      <c r="A7618" s="6" t="str">
        <f>"AL139011.1"</f>
        <v>AL139011.1</v>
      </c>
      <c r="B7618" s="6">
        <v>0.158</v>
      </c>
      <c r="C7618" s="6">
        <v>0.34669975055796198</v>
      </c>
    </row>
    <row r="7619" spans="1:3" s="7" customFormat="1" x14ac:dyDescent="0.2">
      <c r="A7619" s="6" t="str">
        <f>"SINHCAFP2"</f>
        <v>SINHCAFP2</v>
      </c>
      <c r="B7619" s="6">
        <v>0.15815815815815801</v>
      </c>
      <c r="C7619" s="6">
        <v>0.34700124119919301</v>
      </c>
    </row>
    <row r="7620" spans="1:3" s="7" customFormat="1" x14ac:dyDescent="0.2">
      <c r="A7620" s="6" t="str">
        <f>"MOSMO"</f>
        <v>MOSMO</v>
      </c>
      <c r="B7620" s="6">
        <v>0.15884115884115799</v>
      </c>
      <c r="C7620" s="6">
        <v>0.34731438106634299</v>
      </c>
    </row>
    <row r="7621" spans="1:3" s="7" customFormat="1" x14ac:dyDescent="0.2">
      <c r="A7621" s="6" t="str">
        <f>"IL1R1"</f>
        <v>IL1R1</v>
      </c>
      <c r="B7621" s="6">
        <v>0.15884115884115799</v>
      </c>
      <c r="C7621" s="6">
        <v>0.34731438106634299</v>
      </c>
    </row>
    <row r="7622" spans="1:3" s="7" customFormat="1" x14ac:dyDescent="0.2">
      <c r="A7622" s="6" t="str">
        <f>"SNAP29"</f>
        <v>SNAP29</v>
      </c>
      <c r="B7622" s="6">
        <v>0.15884115884115799</v>
      </c>
      <c r="C7622" s="6">
        <v>0.34731438106634299</v>
      </c>
    </row>
    <row r="7623" spans="1:3" s="7" customFormat="1" x14ac:dyDescent="0.2">
      <c r="A7623" s="6" t="str">
        <f>"TLN2"</f>
        <v>TLN2</v>
      </c>
      <c r="B7623" s="6">
        <v>0.15884115884115799</v>
      </c>
      <c r="C7623" s="6">
        <v>0.34731438106634299</v>
      </c>
    </row>
    <row r="7624" spans="1:3" s="7" customFormat="1" x14ac:dyDescent="0.2">
      <c r="A7624" s="6" t="str">
        <f>"FOLH1"</f>
        <v>FOLH1</v>
      </c>
      <c r="B7624" s="6">
        <v>0.15884115884115799</v>
      </c>
      <c r="C7624" s="6">
        <v>0.34731438106634299</v>
      </c>
    </row>
    <row r="7625" spans="1:3" s="7" customFormat="1" x14ac:dyDescent="0.2">
      <c r="A7625" s="6" t="str">
        <f>"FAM131A"</f>
        <v>FAM131A</v>
      </c>
      <c r="B7625" s="6">
        <v>0.15884115884115799</v>
      </c>
      <c r="C7625" s="6">
        <v>0.34731438106634299</v>
      </c>
    </row>
    <row r="7626" spans="1:3" s="7" customFormat="1" x14ac:dyDescent="0.2">
      <c r="A7626" s="6" t="str">
        <f>"KRT8P33"</f>
        <v>KRT8P33</v>
      </c>
      <c r="B7626" s="6">
        <v>0.158808933002481</v>
      </c>
      <c r="C7626" s="6">
        <v>0.34731438106634299</v>
      </c>
    </row>
    <row r="7627" spans="1:3" s="7" customFormat="1" x14ac:dyDescent="0.2">
      <c r="A7627" s="6" t="str">
        <f>"NEURL4"</f>
        <v>NEURL4</v>
      </c>
      <c r="B7627" s="6">
        <v>0.15884115884115799</v>
      </c>
      <c r="C7627" s="6">
        <v>0.34731438106634299</v>
      </c>
    </row>
    <row r="7628" spans="1:3" s="7" customFormat="1" x14ac:dyDescent="0.2">
      <c r="A7628" s="6" t="str">
        <f>"FGD1"</f>
        <v>FGD1</v>
      </c>
      <c r="B7628" s="6">
        <v>0.15884115884115799</v>
      </c>
      <c r="C7628" s="6">
        <v>0.34731438106634299</v>
      </c>
    </row>
    <row r="7629" spans="1:3" s="7" customFormat="1" x14ac:dyDescent="0.2">
      <c r="A7629" s="6" t="str">
        <f>"TONSL"</f>
        <v>TONSL</v>
      </c>
      <c r="B7629" s="6">
        <v>0.15884115884115799</v>
      </c>
      <c r="C7629" s="6">
        <v>0.34731438106634299</v>
      </c>
    </row>
    <row r="7630" spans="1:3" s="7" customFormat="1" x14ac:dyDescent="0.2">
      <c r="A7630" s="6" t="str">
        <f>"ZBED8"</f>
        <v>ZBED8</v>
      </c>
      <c r="B7630" s="6">
        <v>0.15884115884115799</v>
      </c>
      <c r="C7630" s="6">
        <v>0.34731438106634299</v>
      </c>
    </row>
    <row r="7631" spans="1:3" s="7" customFormat="1" x14ac:dyDescent="0.2">
      <c r="A7631" s="6" t="str">
        <f>"NUDCD3"</f>
        <v>NUDCD3</v>
      </c>
      <c r="B7631" s="6">
        <v>0.15884115884115799</v>
      </c>
      <c r="C7631" s="6">
        <v>0.34731438106634299</v>
      </c>
    </row>
    <row r="7632" spans="1:3" s="7" customFormat="1" x14ac:dyDescent="0.2">
      <c r="A7632" s="6" t="str">
        <f>"VAMP4"</f>
        <v>VAMP4</v>
      </c>
      <c r="B7632" s="6">
        <v>0.15884115884115799</v>
      </c>
      <c r="C7632" s="6">
        <v>0.34731438106634299</v>
      </c>
    </row>
    <row r="7633" spans="1:3" s="7" customFormat="1" x14ac:dyDescent="0.2">
      <c r="A7633" s="6" t="str">
        <f>"CPNE8-AS1"</f>
        <v>CPNE8-AS1</v>
      </c>
      <c r="B7633" s="6">
        <v>0.15884115884115799</v>
      </c>
      <c r="C7633" s="6">
        <v>0.34731438106634299</v>
      </c>
    </row>
    <row r="7634" spans="1:3" s="7" customFormat="1" x14ac:dyDescent="0.2">
      <c r="A7634" s="6" t="str">
        <f>"HEBP2"</f>
        <v>HEBP2</v>
      </c>
      <c r="B7634" s="6">
        <v>0.15884115884115799</v>
      </c>
      <c r="C7634" s="6">
        <v>0.34731438106634299</v>
      </c>
    </row>
    <row r="7635" spans="1:3" s="7" customFormat="1" x14ac:dyDescent="0.2">
      <c r="A7635" s="6" t="str">
        <f>"ZNF660"</f>
        <v>ZNF660</v>
      </c>
      <c r="B7635" s="6">
        <v>0.15884115884115799</v>
      </c>
      <c r="C7635" s="6">
        <v>0.34731438106634299</v>
      </c>
    </row>
    <row r="7636" spans="1:3" s="7" customFormat="1" x14ac:dyDescent="0.2">
      <c r="A7636" s="6" t="str">
        <f>"RGPD2"</f>
        <v>RGPD2</v>
      </c>
      <c r="B7636" s="6">
        <v>0.15884115884115799</v>
      </c>
      <c r="C7636" s="6">
        <v>0.34731438106634299</v>
      </c>
    </row>
    <row r="7637" spans="1:3" s="7" customFormat="1" x14ac:dyDescent="0.2">
      <c r="A7637" s="6" t="str">
        <f>"AC138894.1"</f>
        <v>AC138894.1</v>
      </c>
      <c r="B7637" s="6">
        <v>0.15884115884115799</v>
      </c>
      <c r="C7637" s="6">
        <v>0.34731438106634299</v>
      </c>
    </row>
    <row r="7638" spans="1:3" s="7" customFormat="1" x14ac:dyDescent="0.2">
      <c r="A7638" s="6" t="str">
        <f>"AC115284.2"</f>
        <v>AC115284.2</v>
      </c>
      <c r="B7638" s="6">
        <v>0.15884115884115799</v>
      </c>
      <c r="C7638" s="6">
        <v>0.34731438106634299</v>
      </c>
    </row>
    <row r="7639" spans="1:3" s="7" customFormat="1" x14ac:dyDescent="0.2">
      <c r="A7639" s="6" t="str">
        <f>"MTHFD1L"</f>
        <v>MTHFD1L</v>
      </c>
      <c r="B7639" s="6">
        <v>0.15884115884115799</v>
      </c>
      <c r="C7639" s="6">
        <v>0.34731438106634299</v>
      </c>
    </row>
    <row r="7640" spans="1:3" s="7" customFormat="1" x14ac:dyDescent="0.2">
      <c r="A7640" s="6" t="str">
        <f>"ZNF415"</f>
        <v>ZNF415</v>
      </c>
      <c r="B7640" s="6">
        <v>0.15884115884115799</v>
      </c>
      <c r="C7640" s="6">
        <v>0.34731438106634299</v>
      </c>
    </row>
    <row r="7641" spans="1:3" s="7" customFormat="1" x14ac:dyDescent="0.2">
      <c r="A7641" s="6" t="str">
        <f>"PLPPR3"</f>
        <v>PLPPR3</v>
      </c>
      <c r="B7641" s="6">
        <v>0.15884115884115799</v>
      </c>
      <c r="C7641" s="6">
        <v>0.34731438106634299</v>
      </c>
    </row>
    <row r="7642" spans="1:3" s="7" customFormat="1" x14ac:dyDescent="0.2">
      <c r="A7642" s="6" t="str">
        <f>"AC104066.3"</f>
        <v>AC104066.3</v>
      </c>
      <c r="B7642" s="6">
        <v>0.15884115884115799</v>
      </c>
      <c r="C7642" s="6">
        <v>0.34731438106634299</v>
      </c>
    </row>
    <row r="7643" spans="1:3" s="7" customFormat="1" x14ac:dyDescent="0.2">
      <c r="A7643" s="6" t="str">
        <f>"ROPN1L"</f>
        <v>ROPN1L</v>
      </c>
      <c r="B7643" s="6">
        <v>0.15884115884115799</v>
      </c>
      <c r="C7643" s="6">
        <v>0.34731438106634299</v>
      </c>
    </row>
    <row r="7644" spans="1:3" s="7" customFormat="1" x14ac:dyDescent="0.2">
      <c r="A7644" s="6" t="str">
        <f>"FAM47E-STBD1"</f>
        <v>FAM47E-STBD1</v>
      </c>
      <c r="B7644" s="6">
        <v>0.15884115884115799</v>
      </c>
      <c r="C7644" s="6">
        <v>0.34731438106634299</v>
      </c>
    </row>
    <row r="7645" spans="1:3" s="7" customFormat="1" x14ac:dyDescent="0.2">
      <c r="A7645" s="6" t="str">
        <f>"AL121895.1"</f>
        <v>AL121895.1</v>
      </c>
      <c r="B7645" s="6">
        <v>0.158613445378151</v>
      </c>
      <c r="C7645" s="6">
        <v>0.34731438106634299</v>
      </c>
    </row>
    <row r="7646" spans="1:3" s="7" customFormat="1" x14ac:dyDescent="0.2">
      <c r="A7646" s="6" t="str">
        <f>"BCL2L10"</f>
        <v>BCL2L10</v>
      </c>
      <c r="B7646" s="6">
        <v>0.159</v>
      </c>
      <c r="C7646" s="6">
        <v>0.34752530404080001</v>
      </c>
    </row>
    <row r="7647" spans="1:3" s="7" customFormat="1" x14ac:dyDescent="0.2">
      <c r="A7647" s="6" t="str">
        <f>"FBXO43"</f>
        <v>FBXO43</v>
      </c>
      <c r="B7647" s="6">
        <v>0.159</v>
      </c>
      <c r="C7647" s="6">
        <v>0.34752530404080001</v>
      </c>
    </row>
    <row r="7648" spans="1:3" s="7" customFormat="1" x14ac:dyDescent="0.2">
      <c r="A7648" s="6" t="str">
        <f>"FRYL"</f>
        <v>FRYL</v>
      </c>
      <c r="B7648" s="6">
        <v>0.159</v>
      </c>
      <c r="C7648" s="6">
        <v>0.34752530404080001</v>
      </c>
    </row>
    <row r="7649" spans="1:3" s="7" customFormat="1" x14ac:dyDescent="0.2">
      <c r="A7649" s="6" t="str">
        <f>"ACTG1"</f>
        <v>ACTG1</v>
      </c>
      <c r="B7649" s="6">
        <v>0.15984015984015901</v>
      </c>
      <c r="C7649" s="6">
        <v>0.34822320536606199</v>
      </c>
    </row>
    <row r="7650" spans="1:3" s="7" customFormat="1" x14ac:dyDescent="0.2">
      <c r="A7650" s="6" t="str">
        <f>"ZFP36L2"</f>
        <v>ZFP36L2</v>
      </c>
      <c r="B7650" s="6">
        <v>0.15984015984015901</v>
      </c>
      <c r="C7650" s="6">
        <v>0.34822320536606199</v>
      </c>
    </row>
    <row r="7651" spans="1:3" s="7" customFormat="1" x14ac:dyDescent="0.2">
      <c r="A7651" s="6" t="str">
        <f>"AC034231.1"</f>
        <v>AC034231.1</v>
      </c>
      <c r="B7651" s="6">
        <v>0.15984015984015901</v>
      </c>
      <c r="C7651" s="6">
        <v>0.34822320536606199</v>
      </c>
    </row>
    <row r="7652" spans="1:3" s="7" customFormat="1" x14ac:dyDescent="0.2">
      <c r="A7652" s="6" t="str">
        <f>"UBA2"</f>
        <v>UBA2</v>
      </c>
      <c r="B7652" s="6">
        <v>0.15984015984015901</v>
      </c>
      <c r="C7652" s="6">
        <v>0.34822320536606199</v>
      </c>
    </row>
    <row r="7653" spans="1:3" s="7" customFormat="1" x14ac:dyDescent="0.2">
      <c r="A7653" s="6" t="str">
        <f>"LINC02489"</f>
        <v>LINC02489</v>
      </c>
      <c r="B7653" s="6">
        <v>0.15984015984015901</v>
      </c>
      <c r="C7653" s="6">
        <v>0.34822320536606199</v>
      </c>
    </row>
    <row r="7654" spans="1:3" s="7" customFormat="1" x14ac:dyDescent="0.2">
      <c r="A7654" s="6" t="str">
        <f>"CLCN7"</f>
        <v>CLCN7</v>
      </c>
      <c r="B7654" s="6">
        <v>0.15984015984015901</v>
      </c>
      <c r="C7654" s="6">
        <v>0.34822320536606199</v>
      </c>
    </row>
    <row r="7655" spans="1:3" s="7" customFormat="1" x14ac:dyDescent="0.2">
      <c r="A7655" s="6" t="str">
        <f>"SLC35G1"</f>
        <v>SLC35G1</v>
      </c>
      <c r="B7655" s="6">
        <v>0.15984015984015901</v>
      </c>
      <c r="C7655" s="6">
        <v>0.34822320536606199</v>
      </c>
    </row>
    <row r="7656" spans="1:3" s="7" customFormat="1" x14ac:dyDescent="0.2">
      <c r="A7656" s="6" t="str">
        <f>"HIP1R"</f>
        <v>HIP1R</v>
      </c>
      <c r="B7656" s="6">
        <v>0.15984015984015901</v>
      </c>
      <c r="C7656" s="6">
        <v>0.34822320536606199</v>
      </c>
    </row>
    <row r="7657" spans="1:3" s="7" customFormat="1" x14ac:dyDescent="0.2">
      <c r="A7657" s="6" t="str">
        <f>"AP002954.2"</f>
        <v>AP002954.2</v>
      </c>
      <c r="B7657" s="6">
        <v>0.15984015984015901</v>
      </c>
      <c r="C7657" s="6">
        <v>0.34822320536606199</v>
      </c>
    </row>
    <row r="7658" spans="1:3" s="7" customFormat="1" x14ac:dyDescent="0.2">
      <c r="A7658" s="6" t="str">
        <f>"TMSB10"</f>
        <v>TMSB10</v>
      </c>
      <c r="B7658" s="6">
        <v>0.15984015984015901</v>
      </c>
      <c r="C7658" s="6">
        <v>0.34822320536606199</v>
      </c>
    </row>
    <row r="7659" spans="1:3" s="7" customFormat="1" x14ac:dyDescent="0.2">
      <c r="A7659" s="6" t="str">
        <f>"CD3E"</f>
        <v>CD3E</v>
      </c>
      <c r="B7659" s="6">
        <v>0.15984015984015901</v>
      </c>
      <c r="C7659" s="6">
        <v>0.34822320536606199</v>
      </c>
    </row>
    <row r="7660" spans="1:3" s="7" customFormat="1" x14ac:dyDescent="0.2">
      <c r="A7660" s="6" t="str">
        <f>"ZNF398"</f>
        <v>ZNF398</v>
      </c>
      <c r="B7660" s="6">
        <v>0.15984015984015901</v>
      </c>
      <c r="C7660" s="6">
        <v>0.34822320536606199</v>
      </c>
    </row>
    <row r="7661" spans="1:3" s="7" customFormat="1" x14ac:dyDescent="0.2">
      <c r="A7661" s="6" t="str">
        <f>"TCTN3"</f>
        <v>TCTN3</v>
      </c>
      <c r="B7661" s="6">
        <v>0.15984015984015901</v>
      </c>
      <c r="C7661" s="6">
        <v>0.34822320536606199</v>
      </c>
    </row>
    <row r="7662" spans="1:3" s="7" customFormat="1" x14ac:dyDescent="0.2">
      <c r="A7662" s="6" t="str">
        <f>"GUCY2F"</f>
        <v>GUCY2F</v>
      </c>
      <c r="B7662" s="6">
        <v>0.15984015984015901</v>
      </c>
      <c r="C7662" s="6">
        <v>0.34822320536606199</v>
      </c>
    </row>
    <row r="7663" spans="1:3" s="7" customFormat="1" x14ac:dyDescent="0.2">
      <c r="A7663" s="6" t="str">
        <f>"FBXL6"</f>
        <v>FBXL6</v>
      </c>
      <c r="B7663" s="6">
        <v>0.15984015984015901</v>
      </c>
      <c r="C7663" s="6">
        <v>0.34822320536606199</v>
      </c>
    </row>
    <row r="7664" spans="1:3" s="7" customFormat="1" x14ac:dyDescent="0.2">
      <c r="A7664" s="6" t="str">
        <f>"TPRKB"</f>
        <v>TPRKB</v>
      </c>
      <c r="B7664" s="6">
        <v>0.15984015984015901</v>
      </c>
      <c r="C7664" s="6">
        <v>0.34822320536606199</v>
      </c>
    </row>
    <row r="7665" spans="1:3" s="7" customFormat="1" x14ac:dyDescent="0.2">
      <c r="A7665" s="6" t="str">
        <f>"TMEM40"</f>
        <v>TMEM40</v>
      </c>
      <c r="B7665" s="6">
        <v>0.15984015984015901</v>
      </c>
      <c r="C7665" s="6">
        <v>0.34822320536606199</v>
      </c>
    </row>
    <row r="7666" spans="1:3" s="7" customFormat="1" x14ac:dyDescent="0.2">
      <c r="A7666" s="6" t="str">
        <f>"AMPD3"</f>
        <v>AMPD3</v>
      </c>
      <c r="B7666" s="6">
        <v>0.15984015984015901</v>
      </c>
      <c r="C7666" s="6">
        <v>0.34822320536606199</v>
      </c>
    </row>
    <row r="7667" spans="1:3" s="7" customFormat="1" x14ac:dyDescent="0.2">
      <c r="A7667" s="6" t="str">
        <f>"MMAB"</f>
        <v>MMAB</v>
      </c>
      <c r="B7667" s="6">
        <v>0.15984015984015901</v>
      </c>
      <c r="C7667" s="6">
        <v>0.34822320536606199</v>
      </c>
    </row>
    <row r="7668" spans="1:3" s="7" customFormat="1" x14ac:dyDescent="0.2">
      <c r="A7668" s="6" t="str">
        <f>"MUC12-AS1"</f>
        <v>MUC12-AS1</v>
      </c>
      <c r="B7668" s="6">
        <v>0.15984015984015901</v>
      </c>
      <c r="C7668" s="6">
        <v>0.34822320536606199</v>
      </c>
    </row>
    <row r="7669" spans="1:3" s="7" customFormat="1" x14ac:dyDescent="0.2">
      <c r="A7669" s="6" t="str">
        <f>"RAP2B"</f>
        <v>RAP2B</v>
      </c>
      <c r="B7669" s="6">
        <v>0.15984015984015901</v>
      </c>
      <c r="C7669" s="6">
        <v>0.34822320536606199</v>
      </c>
    </row>
    <row r="7670" spans="1:3" s="7" customFormat="1" x14ac:dyDescent="0.2">
      <c r="A7670" s="6" t="str">
        <f>"RRNAD1"</f>
        <v>RRNAD1</v>
      </c>
      <c r="B7670" s="6">
        <v>0.15984015984015901</v>
      </c>
      <c r="C7670" s="6">
        <v>0.34822320536606199</v>
      </c>
    </row>
    <row r="7671" spans="1:3" s="7" customFormat="1" x14ac:dyDescent="0.2">
      <c r="A7671" s="6" t="str">
        <f>"ZNF726"</f>
        <v>ZNF726</v>
      </c>
      <c r="B7671" s="6">
        <v>0.15984015984015901</v>
      </c>
      <c r="C7671" s="6">
        <v>0.34822320536606199</v>
      </c>
    </row>
    <row r="7672" spans="1:3" s="7" customFormat="1" x14ac:dyDescent="0.2">
      <c r="A7672" s="6" t="str">
        <f>"RBBP8"</f>
        <v>RBBP8</v>
      </c>
      <c r="B7672" s="6">
        <v>0.15984015984015901</v>
      </c>
      <c r="C7672" s="6">
        <v>0.34822320536606199</v>
      </c>
    </row>
    <row r="7673" spans="1:3" s="7" customFormat="1" x14ac:dyDescent="0.2">
      <c r="A7673" s="6" t="str">
        <f>"HMBOX1"</f>
        <v>HMBOX1</v>
      </c>
      <c r="B7673" s="6">
        <v>0.15984015984015901</v>
      </c>
      <c r="C7673" s="6">
        <v>0.34822320536606199</v>
      </c>
    </row>
    <row r="7674" spans="1:3" s="7" customFormat="1" x14ac:dyDescent="0.2">
      <c r="A7674" s="6" t="str">
        <f>"TTC21B"</f>
        <v>TTC21B</v>
      </c>
      <c r="B7674" s="6">
        <v>0.16</v>
      </c>
      <c r="C7674" s="6">
        <v>0.34834440536667899</v>
      </c>
    </row>
    <row r="7675" spans="1:3" s="7" customFormat="1" x14ac:dyDescent="0.2">
      <c r="A7675" s="6" t="str">
        <f>"GTF2IRD1P1"</f>
        <v>GTF2IRD1P1</v>
      </c>
      <c r="B7675" s="6">
        <v>0.16</v>
      </c>
      <c r="C7675" s="6">
        <v>0.34834440536667899</v>
      </c>
    </row>
    <row r="7676" spans="1:3" s="7" customFormat="1" x14ac:dyDescent="0.2">
      <c r="A7676" s="6" t="str">
        <f>"TMEM87B"</f>
        <v>TMEM87B</v>
      </c>
      <c r="B7676" s="6">
        <v>0.16</v>
      </c>
      <c r="C7676" s="6">
        <v>0.34834440536667899</v>
      </c>
    </row>
    <row r="7677" spans="1:3" s="7" customFormat="1" x14ac:dyDescent="0.2">
      <c r="A7677" s="6" t="str">
        <f>"AJM1"</f>
        <v>AJM1</v>
      </c>
      <c r="B7677" s="6">
        <v>0.16</v>
      </c>
      <c r="C7677" s="6">
        <v>0.34834440536667899</v>
      </c>
    </row>
    <row r="7678" spans="1:3" s="7" customFormat="1" x14ac:dyDescent="0.2">
      <c r="A7678" s="6" t="str">
        <f>"AC005786.3"</f>
        <v>AC005786.3</v>
      </c>
      <c r="B7678" s="6">
        <v>0.16</v>
      </c>
      <c r="C7678" s="6">
        <v>0.34834440536667899</v>
      </c>
    </row>
    <row r="7679" spans="1:3" s="7" customFormat="1" x14ac:dyDescent="0.2">
      <c r="A7679" s="6" t="str">
        <f>"AC073270.2"</f>
        <v>AC073270.2</v>
      </c>
      <c r="B7679" s="6">
        <v>0.16016016016015999</v>
      </c>
      <c r="C7679" s="6">
        <v>0.34864768389123602</v>
      </c>
    </row>
    <row r="7680" spans="1:3" s="7" customFormat="1" x14ac:dyDescent="0.2">
      <c r="A7680" s="6" t="str">
        <f>"VNN3"</f>
        <v>VNN3</v>
      </c>
      <c r="B7680" s="6">
        <v>0.16083916083916</v>
      </c>
      <c r="C7680" s="6">
        <v>0.34908008495854198</v>
      </c>
    </row>
    <row r="7681" spans="1:3" s="7" customFormat="1" x14ac:dyDescent="0.2">
      <c r="A7681" s="6" t="str">
        <f>"TYSND1"</f>
        <v>TYSND1</v>
      </c>
      <c r="B7681" s="6">
        <v>0.16083916083916</v>
      </c>
      <c r="C7681" s="6">
        <v>0.34908008495854198</v>
      </c>
    </row>
    <row r="7682" spans="1:3" s="7" customFormat="1" x14ac:dyDescent="0.2">
      <c r="A7682" s="6" t="str">
        <f>"OR7E94P"</f>
        <v>OR7E94P</v>
      </c>
      <c r="B7682" s="6">
        <v>0.16044399596367301</v>
      </c>
      <c r="C7682" s="6">
        <v>0.34908008495854198</v>
      </c>
    </row>
    <row r="7683" spans="1:3" s="7" customFormat="1" x14ac:dyDescent="0.2">
      <c r="A7683" s="6" t="str">
        <f>"IMPA2"</f>
        <v>IMPA2</v>
      </c>
      <c r="B7683" s="6">
        <v>0.16083916083916</v>
      </c>
      <c r="C7683" s="6">
        <v>0.34908008495854198</v>
      </c>
    </row>
    <row r="7684" spans="1:3" s="7" customFormat="1" x14ac:dyDescent="0.2">
      <c r="A7684" s="6" t="str">
        <f>"TCP11L2"</f>
        <v>TCP11L2</v>
      </c>
      <c r="B7684" s="6">
        <v>0.16083916083916</v>
      </c>
      <c r="C7684" s="6">
        <v>0.34908008495854198</v>
      </c>
    </row>
    <row r="7685" spans="1:3" s="7" customFormat="1" x14ac:dyDescent="0.2">
      <c r="A7685" s="6" t="str">
        <f>"AKTIP"</f>
        <v>AKTIP</v>
      </c>
      <c r="B7685" s="6">
        <v>0.16083916083916</v>
      </c>
      <c r="C7685" s="6">
        <v>0.34908008495854198</v>
      </c>
    </row>
    <row r="7686" spans="1:3" s="7" customFormat="1" x14ac:dyDescent="0.2">
      <c r="A7686" s="6" t="str">
        <f>"BX284668.5"</f>
        <v>BX284668.5</v>
      </c>
      <c r="B7686" s="6">
        <v>0.16083916083916</v>
      </c>
      <c r="C7686" s="6">
        <v>0.34908008495854198</v>
      </c>
    </row>
    <row r="7687" spans="1:3" s="7" customFormat="1" x14ac:dyDescent="0.2">
      <c r="A7687" s="6" t="str">
        <f>"ABCA4"</f>
        <v>ABCA4</v>
      </c>
      <c r="B7687" s="6">
        <v>0.16083916083916</v>
      </c>
      <c r="C7687" s="6">
        <v>0.34908008495854198</v>
      </c>
    </row>
    <row r="7688" spans="1:3" s="7" customFormat="1" x14ac:dyDescent="0.2">
      <c r="A7688" s="6" t="str">
        <f>"AC116036.2"</f>
        <v>AC116036.2</v>
      </c>
      <c r="B7688" s="6">
        <v>0.160642570281124</v>
      </c>
      <c r="C7688" s="6">
        <v>0.34908008495854198</v>
      </c>
    </row>
    <row r="7689" spans="1:3" s="7" customFormat="1" x14ac:dyDescent="0.2">
      <c r="A7689" s="6" t="str">
        <f>"KIF27"</f>
        <v>KIF27</v>
      </c>
      <c r="B7689" s="6">
        <v>0.16083916083916</v>
      </c>
      <c r="C7689" s="6">
        <v>0.34908008495854198</v>
      </c>
    </row>
    <row r="7690" spans="1:3" s="7" customFormat="1" x14ac:dyDescent="0.2">
      <c r="A7690" s="6" t="str">
        <f>"AC092718.3"</f>
        <v>AC092718.3</v>
      </c>
      <c r="B7690" s="6">
        <v>0.16083916083916</v>
      </c>
      <c r="C7690" s="6">
        <v>0.34908008495854198</v>
      </c>
    </row>
    <row r="7691" spans="1:3" s="7" customFormat="1" x14ac:dyDescent="0.2">
      <c r="A7691" s="6" t="str">
        <f>"SOX10"</f>
        <v>SOX10</v>
      </c>
      <c r="B7691" s="6">
        <v>0.16083916083916</v>
      </c>
      <c r="C7691" s="6">
        <v>0.34908008495854198</v>
      </c>
    </row>
    <row r="7692" spans="1:3" s="7" customFormat="1" x14ac:dyDescent="0.2">
      <c r="A7692" s="6" t="str">
        <f>"FER1L4"</f>
        <v>FER1L4</v>
      </c>
      <c r="B7692" s="6">
        <v>0.16083916083916</v>
      </c>
      <c r="C7692" s="6">
        <v>0.34908008495854198</v>
      </c>
    </row>
    <row r="7693" spans="1:3" s="7" customFormat="1" x14ac:dyDescent="0.2">
      <c r="A7693" s="6" t="str">
        <f>"SCD5"</f>
        <v>SCD5</v>
      </c>
      <c r="B7693" s="6">
        <v>0.16083916083916</v>
      </c>
      <c r="C7693" s="6">
        <v>0.34908008495854198</v>
      </c>
    </row>
    <row r="7694" spans="1:3" s="7" customFormat="1" x14ac:dyDescent="0.2">
      <c r="A7694" s="6" t="str">
        <f>"ISL1"</f>
        <v>ISL1</v>
      </c>
      <c r="B7694" s="6">
        <v>0.16083916083916</v>
      </c>
      <c r="C7694" s="6">
        <v>0.34908008495854198</v>
      </c>
    </row>
    <row r="7695" spans="1:3" s="7" customFormat="1" x14ac:dyDescent="0.2">
      <c r="A7695" s="6" t="str">
        <f>"AC008555.1"</f>
        <v>AC008555.1</v>
      </c>
      <c r="B7695" s="6">
        <v>0.16083916083916</v>
      </c>
      <c r="C7695" s="6">
        <v>0.34908008495854198</v>
      </c>
    </row>
    <row r="7696" spans="1:3" s="7" customFormat="1" x14ac:dyDescent="0.2">
      <c r="A7696" s="6" t="str">
        <f>"CFI"</f>
        <v>CFI</v>
      </c>
      <c r="B7696" s="6">
        <v>0.16083916083916</v>
      </c>
      <c r="C7696" s="6">
        <v>0.34908008495854198</v>
      </c>
    </row>
    <row r="7697" spans="1:3" s="7" customFormat="1" x14ac:dyDescent="0.2">
      <c r="A7697" s="6" t="str">
        <f>"SNRNP35"</f>
        <v>SNRNP35</v>
      </c>
      <c r="B7697" s="6">
        <v>0.16083916083916</v>
      </c>
      <c r="C7697" s="6">
        <v>0.34908008495854198</v>
      </c>
    </row>
    <row r="7698" spans="1:3" s="7" customFormat="1" x14ac:dyDescent="0.2">
      <c r="A7698" s="6" t="str">
        <f>"RSPH1"</f>
        <v>RSPH1</v>
      </c>
      <c r="B7698" s="6">
        <v>0.16083916083916</v>
      </c>
      <c r="C7698" s="6">
        <v>0.34908008495854198</v>
      </c>
    </row>
    <row r="7699" spans="1:3" s="7" customFormat="1" x14ac:dyDescent="0.2">
      <c r="A7699" s="6" t="str">
        <f>"ATP10A"</f>
        <v>ATP10A</v>
      </c>
      <c r="B7699" s="6">
        <v>0.16083916083916</v>
      </c>
      <c r="C7699" s="6">
        <v>0.34908008495854198</v>
      </c>
    </row>
    <row r="7700" spans="1:3" s="7" customFormat="1" x14ac:dyDescent="0.2">
      <c r="A7700" s="6" t="str">
        <f>"RNASE10"</f>
        <v>RNASE10</v>
      </c>
      <c r="B7700" s="6">
        <v>0.16083916083916</v>
      </c>
      <c r="C7700" s="6">
        <v>0.34908008495854198</v>
      </c>
    </row>
    <row r="7701" spans="1:3" s="7" customFormat="1" x14ac:dyDescent="0.2">
      <c r="A7701" s="6" t="str">
        <f>"FUNDC1"</f>
        <v>FUNDC1</v>
      </c>
      <c r="B7701" s="6">
        <v>0.16083916083916</v>
      </c>
      <c r="C7701" s="6">
        <v>0.34908008495854198</v>
      </c>
    </row>
    <row r="7702" spans="1:3" s="7" customFormat="1" x14ac:dyDescent="0.2">
      <c r="A7702" s="6" t="str">
        <f>"PPP2R3C"</f>
        <v>PPP2R3C</v>
      </c>
      <c r="B7702" s="6">
        <v>0.16083916083916</v>
      </c>
      <c r="C7702" s="6">
        <v>0.34908008495854198</v>
      </c>
    </row>
    <row r="7703" spans="1:3" s="7" customFormat="1" x14ac:dyDescent="0.2">
      <c r="A7703" s="6" t="str">
        <f>"LINC01892"</f>
        <v>LINC01892</v>
      </c>
      <c r="B7703" s="6">
        <v>0.161</v>
      </c>
      <c r="C7703" s="6">
        <v>0.34933843956899902</v>
      </c>
    </row>
    <row r="7704" spans="1:3" s="7" customFormat="1" x14ac:dyDescent="0.2">
      <c r="A7704" s="6" t="str">
        <f>"CTD-2297D10.2"</f>
        <v>CTD-2297D10.2</v>
      </c>
      <c r="B7704" s="6">
        <v>0.161</v>
      </c>
      <c r="C7704" s="6">
        <v>0.34933843956899902</v>
      </c>
    </row>
    <row r="7705" spans="1:3" s="7" customFormat="1" x14ac:dyDescent="0.2">
      <c r="A7705" s="6" t="str">
        <f>"AC008655.1"</f>
        <v>AC008655.1</v>
      </c>
      <c r="B7705" s="6">
        <v>0.161087866108786</v>
      </c>
      <c r="C7705" s="6">
        <v>0.34948372198108202</v>
      </c>
    </row>
    <row r="7706" spans="1:3" s="7" customFormat="1" x14ac:dyDescent="0.2">
      <c r="A7706" s="6" t="str">
        <f>"AC011468.5"</f>
        <v>AC011468.5</v>
      </c>
      <c r="B7706" s="6">
        <v>0.161161161161161</v>
      </c>
      <c r="C7706" s="6">
        <v>0.349597358552582</v>
      </c>
    </row>
    <row r="7707" spans="1:3" s="7" customFormat="1" x14ac:dyDescent="0.2">
      <c r="A7707" s="6" t="str">
        <f>"PLCG2"</f>
        <v>PLCG2</v>
      </c>
      <c r="B7707" s="6">
        <v>0.16183816183816099</v>
      </c>
      <c r="C7707" s="6">
        <v>0.34997581019058499</v>
      </c>
    </row>
    <row r="7708" spans="1:3" s="7" customFormat="1" x14ac:dyDescent="0.2">
      <c r="A7708" s="6" t="str">
        <f>"AVIL"</f>
        <v>AVIL</v>
      </c>
      <c r="B7708" s="6">
        <v>0.16183816183816099</v>
      </c>
      <c r="C7708" s="6">
        <v>0.34997581019058499</v>
      </c>
    </row>
    <row r="7709" spans="1:3" s="7" customFormat="1" x14ac:dyDescent="0.2">
      <c r="A7709" s="6" t="str">
        <f>"CLPTM1L"</f>
        <v>CLPTM1L</v>
      </c>
      <c r="B7709" s="6">
        <v>0.16183816183816099</v>
      </c>
      <c r="C7709" s="6">
        <v>0.34997581019058499</v>
      </c>
    </row>
    <row r="7710" spans="1:3" s="7" customFormat="1" x14ac:dyDescent="0.2">
      <c r="A7710" s="6" t="str">
        <f>"BLZF1"</f>
        <v>BLZF1</v>
      </c>
      <c r="B7710" s="6">
        <v>0.16183816183816099</v>
      </c>
      <c r="C7710" s="6">
        <v>0.34997581019058499</v>
      </c>
    </row>
    <row r="7711" spans="1:3" s="7" customFormat="1" x14ac:dyDescent="0.2">
      <c r="A7711" s="6" t="str">
        <f>"SUMO1"</f>
        <v>SUMO1</v>
      </c>
      <c r="B7711" s="6">
        <v>0.16183816183816099</v>
      </c>
      <c r="C7711" s="6">
        <v>0.34997581019058499</v>
      </c>
    </row>
    <row r="7712" spans="1:3" s="7" customFormat="1" x14ac:dyDescent="0.2">
      <c r="A7712" s="6" t="str">
        <f>"RHOU"</f>
        <v>RHOU</v>
      </c>
      <c r="B7712" s="6">
        <v>0.16183816183816099</v>
      </c>
      <c r="C7712" s="6">
        <v>0.34997581019058499</v>
      </c>
    </row>
    <row r="7713" spans="1:3" s="7" customFormat="1" x14ac:dyDescent="0.2">
      <c r="A7713" s="6" t="str">
        <f>"HTATSF1P2"</f>
        <v>HTATSF1P2</v>
      </c>
      <c r="B7713" s="6">
        <v>0.16183816183816099</v>
      </c>
      <c r="C7713" s="6">
        <v>0.34997581019058499</v>
      </c>
    </row>
    <row r="7714" spans="1:3" s="7" customFormat="1" x14ac:dyDescent="0.2">
      <c r="A7714" s="6" t="str">
        <f>"AC090617.5"</f>
        <v>AC090617.5</v>
      </c>
      <c r="B7714" s="6">
        <v>0.16183816183816099</v>
      </c>
      <c r="C7714" s="6">
        <v>0.34997581019058499</v>
      </c>
    </row>
    <row r="7715" spans="1:3" s="7" customFormat="1" x14ac:dyDescent="0.2">
      <c r="A7715" s="6" t="str">
        <f>"AL109628.2"</f>
        <v>AL109628.2</v>
      </c>
      <c r="B7715" s="6">
        <v>0.161490683229813</v>
      </c>
      <c r="C7715" s="6">
        <v>0.34997581019058499</v>
      </c>
    </row>
    <row r="7716" spans="1:3" s="7" customFormat="1" x14ac:dyDescent="0.2">
      <c r="A7716" s="6" t="str">
        <f>"AP005212.4"</f>
        <v>AP005212.4</v>
      </c>
      <c r="B7716" s="6">
        <v>0.16183816183816099</v>
      </c>
      <c r="C7716" s="6">
        <v>0.34997581019058499</v>
      </c>
    </row>
    <row r="7717" spans="1:3" s="7" customFormat="1" x14ac:dyDescent="0.2">
      <c r="A7717" s="6" t="str">
        <f>"AC025164.1"</f>
        <v>AC025164.1</v>
      </c>
      <c r="B7717" s="6">
        <v>0.16183816183816099</v>
      </c>
      <c r="C7717" s="6">
        <v>0.34997581019058499</v>
      </c>
    </row>
    <row r="7718" spans="1:3" s="7" customFormat="1" x14ac:dyDescent="0.2">
      <c r="A7718" s="6" t="str">
        <f>"KCTD6"</f>
        <v>KCTD6</v>
      </c>
      <c r="B7718" s="6">
        <v>0.16183816183816099</v>
      </c>
      <c r="C7718" s="6">
        <v>0.34997581019058499</v>
      </c>
    </row>
    <row r="7719" spans="1:3" s="7" customFormat="1" x14ac:dyDescent="0.2">
      <c r="A7719" s="6" t="str">
        <f>"BICRA-AS1"</f>
        <v>BICRA-AS1</v>
      </c>
      <c r="B7719" s="6">
        <v>0.16183816183816099</v>
      </c>
      <c r="C7719" s="6">
        <v>0.34997581019058499</v>
      </c>
    </row>
    <row r="7720" spans="1:3" s="7" customFormat="1" x14ac:dyDescent="0.2">
      <c r="A7720" s="6" t="str">
        <f>"PANK3"</f>
        <v>PANK3</v>
      </c>
      <c r="B7720" s="6">
        <v>0.16183816183816099</v>
      </c>
      <c r="C7720" s="6">
        <v>0.34997581019058499</v>
      </c>
    </row>
    <row r="7721" spans="1:3" s="7" customFormat="1" x14ac:dyDescent="0.2">
      <c r="A7721" s="6" t="str">
        <f>"PKD1P1"</f>
        <v>PKD1P1</v>
      </c>
      <c r="B7721" s="6">
        <v>0.16183816183816099</v>
      </c>
      <c r="C7721" s="6">
        <v>0.34997581019058499</v>
      </c>
    </row>
    <row r="7722" spans="1:3" s="7" customFormat="1" x14ac:dyDescent="0.2">
      <c r="A7722" s="6" t="str">
        <f>"LINC00381"</f>
        <v>LINC00381</v>
      </c>
      <c r="B7722" s="6">
        <v>0.16183816183816099</v>
      </c>
      <c r="C7722" s="6">
        <v>0.34997581019058499</v>
      </c>
    </row>
    <row r="7723" spans="1:3" s="7" customFormat="1" x14ac:dyDescent="0.2">
      <c r="A7723" s="6" t="str">
        <f>"MTIF3"</f>
        <v>MTIF3</v>
      </c>
      <c r="B7723" s="6">
        <v>0.16183816183816099</v>
      </c>
      <c r="C7723" s="6">
        <v>0.34997581019058499</v>
      </c>
    </row>
    <row r="7724" spans="1:3" s="7" customFormat="1" x14ac:dyDescent="0.2">
      <c r="A7724" s="6" t="str">
        <f>"C11orf49"</f>
        <v>C11orf49</v>
      </c>
      <c r="B7724" s="6">
        <v>0.16183816183816099</v>
      </c>
      <c r="C7724" s="6">
        <v>0.34997581019058499</v>
      </c>
    </row>
    <row r="7725" spans="1:3" s="7" customFormat="1" x14ac:dyDescent="0.2">
      <c r="A7725" s="6" t="str">
        <f>"PCDH19"</f>
        <v>PCDH19</v>
      </c>
      <c r="B7725" s="6">
        <v>0.16183816183816099</v>
      </c>
      <c r="C7725" s="6">
        <v>0.34997581019058499</v>
      </c>
    </row>
    <row r="7726" spans="1:3" s="7" customFormat="1" x14ac:dyDescent="0.2">
      <c r="A7726" s="6" t="str">
        <f>"SLC66A2"</f>
        <v>SLC66A2</v>
      </c>
      <c r="B7726" s="6">
        <v>0.16183816183816099</v>
      </c>
      <c r="C7726" s="6">
        <v>0.34997581019058499</v>
      </c>
    </row>
    <row r="7727" spans="1:3" s="7" customFormat="1" x14ac:dyDescent="0.2">
      <c r="A7727" s="6" t="str">
        <f>"FBXO6"</f>
        <v>FBXO6</v>
      </c>
      <c r="B7727" s="6">
        <v>0.16183816183816099</v>
      </c>
      <c r="C7727" s="6">
        <v>0.34997581019058499</v>
      </c>
    </row>
    <row r="7728" spans="1:3" s="7" customFormat="1" x14ac:dyDescent="0.2">
      <c r="A7728" s="6" t="str">
        <f>"MAP3K4"</f>
        <v>MAP3K4</v>
      </c>
      <c r="B7728" s="6">
        <v>0.16183816183816099</v>
      </c>
      <c r="C7728" s="6">
        <v>0.34997581019058499</v>
      </c>
    </row>
    <row r="7729" spans="1:3" s="7" customFormat="1" x14ac:dyDescent="0.2">
      <c r="A7729" s="6" t="str">
        <f>"ING5"</f>
        <v>ING5</v>
      </c>
      <c r="B7729" s="6">
        <v>0.16183816183816099</v>
      </c>
      <c r="C7729" s="6">
        <v>0.34997581019058499</v>
      </c>
    </row>
    <row r="7730" spans="1:3" s="7" customFormat="1" x14ac:dyDescent="0.2">
      <c r="A7730" s="6" t="str">
        <f>"HM13"</f>
        <v>HM13</v>
      </c>
      <c r="B7730" s="6">
        <v>0.16183816183816099</v>
      </c>
      <c r="C7730" s="6">
        <v>0.34997581019058499</v>
      </c>
    </row>
    <row r="7731" spans="1:3" s="7" customFormat="1" x14ac:dyDescent="0.2">
      <c r="A7731" s="6" t="str">
        <f>"SUSD6"</f>
        <v>SUSD6</v>
      </c>
      <c r="B7731" s="6">
        <v>0.16200000000000001</v>
      </c>
      <c r="C7731" s="6">
        <v>0.350235157159487</v>
      </c>
    </row>
    <row r="7732" spans="1:3" s="7" customFormat="1" x14ac:dyDescent="0.2">
      <c r="A7732" s="6" t="str">
        <f>"TCEAL8"</f>
        <v>TCEAL8</v>
      </c>
      <c r="B7732" s="6">
        <v>0.16200000000000001</v>
      </c>
      <c r="C7732" s="6">
        <v>0.350235157159487</v>
      </c>
    </row>
    <row r="7733" spans="1:3" s="7" customFormat="1" x14ac:dyDescent="0.2">
      <c r="A7733" s="6" t="str">
        <f>"CIPC"</f>
        <v>CIPC</v>
      </c>
      <c r="B7733" s="6">
        <v>0.16283716283716199</v>
      </c>
      <c r="C7733" s="6">
        <v>0.35086506892617503</v>
      </c>
    </row>
    <row r="7734" spans="1:3" s="7" customFormat="1" x14ac:dyDescent="0.2">
      <c r="A7734" s="6" t="str">
        <f>"TSC22D3"</f>
        <v>TSC22D3</v>
      </c>
      <c r="B7734" s="6">
        <v>0.16283716283716199</v>
      </c>
      <c r="C7734" s="6">
        <v>0.35086506892617503</v>
      </c>
    </row>
    <row r="7735" spans="1:3" s="7" customFormat="1" x14ac:dyDescent="0.2">
      <c r="A7735" s="6" t="str">
        <f>"AC016588.2"</f>
        <v>AC016588.2</v>
      </c>
      <c r="B7735" s="6">
        <v>0.16283716283716199</v>
      </c>
      <c r="C7735" s="6">
        <v>0.35086506892617503</v>
      </c>
    </row>
    <row r="7736" spans="1:3" s="7" customFormat="1" x14ac:dyDescent="0.2">
      <c r="A7736" s="6" t="str">
        <f>"PSD3"</f>
        <v>PSD3</v>
      </c>
      <c r="B7736" s="6">
        <v>0.16283716283716199</v>
      </c>
      <c r="C7736" s="6">
        <v>0.35086506892617503</v>
      </c>
    </row>
    <row r="7737" spans="1:3" s="7" customFormat="1" x14ac:dyDescent="0.2">
      <c r="A7737" s="6" t="str">
        <f>"KCNMB2-AS1"</f>
        <v>KCNMB2-AS1</v>
      </c>
      <c r="B7737" s="6">
        <v>0.16283716283716199</v>
      </c>
      <c r="C7737" s="6">
        <v>0.35086506892617503</v>
      </c>
    </row>
    <row r="7738" spans="1:3" s="7" customFormat="1" x14ac:dyDescent="0.2">
      <c r="A7738" s="6" t="str">
        <f>"SERTAD2"</f>
        <v>SERTAD2</v>
      </c>
      <c r="B7738" s="6">
        <v>0.16283716283716199</v>
      </c>
      <c r="C7738" s="6">
        <v>0.35086506892617503</v>
      </c>
    </row>
    <row r="7739" spans="1:3" s="7" customFormat="1" x14ac:dyDescent="0.2">
      <c r="A7739" s="6" t="str">
        <f>"LINC01560"</f>
        <v>LINC01560</v>
      </c>
      <c r="B7739" s="6">
        <v>0.162487462387161</v>
      </c>
      <c r="C7739" s="6">
        <v>0.35086506892617503</v>
      </c>
    </row>
    <row r="7740" spans="1:3" s="7" customFormat="1" x14ac:dyDescent="0.2">
      <c r="A7740" s="6" t="str">
        <f>"LY6D"</f>
        <v>LY6D</v>
      </c>
      <c r="B7740" s="6">
        <v>0.16283716283716199</v>
      </c>
      <c r="C7740" s="6">
        <v>0.35086506892617503</v>
      </c>
    </row>
    <row r="7741" spans="1:3" s="7" customFormat="1" x14ac:dyDescent="0.2">
      <c r="A7741" s="6" t="str">
        <f>"MMP3"</f>
        <v>MMP3</v>
      </c>
      <c r="B7741" s="6">
        <v>0.16283716283716199</v>
      </c>
      <c r="C7741" s="6">
        <v>0.35086506892617503</v>
      </c>
    </row>
    <row r="7742" spans="1:3" s="7" customFormat="1" x14ac:dyDescent="0.2">
      <c r="A7742" s="6" t="str">
        <f>"GATA3"</f>
        <v>GATA3</v>
      </c>
      <c r="B7742" s="6">
        <v>0.16283716283716199</v>
      </c>
      <c r="C7742" s="6">
        <v>0.35086506892617503</v>
      </c>
    </row>
    <row r="7743" spans="1:3" s="7" customFormat="1" x14ac:dyDescent="0.2">
      <c r="A7743" s="6" t="str">
        <f>"LINC02875"</f>
        <v>LINC02875</v>
      </c>
      <c r="B7743" s="6">
        <v>0.16283716283716199</v>
      </c>
      <c r="C7743" s="6">
        <v>0.35086506892617503</v>
      </c>
    </row>
    <row r="7744" spans="1:3" s="7" customFormat="1" x14ac:dyDescent="0.2">
      <c r="A7744" s="6" t="str">
        <f>"AL359979.2"</f>
        <v>AL359979.2</v>
      </c>
      <c r="B7744" s="6">
        <v>0.16283716283716199</v>
      </c>
      <c r="C7744" s="6">
        <v>0.35086506892617503</v>
      </c>
    </row>
    <row r="7745" spans="1:3" s="7" customFormat="1" x14ac:dyDescent="0.2">
      <c r="A7745" s="6" t="str">
        <f>"ETV7"</f>
        <v>ETV7</v>
      </c>
      <c r="B7745" s="6">
        <v>0.16283716283716199</v>
      </c>
      <c r="C7745" s="6">
        <v>0.35086506892617503</v>
      </c>
    </row>
    <row r="7746" spans="1:3" s="7" customFormat="1" x14ac:dyDescent="0.2">
      <c r="A7746" s="6" t="str">
        <f>"LINC00665"</f>
        <v>LINC00665</v>
      </c>
      <c r="B7746" s="6">
        <v>0.16283716283716199</v>
      </c>
      <c r="C7746" s="6">
        <v>0.35086506892617503</v>
      </c>
    </row>
    <row r="7747" spans="1:3" s="7" customFormat="1" x14ac:dyDescent="0.2">
      <c r="A7747" s="6" t="str">
        <f>"FBXL17"</f>
        <v>FBXL17</v>
      </c>
      <c r="B7747" s="6">
        <v>0.16283716283716199</v>
      </c>
      <c r="C7747" s="6">
        <v>0.35086506892617503</v>
      </c>
    </row>
    <row r="7748" spans="1:3" s="7" customFormat="1" x14ac:dyDescent="0.2">
      <c r="A7748" s="6" t="str">
        <f>"HSPA7"</f>
        <v>HSPA7</v>
      </c>
      <c r="B7748" s="6">
        <v>0.16283716283716199</v>
      </c>
      <c r="C7748" s="6">
        <v>0.35086506892617503</v>
      </c>
    </row>
    <row r="7749" spans="1:3" s="7" customFormat="1" x14ac:dyDescent="0.2">
      <c r="A7749" s="6" t="str">
        <f>"CFAP20"</f>
        <v>CFAP20</v>
      </c>
      <c r="B7749" s="6">
        <v>0.16283716283716199</v>
      </c>
      <c r="C7749" s="6">
        <v>0.35086506892617503</v>
      </c>
    </row>
    <row r="7750" spans="1:3" s="7" customFormat="1" x14ac:dyDescent="0.2">
      <c r="A7750" s="6" t="str">
        <f>"PIP5K1B"</f>
        <v>PIP5K1B</v>
      </c>
      <c r="B7750" s="6">
        <v>0.16283716283716199</v>
      </c>
      <c r="C7750" s="6">
        <v>0.35086506892617503</v>
      </c>
    </row>
    <row r="7751" spans="1:3" s="7" customFormat="1" x14ac:dyDescent="0.2">
      <c r="A7751" s="6" t="str">
        <f>"MILR1"</f>
        <v>MILR1</v>
      </c>
      <c r="B7751" s="6">
        <v>0.16283716283716199</v>
      </c>
      <c r="C7751" s="6">
        <v>0.35086506892617503</v>
      </c>
    </row>
    <row r="7752" spans="1:3" s="7" customFormat="1" x14ac:dyDescent="0.2">
      <c r="A7752" s="6" t="str">
        <f>"UPF3B"</f>
        <v>UPF3B</v>
      </c>
      <c r="B7752" s="6">
        <v>0.16283716283716199</v>
      </c>
      <c r="C7752" s="6">
        <v>0.35086506892617503</v>
      </c>
    </row>
    <row r="7753" spans="1:3" s="7" customFormat="1" x14ac:dyDescent="0.2">
      <c r="A7753" s="6" t="str">
        <f>"ZNF816-ZNF321P"</f>
        <v>ZNF816-ZNF321P</v>
      </c>
      <c r="B7753" s="6">
        <v>0.16283716283716199</v>
      </c>
      <c r="C7753" s="6">
        <v>0.35086506892617503</v>
      </c>
    </row>
    <row r="7754" spans="1:3" s="7" customFormat="1" x14ac:dyDescent="0.2">
      <c r="A7754" s="6" t="str">
        <f>"KIAA0232"</f>
        <v>KIAA0232</v>
      </c>
      <c r="B7754" s="6">
        <v>0.16283716283716199</v>
      </c>
      <c r="C7754" s="6">
        <v>0.35086506892617503</v>
      </c>
    </row>
    <row r="7755" spans="1:3" s="7" customFormat="1" x14ac:dyDescent="0.2">
      <c r="A7755" s="6" t="str">
        <f>"MTDH"</f>
        <v>MTDH</v>
      </c>
      <c r="B7755" s="6">
        <v>0.16283716283716199</v>
      </c>
      <c r="C7755" s="6">
        <v>0.35086506892617503</v>
      </c>
    </row>
    <row r="7756" spans="1:3" s="7" customFormat="1" x14ac:dyDescent="0.2">
      <c r="A7756" s="6" t="str">
        <f>"PHACTR3"</f>
        <v>PHACTR3</v>
      </c>
      <c r="B7756" s="6">
        <v>0.16283716283716199</v>
      </c>
      <c r="C7756" s="6">
        <v>0.35086506892617503</v>
      </c>
    </row>
    <row r="7757" spans="1:3" s="7" customFormat="1" x14ac:dyDescent="0.2">
      <c r="A7757" s="6" t="str">
        <f>"SRCIN1"</f>
        <v>SRCIN1</v>
      </c>
      <c r="B7757" s="6">
        <v>0.16283716283716199</v>
      </c>
      <c r="C7757" s="6">
        <v>0.35086506892617503</v>
      </c>
    </row>
    <row r="7758" spans="1:3" s="7" customFormat="1" x14ac:dyDescent="0.2">
      <c r="A7758" s="6" t="str">
        <f>"NDUFAF4"</f>
        <v>NDUFAF4</v>
      </c>
      <c r="B7758" s="6">
        <v>0.16283716283716199</v>
      </c>
      <c r="C7758" s="6">
        <v>0.35086506892617503</v>
      </c>
    </row>
    <row r="7759" spans="1:3" s="7" customFormat="1" x14ac:dyDescent="0.2">
      <c r="A7759" s="6" t="str">
        <f>"AL662884.2"</f>
        <v>AL662884.2</v>
      </c>
      <c r="B7759" s="6">
        <v>0.16300000000000001</v>
      </c>
      <c r="C7759" s="6">
        <v>0.351170662541892</v>
      </c>
    </row>
    <row r="7760" spans="1:3" s="7" customFormat="1" x14ac:dyDescent="0.2">
      <c r="A7760" s="6" t="str">
        <f>"DLX2"</f>
        <v>DLX2</v>
      </c>
      <c r="B7760" s="6">
        <v>0.16383616383616301</v>
      </c>
      <c r="C7760" s="6">
        <v>0.35197399002026197</v>
      </c>
    </row>
    <row r="7761" spans="1:3" s="7" customFormat="1" x14ac:dyDescent="0.2">
      <c r="A7761" s="6" t="str">
        <f>"PDE5A"</f>
        <v>PDE5A</v>
      </c>
      <c r="B7761" s="6">
        <v>0.16383616383616301</v>
      </c>
      <c r="C7761" s="6">
        <v>0.35197399002026197</v>
      </c>
    </row>
    <row r="7762" spans="1:3" s="7" customFormat="1" x14ac:dyDescent="0.2">
      <c r="A7762" s="6" t="str">
        <f>"BCL2L2-PABPN1"</f>
        <v>BCL2L2-PABPN1</v>
      </c>
      <c r="B7762" s="6">
        <v>0.16383616383616301</v>
      </c>
      <c r="C7762" s="6">
        <v>0.35197399002026197</v>
      </c>
    </row>
    <row r="7763" spans="1:3" s="7" customFormat="1" x14ac:dyDescent="0.2">
      <c r="A7763" s="6" t="str">
        <f>"UBD"</f>
        <v>UBD</v>
      </c>
      <c r="B7763" s="6">
        <v>0.16383616383616301</v>
      </c>
      <c r="C7763" s="6">
        <v>0.35197399002026197</v>
      </c>
    </row>
    <row r="7764" spans="1:3" s="7" customFormat="1" x14ac:dyDescent="0.2">
      <c r="A7764" s="6" t="str">
        <f>"ZFAT"</f>
        <v>ZFAT</v>
      </c>
      <c r="B7764" s="6">
        <v>0.16383616383616301</v>
      </c>
      <c r="C7764" s="6">
        <v>0.35197399002026197</v>
      </c>
    </row>
    <row r="7765" spans="1:3" s="7" customFormat="1" x14ac:dyDescent="0.2">
      <c r="A7765" s="6" t="str">
        <f>"CC2D1B"</f>
        <v>CC2D1B</v>
      </c>
      <c r="B7765" s="6">
        <v>0.16383616383616301</v>
      </c>
      <c r="C7765" s="6">
        <v>0.35197399002026197</v>
      </c>
    </row>
    <row r="7766" spans="1:3" s="7" customFormat="1" x14ac:dyDescent="0.2">
      <c r="A7766" s="6" t="str">
        <f>"RPS26P6"</f>
        <v>RPS26P6</v>
      </c>
      <c r="B7766" s="6">
        <v>0.16383616383616301</v>
      </c>
      <c r="C7766" s="6">
        <v>0.35197399002026197</v>
      </c>
    </row>
    <row r="7767" spans="1:3" s="7" customFormat="1" x14ac:dyDescent="0.2">
      <c r="A7767" s="6" t="str">
        <f>"NIPSNAP3B"</f>
        <v>NIPSNAP3B</v>
      </c>
      <c r="B7767" s="6">
        <v>0.16383616383616301</v>
      </c>
      <c r="C7767" s="6">
        <v>0.35197399002026197</v>
      </c>
    </row>
    <row r="7768" spans="1:3" s="7" customFormat="1" x14ac:dyDescent="0.2">
      <c r="A7768" s="6" t="str">
        <f>"AC005324.2"</f>
        <v>AC005324.2</v>
      </c>
      <c r="B7768" s="6">
        <v>0.16383616383616301</v>
      </c>
      <c r="C7768" s="6">
        <v>0.35197399002026197</v>
      </c>
    </row>
    <row r="7769" spans="1:3" s="7" customFormat="1" x14ac:dyDescent="0.2">
      <c r="A7769" s="6" t="str">
        <f>"SFTA2"</f>
        <v>SFTA2</v>
      </c>
      <c r="B7769" s="6">
        <v>0.16383616383616301</v>
      </c>
      <c r="C7769" s="6">
        <v>0.35197399002026197</v>
      </c>
    </row>
    <row r="7770" spans="1:3" s="7" customFormat="1" x14ac:dyDescent="0.2">
      <c r="A7770" s="6" t="str">
        <f>"BX255925.3"</f>
        <v>BX255925.3</v>
      </c>
      <c r="B7770" s="6">
        <v>0.16383616383616301</v>
      </c>
      <c r="C7770" s="6">
        <v>0.35197399002026197</v>
      </c>
    </row>
    <row r="7771" spans="1:3" s="7" customFormat="1" x14ac:dyDescent="0.2">
      <c r="A7771" s="6" t="str">
        <f>"RUNX3"</f>
        <v>RUNX3</v>
      </c>
      <c r="B7771" s="6">
        <v>0.16383616383616301</v>
      </c>
      <c r="C7771" s="6">
        <v>0.35197399002026197</v>
      </c>
    </row>
    <row r="7772" spans="1:3" s="7" customFormat="1" x14ac:dyDescent="0.2">
      <c r="A7772" s="6" t="str">
        <f>"HCN3"</f>
        <v>HCN3</v>
      </c>
      <c r="B7772" s="6">
        <v>0.16383616383616301</v>
      </c>
      <c r="C7772" s="6">
        <v>0.35197399002026197</v>
      </c>
    </row>
    <row r="7773" spans="1:3" s="7" customFormat="1" x14ac:dyDescent="0.2">
      <c r="A7773" s="6" t="str">
        <f>"SEPTIN7P2"</f>
        <v>SEPTIN7P2</v>
      </c>
      <c r="B7773" s="6">
        <v>0.16383616383616301</v>
      </c>
      <c r="C7773" s="6">
        <v>0.35197399002026197</v>
      </c>
    </row>
    <row r="7774" spans="1:3" s="7" customFormat="1" x14ac:dyDescent="0.2">
      <c r="A7774" s="6" t="str">
        <f>"FBXO45"</f>
        <v>FBXO45</v>
      </c>
      <c r="B7774" s="6">
        <v>0.16383616383616301</v>
      </c>
      <c r="C7774" s="6">
        <v>0.35197399002026197</v>
      </c>
    </row>
    <row r="7775" spans="1:3" s="7" customFormat="1" x14ac:dyDescent="0.2">
      <c r="A7775" s="6" t="str">
        <f>"SYS1"</f>
        <v>SYS1</v>
      </c>
      <c r="B7775" s="6">
        <v>0.16383616383616301</v>
      </c>
      <c r="C7775" s="6">
        <v>0.35197399002026197</v>
      </c>
    </row>
    <row r="7776" spans="1:3" s="7" customFormat="1" x14ac:dyDescent="0.2">
      <c r="A7776" s="6" t="str">
        <f>"ANKRD18A"</f>
        <v>ANKRD18A</v>
      </c>
      <c r="B7776" s="6">
        <v>0.16383616383616301</v>
      </c>
      <c r="C7776" s="6">
        <v>0.35197399002026197</v>
      </c>
    </row>
    <row r="7777" spans="1:3" s="7" customFormat="1" x14ac:dyDescent="0.2">
      <c r="A7777" s="6" t="str">
        <f>"ATP10B"</f>
        <v>ATP10B</v>
      </c>
      <c r="B7777" s="6">
        <v>0.16383616383616301</v>
      </c>
      <c r="C7777" s="6">
        <v>0.35197399002026197</v>
      </c>
    </row>
    <row r="7778" spans="1:3" s="7" customFormat="1" x14ac:dyDescent="0.2">
      <c r="A7778" s="6" t="str">
        <f>"TMEM9B-AS1"</f>
        <v>TMEM9B-AS1</v>
      </c>
      <c r="B7778" s="6">
        <v>0.16383616383616301</v>
      </c>
      <c r="C7778" s="6">
        <v>0.35197399002026197</v>
      </c>
    </row>
    <row r="7779" spans="1:3" s="7" customFormat="1" x14ac:dyDescent="0.2">
      <c r="A7779" s="6" t="str">
        <f>"ZNF573"</f>
        <v>ZNF573</v>
      </c>
      <c r="B7779" s="6">
        <v>0.16383616383616301</v>
      </c>
      <c r="C7779" s="6">
        <v>0.35197399002026197</v>
      </c>
    </row>
    <row r="7780" spans="1:3" s="7" customFormat="1" x14ac:dyDescent="0.2">
      <c r="A7780" s="6" t="str">
        <f>"GPR135"</f>
        <v>GPR135</v>
      </c>
      <c r="B7780" s="6">
        <v>0.16383616383616301</v>
      </c>
      <c r="C7780" s="6">
        <v>0.35197399002026197</v>
      </c>
    </row>
    <row r="7781" spans="1:3" s="7" customFormat="1" x14ac:dyDescent="0.2">
      <c r="A7781" s="6" t="str">
        <f>"SIGMAR1"</f>
        <v>SIGMAR1</v>
      </c>
      <c r="B7781" s="6">
        <v>0.16383616383616301</v>
      </c>
      <c r="C7781" s="6">
        <v>0.35197399002026197</v>
      </c>
    </row>
    <row r="7782" spans="1:3" s="7" customFormat="1" x14ac:dyDescent="0.2">
      <c r="A7782" s="6" t="str">
        <f>"AC010331.1"</f>
        <v>AC010331.1</v>
      </c>
      <c r="B7782" s="6">
        <v>0.16430020283975599</v>
      </c>
      <c r="C7782" s="6">
        <v>0.352925535312131</v>
      </c>
    </row>
    <row r="7783" spans="1:3" s="7" customFormat="1" x14ac:dyDescent="0.2">
      <c r="A7783" s="6" t="str">
        <f>"AC008906.1"</f>
        <v>AC008906.1</v>
      </c>
      <c r="B7783" s="6">
        <v>0.16432865731462901</v>
      </c>
      <c r="C7783" s="6">
        <v>0.35294129765570698</v>
      </c>
    </row>
    <row r="7784" spans="1:3" s="7" customFormat="1" x14ac:dyDescent="0.2">
      <c r="A7784" s="6" t="str">
        <f>"CTNNBL1"</f>
        <v>CTNNBL1</v>
      </c>
      <c r="B7784" s="6">
        <v>0.164835164835164</v>
      </c>
      <c r="C7784" s="6">
        <v>0.35303113083738402</v>
      </c>
    </row>
    <row r="7785" spans="1:3" s="7" customFormat="1" x14ac:dyDescent="0.2">
      <c r="A7785" s="6" t="str">
        <f>"CLK3"</f>
        <v>CLK3</v>
      </c>
      <c r="B7785" s="6">
        <v>0.164835164835164</v>
      </c>
      <c r="C7785" s="6">
        <v>0.35303113083738402</v>
      </c>
    </row>
    <row r="7786" spans="1:3" s="7" customFormat="1" x14ac:dyDescent="0.2">
      <c r="A7786" s="6" t="str">
        <f>"IRX4"</f>
        <v>IRX4</v>
      </c>
      <c r="B7786" s="6">
        <v>0.164835164835164</v>
      </c>
      <c r="C7786" s="6">
        <v>0.35303113083738402</v>
      </c>
    </row>
    <row r="7787" spans="1:3" s="7" customFormat="1" x14ac:dyDescent="0.2">
      <c r="A7787" s="6" t="str">
        <f>"ZNF66"</f>
        <v>ZNF66</v>
      </c>
      <c r="B7787" s="6">
        <v>0.164835164835164</v>
      </c>
      <c r="C7787" s="6">
        <v>0.35303113083738402</v>
      </c>
    </row>
    <row r="7788" spans="1:3" s="7" customFormat="1" x14ac:dyDescent="0.2">
      <c r="A7788" s="6" t="str">
        <f>"GBP4"</f>
        <v>GBP4</v>
      </c>
      <c r="B7788" s="6">
        <v>0.164835164835164</v>
      </c>
      <c r="C7788" s="6">
        <v>0.35303113083738402</v>
      </c>
    </row>
    <row r="7789" spans="1:3" s="7" customFormat="1" x14ac:dyDescent="0.2">
      <c r="A7789" s="6" t="str">
        <f>"FAM120AOS"</f>
        <v>FAM120AOS</v>
      </c>
      <c r="B7789" s="6">
        <v>0.164835164835164</v>
      </c>
      <c r="C7789" s="6">
        <v>0.35303113083738402</v>
      </c>
    </row>
    <row r="7790" spans="1:3" s="7" customFormat="1" x14ac:dyDescent="0.2">
      <c r="A7790" s="6" t="str">
        <f>"AKAP5"</f>
        <v>AKAP5</v>
      </c>
      <c r="B7790" s="6">
        <v>0.164835164835164</v>
      </c>
      <c r="C7790" s="6">
        <v>0.35303113083738402</v>
      </c>
    </row>
    <row r="7791" spans="1:3" s="7" customFormat="1" x14ac:dyDescent="0.2">
      <c r="A7791" s="6" t="str">
        <f>"HLA-DQA1"</f>
        <v>HLA-DQA1</v>
      </c>
      <c r="B7791" s="6">
        <v>0.164835164835164</v>
      </c>
      <c r="C7791" s="6">
        <v>0.35303113083738402</v>
      </c>
    </row>
    <row r="7792" spans="1:3" s="7" customFormat="1" x14ac:dyDescent="0.2">
      <c r="A7792" s="6" t="str">
        <f>"TMED7-TICAM2"</f>
        <v>TMED7-TICAM2</v>
      </c>
      <c r="B7792" s="6">
        <v>0.164835164835164</v>
      </c>
      <c r="C7792" s="6">
        <v>0.35303113083738402</v>
      </c>
    </row>
    <row r="7793" spans="1:3" s="7" customFormat="1" x14ac:dyDescent="0.2">
      <c r="A7793" s="6" t="str">
        <f>"RTL8C"</f>
        <v>RTL8C</v>
      </c>
      <c r="B7793" s="6">
        <v>0.164835164835164</v>
      </c>
      <c r="C7793" s="6">
        <v>0.35303113083738402</v>
      </c>
    </row>
    <row r="7794" spans="1:3" s="7" customFormat="1" x14ac:dyDescent="0.2">
      <c r="A7794" s="6" t="str">
        <f>"CKS1B"</f>
        <v>CKS1B</v>
      </c>
      <c r="B7794" s="6">
        <v>0.164835164835164</v>
      </c>
      <c r="C7794" s="6">
        <v>0.35303113083738402</v>
      </c>
    </row>
    <row r="7795" spans="1:3" s="7" customFormat="1" x14ac:dyDescent="0.2">
      <c r="A7795" s="6" t="str">
        <f>"ANK2"</f>
        <v>ANK2</v>
      </c>
      <c r="B7795" s="6">
        <v>0.164835164835164</v>
      </c>
      <c r="C7795" s="6">
        <v>0.35303113083738402</v>
      </c>
    </row>
    <row r="7796" spans="1:3" s="7" customFormat="1" x14ac:dyDescent="0.2">
      <c r="A7796" s="6" t="str">
        <f>"ZNF468"</f>
        <v>ZNF468</v>
      </c>
      <c r="B7796" s="6">
        <v>0.164835164835164</v>
      </c>
      <c r="C7796" s="6">
        <v>0.35303113083738402</v>
      </c>
    </row>
    <row r="7797" spans="1:3" s="7" customFormat="1" x14ac:dyDescent="0.2">
      <c r="A7797" s="6" t="str">
        <f>"NFIC"</f>
        <v>NFIC</v>
      </c>
      <c r="B7797" s="6">
        <v>0.164835164835164</v>
      </c>
      <c r="C7797" s="6">
        <v>0.35303113083738402</v>
      </c>
    </row>
    <row r="7798" spans="1:3" s="7" customFormat="1" x14ac:dyDescent="0.2">
      <c r="A7798" s="6" t="str">
        <f>"PUS1"</f>
        <v>PUS1</v>
      </c>
      <c r="B7798" s="6">
        <v>0.164835164835164</v>
      </c>
      <c r="C7798" s="6">
        <v>0.35303113083738402</v>
      </c>
    </row>
    <row r="7799" spans="1:3" s="7" customFormat="1" x14ac:dyDescent="0.2">
      <c r="A7799" s="6" t="str">
        <f>"ATG3"</f>
        <v>ATG3</v>
      </c>
      <c r="B7799" s="6">
        <v>0.164835164835164</v>
      </c>
      <c r="C7799" s="6">
        <v>0.35303113083738402</v>
      </c>
    </row>
    <row r="7800" spans="1:3" s="7" customFormat="1" x14ac:dyDescent="0.2">
      <c r="A7800" s="6" t="str">
        <f>"FCHSD1"</f>
        <v>FCHSD1</v>
      </c>
      <c r="B7800" s="6">
        <v>0.164835164835164</v>
      </c>
      <c r="C7800" s="6">
        <v>0.35303113083738402</v>
      </c>
    </row>
    <row r="7801" spans="1:3" s="7" customFormat="1" x14ac:dyDescent="0.2">
      <c r="A7801" s="6" t="str">
        <f>"CD82"</f>
        <v>CD82</v>
      </c>
      <c r="B7801" s="6">
        <v>0.164835164835164</v>
      </c>
      <c r="C7801" s="6">
        <v>0.35303113083738402</v>
      </c>
    </row>
    <row r="7802" spans="1:3" s="7" customFormat="1" x14ac:dyDescent="0.2">
      <c r="A7802" s="6" t="str">
        <f>"LINC02694"</f>
        <v>LINC02694</v>
      </c>
      <c r="B7802" s="6">
        <v>0.164835164835164</v>
      </c>
      <c r="C7802" s="6">
        <v>0.35303113083738402</v>
      </c>
    </row>
    <row r="7803" spans="1:3" s="7" customFormat="1" x14ac:dyDescent="0.2">
      <c r="A7803" s="6" t="str">
        <f>"ABHD12B"</f>
        <v>ABHD12B</v>
      </c>
      <c r="B7803" s="6">
        <v>0.164835164835164</v>
      </c>
      <c r="C7803" s="6">
        <v>0.35303113083738402</v>
      </c>
    </row>
    <row r="7804" spans="1:3" s="7" customFormat="1" x14ac:dyDescent="0.2">
      <c r="A7804" s="6" t="str">
        <f>"FTH1P16"</f>
        <v>FTH1P16</v>
      </c>
      <c r="B7804" s="6">
        <v>0.16464646464646401</v>
      </c>
      <c r="C7804" s="6">
        <v>0.35303113083738402</v>
      </c>
    </row>
    <row r="7805" spans="1:3" s="7" customFormat="1" x14ac:dyDescent="0.2">
      <c r="A7805" s="6" t="str">
        <f>"PSMB6"</f>
        <v>PSMB6</v>
      </c>
      <c r="B7805" s="6">
        <v>0.164835164835164</v>
      </c>
      <c r="C7805" s="6">
        <v>0.35303113083738402</v>
      </c>
    </row>
    <row r="7806" spans="1:3" s="7" customFormat="1" x14ac:dyDescent="0.2">
      <c r="A7806" s="6" t="str">
        <f>"GTSE1-DT"</f>
        <v>GTSE1-DT</v>
      </c>
      <c r="B7806" s="6">
        <v>0.16583416583416499</v>
      </c>
      <c r="C7806" s="6">
        <v>0.35444402145169401</v>
      </c>
    </row>
    <row r="7807" spans="1:3" s="7" customFormat="1" x14ac:dyDescent="0.2">
      <c r="A7807" s="6" t="str">
        <f>"GPLD1"</f>
        <v>GPLD1</v>
      </c>
      <c r="B7807" s="6">
        <v>0.16583416583416499</v>
      </c>
      <c r="C7807" s="6">
        <v>0.35444402145169401</v>
      </c>
    </row>
    <row r="7808" spans="1:3" s="7" customFormat="1" x14ac:dyDescent="0.2">
      <c r="A7808" s="6" t="str">
        <f>"CLHC1"</f>
        <v>CLHC1</v>
      </c>
      <c r="B7808" s="6">
        <v>0.16583416583416499</v>
      </c>
      <c r="C7808" s="6">
        <v>0.35444402145169401</v>
      </c>
    </row>
    <row r="7809" spans="1:3" s="7" customFormat="1" x14ac:dyDescent="0.2">
      <c r="A7809" s="6" t="str">
        <f>"EPC2"</f>
        <v>EPC2</v>
      </c>
      <c r="B7809" s="6">
        <v>0.16583416583416499</v>
      </c>
      <c r="C7809" s="6">
        <v>0.35444402145169401</v>
      </c>
    </row>
    <row r="7810" spans="1:3" s="7" customFormat="1" x14ac:dyDescent="0.2">
      <c r="A7810" s="6" t="str">
        <f>"TBX21"</f>
        <v>TBX21</v>
      </c>
      <c r="B7810" s="6">
        <v>0.16583416583416499</v>
      </c>
      <c r="C7810" s="6">
        <v>0.35444402145169401</v>
      </c>
    </row>
    <row r="7811" spans="1:3" s="7" customFormat="1" x14ac:dyDescent="0.2">
      <c r="A7811" s="6" t="str">
        <f>"STARD7"</f>
        <v>STARD7</v>
      </c>
      <c r="B7811" s="6">
        <v>0.16583416583416499</v>
      </c>
      <c r="C7811" s="6">
        <v>0.35444402145169401</v>
      </c>
    </row>
    <row r="7812" spans="1:3" s="7" customFormat="1" x14ac:dyDescent="0.2">
      <c r="A7812" s="6" t="str">
        <f>"AC011511.4"</f>
        <v>AC011511.4</v>
      </c>
      <c r="B7812" s="6">
        <v>0.16583416583416499</v>
      </c>
      <c r="C7812" s="6">
        <v>0.35444402145169401</v>
      </c>
    </row>
    <row r="7813" spans="1:3" s="7" customFormat="1" x14ac:dyDescent="0.2">
      <c r="A7813" s="6" t="str">
        <f>"CD96"</f>
        <v>CD96</v>
      </c>
      <c r="B7813" s="6">
        <v>0.16583416583416499</v>
      </c>
      <c r="C7813" s="6">
        <v>0.35444402145169401</v>
      </c>
    </row>
    <row r="7814" spans="1:3" s="7" customFormat="1" x14ac:dyDescent="0.2">
      <c r="A7814" s="6" t="str">
        <f>"TLCD1"</f>
        <v>TLCD1</v>
      </c>
      <c r="B7814" s="6">
        <v>0.16583416583416499</v>
      </c>
      <c r="C7814" s="6">
        <v>0.35444402145169401</v>
      </c>
    </row>
    <row r="7815" spans="1:3" s="7" customFormat="1" x14ac:dyDescent="0.2">
      <c r="A7815" s="6" t="str">
        <f>"ZNF644"</f>
        <v>ZNF644</v>
      </c>
      <c r="B7815" s="6">
        <v>0.16583416583416499</v>
      </c>
      <c r="C7815" s="6">
        <v>0.35444402145169401</v>
      </c>
    </row>
    <row r="7816" spans="1:3" s="7" customFormat="1" x14ac:dyDescent="0.2">
      <c r="A7816" s="6" t="str">
        <f>"PGM5-AS1"</f>
        <v>PGM5-AS1</v>
      </c>
      <c r="B7816" s="6">
        <v>0.16583416583416499</v>
      </c>
      <c r="C7816" s="6">
        <v>0.35444402145169401</v>
      </c>
    </row>
    <row r="7817" spans="1:3" s="7" customFormat="1" x14ac:dyDescent="0.2">
      <c r="A7817" s="6" t="str">
        <f>"SLC38A7"</f>
        <v>SLC38A7</v>
      </c>
      <c r="B7817" s="6">
        <v>0.16583416583416499</v>
      </c>
      <c r="C7817" s="6">
        <v>0.35444402145169401</v>
      </c>
    </row>
    <row r="7818" spans="1:3" s="7" customFormat="1" x14ac:dyDescent="0.2">
      <c r="A7818" s="6" t="str">
        <f>"RPL21"</f>
        <v>RPL21</v>
      </c>
      <c r="B7818" s="6">
        <v>0.16583416583416499</v>
      </c>
      <c r="C7818" s="6">
        <v>0.35444402145169401</v>
      </c>
    </row>
    <row r="7819" spans="1:3" s="7" customFormat="1" x14ac:dyDescent="0.2">
      <c r="A7819" s="6" t="str">
        <f>"MOV10"</f>
        <v>MOV10</v>
      </c>
      <c r="B7819" s="6">
        <v>0.16583416583416499</v>
      </c>
      <c r="C7819" s="6">
        <v>0.35444402145169401</v>
      </c>
    </row>
    <row r="7820" spans="1:3" s="7" customFormat="1" x14ac:dyDescent="0.2">
      <c r="A7820" s="6" t="str">
        <f>"MAOA"</f>
        <v>MAOA</v>
      </c>
      <c r="B7820" s="6">
        <v>0.16583416583416499</v>
      </c>
      <c r="C7820" s="6">
        <v>0.35444402145169401</v>
      </c>
    </row>
    <row r="7821" spans="1:3" s="7" customFormat="1" x14ac:dyDescent="0.2">
      <c r="A7821" s="6" t="str">
        <f>"AL359844.1"</f>
        <v>AL359844.1</v>
      </c>
      <c r="B7821" s="6">
        <v>0.16583416583416499</v>
      </c>
      <c r="C7821" s="6">
        <v>0.35444402145169401</v>
      </c>
    </row>
    <row r="7822" spans="1:3" s="7" customFormat="1" x14ac:dyDescent="0.2">
      <c r="A7822" s="6" t="str">
        <f>"AL035251.1"</f>
        <v>AL035251.1</v>
      </c>
      <c r="B7822" s="6">
        <v>0.16615384615384601</v>
      </c>
      <c r="C7822" s="6">
        <v>0.355081880145171</v>
      </c>
    </row>
    <row r="7823" spans="1:3" s="7" customFormat="1" x14ac:dyDescent="0.2">
      <c r="A7823" s="6" t="str">
        <f>"TRAPPC2"</f>
        <v>TRAPPC2</v>
      </c>
      <c r="B7823" s="6">
        <v>0.16683316683316601</v>
      </c>
      <c r="C7823" s="6">
        <v>0.35517125849567499</v>
      </c>
    </row>
    <row r="7824" spans="1:3" s="7" customFormat="1" x14ac:dyDescent="0.2">
      <c r="A7824" s="6" t="str">
        <f>"AP003778.1"</f>
        <v>AP003778.1</v>
      </c>
      <c r="B7824" s="6">
        <v>0.16683316683316601</v>
      </c>
      <c r="C7824" s="6">
        <v>0.35517125849567499</v>
      </c>
    </row>
    <row r="7825" spans="1:3" s="7" customFormat="1" x14ac:dyDescent="0.2">
      <c r="A7825" s="6" t="str">
        <f>"RAB3A"</f>
        <v>RAB3A</v>
      </c>
      <c r="B7825" s="6">
        <v>0.16683316683316601</v>
      </c>
      <c r="C7825" s="6">
        <v>0.35517125849567499</v>
      </c>
    </row>
    <row r="7826" spans="1:3" s="7" customFormat="1" x14ac:dyDescent="0.2">
      <c r="A7826" s="6" t="str">
        <f>"PTGDS"</f>
        <v>PTGDS</v>
      </c>
      <c r="B7826" s="6">
        <v>0.16683316683316601</v>
      </c>
      <c r="C7826" s="6">
        <v>0.35517125849567499</v>
      </c>
    </row>
    <row r="7827" spans="1:3" s="7" customFormat="1" x14ac:dyDescent="0.2">
      <c r="A7827" s="6" t="str">
        <f>"PYHIN1"</f>
        <v>PYHIN1</v>
      </c>
      <c r="B7827" s="6">
        <v>0.16683316683316601</v>
      </c>
      <c r="C7827" s="6">
        <v>0.35517125849567499</v>
      </c>
    </row>
    <row r="7828" spans="1:3" s="7" customFormat="1" x14ac:dyDescent="0.2">
      <c r="A7828" s="6" t="str">
        <f>"MGC16275"</f>
        <v>MGC16275</v>
      </c>
      <c r="B7828" s="6">
        <v>0.16683316683316601</v>
      </c>
      <c r="C7828" s="6">
        <v>0.35517125849567499</v>
      </c>
    </row>
    <row r="7829" spans="1:3" s="7" customFormat="1" x14ac:dyDescent="0.2">
      <c r="A7829" s="6" t="str">
        <f>"ERG28"</f>
        <v>ERG28</v>
      </c>
      <c r="B7829" s="6">
        <v>0.16683316683316601</v>
      </c>
      <c r="C7829" s="6">
        <v>0.35517125849567499</v>
      </c>
    </row>
    <row r="7830" spans="1:3" s="7" customFormat="1" x14ac:dyDescent="0.2">
      <c r="A7830" s="6" t="str">
        <f>"LINC01426"</f>
        <v>LINC01426</v>
      </c>
      <c r="B7830" s="6">
        <v>0.16683316683316601</v>
      </c>
      <c r="C7830" s="6">
        <v>0.35517125849567499</v>
      </c>
    </row>
    <row r="7831" spans="1:3" s="7" customFormat="1" x14ac:dyDescent="0.2">
      <c r="A7831" s="6" t="str">
        <f>"ANKRD10"</f>
        <v>ANKRD10</v>
      </c>
      <c r="B7831" s="6">
        <v>0.16683316683316601</v>
      </c>
      <c r="C7831" s="6">
        <v>0.35517125849567499</v>
      </c>
    </row>
    <row r="7832" spans="1:3" s="7" customFormat="1" x14ac:dyDescent="0.2">
      <c r="A7832" s="6" t="str">
        <f>"AC005520.1"</f>
        <v>AC005520.1</v>
      </c>
      <c r="B7832" s="6">
        <v>0.16683316683316601</v>
      </c>
      <c r="C7832" s="6">
        <v>0.35517125849567499</v>
      </c>
    </row>
    <row r="7833" spans="1:3" s="7" customFormat="1" x14ac:dyDescent="0.2">
      <c r="A7833" s="6" t="str">
        <f>"AL590065.1"</f>
        <v>AL590065.1</v>
      </c>
      <c r="B7833" s="6">
        <v>0.16683316683316601</v>
      </c>
      <c r="C7833" s="6">
        <v>0.35517125849567499</v>
      </c>
    </row>
    <row r="7834" spans="1:3" s="7" customFormat="1" x14ac:dyDescent="0.2">
      <c r="A7834" s="6" t="str">
        <f>"COPS7A"</f>
        <v>COPS7A</v>
      </c>
      <c r="B7834" s="6">
        <v>0.16683316683316601</v>
      </c>
      <c r="C7834" s="6">
        <v>0.35517125849567499</v>
      </c>
    </row>
    <row r="7835" spans="1:3" s="7" customFormat="1" x14ac:dyDescent="0.2">
      <c r="A7835" s="6" t="str">
        <f>"TCTA"</f>
        <v>TCTA</v>
      </c>
      <c r="B7835" s="6">
        <v>0.16683316683316601</v>
      </c>
      <c r="C7835" s="6">
        <v>0.35517125849567499</v>
      </c>
    </row>
    <row r="7836" spans="1:3" s="7" customFormat="1" x14ac:dyDescent="0.2">
      <c r="A7836" s="6" t="str">
        <f>"OGG1"</f>
        <v>OGG1</v>
      </c>
      <c r="B7836" s="6">
        <v>0.16683316683316601</v>
      </c>
      <c r="C7836" s="6">
        <v>0.35517125849567499</v>
      </c>
    </row>
    <row r="7837" spans="1:3" s="7" customFormat="1" x14ac:dyDescent="0.2">
      <c r="A7837" s="6" t="str">
        <f>"TUBGCP3"</f>
        <v>TUBGCP3</v>
      </c>
      <c r="B7837" s="6">
        <v>0.16683316683316601</v>
      </c>
      <c r="C7837" s="6">
        <v>0.35517125849567499</v>
      </c>
    </row>
    <row r="7838" spans="1:3" s="7" customFormat="1" x14ac:dyDescent="0.2">
      <c r="A7838" s="6" t="str">
        <f>"CES1P1"</f>
        <v>CES1P1</v>
      </c>
      <c r="B7838" s="6">
        <v>0.16683316683316601</v>
      </c>
      <c r="C7838" s="6">
        <v>0.35517125849567499</v>
      </c>
    </row>
    <row r="7839" spans="1:3" s="7" customFormat="1" x14ac:dyDescent="0.2">
      <c r="A7839" s="6" t="str">
        <f>"RNASEH1-AS1"</f>
        <v>RNASEH1-AS1</v>
      </c>
      <c r="B7839" s="6">
        <v>0.16683316683316601</v>
      </c>
      <c r="C7839" s="6">
        <v>0.35517125849567499</v>
      </c>
    </row>
    <row r="7840" spans="1:3" s="7" customFormat="1" x14ac:dyDescent="0.2">
      <c r="A7840" s="6" t="str">
        <f>"SERGEF"</f>
        <v>SERGEF</v>
      </c>
      <c r="B7840" s="6">
        <v>0.16683316683316601</v>
      </c>
      <c r="C7840" s="6">
        <v>0.35517125849567499</v>
      </c>
    </row>
    <row r="7841" spans="1:3" s="7" customFormat="1" x14ac:dyDescent="0.2">
      <c r="A7841" s="6" t="str">
        <f>"PLPP1"</f>
        <v>PLPP1</v>
      </c>
      <c r="B7841" s="6">
        <v>0.16683316683316601</v>
      </c>
      <c r="C7841" s="6">
        <v>0.35517125849567499</v>
      </c>
    </row>
    <row r="7842" spans="1:3" s="7" customFormat="1" x14ac:dyDescent="0.2">
      <c r="A7842" s="6" t="str">
        <f>"SLC37A1"</f>
        <v>SLC37A1</v>
      </c>
      <c r="B7842" s="6">
        <v>0.16683316683316601</v>
      </c>
      <c r="C7842" s="6">
        <v>0.35517125849567499</v>
      </c>
    </row>
    <row r="7843" spans="1:3" s="7" customFormat="1" x14ac:dyDescent="0.2">
      <c r="A7843" s="6" t="str">
        <f>"GNMT"</f>
        <v>GNMT</v>
      </c>
      <c r="B7843" s="6">
        <v>0.16683316683316601</v>
      </c>
      <c r="C7843" s="6">
        <v>0.35517125849567499</v>
      </c>
    </row>
    <row r="7844" spans="1:3" s="7" customFormat="1" x14ac:dyDescent="0.2">
      <c r="A7844" s="6" t="str">
        <f>"GNAI3"</f>
        <v>GNAI3</v>
      </c>
      <c r="B7844" s="6">
        <v>0.16683316683316601</v>
      </c>
      <c r="C7844" s="6">
        <v>0.35517125849567499</v>
      </c>
    </row>
    <row r="7845" spans="1:3" s="7" customFormat="1" x14ac:dyDescent="0.2">
      <c r="A7845" s="6" t="str">
        <f>"AC010422.2"</f>
        <v>AC010422.2</v>
      </c>
      <c r="B7845" s="6">
        <v>0.16633266533066099</v>
      </c>
      <c r="C7845" s="6">
        <v>0.35517125849567499</v>
      </c>
    </row>
    <row r="7846" spans="1:3" s="7" customFormat="1" x14ac:dyDescent="0.2">
      <c r="A7846" s="6" t="str">
        <f>"SERTAD3"</f>
        <v>SERTAD3</v>
      </c>
      <c r="B7846" s="6">
        <v>0.16683316683316601</v>
      </c>
      <c r="C7846" s="6">
        <v>0.35517125849567499</v>
      </c>
    </row>
    <row r="7847" spans="1:3" s="7" customFormat="1" x14ac:dyDescent="0.2">
      <c r="A7847" s="6" t="str">
        <f>"PLAC8"</f>
        <v>PLAC8</v>
      </c>
      <c r="B7847" s="6">
        <v>0.16683316683316601</v>
      </c>
      <c r="C7847" s="6">
        <v>0.35517125849567499</v>
      </c>
    </row>
    <row r="7848" spans="1:3" s="7" customFormat="1" x14ac:dyDescent="0.2">
      <c r="A7848" s="6" t="str">
        <f>"SLC35E3"</f>
        <v>SLC35E3</v>
      </c>
      <c r="B7848" s="6">
        <v>0.16683316683316601</v>
      </c>
      <c r="C7848" s="6">
        <v>0.35517125849567499</v>
      </c>
    </row>
    <row r="7849" spans="1:3" s="7" customFormat="1" x14ac:dyDescent="0.2">
      <c r="A7849" s="6" t="str">
        <f>"TCHP"</f>
        <v>TCHP</v>
      </c>
      <c r="B7849" s="6">
        <v>0.16683316683316601</v>
      </c>
      <c r="C7849" s="6">
        <v>0.35517125849567499</v>
      </c>
    </row>
    <row r="7850" spans="1:3" s="7" customFormat="1" x14ac:dyDescent="0.2">
      <c r="A7850" s="6" t="str">
        <f>"FAM74A1"</f>
        <v>FAM74A1</v>
      </c>
      <c r="B7850" s="6">
        <v>0.16683316683316601</v>
      </c>
      <c r="C7850" s="6">
        <v>0.35517125849567499</v>
      </c>
    </row>
    <row r="7851" spans="1:3" s="7" customFormat="1" x14ac:dyDescent="0.2">
      <c r="A7851" s="6" t="str">
        <f>"FXYD2"</f>
        <v>FXYD2</v>
      </c>
      <c r="B7851" s="6">
        <v>0.16683316683316601</v>
      </c>
      <c r="C7851" s="6">
        <v>0.35517125849567499</v>
      </c>
    </row>
    <row r="7852" spans="1:3" s="7" customFormat="1" x14ac:dyDescent="0.2">
      <c r="A7852" s="6" t="str">
        <f>"GIMAP7"</f>
        <v>GIMAP7</v>
      </c>
      <c r="B7852" s="6">
        <v>0.16683316683316601</v>
      </c>
      <c r="C7852" s="6">
        <v>0.35517125849567499</v>
      </c>
    </row>
    <row r="7853" spans="1:3" s="7" customFormat="1" x14ac:dyDescent="0.2">
      <c r="A7853" s="6" t="str">
        <f>"AC026150.1"</f>
        <v>AC026150.1</v>
      </c>
      <c r="B7853" s="6">
        <v>0.16735112936344901</v>
      </c>
      <c r="C7853" s="6">
        <v>0.35622857567252902</v>
      </c>
    </row>
    <row r="7854" spans="1:3" s="7" customFormat="1" x14ac:dyDescent="0.2">
      <c r="A7854" s="6" t="str">
        <f>"AMZ2P1"</f>
        <v>AMZ2P1</v>
      </c>
      <c r="B7854" s="6">
        <v>0.16783216783216701</v>
      </c>
      <c r="C7854" s="6">
        <v>0.35634487463755699</v>
      </c>
    </row>
    <row r="7855" spans="1:3" s="7" customFormat="1" x14ac:dyDescent="0.2">
      <c r="A7855" s="6" t="str">
        <f>"TMEM38A"</f>
        <v>TMEM38A</v>
      </c>
      <c r="B7855" s="6">
        <v>0.16783216783216701</v>
      </c>
      <c r="C7855" s="6">
        <v>0.35634487463755699</v>
      </c>
    </row>
    <row r="7856" spans="1:3" s="7" customFormat="1" x14ac:dyDescent="0.2">
      <c r="A7856" s="6" t="str">
        <f>"CLDN15"</f>
        <v>CLDN15</v>
      </c>
      <c r="B7856" s="6">
        <v>0.16783216783216701</v>
      </c>
      <c r="C7856" s="6">
        <v>0.35634487463755699</v>
      </c>
    </row>
    <row r="7857" spans="1:3" s="7" customFormat="1" x14ac:dyDescent="0.2">
      <c r="A7857" s="6" t="str">
        <f>"PTEN"</f>
        <v>PTEN</v>
      </c>
      <c r="B7857" s="6">
        <v>0.16783216783216701</v>
      </c>
      <c r="C7857" s="6">
        <v>0.35634487463755699</v>
      </c>
    </row>
    <row r="7858" spans="1:3" s="7" customFormat="1" x14ac:dyDescent="0.2">
      <c r="A7858" s="6" t="str">
        <f>"ARMC7"</f>
        <v>ARMC7</v>
      </c>
      <c r="B7858" s="6">
        <v>0.16783216783216701</v>
      </c>
      <c r="C7858" s="6">
        <v>0.35634487463755699</v>
      </c>
    </row>
    <row r="7859" spans="1:3" s="7" customFormat="1" x14ac:dyDescent="0.2">
      <c r="A7859" s="6" t="str">
        <f>"TEPP"</f>
        <v>TEPP</v>
      </c>
      <c r="B7859" s="6">
        <v>0.16783216783216701</v>
      </c>
      <c r="C7859" s="6">
        <v>0.35634487463755699</v>
      </c>
    </row>
    <row r="7860" spans="1:3" s="7" customFormat="1" x14ac:dyDescent="0.2">
      <c r="A7860" s="6" t="str">
        <f>"OSBPL10"</f>
        <v>OSBPL10</v>
      </c>
      <c r="B7860" s="6">
        <v>0.16783216783216701</v>
      </c>
      <c r="C7860" s="6">
        <v>0.35634487463755699</v>
      </c>
    </row>
    <row r="7861" spans="1:3" s="7" customFormat="1" x14ac:dyDescent="0.2">
      <c r="A7861" s="6" t="str">
        <f>"IRF2-DT"</f>
        <v>IRF2-DT</v>
      </c>
      <c r="B7861" s="6">
        <v>0.16783216783216701</v>
      </c>
      <c r="C7861" s="6">
        <v>0.35634487463755699</v>
      </c>
    </row>
    <row r="7862" spans="1:3" s="7" customFormat="1" x14ac:dyDescent="0.2">
      <c r="A7862" s="6" t="str">
        <f>"PRR32"</f>
        <v>PRR32</v>
      </c>
      <c r="B7862" s="6">
        <v>0.16783216783216701</v>
      </c>
      <c r="C7862" s="6">
        <v>0.35634487463755699</v>
      </c>
    </row>
    <row r="7863" spans="1:3" s="7" customFormat="1" x14ac:dyDescent="0.2">
      <c r="A7863" s="6" t="str">
        <f>"TBX10"</f>
        <v>TBX10</v>
      </c>
      <c r="B7863" s="6">
        <v>0.167670682730923</v>
      </c>
      <c r="C7863" s="6">
        <v>0.35634487463755699</v>
      </c>
    </row>
    <row r="7864" spans="1:3" s="7" customFormat="1" x14ac:dyDescent="0.2">
      <c r="A7864" s="6" t="str">
        <f>"NSMF"</f>
        <v>NSMF</v>
      </c>
      <c r="B7864" s="6">
        <v>0.16783216783216701</v>
      </c>
      <c r="C7864" s="6">
        <v>0.35634487463755699</v>
      </c>
    </row>
    <row r="7865" spans="1:3" s="7" customFormat="1" x14ac:dyDescent="0.2">
      <c r="A7865" s="6" t="str">
        <f>"LINC01347"</f>
        <v>LINC01347</v>
      </c>
      <c r="B7865" s="6">
        <v>0.16783216783216701</v>
      </c>
      <c r="C7865" s="6">
        <v>0.35634487463755699</v>
      </c>
    </row>
    <row r="7866" spans="1:3" s="7" customFormat="1" x14ac:dyDescent="0.2">
      <c r="A7866" s="6" t="str">
        <f>"ZNF710-AS1"</f>
        <v>ZNF710-AS1</v>
      </c>
      <c r="B7866" s="6">
        <v>0.16783216783216701</v>
      </c>
      <c r="C7866" s="6">
        <v>0.35634487463755699</v>
      </c>
    </row>
    <row r="7867" spans="1:3" s="7" customFormat="1" x14ac:dyDescent="0.2">
      <c r="A7867" s="6" t="str">
        <f>"TELO2"</f>
        <v>TELO2</v>
      </c>
      <c r="B7867" s="6">
        <v>0.16783216783216701</v>
      </c>
      <c r="C7867" s="6">
        <v>0.35634487463755699</v>
      </c>
    </row>
    <row r="7868" spans="1:3" s="7" customFormat="1" x14ac:dyDescent="0.2">
      <c r="A7868" s="6" t="str">
        <f>"TUSC3"</f>
        <v>TUSC3</v>
      </c>
      <c r="B7868" s="6">
        <v>0.16783216783216701</v>
      </c>
      <c r="C7868" s="6">
        <v>0.35634487463755699</v>
      </c>
    </row>
    <row r="7869" spans="1:3" s="7" customFormat="1" x14ac:dyDescent="0.2">
      <c r="A7869" s="6" t="str">
        <f>"AC016705.2"</f>
        <v>AC016705.2</v>
      </c>
      <c r="B7869" s="6">
        <v>0.16783216783216701</v>
      </c>
      <c r="C7869" s="6">
        <v>0.35634487463755699</v>
      </c>
    </row>
    <row r="7870" spans="1:3" s="7" customFormat="1" x14ac:dyDescent="0.2">
      <c r="A7870" s="6" t="str">
        <f>"TDRD3"</f>
        <v>TDRD3</v>
      </c>
      <c r="B7870" s="6">
        <v>0.16783216783216701</v>
      </c>
      <c r="C7870" s="6">
        <v>0.35634487463755699</v>
      </c>
    </row>
    <row r="7871" spans="1:3" s="7" customFormat="1" x14ac:dyDescent="0.2">
      <c r="A7871" s="6" t="str">
        <f>"AC092295.2"</f>
        <v>AC092295.2</v>
      </c>
      <c r="B7871" s="6">
        <v>0.16783216783216701</v>
      </c>
      <c r="C7871" s="6">
        <v>0.35634487463755699</v>
      </c>
    </row>
    <row r="7872" spans="1:3" s="7" customFormat="1" x14ac:dyDescent="0.2">
      <c r="A7872" s="6" t="str">
        <f>"AL138752.2"</f>
        <v>AL138752.2</v>
      </c>
      <c r="B7872" s="6">
        <v>0.16783216783216701</v>
      </c>
      <c r="C7872" s="6">
        <v>0.35634487463755699</v>
      </c>
    </row>
    <row r="7873" spans="1:3" s="7" customFormat="1" x14ac:dyDescent="0.2">
      <c r="A7873" s="6" t="str">
        <f>"UQCRC1"</f>
        <v>UQCRC1</v>
      </c>
      <c r="B7873" s="6">
        <v>0.16783216783216701</v>
      </c>
      <c r="C7873" s="6">
        <v>0.35634487463755699</v>
      </c>
    </row>
    <row r="7874" spans="1:3" s="7" customFormat="1" x14ac:dyDescent="0.2">
      <c r="A7874" s="6" t="str">
        <f>"KL"</f>
        <v>KL</v>
      </c>
      <c r="B7874" s="6">
        <v>0.16800000000000001</v>
      </c>
      <c r="C7874" s="6">
        <v>0.356655912612727</v>
      </c>
    </row>
    <row r="7875" spans="1:3" s="7" customFormat="1" x14ac:dyDescent="0.2">
      <c r="A7875" s="6" t="str">
        <f>"IGHV3-7"</f>
        <v>IGHV3-7</v>
      </c>
      <c r="B7875" s="6">
        <v>0.168336673346693</v>
      </c>
      <c r="C7875" s="6">
        <v>0.357325267756747</v>
      </c>
    </row>
    <row r="7876" spans="1:3" s="7" customFormat="1" x14ac:dyDescent="0.2">
      <c r="A7876" s="6" t="str">
        <f>"LRR1"</f>
        <v>LRR1</v>
      </c>
      <c r="B7876" s="6">
        <v>0.168831168831168</v>
      </c>
      <c r="C7876" s="6">
        <v>0.357512245767661</v>
      </c>
    </row>
    <row r="7877" spans="1:3" s="7" customFormat="1" x14ac:dyDescent="0.2">
      <c r="A7877" s="6" t="str">
        <f>"AC005225.2"</f>
        <v>AC005225.2</v>
      </c>
      <c r="B7877" s="6">
        <v>0.168831168831168</v>
      </c>
      <c r="C7877" s="6">
        <v>0.357512245767661</v>
      </c>
    </row>
    <row r="7878" spans="1:3" s="7" customFormat="1" x14ac:dyDescent="0.2">
      <c r="A7878" s="6" t="str">
        <f>"ODR4"</f>
        <v>ODR4</v>
      </c>
      <c r="B7878" s="6">
        <v>0.168831168831168</v>
      </c>
      <c r="C7878" s="6">
        <v>0.357512245767661</v>
      </c>
    </row>
    <row r="7879" spans="1:3" s="7" customFormat="1" x14ac:dyDescent="0.2">
      <c r="A7879" s="6" t="str">
        <f>"CALB2"</f>
        <v>CALB2</v>
      </c>
      <c r="B7879" s="6">
        <v>0.168831168831168</v>
      </c>
      <c r="C7879" s="6">
        <v>0.357512245767661</v>
      </c>
    </row>
    <row r="7880" spans="1:3" s="7" customFormat="1" x14ac:dyDescent="0.2">
      <c r="A7880" s="6" t="str">
        <f>"TFAP2B"</f>
        <v>TFAP2B</v>
      </c>
      <c r="B7880" s="6">
        <v>0.168831168831168</v>
      </c>
      <c r="C7880" s="6">
        <v>0.357512245767661</v>
      </c>
    </row>
    <row r="7881" spans="1:3" s="7" customFormat="1" x14ac:dyDescent="0.2">
      <c r="A7881" s="6" t="str">
        <f>"HPS6"</f>
        <v>HPS6</v>
      </c>
      <c r="B7881" s="6">
        <v>0.168831168831168</v>
      </c>
      <c r="C7881" s="6">
        <v>0.357512245767661</v>
      </c>
    </row>
    <row r="7882" spans="1:3" s="7" customFormat="1" x14ac:dyDescent="0.2">
      <c r="A7882" s="6" t="str">
        <f>"SDAD1"</f>
        <v>SDAD1</v>
      </c>
      <c r="B7882" s="6">
        <v>0.168831168831168</v>
      </c>
      <c r="C7882" s="6">
        <v>0.357512245767661</v>
      </c>
    </row>
    <row r="7883" spans="1:3" s="7" customFormat="1" x14ac:dyDescent="0.2">
      <c r="A7883" s="6" t="str">
        <f>"NUDT6"</f>
        <v>NUDT6</v>
      </c>
      <c r="B7883" s="6">
        <v>0.168831168831168</v>
      </c>
      <c r="C7883" s="6">
        <v>0.357512245767661</v>
      </c>
    </row>
    <row r="7884" spans="1:3" s="7" customFormat="1" x14ac:dyDescent="0.2">
      <c r="A7884" s="6" t="str">
        <f>"TMEM209"</f>
        <v>TMEM209</v>
      </c>
      <c r="B7884" s="6">
        <v>0.168831168831168</v>
      </c>
      <c r="C7884" s="6">
        <v>0.357512245767661</v>
      </c>
    </row>
    <row r="7885" spans="1:3" s="7" customFormat="1" x14ac:dyDescent="0.2">
      <c r="A7885" s="6" t="str">
        <f>"HYAL2"</f>
        <v>HYAL2</v>
      </c>
      <c r="B7885" s="6">
        <v>0.168831168831168</v>
      </c>
      <c r="C7885" s="6">
        <v>0.357512245767661</v>
      </c>
    </row>
    <row r="7886" spans="1:3" s="7" customFormat="1" x14ac:dyDescent="0.2">
      <c r="A7886" s="6" t="str">
        <f>"USP35"</f>
        <v>USP35</v>
      </c>
      <c r="B7886" s="6">
        <v>0.168831168831168</v>
      </c>
      <c r="C7886" s="6">
        <v>0.357512245767661</v>
      </c>
    </row>
    <row r="7887" spans="1:3" s="7" customFormat="1" x14ac:dyDescent="0.2">
      <c r="A7887" s="6" t="str">
        <f>"FAM198B-AS1"</f>
        <v>FAM198B-AS1</v>
      </c>
      <c r="B7887" s="6">
        <v>0.168831168831168</v>
      </c>
      <c r="C7887" s="6">
        <v>0.357512245767661</v>
      </c>
    </row>
    <row r="7888" spans="1:3" s="7" customFormat="1" x14ac:dyDescent="0.2">
      <c r="A7888" s="6" t="str">
        <f>"TRAPPC13"</f>
        <v>TRAPPC13</v>
      </c>
      <c r="B7888" s="6">
        <v>0.168831168831168</v>
      </c>
      <c r="C7888" s="6">
        <v>0.357512245767661</v>
      </c>
    </row>
    <row r="7889" spans="1:3" s="7" customFormat="1" x14ac:dyDescent="0.2">
      <c r="A7889" s="6" t="str">
        <f>"AL117336.2"</f>
        <v>AL117336.2</v>
      </c>
      <c r="B7889" s="6">
        <v>0.168831168831168</v>
      </c>
      <c r="C7889" s="6">
        <v>0.357512245767661</v>
      </c>
    </row>
    <row r="7890" spans="1:3" s="7" customFormat="1" x14ac:dyDescent="0.2">
      <c r="A7890" s="6" t="str">
        <f>"ARL6"</f>
        <v>ARL6</v>
      </c>
      <c r="B7890" s="6">
        <v>0.168831168831168</v>
      </c>
      <c r="C7890" s="6">
        <v>0.357512245767661</v>
      </c>
    </row>
    <row r="7891" spans="1:3" s="7" customFormat="1" x14ac:dyDescent="0.2">
      <c r="A7891" s="6" t="str">
        <f>"FAM124A"</f>
        <v>FAM124A</v>
      </c>
      <c r="B7891" s="6">
        <v>0.168831168831168</v>
      </c>
      <c r="C7891" s="6">
        <v>0.357512245767661</v>
      </c>
    </row>
    <row r="7892" spans="1:3" s="7" customFormat="1" x14ac:dyDescent="0.2">
      <c r="A7892" s="6" t="str">
        <f>"DLEU2L"</f>
        <v>DLEU2L</v>
      </c>
      <c r="B7892" s="6">
        <v>0.168831168831168</v>
      </c>
      <c r="C7892" s="6">
        <v>0.357512245767661</v>
      </c>
    </row>
    <row r="7893" spans="1:3" s="7" customFormat="1" x14ac:dyDescent="0.2">
      <c r="A7893" s="6" t="str">
        <f>"YPEL1"</f>
        <v>YPEL1</v>
      </c>
      <c r="B7893" s="6">
        <v>0.168831168831168</v>
      </c>
      <c r="C7893" s="6">
        <v>0.357512245767661</v>
      </c>
    </row>
    <row r="7894" spans="1:3" s="7" customFormat="1" x14ac:dyDescent="0.2">
      <c r="A7894" s="6" t="str">
        <f>"MGAT1"</f>
        <v>MGAT1</v>
      </c>
      <c r="B7894" s="6">
        <v>0.168831168831168</v>
      </c>
      <c r="C7894" s="6">
        <v>0.357512245767661</v>
      </c>
    </row>
    <row r="7895" spans="1:3" s="7" customFormat="1" x14ac:dyDescent="0.2">
      <c r="A7895" s="6" t="str">
        <f>"CHCHD3"</f>
        <v>CHCHD3</v>
      </c>
      <c r="B7895" s="6">
        <v>0.16900000000000001</v>
      </c>
      <c r="C7895" s="6">
        <v>0.35782442361286998</v>
      </c>
    </row>
    <row r="7896" spans="1:3" s="7" customFormat="1" x14ac:dyDescent="0.2">
      <c r="A7896" s="6" t="str">
        <f>"ZNF714"</f>
        <v>ZNF714</v>
      </c>
      <c r="B7896" s="6">
        <v>0.16983016983016899</v>
      </c>
      <c r="C7896" s="6">
        <v>0.35876408727773701</v>
      </c>
    </row>
    <row r="7897" spans="1:3" s="7" customFormat="1" x14ac:dyDescent="0.2">
      <c r="A7897" s="6" t="str">
        <f>"IL4I1"</f>
        <v>IL4I1</v>
      </c>
      <c r="B7897" s="6">
        <v>0.16983016983016899</v>
      </c>
      <c r="C7897" s="6">
        <v>0.35876408727773701</v>
      </c>
    </row>
    <row r="7898" spans="1:3" s="7" customFormat="1" x14ac:dyDescent="0.2">
      <c r="A7898" s="6" t="str">
        <f>"RHEBP2"</f>
        <v>RHEBP2</v>
      </c>
      <c r="B7898" s="6">
        <v>0.16983016983016899</v>
      </c>
      <c r="C7898" s="6">
        <v>0.35876408727773701</v>
      </c>
    </row>
    <row r="7899" spans="1:3" s="7" customFormat="1" x14ac:dyDescent="0.2">
      <c r="A7899" s="6" t="str">
        <f>"SLC1A4"</f>
        <v>SLC1A4</v>
      </c>
      <c r="B7899" s="6">
        <v>0.16983016983016899</v>
      </c>
      <c r="C7899" s="6">
        <v>0.35876408727773701</v>
      </c>
    </row>
    <row r="7900" spans="1:3" s="7" customFormat="1" x14ac:dyDescent="0.2">
      <c r="A7900" s="6" t="str">
        <f>"ABCB5"</f>
        <v>ABCB5</v>
      </c>
      <c r="B7900" s="6">
        <v>0.16983016983016899</v>
      </c>
      <c r="C7900" s="6">
        <v>0.35876408727773701</v>
      </c>
    </row>
    <row r="7901" spans="1:3" s="7" customFormat="1" x14ac:dyDescent="0.2">
      <c r="A7901" s="6" t="str">
        <f>"NET1"</f>
        <v>NET1</v>
      </c>
      <c r="B7901" s="6">
        <v>0.16983016983016899</v>
      </c>
      <c r="C7901" s="6">
        <v>0.35876408727773701</v>
      </c>
    </row>
    <row r="7902" spans="1:3" s="7" customFormat="1" x14ac:dyDescent="0.2">
      <c r="A7902" s="6" t="str">
        <f>"RPL36A-HNRNPH2"</f>
        <v>RPL36A-HNRNPH2</v>
      </c>
      <c r="B7902" s="6">
        <v>0.16983016983016899</v>
      </c>
      <c r="C7902" s="6">
        <v>0.35876408727773701</v>
      </c>
    </row>
    <row r="7903" spans="1:3" s="7" customFormat="1" x14ac:dyDescent="0.2">
      <c r="A7903" s="6" t="str">
        <f>"CLASRP"</f>
        <v>CLASRP</v>
      </c>
      <c r="B7903" s="6">
        <v>0.16983016983016899</v>
      </c>
      <c r="C7903" s="6">
        <v>0.35876408727773701</v>
      </c>
    </row>
    <row r="7904" spans="1:3" s="7" customFormat="1" x14ac:dyDescent="0.2">
      <c r="A7904" s="6" t="str">
        <f>"IGLV3-21"</f>
        <v>IGLV3-21</v>
      </c>
      <c r="B7904" s="6">
        <v>0.16983016983016899</v>
      </c>
      <c r="C7904" s="6">
        <v>0.35876408727773701</v>
      </c>
    </row>
    <row r="7905" spans="1:3" s="7" customFormat="1" x14ac:dyDescent="0.2">
      <c r="A7905" s="6" t="str">
        <f>"TP53"</f>
        <v>TP53</v>
      </c>
      <c r="B7905" s="6">
        <v>0.16983016983016899</v>
      </c>
      <c r="C7905" s="6">
        <v>0.35876408727773701</v>
      </c>
    </row>
    <row r="7906" spans="1:3" s="7" customFormat="1" x14ac:dyDescent="0.2">
      <c r="A7906" s="6" t="str">
        <f>"U2AF1L5"</f>
        <v>U2AF1L5</v>
      </c>
      <c r="B7906" s="6">
        <v>0.16983016983016899</v>
      </c>
      <c r="C7906" s="6">
        <v>0.35876408727773701</v>
      </c>
    </row>
    <row r="7907" spans="1:3" s="7" customFormat="1" x14ac:dyDescent="0.2">
      <c r="A7907" s="6" t="str">
        <f>"AC109449.1"</f>
        <v>AC109449.1</v>
      </c>
      <c r="B7907" s="6">
        <v>0.16983016983016899</v>
      </c>
      <c r="C7907" s="6">
        <v>0.35876408727773701</v>
      </c>
    </row>
    <row r="7908" spans="1:3" s="7" customFormat="1" x14ac:dyDescent="0.2">
      <c r="A7908" s="6" t="str">
        <f>"AL356234.1"</f>
        <v>AL356234.1</v>
      </c>
      <c r="B7908" s="6">
        <v>0.16983016983016899</v>
      </c>
      <c r="C7908" s="6">
        <v>0.35876408727773701</v>
      </c>
    </row>
    <row r="7909" spans="1:3" s="7" customFormat="1" x14ac:dyDescent="0.2">
      <c r="A7909" s="6" t="str">
        <f>"TTBK2"</f>
        <v>TTBK2</v>
      </c>
      <c r="B7909" s="6">
        <v>0.16983016983016899</v>
      </c>
      <c r="C7909" s="6">
        <v>0.35876408727773701</v>
      </c>
    </row>
    <row r="7910" spans="1:3" s="7" customFormat="1" x14ac:dyDescent="0.2">
      <c r="A7910" s="6" t="str">
        <f>"C1orf174"</f>
        <v>C1orf174</v>
      </c>
      <c r="B7910" s="6">
        <v>0.16983016983016899</v>
      </c>
      <c r="C7910" s="6">
        <v>0.35876408727773701</v>
      </c>
    </row>
    <row r="7911" spans="1:3" s="7" customFormat="1" x14ac:dyDescent="0.2">
      <c r="A7911" s="6" t="str">
        <f>"ERC2"</f>
        <v>ERC2</v>
      </c>
      <c r="B7911" s="6">
        <v>0.16983016983016899</v>
      </c>
      <c r="C7911" s="6">
        <v>0.35876408727773701</v>
      </c>
    </row>
    <row r="7912" spans="1:3" s="7" customFormat="1" x14ac:dyDescent="0.2">
      <c r="A7912" s="6" t="str">
        <f>"PPRC1"</f>
        <v>PPRC1</v>
      </c>
      <c r="B7912" s="6">
        <v>0.16983016983016899</v>
      </c>
      <c r="C7912" s="6">
        <v>0.35876408727773701</v>
      </c>
    </row>
    <row r="7913" spans="1:3" s="7" customFormat="1" x14ac:dyDescent="0.2">
      <c r="A7913" s="6" t="str">
        <f>"LZTR1"</f>
        <v>LZTR1</v>
      </c>
      <c r="B7913" s="6">
        <v>0.16983016983016899</v>
      </c>
      <c r="C7913" s="6">
        <v>0.35876408727773701</v>
      </c>
    </row>
    <row r="7914" spans="1:3" s="7" customFormat="1" x14ac:dyDescent="0.2">
      <c r="A7914" s="6" t="str">
        <f>"LINC01534"</f>
        <v>LINC01534</v>
      </c>
      <c r="B7914" s="6">
        <v>0.17</v>
      </c>
      <c r="C7914" s="6">
        <v>0.35903209502147998</v>
      </c>
    </row>
    <row r="7915" spans="1:3" s="7" customFormat="1" x14ac:dyDescent="0.2">
      <c r="A7915" s="6" t="str">
        <f>"AKR1E2"</f>
        <v>AKR1E2</v>
      </c>
      <c r="B7915" s="6">
        <v>0.17</v>
      </c>
      <c r="C7915" s="6">
        <v>0.35903209502147998</v>
      </c>
    </row>
    <row r="7916" spans="1:3" s="7" customFormat="1" x14ac:dyDescent="0.2">
      <c r="A7916" s="6" t="str">
        <f>"AC123768.2"</f>
        <v>AC123768.2</v>
      </c>
      <c r="B7916" s="6">
        <v>0.170289855072463</v>
      </c>
      <c r="C7916" s="6">
        <v>0.35959881714228098</v>
      </c>
    </row>
    <row r="7917" spans="1:3" s="7" customFormat="1" x14ac:dyDescent="0.2">
      <c r="A7917" s="6" t="str">
        <f>"CCDC125"</f>
        <v>CCDC125</v>
      </c>
      <c r="B7917" s="6">
        <v>0.17082917082917001</v>
      </c>
      <c r="C7917" s="6">
        <v>0.35987380403815999</v>
      </c>
    </row>
    <row r="7918" spans="1:3" s="7" customFormat="1" x14ac:dyDescent="0.2">
      <c r="A7918" s="6" t="str">
        <f>"OPRPN"</f>
        <v>OPRPN</v>
      </c>
      <c r="B7918" s="6">
        <v>0.17082917082917001</v>
      </c>
      <c r="C7918" s="6">
        <v>0.35987380403815999</v>
      </c>
    </row>
    <row r="7919" spans="1:3" s="7" customFormat="1" x14ac:dyDescent="0.2">
      <c r="A7919" s="6" t="str">
        <f>"PLAAT4"</f>
        <v>PLAAT4</v>
      </c>
      <c r="B7919" s="6">
        <v>0.17082917082917001</v>
      </c>
      <c r="C7919" s="6">
        <v>0.35987380403815999</v>
      </c>
    </row>
    <row r="7920" spans="1:3" s="7" customFormat="1" x14ac:dyDescent="0.2">
      <c r="A7920" s="6" t="str">
        <f>"CPLANE1"</f>
        <v>CPLANE1</v>
      </c>
      <c r="B7920" s="6">
        <v>0.17082917082917001</v>
      </c>
      <c r="C7920" s="6">
        <v>0.35987380403815999</v>
      </c>
    </row>
    <row r="7921" spans="1:3" s="7" customFormat="1" x14ac:dyDescent="0.2">
      <c r="A7921" s="6" t="str">
        <f>"THOC2"</f>
        <v>THOC2</v>
      </c>
      <c r="B7921" s="6">
        <v>0.17082917082917001</v>
      </c>
      <c r="C7921" s="6">
        <v>0.35987380403815999</v>
      </c>
    </row>
    <row r="7922" spans="1:3" s="7" customFormat="1" x14ac:dyDescent="0.2">
      <c r="A7922" s="6" t="str">
        <f>"NT5C3B"</f>
        <v>NT5C3B</v>
      </c>
      <c r="B7922" s="6">
        <v>0.17082917082917001</v>
      </c>
      <c r="C7922" s="6">
        <v>0.35987380403815999</v>
      </c>
    </row>
    <row r="7923" spans="1:3" s="7" customFormat="1" x14ac:dyDescent="0.2">
      <c r="A7923" s="6" t="str">
        <f>"AL356108.1"</f>
        <v>AL356108.1</v>
      </c>
      <c r="B7923" s="6">
        <v>0.17048054919908401</v>
      </c>
      <c r="C7923" s="6">
        <v>0.35987380403815999</v>
      </c>
    </row>
    <row r="7924" spans="1:3" s="7" customFormat="1" x14ac:dyDescent="0.2">
      <c r="A7924" s="6" t="str">
        <f>"AK6"</f>
        <v>AK6</v>
      </c>
      <c r="B7924" s="6">
        <v>0.17082917082917001</v>
      </c>
      <c r="C7924" s="6">
        <v>0.35987380403815999</v>
      </c>
    </row>
    <row r="7925" spans="1:3" s="7" customFormat="1" x14ac:dyDescent="0.2">
      <c r="A7925" s="6" t="str">
        <f>"GPN3"</f>
        <v>GPN3</v>
      </c>
      <c r="B7925" s="6">
        <v>0.17082917082917001</v>
      </c>
      <c r="C7925" s="6">
        <v>0.35987380403815999</v>
      </c>
    </row>
    <row r="7926" spans="1:3" s="7" customFormat="1" x14ac:dyDescent="0.2">
      <c r="A7926" s="6" t="str">
        <f>"SERPINB3"</f>
        <v>SERPINB3</v>
      </c>
      <c r="B7926" s="6">
        <v>0.17082917082917001</v>
      </c>
      <c r="C7926" s="6">
        <v>0.35987380403815999</v>
      </c>
    </row>
    <row r="7927" spans="1:3" s="7" customFormat="1" x14ac:dyDescent="0.2">
      <c r="A7927" s="6" t="str">
        <f>"ITK"</f>
        <v>ITK</v>
      </c>
      <c r="B7927" s="6">
        <v>0.17082917082917001</v>
      </c>
      <c r="C7927" s="6">
        <v>0.35987380403815999</v>
      </c>
    </row>
    <row r="7928" spans="1:3" s="7" customFormat="1" x14ac:dyDescent="0.2">
      <c r="A7928" s="6" t="str">
        <f>"EFHD1"</f>
        <v>EFHD1</v>
      </c>
      <c r="B7928" s="6">
        <v>0.17082917082917001</v>
      </c>
      <c r="C7928" s="6">
        <v>0.35987380403815999</v>
      </c>
    </row>
    <row r="7929" spans="1:3" s="7" customFormat="1" x14ac:dyDescent="0.2">
      <c r="A7929" s="6" t="str">
        <f>"CDCP1"</f>
        <v>CDCP1</v>
      </c>
      <c r="B7929" s="6">
        <v>0.17082917082917001</v>
      </c>
      <c r="C7929" s="6">
        <v>0.35987380403815999</v>
      </c>
    </row>
    <row r="7930" spans="1:3" s="7" customFormat="1" x14ac:dyDescent="0.2">
      <c r="A7930" s="6" t="str">
        <f>"RSPH10B2"</f>
        <v>RSPH10B2</v>
      </c>
      <c r="B7930" s="6">
        <v>0.17082917082917001</v>
      </c>
      <c r="C7930" s="6">
        <v>0.35987380403815999</v>
      </c>
    </row>
    <row r="7931" spans="1:3" s="7" customFormat="1" x14ac:dyDescent="0.2">
      <c r="A7931" s="6" t="str">
        <f>"AC006030.1"</f>
        <v>AC006030.1</v>
      </c>
      <c r="B7931" s="6">
        <v>0.17082917082917001</v>
      </c>
      <c r="C7931" s="6">
        <v>0.35987380403815999</v>
      </c>
    </row>
    <row r="7932" spans="1:3" s="7" customFormat="1" x14ac:dyDescent="0.2">
      <c r="A7932" s="6" t="str">
        <f>"TLR5"</f>
        <v>TLR5</v>
      </c>
      <c r="B7932" s="6">
        <v>0.17082917082917001</v>
      </c>
      <c r="C7932" s="6">
        <v>0.35987380403815999</v>
      </c>
    </row>
    <row r="7933" spans="1:3" s="7" customFormat="1" x14ac:dyDescent="0.2">
      <c r="A7933" s="6" t="str">
        <f>"SSPOP"</f>
        <v>SSPOP</v>
      </c>
      <c r="B7933" s="6">
        <v>0.17082917082917001</v>
      </c>
      <c r="C7933" s="6">
        <v>0.35987380403815999</v>
      </c>
    </row>
    <row r="7934" spans="1:3" s="7" customFormat="1" x14ac:dyDescent="0.2">
      <c r="A7934" s="6" t="str">
        <f>"NFE2L1"</f>
        <v>NFE2L1</v>
      </c>
      <c r="B7934" s="6">
        <v>0.17082917082917001</v>
      </c>
      <c r="C7934" s="6">
        <v>0.35987380403815999</v>
      </c>
    </row>
    <row r="7935" spans="1:3" s="7" customFormat="1" x14ac:dyDescent="0.2">
      <c r="A7935" s="6" t="str">
        <f>"GINS4"</f>
        <v>GINS4</v>
      </c>
      <c r="B7935" s="6">
        <v>0.17082917082917001</v>
      </c>
      <c r="C7935" s="6">
        <v>0.35987380403815999</v>
      </c>
    </row>
    <row r="7936" spans="1:3" s="7" customFormat="1" x14ac:dyDescent="0.2">
      <c r="A7936" s="6" t="str">
        <f>"RN7SL670P"</f>
        <v>RN7SL670P</v>
      </c>
      <c r="B7936" s="6">
        <v>0.17100000000000001</v>
      </c>
      <c r="C7936" s="6">
        <v>0.36014289314516101</v>
      </c>
    </row>
    <row r="7937" spans="1:3" s="7" customFormat="1" x14ac:dyDescent="0.2">
      <c r="A7937" s="6" t="str">
        <f>"INAVA"</f>
        <v>INAVA</v>
      </c>
      <c r="B7937" s="6">
        <v>0.17100000000000001</v>
      </c>
      <c r="C7937" s="6">
        <v>0.36014289314516101</v>
      </c>
    </row>
    <row r="7938" spans="1:3" s="7" customFormat="1" x14ac:dyDescent="0.2">
      <c r="A7938" s="6" t="str">
        <f>"AC011498.7"</f>
        <v>AC011498.7</v>
      </c>
      <c r="B7938" s="6">
        <v>0.171171171171171</v>
      </c>
      <c r="C7938" s="6">
        <v>0.36041256676177302</v>
      </c>
    </row>
    <row r="7939" spans="1:3" s="7" customFormat="1" x14ac:dyDescent="0.2">
      <c r="A7939" s="6" t="str">
        <f>"AC000120.1"</f>
        <v>AC000120.1</v>
      </c>
      <c r="B7939" s="6">
        <v>0.171171171171171</v>
      </c>
      <c r="C7939" s="6">
        <v>0.36041256676177302</v>
      </c>
    </row>
    <row r="7940" spans="1:3" s="7" customFormat="1" x14ac:dyDescent="0.2">
      <c r="A7940" s="6" t="str">
        <f>"FGD4"</f>
        <v>FGD4</v>
      </c>
      <c r="B7940" s="6">
        <v>0.17182817182817101</v>
      </c>
      <c r="C7940" s="6">
        <v>0.36093201758653498</v>
      </c>
    </row>
    <row r="7941" spans="1:3" s="7" customFormat="1" x14ac:dyDescent="0.2">
      <c r="A7941" s="6" t="str">
        <f>"FBXL20"</f>
        <v>FBXL20</v>
      </c>
      <c r="B7941" s="6">
        <v>0.17182817182817101</v>
      </c>
      <c r="C7941" s="6">
        <v>0.36093201758653498</v>
      </c>
    </row>
    <row r="7942" spans="1:3" s="7" customFormat="1" x14ac:dyDescent="0.2">
      <c r="A7942" s="6" t="str">
        <f>"RGS3"</f>
        <v>RGS3</v>
      </c>
      <c r="B7942" s="6">
        <v>0.17182817182817101</v>
      </c>
      <c r="C7942" s="6">
        <v>0.36093201758653498</v>
      </c>
    </row>
    <row r="7943" spans="1:3" s="7" customFormat="1" x14ac:dyDescent="0.2">
      <c r="A7943" s="6" t="str">
        <f>"CA11"</f>
        <v>CA11</v>
      </c>
      <c r="B7943" s="6">
        <v>0.17182817182817101</v>
      </c>
      <c r="C7943" s="6">
        <v>0.36093201758653498</v>
      </c>
    </row>
    <row r="7944" spans="1:3" s="7" customFormat="1" x14ac:dyDescent="0.2">
      <c r="A7944" s="6" t="str">
        <f>"ZNRF1"</f>
        <v>ZNRF1</v>
      </c>
      <c r="B7944" s="6">
        <v>0.17182817182817101</v>
      </c>
      <c r="C7944" s="6">
        <v>0.36093201758653498</v>
      </c>
    </row>
    <row r="7945" spans="1:3" s="7" customFormat="1" x14ac:dyDescent="0.2">
      <c r="A7945" s="6" t="str">
        <f>"AC090198.1"</f>
        <v>AC090198.1</v>
      </c>
      <c r="B7945" s="6">
        <v>0.17159090909090899</v>
      </c>
      <c r="C7945" s="6">
        <v>0.36093201758653498</v>
      </c>
    </row>
    <row r="7946" spans="1:3" s="7" customFormat="1" x14ac:dyDescent="0.2">
      <c r="A7946" s="6" t="str">
        <f>"UBE2L6"</f>
        <v>UBE2L6</v>
      </c>
      <c r="B7946" s="6">
        <v>0.17182817182817101</v>
      </c>
      <c r="C7946" s="6">
        <v>0.36093201758653498</v>
      </c>
    </row>
    <row r="7947" spans="1:3" s="7" customFormat="1" x14ac:dyDescent="0.2">
      <c r="A7947" s="6" t="str">
        <f>"AC005753.3"</f>
        <v>AC005753.3</v>
      </c>
      <c r="B7947" s="6">
        <v>0.17182817182817101</v>
      </c>
      <c r="C7947" s="6">
        <v>0.36093201758653498</v>
      </c>
    </row>
    <row r="7948" spans="1:3" s="7" customFormat="1" x14ac:dyDescent="0.2">
      <c r="A7948" s="6" t="str">
        <f>"LSM5"</f>
        <v>LSM5</v>
      </c>
      <c r="B7948" s="6">
        <v>0.17182817182817101</v>
      </c>
      <c r="C7948" s="6">
        <v>0.36093201758653498</v>
      </c>
    </row>
    <row r="7949" spans="1:3" s="7" customFormat="1" x14ac:dyDescent="0.2">
      <c r="A7949" s="6" t="str">
        <f>"AC073172.1"</f>
        <v>AC073172.1</v>
      </c>
      <c r="B7949" s="6">
        <v>0.17182817182817101</v>
      </c>
      <c r="C7949" s="6">
        <v>0.36093201758653498</v>
      </c>
    </row>
    <row r="7950" spans="1:3" s="7" customFormat="1" x14ac:dyDescent="0.2">
      <c r="A7950" s="6" t="str">
        <f>"TCERG1L-AS1"</f>
        <v>TCERG1L-AS1</v>
      </c>
      <c r="B7950" s="6">
        <v>0.17182817182817101</v>
      </c>
      <c r="C7950" s="6">
        <v>0.36093201758653498</v>
      </c>
    </row>
    <row r="7951" spans="1:3" s="7" customFormat="1" x14ac:dyDescent="0.2">
      <c r="A7951" s="6" t="str">
        <f>"AC011477.1"</f>
        <v>AC011477.1</v>
      </c>
      <c r="B7951" s="6">
        <v>0.171686746987951</v>
      </c>
      <c r="C7951" s="6">
        <v>0.36093201758653498</v>
      </c>
    </row>
    <row r="7952" spans="1:3" s="7" customFormat="1" x14ac:dyDescent="0.2">
      <c r="A7952" s="6" t="str">
        <f>"LINC01392"</f>
        <v>LINC01392</v>
      </c>
      <c r="B7952" s="6">
        <v>0.17182817182817101</v>
      </c>
      <c r="C7952" s="6">
        <v>0.36093201758653498</v>
      </c>
    </row>
    <row r="7953" spans="1:3" s="7" customFormat="1" x14ac:dyDescent="0.2">
      <c r="A7953" s="6" t="str">
        <f>"ZFAND2A-DT"</f>
        <v>ZFAND2A-DT</v>
      </c>
      <c r="B7953" s="6">
        <v>0.17182817182817101</v>
      </c>
      <c r="C7953" s="6">
        <v>0.36093201758653498</v>
      </c>
    </row>
    <row r="7954" spans="1:3" s="7" customFormat="1" x14ac:dyDescent="0.2">
      <c r="A7954" s="6" t="str">
        <f>"PLBD1"</f>
        <v>PLBD1</v>
      </c>
      <c r="B7954" s="6">
        <v>0.17182817182817101</v>
      </c>
      <c r="C7954" s="6">
        <v>0.36093201758653498</v>
      </c>
    </row>
    <row r="7955" spans="1:3" s="7" customFormat="1" x14ac:dyDescent="0.2">
      <c r="A7955" s="6" t="str">
        <f>"ERI3"</f>
        <v>ERI3</v>
      </c>
      <c r="B7955" s="6">
        <v>0.17182817182817101</v>
      </c>
      <c r="C7955" s="6">
        <v>0.36093201758653498</v>
      </c>
    </row>
    <row r="7956" spans="1:3" s="7" customFormat="1" x14ac:dyDescent="0.2">
      <c r="A7956" s="6" t="str">
        <f>"LUM"</f>
        <v>LUM</v>
      </c>
      <c r="B7956" s="6">
        <v>0.17182817182817101</v>
      </c>
      <c r="C7956" s="6">
        <v>0.36093201758653498</v>
      </c>
    </row>
    <row r="7957" spans="1:3" s="7" customFormat="1" x14ac:dyDescent="0.2">
      <c r="A7957" s="6" t="str">
        <f>"PON1"</f>
        <v>PON1</v>
      </c>
      <c r="B7957" s="6">
        <v>0.17182817182817101</v>
      </c>
      <c r="C7957" s="6">
        <v>0.36093201758653498</v>
      </c>
    </row>
    <row r="7958" spans="1:3" s="7" customFormat="1" x14ac:dyDescent="0.2">
      <c r="A7958" s="6" t="str">
        <f>"LMO1"</f>
        <v>LMO1</v>
      </c>
      <c r="B7958" s="6">
        <v>0.17182817182817101</v>
      </c>
      <c r="C7958" s="6">
        <v>0.36093201758653498</v>
      </c>
    </row>
    <row r="7959" spans="1:3" s="7" customFormat="1" x14ac:dyDescent="0.2">
      <c r="A7959" s="6" t="str">
        <f>"LINC01447"</f>
        <v>LINC01447</v>
      </c>
      <c r="B7959" s="6">
        <v>0.17199999999999999</v>
      </c>
      <c r="C7959" s="6">
        <v>0.36120216107551201</v>
      </c>
    </row>
    <row r="7960" spans="1:3" s="7" customFormat="1" x14ac:dyDescent="0.2">
      <c r="A7960" s="6" t="str">
        <f>"TAB2"</f>
        <v>TAB2</v>
      </c>
      <c r="B7960" s="6">
        <v>0.17199999999999999</v>
      </c>
      <c r="C7960" s="6">
        <v>0.36120216107551201</v>
      </c>
    </row>
    <row r="7961" spans="1:3" s="7" customFormat="1" x14ac:dyDescent="0.2">
      <c r="A7961" s="6" t="str">
        <f>"ANKRD62"</f>
        <v>ANKRD62</v>
      </c>
      <c r="B7961" s="6">
        <v>0.17237798546209701</v>
      </c>
      <c r="C7961" s="6">
        <v>0.36195045841878098</v>
      </c>
    </row>
    <row r="7962" spans="1:3" s="7" customFormat="1" x14ac:dyDescent="0.2">
      <c r="A7962" s="6" t="str">
        <f>"SLC5A11"</f>
        <v>SLC5A11</v>
      </c>
      <c r="B7962" s="6">
        <v>0.17241379310344801</v>
      </c>
      <c r="C7962" s="6">
        <v>0.36198017057292198</v>
      </c>
    </row>
    <row r="7963" spans="1:3" s="7" customFormat="1" x14ac:dyDescent="0.2">
      <c r="A7963" s="6" t="str">
        <f>"XKR9"</f>
        <v>XKR9</v>
      </c>
      <c r="B7963" s="6">
        <v>0.172827172827172</v>
      </c>
      <c r="C7963" s="6">
        <v>0.36216566783266801</v>
      </c>
    </row>
    <row r="7964" spans="1:3" s="7" customFormat="1" x14ac:dyDescent="0.2">
      <c r="A7964" s="6" t="str">
        <f>"SLC38A5"</f>
        <v>SLC38A5</v>
      </c>
      <c r="B7964" s="6">
        <v>0.172827172827172</v>
      </c>
      <c r="C7964" s="6">
        <v>0.36216566783266801</v>
      </c>
    </row>
    <row r="7965" spans="1:3" s="7" customFormat="1" x14ac:dyDescent="0.2">
      <c r="A7965" s="6" t="str">
        <f>"EIF5A2"</f>
        <v>EIF5A2</v>
      </c>
      <c r="B7965" s="6">
        <v>0.172827172827172</v>
      </c>
      <c r="C7965" s="6">
        <v>0.36216566783266801</v>
      </c>
    </row>
    <row r="7966" spans="1:3" s="7" customFormat="1" x14ac:dyDescent="0.2">
      <c r="A7966" s="6" t="str">
        <f>"POC1A"</f>
        <v>POC1A</v>
      </c>
      <c r="B7966" s="6">
        <v>0.172827172827172</v>
      </c>
      <c r="C7966" s="6">
        <v>0.36216566783266801</v>
      </c>
    </row>
    <row r="7967" spans="1:3" s="7" customFormat="1" x14ac:dyDescent="0.2">
      <c r="A7967" s="6" t="str">
        <f>"C9orf64"</f>
        <v>C9orf64</v>
      </c>
      <c r="B7967" s="6">
        <v>0.172827172827172</v>
      </c>
      <c r="C7967" s="6">
        <v>0.36216566783266801</v>
      </c>
    </row>
    <row r="7968" spans="1:3" s="7" customFormat="1" x14ac:dyDescent="0.2">
      <c r="A7968" s="6" t="str">
        <f>"TRMT44"</f>
        <v>TRMT44</v>
      </c>
      <c r="B7968" s="6">
        <v>0.172827172827172</v>
      </c>
      <c r="C7968" s="6">
        <v>0.36216566783266801</v>
      </c>
    </row>
    <row r="7969" spans="1:3" s="7" customFormat="1" x14ac:dyDescent="0.2">
      <c r="A7969" s="6" t="str">
        <f>"EPB41L5"</f>
        <v>EPB41L5</v>
      </c>
      <c r="B7969" s="6">
        <v>0.172827172827172</v>
      </c>
      <c r="C7969" s="6">
        <v>0.36216566783266801</v>
      </c>
    </row>
    <row r="7970" spans="1:3" s="7" customFormat="1" x14ac:dyDescent="0.2">
      <c r="A7970" s="6" t="str">
        <f>"RPL10A"</f>
        <v>RPL10A</v>
      </c>
      <c r="B7970" s="6">
        <v>0.172827172827172</v>
      </c>
      <c r="C7970" s="6">
        <v>0.36216566783266801</v>
      </c>
    </row>
    <row r="7971" spans="1:3" s="7" customFormat="1" x14ac:dyDescent="0.2">
      <c r="A7971" s="6" t="str">
        <f>"FAM219A"</f>
        <v>FAM219A</v>
      </c>
      <c r="B7971" s="6">
        <v>0.172827172827172</v>
      </c>
      <c r="C7971" s="6">
        <v>0.36216566783266801</v>
      </c>
    </row>
    <row r="7972" spans="1:3" s="7" customFormat="1" x14ac:dyDescent="0.2">
      <c r="A7972" s="6" t="str">
        <f>"TCP11"</f>
        <v>TCP11</v>
      </c>
      <c r="B7972" s="6">
        <v>0.172827172827172</v>
      </c>
      <c r="C7972" s="6">
        <v>0.36216566783266801</v>
      </c>
    </row>
    <row r="7973" spans="1:3" s="7" customFormat="1" x14ac:dyDescent="0.2">
      <c r="A7973" s="6" t="str">
        <f>"SDK1-AS1"</f>
        <v>SDK1-AS1</v>
      </c>
      <c r="B7973" s="6">
        <v>0.172827172827172</v>
      </c>
      <c r="C7973" s="6">
        <v>0.36216566783266801</v>
      </c>
    </row>
    <row r="7974" spans="1:3" s="7" customFormat="1" x14ac:dyDescent="0.2">
      <c r="A7974" s="6" t="str">
        <f>"RDH10"</f>
        <v>RDH10</v>
      </c>
      <c r="B7974" s="6">
        <v>0.172827172827172</v>
      </c>
      <c r="C7974" s="6">
        <v>0.36216566783266801</v>
      </c>
    </row>
    <row r="7975" spans="1:3" s="7" customFormat="1" x14ac:dyDescent="0.2">
      <c r="A7975" s="6" t="str">
        <f>"AC118344.2"</f>
        <v>AC118344.2</v>
      </c>
      <c r="B7975" s="6">
        <v>0.172827172827172</v>
      </c>
      <c r="C7975" s="6">
        <v>0.36216566783266801</v>
      </c>
    </row>
    <row r="7976" spans="1:3" s="7" customFormat="1" x14ac:dyDescent="0.2">
      <c r="A7976" s="6" t="str">
        <f>"POLR1H"</f>
        <v>POLR1H</v>
      </c>
      <c r="B7976" s="6">
        <v>0.172827172827172</v>
      </c>
      <c r="C7976" s="6">
        <v>0.36216566783266801</v>
      </c>
    </row>
    <row r="7977" spans="1:3" s="7" customFormat="1" x14ac:dyDescent="0.2">
      <c r="A7977" s="6" t="str">
        <f>"LINC00933"</f>
        <v>LINC00933</v>
      </c>
      <c r="B7977" s="6">
        <v>0.172827172827172</v>
      </c>
      <c r="C7977" s="6">
        <v>0.36216566783266801</v>
      </c>
    </row>
    <row r="7978" spans="1:3" s="7" customFormat="1" x14ac:dyDescent="0.2">
      <c r="A7978" s="6" t="str">
        <f>"IRF2BP2"</f>
        <v>IRF2BP2</v>
      </c>
      <c r="B7978" s="6">
        <v>0.17299999999999999</v>
      </c>
      <c r="C7978" s="6">
        <v>0.362436951616946</v>
      </c>
    </row>
    <row r="7979" spans="1:3" s="7" customFormat="1" x14ac:dyDescent="0.2">
      <c r="A7979" s="6" t="str">
        <f>"Z92544.1"</f>
        <v>Z92544.1</v>
      </c>
      <c r="B7979" s="6">
        <v>0.17299999999999999</v>
      </c>
      <c r="C7979" s="6">
        <v>0.362436951616946</v>
      </c>
    </row>
    <row r="7980" spans="1:3" s="7" customFormat="1" x14ac:dyDescent="0.2">
      <c r="A7980" s="6" t="str">
        <f>"MIR17HG"</f>
        <v>MIR17HG</v>
      </c>
      <c r="B7980" s="6">
        <v>0.17317317317317299</v>
      </c>
      <c r="C7980" s="6">
        <v>0.362754282042413</v>
      </c>
    </row>
    <row r="7981" spans="1:3" s="7" customFormat="1" x14ac:dyDescent="0.2">
      <c r="A7981" s="6" t="str">
        <f>"LINC02471"</f>
        <v>LINC02471</v>
      </c>
      <c r="B7981" s="6">
        <v>0.17382617382617299</v>
      </c>
      <c r="C7981" s="6">
        <v>0.362848840930519</v>
      </c>
    </row>
    <row r="7982" spans="1:3" s="7" customFormat="1" x14ac:dyDescent="0.2">
      <c r="A7982" s="6" t="str">
        <f>"JARID2-AS1"</f>
        <v>JARID2-AS1</v>
      </c>
      <c r="B7982" s="6">
        <v>0.173346693386773</v>
      </c>
      <c r="C7982" s="6">
        <v>0.362848840930519</v>
      </c>
    </row>
    <row r="7983" spans="1:3" s="7" customFormat="1" x14ac:dyDescent="0.2">
      <c r="A7983" s="6" t="str">
        <f>"DISC1"</f>
        <v>DISC1</v>
      </c>
      <c r="B7983" s="6">
        <v>0.17382617382617299</v>
      </c>
      <c r="C7983" s="6">
        <v>0.362848840930519</v>
      </c>
    </row>
    <row r="7984" spans="1:3" s="7" customFormat="1" x14ac:dyDescent="0.2">
      <c r="A7984" s="6" t="str">
        <f>"ACSL6"</f>
        <v>ACSL6</v>
      </c>
      <c r="B7984" s="6">
        <v>0.17382617382617299</v>
      </c>
      <c r="C7984" s="6">
        <v>0.362848840930519</v>
      </c>
    </row>
    <row r="7985" spans="1:3" s="7" customFormat="1" x14ac:dyDescent="0.2">
      <c r="A7985" s="6" t="str">
        <f>"RSRP1"</f>
        <v>RSRP1</v>
      </c>
      <c r="B7985" s="6">
        <v>0.17382617382617299</v>
      </c>
      <c r="C7985" s="6">
        <v>0.362848840930519</v>
      </c>
    </row>
    <row r="7986" spans="1:3" s="7" customFormat="1" x14ac:dyDescent="0.2">
      <c r="A7986" s="6" t="str">
        <f>"SLAMF7"</f>
        <v>SLAMF7</v>
      </c>
      <c r="B7986" s="6">
        <v>0.17382617382617299</v>
      </c>
      <c r="C7986" s="6">
        <v>0.362848840930519</v>
      </c>
    </row>
    <row r="7987" spans="1:3" s="7" customFormat="1" x14ac:dyDescent="0.2">
      <c r="A7987" s="6" t="str">
        <f>"DDI2"</f>
        <v>DDI2</v>
      </c>
      <c r="B7987" s="6">
        <v>0.17382617382617299</v>
      </c>
      <c r="C7987" s="6">
        <v>0.362848840930519</v>
      </c>
    </row>
    <row r="7988" spans="1:3" s="7" customFormat="1" x14ac:dyDescent="0.2">
      <c r="A7988" s="6" t="str">
        <f>"GTF3C6"</f>
        <v>GTF3C6</v>
      </c>
      <c r="B7988" s="6">
        <v>0.17382617382617299</v>
      </c>
      <c r="C7988" s="6">
        <v>0.362848840930519</v>
      </c>
    </row>
    <row r="7989" spans="1:3" s="7" customFormat="1" x14ac:dyDescent="0.2">
      <c r="A7989" s="6" t="str">
        <f>"MRM1"</f>
        <v>MRM1</v>
      </c>
      <c r="B7989" s="6">
        <v>0.17382617382617299</v>
      </c>
      <c r="C7989" s="6">
        <v>0.362848840930519</v>
      </c>
    </row>
    <row r="7990" spans="1:3" s="7" customFormat="1" x14ac:dyDescent="0.2">
      <c r="A7990" s="6" t="str">
        <f>"AC027601.3"</f>
        <v>AC027601.3</v>
      </c>
      <c r="B7990" s="6">
        <v>0.17382617382617299</v>
      </c>
      <c r="C7990" s="6">
        <v>0.362848840930519</v>
      </c>
    </row>
    <row r="7991" spans="1:3" s="7" customFormat="1" x14ac:dyDescent="0.2">
      <c r="A7991" s="6" t="str">
        <f>"GAPVD1"</f>
        <v>GAPVD1</v>
      </c>
      <c r="B7991" s="6">
        <v>0.17382617382617299</v>
      </c>
      <c r="C7991" s="6">
        <v>0.362848840930519</v>
      </c>
    </row>
    <row r="7992" spans="1:3" s="7" customFormat="1" x14ac:dyDescent="0.2">
      <c r="A7992" s="6" t="str">
        <f>"TMEM108"</f>
        <v>TMEM108</v>
      </c>
      <c r="B7992" s="6">
        <v>0.17382617382617299</v>
      </c>
      <c r="C7992" s="6">
        <v>0.362848840930519</v>
      </c>
    </row>
    <row r="7993" spans="1:3" s="7" customFormat="1" x14ac:dyDescent="0.2">
      <c r="A7993" s="6" t="str">
        <f>"DALRD3"</f>
        <v>DALRD3</v>
      </c>
      <c r="B7993" s="6">
        <v>0.17382617382617299</v>
      </c>
      <c r="C7993" s="6">
        <v>0.362848840930519</v>
      </c>
    </row>
    <row r="7994" spans="1:3" s="7" customFormat="1" x14ac:dyDescent="0.2">
      <c r="A7994" s="6" t="str">
        <f>"ITGB8"</f>
        <v>ITGB8</v>
      </c>
      <c r="B7994" s="6">
        <v>0.17382617382617299</v>
      </c>
      <c r="C7994" s="6">
        <v>0.362848840930519</v>
      </c>
    </row>
    <row r="7995" spans="1:3" s="7" customFormat="1" x14ac:dyDescent="0.2">
      <c r="A7995" s="6" t="str">
        <f>"AC103591.2"</f>
        <v>AC103591.2</v>
      </c>
      <c r="B7995" s="6">
        <v>0.17382617382617299</v>
      </c>
      <c r="C7995" s="6">
        <v>0.362848840930519</v>
      </c>
    </row>
    <row r="7996" spans="1:3" s="7" customFormat="1" x14ac:dyDescent="0.2">
      <c r="A7996" s="6" t="str">
        <f>"LINC00337"</f>
        <v>LINC00337</v>
      </c>
      <c r="B7996" s="6">
        <v>0.17382617382617299</v>
      </c>
      <c r="C7996" s="6">
        <v>0.362848840930519</v>
      </c>
    </row>
    <row r="7997" spans="1:3" s="7" customFormat="1" x14ac:dyDescent="0.2">
      <c r="A7997" s="6" t="str">
        <f>"PKP2"</f>
        <v>PKP2</v>
      </c>
      <c r="B7997" s="6">
        <v>0.17382617382617299</v>
      </c>
      <c r="C7997" s="6">
        <v>0.362848840930519</v>
      </c>
    </row>
    <row r="7998" spans="1:3" s="7" customFormat="1" x14ac:dyDescent="0.2">
      <c r="A7998" s="6" t="str">
        <f>"LRPPRC"</f>
        <v>LRPPRC</v>
      </c>
      <c r="B7998" s="6">
        <v>0.17382617382617299</v>
      </c>
      <c r="C7998" s="6">
        <v>0.362848840930519</v>
      </c>
    </row>
    <row r="7999" spans="1:3" s="7" customFormat="1" x14ac:dyDescent="0.2">
      <c r="A7999" s="6" t="str">
        <f>"AC139491.2"</f>
        <v>AC139491.2</v>
      </c>
      <c r="B7999" s="6">
        <v>0.17382617382617299</v>
      </c>
      <c r="C7999" s="6">
        <v>0.362848840930519</v>
      </c>
    </row>
    <row r="8000" spans="1:3" s="7" customFormat="1" x14ac:dyDescent="0.2">
      <c r="A8000" s="6" t="str">
        <f>"RAB25"</f>
        <v>RAB25</v>
      </c>
      <c r="B8000" s="6">
        <v>0.17382617382617299</v>
      </c>
      <c r="C8000" s="6">
        <v>0.362848840930519</v>
      </c>
    </row>
    <row r="8001" spans="1:3" s="7" customFormat="1" x14ac:dyDescent="0.2">
      <c r="A8001" s="6" t="str">
        <f>"FOXA1"</f>
        <v>FOXA1</v>
      </c>
      <c r="B8001" s="6">
        <v>0.17382617382617299</v>
      </c>
      <c r="C8001" s="6">
        <v>0.362848840930519</v>
      </c>
    </row>
    <row r="8002" spans="1:3" s="7" customFormat="1" x14ac:dyDescent="0.2">
      <c r="A8002" s="6" t="str">
        <f>"GPR146"</f>
        <v>GPR146</v>
      </c>
      <c r="B8002" s="6">
        <v>0.17382617382617299</v>
      </c>
      <c r="C8002" s="6">
        <v>0.362848840930519</v>
      </c>
    </row>
    <row r="8003" spans="1:3" s="7" customFormat="1" x14ac:dyDescent="0.2">
      <c r="A8003" s="6" t="str">
        <f>"SDK1"</f>
        <v>SDK1</v>
      </c>
      <c r="B8003" s="6">
        <v>0.17382617382617299</v>
      </c>
      <c r="C8003" s="6">
        <v>0.362848840930519</v>
      </c>
    </row>
    <row r="8004" spans="1:3" s="7" customFormat="1" x14ac:dyDescent="0.2">
      <c r="A8004" s="6" t="str">
        <f>"TM7SF3"</f>
        <v>TM7SF3</v>
      </c>
      <c r="B8004" s="6">
        <v>0.17382617382617299</v>
      </c>
      <c r="C8004" s="6">
        <v>0.362848840930519</v>
      </c>
    </row>
    <row r="8005" spans="1:3" s="7" customFormat="1" x14ac:dyDescent="0.2">
      <c r="A8005" s="6" t="str">
        <f>"STAG1"</f>
        <v>STAG1</v>
      </c>
      <c r="B8005" s="6">
        <v>0.17382617382617299</v>
      </c>
      <c r="C8005" s="6">
        <v>0.362848840930519</v>
      </c>
    </row>
    <row r="8006" spans="1:3" s="7" customFormat="1" x14ac:dyDescent="0.2">
      <c r="A8006" s="6" t="str">
        <f>"SMC2"</f>
        <v>SMC2</v>
      </c>
      <c r="B8006" s="6">
        <v>0.17382617382617299</v>
      </c>
      <c r="C8006" s="6">
        <v>0.362848840930519</v>
      </c>
    </row>
    <row r="8007" spans="1:3" s="7" customFormat="1" x14ac:dyDescent="0.2">
      <c r="A8007" s="6" t="str">
        <f>"RNF43"</f>
        <v>RNF43</v>
      </c>
      <c r="B8007" s="6">
        <v>0.17382617382617299</v>
      </c>
      <c r="C8007" s="6">
        <v>0.362848840930519</v>
      </c>
    </row>
    <row r="8008" spans="1:3" s="7" customFormat="1" x14ac:dyDescent="0.2">
      <c r="A8008" s="6" t="str">
        <f>"RGMB-AS1"</f>
        <v>RGMB-AS1</v>
      </c>
      <c r="B8008" s="6">
        <v>0.17382617382617299</v>
      </c>
      <c r="C8008" s="6">
        <v>0.362848840930519</v>
      </c>
    </row>
    <row r="8009" spans="1:3" s="7" customFormat="1" x14ac:dyDescent="0.2">
      <c r="A8009" s="6" t="str">
        <f>"IBTK"</f>
        <v>IBTK</v>
      </c>
      <c r="B8009" s="6">
        <v>0.17399999999999999</v>
      </c>
      <c r="C8009" s="6">
        <v>0.363166333666333</v>
      </c>
    </row>
    <row r="8010" spans="1:3" s="7" customFormat="1" x14ac:dyDescent="0.2">
      <c r="A8010" s="6" t="str">
        <f>"CTDSPL"</f>
        <v>CTDSPL</v>
      </c>
      <c r="B8010" s="6">
        <v>0.17482517482517401</v>
      </c>
      <c r="C8010" s="6">
        <v>0.36384360254363901</v>
      </c>
    </row>
    <row r="8011" spans="1:3" s="7" customFormat="1" x14ac:dyDescent="0.2">
      <c r="A8011" s="6" t="str">
        <f>"PCCB"</f>
        <v>PCCB</v>
      </c>
      <c r="B8011" s="6">
        <v>0.17482517482517401</v>
      </c>
      <c r="C8011" s="6">
        <v>0.36384360254363901</v>
      </c>
    </row>
    <row r="8012" spans="1:3" s="7" customFormat="1" x14ac:dyDescent="0.2">
      <c r="A8012" s="6" t="str">
        <f>"JMJD7"</f>
        <v>JMJD7</v>
      </c>
      <c r="B8012" s="6">
        <v>0.17482517482517401</v>
      </c>
      <c r="C8012" s="6">
        <v>0.36384360254363901</v>
      </c>
    </row>
    <row r="8013" spans="1:3" s="7" customFormat="1" x14ac:dyDescent="0.2">
      <c r="A8013" s="6" t="str">
        <f>"AL161665.1"</f>
        <v>AL161665.1</v>
      </c>
      <c r="B8013" s="6">
        <v>0.17482517482517401</v>
      </c>
      <c r="C8013" s="6">
        <v>0.36384360254363901</v>
      </c>
    </row>
    <row r="8014" spans="1:3" s="7" customFormat="1" x14ac:dyDescent="0.2">
      <c r="A8014" s="6" t="str">
        <f>"SLC33A1"</f>
        <v>SLC33A1</v>
      </c>
      <c r="B8014" s="6">
        <v>0.17482517482517401</v>
      </c>
      <c r="C8014" s="6">
        <v>0.36384360254363901</v>
      </c>
    </row>
    <row r="8015" spans="1:3" s="7" customFormat="1" x14ac:dyDescent="0.2">
      <c r="A8015" s="6" t="str">
        <f>"ARMH2"</f>
        <v>ARMH2</v>
      </c>
      <c r="B8015" s="6">
        <v>0.17482517482517401</v>
      </c>
      <c r="C8015" s="6">
        <v>0.36384360254363901</v>
      </c>
    </row>
    <row r="8016" spans="1:3" s="7" customFormat="1" x14ac:dyDescent="0.2">
      <c r="A8016" s="6" t="str">
        <f>"FOXD2-AS1"</f>
        <v>FOXD2-AS1</v>
      </c>
      <c r="B8016" s="6">
        <v>0.17482517482517401</v>
      </c>
      <c r="C8016" s="6">
        <v>0.36384360254363901</v>
      </c>
    </row>
    <row r="8017" spans="1:3" s="7" customFormat="1" x14ac:dyDescent="0.2">
      <c r="A8017" s="6" t="str">
        <f>"ST3GAL5"</f>
        <v>ST3GAL5</v>
      </c>
      <c r="B8017" s="6">
        <v>0.17482517482517401</v>
      </c>
      <c r="C8017" s="6">
        <v>0.36384360254363901</v>
      </c>
    </row>
    <row r="8018" spans="1:3" s="7" customFormat="1" x14ac:dyDescent="0.2">
      <c r="A8018" s="6" t="str">
        <f>"CERS1"</f>
        <v>CERS1</v>
      </c>
      <c r="B8018" s="6">
        <v>0.17482517482517401</v>
      </c>
      <c r="C8018" s="6">
        <v>0.36384360254363901</v>
      </c>
    </row>
    <row r="8019" spans="1:3" s="7" customFormat="1" x14ac:dyDescent="0.2">
      <c r="A8019" s="6" t="str">
        <f>"METTL8"</f>
        <v>METTL8</v>
      </c>
      <c r="B8019" s="6">
        <v>0.17482517482517401</v>
      </c>
      <c r="C8019" s="6">
        <v>0.36384360254363901</v>
      </c>
    </row>
    <row r="8020" spans="1:3" s="7" customFormat="1" x14ac:dyDescent="0.2">
      <c r="A8020" s="6" t="str">
        <f>"CLUL1"</f>
        <v>CLUL1</v>
      </c>
      <c r="B8020" s="6">
        <v>0.17482517482517401</v>
      </c>
      <c r="C8020" s="6">
        <v>0.36384360254363901</v>
      </c>
    </row>
    <row r="8021" spans="1:3" s="7" customFormat="1" x14ac:dyDescent="0.2">
      <c r="A8021" s="6" t="str">
        <f>"AC116562.3"</f>
        <v>AC116562.3</v>
      </c>
      <c r="B8021" s="6">
        <v>0.17482517482517401</v>
      </c>
      <c r="C8021" s="6">
        <v>0.36384360254363901</v>
      </c>
    </row>
    <row r="8022" spans="1:3" s="7" customFormat="1" x14ac:dyDescent="0.2">
      <c r="A8022" s="6" t="str">
        <f>"ARPIN-AP3S2"</f>
        <v>ARPIN-AP3S2</v>
      </c>
      <c r="B8022" s="6">
        <v>0.17482517482517401</v>
      </c>
      <c r="C8022" s="6">
        <v>0.36384360254363901</v>
      </c>
    </row>
    <row r="8023" spans="1:3" s="7" customFormat="1" x14ac:dyDescent="0.2">
      <c r="A8023" s="6" t="str">
        <f>"PRG2"</f>
        <v>PRG2</v>
      </c>
      <c r="B8023" s="6">
        <v>0.17482517482517401</v>
      </c>
      <c r="C8023" s="6">
        <v>0.36384360254363901</v>
      </c>
    </row>
    <row r="8024" spans="1:3" s="7" customFormat="1" x14ac:dyDescent="0.2">
      <c r="A8024" s="6" t="str">
        <f>"AADAT"</f>
        <v>AADAT</v>
      </c>
      <c r="B8024" s="6">
        <v>0.17482517482517401</v>
      </c>
      <c r="C8024" s="6">
        <v>0.36384360254363901</v>
      </c>
    </row>
    <row r="8025" spans="1:3" s="7" customFormat="1" x14ac:dyDescent="0.2">
      <c r="A8025" s="6" t="str">
        <f>"SIX2"</f>
        <v>SIX2</v>
      </c>
      <c r="B8025" s="6">
        <v>0.17482517482517401</v>
      </c>
      <c r="C8025" s="6">
        <v>0.36384360254363901</v>
      </c>
    </row>
    <row r="8026" spans="1:3" s="7" customFormat="1" x14ac:dyDescent="0.2">
      <c r="A8026" s="6" t="str">
        <f>"AHSA2P"</f>
        <v>AHSA2P</v>
      </c>
      <c r="B8026" s="6">
        <v>0.17482517482517401</v>
      </c>
      <c r="C8026" s="6">
        <v>0.36384360254363901</v>
      </c>
    </row>
    <row r="8027" spans="1:3" s="7" customFormat="1" x14ac:dyDescent="0.2">
      <c r="A8027" s="6" t="str">
        <f>"AC035140.1"</f>
        <v>AC035140.1</v>
      </c>
      <c r="B8027" s="6">
        <v>0.17482517482517401</v>
      </c>
      <c r="C8027" s="6">
        <v>0.36384360254363901</v>
      </c>
    </row>
    <row r="8028" spans="1:3" s="7" customFormat="1" x14ac:dyDescent="0.2">
      <c r="A8028" s="6" t="str">
        <f>"ZNF300"</f>
        <v>ZNF300</v>
      </c>
      <c r="B8028" s="6">
        <v>0.17482517482517401</v>
      </c>
      <c r="C8028" s="6">
        <v>0.36384360254363901</v>
      </c>
    </row>
    <row r="8029" spans="1:3" s="7" customFormat="1" x14ac:dyDescent="0.2">
      <c r="A8029" s="6" t="str">
        <f>"SIAE"</f>
        <v>SIAE</v>
      </c>
      <c r="B8029" s="6">
        <v>0.17482517482517401</v>
      </c>
      <c r="C8029" s="6">
        <v>0.36384360254363901</v>
      </c>
    </row>
    <row r="8030" spans="1:3" s="7" customFormat="1" x14ac:dyDescent="0.2">
      <c r="A8030" s="6" t="str">
        <f>"PIP4P1"</f>
        <v>PIP4P1</v>
      </c>
      <c r="B8030" s="6">
        <v>0.17482517482517401</v>
      </c>
      <c r="C8030" s="6">
        <v>0.36384360254363901</v>
      </c>
    </row>
    <row r="8031" spans="1:3" s="7" customFormat="1" x14ac:dyDescent="0.2">
      <c r="A8031" s="6" t="str">
        <f>"RNF26"</f>
        <v>RNF26</v>
      </c>
      <c r="B8031" s="6">
        <v>0.17482517482517401</v>
      </c>
      <c r="C8031" s="6">
        <v>0.36384360254363901</v>
      </c>
    </row>
    <row r="8032" spans="1:3" s="7" customFormat="1" x14ac:dyDescent="0.2">
      <c r="A8032" s="6" t="str">
        <f>"LCMT1"</f>
        <v>LCMT1</v>
      </c>
      <c r="B8032" s="6">
        <v>0.17482517482517401</v>
      </c>
      <c r="C8032" s="6">
        <v>0.36384360254363901</v>
      </c>
    </row>
    <row r="8033" spans="1:3" s="7" customFormat="1" x14ac:dyDescent="0.2">
      <c r="A8033" s="6" t="str">
        <f>"AKR1B1"</f>
        <v>AKR1B1</v>
      </c>
      <c r="B8033" s="6">
        <v>0.17499999999999999</v>
      </c>
      <c r="C8033" s="6">
        <v>0.36407144635299898</v>
      </c>
    </row>
    <row r="8034" spans="1:3" s="7" customFormat="1" x14ac:dyDescent="0.2">
      <c r="A8034" s="6" t="str">
        <f>"AC091978.1"</f>
        <v>AC091978.1</v>
      </c>
      <c r="B8034" s="6">
        <v>0.17499999999999999</v>
      </c>
      <c r="C8034" s="6">
        <v>0.36407144635299898</v>
      </c>
    </row>
    <row r="8035" spans="1:3" s="7" customFormat="1" x14ac:dyDescent="0.2">
      <c r="A8035" s="6" t="str">
        <f>"ZFHX2"</f>
        <v>ZFHX2</v>
      </c>
      <c r="B8035" s="6">
        <v>0.17499999999999999</v>
      </c>
      <c r="C8035" s="6">
        <v>0.36407144635299898</v>
      </c>
    </row>
    <row r="8036" spans="1:3" s="7" customFormat="1" x14ac:dyDescent="0.2">
      <c r="A8036" s="6" t="str">
        <f>"AL117334.1"</f>
        <v>AL117334.1</v>
      </c>
      <c r="B8036" s="6">
        <v>0.175175175175175</v>
      </c>
      <c r="C8036" s="6">
        <v>0.36439052618268503</v>
      </c>
    </row>
    <row r="8037" spans="1:3" s="7" customFormat="1" x14ac:dyDescent="0.2">
      <c r="A8037" s="6" t="str">
        <f>"TPSD1"</f>
        <v>TPSD1</v>
      </c>
      <c r="B8037" s="6">
        <v>0.17535070140280501</v>
      </c>
      <c r="C8037" s="6">
        <v>0.364710256750434</v>
      </c>
    </row>
    <row r="8038" spans="1:3" s="7" customFormat="1" x14ac:dyDescent="0.2">
      <c r="A8038" s="6" t="str">
        <f>"PBX2"</f>
        <v>PBX2</v>
      </c>
      <c r="B8038" s="6">
        <v>0.17582417582417501</v>
      </c>
      <c r="C8038" s="6">
        <v>0.36492304417301302</v>
      </c>
    </row>
    <row r="8039" spans="1:3" s="7" customFormat="1" x14ac:dyDescent="0.2">
      <c r="A8039" s="6" t="str">
        <f>"CAAP1"</f>
        <v>CAAP1</v>
      </c>
      <c r="B8039" s="6">
        <v>0.17582417582417501</v>
      </c>
      <c r="C8039" s="6">
        <v>0.36492304417301302</v>
      </c>
    </row>
    <row r="8040" spans="1:3" s="7" customFormat="1" x14ac:dyDescent="0.2">
      <c r="A8040" s="6" t="str">
        <f>"SGCE"</f>
        <v>SGCE</v>
      </c>
      <c r="B8040" s="6">
        <v>0.17582417582417501</v>
      </c>
      <c r="C8040" s="6">
        <v>0.36492304417301302</v>
      </c>
    </row>
    <row r="8041" spans="1:3" s="7" customFormat="1" x14ac:dyDescent="0.2">
      <c r="A8041" s="6" t="str">
        <f>"RAB23"</f>
        <v>RAB23</v>
      </c>
      <c r="B8041" s="6">
        <v>0.17582417582417501</v>
      </c>
      <c r="C8041" s="6">
        <v>0.36492304417301302</v>
      </c>
    </row>
    <row r="8042" spans="1:3" s="7" customFormat="1" x14ac:dyDescent="0.2">
      <c r="A8042" s="6" t="str">
        <f>"GPATCH4"</f>
        <v>GPATCH4</v>
      </c>
      <c r="B8042" s="6">
        <v>0.17582417582417501</v>
      </c>
      <c r="C8042" s="6">
        <v>0.36492304417301302</v>
      </c>
    </row>
    <row r="8043" spans="1:3" s="7" customFormat="1" x14ac:dyDescent="0.2">
      <c r="A8043" s="6" t="str">
        <f>"DIAPH3"</f>
        <v>DIAPH3</v>
      </c>
      <c r="B8043" s="6">
        <v>0.17582417582417501</v>
      </c>
      <c r="C8043" s="6">
        <v>0.36492304417301302</v>
      </c>
    </row>
    <row r="8044" spans="1:3" s="7" customFormat="1" x14ac:dyDescent="0.2">
      <c r="A8044" s="6" t="str">
        <f>"PRKAR1A"</f>
        <v>PRKAR1A</v>
      </c>
      <c r="B8044" s="6">
        <v>0.17582417582417501</v>
      </c>
      <c r="C8044" s="6">
        <v>0.36492304417301302</v>
      </c>
    </row>
    <row r="8045" spans="1:3" s="7" customFormat="1" x14ac:dyDescent="0.2">
      <c r="A8045" s="6" t="str">
        <f>"AC007786.1"</f>
        <v>AC007786.1</v>
      </c>
      <c r="B8045" s="6">
        <v>0.17582417582417501</v>
      </c>
      <c r="C8045" s="6">
        <v>0.36492304417301302</v>
      </c>
    </row>
    <row r="8046" spans="1:3" s="7" customFormat="1" x14ac:dyDescent="0.2">
      <c r="A8046" s="6" t="str">
        <f>"PLSCR3"</f>
        <v>PLSCR3</v>
      </c>
      <c r="B8046" s="6">
        <v>0.17582417582417501</v>
      </c>
      <c r="C8046" s="6">
        <v>0.36492304417301302</v>
      </c>
    </row>
    <row r="8047" spans="1:3" s="7" customFormat="1" x14ac:dyDescent="0.2">
      <c r="A8047" s="6" t="str">
        <f>"SMIM3"</f>
        <v>SMIM3</v>
      </c>
      <c r="B8047" s="6">
        <v>0.17582417582417501</v>
      </c>
      <c r="C8047" s="6">
        <v>0.36492304417301302</v>
      </c>
    </row>
    <row r="8048" spans="1:3" s="7" customFormat="1" x14ac:dyDescent="0.2">
      <c r="A8048" s="6" t="str">
        <f>"MRM3"</f>
        <v>MRM3</v>
      </c>
      <c r="B8048" s="6">
        <v>0.17582417582417501</v>
      </c>
      <c r="C8048" s="6">
        <v>0.36492304417301302</v>
      </c>
    </row>
    <row r="8049" spans="1:3" s="7" customFormat="1" x14ac:dyDescent="0.2">
      <c r="A8049" s="6" t="str">
        <f>"AC020763.1"</f>
        <v>AC020763.1</v>
      </c>
      <c r="B8049" s="6">
        <v>0.17582417582417501</v>
      </c>
      <c r="C8049" s="6">
        <v>0.36492304417301302</v>
      </c>
    </row>
    <row r="8050" spans="1:3" s="7" customFormat="1" x14ac:dyDescent="0.2">
      <c r="A8050" s="6" t="str">
        <f>"RACK1"</f>
        <v>RACK1</v>
      </c>
      <c r="B8050" s="6">
        <v>0.17582417582417501</v>
      </c>
      <c r="C8050" s="6">
        <v>0.36492304417301302</v>
      </c>
    </row>
    <row r="8051" spans="1:3" s="7" customFormat="1" x14ac:dyDescent="0.2">
      <c r="A8051" s="6" t="str">
        <f>"VWA7"</f>
        <v>VWA7</v>
      </c>
      <c r="B8051" s="6">
        <v>0.17582417582417501</v>
      </c>
      <c r="C8051" s="6">
        <v>0.36492304417301302</v>
      </c>
    </row>
    <row r="8052" spans="1:3" s="7" customFormat="1" x14ac:dyDescent="0.2">
      <c r="A8052" s="6" t="str">
        <f>"CCDC102A"</f>
        <v>CCDC102A</v>
      </c>
      <c r="B8052" s="6">
        <v>0.17582417582417501</v>
      </c>
      <c r="C8052" s="6">
        <v>0.36492304417301302</v>
      </c>
    </row>
    <row r="8053" spans="1:3" s="7" customFormat="1" x14ac:dyDescent="0.2">
      <c r="A8053" s="6" t="str">
        <f>"HMGB1P5"</f>
        <v>HMGB1P5</v>
      </c>
      <c r="B8053" s="6">
        <v>0.17582417582417501</v>
      </c>
      <c r="C8053" s="6">
        <v>0.36492304417301302</v>
      </c>
    </row>
    <row r="8054" spans="1:3" s="7" customFormat="1" x14ac:dyDescent="0.2">
      <c r="A8054" s="6" t="str">
        <f>"NUP205"</f>
        <v>NUP205</v>
      </c>
      <c r="B8054" s="6">
        <v>0.17582417582417501</v>
      </c>
      <c r="C8054" s="6">
        <v>0.36492304417301302</v>
      </c>
    </row>
    <row r="8055" spans="1:3" s="7" customFormat="1" x14ac:dyDescent="0.2">
      <c r="A8055" s="6" t="str">
        <f>"ESRRA"</f>
        <v>ESRRA</v>
      </c>
      <c r="B8055" s="6">
        <v>0.176823176823176</v>
      </c>
      <c r="C8055" s="6">
        <v>0.36581539515070799</v>
      </c>
    </row>
    <row r="8056" spans="1:3" s="7" customFormat="1" x14ac:dyDescent="0.2">
      <c r="A8056" s="6" t="str">
        <f>"SNN"</f>
        <v>SNN</v>
      </c>
      <c r="B8056" s="6">
        <v>0.176823176823176</v>
      </c>
      <c r="C8056" s="6">
        <v>0.36581539515070799</v>
      </c>
    </row>
    <row r="8057" spans="1:3" s="7" customFormat="1" x14ac:dyDescent="0.2">
      <c r="A8057" s="6" t="str">
        <f>"STK38L"</f>
        <v>STK38L</v>
      </c>
      <c r="B8057" s="6">
        <v>0.176823176823176</v>
      </c>
      <c r="C8057" s="6">
        <v>0.36581539515070799</v>
      </c>
    </row>
    <row r="8058" spans="1:3" s="7" customFormat="1" x14ac:dyDescent="0.2">
      <c r="A8058" s="6" t="str">
        <f>"AC018638.2"</f>
        <v>AC018638.2</v>
      </c>
      <c r="B8058" s="6">
        <v>0.176823176823176</v>
      </c>
      <c r="C8058" s="6">
        <v>0.36581539515070799</v>
      </c>
    </row>
    <row r="8059" spans="1:3" s="7" customFormat="1" x14ac:dyDescent="0.2">
      <c r="A8059" s="6" t="str">
        <f>"DLG2"</f>
        <v>DLG2</v>
      </c>
      <c r="B8059" s="6">
        <v>0.176823176823176</v>
      </c>
      <c r="C8059" s="6">
        <v>0.36581539515070799</v>
      </c>
    </row>
    <row r="8060" spans="1:3" s="7" customFormat="1" x14ac:dyDescent="0.2">
      <c r="A8060" s="6" t="str">
        <f>"CD55"</f>
        <v>CD55</v>
      </c>
      <c r="B8060" s="6">
        <v>0.176823176823176</v>
      </c>
      <c r="C8060" s="6">
        <v>0.36581539515070799</v>
      </c>
    </row>
    <row r="8061" spans="1:3" s="7" customFormat="1" x14ac:dyDescent="0.2">
      <c r="A8061" s="6" t="str">
        <f>"ZNF132"</f>
        <v>ZNF132</v>
      </c>
      <c r="B8061" s="6">
        <v>0.176823176823176</v>
      </c>
      <c r="C8061" s="6">
        <v>0.36581539515070799</v>
      </c>
    </row>
    <row r="8062" spans="1:3" s="7" customFormat="1" x14ac:dyDescent="0.2">
      <c r="A8062" s="6" t="str">
        <f>"SMIM35"</f>
        <v>SMIM35</v>
      </c>
      <c r="B8062" s="6">
        <v>0.176823176823176</v>
      </c>
      <c r="C8062" s="6">
        <v>0.36581539515070799</v>
      </c>
    </row>
    <row r="8063" spans="1:3" s="7" customFormat="1" x14ac:dyDescent="0.2">
      <c r="A8063" s="6" t="str">
        <f>"PCAT7"</f>
        <v>PCAT7</v>
      </c>
      <c r="B8063" s="6">
        <v>0.176823176823176</v>
      </c>
      <c r="C8063" s="6">
        <v>0.36581539515070799</v>
      </c>
    </row>
    <row r="8064" spans="1:3" s="7" customFormat="1" x14ac:dyDescent="0.2">
      <c r="A8064" s="6" t="str">
        <f>"HLA-DPB1"</f>
        <v>HLA-DPB1</v>
      </c>
      <c r="B8064" s="6">
        <v>0.176823176823176</v>
      </c>
      <c r="C8064" s="6">
        <v>0.36581539515070799</v>
      </c>
    </row>
    <row r="8065" spans="1:3" s="7" customFormat="1" x14ac:dyDescent="0.2">
      <c r="A8065" s="6" t="str">
        <f>"GRWD1"</f>
        <v>GRWD1</v>
      </c>
      <c r="B8065" s="6">
        <v>0.176823176823176</v>
      </c>
      <c r="C8065" s="6">
        <v>0.36581539515070799</v>
      </c>
    </row>
    <row r="8066" spans="1:3" s="7" customFormat="1" x14ac:dyDescent="0.2">
      <c r="A8066" s="6" t="str">
        <f>"RPL22L1"</f>
        <v>RPL22L1</v>
      </c>
      <c r="B8066" s="6">
        <v>0.176823176823176</v>
      </c>
      <c r="C8066" s="6">
        <v>0.36581539515070799</v>
      </c>
    </row>
    <row r="8067" spans="1:3" s="7" customFormat="1" x14ac:dyDescent="0.2">
      <c r="A8067" s="6" t="str">
        <f>"AC069503.2"</f>
        <v>AC069503.2</v>
      </c>
      <c r="B8067" s="6">
        <v>0.176823176823176</v>
      </c>
      <c r="C8067" s="6">
        <v>0.36581539515070799</v>
      </c>
    </row>
    <row r="8068" spans="1:3" s="7" customFormat="1" x14ac:dyDescent="0.2">
      <c r="A8068" s="6" t="str">
        <f>"RAPH1"</f>
        <v>RAPH1</v>
      </c>
      <c r="B8068" s="6">
        <v>0.176823176823176</v>
      </c>
      <c r="C8068" s="6">
        <v>0.36581539515070799</v>
      </c>
    </row>
    <row r="8069" spans="1:3" s="7" customFormat="1" x14ac:dyDescent="0.2">
      <c r="A8069" s="6" t="str">
        <f>"ACTR3C"</f>
        <v>ACTR3C</v>
      </c>
      <c r="B8069" s="6">
        <v>0.176823176823176</v>
      </c>
      <c r="C8069" s="6">
        <v>0.36581539515070799</v>
      </c>
    </row>
    <row r="8070" spans="1:3" s="7" customFormat="1" x14ac:dyDescent="0.2">
      <c r="A8070" s="6" t="str">
        <f>"GP6"</f>
        <v>GP6</v>
      </c>
      <c r="B8070" s="6">
        <v>0.176823176823176</v>
      </c>
      <c r="C8070" s="6">
        <v>0.36581539515070799</v>
      </c>
    </row>
    <row r="8071" spans="1:3" s="7" customFormat="1" x14ac:dyDescent="0.2">
      <c r="A8071" s="6" t="str">
        <f>"NSUN4"</f>
        <v>NSUN4</v>
      </c>
      <c r="B8071" s="6">
        <v>0.176823176823176</v>
      </c>
      <c r="C8071" s="6">
        <v>0.36581539515070799</v>
      </c>
    </row>
    <row r="8072" spans="1:3" s="7" customFormat="1" x14ac:dyDescent="0.2">
      <c r="A8072" s="6" t="str">
        <f>"AL355607.1"</f>
        <v>AL355607.1</v>
      </c>
      <c r="B8072" s="6">
        <v>0.176823176823176</v>
      </c>
      <c r="C8072" s="6">
        <v>0.36581539515070799</v>
      </c>
    </row>
    <row r="8073" spans="1:3" s="7" customFormat="1" x14ac:dyDescent="0.2">
      <c r="A8073" s="6" t="str">
        <f>"PMPCA"</f>
        <v>PMPCA</v>
      </c>
      <c r="B8073" s="6">
        <v>0.176823176823176</v>
      </c>
      <c r="C8073" s="6">
        <v>0.36581539515070799</v>
      </c>
    </row>
    <row r="8074" spans="1:3" s="7" customFormat="1" x14ac:dyDescent="0.2">
      <c r="A8074" s="6" t="str">
        <f>"LARGE1"</f>
        <v>LARGE1</v>
      </c>
      <c r="B8074" s="6">
        <v>0.176823176823176</v>
      </c>
      <c r="C8074" s="6">
        <v>0.36581539515070799</v>
      </c>
    </row>
    <row r="8075" spans="1:3" s="7" customFormat="1" x14ac:dyDescent="0.2">
      <c r="A8075" s="6" t="str">
        <f>"AC011416.3"</f>
        <v>AC011416.3</v>
      </c>
      <c r="B8075" s="6">
        <v>0.176823176823176</v>
      </c>
      <c r="C8075" s="6">
        <v>0.36581539515070799</v>
      </c>
    </row>
    <row r="8076" spans="1:3" s="7" customFormat="1" x14ac:dyDescent="0.2">
      <c r="A8076" s="6" t="str">
        <f>"GFI1"</f>
        <v>GFI1</v>
      </c>
      <c r="B8076" s="6">
        <v>0.176823176823176</v>
      </c>
      <c r="C8076" s="6">
        <v>0.36581539515070799</v>
      </c>
    </row>
    <row r="8077" spans="1:3" s="7" customFormat="1" x14ac:dyDescent="0.2">
      <c r="A8077" s="6" t="str">
        <f>"OGT"</f>
        <v>OGT</v>
      </c>
      <c r="B8077" s="6">
        <v>0.176823176823176</v>
      </c>
      <c r="C8077" s="6">
        <v>0.36581539515070799</v>
      </c>
    </row>
    <row r="8078" spans="1:3" s="7" customFormat="1" x14ac:dyDescent="0.2">
      <c r="A8078" s="6" t="str">
        <f>"ADCY1"</f>
        <v>ADCY1</v>
      </c>
      <c r="B8078" s="6">
        <v>0.176823176823176</v>
      </c>
      <c r="C8078" s="6">
        <v>0.36581539515070799</v>
      </c>
    </row>
    <row r="8079" spans="1:3" s="7" customFormat="1" x14ac:dyDescent="0.2">
      <c r="A8079" s="6" t="str">
        <f>"EGFL7"</f>
        <v>EGFL7</v>
      </c>
      <c r="B8079" s="6">
        <v>0.176823176823176</v>
      </c>
      <c r="C8079" s="6">
        <v>0.36581539515070799</v>
      </c>
    </row>
    <row r="8080" spans="1:3" s="7" customFormat="1" x14ac:dyDescent="0.2">
      <c r="A8080" s="6" t="str">
        <f>"HMGB1P3"</f>
        <v>HMGB1P3</v>
      </c>
      <c r="B8080" s="6">
        <v>0.176823176823176</v>
      </c>
      <c r="C8080" s="6">
        <v>0.36581539515070799</v>
      </c>
    </row>
    <row r="8081" spans="1:3" s="7" customFormat="1" x14ac:dyDescent="0.2">
      <c r="A8081" s="6" t="str">
        <f>"AC217774.1"</f>
        <v>AC217774.1</v>
      </c>
      <c r="B8081" s="6">
        <v>0.176884422110552</v>
      </c>
      <c r="C8081" s="6">
        <v>0.36589681078660602</v>
      </c>
    </row>
    <row r="8082" spans="1:3" s="7" customFormat="1" x14ac:dyDescent="0.2">
      <c r="A8082" s="6" t="str">
        <f>"AL121749.2"</f>
        <v>AL121749.2</v>
      </c>
      <c r="B8082" s="6">
        <v>0.17699999999999999</v>
      </c>
      <c r="C8082" s="6">
        <v>0.36595472538347301</v>
      </c>
    </row>
    <row r="8083" spans="1:3" s="7" customFormat="1" x14ac:dyDescent="0.2">
      <c r="A8083" s="6" t="str">
        <f>"AP001085.1"</f>
        <v>AP001085.1</v>
      </c>
      <c r="B8083" s="6">
        <v>0.17699999999999999</v>
      </c>
      <c r="C8083" s="6">
        <v>0.36595472538347301</v>
      </c>
    </row>
    <row r="8084" spans="1:3" s="7" customFormat="1" x14ac:dyDescent="0.2">
      <c r="A8084" s="6" t="str">
        <f>"KHK"</f>
        <v>KHK</v>
      </c>
      <c r="B8084" s="6">
        <v>0.17699999999999999</v>
      </c>
      <c r="C8084" s="6">
        <v>0.36595472538347301</v>
      </c>
    </row>
    <row r="8085" spans="1:3" s="7" customFormat="1" x14ac:dyDescent="0.2">
      <c r="A8085" s="6" t="str">
        <f>"DZANK1"</f>
        <v>DZANK1</v>
      </c>
      <c r="B8085" s="6">
        <v>0.17699999999999999</v>
      </c>
      <c r="C8085" s="6">
        <v>0.36595472538347301</v>
      </c>
    </row>
    <row r="8086" spans="1:3" s="7" customFormat="1" x14ac:dyDescent="0.2">
      <c r="A8086" s="6" t="str">
        <f>"AK9"</f>
        <v>AK9</v>
      </c>
      <c r="B8086" s="6">
        <v>0.17782217782217699</v>
      </c>
      <c r="C8086" s="6">
        <v>0.367019002237574</v>
      </c>
    </row>
    <row r="8087" spans="1:3" s="7" customFormat="1" x14ac:dyDescent="0.2">
      <c r="A8087" s="6" t="str">
        <f>"SNF8P1"</f>
        <v>SNF8P1</v>
      </c>
      <c r="B8087" s="6">
        <v>0.17782217782217699</v>
      </c>
      <c r="C8087" s="6">
        <v>0.367019002237574</v>
      </c>
    </row>
    <row r="8088" spans="1:3" s="7" customFormat="1" x14ac:dyDescent="0.2">
      <c r="A8088" s="6" t="str">
        <f>"ZNF2"</f>
        <v>ZNF2</v>
      </c>
      <c r="B8088" s="6">
        <v>0.17782217782217699</v>
      </c>
      <c r="C8088" s="6">
        <v>0.367019002237574</v>
      </c>
    </row>
    <row r="8089" spans="1:3" s="7" customFormat="1" x14ac:dyDescent="0.2">
      <c r="A8089" s="6" t="str">
        <f>"CD320"</f>
        <v>CD320</v>
      </c>
      <c r="B8089" s="6">
        <v>0.17782217782217699</v>
      </c>
      <c r="C8089" s="6">
        <v>0.367019002237574</v>
      </c>
    </row>
    <row r="8090" spans="1:3" s="7" customFormat="1" x14ac:dyDescent="0.2">
      <c r="A8090" s="6" t="str">
        <f>"LUZP2"</f>
        <v>LUZP2</v>
      </c>
      <c r="B8090" s="6">
        <v>0.17782217782217699</v>
      </c>
      <c r="C8090" s="6">
        <v>0.367019002237574</v>
      </c>
    </row>
    <row r="8091" spans="1:3" s="7" customFormat="1" x14ac:dyDescent="0.2">
      <c r="A8091" s="6" t="str">
        <f>"SMC3"</f>
        <v>SMC3</v>
      </c>
      <c r="B8091" s="6">
        <v>0.17782217782217699</v>
      </c>
      <c r="C8091" s="6">
        <v>0.367019002237574</v>
      </c>
    </row>
    <row r="8092" spans="1:3" s="7" customFormat="1" x14ac:dyDescent="0.2">
      <c r="A8092" s="6" t="str">
        <f>"ATG16L1"</f>
        <v>ATG16L1</v>
      </c>
      <c r="B8092" s="6">
        <v>0.17782217782217699</v>
      </c>
      <c r="C8092" s="6">
        <v>0.367019002237574</v>
      </c>
    </row>
    <row r="8093" spans="1:3" s="7" customFormat="1" x14ac:dyDescent="0.2">
      <c r="A8093" s="6" t="str">
        <f>"TNRC6A"</f>
        <v>TNRC6A</v>
      </c>
      <c r="B8093" s="6">
        <v>0.17782217782217699</v>
      </c>
      <c r="C8093" s="6">
        <v>0.367019002237574</v>
      </c>
    </row>
    <row r="8094" spans="1:3" s="7" customFormat="1" x14ac:dyDescent="0.2">
      <c r="A8094" s="6" t="str">
        <f>"HERC2P3"</f>
        <v>HERC2P3</v>
      </c>
      <c r="B8094" s="6">
        <v>0.17782217782217699</v>
      </c>
      <c r="C8094" s="6">
        <v>0.367019002237574</v>
      </c>
    </row>
    <row r="8095" spans="1:3" s="7" customFormat="1" x14ac:dyDescent="0.2">
      <c r="A8095" s="6" t="str">
        <f>"ZNF512"</f>
        <v>ZNF512</v>
      </c>
      <c r="B8095" s="6">
        <v>0.17782217782217699</v>
      </c>
      <c r="C8095" s="6">
        <v>0.367019002237574</v>
      </c>
    </row>
    <row r="8096" spans="1:3" s="7" customFormat="1" x14ac:dyDescent="0.2">
      <c r="A8096" s="6" t="str">
        <f>"THUMPD3-AS1"</f>
        <v>THUMPD3-AS1</v>
      </c>
      <c r="B8096" s="6">
        <v>0.17782217782217699</v>
      </c>
      <c r="C8096" s="6">
        <v>0.367019002237574</v>
      </c>
    </row>
    <row r="8097" spans="1:3" s="7" customFormat="1" x14ac:dyDescent="0.2">
      <c r="A8097" s="6" t="str">
        <f>"FGFRL1"</f>
        <v>FGFRL1</v>
      </c>
      <c r="B8097" s="6">
        <v>0.17782217782217699</v>
      </c>
      <c r="C8097" s="6">
        <v>0.367019002237574</v>
      </c>
    </row>
    <row r="8098" spans="1:3" s="7" customFormat="1" x14ac:dyDescent="0.2">
      <c r="A8098" s="6" t="str">
        <f>"BMP2"</f>
        <v>BMP2</v>
      </c>
      <c r="B8098" s="6">
        <v>0.17782217782217699</v>
      </c>
      <c r="C8098" s="6">
        <v>0.367019002237574</v>
      </c>
    </row>
    <row r="8099" spans="1:3" s="7" customFormat="1" x14ac:dyDescent="0.2">
      <c r="A8099" s="6" t="str">
        <f>"ZDHHC1"</f>
        <v>ZDHHC1</v>
      </c>
      <c r="B8099" s="6">
        <v>0.17782217782217699</v>
      </c>
      <c r="C8099" s="6">
        <v>0.367019002237574</v>
      </c>
    </row>
    <row r="8100" spans="1:3" s="7" customFormat="1" x14ac:dyDescent="0.2">
      <c r="A8100" s="6" t="str">
        <f>"RBM10"</f>
        <v>RBM10</v>
      </c>
      <c r="B8100" s="6">
        <v>0.17799999999999999</v>
      </c>
      <c r="C8100" s="6">
        <v>0.36734065934065901</v>
      </c>
    </row>
    <row r="8101" spans="1:3" s="7" customFormat="1" x14ac:dyDescent="0.2">
      <c r="A8101" s="6" t="str">
        <f>"MRPL11"</f>
        <v>MRPL11</v>
      </c>
      <c r="B8101" s="6">
        <v>0.17882117882117801</v>
      </c>
      <c r="C8101" s="6">
        <v>0.36789970246395598</v>
      </c>
    </row>
    <row r="8102" spans="1:3" s="7" customFormat="1" x14ac:dyDescent="0.2">
      <c r="A8102" s="6" t="str">
        <f>"HPF1"</f>
        <v>HPF1</v>
      </c>
      <c r="B8102" s="6">
        <v>0.17882117882117801</v>
      </c>
      <c r="C8102" s="6">
        <v>0.36789970246395598</v>
      </c>
    </row>
    <row r="8103" spans="1:3" s="7" customFormat="1" x14ac:dyDescent="0.2">
      <c r="A8103" s="6" t="str">
        <f>"CTC1"</f>
        <v>CTC1</v>
      </c>
      <c r="B8103" s="6">
        <v>0.17882117882117801</v>
      </c>
      <c r="C8103" s="6">
        <v>0.36789970246395598</v>
      </c>
    </row>
    <row r="8104" spans="1:3" s="7" customFormat="1" x14ac:dyDescent="0.2">
      <c r="A8104" s="6" t="str">
        <f>"ANKRD20A11P"</f>
        <v>ANKRD20A11P</v>
      </c>
      <c r="B8104" s="6">
        <v>0.17882117882117801</v>
      </c>
      <c r="C8104" s="6">
        <v>0.36789970246395598</v>
      </c>
    </row>
    <row r="8105" spans="1:3" s="7" customFormat="1" x14ac:dyDescent="0.2">
      <c r="A8105" s="6" t="str">
        <f>"YEATS2"</f>
        <v>YEATS2</v>
      </c>
      <c r="B8105" s="6">
        <v>0.17882117882117801</v>
      </c>
      <c r="C8105" s="6">
        <v>0.36789970246395598</v>
      </c>
    </row>
    <row r="8106" spans="1:3" s="7" customFormat="1" x14ac:dyDescent="0.2">
      <c r="A8106" s="6" t="str">
        <f>"LIN54"</f>
        <v>LIN54</v>
      </c>
      <c r="B8106" s="6">
        <v>0.17882117882117801</v>
      </c>
      <c r="C8106" s="6">
        <v>0.36789970246395598</v>
      </c>
    </row>
    <row r="8107" spans="1:3" s="7" customFormat="1" x14ac:dyDescent="0.2">
      <c r="A8107" s="6" t="str">
        <f>"HS3ST3A1"</f>
        <v>HS3ST3A1</v>
      </c>
      <c r="B8107" s="6">
        <v>0.17882117882117801</v>
      </c>
      <c r="C8107" s="6">
        <v>0.36789970246395598</v>
      </c>
    </row>
    <row r="8108" spans="1:3" s="7" customFormat="1" x14ac:dyDescent="0.2">
      <c r="A8108" s="6" t="str">
        <f>"USP10"</f>
        <v>USP10</v>
      </c>
      <c r="B8108" s="6">
        <v>0.17882117882117801</v>
      </c>
      <c r="C8108" s="6">
        <v>0.36789970246395598</v>
      </c>
    </row>
    <row r="8109" spans="1:3" s="7" customFormat="1" x14ac:dyDescent="0.2">
      <c r="A8109" s="6" t="str">
        <f>"SPOCK3"</f>
        <v>SPOCK3</v>
      </c>
      <c r="B8109" s="6">
        <v>0.17882117882117801</v>
      </c>
      <c r="C8109" s="6">
        <v>0.36789970246395598</v>
      </c>
    </row>
    <row r="8110" spans="1:3" s="7" customFormat="1" x14ac:dyDescent="0.2">
      <c r="A8110" s="6" t="str">
        <f>"LRRC37B"</f>
        <v>LRRC37B</v>
      </c>
      <c r="B8110" s="6">
        <v>0.17882117882117801</v>
      </c>
      <c r="C8110" s="6">
        <v>0.36789970246395598</v>
      </c>
    </row>
    <row r="8111" spans="1:3" s="7" customFormat="1" x14ac:dyDescent="0.2">
      <c r="A8111" s="6" t="str">
        <f>"GS1-24F4.2"</f>
        <v>GS1-24F4.2</v>
      </c>
      <c r="B8111" s="6">
        <v>0.17882117882117801</v>
      </c>
      <c r="C8111" s="6">
        <v>0.36789970246395598</v>
      </c>
    </row>
    <row r="8112" spans="1:3" s="7" customFormat="1" x14ac:dyDescent="0.2">
      <c r="A8112" s="6" t="str">
        <f>"LINC01811"</f>
        <v>LINC01811</v>
      </c>
      <c r="B8112" s="6">
        <v>0.17882117882117801</v>
      </c>
      <c r="C8112" s="6">
        <v>0.36789970246395598</v>
      </c>
    </row>
    <row r="8113" spans="1:3" s="7" customFormat="1" x14ac:dyDescent="0.2">
      <c r="A8113" s="6" t="str">
        <f>"CUEDC2"</f>
        <v>CUEDC2</v>
      </c>
      <c r="B8113" s="6">
        <v>0.17882117882117801</v>
      </c>
      <c r="C8113" s="6">
        <v>0.36789970246395598</v>
      </c>
    </row>
    <row r="8114" spans="1:3" s="7" customFormat="1" x14ac:dyDescent="0.2">
      <c r="A8114" s="6" t="str">
        <f>"PNN"</f>
        <v>PNN</v>
      </c>
      <c r="B8114" s="6">
        <v>0.17882117882117801</v>
      </c>
      <c r="C8114" s="6">
        <v>0.36789970246395598</v>
      </c>
    </row>
    <row r="8115" spans="1:3" s="7" customFormat="1" x14ac:dyDescent="0.2">
      <c r="A8115" s="6" t="str">
        <f>"GNPNAT1"</f>
        <v>GNPNAT1</v>
      </c>
      <c r="B8115" s="6">
        <v>0.17882117882117801</v>
      </c>
      <c r="C8115" s="6">
        <v>0.36789970246395598</v>
      </c>
    </row>
    <row r="8116" spans="1:3" s="7" customFormat="1" x14ac:dyDescent="0.2">
      <c r="A8116" s="6" t="str">
        <f>"TRAK2"</f>
        <v>TRAK2</v>
      </c>
      <c r="B8116" s="6">
        <v>0.17882117882117801</v>
      </c>
      <c r="C8116" s="6">
        <v>0.36789970246395598</v>
      </c>
    </row>
    <row r="8117" spans="1:3" s="7" customFormat="1" x14ac:dyDescent="0.2">
      <c r="A8117" s="6" t="str">
        <f>"NTN4"</f>
        <v>NTN4</v>
      </c>
      <c r="B8117" s="6">
        <v>0.17882117882117801</v>
      </c>
      <c r="C8117" s="6">
        <v>0.36789970246395598</v>
      </c>
    </row>
    <row r="8118" spans="1:3" s="7" customFormat="1" x14ac:dyDescent="0.2">
      <c r="A8118" s="6" t="str">
        <f>"LINC01445"</f>
        <v>LINC01445</v>
      </c>
      <c r="B8118" s="6">
        <v>0.17882117882117801</v>
      </c>
      <c r="C8118" s="6">
        <v>0.36789970246395598</v>
      </c>
    </row>
    <row r="8119" spans="1:3" s="7" customFormat="1" x14ac:dyDescent="0.2">
      <c r="A8119" s="6" t="str">
        <f>"AC109322.1"</f>
        <v>AC109322.1</v>
      </c>
      <c r="B8119" s="6">
        <v>0.17882117882117801</v>
      </c>
      <c r="C8119" s="6">
        <v>0.36789970246395598</v>
      </c>
    </row>
    <row r="8120" spans="1:3" s="7" customFormat="1" x14ac:dyDescent="0.2">
      <c r="A8120" s="6" t="str">
        <f>"RPS27"</f>
        <v>RPS27</v>
      </c>
      <c r="B8120" s="6">
        <v>0.17882117882117801</v>
      </c>
      <c r="C8120" s="6">
        <v>0.36789970246395598</v>
      </c>
    </row>
    <row r="8121" spans="1:3" s="7" customFormat="1" x14ac:dyDescent="0.2">
      <c r="A8121" s="6" t="str">
        <f>"FREM2"</f>
        <v>FREM2</v>
      </c>
      <c r="B8121" s="6">
        <v>0.17882117882117801</v>
      </c>
      <c r="C8121" s="6">
        <v>0.36789970246395598</v>
      </c>
    </row>
    <row r="8122" spans="1:3" s="7" customFormat="1" x14ac:dyDescent="0.2">
      <c r="A8122" s="6" t="str">
        <f>"UBE2J1"</f>
        <v>UBE2J1</v>
      </c>
      <c r="B8122" s="6">
        <v>0.17882117882117801</v>
      </c>
      <c r="C8122" s="6">
        <v>0.36789970246395598</v>
      </c>
    </row>
    <row r="8123" spans="1:3" s="7" customFormat="1" x14ac:dyDescent="0.2">
      <c r="A8123" s="6" t="str">
        <f>"LINC01608"</f>
        <v>LINC01608</v>
      </c>
      <c r="B8123" s="6">
        <v>0.17882117882117801</v>
      </c>
      <c r="C8123" s="6">
        <v>0.36789970246395598</v>
      </c>
    </row>
    <row r="8124" spans="1:3" s="7" customFormat="1" x14ac:dyDescent="0.2">
      <c r="A8124" s="6" t="str">
        <f>"PRPF40B"</f>
        <v>PRPF40B</v>
      </c>
      <c r="B8124" s="6">
        <v>0.17882117882117801</v>
      </c>
      <c r="C8124" s="6">
        <v>0.36789970246395598</v>
      </c>
    </row>
    <row r="8125" spans="1:3" s="7" customFormat="1" x14ac:dyDescent="0.2">
      <c r="A8125" s="6" t="str">
        <f>"H3-2"</f>
        <v>H3-2</v>
      </c>
      <c r="B8125" s="6">
        <v>0.17882117882117801</v>
      </c>
      <c r="C8125" s="6">
        <v>0.36789970246395598</v>
      </c>
    </row>
    <row r="8126" spans="1:3" s="7" customFormat="1" x14ac:dyDescent="0.2">
      <c r="A8126" s="6" t="str">
        <f>"HOXC4"</f>
        <v>HOXC4</v>
      </c>
      <c r="B8126" s="6">
        <v>0.178894472361809</v>
      </c>
      <c r="C8126" s="6">
        <v>0.36800519520680303</v>
      </c>
    </row>
    <row r="8127" spans="1:3" s="7" customFormat="1" x14ac:dyDescent="0.2">
      <c r="A8127" s="6" t="str">
        <f>"PPP5D1"</f>
        <v>PPP5D1</v>
      </c>
      <c r="B8127" s="6">
        <v>0.17899999999999999</v>
      </c>
      <c r="C8127" s="6">
        <v>0.36814302233806201</v>
      </c>
    </row>
    <row r="8128" spans="1:3" s="7" customFormat="1" x14ac:dyDescent="0.2">
      <c r="A8128" s="6" t="str">
        <f>"AC073320.1"</f>
        <v>AC073320.1</v>
      </c>
      <c r="B8128" s="6">
        <v>0.17900552486187801</v>
      </c>
      <c r="C8128" s="6">
        <v>0.36814302233806201</v>
      </c>
    </row>
    <row r="8129" spans="1:3" s="7" customFormat="1" x14ac:dyDescent="0.2">
      <c r="A8129" s="6" t="str">
        <f>"RPL27A"</f>
        <v>RPL27A</v>
      </c>
      <c r="B8129" s="6">
        <v>0.179820179820179</v>
      </c>
      <c r="C8129" s="6">
        <v>0.36904647415452901</v>
      </c>
    </row>
    <row r="8130" spans="1:3" s="7" customFormat="1" x14ac:dyDescent="0.2">
      <c r="A8130" s="6" t="str">
        <f>"NBPF9"</f>
        <v>NBPF9</v>
      </c>
      <c r="B8130" s="6">
        <v>0.179820179820179</v>
      </c>
      <c r="C8130" s="6">
        <v>0.36904647415452901</v>
      </c>
    </row>
    <row r="8131" spans="1:3" s="7" customFormat="1" x14ac:dyDescent="0.2">
      <c r="A8131" s="6" t="str">
        <f>"PRPF38B"</f>
        <v>PRPF38B</v>
      </c>
      <c r="B8131" s="6">
        <v>0.179820179820179</v>
      </c>
      <c r="C8131" s="6">
        <v>0.36904647415452901</v>
      </c>
    </row>
    <row r="8132" spans="1:3" s="7" customFormat="1" x14ac:dyDescent="0.2">
      <c r="A8132" s="6" t="str">
        <f>"PSMB8-AS1"</f>
        <v>PSMB8-AS1</v>
      </c>
      <c r="B8132" s="6">
        <v>0.179820179820179</v>
      </c>
      <c r="C8132" s="6">
        <v>0.36904647415452901</v>
      </c>
    </row>
    <row r="8133" spans="1:3" s="7" customFormat="1" x14ac:dyDescent="0.2">
      <c r="A8133" s="6" t="str">
        <f>"ZBED1"</f>
        <v>ZBED1</v>
      </c>
      <c r="B8133" s="6">
        <v>0.179820179820179</v>
      </c>
      <c r="C8133" s="6">
        <v>0.36904647415452901</v>
      </c>
    </row>
    <row r="8134" spans="1:3" s="7" customFormat="1" x14ac:dyDescent="0.2">
      <c r="A8134" s="6" t="str">
        <f>"YBX1P6"</f>
        <v>YBX1P6</v>
      </c>
      <c r="B8134" s="6">
        <v>0.179820179820179</v>
      </c>
      <c r="C8134" s="6">
        <v>0.36904647415452901</v>
      </c>
    </row>
    <row r="8135" spans="1:3" s="7" customFormat="1" x14ac:dyDescent="0.2">
      <c r="A8135" s="6" t="str">
        <f>"RNF207"</f>
        <v>RNF207</v>
      </c>
      <c r="B8135" s="6">
        <v>0.179820179820179</v>
      </c>
      <c r="C8135" s="6">
        <v>0.36904647415452901</v>
      </c>
    </row>
    <row r="8136" spans="1:3" s="7" customFormat="1" x14ac:dyDescent="0.2">
      <c r="A8136" s="6" t="str">
        <f>"PAQR8"</f>
        <v>PAQR8</v>
      </c>
      <c r="B8136" s="6">
        <v>0.179820179820179</v>
      </c>
      <c r="C8136" s="6">
        <v>0.36904647415452901</v>
      </c>
    </row>
    <row r="8137" spans="1:3" s="7" customFormat="1" x14ac:dyDescent="0.2">
      <c r="A8137" s="6" t="str">
        <f>"OPA3"</f>
        <v>OPA3</v>
      </c>
      <c r="B8137" s="6">
        <v>0.179820179820179</v>
      </c>
      <c r="C8137" s="6">
        <v>0.36904647415452901</v>
      </c>
    </row>
    <row r="8138" spans="1:3" s="7" customFormat="1" x14ac:dyDescent="0.2">
      <c r="A8138" s="6" t="str">
        <f>"PLD2"</f>
        <v>PLD2</v>
      </c>
      <c r="B8138" s="6">
        <v>0.179820179820179</v>
      </c>
      <c r="C8138" s="6">
        <v>0.36904647415452901</v>
      </c>
    </row>
    <row r="8139" spans="1:3" s="7" customFormat="1" x14ac:dyDescent="0.2">
      <c r="A8139" s="6" t="str">
        <f>"RUFY4"</f>
        <v>RUFY4</v>
      </c>
      <c r="B8139" s="6">
        <v>0.179820179820179</v>
      </c>
      <c r="C8139" s="6">
        <v>0.36904647415452901</v>
      </c>
    </row>
    <row r="8140" spans="1:3" s="7" customFormat="1" x14ac:dyDescent="0.2">
      <c r="A8140" s="6" t="str">
        <f>"TMED8"</f>
        <v>TMED8</v>
      </c>
      <c r="B8140" s="6">
        <v>0.179820179820179</v>
      </c>
      <c r="C8140" s="6">
        <v>0.36904647415452901</v>
      </c>
    </row>
    <row r="8141" spans="1:3" s="7" customFormat="1" x14ac:dyDescent="0.2">
      <c r="A8141" s="6" t="str">
        <f>"SP140L"</f>
        <v>SP140L</v>
      </c>
      <c r="B8141" s="6">
        <v>0.179820179820179</v>
      </c>
      <c r="C8141" s="6">
        <v>0.36904647415452901</v>
      </c>
    </row>
    <row r="8142" spans="1:3" s="7" customFormat="1" x14ac:dyDescent="0.2">
      <c r="A8142" s="6" t="str">
        <f>"CFAP97"</f>
        <v>CFAP97</v>
      </c>
      <c r="B8142" s="6">
        <v>0.179820179820179</v>
      </c>
      <c r="C8142" s="6">
        <v>0.36904647415452901</v>
      </c>
    </row>
    <row r="8143" spans="1:3" s="7" customFormat="1" x14ac:dyDescent="0.2">
      <c r="A8143" s="6" t="str">
        <f>"DDIT4L"</f>
        <v>DDIT4L</v>
      </c>
      <c r="B8143" s="6">
        <v>0.179820179820179</v>
      </c>
      <c r="C8143" s="6">
        <v>0.36904647415452901</v>
      </c>
    </row>
    <row r="8144" spans="1:3" s="7" customFormat="1" x14ac:dyDescent="0.2">
      <c r="A8144" s="6" t="str">
        <f>"LINC00886"</f>
        <v>LINC00886</v>
      </c>
      <c r="B8144" s="6">
        <v>0.179820179820179</v>
      </c>
      <c r="C8144" s="6">
        <v>0.36904647415452901</v>
      </c>
    </row>
    <row r="8145" spans="1:3" s="7" customFormat="1" x14ac:dyDescent="0.2">
      <c r="A8145" s="6" t="str">
        <f>"CCDC65"</f>
        <v>CCDC65</v>
      </c>
      <c r="B8145" s="6">
        <v>0.179820179820179</v>
      </c>
      <c r="C8145" s="6">
        <v>0.36904647415452901</v>
      </c>
    </row>
    <row r="8146" spans="1:3" s="7" customFormat="1" x14ac:dyDescent="0.2">
      <c r="A8146" s="6" t="str">
        <f>"BX323043.1"</f>
        <v>BX323043.1</v>
      </c>
      <c r="B8146" s="6">
        <v>0.18</v>
      </c>
      <c r="C8146" s="6">
        <v>0.36932482199852601</v>
      </c>
    </row>
    <row r="8147" spans="1:3" s="7" customFormat="1" x14ac:dyDescent="0.2">
      <c r="A8147" s="6" t="str">
        <f>"CHCHD2P6"</f>
        <v>CHCHD2P6</v>
      </c>
      <c r="B8147" s="6">
        <v>0.18</v>
      </c>
      <c r="C8147" s="6">
        <v>0.36932482199852601</v>
      </c>
    </row>
    <row r="8148" spans="1:3" s="7" customFormat="1" x14ac:dyDescent="0.2">
      <c r="A8148" s="6" t="str">
        <f>"AL358790.1"</f>
        <v>AL358790.1</v>
      </c>
      <c r="B8148" s="6">
        <v>0.18008048289738399</v>
      </c>
      <c r="C8148" s="6">
        <v>0.36944460428953901</v>
      </c>
    </row>
    <row r="8149" spans="1:3" s="7" customFormat="1" x14ac:dyDescent="0.2">
      <c r="A8149" s="6" t="str">
        <f>"SLC16A9"</f>
        <v>SLC16A9</v>
      </c>
      <c r="B8149" s="6">
        <v>0.18081918081918</v>
      </c>
      <c r="C8149" s="6">
        <v>0.37018762716949799</v>
      </c>
    </row>
    <row r="8150" spans="1:3" s="7" customFormat="1" x14ac:dyDescent="0.2">
      <c r="A8150" s="6" t="str">
        <f>"UBE2R2"</f>
        <v>UBE2R2</v>
      </c>
      <c r="B8150" s="6">
        <v>0.18081918081918</v>
      </c>
      <c r="C8150" s="6">
        <v>0.37018762716949799</v>
      </c>
    </row>
    <row r="8151" spans="1:3" s="7" customFormat="1" x14ac:dyDescent="0.2">
      <c r="A8151" s="6" t="str">
        <f>"TOM1"</f>
        <v>TOM1</v>
      </c>
      <c r="B8151" s="6">
        <v>0.18081918081918</v>
      </c>
      <c r="C8151" s="6">
        <v>0.37018762716949799</v>
      </c>
    </row>
    <row r="8152" spans="1:3" s="7" customFormat="1" x14ac:dyDescent="0.2">
      <c r="A8152" s="6" t="str">
        <f>"CTC-338M12.4"</f>
        <v>CTC-338M12.4</v>
      </c>
      <c r="B8152" s="6">
        <v>0.18081918081918</v>
      </c>
      <c r="C8152" s="6">
        <v>0.37018762716949799</v>
      </c>
    </row>
    <row r="8153" spans="1:3" s="7" customFormat="1" x14ac:dyDescent="0.2">
      <c r="A8153" s="6" t="str">
        <f>"AC090114.3"</f>
        <v>AC090114.3</v>
      </c>
      <c r="B8153" s="6">
        <v>0.18081918081918</v>
      </c>
      <c r="C8153" s="6">
        <v>0.37018762716949799</v>
      </c>
    </row>
    <row r="8154" spans="1:3" s="7" customFormat="1" x14ac:dyDescent="0.2">
      <c r="A8154" s="6" t="str">
        <f>"TYW1"</f>
        <v>TYW1</v>
      </c>
      <c r="B8154" s="6">
        <v>0.18081918081918</v>
      </c>
      <c r="C8154" s="6">
        <v>0.37018762716949799</v>
      </c>
    </row>
    <row r="8155" spans="1:3" s="7" customFormat="1" x14ac:dyDescent="0.2">
      <c r="A8155" s="6" t="str">
        <f>"LINC02688"</f>
        <v>LINC02688</v>
      </c>
      <c r="B8155" s="6">
        <v>0.18081918081918</v>
      </c>
      <c r="C8155" s="6">
        <v>0.37018762716949799</v>
      </c>
    </row>
    <row r="8156" spans="1:3" s="7" customFormat="1" x14ac:dyDescent="0.2">
      <c r="A8156" s="6" t="str">
        <f>"USP37"</f>
        <v>USP37</v>
      </c>
      <c r="B8156" s="6">
        <v>0.18081918081918</v>
      </c>
      <c r="C8156" s="6">
        <v>0.37018762716949799</v>
      </c>
    </row>
    <row r="8157" spans="1:3" s="7" customFormat="1" x14ac:dyDescent="0.2">
      <c r="A8157" s="6" t="str">
        <f>"AC122713.2"</f>
        <v>AC122713.2</v>
      </c>
      <c r="B8157" s="6">
        <v>0.18081918081918</v>
      </c>
      <c r="C8157" s="6">
        <v>0.37018762716949799</v>
      </c>
    </row>
    <row r="8158" spans="1:3" s="7" customFormat="1" x14ac:dyDescent="0.2">
      <c r="A8158" s="6" t="str">
        <f>"TBX6"</f>
        <v>TBX6</v>
      </c>
      <c r="B8158" s="6">
        <v>0.18081918081918</v>
      </c>
      <c r="C8158" s="6">
        <v>0.37018762716949799</v>
      </c>
    </row>
    <row r="8159" spans="1:3" s="7" customFormat="1" x14ac:dyDescent="0.2">
      <c r="A8159" s="6" t="str">
        <f>"AC010733.1"</f>
        <v>AC010733.1</v>
      </c>
      <c r="B8159" s="6">
        <v>0.18081918081918</v>
      </c>
      <c r="C8159" s="6">
        <v>0.37018762716949799</v>
      </c>
    </row>
    <row r="8160" spans="1:3" s="7" customFormat="1" x14ac:dyDescent="0.2">
      <c r="A8160" s="6" t="str">
        <f>"NBPF10"</f>
        <v>NBPF10</v>
      </c>
      <c r="B8160" s="6">
        <v>0.18081918081918</v>
      </c>
      <c r="C8160" s="6">
        <v>0.37018762716949799</v>
      </c>
    </row>
    <row r="8161" spans="1:3" s="7" customFormat="1" x14ac:dyDescent="0.2">
      <c r="A8161" s="6" t="str">
        <f>"NDC1"</f>
        <v>NDC1</v>
      </c>
      <c r="B8161" s="6">
        <v>0.18081918081918</v>
      </c>
      <c r="C8161" s="6">
        <v>0.37018762716949799</v>
      </c>
    </row>
    <row r="8162" spans="1:3" s="7" customFormat="1" x14ac:dyDescent="0.2">
      <c r="A8162" s="6" t="str">
        <f>"AC010255.2"</f>
        <v>AC010255.2</v>
      </c>
      <c r="B8162" s="6">
        <v>0.18081918081918</v>
      </c>
      <c r="C8162" s="6">
        <v>0.37018762716949799</v>
      </c>
    </row>
    <row r="8163" spans="1:3" s="7" customFormat="1" x14ac:dyDescent="0.2">
      <c r="A8163" s="6" t="str">
        <f>"MPST"</f>
        <v>MPST</v>
      </c>
      <c r="B8163" s="6">
        <v>0.18081918081918</v>
      </c>
      <c r="C8163" s="6">
        <v>0.37018762716949799</v>
      </c>
    </row>
    <row r="8164" spans="1:3" s="7" customFormat="1" x14ac:dyDescent="0.2">
      <c r="A8164" s="6" t="str">
        <f>"FHL1"</f>
        <v>FHL1</v>
      </c>
      <c r="B8164" s="6">
        <v>0.18081918081918</v>
      </c>
      <c r="C8164" s="6">
        <v>0.37018762716949799</v>
      </c>
    </row>
    <row r="8165" spans="1:3" s="7" customFormat="1" x14ac:dyDescent="0.2">
      <c r="A8165" s="6" t="str">
        <f>"H3-3B"</f>
        <v>H3-3B</v>
      </c>
      <c r="B8165" s="6">
        <v>0.18081918081918</v>
      </c>
      <c r="C8165" s="6">
        <v>0.37018762716949799</v>
      </c>
    </row>
    <row r="8166" spans="1:3" s="7" customFormat="1" x14ac:dyDescent="0.2">
      <c r="A8166" s="6" t="str">
        <f>"AC034102.2"</f>
        <v>AC034102.2</v>
      </c>
      <c r="B8166" s="6">
        <v>0.18099999999999999</v>
      </c>
      <c r="C8166" s="6">
        <v>0.37042169707358802</v>
      </c>
    </row>
    <row r="8167" spans="1:3" s="7" customFormat="1" x14ac:dyDescent="0.2">
      <c r="A8167" s="6" t="str">
        <f>"RASSF10"</f>
        <v>RASSF10</v>
      </c>
      <c r="B8167" s="6">
        <v>0.18099999999999999</v>
      </c>
      <c r="C8167" s="6">
        <v>0.37042169707358802</v>
      </c>
    </row>
    <row r="8168" spans="1:3" s="7" customFormat="1" x14ac:dyDescent="0.2">
      <c r="A8168" s="6" t="str">
        <f>"AC079140.6"</f>
        <v>AC079140.6</v>
      </c>
      <c r="B8168" s="6">
        <v>0.18099999999999999</v>
      </c>
      <c r="C8168" s="6">
        <v>0.37042169707358802</v>
      </c>
    </row>
    <row r="8169" spans="1:3" s="7" customFormat="1" x14ac:dyDescent="0.2">
      <c r="A8169" s="6" t="str">
        <f>"PCBP1-AS1"</f>
        <v>PCBP1-AS1</v>
      </c>
      <c r="B8169" s="6">
        <v>0.18181818181818099</v>
      </c>
      <c r="C8169" s="6">
        <v>0.37064387009502198</v>
      </c>
    </row>
    <row r="8170" spans="1:3" s="7" customFormat="1" x14ac:dyDescent="0.2">
      <c r="A8170" s="6" t="str">
        <f>"WDFY3"</f>
        <v>WDFY3</v>
      </c>
      <c r="B8170" s="6">
        <v>0.18181818181818099</v>
      </c>
      <c r="C8170" s="6">
        <v>0.37064387009502198</v>
      </c>
    </row>
    <row r="8171" spans="1:3" s="7" customFormat="1" x14ac:dyDescent="0.2">
      <c r="A8171" s="6" t="str">
        <f>"HKDC1"</f>
        <v>HKDC1</v>
      </c>
      <c r="B8171" s="6">
        <v>0.18181818181818099</v>
      </c>
      <c r="C8171" s="6">
        <v>0.37064387009502198</v>
      </c>
    </row>
    <row r="8172" spans="1:3" s="7" customFormat="1" x14ac:dyDescent="0.2">
      <c r="A8172" s="6" t="str">
        <f>"AC100835.2"</f>
        <v>AC100835.2</v>
      </c>
      <c r="B8172" s="6">
        <v>0.18172690763052199</v>
      </c>
      <c r="C8172" s="6">
        <v>0.37064387009502198</v>
      </c>
    </row>
    <row r="8173" spans="1:3" s="7" customFormat="1" x14ac:dyDescent="0.2">
      <c r="A8173" s="6" t="str">
        <f>"AL117327.1"</f>
        <v>AL117327.1</v>
      </c>
      <c r="B8173" s="6">
        <v>0.18181818181818099</v>
      </c>
      <c r="C8173" s="6">
        <v>0.37064387009502198</v>
      </c>
    </row>
    <row r="8174" spans="1:3" s="7" customFormat="1" x14ac:dyDescent="0.2">
      <c r="A8174" s="6" t="str">
        <f>"AC117378.1"</f>
        <v>AC117378.1</v>
      </c>
      <c r="B8174" s="6">
        <v>0.18181818181818099</v>
      </c>
      <c r="C8174" s="6">
        <v>0.37064387009502198</v>
      </c>
    </row>
    <row r="8175" spans="1:3" s="7" customFormat="1" x14ac:dyDescent="0.2">
      <c r="A8175" s="6" t="str">
        <f>"IL12RB1"</f>
        <v>IL12RB1</v>
      </c>
      <c r="B8175" s="6">
        <v>0.18181818181818099</v>
      </c>
      <c r="C8175" s="6">
        <v>0.37064387009502198</v>
      </c>
    </row>
    <row r="8176" spans="1:3" s="7" customFormat="1" x14ac:dyDescent="0.2">
      <c r="A8176" s="6" t="str">
        <f>"KMT2B"</f>
        <v>KMT2B</v>
      </c>
      <c r="B8176" s="6">
        <v>0.18181818181818099</v>
      </c>
      <c r="C8176" s="6">
        <v>0.37064387009502198</v>
      </c>
    </row>
    <row r="8177" spans="1:3" s="7" customFormat="1" x14ac:dyDescent="0.2">
      <c r="A8177" s="6" t="str">
        <f>"AC009063.2"</f>
        <v>AC009063.2</v>
      </c>
      <c r="B8177" s="6">
        <v>0.18181818181818099</v>
      </c>
      <c r="C8177" s="6">
        <v>0.37064387009502198</v>
      </c>
    </row>
    <row r="8178" spans="1:3" s="7" customFormat="1" x14ac:dyDescent="0.2">
      <c r="A8178" s="6" t="str">
        <f>"AC012087.2"</f>
        <v>AC012087.2</v>
      </c>
      <c r="B8178" s="6">
        <v>0.18181818181818099</v>
      </c>
      <c r="C8178" s="6">
        <v>0.37064387009502198</v>
      </c>
    </row>
    <row r="8179" spans="1:3" s="7" customFormat="1" x14ac:dyDescent="0.2">
      <c r="A8179" s="6" t="str">
        <f>"DMRTC1B"</f>
        <v>DMRTC1B</v>
      </c>
      <c r="B8179" s="6">
        <v>0.18181818181818099</v>
      </c>
      <c r="C8179" s="6">
        <v>0.37064387009502198</v>
      </c>
    </row>
    <row r="8180" spans="1:3" s="7" customFormat="1" x14ac:dyDescent="0.2">
      <c r="A8180" s="6" t="str">
        <f>"CTBP1-AS"</f>
        <v>CTBP1-AS</v>
      </c>
      <c r="B8180" s="6">
        <v>0.18181818181818099</v>
      </c>
      <c r="C8180" s="6">
        <v>0.37064387009502198</v>
      </c>
    </row>
    <row r="8181" spans="1:3" s="7" customFormat="1" x14ac:dyDescent="0.2">
      <c r="A8181" s="6" t="str">
        <f>"ARPIN"</f>
        <v>ARPIN</v>
      </c>
      <c r="B8181" s="6">
        <v>0.18181818181818099</v>
      </c>
      <c r="C8181" s="6">
        <v>0.37064387009502198</v>
      </c>
    </row>
    <row r="8182" spans="1:3" s="7" customFormat="1" x14ac:dyDescent="0.2">
      <c r="A8182" s="6" t="str">
        <f>"C7orf25"</f>
        <v>C7orf25</v>
      </c>
      <c r="B8182" s="6">
        <v>0.18181818181818099</v>
      </c>
      <c r="C8182" s="6">
        <v>0.37064387009502198</v>
      </c>
    </row>
    <row r="8183" spans="1:3" s="7" customFormat="1" x14ac:dyDescent="0.2">
      <c r="A8183" s="6" t="str">
        <f>"COL21A1"</f>
        <v>COL21A1</v>
      </c>
      <c r="B8183" s="6">
        <v>0.18181818181818099</v>
      </c>
      <c r="C8183" s="6">
        <v>0.37064387009502198</v>
      </c>
    </row>
    <row r="8184" spans="1:3" s="7" customFormat="1" x14ac:dyDescent="0.2">
      <c r="A8184" s="6" t="str">
        <f>"AC005052.2"</f>
        <v>AC005052.2</v>
      </c>
      <c r="B8184" s="6">
        <v>0.18181818181818099</v>
      </c>
      <c r="C8184" s="6">
        <v>0.37064387009502198</v>
      </c>
    </row>
    <row r="8185" spans="1:3" s="7" customFormat="1" x14ac:dyDescent="0.2">
      <c r="A8185" s="6" t="str">
        <f>"AC103957.2"</f>
        <v>AC103957.2</v>
      </c>
      <c r="B8185" s="6">
        <v>0.18181818181818099</v>
      </c>
      <c r="C8185" s="6">
        <v>0.37064387009502198</v>
      </c>
    </row>
    <row r="8186" spans="1:3" s="7" customFormat="1" x14ac:dyDescent="0.2">
      <c r="A8186" s="6" t="str">
        <f>"CBX1"</f>
        <v>CBX1</v>
      </c>
      <c r="B8186" s="6">
        <v>0.18181818181818099</v>
      </c>
      <c r="C8186" s="6">
        <v>0.37064387009502198</v>
      </c>
    </row>
    <row r="8187" spans="1:3" s="7" customFormat="1" x14ac:dyDescent="0.2">
      <c r="A8187" s="6" t="str">
        <f>"TRIM62"</f>
        <v>TRIM62</v>
      </c>
      <c r="B8187" s="6">
        <v>0.18181818181818099</v>
      </c>
      <c r="C8187" s="6">
        <v>0.37064387009502198</v>
      </c>
    </row>
    <row r="8188" spans="1:3" s="7" customFormat="1" x14ac:dyDescent="0.2">
      <c r="A8188" s="6" t="str">
        <f>"AL121906.2"</f>
        <v>AL121906.2</v>
      </c>
      <c r="B8188" s="6">
        <v>0.181544633901705</v>
      </c>
      <c r="C8188" s="6">
        <v>0.37064387009502198</v>
      </c>
    </row>
    <row r="8189" spans="1:3" s="7" customFormat="1" x14ac:dyDescent="0.2">
      <c r="A8189" s="6" t="str">
        <f>"DYDC1"</f>
        <v>DYDC1</v>
      </c>
      <c r="B8189" s="6">
        <v>0.18181818181818099</v>
      </c>
      <c r="C8189" s="6">
        <v>0.37064387009502198</v>
      </c>
    </row>
    <row r="8190" spans="1:3" s="7" customFormat="1" x14ac:dyDescent="0.2">
      <c r="A8190" s="6" t="str">
        <f>"CCDC68"</f>
        <v>CCDC68</v>
      </c>
      <c r="B8190" s="6">
        <v>0.18181818181818099</v>
      </c>
      <c r="C8190" s="6">
        <v>0.37064387009502198</v>
      </c>
    </row>
    <row r="8191" spans="1:3" s="7" customFormat="1" x14ac:dyDescent="0.2">
      <c r="A8191" s="6" t="str">
        <f>"RPS6KA3"</f>
        <v>RPS6KA3</v>
      </c>
      <c r="B8191" s="6">
        <v>0.18181818181818099</v>
      </c>
      <c r="C8191" s="6">
        <v>0.37064387009502198</v>
      </c>
    </row>
    <row r="8192" spans="1:3" s="7" customFormat="1" x14ac:dyDescent="0.2">
      <c r="A8192" s="6" t="str">
        <f>"LAMP1"</f>
        <v>LAMP1</v>
      </c>
      <c r="B8192" s="6">
        <v>0.18181818181818099</v>
      </c>
      <c r="C8192" s="6">
        <v>0.37064387009502198</v>
      </c>
    </row>
    <row r="8193" spans="1:3" s="7" customFormat="1" x14ac:dyDescent="0.2">
      <c r="A8193" s="6" t="str">
        <f>"HSF2"</f>
        <v>HSF2</v>
      </c>
      <c r="B8193" s="6">
        <v>0.18181818181818099</v>
      </c>
      <c r="C8193" s="6">
        <v>0.37064387009502198</v>
      </c>
    </row>
    <row r="8194" spans="1:3" s="7" customFormat="1" x14ac:dyDescent="0.2">
      <c r="A8194" s="6" t="str">
        <f>"AL358472.3"</f>
        <v>AL358472.3</v>
      </c>
      <c r="B8194" s="6">
        <v>0.18181818181818099</v>
      </c>
      <c r="C8194" s="6">
        <v>0.37064387009502198</v>
      </c>
    </row>
    <row r="8195" spans="1:3" s="7" customFormat="1" x14ac:dyDescent="0.2">
      <c r="A8195" s="6" t="str">
        <f>"RHBG"</f>
        <v>RHBG</v>
      </c>
      <c r="B8195" s="6">
        <v>0.18181818181818099</v>
      </c>
      <c r="C8195" s="6">
        <v>0.37064387009502198</v>
      </c>
    </row>
    <row r="8196" spans="1:3" s="7" customFormat="1" x14ac:dyDescent="0.2">
      <c r="A8196" s="6" t="str">
        <f>"ZNF839"</f>
        <v>ZNF839</v>
      </c>
      <c r="B8196" s="6">
        <v>0.18181818181818099</v>
      </c>
      <c r="C8196" s="6">
        <v>0.37064387009502198</v>
      </c>
    </row>
    <row r="8197" spans="1:3" s="7" customFormat="1" x14ac:dyDescent="0.2">
      <c r="A8197" s="6" t="str">
        <f>"LINC00685"</f>
        <v>LINC00685</v>
      </c>
      <c r="B8197" s="6">
        <v>0.18181818181818099</v>
      </c>
      <c r="C8197" s="6">
        <v>0.37064387009502198</v>
      </c>
    </row>
    <row r="8198" spans="1:3" s="7" customFormat="1" x14ac:dyDescent="0.2">
      <c r="A8198" s="6" t="str">
        <f>"GOLGB1"</f>
        <v>GOLGB1</v>
      </c>
      <c r="B8198" s="6">
        <v>0.18181818181818099</v>
      </c>
      <c r="C8198" s="6">
        <v>0.37064387009502198</v>
      </c>
    </row>
    <row r="8199" spans="1:3" s="7" customFormat="1" x14ac:dyDescent="0.2">
      <c r="A8199" s="6" t="str">
        <f>"ZNF785"</f>
        <v>ZNF785</v>
      </c>
      <c r="B8199" s="6">
        <v>0.18181818181818099</v>
      </c>
      <c r="C8199" s="6">
        <v>0.37064387009502198</v>
      </c>
    </row>
    <row r="8200" spans="1:3" s="7" customFormat="1" x14ac:dyDescent="0.2">
      <c r="A8200" s="6" t="str">
        <f>"OTUD5"</f>
        <v>OTUD5</v>
      </c>
      <c r="B8200" s="6">
        <v>0.18181818181818099</v>
      </c>
      <c r="C8200" s="6">
        <v>0.37064387009502198</v>
      </c>
    </row>
    <row r="8201" spans="1:3" s="7" customFormat="1" x14ac:dyDescent="0.2">
      <c r="A8201" s="6" t="str">
        <f>"AL139243.1"</f>
        <v>AL139243.1</v>
      </c>
      <c r="B8201" s="6">
        <v>0.182002022244691</v>
      </c>
      <c r="C8201" s="6">
        <v>0.37088293096778502</v>
      </c>
    </row>
    <row r="8202" spans="1:3" s="7" customFormat="1" x14ac:dyDescent="0.2">
      <c r="A8202" s="6" t="str">
        <f>"AC023510.2"</f>
        <v>AC023510.2</v>
      </c>
      <c r="B8202" s="6">
        <v>0.182</v>
      </c>
      <c r="C8202" s="6">
        <v>0.37088293096778502</v>
      </c>
    </row>
    <row r="8203" spans="1:3" s="7" customFormat="1" x14ac:dyDescent="0.2">
      <c r="A8203" s="6" t="str">
        <f>"H2BC9"</f>
        <v>H2BC9</v>
      </c>
      <c r="B8203" s="6">
        <v>0.182</v>
      </c>
      <c r="C8203" s="6">
        <v>0.37088293096778502</v>
      </c>
    </row>
    <row r="8204" spans="1:3" s="7" customFormat="1" x14ac:dyDescent="0.2">
      <c r="A8204" s="6" t="str">
        <f>"AP001453.2"</f>
        <v>AP001453.2</v>
      </c>
      <c r="B8204" s="6">
        <v>0.18218218218218199</v>
      </c>
      <c r="C8204" s="6">
        <v>0.37115955545989598</v>
      </c>
    </row>
    <row r="8205" spans="1:3" s="7" customFormat="1" x14ac:dyDescent="0.2">
      <c r="A8205" s="6" t="str">
        <f>"LMX1B"</f>
        <v>LMX1B</v>
      </c>
      <c r="B8205" s="6">
        <v>0.18218218218218199</v>
      </c>
      <c r="C8205" s="6">
        <v>0.37115955545989598</v>
      </c>
    </row>
    <row r="8206" spans="1:3" s="7" customFormat="1" x14ac:dyDescent="0.2">
      <c r="A8206" s="6" t="str">
        <f>"C11orf45"</f>
        <v>C11orf45</v>
      </c>
      <c r="B8206" s="6">
        <v>0.18281718281718201</v>
      </c>
      <c r="C8206" s="6">
        <v>0.37123148992909599</v>
      </c>
    </row>
    <row r="8207" spans="1:3" s="7" customFormat="1" x14ac:dyDescent="0.2">
      <c r="A8207" s="6" t="str">
        <f>"CCDC169"</f>
        <v>CCDC169</v>
      </c>
      <c r="B8207" s="6">
        <v>0.18281718281718201</v>
      </c>
      <c r="C8207" s="6">
        <v>0.37123148992909599</v>
      </c>
    </row>
    <row r="8208" spans="1:3" s="7" customFormat="1" x14ac:dyDescent="0.2">
      <c r="A8208" s="6" t="str">
        <f>"ACY1"</f>
        <v>ACY1</v>
      </c>
      <c r="B8208" s="6">
        <v>0.18281718281718201</v>
      </c>
      <c r="C8208" s="6">
        <v>0.37123148992909599</v>
      </c>
    </row>
    <row r="8209" spans="1:3" s="7" customFormat="1" x14ac:dyDescent="0.2">
      <c r="A8209" s="6" t="str">
        <f>"NT5C3A"</f>
        <v>NT5C3A</v>
      </c>
      <c r="B8209" s="6">
        <v>0.18281718281718201</v>
      </c>
      <c r="C8209" s="6">
        <v>0.37123148992909599</v>
      </c>
    </row>
    <row r="8210" spans="1:3" s="7" customFormat="1" x14ac:dyDescent="0.2">
      <c r="A8210" s="6" t="str">
        <f>"LINC00476"</f>
        <v>LINC00476</v>
      </c>
      <c r="B8210" s="6">
        <v>0.18281718281718201</v>
      </c>
      <c r="C8210" s="6">
        <v>0.37123148992909599</v>
      </c>
    </row>
    <row r="8211" spans="1:3" s="7" customFormat="1" x14ac:dyDescent="0.2">
      <c r="A8211" s="6" t="str">
        <f>"SEMA4C"</f>
        <v>SEMA4C</v>
      </c>
      <c r="B8211" s="6">
        <v>0.18281718281718201</v>
      </c>
      <c r="C8211" s="6">
        <v>0.37123148992909599</v>
      </c>
    </row>
    <row r="8212" spans="1:3" s="7" customFormat="1" x14ac:dyDescent="0.2">
      <c r="A8212" s="6" t="str">
        <f>"RANGRF"</f>
        <v>RANGRF</v>
      </c>
      <c r="B8212" s="6">
        <v>0.18281718281718201</v>
      </c>
      <c r="C8212" s="6">
        <v>0.37123148992909599</v>
      </c>
    </row>
    <row r="8213" spans="1:3" s="7" customFormat="1" x14ac:dyDescent="0.2">
      <c r="A8213" s="6" t="str">
        <f>"CTDSPL2"</f>
        <v>CTDSPL2</v>
      </c>
      <c r="B8213" s="6">
        <v>0.18281718281718201</v>
      </c>
      <c r="C8213" s="6">
        <v>0.37123148992909599</v>
      </c>
    </row>
    <row r="8214" spans="1:3" s="7" customFormat="1" x14ac:dyDescent="0.2">
      <c r="A8214" s="6" t="str">
        <f>"AC104596.1"</f>
        <v>AC104596.1</v>
      </c>
      <c r="B8214" s="6">
        <v>0.18281718281718201</v>
      </c>
      <c r="C8214" s="6">
        <v>0.37123148992909599</v>
      </c>
    </row>
    <row r="8215" spans="1:3" s="7" customFormat="1" x14ac:dyDescent="0.2">
      <c r="A8215" s="6" t="str">
        <f>"AMOTL2"</f>
        <v>AMOTL2</v>
      </c>
      <c r="B8215" s="6">
        <v>0.18281718281718201</v>
      </c>
      <c r="C8215" s="6">
        <v>0.37123148992909599</v>
      </c>
    </row>
    <row r="8216" spans="1:3" s="7" customFormat="1" x14ac:dyDescent="0.2">
      <c r="A8216" s="6" t="str">
        <f>"FAM226B"</f>
        <v>FAM226B</v>
      </c>
      <c r="B8216" s="6">
        <v>0.18279569892473099</v>
      </c>
      <c r="C8216" s="6">
        <v>0.37123148992909599</v>
      </c>
    </row>
    <row r="8217" spans="1:3" s="7" customFormat="1" x14ac:dyDescent="0.2">
      <c r="A8217" s="6" t="str">
        <f>"TRADD"</f>
        <v>TRADD</v>
      </c>
      <c r="B8217" s="6">
        <v>0.18281718281718201</v>
      </c>
      <c r="C8217" s="6">
        <v>0.37123148992909599</v>
      </c>
    </row>
    <row r="8218" spans="1:3" s="7" customFormat="1" x14ac:dyDescent="0.2">
      <c r="A8218" s="6" t="str">
        <f>"TMEM51"</f>
        <v>TMEM51</v>
      </c>
      <c r="B8218" s="6">
        <v>0.18281718281718201</v>
      </c>
      <c r="C8218" s="6">
        <v>0.37123148992909599</v>
      </c>
    </row>
    <row r="8219" spans="1:3" s="7" customFormat="1" x14ac:dyDescent="0.2">
      <c r="A8219" s="6" t="str">
        <f>"TUSC8"</f>
        <v>TUSC8</v>
      </c>
      <c r="B8219" s="6">
        <v>0.18281718281718201</v>
      </c>
      <c r="C8219" s="6">
        <v>0.37123148992909599</v>
      </c>
    </row>
    <row r="8220" spans="1:3" s="7" customFormat="1" x14ac:dyDescent="0.2">
      <c r="A8220" s="6" t="str">
        <f>"AL590652.1"</f>
        <v>AL590652.1</v>
      </c>
      <c r="B8220" s="6">
        <v>0.18281718281718201</v>
      </c>
      <c r="C8220" s="6">
        <v>0.37123148992909599</v>
      </c>
    </row>
    <row r="8221" spans="1:3" s="7" customFormat="1" x14ac:dyDescent="0.2">
      <c r="A8221" s="6" t="str">
        <f>"ZNF710"</f>
        <v>ZNF710</v>
      </c>
      <c r="B8221" s="6">
        <v>0.18281718281718201</v>
      </c>
      <c r="C8221" s="6">
        <v>0.37123148992909599</v>
      </c>
    </row>
    <row r="8222" spans="1:3" s="7" customFormat="1" x14ac:dyDescent="0.2">
      <c r="A8222" s="6" t="str">
        <f>"TFAP2A-AS2"</f>
        <v>TFAP2A-AS2</v>
      </c>
      <c r="B8222" s="6">
        <v>0.182547642928786</v>
      </c>
      <c r="C8222" s="6">
        <v>0.37123148992909599</v>
      </c>
    </row>
    <row r="8223" spans="1:3" s="7" customFormat="1" x14ac:dyDescent="0.2">
      <c r="A8223" s="6" t="str">
        <f>"RNPC3"</f>
        <v>RNPC3</v>
      </c>
      <c r="B8223" s="6">
        <v>0.18281718281718201</v>
      </c>
      <c r="C8223" s="6">
        <v>0.37123148992909599</v>
      </c>
    </row>
    <row r="8224" spans="1:3" s="7" customFormat="1" x14ac:dyDescent="0.2">
      <c r="A8224" s="6" t="str">
        <f>"LTBR"</f>
        <v>LTBR</v>
      </c>
      <c r="B8224" s="6">
        <v>0.18281718281718201</v>
      </c>
      <c r="C8224" s="6">
        <v>0.37123148992909599</v>
      </c>
    </row>
    <row r="8225" spans="1:3" s="7" customFormat="1" x14ac:dyDescent="0.2">
      <c r="A8225" s="6" t="str">
        <f>"BIRC6"</f>
        <v>BIRC6</v>
      </c>
      <c r="B8225" s="6">
        <v>0.18281718281718201</v>
      </c>
      <c r="C8225" s="6">
        <v>0.37123148992909599</v>
      </c>
    </row>
    <row r="8226" spans="1:3" s="7" customFormat="1" x14ac:dyDescent="0.2">
      <c r="A8226" s="6" t="str">
        <f>"RBM4B"</f>
        <v>RBM4B</v>
      </c>
      <c r="B8226" s="6">
        <v>0.18281718281718201</v>
      </c>
      <c r="C8226" s="6">
        <v>0.37123148992909599</v>
      </c>
    </row>
    <row r="8227" spans="1:3" s="7" customFormat="1" x14ac:dyDescent="0.2">
      <c r="A8227" s="6" t="str">
        <f>"UBAC1"</f>
        <v>UBAC1</v>
      </c>
      <c r="B8227" s="6">
        <v>0.18281718281718201</v>
      </c>
      <c r="C8227" s="6">
        <v>0.37123148992909599</v>
      </c>
    </row>
    <row r="8228" spans="1:3" s="7" customFormat="1" x14ac:dyDescent="0.2">
      <c r="A8228" s="6" t="str">
        <f>"TMC3"</f>
        <v>TMC3</v>
      </c>
      <c r="B8228" s="6">
        <v>0.18281718281718201</v>
      </c>
      <c r="C8228" s="6">
        <v>0.37123148992909599</v>
      </c>
    </row>
    <row r="8229" spans="1:3" s="7" customFormat="1" x14ac:dyDescent="0.2">
      <c r="A8229" s="6" t="str">
        <f>"TBL2"</f>
        <v>TBL2</v>
      </c>
      <c r="B8229" s="6">
        <v>0.18281718281718201</v>
      </c>
      <c r="C8229" s="6">
        <v>0.37123148992909599</v>
      </c>
    </row>
    <row r="8230" spans="1:3" s="7" customFormat="1" x14ac:dyDescent="0.2">
      <c r="A8230" s="6" t="str">
        <f>"CEP112"</f>
        <v>CEP112</v>
      </c>
      <c r="B8230" s="6">
        <v>0.18281718281718201</v>
      </c>
      <c r="C8230" s="6">
        <v>0.37123148992909599</v>
      </c>
    </row>
    <row r="8231" spans="1:3" s="7" customFormat="1" x14ac:dyDescent="0.2">
      <c r="A8231" s="6" t="str">
        <f>"CFAP58"</f>
        <v>CFAP58</v>
      </c>
      <c r="B8231" s="6">
        <v>0.18281718281718201</v>
      </c>
      <c r="C8231" s="6">
        <v>0.37123148992909599</v>
      </c>
    </row>
    <row r="8232" spans="1:3" s="7" customFormat="1" x14ac:dyDescent="0.2">
      <c r="A8232" s="6" t="str">
        <f>"OTX1"</f>
        <v>OTX1</v>
      </c>
      <c r="B8232" s="6">
        <v>0.18281718281718201</v>
      </c>
      <c r="C8232" s="6">
        <v>0.37123148992909599</v>
      </c>
    </row>
    <row r="8233" spans="1:3" s="7" customFormat="1" x14ac:dyDescent="0.2">
      <c r="A8233" s="6" t="str">
        <f>"SEC14L1P1"</f>
        <v>SEC14L1P1</v>
      </c>
      <c r="B8233" s="6">
        <v>0.183</v>
      </c>
      <c r="C8233" s="6">
        <v>0.37155758017492702</v>
      </c>
    </row>
    <row r="8234" spans="1:3" s="7" customFormat="1" x14ac:dyDescent="0.2">
      <c r="A8234" s="6" t="str">
        <f>"MAX"</f>
        <v>MAX</v>
      </c>
      <c r="B8234" s="6">
        <v>0.183816183816183</v>
      </c>
      <c r="C8234" s="6">
        <v>0.37244559295717</v>
      </c>
    </row>
    <row r="8235" spans="1:3" s="7" customFormat="1" x14ac:dyDescent="0.2">
      <c r="A8235" s="6" t="str">
        <f>"TFB1M"</f>
        <v>TFB1M</v>
      </c>
      <c r="B8235" s="6">
        <v>0.183816183816183</v>
      </c>
      <c r="C8235" s="6">
        <v>0.37244559295717</v>
      </c>
    </row>
    <row r="8236" spans="1:3" s="7" customFormat="1" x14ac:dyDescent="0.2">
      <c r="A8236" s="6" t="str">
        <f>"AL157388.1"</f>
        <v>AL157388.1</v>
      </c>
      <c r="B8236" s="6">
        <v>0.183816183816183</v>
      </c>
      <c r="C8236" s="6">
        <v>0.37244559295717</v>
      </c>
    </row>
    <row r="8237" spans="1:3" s="7" customFormat="1" x14ac:dyDescent="0.2">
      <c r="A8237" s="6" t="str">
        <f>"SERPINB11"</f>
        <v>SERPINB11</v>
      </c>
      <c r="B8237" s="6">
        <v>0.183816183816183</v>
      </c>
      <c r="C8237" s="6">
        <v>0.37244559295717</v>
      </c>
    </row>
    <row r="8238" spans="1:3" s="7" customFormat="1" x14ac:dyDescent="0.2">
      <c r="A8238" s="6" t="str">
        <f>"TP53TG5"</f>
        <v>TP53TG5</v>
      </c>
      <c r="B8238" s="6">
        <v>0.183816183816183</v>
      </c>
      <c r="C8238" s="6">
        <v>0.37244559295717</v>
      </c>
    </row>
    <row r="8239" spans="1:3" s="7" customFormat="1" x14ac:dyDescent="0.2">
      <c r="A8239" s="6" t="str">
        <f>"RCC1"</f>
        <v>RCC1</v>
      </c>
      <c r="B8239" s="6">
        <v>0.183816183816183</v>
      </c>
      <c r="C8239" s="6">
        <v>0.37244559295717</v>
      </c>
    </row>
    <row r="8240" spans="1:3" s="7" customFormat="1" x14ac:dyDescent="0.2">
      <c r="A8240" s="6" t="str">
        <f>"SNRPCP16"</f>
        <v>SNRPCP16</v>
      </c>
      <c r="B8240" s="6">
        <v>0.183816183816183</v>
      </c>
      <c r="C8240" s="6">
        <v>0.37244559295717</v>
      </c>
    </row>
    <row r="8241" spans="1:3" s="7" customFormat="1" x14ac:dyDescent="0.2">
      <c r="A8241" s="6" t="str">
        <f>"NNT"</f>
        <v>NNT</v>
      </c>
      <c r="B8241" s="6">
        <v>0.183816183816183</v>
      </c>
      <c r="C8241" s="6">
        <v>0.37244559295717</v>
      </c>
    </row>
    <row r="8242" spans="1:3" s="7" customFormat="1" x14ac:dyDescent="0.2">
      <c r="A8242" s="6" t="str">
        <f>"AC025580.3"</f>
        <v>AC025580.3</v>
      </c>
      <c r="B8242" s="6">
        <v>0.183816183816183</v>
      </c>
      <c r="C8242" s="6">
        <v>0.37244559295717</v>
      </c>
    </row>
    <row r="8243" spans="1:3" s="7" customFormat="1" x14ac:dyDescent="0.2">
      <c r="A8243" s="6" t="str">
        <f>"AL096794.1"</f>
        <v>AL096794.1</v>
      </c>
      <c r="B8243" s="6">
        <v>0.183816183816183</v>
      </c>
      <c r="C8243" s="6">
        <v>0.37244559295717</v>
      </c>
    </row>
    <row r="8244" spans="1:3" s="7" customFormat="1" x14ac:dyDescent="0.2">
      <c r="A8244" s="6" t="str">
        <f>"FUT4"</f>
        <v>FUT4</v>
      </c>
      <c r="B8244" s="6">
        <v>0.183816183816183</v>
      </c>
      <c r="C8244" s="6">
        <v>0.37244559295717</v>
      </c>
    </row>
    <row r="8245" spans="1:3" s="7" customFormat="1" x14ac:dyDescent="0.2">
      <c r="A8245" s="6" t="str">
        <f>"UNC45A"</f>
        <v>UNC45A</v>
      </c>
      <c r="B8245" s="6">
        <v>0.183816183816183</v>
      </c>
      <c r="C8245" s="6">
        <v>0.37244559295717</v>
      </c>
    </row>
    <row r="8246" spans="1:3" s="7" customFormat="1" x14ac:dyDescent="0.2">
      <c r="A8246" s="6" t="str">
        <f>"AC011511.1"</f>
        <v>AC011511.1</v>
      </c>
      <c r="B8246" s="6">
        <v>0.183816183816183</v>
      </c>
      <c r="C8246" s="6">
        <v>0.37244559295717</v>
      </c>
    </row>
    <row r="8247" spans="1:3" s="7" customFormat="1" x14ac:dyDescent="0.2">
      <c r="A8247" s="6" t="str">
        <f>"PCDHB5"</f>
        <v>PCDHB5</v>
      </c>
      <c r="B8247" s="6">
        <v>0.183816183816183</v>
      </c>
      <c r="C8247" s="6">
        <v>0.37244559295717</v>
      </c>
    </row>
    <row r="8248" spans="1:3" s="7" customFormat="1" x14ac:dyDescent="0.2">
      <c r="A8248" s="6" t="str">
        <f>"TCEAL1"</f>
        <v>TCEAL1</v>
      </c>
      <c r="B8248" s="6">
        <v>0.183816183816183</v>
      </c>
      <c r="C8248" s="6">
        <v>0.37244559295717</v>
      </c>
    </row>
    <row r="8249" spans="1:3" s="7" customFormat="1" x14ac:dyDescent="0.2">
      <c r="A8249" s="6" t="str">
        <f>"FXYD4"</f>
        <v>FXYD4</v>
      </c>
      <c r="B8249" s="6">
        <v>0.183816183816183</v>
      </c>
      <c r="C8249" s="6">
        <v>0.37244559295717</v>
      </c>
    </row>
    <row r="8250" spans="1:3" s="7" customFormat="1" x14ac:dyDescent="0.2">
      <c r="A8250" s="6" t="str">
        <f>"LCA5L"</f>
        <v>LCA5L</v>
      </c>
      <c r="B8250" s="6">
        <v>0.183816183816183</v>
      </c>
      <c r="C8250" s="6">
        <v>0.37244559295717</v>
      </c>
    </row>
    <row r="8251" spans="1:3" s="7" customFormat="1" x14ac:dyDescent="0.2">
      <c r="A8251" s="6" t="str">
        <f>"AC122688.4"</f>
        <v>AC122688.4</v>
      </c>
      <c r="B8251" s="6">
        <v>0.184</v>
      </c>
      <c r="C8251" s="6">
        <v>0.37254706238643198</v>
      </c>
    </row>
    <row r="8252" spans="1:3" s="7" customFormat="1" x14ac:dyDescent="0.2">
      <c r="A8252" s="6" t="str">
        <f>"ARFGEF3"</f>
        <v>ARFGEF3</v>
      </c>
      <c r="B8252" s="6">
        <v>0.184</v>
      </c>
      <c r="C8252" s="6">
        <v>0.37254706238643198</v>
      </c>
    </row>
    <row r="8253" spans="1:3" s="7" customFormat="1" x14ac:dyDescent="0.2">
      <c r="A8253" s="6" t="str">
        <f>"LRRC8D"</f>
        <v>LRRC8D</v>
      </c>
      <c r="B8253" s="6">
        <v>0.184</v>
      </c>
      <c r="C8253" s="6">
        <v>0.37254706238643198</v>
      </c>
    </row>
    <row r="8254" spans="1:3" s="7" customFormat="1" x14ac:dyDescent="0.2">
      <c r="A8254" s="6" t="str">
        <f>"LINC01496"</f>
        <v>LINC01496</v>
      </c>
      <c r="B8254" s="6">
        <v>0.183919597989949</v>
      </c>
      <c r="C8254" s="6">
        <v>0.37254706238643198</v>
      </c>
    </row>
    <row r="8255" spans="1:3" s="7" customFormat="1" x14ac:dyDescent="0.2">
      <c r="A8255" s="6" t="str">
        <f>"AC109460.1"</f>
        <v>AC109460.1</v>
      </c>
      <c r="B8255" s="6">
        <v>0.184</v>
      </c>
      <c r="C8255" s="6">
        <v>0.37254706238643198</v>
      </c>
    </row>
    <row r="8256" spans="1:3" s="7" customFormat="1" x14ac:dyDescent="0.2">
      <c r="A8256" s="6" t="str">
        <f>"EIF3L"</f>
        <v>EIF3L</v>
      </c>
      <c r="B8256" s="6">
        <v>0.184</v>
      </c>
      <c r="C8256" s="6">
        <v>0.37254706238643198</v>
      </c>
    </row>
    <row r="8257" spans="1:3" s="7" customFormat="1" x14ac:dyDescent="0.2">
      <c r="A8257" s="6" t="str">
        <f>"NEMP1"</f>
        <v>NEMP1</v>
      </c>
      <c r="B8257" s="6">
        <v>0.184815184815184</v>
      </c>
      <c r="C8257" s="6">
        <v>0.37333828849419798</v>
      </c>
    </row>
    <row r="8258" spans="1:3" s="7" customFormat="1" x14ac:dyDescent="0.2">
      <c r="A8258" s="6" t="str">
        <f>"XRRA1"</f>
        <v>XRRA1</v>
      </c>
      <c r="B8258" s="6">
        <v>0.184815184815184</v>
      </c>
      <c r="C8258" s="6">
        <v>0.37333828849419798</v>
      </c>
    </row>
    <row r="8259" spans="1:3" s="7" customFormat="1" x14ac:dyDescent="0.2">
      <c r="A8259" s="6" t="str">
        <f>"SNU13"</f>
        <v>SNU13</v>
      </c>
      <c r="B8259" s="6">
        <v>0.184815184815184</v>
      </c>
      <c r="C8259" s="6">
        <v>0.37333828849419798</v>
      </c>
    </row>
    <row r="8260" spans="1:3" s="7" customFormat="1" x14ac:dyDescent="0.2">
      <c r="A8260" s="6" t="str">
        <f>"ZKSCAN8"</f>
        <v>ZKSCAN8</v>
      </c>
      <c r="B8260" s="6">
        <v>0.184815184815184</v>
      </c>
      <c r="C8260" s="6">
        <v>0.37333828849419798</v>
      </c>
    </row>
    <row r="8261" spans="1:3" s="7" customFormat="1" x14ac:dyDescent="0.2">
      <c r="A8261" s="6" t="str">
        <f>"SPIRE1"</f>
        <v>SPIRE1</v>
      </c>
      <c r="B8261" s="6">
        <v>0.184815184815184</v>
      </c>
      <c r="C8261" s="6">
        <v>0.37333828849419798</v>
      </c>
    </row>
    <row r="8262" spans="1:3" s="7" customFormat="1" x14ac:dyDescent="0.2">
      <c r="A8262" s="6" t="str">
        <f>"ATG4C"</f>
        <v>ATG4C</v>
      </c>
      <c r="B8262" s="6">
        <v>0.184815184815184</v>
      </c>
      <c r="C8262" s="6">
        <v>0.37333828849419798</v>
      </c>
    </row>
    <row r="8263" spans="1:3" s="7" customFormat="1" x14ac:dyDescent="0.2">
      <c r="A8263" s="6" t="str">
        <f>"AC112702.1"</f>
        <v>AC112702.1</v>
      </c>
      <c r="B8263" s="6">
        <v>0.184815184815184</v>
      </c>
      <c r="C8263" s="6">
        <v>0.37333828849419798</v>
      </c>
    </row>
    <row r="8264" spans="1:3" s="7" customFormat="1" x14ac:dyDescent="0.2">
      <c r="A8264" s="6" t="str">
        <f>"ZFPM2"</f>
        <v>ZFPM2</v>
      </c>
      <c r="B8264" s="6">
        <v>0.184815184815184</v>
      </c>
      <c r="C8264" s="6">
        <v>0.37333828849419798</v>
      </c>
    </row>
    <row r="8265" spans="1:3" s="7" customFormat="1" x14ac:dyDescent="0.2">
      <c r="A8265" s="6" t="str">
        <f>"RRM1"</f>
        <v>RRM1</v>
      </c>
      <c r="B8265" s="6">
        <v>0.184815184815184</v>
      </c>
      <c r="C8265" s="6">
        <v>0.37333828849419798</v>
      </c>
    </row>
    <row r="8266" spans="1:3" s="7" customFormat="1" x14ac:dyDescent="0.2">
      <c r="A8266" s="6" t="str">
        <f>"COMMD2"</f>
        <v>COMMD2</v>
      </c>
      <c r="B8266" s="6">
        <v>0.184815184815184</v>
      </c>
      <c r="C8266" s="6">
        <v>0.37333828849419798</v>
      </c>
    </row>
    <row r="8267" spans="1:3" s="7" customFormat="1" x14ac:dyDescent="0.2">
      <c r="A8267" s="6" t="str">
        <f>"HROB"</f>
        <v>HROB</v>
      </c>
      <c r="B8267" s="6">
        <v>0.184815184815184</v>
      </c>
      <c r="C8267" s="6">
        <v>0.37333828849419798</v>
      </c>
    </row>
    <row r="8268" spans="1:3" s="7" customFormat="1" x14ac:dyDescent="0.2">
      <c r="A8268" s="6" t="str">
        <f>"PGBD4"</f>
        <v>PGBD4</v>
      </c>
      <c r="B8268" s="6">
        <v>0.184815184815184</v>
      </c>
      <c r="C8268" s="6">
        <v>0.37333828849419798</v>
      </c>
    </row>
    <row r="8269" spans="1:3" s="7" customFormat="1" x14ac:dyDescent="0.2">
      <c r="A8269" s="6" t="str">
        <f>"PARPBP"</f>
        <v>PARPBP</v>
      </c>
      <c r="B8269" s="6">
        <v>0.184815184815184</v>
      </c>
      <c r="C8269" s="6">
        <v>0.37333828849419798</v>
      </c>
    </row>
    <row r="8270" spans="1:3" s="7" customFormat="1" x14ac:dyDescent="0.2">
      <c r="A8270" s="6" t="str">
        <f>"PKD2"</f>
        <v>PKD2</v>
      </c>
      <c r="B8270" s="6">
        <v>0.184815184815184</v>
      </c>
      <c r="C8270" s="6">
        <v>0.37333828849419798</v>
      </c>
    </row>
    <row r="8271" spans="1:3" s="7" customFormat="1" x14ac:dyDescent="0.2">
      <c r="A8271" s="6" t="str">
        <f>"GPAT3"</f>
        <v>GPAT3</v>
      </c>
      <c r="B8271" s="6">
        <v>0.184815184815184</v>
      </c>
      <c r="C8271" s="6">
        <v>0.37333828849419798</v>
      </c>
    </row>
    <row r="8272" spans="1:3" s="7" customFormat="1" x14ac:dyDescent="0.2">
      <c r="A8272" s="6" t="str">
        <f>"ATG9A"</f>
        <v>ATG9A</v>
      </c>
      <c r="B8272" s="6">
        <v>0.184815184815184</v>
      </c>
      <c r="C8272" s="6">
        <v>0.37333828849419798</v>
      </c>
    </row>
    <row r="8273" spans="1:3" s="7" customFormat="1" x14ac:dyDescent="0.2">
      <c r="A8273" s="6" t="str">
        <f>"TMEM242"</f>
        <v>TMEM242</v>
      </c>
      <c r="B8273" s="6">
        <v>0.184815184815184</v>
      </c>
      <c r="C8273" s="6">
        <v>0.37333828849419798</v>
      </c>
    </row>
    <row r="8274" spans="1:3" s="7" customFormat="1" x14ac:dyDescent="0.2">
      <c r="A8274" s="6" t="str">
        <f>"FGFBP2"</f>
        <v>FGFBP2</v>
      </c>
      <c r="B8274" s="6">
        <v>0.184815184815184</v>
      </c>
      <c r="C8274" s="6">
        <v>0.37333828849419798</v>
      </c>
    </row>
    <row r="8275" spans="1:3" s="7" customFormat="1" x14ac:dyDescent="0.2">
      <c r="A8275" s="6" t="str">
        <f>"MPC1"</f>
        <v>MPC1</v>
      </c>
      <c r="B8275" s="6">
        <v>0.184815184815184</v>
      </c>
      <c r="C8275" s="6">
        <v>0.37333828849419798</v>
      </c>
    </row>
    <row r="8276" spans="1:3" s="7" customFormat="1" x14ac:dyDescent="0.2">
      <c r="A8276" s="6" t="str">
        <f>"RBBP7"</f>
        <v>RBBP7</v>
      </c>
      <c r="B8276" s="6">
        <v>0.18581418581418499</v>
      </c>
      <c r="C8276" s="6">
        <v>0.37413544171766</v>
      </c>
    </row>
    <row r="8277" spans="1:3" s="7" customFormat="1" x14ac:dyDescent="0.2">
      <c r="A8277" s="6" t="str">
        <f>"GXYLT1"</f>
        <v>GXYLT1</v>
      </c>
      <c r="B8277" s="6">
        <v>0.18581418581418499</v>
      </c>
      <c r="C8277" s="6">
        <v>0.37413544171766</v>
      </c>
    </row>
    <row r="8278" spans="1:3" s="7" customFormat="1" x14ac:dyDescent="0.2">
      <c r="A8278" s="6" t="str">
        <f>"TXK"</f>
        <v>TXK</v>
      </c>
      <c r="B8278" s="6">
        <v>0.18581418581418499</v>
      </c>
      <c r="C8278" s="6">
        <v>0.37413544171766</v>
      </c>
    </row>
    <row r="8279" spans="1:3" s="7" customFormat="1" x14ac:dyDescent="0.2">
      <c r="A8279" s="6" t="str">
        <f>"AC112220.2"</f>
        <v>AC112220.2</v>
      </c>
      <c r="B8279" s="6">
        <v>0.18581418581418499</v>
      </c>
      <c r="C8279" s="6">
        <v>0.37413544171766</v>
      </c>
    </row>
    <row r="8280" spans="1:3" s="7" customFormat="1" x14ac:dyDescent="0.2">
      <c r="A8280" s="6" t="str">
        <f>"PARP8"</f>
        <v>PARP8</v>
      </c>
      <c r="B8280" s="6">
        <v>0.18581418581418499</v>
      </c>
      <c r="C8280" s="6">
        <v>0.37413544171766</v>
      </c>
    </row>
    <row r="8281" spans="1:3" s="7" customFormat="1" x14ac:dyDescent="0.2">
      <c r="A8281" s="6" t="str">
        <f>"SLC41A3"</f>
        <v>SLC41A3</v>
      </c>
      <c r="B8281" s="6">
        <v>0.18581418581418499</v>
      </c>
      <c r="C8281" s="6">
        <v>0.37413544171766</v>
      </c>
    </row>
    <row r="8282" spans="1:3" s="7" customFormat="1" x14ac:dyDescent="0.2">
      <c r="A8282" s="6" t="str">
        <f>"ZBTB38"</f>
        <v>ZBTB38</v>
      </c>
      <c r="B8282" s="6">
        <v>0.18581418581418499</v>
      </c>
      <c r="C8282" s="6">
        <v>0.37413544171766</v>
      </c>
    </row>
    <row r="8283" spans="1:3" s="7" customFormat="1" x14ac:dyDescent="0.2">
      <c r="A8283" s="6" t="str">
        <f>"WARS2-IT1"</f>
        <v>WARS2-IT1</v>
      </c>
      <c r="B8283" s="6">
        <v>0.18581418581418499</v>
      </c>
      <c r="C8283" s="6">
        <v>0.37413544171766</v>
      </c>
    </row>
    <row r="8284" spans="1:3" s="7" customFormat="1" x14ac:dyDescent="0.2">
      <c r="A8284" s="6" t="str">
        <f>"AC010894.4"</f>
        <v>AC010894.4</v>
      </c>
      <c r="B8284" s="6">
        <v>0.18581418581418499</v>
      </c>
      <c r="C8284" s="6">
        <v>0.37413544171766</v>
      </c>
    </row>
    <row r="8285" spans="1:3" s="7" customFormat="1" x14ac:dyDescent="0.2">
      <c r="A8285" s="6" t="str">
        <f>"LINC01415"</f>
        <v>LINC01415</v>
      </c>
      <c r="B8285" s="6">
        <v>0.18581418581418499</v>
      </c>
      <c r="C8285" s="6">
        <v>0.37413544171766</v>
      </c>
    </row>
    <row r="8286" spans="1:3" s="7" customFormat="1" x14ac:dyDescent="0.2">
      <c r="A8286" s="6" t="str">
        <f>"GCM1"</f>
        <v>GCM1</v>
      </c>
      <c r="B8286" s="6">
        <v>0.18537074148296501</v>
      </c>
      <c r="C8286" s="6">
        <v>0.37413544171766</v>
      </c>
    </row>
    <row r="8287" spans="1:3" s="7" customFormat="1" x14ac:dyDescent="0.2">
      <c r="A8287" s="6" t="str">
        <f>"SLC35F2"</f>
        <v>SLC35F2</v>
      </c>
      <c r="B8287" s="6">
        <v>0.18581418581418499</v>
      </c>
      <c r="C8287" s="6">
        <v>0.37413544171766</v>
      </c>
    </row>
    <row r="8288" spans="1:3" s="7" customFormat="1" x14ac:dyDescent="0.2">
      <c r="A8288" s="6" t="str">
        <f>"DCUN1D1"</f>
        <v>DCUN1D1</v>
      </c>
      <c r="B8288" s="6">
        <v>0.18581418581418499</v>
      </c>
      <c r="C8288" s="6">
        <v>0.37413544171766</v>
      </c>
    </row>
    <row r="8289" spans="1:3" s="7" customFormat="1" x14ac:dyDescent="0.2">
      <c r="A8289" s="6" t="str">
        <f>"ZNF451"</f>
        <v>ZNF451</v>
      </c>
      <c r="B8289" s="6">
        <v>0.18581418581418499</v>
      </c>
      <c r="C8289" s="6">
        <v>0.37413544171766</v>
      </c>
    </row>
    <row r="8290" spans="1:3" s="7" customFormat="1" x14ac:dyDescent="0.2">
      <c r="A8290" s="6" t="str">
        <f>"FAM13A"</f>
        <v>FAM13A</v>
      </c>
      <c r="B8290" s="6">
        <v>0.18581418581418499</v>
      </c>
      <c r="C8290" s="6">
        <v>0.37413544171766</v>
      </c>
    </row>
    <row r="8291" spans="1:3" s="7" customFormat="1" x14ac:dyDescent="0.2">
      <c r="A8291" s="6" t="str">
        <f>"GTF2IRD2"</f>
        <v>GTF2IRD2</v>
      </c>
      <c r="B8291" s="6">
        <v>0.18581418581418499</v>
      </c>
      <c r="C8291" s="6">
        <v>0.37413544171766</v>
      </c>
    </row>
    <row r="8292" spans="1:3" s="7" customFormat="1" x14ac:dyDescent="0.2">
      <c r="A8292" s="6" t="str">
        <f>"METTL2A"</f>
        <v>METTL2A</v>
      </c>
      <c r="B8292" s="6">
        <v>0.18581418581418499</v>
      </c>
      <c r="C8292" s="6">
        <v>0.37413544171766</v>
      </c>
    </row>
    <row r="8293" spans="1:3" s="7" customFormat="1" x14ac:dyDescent="0.2">
      <c r="A8293" s="6" t="str">
        <f>"GART"</f>
        <v>GART</v>
      </c>
      <c r="B8293" s="6">
        <v>0.18581418581418499</v>
      </c>
      <c r="C8293" s="6">
        <v>0.37413544171766</v>
      </c>
    </row>
    <row r="8294" spans="1:3" s="7" customFormat="1" x14ac:dyDescent="0.2">
      <c r="A8294" s="6" t="str">
        <f>"PBRM1"</f>
        <v>PBRM1</v>
      </c>
      <c r="B8294" s="6">
        <v>0.18581418581418499</v>
      </c>
      <c r="C8294" s="6">
        <v>0.37413544171766</v>
      </c>
    </row>
    <row r="8295" spans="1:3" s="7" customFormat="1" x14ac:dyDescent="0.2">
      <c r="A8295" s="6" t="str">
        <f>"HUS1"</f>
        <v>HUS1</v>
      </c>
      <c r="B8295" s="6">
        <v>0.18581418581418499</v>
      </c>
      <c r="C8295" s="6">
        <v>0.37413544171766</v>
      </c>
    </row>
    <row r="8296" spans="1:3" s="7" customFormat="1" x14ac:dyDescent="0.2">
      <c r="A8296" s="6" t="str">
        <f>"ANOS2P"</f>
        <v>ANOS2P</v>
      </c>
      <c r="B8296" s="6">
        <v>0.18581418581418499</v>
      </c>
      <c r="C8296" s="6">
        <v>0.37413544171766</v>
      </c>
    </row>
    <row r="8297" spans="1:3" s="7" customFormat="1" x14ac:dyDescent="0.2">
      <c r="A8297" s="6" t="str">
        <f>"LACTB"</f>
        <v>LACTB</v>
      </c>
      <c r="B8297" s="6">
        <v>0.18581418581418499</v>
      </c>
      <c r="C8297" s="6">
        <v>0.37413544171766</v>
      </c>
    </row>
    <row r="8298" spans="1:3" s="7" customFormat="1" x14ac:dyDescent="0.2">
      <c r="A8298" s="6" t="str">
        <f>"TCTN2"</f>
        <v>TCTN2</v>
      </c>
      <c r="B8298" s="6">
        <v>0.18581418581418499</v>
      </c>
      <c r="C8298" s="6">
        <v>0.37413544171766</v>
      </c>
    </row>
    <row r="8299" spans="1:3" s="7" customFormat="1" x14ac:dyDescent="0.2">
      <c r="A8299" s="6" t="str">
        <f>"CFAP94"</f>
        <v>CFAP94</v>
      </c>
      <c r="B8299" s="6">
        <v>0.18581418581418499</v>
      </c>
      <c r="C8299" s="6">
        <v>0.37413544171766</v>
      </c>
    </row>
    <row r="8300" spans="1:3" s="7" customFormat="1" x14ac:dyDescent="0.2">
      <c r="A8300" s="6" t="str">
        <f>"NCKAP5"</f>
        <v>NCKAP5</v>
      </c>
      <c r="B8300" s="6">
        <v>0.18581418581418499</v>
      </c>
      <c r="C8300" s="6">
        <v>0.37413544171766</v>
      </c>
    </row>
    <row r="8301" spans="1:3" s="7" customFormat="1" x14ac:dyDescent="0.2">
      <c r="A8301" s="6" t="str">
        <f>"ISY1"</f>
        <v>ISY1</v>
      </c>
      <c r="B8301" s="6">
        <v>0.18581418581418499</v>
      </c>
      <c r="C8301" s="6">
        <v>0.37413544171766</v>
      </c>
    </row>
    <row r="8302" spans="1:3" s="7" customFormat="1" x14ac:dyDescent="0.2">
      <c r="A8302" s="6" t="str">
        <f>"LYSMD4"</f>
        <v>LYSMD4</v>
      </c>
      <c r="B8302" s="6">
        <v>0.18581418581418499</v>
      </c>
      <c r="C8302" s="6">
        <v>0.37413544171766</v>
      </c>
    </row>
    <row r="8303" spans="1:3" s="7" customFormat="1" x14ac:dyDescent="0.2">
      <c r="A8303" s="6" t="str">
        <f>"AC116407.3"</f>
        <v>AC116407.3</v>
      </c>
      <c r="B8303" s="6">
        <v>0.185929648241206</v>
      </c>
      <c r="C8303" s="6">
        <v>0.37432283072795902</v>
      </c>
    </row>
    <row r="8304" spans="1:3" s="7" customFormat="1" x14ac:dyDescent="0.2">
      <c r="A8304" s="6" t="str">
        <f>"RASD2"</f>
        <v>RASD2</v>
      </c>
      <c r="B8304" s="6">
        <v>0.18681318681318601</v>
      </c>
      <c r="C8304" s="6">
        <v>0.37551360245286802</v>
      </c>
    </row>
    <row r="8305" spans="1:3" s="7" customFormat="1" x14ac:dyDescent="0.2">
      <c r="A8305" s="6" t="str">
        <f>"AC073957.3"</f>
        <v>AC073957.3</v>
      </c>
      <c r="B8305" s="6">
        <v>0.18681318681318601</v>
      </c>
      <c r="C8305" s="6">
        <v>0.37551360245286802</v>
      </c>
    </row>
    <row r="8306" spans="1:3" s="7" customFormat="1" x14ac:dyDescent="0.2">
      <c r="A8306" s="6" t="str">
        <f>"AC072061.1"</f>
        <v>AC072061.1</v>
      </c>
      <c r="B8306" s="6">
        <v>0.18681318681318601</v>
      </c>
      <c r="C8306" s="6">
        <v>0.37551360245286802</v>
      </c>
    </row>
    <row r="8307" spans="1:3" s="7" customFormat="1" x14ac:dyDescent="0.2">
      <c r="A8307" s="6" t="str">
        <f>"LAMTOR3"</f>
        <v>LAMTOR3</v>
      </c>
      <c r="B8307" s="6">
        <v>0.18681318681318601</v>
      </c>
      <c r="C8307" s="6">
        <v>0.37551360245286802</v>
      </c>
    </row>
    <row r="8308" spans="1:3" s="7" customFormat="1" x14ac:dyDescent="0.2">
      <c r="A8308" s="6" t="str">
        <f>"MORC4"</f>
        <v>MORC4</v>
      </c>
      <c r="B8308" s="6">
        <v>0.18681318681318601</v>
      </c>
      <c r="C8308" s="6">
        <v>0.37551360245286802</v>
      </c>
    </row>
    <row r="8309" spans="1:3" s="7" customFormat="1" x14ac:dyDescent="0.2">
      <c r="A8309" s="6" t="str">
        <f>"AL591623.1"</f>
        <v>AL591623.1</v>
      </c>
      <c r="B8309" s="6">
        <v>0.186680121089808</v>
      </c>
      <c r="C8309" s="6">
        <v>0.37551360245286802</v>
      </c>
    </row>
    <row r="8310" spans="1:3" s="7" customFormat="1" x14ac:dyDescent="0.2">
      <c r="A8310" s="6" t="str">
        <f>"LINC02323"</f>
        <v>LINC02323</v>
      </c>
      <c r="B8310" s="6">
        <v>0.18681318681318601</v>
      </c>
      <c r="C8310" s="6">
        <v>0.37551360245286802</v>
      </c>
    </row>
    <row r="8311" spans="1:3" s="7" customFormat="1" x14ac:dyDescent="0.2">
      <c r="A8311" s="6" t="str">
        <f>"OLA1"</f>
        <v>OLA1</v>
      </c>
      <c r="B8311" s="6">
        <v>0.18681318681318601</v>
      </c>
      <c r="C8311" s="6">
        <v>0.37551360245286802</v>
      </c>
    </row>
    <row r="8312" spans="1:3" s="7" customFormat="1" x14ac:dyDescent="0.2">
      <c r="A8312" s="6" t="str">
        <f>"AC005670.3"</f>
        <v>AC005670.3</v>
      </c>
      <c r="B8312" s="6">
        <v>0.18681318681318601</v>
      </c>
      <c r="C8312" s="6">
        <v>0.37551360245286802</v>
      </c>
    </row>
    <row r="8313" spans="1:3" s="7" customFormat="1" x14ac:dyDescent="0.2">
      <c r="A8313" s="6" t="str">
        <f>"PCDHA13"</f>
        <v>PCDHA13</v>
      </c>
      <c r="B8313" s="6">
        <v>0.18681318681318601</v>
      </c>
      <c r="C8313" s="6">
        <v>0.37551360245286802</v>
      </c>
    </row>
    <row r="8314" spans="1:3" s="7" customFormat="1" x14ac:dyDescent="0.2">
      <c r="A8314" s="6" t="str">
        <f>"KIAA0930"</f>
        <v>KIAA0930</v>
      </c>
      <c r="B8314" s="6">
        <v>0.18681318681318601</v>
      </c>
      <c r="C8314" s="6">
        <v>0.37551360245286802</v>
      </c>
    </row>
    <row r="8315" spans="1:3" s="7" customFormat="1" x14ac:dyDescent="0.2">
      <c r="A8315" s="6" t="str">
        <f>"NME5"</f>
        <v>NME5</v>
      </c>
      <c r="B8315" s="6">
        <v>0.18681318681318601</v>
      </c>
      <c r="C8315" s="6">
        <v>0.37551360245286802</v>
      </c>
    </row>
    <row r="8316" spans="1:3" s="7" customFormat="1" x14ac:dyDescent="0.2">
      <c r="A8316" s="6" t="str">
        <f>"VPS26B"</f>
        <v>VPS26B</v>
      </c>
      <c r="B8316" s="6">
        <v>0.18681318681318601</v>
      </c>
      <c r="C8316" s="6">
        <v>0.37551360245286802</v>
      </c>
    </row>
    <row r="8317" spans="1:3" s="7" customFormat="1" x14ac:dyDescent="0.2">
      <c r="A8317" s="6" t="str">
        <f>"CBX5"</f>
        <v>CBX5</v>
      </c>
      <c r="B8317" s="6">
        <v>0.187812187812187</v>
      </c>
      <c r="C8317" s="6">
        <v>0.37693238557791803</v>
      </c>
    </row>
    <row r="8318" spans="1:3" s="7" customFormat="1" x14ac:dyDescent="0.2">
      <c r="A8318" s="6" t="str">
        <f>"GUF1"</f>
        <v>GUF1</v>
      </c>
      <c r="B8318" s="6">
        <v>0.187812187812187</v>
      </c>
      <c r="C8318" s="6">
        <v>0.37693238557791803</v>
      </c>
    </row>
    <row r="8319" spans="1:3" s="7" customFormat="1" x14ac:dyDescent="0.2">
      <c r="A8319" s="6" t="str">
        <f>"DHX29"</f>
        <v>DHX29</v>
      </c>
      <c r="B8319" s="6">
        <v>0.187812187812187</v>
      </c>
      <c r="C8319" s="6">
        <v>0.37693238557791803</v>
      </c>
    </row>
    <row r="8320" spans="1:3" s="7" customFormat="1" x14ac:dyDescent="0.2">
      <c r="A8320" s="6" t="str">
        <f>"AC139256.1"</f>
        <v>AC139256.1</v>
      </c>
      <c r="B8320" s="6">
        <v>0.187812187812187</v>
      </c>
      <c r="C8320" s="6">
        <v>0.37693238557791803</v>
      </c>
    </row>
    <row r="8321" spans="1:3" s="7" customFormat="1" x14ac:dyDescent="0.2">
      <c r="A8321" s="6" t="str">
        <f>"GSTM5"</f>
        <v>GSTM5</v>
      </c>
      <c r="B8321" s="6">
        <v>0.187812187812187</v>
      </c>
      <c r="C8321" s="6">
        <v>0.37693238557791803</v>
      </c>
    </row>
    <row r="8322" spans="1:3" s="7" customFormat="1" x14ac:dyDescent="0.2">
      <c r="A8322" s="6" t="str">
        <f>"TRMT11"</f>
        <v>TRMT11</v>
      </c>
      <c r="B8322" s="6">
        <v>0.187812187812187</v>
      </c>
      <c r="C8322" s="6">
        <v>0.37693238557791803</v>
      </c>
    </row>
    <row r="8323" spans="1:3" s="7" customFormat="1" x14ac:dyDescent="0.2">
      <c r="A8323" s="6" t="str">
        <f>"QTRT2"</f>
        <v>QTRT2</v>
      </c>
      <c r="B8323" s="6">
        <v>0.187812187812187</v>
      </c>
      <c r="C8323" s="6">
        <v>0.37693238557791803</v>
      </c>
    </row>
    <row r="8324" spans="1:3" s="7" customFormat="1" x14ac:dyDescent="0.2">
      <c r="A8324" s="6" t="str">
        <f>"AL139011.2"</f>
        <v>AL139011.2</v>
      </c>
      <c r="B8324" s="6">
        <v>0.187812187812187</v>
      </c>
      <c r="C8324" s="6">
        <v>0.37693238557791803</v>
      </c>
    </row>
    <row r="8325" spans="1:3" s="7" customFormat="1" x14ac:dyDescent="0.2">
      <c r="A8325" s="6" t="str">
        <f>"ZNF793-AS1"</f>
        <v>ZNF793-AS1</v>
      </c>
      <c r="B8325" s="6">
        <v>0.187812187812187</v>
      </c>
      <c r="C8325" s="6">
        <v>0.37693238557791803</v>
      </c>
    </row>
    <row r="8326" spans="1:3" s="7" customFormat="1" x14ac:dyDescent="0.2">
      <c r="A8326" s="6" t="str">
        <f>"SLC52A2"</f>
        <v>SLC52A2</v>
      </c>
      <c r="B8326" s="6">
        <v>0.187812187812187</v>
      </c>
      <c r="C8326" s="6">
        <v>0.37693238557791803</v>
      </c>
    </row>
    <row r="8327" spans="1:3" s="7" customFormat="1" x14ac:dyDescent="0.2">
      <c r="A8327" s="6" t="str">
        <f>"AC010326.4"</f>
        <v>AC010326.4</v>
      </c>
      <c r="B8327" s="6">
        <v>0.187812187812187</v>
      </c>
      <c r="C8327" s="6">
        <v>0.37693238557791803</v>
      </c>
    </row>
    <row r="8328" spans="1:3" s="7" customFormat="1" x14ac:dyDescent="0.2">
      <c r="A8328" s="6" t="str">
        <f>"CUX1"</f>
        <v>CUX1</v>
      </c>
      <c r="B8328" s="6">
        <v>0.187812187812187</v>
      </c>
      <c r="C8328" s="6">
        <v>0.37693238557791803</v>
      </c>
    </row>
    <row r="8329" spans="1:3" s="7" customFormat="1" x14ac:dyDescent="0.2">
      <c r="A8329" s="6" t="str">
        <f>"FAM111B"</f>
        <v>FAM111B</v>
      </c>
      <c r="B8329" s="6">
        <v>0.187812187812187</v>
      </c>
      <c r="C8329" s="6">
        <v>0.37693238557791803</v>
      </c>
    </row>
    <row r="8330" spans="1:3" s="7" customFormat="1" x14ac:dyDescent="0.2">
      <c r="A8330" s="6" t="str">
        <f>"AL139424.3"</f>
        <v>AL139424.3</v>
      </c>
      <c r="B8330" s="6">
        <v>0.18837675350701399</v>
      </c>
      <c r="C8330" s="6">
        <v>0.37802005740379702</v>
      </c>
    </row>
    <row r="8331" spans="1:3" s="7" customFormat="1" x14ac:dyDescent="0.2">
      <c r="A8331" s="6" t="str">
        <f>"RAB21"</f>
        <v>RAB21</v>
      </c>
      <c r="B8331" s="6">
        <v>0.188811188811188</v>
      </c>
      <c r="C8331" s="6">
        <v>0.37804426235142602</v>
      </c>
    </row>
    <row r="8332" spans="1:3" s="7" customFormat="1" x14ac:dyDescent="0.2">
      <c r="A8332" s="6" t="str">
        <f>"CWC25"</f>
        <v>CWC25</v>
      </c>
      <c r="B8332" s="6">
        <v>0.188811188811188</v>
      </c>
      <c r="C8332" s="6">
        <v>0.37804426235142602</v>
      </c>
    </row>
    <row r="8333" spans="1:3" s="7" customFormat="1" x14ac:dyDescent="0.2">
      <c r="A8333" s="6" t="str">
        <f>"AC099550.1"</f>
        <v>AC099550.1</v>
      </c>
      <c r="B8333" s="6">
        <v>0.188811188811188</v>
      </c>
      <c r="C8333" s="6">
        <v>0.37804426235142602</v>
      </c>
    </row>
    <row r="8334" spans="1:3" s="7" customFormat="1" x14ac:dyDescent="0.2">
      <c r="A8334" s="6" t="str">
        <f>"EPHA10"</f>
        <v>EPHA10</v>
      </c>
      <c r="B8334" s="6">
        <v>0.188811188811188</v>
      </c>
      <c r="C8334" s="6">
        <v>0.37804426235142602</v>
      </c>
    </row>
    <row r="8335" spans="1:3" s="7" customFormat="1" x14ac:dyDescent="0.2">
      <c r="A8335" s="6" t="str">
        <f>"AL671710.1"</f>
        <v>AL671710.1</v>
      </c>
      <c r="B8335" s="6">
        <v>0.18881856540084299</v>
      </c>
      <c r="C8335" s="6">
        <v>0.37804426235142602</v>
      </c>
    </row>
    <row r="8336" spans="1:3" s="7" customFormat="1" x14ac:dyDescent="0.2">
      <c r="A8336" s="6" t="str">
        <f>"AC010618.3"</f>
        <v>AC010618.3</v>
      </c>
      <c r="B8336" s="6">
        <v>0.188533627342888</v>
      </c>
      <c r="C8336" s="6">
        <v>0.37804426235142602</v>
      </c>
    </row>
    <row r="8337" spans="1:3" s="7" customFormat="1" x14ac:dyDescent="0.2">
      <c r="A8337" s="6" t="str">
        <f>"AC011899.1"</f>
        <v>AC011899.1</v>
      </c>
      <c r="B8337" s="6">
        <v>0.188811188811188</v>
      </c>
      <c r="C8337" s="6">
        <v>0.37804426235142602</v>
      </c>
    </row>
    <row r="8338" spans="1:3" s="7" customFormat="1" x14ac:dyDescent="0.2">
      <c r="A8338" s="6" t="str">
        <f>"ANKRD23"</f>
        <v>ANKRD23</v>
      </c>
      <c r="B8338" s="6">
        <v>0.188811188811188</v>
      </c>
      <c r="C8338" s="6">
        <v>0.37804426235142602</v>
      </c>
    </row>
    <row r="8339" spans="1:3" s="7" customFormat="1" x14ac:dyDescent="0.2">
      <c r="A8339" s="6" t="str">
        <f>"RARRES1"</f>
        <v>RARRES1</v>
      </c>
      <c r="B8339" s="6">
        <v>0.188811188811188</v>
      </c>
      <c r="C8339" s="6">
        <v>0.37804426235142602</v>
      </c>
    </row>
    <row r="8340" spans="1:3" s="7" customFormat="1" x14ac:dyDescent="0.2">
      <c r="A8340" s="6" t="str">
        <f>"BDKRB2"</f>
        <v>BDKRB2</v>
      </c>
      <c r="B8340" s="6">
        <v>0.188811188811188</v>
      </c>
      <c r="C8340" s="6">
        <v>0.37804426235142602</v>
      </c>
    </row>
    <row r="8341" spans="1:3" s="7" customFormat="1" x14ac:dyDescent="0.2">
      <c r="A8341" s="6" t="str">
        <f>"ZFYVE28"</f>
        <v>ZFYVE28</v>
      </c>
      <c r="B8341" s="6">
        <v>0.188811188811188</v>
      </c>
      <c r="C8341" s="6">
        <v>0.37804426235142602</v>
      </c>
    </row>
    <row r="8342" spans="1:3" s="7" customFormat="1" x14ac:dyDescent="0.2">
      <c r="A8342" s="6" t="str">
        <f>"TPTE2P5"</f>
        <v>TPTE2P5</v>
      </c>
      <c r="B8342" s="6">
        <v>0.188811188811188</v>
      </c>
      <c r="C8342" s="6">
        <v>0.37804426235142602</v>
      </c>
    </row>
    <row r="8343" spans="1:3" s="7" customFormat="1" x14ac:dyDescent="0.2">
      <c r="A8343" s="6" t="str">
        <f>"AP003108.2"</f>
        <v>AP003108.2</v>
      </c>
      <c r="B8343" s="6">
        <v>0.188811188811188</v>
      </c>
      <c r="C8343" s="6">
        <v>0.37804426235142602</v>
      </c>
    </row>
    <row r="8344" spans="1:3" s="7" customFormat="1" x14ac:dyDescent="0.2">
      <c r="A8344" s="6" t="str">
        <f>"FAM218A"</f>
        <v>FAM218A</v>
      </c>
      <c r="B8344" s="6">
        <v>0.188811188811188</v>
      </c>
      <c r="C8344" s="6">
        <v>0.37804426235142602</v>
      </c>
    </row>
    <row r="8345" spans="1:3" s="7" customFormat="1" x14ac:dyDescent="0.2">
      <c r="A8345" s="6" t="str">
        <f>"SERPINI2"</f>
        <v>SERPINI2</v>
      </c>
      <c r="B8345" s="6">
        <v>0.188811188811188</v>
      </c>
      <c r="C8345" s="6">
        <v>0.37804426235142602</v>
      </c>
    </row>
    <row r="8346" spans="1:3" s="7" customFormat="1" x14ac:dyDescent="0.2">
      <c r="A8346" s="6" t="str">
        <f>"LAPTM4B"</f>
        <v>LAPTM4B</v>
      </c>
      <c r="B8346" s="6">
        <v>0.188811188811188</v>
      </c>
      <c r="C8346" s="6">
        <v>0.37804426235142602</v>
      </c>
    </row>
    <row r="8347" spans="1:3" s="7" customFormat="1" x14ac:dyDescent="0.2">
      <c r="A8347" s="6" t="str">
        <f>"NOC3L"</f>
        <v>NOC3L</v>
      </c>
      <c r="B8347" s="6">
        <v>0.188811188811188</v>
      </c>
      <c r="C8347" s="6">
        <v>0.37804426235142602</v>
      </c>
    </row>
    <row r="8348" spans="1:3" s="7" customFormat="1" x14ac:dyDescent="0.2">
      <c r="A8348" s="6" t="str">
        <f>"LDAH"</f>
        <v>LDAH</v>
      </c>
      <c r="B8348" s="6">
        <v>0.188811188811188</v>
      </c>
      <c r="C8348" s="6">
        <v>0.37804426235142602</v>
      </c>
    </row>
    <row r="8349" spans="1:3" s="7" customFormat="1" x14ac:dyDescent="0.2">
      <c r="A8349" s="6" t="str">
        <f>"LCLAT1"</f>
        <v>LCLAT1</v>
      </c>
      <c r="B8349" s="6">
        <v>0.188811188811188</v>
      </c>
      <c r="C8349" s="6">
        <v>0.37804426235142602</v>
      </c>
    </row>
    <row r="8350" spans="1:3" s="7" customFormat="1" x14ac:dyDescent="0.2">
      <c r="A8350" s="6" t="str">
        <f>"FTCDNL1"</f>
        <v>FTCDNL1</v>
      </c>
      <c r="B8350" s="6">
        <v>0.189</v>
      </c>
      <c r="C8350" s="6">
        <v>0.378316886227544</v>
      </c>
    </row>
    <row r="8351" spans="1:3" s="7" customFormat="1" x14ac:dyDescent="0.2">
      <c r="A8351" s="6" t="str">
        <f>"ANKRD28"</f>
        <v>ANKRD28</v>
      </c>
      <c r="B8351" s="6">
        <v>0.189</v>
      </c>
      <c r="C8351" s="6">
        <v>0.378316886227544</v>
      </c>
    </row>
    <row r="8352" spans="1:3" s="7" customFormat="1" x14ac:dyDescent="0.2">
      <c r="A8352" s="6" t="str">
        <f>"AC078802.1"</f>
        <v>AC078802.1</v>
      </c>
      <c r="B8352" s="6">
        <v>0.18918918918918901</v>
      </c>
      <c r="C8352" s="6">
        <v>0.37855957238215099</v>
      </c>
    </row>
    <row r="8353" spans="1:3" s="7" customFormat="1" x14ac:dyDescent="0.2">
      <c r="A8353" s="6" t="str">
        <f>"TMEM253"</f>
        <v>TMEM253</v>
      </c>
      <c r="B8353" s="6">
        <v>0.18918918918918901</v>
      </c>
      <c r="C8353" s="6">
        <v>0.37855957238215099</v>
      </c>
    </row>
    <row r="8354" spans="1:3" s="7" customFormat="1" x14ac:dyDescent="0.2">
      <c r="A8354" s="6" t="str">
        <f>"AC026979.2"</f>
        <v>AC026979.2</v>
      </c>
      <c r="B8354" s="6">
        <v>0.18918918918918901</v>
      </c>
      <c r="C8354" s="6">
        <v>0.37855957238215099</v>
      </c>
    </row>
    <row r="8355" spans="1:3" s="7" customFormat="1" x14ac:dyDescent="0.2">
      <c r="A8355" s="6" t="str">
        <f>"DCTN2"</f>
        <v>DCTN2</v>
      </c>
      <c r="B8355" s="6">
        <v>0.18981018981018899</v>
      </c>
      <c r="C8355" s="6">
        <v>0.37889496148184798</v>
      </c>
    </row>
    <row r="8356" spans="1:3" s="7" customFormat="1" x14ac:dyDescent="0.2">
      <c r="A8356" s="6" t="str">
        <f>"RTL9"</f>
        <v>RTL9</v>
      </c>
      <c r="B8356" s="6">
        <v>0.18981018981018899</v>
      </c>
      <c r="C8356" s="6">
        <v>0.37889496148184798</v>
      </c>
    </row>
    <row r="8357" spans="1:3" s="7" customFormat="1" x14ac:dyDescent="0.2">
      <c r="A8357" s="6" t="str">
        <f>"MRPL1"</f>
        <v>MRPL1</v>
      </c>
      <c r="B8357" s="6">
        <v>0.18981018981018899</v>
      </c>
      <c r="C8357" s="6">
        <v>0.37889496148184798</v>
      </c>
    </row>
    <row r="8358" spans="1:3" s="7" customFormat="1" x14ac:dyDescent="0.2">
      <c r="A8358" s="6" t="str">
        <f>"SYDE1"</f>
        <v>SYDE1</v>
      </c>
      <c r="B8358" s="6">
        <v>0.18981018981018899</v>
      </c>
      <c r="C8358" s="6">
        <v>0.37889496148184798</v>
      </c>
    </row>
    <row r="8359" spans="1:3" s="7" customFormat="1" x14ac:dyDescent="0.2">
      <c r="A8359" s="6" t="str">
        <f>"WDR76"</f>
        <v>WDR76</v>
      </c>
      <c r="B8359" s="6">
        <v>0.18981018981018899</v>
      </c>
      <c r="C8359" s="6">
        <v>0.37889496148184798</v>
      </c>
    </row>
    <row r="8360" spans="1:3" s="7" customFormat="1" x14ac:dyDescent="0.2">
      <c r="A8360" s="6" t="str">
        <f>"POLR3B"</f>
        <v>POLR3B</v>
      </c>
      <c r="B8360" s="6">
        <v>0.18981018981018899</v>
      </c>
      <c r="C8360" s="6">
        <v>0.37889496148184798</v>
      </c>
    </row>
    <row r="8361" spans="1:3" s="7" customFormat="1" x14ac:dyDescent="0.2">
      <c r="A8361" s="6" t="str">
        <f>"LINC02395"</f>
        <v>LINC02395</v>
      </c>
      <c r="B8361" s="6">
        <v>0.18981018981018899</v>
      </c>
      <c r="C8361" s="6">
        <v>0.37889496148184798</v>
      </c>
    </row>
    <row r="8362" spans="1:3" s="7" customFormat="1" x14ac:dyDescent="0.2">
      <c r="A8362" s="6" t="str">
        <f>"THUMPD1"</f>
        <v>THUMPD1</v>
      </c>
      <c r="B8362" s="6">
        <v>0.18981018981018899</v>
      </c>
      <c r="C8362" s="6">
        <v>0.37889496148184798</v>
      </c>
    </row>
    <row r="8363" spans="1:3" s="7" customFormat="1" x14ac:dyDescent="0.2">
      <c r="A8363" s="6" t="str">
        <f>"AC025154.2"</f>
        <v>AC025154.2</v>
      </c>
      <c r="B8363" s="6">
        <v>0.18981018981018899</v>
      </c>
      <c r="C8363" s="6">
        <v>0.37889496148184798</v>
      </c>
    </row>
    <row r="8364" spans="1:3" s="7" customFormat="1" x14ac:dyDescent="0.2">
      <c r="A8364" s="6" t="str">
        <f>"ESRP2"</f>
        <v>ESRP2</v>
      </c>
      <c r="B8364" s="6">
        <v>0.18981018981018899</v>
      </c>
      <c r="C8364" s="6">
        <v>0.37889496148184798</v>
      </c>
    </row>
    <row r="8365" spans="1:3" s="7" customFormat="1" x14ac:dyDescent="0.2">
      <c r="A8365" s="6" t="str">
        <f>"CUL7"</f>
        <v>CUL7</v>
      </c>
      <c r="B8365" s="6">
        <v>0.18981018981018899</v>
      </c>
      <c r="C8365" s="6">
        <v>0.37889496148184798</v>
      </c>
    </row>
    <row r="8366" spans="1:3" s="7" customFormat="1" x14ac:dyDescent="0.2">
      <c r="A8366" s="6" t="str">
        <f>"POLR1B"</f>
        <v>POLR1B</v>
      </c>
      <c r="B8366" s="6">
        <v>0.18981018981018899</v>
      </c>
      <c r="C8366" s="6">
        <v>0.37889496148184798</v>
      </c>
    </row>
    <row r="8367" spans="1:3" s="7" customFormat="1" x14ac:dyDescent="0.2">
      <c r="A8367" s="6" t="str">
        <f>"GPATCH11"</f>
        <v>GPATCH11</v>
      </c>
      <c r="B8367" s="6">
        <v>0.18981018981018899</v>
      </c>
      <c r="C8367" s="6">
        <v>0.37889496148184798</v>
      </c>
    </row>
    <row r="8368" spans="1:3" s="7" customFormat="1" x14ac:dyDescent="0.2">
      <c r="A8368" s="6" t="str">
        <f>"MICALL1"</f>
        <v>MICALL1</v>
      </c>
      <c r="B8368" s="6">
        <v>0.18981018981018899</v>
      </c>
      <c r="C8368" s="6">
        <v>0.37889496148184798</v>
      </c>
    </row>
    <row r="8369" spans="1:3" s="7" customFormat="1" x14ac:dyDescent="0.2">
      <c r="A8369" s="6" t="str">
        <f>"SPTSSA"</f>
        <v>SPTSSA</v>
      </c>
      <c r="B8369" s="6">
        <v>0.18981018981018899</v>
      </c>
      <c r="C8369" s="6">
        <v>0.37889496148184798</v>
      </c>
    </row>
    <row r="8370" spans="1:3" s="7" customFormat="1" x14ac:dyDescent="0.2">
      <c r="A8370" s="6" t="str">
        <f>"ARMC3"</f>
        <v>ARMC3</v>
      </c>
      <c r="B8370" s="6">
        <v>0.18981018981018899</v>
      </c>
      <c r="C8370" s="6">
        <v>0.37889496148184798</v>
      </c>
    </row>
    <row r="8371" spans="1:3" s="7" customFormat="1" x14ac:dyDescent="0.2">
      <c r="A8371" s="6" t="str">
        <f>"AC069404.1"</f>
        <v>AC069404.1</v>
      </c>
      <c r="B8371" s="6">
        <v>0.18981018981018899</v>
      </c>
      <c r="C8371" s="6">
        <v>0.37889496148184798</v>
      </c>
    </row>
    <row r="8372" spans="1:3" s="7" customFormat="1" x14ac:dyDescent="0.2">
      <c r="A8372" s="6" t="str">
        <f>"TTC3"</f>
        <v>TTC3</v>
      </c>
      <c r="B8372" s="6">
        <v>0.18981018981018899</v>
      </c>
      <c r="C8372" s="6">
        <v>0.37889496148184798</v>
      </c>
    </row>
    <row r="8373" spans="1:3" s="7" customFormat="1" x14ac:dyDescent="0.2">
      <c r="A8373" s="6" t="str">
        <f>"AC008012.1"</f>
        <v>AC008012.1</v>
      </c>
      <c r="B8373" s="6">
        <v>0.18981018981018899</v>
      </c>
      <c r="C8373" s="6">
        <v>0.37889496148184798</v>
      </c>
    </row>
    <row r="8374" spans="1:3" s="7" customFormat="1" x14ac:dyDescent="0.2">
      <c r="A8374" s="6" t="str">
        <f>"TXNIP"</f>
        <v>TXNIP</v>
      </c>
      <c r="B8374" s="6">
        <v>0.18981018981018899</v>
      </c>
      <c r="C8374" s="6">
        <v>0.37889496148184798</v>
      </c>
    </row>
    <row r="8375" spans="1:3" s="7" customFormat="1" x14ac:dyDescent="0.2">
      <c r="A8375" s="6" t="str">
        <f>"SNRK-AS1"</f>
        <v>SNRK-AS1</v>
      </c>
      <c r="B8375" s="6">
        <v>0.19</v>
      </c>
      <c r="C8375" s="6">
        <v>0.37913801337153702</v>
      </c>
    </row>
    <row r="8376" spans="1:3" s="7" customFormat="1" x14ac:dyDescent="0.2">
      <c r="A8376" s="6" t="str">
        <f>"AC105020.3"</f>
        <v>AC105020.3</v>
      </c>
      <c r="B8376" s="6">
        <v>0.19</v>
      </c>
      <c r="C8376" s="6">
        <v>0.37913801337153702</v>
      </c>
    </row>
    <row r="8377" spans="1:3" s="7" customFormat="1" x14ac:dyDescent="0.2">
      <c r="A8377" s="6" t="str">
        <f>"RPS4XP16"</f>
        <v>RPS4XP16</v>
      </c>
      <c r="B8377" s="6">
        <v>0.19</v>
      </c>
      <c r="C8377" s="6">
        <v>0.37913801337153702</v>
      </c>
    </row>
    <row r="8378" spans="1:3" s="7" customFormat="1" x14ac:dyDescent="0.2">
      <c r="A8378" s="6" t="str">
        <f>"RTN4IP1"</f>
        <v>RTN4IP1</v>
      </c>
      <c r="B8378" s="6">
        <v>0.19080919080919001</v>
      </c>
      <c r="C8378" s="6">
        <v>0.38020801325522302</v>
      </c>
    </row>
    <row r="8379" spans="1:3" s="7" customFormat="1" x14ac:dyDescent="0.2">
      <c r="A8379" s="6" t="str">
        <f>"CDC26P1"</f>
        <v>CDC26P1</v>
      </c>
      <c r="B8379" s="6">
        <v>0.19080919080919001</v>
      </c>
      <c r="C8379" s="6">
        <v>0.38020801325522302</v>
      </c>
    </row>
    <row r="8380" spans="1:3" s="7" customFormat="1" x14ac:dyDescent="0.2">
      <c r="A8380" s="6" t="str">
        <f>"TMEM39B"</f>
        <v>TMEM39B</v>
      </c>
      <c r="B8380" s="6">
        <v>0.19080919080919001</v>
      </c>
      <c r="C8380" s="6">
        <v>0.38020801325522302</v>
      </c>
    </row>
    <row r="8381" spans="1:3" s="7" customFormat="1" x14ac:dyDescent="0.2">
      <c r="A8381" s="6" t="str">
        <f>"TSPAN18"</f>
        <v>TSPAN18</v>
      </c>
      <c r="B8381" s="6">
        <v>0.19080919080919001</v>
      </c>
      <c r="C8381" s="6">
        <v>0.38020801325522302</v>
      </c>
    </row>
    <row r="8382" spans="1:3" s="7" customFormat="1" x14ac:dyDescent="0.2">
      <c r="A8382" s="6" t="str">
        <f>"TRIM38"</f>
        <v>TRIM38</v>
      </c>
      <c r="B8382" s="6">
        <v>0.19080919080919001</v>
      </c>
      <c r="C8382" s="6">
        <v>0.38020801325522302</v>
      </c>
    </row>
    <row r="8383" spans="1:3" s="7" customFormat="1" x14ac:dyDescent="0.2">
      <c r="A8383" s="6" t="str">
        <f>"CUL2"</f>
        <v>CUL2</v>
      </c>
      <c r="B8383" s="6">
        <v>0.19080919080919001</v>
      </c>
      <c r="C8383" s="6">
        <v>0.38020801325522302</v>
      </c>
    </row>
    <row r="8384" spans="1:3" s="7" customFormat="1" x14ac:dyDescent="0.2">
      <c r="A8384" s="6" t="str">
        <f>"BZW2"</f>
        <v>BZW2</v>
      </c>
      <c r="B8384" s="6">
        <v>0.19080919080919001</v>
      </c>
      <c r="C8384" s="6">
        <v>0.38020801325522302</v>
      </c>
    </row>
    <row r="8385" spans="1:3" s="7" customFormat="1" x14ac:dyDescent="0.2">
      <c r="A8385" s="6" t="str">
        <f>"IRGQ"</f>
        <v>IRGQ</v>
      </c>
      <c r="B8385" s="6">
        <v>0.19080919080919001</v>
      </c>
      <c r="C8385" s="6">
        <v>0.38020801325522302</v>
      </c>
    </row>
    <row r="8386" spans="1:3" s="7" customFormat="1" x14ac:dyDescent="0.2">
      <c r="A8386" s="6" t="str">
        <f>"PARM1"</f>
        <v>PARM1</v>
      </c>
      <c r="B8386" s="6">
        <v>0.19080919080919001</v>
      </c>
      <c r="C8386" s="6">
        <v>0.38020801325522302</v>
      </c>
    </row>
    <row r="8387" spans="1:3" s="7" customFormat="1" x14ac:dyDescent="0.2">
      <c r="A8387" s="6" t="str">
        <f>"MAPK4"</f>
        <v>MAPK4</v>
      </c>
      <c r="B8387" s="6">
        <v>0.19080919080919001</v>
      </c>
      <c r="C8387" s="6">
        <v>0.38020801325522302</v>
      </c>
    </row>
    <row r="8388" spans="1:3" s="7" customFormat="1" x14ac:dyDescent="0.2">
      <c r="A8388" s="6" t="str">
        <f>"SNTN"</f>
        <v>SNTN</v>
      </c>
      <c r="B8388" s="6">
        <v>0.19080919080919001</v>
      </c>
      <c r="C8388" s="6">
        <v>0.38020801325522302</v>
      </c>
    </row>
    <row r="8389" spans="1:3" s="7" customFormat="1" x14ac:dyDescent="0.2">
      <c r="A8389" s="6" t="str">
        <f>"TOMM6"</f>
        <v>TOMM6</v>
      </c>
      <c r="B8389" s="6">
        <v>0.19080919080919001</v>
      </c>
      <c r="C8389" s="6">
        <v>0.38020801325522302</v>
      </c>
    </row>
    <row r="8390" spans="1:3" s="7" customFormat="1" x14ac:dyDescent="0.2">
      <c r="A8390" s="6" t="str">
        <f>"DUS1L"</f>
        <v>DUS1L</v>
      </c>
      <c r="B8390" s="6">
        <v>0.191</v>
      </c>
      <c r="C8390" s="6">
        <v>0.380542853737036</v>
      </c>
    </row>
    <row r="8391" spans="1:3" s="7" customFormat="1" x14ac:dyDescent="0.2">
      <c r="A8391" s="6" t="str">
        <f>"LINC01353"</f>
        <v>LINC01353</v>
      </c>
      <c r="B8391" s="6">
        <v>0.191808191808191</v>
      </c>
      <c r="C8391" s="6">
        <v>0.38101760374163501</v>
      </c>
    </row>
    <row r="8392" spans="1:3" s="7" customFormat="1" x14ac:dyDescent="0.2">
      <c r="A8392" s="6" t="str">
        <f>"SLC35B3"</f>
        <v>SLC35B3</v>
      </c>
      <c r="B8392" s="6">
        <v>0.191808191808191</v>
      </c>
      <c r="C8392" s="6">
        <v>0.38101760374163501</v>
      </c>
    </row>
    <row r="8393" spans="1:3" s="7" customFormat="1" x14ac:dyDescent="0.2">
      <c r="A8393" s="6" t="str">
        <f>"AL049796.1"</f>
        <v>AL049796.1</v>
      </c>
      <c r="B8393" s="6">
        <v>0.191415313225058</v>
      </c>
      <c r="C8393" s="6">
        <v>0.38101760374163501</v>
      </c>
    </row>
    <row r="8394" spans="1:3" s="7" customFormat="1" x14ac:dyDescent="0.2">
      <c r="A8394" s="6" t="str">
        <f>"FAM110B"</f>
        <v>FAM110B</v>
      </c>
      <c r="B8394" s="6">
        <v>0.191808191808191</v>
      </c>
      <c r="C8394" s="6">
        <v>0.38101760374163501</v>
      </c>
    </row>
    <row r="8395" spans="1:3" s="7" customFormat="1" x14ac:dyDescent="0.2">
      <c r="A8395" s="6" t="str">
        <f>"AASS"</f>
        <v>AASS</v>
      </c>
      <c r="B8395" s="6">
        <v>0.191808191808191</v>
      </c>
      <c r="C8395" s="6">
        <v>0.38101760374163501</v>
      </c>
    </row>
    <row r="8396" spans="1:3" s="7" customFormat="1" x14ac:dyDescent="0.2">
      <c r="A8396" s="6" t="str">
        <f>"RBL1"</f>
        <v>RBL1</v>
      </c>
      <c r="B8396" s="6">
        <v>0.191808191808191</v>
      </c>
      <c r="C8396" s="6">
        <v>0.38101760374163501</v>
      </c>
    </row>
    <row r="8397" spans="1:3" s="7" customFormat="1" x14ac:dyDescent="0.2">
      <c r="A8397" s="6" t="str">
        <f>"C17orf113"</f>
        <v>C17orf113</v>
      </c>
      <c r="B8397" s="6">
        <v>0.191808191808191</v>
      </c>
      <c r="C8397" s="6">
        <v>0.38101760374163501</v>
      </c>
    </row>
    <row r="8398" spans="1:3" s="7" customFormat="1" x14ac:dyDescent="0.2">
      <c r="A8398" s="6" t="str">
        <f>"AC079354.2"</f>
        <v>AC079354.2</v>
      </c>
      <c r="B8398" s="6">
        <v>0.19142259414225901</v>
      </c>
      <c r="C8398" s="6">
        <v>0.38101760374163501</v>
      </c>
    </row>
    <row r="8399" spans="1:3" s="7" customFormat="1" x14ac:dyDescent="0.2">
      <c r="A8399" s="6" t="str">
        <f>"MFAP5"</f>
        <v>MFAP5</v>
      </c>
      <c r="B8399" s="6">
        <v>0.19155844155844101</v>
      </c>
      <c r="C8399" s="6">
        <v>0.38101760374163501</v>
      </c>
    </row>
    <row r="8400" spans="1:3" s="7" customFormat="1" x14ac:dyDescent="0.2">
      <c r="A8400" s="6" t="str">
        <f>"FAM228B"</f>
        <v>FAM228B</v>
      </c>
      <c r="B8400" s="6">
        <v>0.191808191808191</v>
      </c>
      <c r="C8400" s="6">
        <v>0.38101760374163501</v>
      </c>
    </row>
    <row r="8401" spans="1:3" s="7" customFormat="1" x14ac:dyDescent="0.2">
      <c r="A8401" s="6" t="str">
        <f>"ITPK1"</f>
        <v>ITPK1</v>
      </c>
      <c r="B8401" s="6">
        <v>0.191808191808191</v>
      </c>
      <c r="C8401" s="6">
        <v>0.38101760374163501</v>
      </c>
    </row>
    <row r="8402" spans="1:3" s="7" customFormat="1" x14ac:dyDescent="0.2">
      <c r="A8402" s="6" t="str">
        <f>"LINC00871"</f>
        <v>LINC00871</v>
      </c>
      <c r="B8402" s="6">
        <v>0.191808191808191</v>
      </c>
      <c r="C8402" s="6">
        <v>0.38101760374163501</v>
      </c>
    </row>
    <row r="8403" spans="1:3" s="7" customFormat="1" x14ac:dyDescent="0.2">
      <c r="A8403" s="6" t="str">
        <f>"KMT5C"</f>
        <v>KMT5C</v>
      </c>
      <c r="B8403" s="6">
        <v>0.191808191808191</v>
      </c>
      <c r="C8403" s="6">
        <v>0.38101760374163501</v>
      </c>
    </row>
    <row r="8404" spans="1:3" s="7" customFormat="1" x14ac:dyDescent="0.2">
      <c r="A8404" s="6" t="str">
        <f>"UBE2F-SCLY"</f>
        <v>UBE2F-SCLY</v>
      </c>
      <c r="B8404" s="6">
        <v>0.191808191808191</v>
      </c>
      <c r="C8404" s="6">
        <v>0.38101760374163501</v>
      </c>
    </row>
    <row r="8405" spans="1:3" s="7" customFormat="1" x14ac:dyDescent="0.2">
      <c r="A8405" s="6" t="str">
        <f>"RDH14"</f>
        <v>RDH14</v>
      </c>
      <c r="B8405" s="6">
        <v>0.191808191808191</v>
      </c>
      <c r="C8405" s="6">
        <v>0.38101760374163501</v>
      </c>
    </row>
    <row r="8406" spans="1:3" s="7" customFormat="1" x14ac:dyDescent="0.2">
      <c r="A8406" s="6" t="str">
        <f>"UXT-AS1"</f>
        <v>UXT-AS1</v>
      </c>
      <c r="B8406" s="6">
        <v>0.191808191808191</v>
      </c>
      <c r="C8406" s="6">
        <v>0.38101760374163501</v>
      </c>
    </row>
    <row r="8407" spans="1:3" s="7" customFormat="1" x14ac:dyDescent="0.2">
      <c r="A8407" s="6" t="str">
        <f>"RFT1"</f>
        <v>RFT1</v>
      </c>
      <c r="B8407" s="6">
        <v>0.191808191808191</v>
      </c>
      <c r="C8407" s="6">
        <v>0.38101760374163501</v>
      </c>
    </row>
    <row r="8408" spans="1:3" s="7" customFormat="1" x14ac:dyDescent="0.2">
      <c r="A8408" s="6" t="str">
        <f>"KCNQ5"</f>
        <v>KCNQ5</v>
      </c>
      <c r="B8408" s="6">
        <v>0.191808191808191</v>
      </c>
      <c r="C8408" s="6">
        <v>0.38101760374163501</v>
      </c>
    </row>
    <row r="8409" spans="1:3" s="7" customFormat="1" x14ac:dyDescent="0.2">
      <c r="A8409" s="6" t="str">
        <f>"SRD5A1"</f>
        <v>SRD5A1</v>
      </c>
      <c r="B8409" s="6">
        <v>0.191808191808191</v>
      </c>
      <c r="C8409" s="6">
        <v>0.38101760374163501</v>
      </c>
    </row>
    <row r="8410" spans="1:3" s="7" customFormat="1" x14ac:dyDescent="0.2">
      <c r="A8410" s="6" t="str">
        <f>"CCDC153"</f>
        <v>CCDC153</v>
      </c>
      <c r="B8410" s="6">
        <v>0.191808191808191</v>
      </c>
      <c r="C8410" s="6">
        <v>0.38101760374163501</v>
      </c>
    </row>
    <row r="8411" spans="1:3" s="7" customFormat="1" x14ac:dyDescent="0.2">
      <c r="A8411" s="6" t="str">
        <f>"PIH1D2"</f>
        <v>PIH1D2</v>
      </c>
      <c r="B8411" s="6">
        <v>0.191808191808191</v>
      </c>
      <c r="C8411" s="6">
        <v>0.38101760374163501</v>
      </c>
    </row>
    <row r="8412" spans="1:3" s="7" customFormat="1" x14ac:dyDescent="0.2">
      <c r="A8412" s="6" t="str">
        <f>"TOR3A"</f>
        <v>TOR3A</v>
      </c>
      <c r="B8412" s="6">
        <v>0.191808191808191</v>
      </c>
      <c r="C8412" s="6">
        <v>0.38101760374163501</v>
      </c>
    </row>
    <row r="8413" spans="1:3" s="7" customFormat="1" x14ac:dyDescent="0.2">
      <c r="A8413" s="6" t="str">
        <f>"HMGA2-AS1"</f>
        <v>HMGA2-AS1</v>
      </c>
      <c r="B8413" s="6">
        <v>0.191808191808191</v>
      </c>
      <c r="C8413" s="6">
        <v>0.38101760374163501</v>
      </c>
    </row>
    <row r="8414" spans="1:3" s="7" customFormat="1" x14ac:dyDescent="0.2">
      <c r="A8414" s="6" t="str">
        <f>"NOC2LP1"</f>
        <v>NOC2LP1</v>
      </c>
      <c r="B8414" s="6">
        <v>0.191808191808191</v>
      </c>
      <c r="C8414" s="6">
        <v>0.38101760374163501</v>
      </c>
    </row>
    <row r="8415" spans="1:3" s="7" customFormat="1" x14ac:dyDescent="0.2">
      <c r="A8415" s="6" t="str">
        <f>"GPR25"</f>
        <v>GPR25</v>
      </c>
      <c r="B8415" s="6">
        <v>0.191808191808191</v>
      </c>
      <c r="C8415" s="6">
        <v>0.38101760374163501</v>
      </c>
    </row>
    <row r="8416" spans="1:3" s="7" customFormat="1" x14ac:dyDescent="0.2">
      <c r="A8416" s="6" t="str">
        <f>"AC010198.2"</f>
        <v>AC010198.2</v>
      </c>
      <c r="B8416" s="6">
        <v>0.192</v>
      </c>
      <c r="C8416" s="6">
        <v>0.38135329768270898</v>
      </c>
    </row>
    <row r="8417" spans="1:3" s="7" customFormat="1" x14ac:dyDescent="0.2">
      <c r="A8417" s="6" t="str">
        <f>"COL18A1"</f>
        <v>COL18A1</v>
      </c>
      <c r="B8417" s="6">
        <v>0.192807192807192</v>
      </c>
      <c r="C8417" s="6">
        <v>0.38218446638750198</v>
      </c>
    </row>
    <row r="8418" spans="1:3" s="7" customFormat="1" x14ac:dyDescent="0.2">
      <c r="A8418" s="6" t="str">
        <f>"RHPN1"</f>
        <v>RHPN1</v>
      </c>
      <c r="B8418" s="6">
        <v>0.192807192807192</v>
      </c>
      <c r="C8418" s="6">
        <v>0.38218446638750198</v>
      </c>
    </row>
    <row r="8419" spans="1:3" s="7" customFormat="1" x14ac:dyDescent="0.2">
      <c r="A8419" s="6" t="str">
        <f>"MOGAT2"</f>
        <v>MOGAT2</v>
      </c>
      <c r="B8419" s="6">
        <v>0.192807192807192</v>
      </c>
      <c r="C8419" s="6">
        <v>0.38218446638750198</v>
      </c>
    </row>
    <row r="8420" spans="1:3" s="7" customFormat="1" x14ac:dyDescent="0.2">
      <c r="A8420" s="6" t="str">
        <f>"ARHGAP11A"</f>
        <v>ARHGAP11A</v>
      </c>
      <c r="B8420" s="6">
        <v>0.192807192807192</v>
      </c>
      <c r="C8420" s="6">
        <v>0.38218446638750198</v>
      </c>
    </row>
    <row r="8421" spans="1:3" s="7" customFormat="1" x14ac:dyDescent="0.2">
      <c r="A8421" s="6" t="str">
        <f>"PEDS1-UBE2V1"</f>
        <v>PEDS1-UBE2V1</v>
      </c>
      <c r="B8421" s="6">
        <v>0.192807192807192</v>
      </c>
      <c r="C8421" s="6">
        <v>0.38218446638750198</v>
      </c>
    </row>
    <row r="8422" spans="1:3" s="7" customFormat="1" x14ac:dyDescent="0.2">
      <c r="A8422" s="6" t="str">
        <f>"AC091271.1"</f>
        <v>AC091271.1</v>
      </c>
      <c r="B8422" s="6">
        <v>0.192807192807192</v>
      </c>
      <c r="C8422" s="6">
        <v>0.38218446638750198</v>
      </c>
    </row>
    <row r="8423" spans="1:3" s="7" customFormat="1" x14ac:dyDescent="0.2">
      <c r="A8423" s="6" t="str">
        <f>"ZNF154"</f>
        <v>ZNF154</v>
      </c>
      <c r="B8423" s="6">
        <v>0.192807192807192</v>
      </c>
      <c r="C8423" s="6">
        <v>0.38218446638750198</v>
      </c>
    </row>
    <row r="8424" spans="1:3" s="7" customFormat="1" x14ac:dyDescent="0.2">
      <c r="A8424" s="6" t="str">
        <f>"PGPEP1"</f>
        <v>PGPEP1</v>
      </c>
      <c r="B8424" s="6">
        <v>0.192807192807192</v>
      </c>
      <c r="C8424" s="6">
        <v>0.38218446638750198</v>
      </c>
    </row>
    <row r="8425" spans="1:3" s="7" customFormat="1" x14ac:dyDescent="0.2">
      <c r="A8425" s="6" t="str">
        <f>"AL161421.1"</f>
        <v>AL161421.1</v>
      </c>
      <c r="B8425" s="6">
        <v>0.192807192807192</v>
      </c>
      <c r="C8425" s="6">
        <v>0.38218446638750198</v>
      </c>
    </row>
    <row r="8426" spans="1:3" s="7" customFormat="1" x14ac:dyDescent="0.2">
      <c r="A8426" s="6" t="str">
        <f>"LINC01266"</f>
        <v>LINC01266</v>
      </c>
      <c r="B8426" s="6">
        <v>0.192807192807192</v>
      </c>
      <c r="C8426" s="6">
        <v>0.38218446638750198</v>
      </c>
    </row>
    <row r="8427" spans="1:3" s="7" customFormat="1" x14ac:dyDescent="0.2">
      <c r="A8427" s="6" t="str">
        <f>"PNPLA6"</f>
        <v>PNPLA6</v>
      </c>
      <c r="B8427" s="6">
        <v>0.192807192807192</v>
      </c>
      <c r="C8427" s="6">
        <v>0.38218446638750198</v>
      </c>
    </row>
    <row r="8428" spans="1:3" s="7" customFormat="1" x14ac:dyDescent="0.2">
      <c r="A8428" s="6" t="str">
        <f>"AMOTL1"</f>
        <v>AMOTL1</v>
      </c>
      <c r="B8428" s="6">
        <v>0.192807192807192</v>
      </c>
      <c r="C8428" s="6">
        <v>0.38218446638750198</v>
      </c>
    </row>
    <row r="8429" spans="1:3" s="7" customFormat="1" x14ac:dyDescent="0.2">
      <c r="A8429" s="6" t="str">
        <f>"CD274"</f>
        <v>CD274</v>
      </c>
      <c r="B8429" s="6">
        <v>0.192807192807192</v>
      </c>
      <c r="C8429" s="6">
        <v>0.38218446638750198</v>
      </c>
    </row>
    <row r="8430" spans="1:3" s="7" customFormat="1" x14ac:dyDescent="0.2">
      <c r="A8430" s="6" t="str">
        <f>"GFAP"</f>
        <v>GFAP</v>
      </c>
      <c r="B8430" s="6">
        <v>0.192807192807192</v>
      </c>
      <c r="C8430" s="6">
        <v>0.38218446638750198</v>
      </c>
    </row>
    <row r="8431" spans="1:3" s="7" customFormat="1" x14ac:dyDescent="0.2">
      <c r="A8431" s="6" t="str">
        <f>"CEP97"</f>
        <v>CEP97</v>
      </c>
      <c r="B8431" s="6">
        <v>0.192807192807192</v>
      </c>
      <c r="C8431" s="6">
        <v>0.38218446638750198</v>
      </c>
    </row>
    <row r="8432" spans="1:3" s="7" customFormat="1" x14ac:dyDescent="0.2">
      <c r="A8432" s="6" t="str">
        <f>"PDXDC1"</f>
        <v>PDXDC1</v>
      </c>
      <c r="B8432" s="6">
        <v>0.192807192807192</v>
      </c>
      <c r="C8432" s="6">
        <v>0.38218446638750198</v>
      </c>
    </row>
    <row r="8433" spans="1:3" s="7" customFormat="1" x14ac:dyDescent="0.2">
      <c r="A8433" s="6" t="str">
        <f>"WASHC4"</f>
        <v>WASHC4</v>
      </c>
      <c r="B8433" s="6">
        <v>0.192807192807192</v>
      </c>
      <c r="C8433" s="6">
        <v>0.38218446638750198</v>
      </c>
    </row>
    <row r="8434" spans="1:3" s="7" customFormat="1" x14ac:dyDescent="0.2">
      <c r="A8434" s="6" t="str">
        <f>"ATP1A1-AS1"</f>
        <v>ATP1A1-AS1</v>
      </c>
      <c r="B8434" s="6">
        <v>0.193</v>
      </c>
      <c r="C8434" s="6">
        <v>0.38252128542630098</v>
      </c>
    </row>
    <row r="8435" spans="1:3" s="7" customFormat="1" x14ac:dyDescent="0.2">
      <c r="A8435" s="6" t="str">
        <f>"DDX3X"</f>
        <v>DDX3X</v>
      </c>
      <c r="B8435" s="6">
        <v>0.19380619380619299</v>
      </c>
      <c r="C8435" s="6">
        <v>0.38284797580389102</v>
      </c>
    </row>
    <row r="8436" spans="1:3" s="7" customFormat="1" x14ac:dyDescent="0.2">
      <c r="A8436" s="6" t="str">
        <f>"GGN"</f>
        <v>GGN</v>
      </c>
      <c r="B8436" s="6">
        <v>0.19380619380619299</v>
      </c>
      <c r="C8436" s="6">
        <v>0.38284797580389102</v>
      </c>
    </row>
    <row r="8437" spans="1:3" s="7" customFormat="1" x14ac:dyDescent="0.2">
      <c r="A8437" s="6" t="str">
        <f>"SYNE3"</f>
        <v>SYNE3</v>
      </c>
      <c r="B8437" s="6">
        <v>0.19380619380619299</v>
      </c>
      <c r="C8437" s="6">
        <v>0.38284797580389102</v>
      </c>
    </row>
    <row r="8438" spans="1:3" s="7" customFormat="1" x14ac:dyDescent="0.2">
      <c r="A8438" s="6" t="str">
        <f>"TMBIM1"</f>
        <v>TMBIM1</v>
      </c>
      <c r="B8438" s="6">
        <v>0.19380619380619299</v>
      </c>
      <c r="C8438" s="6">
        <v>0.38284797580389102</v>
      </c>
    </row>
    <row r="8439" spans="1:3" s="7" customFormat="1" x14ac:dyDescent="0.2">
      <c r="A8439" s="6" t="str">
        <f>"PDE4D"</f>
        <v>PDE4D</v>
      </c>
      <c r="B8439" s="6">
        <v>0.19380619380619299</v>
      </c>
      <c r="C8439" s="6">
        <v>0.38284797580389102</v>
      </c>
    </row>
    <row r="8440" spans="1:3" s="7" customFormat="1" x14ac:dyDescent="0.2">
      <c r="A8440" s="6" t="str">
        <f>"ZNF830"</f>
        <v>ZNF830</v>
      </c>
      <c r="B8440" s="6">
        <v>0.19380619380619299</v>
      </c>
      <c r="C8440" s="6">
        <v>0.38284797580389102</v>
      </c>
    </row>
    <row r="8441" spans="1:3" s="7" customFormat="1" x14ac:dyDescent="0.2">
      <c r="A8441" s="6" t="str">
        <f>"AP002985.1"</f>
        <v>AP002985.1</v>
      </c>
      <c r="B8441" s="6">
        <v>0.193193193193193</v>
      </c>
      <c r="C8441" s="6">
        <v>0.38284797580389102</v>
      </c>
    </row>
    <row r="8442" spans="1:3" s="7" customFormat="1" x14ac:dyDescent="0.2">
      <c r="A8442" s="6" t="str">
        <f>"AL691482.3"</f>
        <v>AL691482.3</v>
      </c>
      <c r="B8442" s="6">
        <v>0.19380619380619299</v>
      </c>
      <c r="C8442" s="6">
        <v>0.38284797580389102</v>
      </c>
    </row>
    <row r="8443" spans="1:3" s="7" customFormat="1" x14ac:dyDescent="0.2">
      <c r="A8443" s="6" t="str">
        <f>"SDR39U1"</f>
        <v>SDR39U1</v>
      </c>
      <c r="B8443" s="6">
        <v>0.19380619380619299</v>
      </c>
      <c r="C8443" s="6">
        <v>0.38284797580389102</v>
      </c>
    </row>
    <row r="8444" spans="1:3" s="7" customFormat="1" x14ac:dyDescent="0.2">
      <c r="A8444" s="6" t="str">
        <f>"SMUG1"</f>
        <v>SMUG1</v>
      </c>
      <c r="B8444" s="6">
        <v>0.19380619380619299</v>
      </c>
      <c r="C8444" s="6">
        <v>0.38284797580389102</v>
      </c>
    </row>
    <row r="8445" spans="1:3" s="7" customFormat="1" x14ac:dyDescent="0.2">
      <c r="A8445" s="6" t="str">
        <f>"ZNF383"</f>
        <v>ZNF383</v>
      </c>
      <c r="B8445" s="6">
        <v>0.19380619380619299</v>
      </c>
      <c r="C8445" s="6">
        <v>0.38284797580389102</v>
      </c>
    </row>
    <row r="8446" spans="1:3" s="7" customFormat="1" x14ac:dyDescent="0.2">
      <c r="A8446" s="6" t="str">
        <f>"CACNA2D4"</f>
        <v>CACNA2D4</v>
      </c>
      <c r="B8446" s="6">
        <v>0.19380619380619299</v>
      </c>
      <c r="C8446" s="6">
        <v>0.38284797580389102</v>
      </c>
    </row>
    <row r="8447" spans="1:3" s="7" customFormat="1" x14ac:dyDescent="0.2">
      <c r="A8447" s="6" t="str">
        <f>"PRB1"</f>
        <v>PRB1</v>
      </c>
      <c r="B8447" s="6">
        <v>0.19380619380619299</v>
      </c>
      <c r="C8447" s="6">
        <v>0.38284797580389102</v>
      </c>
    </row>
    <row r="8448" spans="1:3" s="7" customFormat="1" x14ac:dyDescent="0.2">
      <c r="A8448" s="6" t="str">
        <f>"GEMIN8P4"</f>
        <v>GEMIN8P4</v>
      </c>
      <c r="B8448" s="6">
        <v>0.19380619380619299</v>
      </c>
      <c r="C8448" s="6">
        <v>0.38284797580389102</v>
      </c>
    </row>
    <row r="8449" spans="1:3" s="7" customFormat="1" x14ac:dyDescent="0.2">
      <c r="A8449" s="6" t="str">
        <f>"TSKU"</f>
        <v>TSKU</v>
      </c>
      <c r="B8449" s="6">
        <v>0.19380619380619299</v>
      </c>
      <c r="C8449" s="6">
        <v>0.38284797580389102</v>
      </c>
    </row>
    <row r="8450" spans="1:3" s="7" customFormat="1" x14ac:dyDescent="0.2">
      <c r="A8450" s="6" t="str">
        <f>"GPD2"</f>
        <v>GPD2</v>
      </c>
      <c r="B8450" s="6">
        <v>0.19380619380619299</v>
      </c>
      <c r="C8450" s="6">
        <v>0.38284797580389102</v>
      </c>
    </row>
    <row r="8451" spans="1:3" s="7" customFormat="1" x14ac:dyDescent="0.2">
      <c r="A8451" s="6" t="str">
        <f>"ZNF692"</f>
        <v>ZNF692</v>
      </c>
      <c r="B8451" s="6">
        <v>0.19380619380619299</v>
      </c>
      <c r="C8451" s="6">
        <v>0.38284797580389102</v>
      </c>
    </row>
    <row r="8452" spans="1:3" s="7" customFormat="1" x14ac:dyDescent="0.2">
      <c r="A8452" s="6" t="str">
        <f>"AC007906.2"</f>
        <v>AC007906.2</v>
      </c>
      <c r="B8452" s="6">
        <v>0.19380619380619299</v>
      </c>
      <c r="C8452" s="6">
        <v>0.38284797580389102</v>
      </c>
    </row>
    <row r="8453" spans="1:3" s="7" customFormat="1" x14ac:dyDescent="0.2">
      <c r="A8453" s="6" t="str">
        <f>"SGO1"</f>
        <v>SGO1</v>
      </c>
      <c r="B8453" s="6">
        <v>0.19380619380619299</v>
      </c>
      <c r="C8453" s="6">
        <v>0.38284797580389102</v>
      </c>
    </row>
    <row r="8454" spans="1:3" s="7" customFormat="1" x14ac:dyDescent="0.2">
      <c r="A8454" s="6" t="str">
        <f>"CCDC160"</f>
        <v>CCDC160</v>
      </c>
      <c r="B8454" s="6">
        <v>0.19380619380619299</v>
      </c>
      <c r="C8454" s="6">
        <v>0.38284797580389102</v>
      </c>
    </row>
    <row r="8455" spans="1:3" s="7" customFormat="1" x14ac:dyDescent="0.2">
      <c r="A8455" s="6" t="str">
        <f>"LINC01436"</f>
        <v>LINC01436</v>
      </c>
      <c r="B8455" s="6">
        <v>0.19380619380619299</v>
      </c>
      <c r="C8455" s="6">
        <v>0.38284797580389102</v>
      </c>
    </row>
    <row r="8456" spans="1:3" s="7" customFormat="1" x14ac:dyDescent="0.2">
      <c r="A8456" s="6" t="str">
        <f>"CFAP99"</f>
        <v>CFAP99</v>
      </c>
      <c r="B8456" s="6">
        <v>0.19380619380619299</v>
      </c>
      <c r="C8456" s="6">
        <v>0.38284797580389102</v>
      </c>
    </row>
    <row r="8457" spans="1:3" s="7" customFormat="1" x14ac:dyDescent="0.2">
      <c r="A8457" s="6" t="str">
        <f>"AC003072.1"</f>
        <v>AC003072.1</v>
      </c>
      <c r="B8457" s="6">
        <v>0.19380619380619299</v>
      </c>
      <c r="C8457" s="6">
        <v>0.38284797580389102</v>
      </c>
    </row>
    <row r="8458" spans="1:3" s="7" customFormat="1" x14ac:dyDescent="0.2">
      <c r="A8458" s="6" t="str">
        <f>"CLIC4"</f>
        <v>CLIC4</v>
      </c>
      <c r="B8458" s="6">
        <v>0.19380619380619299</v>
      </c>
      <c r="C8458" s="6">
        <v>0.38284797580389102</v>
      </c>
    </row>
    <row r="8459" spans="1:3" s="7" customFormat="1" x14ac:dyDescent="0.2">
      <c r="A8459" s="6" t="str">
        <f>"PPP3R1"</f>
        <v>PPP3R1</v>
      </c>
      <c r="B8459" s="6">
        <v>0.19380619380619299</v>
      </c>
      <c r="C8459" s="6">
        <v>0.38284797580389102</v>
      </c>
    </row>
    <row r="8460" spans="1:3" s="7" customFormat="1" x14ac:dyDescent="0.2">
      <c r="A8460" s="6" t="str">
        <f>"AC133555.6"</f>
        <v>AC133555.6</v>
      </c>
      <c r="B8460" s="6">
        <v>0.19380619380619299</v>
      </c>
      <c r="C8460" s="6">
        <v>0.38284797580389102</v>
      </c>
    </row>
    <row r="8461" spans="1:3" s="7" customFormat="1" x14ac:dyDescent="0.2">
      <c r="A8461" s="6" t="str">
        <f>"BTRC"</f>
        <v>BTRC</v>
      </c>
      <c r="B8461" s="6">
        <v>0.19380619380619299</v>
      </c>
      <c r="C8461" s="6">
        <v>0.38284797580389102</v>
      </c>
    </row>
    <row r="8462" spans="1:3" s="7" customFormat="1" x14ac:dyDescent="0.2">
      <c r="A8462" s="6" t="str">
        <f>"LINC02009"</f>
        <v>LINC02009</v>
      </c>
      <c r="B8462" s="6">
        <v>0.19380619380619299</v>
      </c>
      <c r="C8462" s="6">
        <v>0.38284797580389102</v>
      </c>
    </row>
    <row r="8463" spans="1:3" s="7" customFormat="1" x14ac:dyDescent="0.2">
      <c r="A8463" s="6" t="str">
        <f>"AC095060.1"</f>
        <v>AC095060.1</v>
      </c>
      <c r="B8463" s="6">
        <v>0.19416498993963699</v>
      </c>
      <c r="C8463" s="6">
        <v>0.383511420686729</v>
      </c>
    </row>
    <row r="8464" spans="1:3" s="7" customFormat="1" x14ac:dyDescent="0.2">
      <c r="A8464" s="6" t="str">
        <f>"FBXO46"</f>
        <v>FBXO46</v>
      </c>
      <c r="B8464" s="6">
        <v>0.19480519480519401</v>
      </c>
      <c r="C8464" s="6">
        <v>0.38377817373574002</v>
      </c>
    </row>
    <row r="8465" spans="1:3" s="7" customFormat="1" x14ac:dyDescent="0.2">
      <c r="A8465" s="6" t="str">
        <f>"LINC02555"</f>
        <v>LINC02555</v>
      </c>
      <c r="B8465" s="6">
        <v>0.19480519480519401</v>
      </c>
      <c r="C8465" s="6">
        <v>0.38377817373574002</v>
      </c>
    </row>
    <row r="8466" spans="1:3" s="7" customFormat="1" x14ac:dyDescent="0.2">
      <c r="A8466" s="6" t="str">
        <f>"SPATA21"</f>
        <v>SPATA21</v>
      </c>
      <c r="B8466" s="6">
        <v>0.19480519480519401</v>
      </c>
      <c r="C8466" s="6">
        <v>0.38377817373574002</v>
      </c>
    </row>
    <row r="8467" spans="1:3" s="7" customFormat="1" x14ac:dyDescent="0.2">
      <c r="A8467" s="6" t="str">
        <f>"AC109460.2"</f>
        <v>AC109460.2</v>
      </c>
      <c r="B8467" s="6">
        <v>0.19438877755511</v>
      </c>
      <c r="C8467" s="6">
        <v>0.38377817373574002</v>
      </c>
    </row>
    <row r="8468" spans="1:3" s="7" customFormat="1" x14ac:dyDescent="0.2">
      <c r="A8468" s="6" t="str">
        <f>"KIF4A"</f>
        <v>KIF4A</v>
      </c>
      <c r="B8468" s="6">
        <v>0.19480519480519401</v>
      </c>
      <c r="C8468" s="6">
        <v>0.38377817373574002</v>
      </c>
    </row>
    <row r="8469" spans="1:3" s="7" customFormat="1" x14ac:dyDescent="0.2">
      <c r="A8469" s="6" t="str">
        <f>"AC069200.1"</f>
        <v>AC069200.1</v>
      </c>
      <c r="B8469" s="6">
        <v>0.19480519480519401</v>
      </c>
      <c r="C8469" s="6">
        <v>0.38377817373574002</v>
      </c>
    </row>
    <row r="8470" spans="1:3" s="7" customFormat="1" x14ac:dyDescent="0.2">
      <c r="A8470" s="6" t="str">
        <f>"LSP1P5"</f>
        <v>LSP1P5</v>
      </c>
      <c r="B8470" s="6">
        <v>0.19480519480519401</v>
      </c>
      <c r="C8470" s="6">
        <v>0.38377817373574002</v>
      </c>
    </row>
    <row r="8471" spans="1:3" s="7" customFormat="1" x14ac:dyDescent="0.2">
      <c r="A8471" s="6" t="str">
        <f>"KF456478.1"</f>
        <v>KF456478.1</v>
      </c>
      <c r="B8471" s="6">
        <v>0.19458375125376101</v>
      </c>
      <c r="C8471" s="6">
        <v>0.38377817373574002</v>
      </c>
    </row>
    <row r="8472" spans="1:3" s="7" customFormat="1" x14ac:dyDescent="0.2">
      <c r="A8472" s="6" t="str">
        <f>"KCP"</f>
        <v>KCP</v>
      </c>
      <c r="B8472" s="6">
        <v>0.19480519480519401</v>
      </c>
      <c r="C8472" s="6">
        <v>0.38377817373574002</v>
      </c>
    </row>
    <row r="8473" spans="1:3" s="7" customFormat="1" x14ac:dyDescent="0.2">
      <c r="A8473" s="6" t="str">
        <f>"KPNA5"</f>
        <v>KPNA5</v>
      </c>
      <c r="B8473" s="6">
        <v>0.19480519480519401</v>
      </c>
      <c r="C8473" s="6">
        <v>0.38377817373574002</v>
      </c>
    </row>
    <row r="8474" spans="1:3" s="7" customFormat="1" x14ac:dyDescent="0.2">
      <c r="A8474" s="6" t="str">
        <f>"PAK3"</f>
        <v>PAK3</v>
      </c>
      <c r="B8474" s="6">
        <v>0.19480519480519401</v>
      </c>
      <c r="C8474" s="6">
        <v>0.38377817373574002</v>
      </c>
    </row>
    <row r="8475" spans="1:3" s="7" customFormat="1" x14ac:dyDescent="0.2">
      <c r="A8475" s="6" t="str">
        <f>"IL17RD"</f>
        <v>IL17RD</v>
      </c>
      <c r="B8475" s="6">
        <v>0.19480519480519401</v>
      </c>
      <c r="C8475" s="6">
        <v>0.38377817373574002</v>
      </c>
    </row>
    <row r="8476" spans="1:3" s="7" customFormat="1" x14ac:dyDescent="0.2">
      <c r="A8476" s="6" t="str">
        <f>"CEP85L"</f>
        <v>CEP85L</v>
      </c>
      <c r="B8476" s="6">
        <v>0.19480519480519401</v>
      </c>
      <c r="C8476" s="6">
        <v>0.38377817373574002</v>
      </c>
    </row>
    <row r="8477" spans="1:3" s="7" customFormat="1" x14ac:dyDescent="0.2">
      <c r="A8477" s="6" t="str">
        <f>"ZNF177"</f>
        <v>ZNF177</v>
      </c>
      <c r="B8477" s="6">
        <v>0.19480519480519401</v>
      </c>
      <c r="C8477" s="6">
        <v>0.38377817373574002</v>
      </c>
    </row>
    <row r="8478" spans="1:3" s="7" customFormat="1" x14ac:dyDescent="0.2">
      <c r="A8478" s="6" t="str">
        <f>"CTNNBIP1"</f>
        <v>CTNNBIP1</v>
      </c>
      <c r="B8478" s="6">
        <v>0.19480519480519401</v>
      </c>
      <c r="C8478" s="6">
        <v>0.38377817373574002</v>
      </c>
    </row>
    <row r="8479" spans="1:3" s="7" customFormat="1" x14ac:dyDescent="0.2">
      <c r="A8479" s="6" t="str">
        <f>"AC010547.3"</f>
        <v>AC010547.3</v>
      </c>
      <c r="B8479" s="6">
        <v>0.19480519480519401</v>
      </c>
      <c r="C8479" s="6">
        <v>0.38377817373574002</v>
      </c>
    </row>
    <row r="8480" spans="1:3" s="7" customFormat="1" x14ac:dyDescent="0.2">
      <c r="A8480" s="6" t="str">
        <f>"TRPM6"</f>
        <v>TRPM6</v>
      </c>
      <c r="B8480" s="6">
        <v>0.19480519480519401</v>
      </c>
      <c r="C8480" s="6">
        <v>0.38377817373574002</v>
      </c>
    </row>
    <row r="8481" spans="1:3" s="7" customFormat="1" x14ac:dyDescent="0.2">
      <c r="A8481" s="6" t="str">
        <f>"PSME1"</f>
        <v>PSME1</v>
      </c>
      <c r="B8481" s="6">
        <v>0.19480519480519401</v>
      </c>
      <c r="C8481" s="6">
        <v>0.38377817373574002</v>
      </c>
    </row>
    <row r="8482" spans="1:3" s="7" customFormat="1" x14ac:dyDescent="0.2">
      <c r="A8482" s="6" t="str">
        <f>"EIF2B2"</f>
        <v>EIF2B2</v>
      </c>
      <c r="B8482" s="6">
        <v>0.19480519480519401</v>
      </c>
      <c r="C8482" s="6">
        <v>0.38377817373574002</v>
      </c>
    </row>
    <row r="8483" spans="1:3" s="7" customFormat="1" x14ac:dyDescent="0.2">
      <c r="A8483" s="6" t="str">
        <f>"SIDT2"</f>
        <v>SIDT2</v>
      </c>
      <c r="B8483" s="6">
        <v>0.19480519480519401</v>
      </c>
      <c r="C8483" s="6">
        <v>0.38377817373574002</v>
      </c>
    </row>
    <row r="8484" spans="1:3" s="7" customFormat="1" x14ac:dyDescent="0.2">
      <c r="A8484" s="6" t="str">
        <f>"IMP3"</f>
        <v>IMP3</v>
      </c>
      <c r="B8484" s="6">
        <v>0.19480519480519401</v>
      </c>
      <c r="C8484" s="6">
        <v>0.38377817373574002</v>
      </c>
    </row>
    <row r="8485" spans="1:3" s="7" customFormat="1" x14ac:dyDescent="0.2">
      <c r="A8485" s="6" t="str">
        <f>"KRI1"</f>
        <v>KRI1</v>
      </c>
      <c r="B8485" s="6">
        <v>0.19480519480519401</v>
      </c>
      <c r="C8485" s="6">
        <v>0.38377817373574002</v>
      </c>
    </row>
    <row r="8486" spans="1:3" s="7" customFormat="1" x14ac:dyDescent="0.2">
      <c r="A8486" s="6" t="str">
        <f>"LINC01460"</f>
        <v>LINC01460</v>
      </c>
      <c r="B8486" s="6">
        <v>0.19500000000000001</v>
      </c>
      <c r="C8486" s="6">
        <v>0.38411667648791897</v>
      </c>
    </row>
    <row r="8487" spans="1:3" s="7" customFormat="1" x14ac:dyDescent="0.2">
      <c r="A8487" s="6" t="str">
        <f>"RNVU1-7"</f>
        <v>RNVU1-7</v>
      </c>
      <c r="B8487" s="6">
        <v>0.19519519519519499</v>
      </c>
      <c r="C8487" s="6">
        <v>0.38436527951136801</v>
      </c>
    </row>
    <row r="8488" spans="1:3" s="7" customFormat="1" x14ac:dyDescent="0.2">
      <c r="A8488" s="6" t="str">
        <f>"SNHG27"</f>
        <v>SNHG27</v>
      </c>
      <c r="B8488" s="6">
        <v>0.19519519519519499</v>
      </c>
      <c r="C8488" s="6">
        <v>0.38436527951136801</v>
      </c>
    </row>
    <row r="8489" spans="1:3" s="7" customFormat="1" x14ac:dyDescent="0.2">
      <c r="A8489" s="6" t="str">
        <f>"CENPUP2"</f>
        <v>CENPUP2</v>
      </c>
      <c r="B8489" s="6">
        <v>0.19519519519519499</v>
      </c>
      <c r="C8489" s="6">
        <v>0.38436527951136801</v>
      </c>
    </row>
    <row r="8490" spans="1:3" s="7" customFormat="1" x14ac:dyDescent="0.2">
      <c r="A8490" s="6" t="str">
        <f>"OR7E136P"</f>
        <v>OR7E136P</v>
      </c>
      <c r="B8490" s="6">
        <v>0.195296523517382</v>
      </c>
      <c r="C8490" s="6">
        <v>0.38451950689946102</v>
      </c>
    </row>
    <row r="8491" spans="1:3" s="7" customFormat="1" x14ac:dyDescent="0.2">
      <c r="A8491" s="6" t="str">
        <f>"MAP1LC3C"</f>
        <v>MAP1LC3C</v>
      </c>
      <c r="B8491" s="6">
        <v>0.19536757301107699</v>
      </c>
      <c r="C8491" s="6">
        <v>0.38461408896432803</v>
      </c>
    </row>
    <row r="8492" spans="1:3" s="7" customFormat="1" x14ac:dyDescent="0.2">
      <c r="A8492" s="6" t="str">
        <f>"DNAH17-AS1"</f>
        <v>DNAH17-AS1</v>
      </c>
      <c r="B8492" s="6">
        <v>0.195804195804195</v>
      </c>
      <c r="C8492" s="6">
        <v>0.38483905558223502</v>
      </c>
    </row>
    <row r="8493" spans="1:3" s="7" customFormat="1" x14ac:dyDescent="0.2">
      <c r="A8493" s="6" t="str">
        <f>"AC011558.1"</f>
        <v>AC011558.1</v>
      </c>
      <c r="B8493" s="6">
        <v>0.195564516129032</v>
      </c>
      <c r="C8493" s="6">
        <v>0.38483905558223502</v>
      </c>
    </row>
    <row r="8494" spans="1:3" s="7" customFormat="1" x14ac:dyDescent="0.2">
      <c r="A8494" s="6" t="str">
        <f>"SP8"</f>
        <v>SP8</v>
      </c>
      <c r="B8494" s="6">
        <v>0.195804195804195</v>
      </c>
      <c r="C8494" s="6">
        <v>0.38483905558223502</v>
      </c>
    </row>
    <row r="8495" spans="1:3" s="7" customFormat="1" x14ac:dyDescent="0.2">
      <c r="A8495" s="6" t="str">
        <f>"LINC01934"</f>
        <v>LINC01934</v>
      </c>
      <c r="B8495" s="6">
        <v>0.195804195804195</v>
      </c>
      <c r="C8495" s="6">
        <v>0.38483905558223502</v>
      </c>
    </row>
    <row r="8496" spans="1:3" s="7" customFormat="1" x14ac:dyDescent="0.2">
      <c r="A8496" s="6" t="str">
        <f>"JPH2"</f>
        <v>JPH2</v>
      </c>
      <c r="B8496" s="6">
        <v>0.195804195804195</v>
      </c>
      <c r="C8496" s="6">
        <v>0.38483905558223502</v>
      </c>
    </row>
    <row r="8497" spans="1:3" s="7" customFormat="1" x14ac:dyDescent="0.2">
      <c r="A8497" s="6" t="str">
        <f>"PLAAT5"</f>
        <v>PLAAT5</v>
      </c>
      <c r="B8497" s="6">
        <v>0.195804195804195</v>
      </c>
      <c r="C8497" s="6">
        <v>0.38483905558223502</v>
      </c>
    </row>
    <row r="8498" spans="1:3" s="7" customFormat="1" x14ac:dyDescent="0.2">
      <c r="A8498" s="6" t="str">
        <f>"PCDHB1"</f>
        <v>PCDHB1</v>
      </c>
      <c r="B8498" s="6">
        <v>0.195804195804195</v>
      </c>
      <c r="C8498" s="6">
        <v>0.38483905558223502</v>
      </c>
    </row>
    <row r="8499" spans="1:3" s="7" customFormat="1" x14ac:dyDescent="0.2">
      <c r="A8499" s="6" t="str">
        <f>"PIGW"</f>
        <v>PIGW</v>
      </c>
      <c r="B8499" s="6">
        <v>0.195804195804195</v>
      </c>
      <c r="C8499" s="6">
        <v>0.38483905558223502</v>
      </c>
    </row>
    <row r="8500" spans="1:3" s="7" customFormat="1" x14ac:dyDescent="0.2">
      <c r="A8500" s="6" t="str">
        <f>"NCAPD3"</f>
        <v>NCAPD3</v>
      </c>
      <c r="B8500" s="6">
        <v>0.195804195804195</v>
      </c>
      <c r="C8500" s="6">
        <v>0.38483905558223502</v>
      </c>
    </row>
    <row r="8501" spans="1:3" s="7" customFormat="1" x14ac:dyDescent="0.2">
      <c r="A8501" s="6" t="str">
        <f>"CDCA7L"</f>
        <v>CDCA7L</v>
      </c>
      <c r="B8501" s="6">
        <v>0.195804195804195</v>
      </c>
      <c r="C8501" s="6">
        <v>0.38483905558223502</v>
      </c>
    </row>
    <row r="8502" spans="1:3" s="7" customFormat="1" x14ac:dyDescent="0.2">
      <c r="A8502" s="6" t="str">
        <f>"TTC30A"</f>
        <v>TTC30A</v>
      </c>
      <c r="B8502" s="6">
        <v>0.195804195804195</v>
      </c>
      <c r="C8502" s="6">
        <v>0.38483905558223502</v>
      </c>
    </row>
    <row r="8503" spans="1:3" s="7" customFormat="1" x14ac:dyDescent="0.2">
      <c r="A8503" s="6" t="str">
        <f>"BCAR3-AS1"</f>
        <v>BCAR3-AS1</v>
      </c>
      <c r="B8503" s="6">
        <v>0.195804195804195</v>
      </c>
      <c r="C8503" s="6">
        <v>0.38483905558223502</v>
      </c>
    </row>
    <row r="8504" spans="1:3" s="7" customFormat="1" x14ac:dyDescent="0.2">
      <c r="A8504" s="6" t="str">
        <f>"MORN2"</f>
        <v>MORN2</v>
      </c>
      <c r="B8504" s="6">
        <v>0.195804195804195</v>
      </c>
      <c r="C8504" s="6">
        <v>0.38483905558223502</v>
      </c>
    </row>
    <row r="8505" spans="1:3" s="7" customFormat="1" x14ac:dyDescent="0.2">
      <c r="A8505" s="6" t="str">
        <f>"FMO6P"</f>
        <v>FMO6P</v>
      </c>
      <c r="B8505" s="6">
        <v>0.195804195804195</v>
      </c>
      <c r="C8505" s="6">
        <v>0.38483905558223502</v>
      </c>
    </row>
    <row r="8506" spans="1:3" s="7" customFormat="1" x14ac:dyDescent="0.2">
      <c r="A8506" s="6" t="str">
        <f>"AL592494.2"</f>
        <v>AL592494.2</v>
      </c>
      <c r="B8506" s="6">
        <v>0.19597989949748701</v>
      </c>
      <c r="C8506" s="6">
        <v>0.38513909937695501</v>
      </c>
    </row>
    <row r="8507" spans="1:3" s="7" customFormat="1" x14ac:dyDescent="0.2">
      <c r="A8507" s="6" t="str">
        <f>"GBP7"</f>
        <v>GBP7</v>
      </c>
      <c r="B8507" s="6">
        <v>0.19619619619619599</v>
      </c>
      <c r="C8507" s="6">
        <v>0.38551883649461799</v>
      </c>
    </row>
    <row r="8508" spans="1:3" s="7" customFormat="1" x14ac:dyDescent="0.2">
      <c r="A8508" s="6" t="str">
        <f>"FCGR2C"</f>
        <v>FCGR2C</v>
      </c>
      <c r="B8508" s="6">
        <v>0.196803196803196</v>
      </c>
      <c r="C8508" s="6">
        <v>0.38612144986132502</v>
      </c>
    </row>
    <row r="8509" spans="1:3" s="7" customFormat="1" x14ac:dyDescent="0.2">
      <c r="A8509" s="6" t="str">
        <f>"TRA2A"</f>
        <v>TRA2A</v>
      </c>
      <c r="B8509" s="6">
        <v>0.196803196803196</v>
      </c>
      <c r="C8509" s="6">
        <v>0.38612144986132502</v>
      </c>
    </row>
    <row r="8510" spans="1:3" s="7" customFormat="1" x14ac:dyDescent="0.2">
      <c r="A8510" s="6" t="str">
        <f>"AL359764.2"</f>
        <v>AL359764.2</v>
      </c>
      <c r="B8510" s="6">
        <v>0.196803196803196</v>
      </c>
      <c r="C8510" s="6">
        <v>0.38612144986132502</v>
      </c>
    </row>
    <row r="8511" spans="1:3" s="7" customFormat="1" x14ac:dyDescent="0.2">
      <c r="A8511" s="6" t="str">
        <f>"ABCB7"</f>
        <v>ABCB7</v>
      </c>
      <c r="B8511" s="6">
        <v>0.196803196803196</v>
      </c>
      <c r="C8511" s="6">
        <v>0.38612144986132502</v>
      </c>
    </row>
    <row r="8512" spans="1:3" s="7" customFormat="1" x14ac:dyDescent="0.2">
      <c r="A8512" s="6" t="str">
        <f>"POLR2J4"</f>
        <v>POLR2J4</v>
      </c>
      <c r="B8512" s="6">
        <v>0.196803196803196</v>
      </c>
      <c r="C8512" s="6">
        <v>0.38612144986132502</v>
      </c>
    </row>
    <row r="8513" spans="1:3" s="7" customFormat="1" x14ac:dyDescent="0.2">
      <c r="A8513" s="6" t="str">
        <f>"RRH"</f>
        <v>RRH</v>
      </c>
      <c r="B8513" s="6">
        <v>0.196803196803196</v>
      </c>
      <c r="C8513" s="6">
        <v>0.38612144986132502</v>
      </c>
    </row>
    <row r="8514" spans="1:3" s="7" customFormat="1" x14ac:dyDescent="0.2">
      <c r="A8514" s="6" t="str">
        <f>"TANC1"</f>
        <v>TANC1</v>
      </c>
      <c r="B8514" s="6">
        <v>0.196803196803196</v>
      </c>
      <c r="C8514" s="6">
        <v>0.38612144986132502</v>
      </c>
    </row>
    <row r="8515" spans="1:3" s="7" customFormat="1" x14ac:dyDescent="0.2">
      <c r="A8515" s="6" t="str">
        <f>"COQ8B"</f>
        <v>COQ8B</v>
      </c>
      <c r="B8515" s="6">
        <v>0.196803196803196</v>
      </c>
      <c r="C8515" s="6">
        <v>0.38612144986132502</v>
      </c>
    </row>
    <row r="8516" spans="1:3" s="7" customFormat="1" x14ac:dyDescent="0.2">
      <c r="A8516" s="6" t="str">
        <f>"TPM1"</f>
        <v>TPM1</v>
      </c>
      <c r="B8516" s="6">
        <v>0.196803196803196</v>
      </c>
      <c r="C8516" s="6">
        <v>0.38612144986132502</v>
      </c>
    </row>
    <row r="8517" spans="1:3" s="7" customFormat="1" x14ac:dyDescent="0.2">
      <c r="A8517" s="6" t="str">
        <f>"URAHP"</f>
        <v>URAHP</v>
      </c>
      <c r="B8517" s="6">
        <v>0.196803196803196</v>
      </c>
      <c r="C8517" s="6">
        <v>0.38612144986132502</v>
      </c>
    </row>
    <row r="8518" spans="1:3" s="7" customFormat="1" x14ac:dyDescent="0.2">
      <c r="A8518" s="6" t="str">
        <f>"LINC02363"</f>
        <v>LINC02363</v>
      </c>
      <c r="B8518" s="6">
        <v>0.196803196803196</v>
      </c>
      <c r="C8518" s="6">
        <v>0.38612144986132502</v>
      </c>
    </row>
    <row r="8519" spans="1:3" s="7" customFormat="1" x14ac:dyDescent="0.2">
      <c r="A8519" s="6" t="str">
        <f>"PPIL6"</f>
        <v>PPIL6</v>
      </c>
      <c r="B8519" s="6">
        <v>0.196803196803196</v>
      </c>
      <c r="C8519" s="6">
        <v>0.38612144986132502</v>
      </c>
    </row>
    <row r="8520" spans="1:3" s="7" customFormat="1" x14ac:dyDescent="0.2">
      <c r="A8520" s="6" t="str">
        <f>"HUNK"</f>
        <v>HUNK</v>
      </c>
      <c r="B8520" s="6">
        <v>0.196803196803196</v>
      </c>
      <c r="C8520" s="6">
        <v>0.38612144986132502</v>
      </c>
    </row>
    <row r="8521" spans="1:3" s="7" customFormat="1" x14ac:dyDescent="0.2">
      <c r="A8521" s="6" t="str">
        <f>"Z93930.3"</f>
        <v>Z93930.3</v>
      </c>
      <c r="B8521" s="6">
        <v>0.197197197197197</v>
      </c>
      <c r="C8521" s="6">
        <v>0.38680365613824103</v>
      </c>
    </row>
    <row r="8522" spans="1:3" s="7" customFormat="1" x14ac:dyDescent="0.2">
      <c r="A8522" s="6" t="str">
        <f>"ELOCP33"</f>
        <v>ELOCP33</v>
      </c>
      <c r="B8522" s="6">
        <v>0.197197197197197</v>
      </c>
      <c r="C8522" s="6">
        <v>0.38680365613824103</v>
      </c>
    </row>
    <row r="8523" spans="1:3" s="7" customFormat="1" x14ac:dyDescent="0.2">
      <c r="A8523" s="6" t="str">
        <f>"OR7E102P"</f>
        <v>OR7E102P</v>
      </c>
      <c r="B8523" s="6">
        <v>0.19731404958677601</v>
      </c>
      <c r="C8523" s="6">
        <v>0.386987447171249</v>
      </c>
    </row>
    <row r="8524" spans="1:3" s="7" customFormat="1" x14ac:dyDescent="0.2">
      <c r="A8524" s="6" t="str">
        <f>"FPGT"</f>
        <v>FPGT</v>
      </c>
      <c r="B8524" s="6">
        <v>0.19780219780219699</v>
      </c>
      <c r="C8524" s="6">
        <v>0.38708183281418201</v>
      </c>
    </row>
    <row r="8525" spans="1:3" s="7" customFormat="1" x14ac:dyDescent="0.2">
      <c r="A8525" s="6" t="str">
        <f>"ZNF813"</f>
        <v>ZNF813</v>
      </c>
      <c r="B8525" s="6">
        <v>0.19780219780219699</v>
      </c>
      <c r="C8525" s="6">
        <v>0.38708183281418201</v>
      </c>
    </row>
    <row r="8526" spans="1:3" s="7" customFormat="1" x14ac:dyDescent="0.2">
      <c r="A8526" s="6" t="str">
        <f>"IGLV2-23"</f>
        <v>IGLV2-23</v>
      </c>
      <c r="B8526" s="6">
        <v>0.19780219780219699</v>
      </c>
      <c r="C8526" s="6">
        <v>0.38708183281418201</v>
      </c>
    </row>
    <row r="8527" spans="1:3" s="7" customFormat="1" x14ac:dyDescent="0.2">
      <c r="A8527" s="6" t="str">
        <f>"LINC02728"</f>
        <v>LINC02728</v>
      </c>
      <c r="B8527" s="6">
        <v>0.19780219780219699</v>
      </c>
      <c r="C8527" s="6">
        <v>0.38708183281418201</v>
      </c>
    </row>
    <row r="8528" spans="1:3" s="7" customFormat="1" x14ac:dyDescent="0.2">
      <c r="A8528" s="6" t="str">
        <f>"ZNF646"</f>
        <v>ZNF646</v>
      </c>
      <c r="B8528" s="6">
        <v>0.19780219780219699</v>
      </c>
      <c r="C8528" s="6">
        <v>0.38708183281418201</v>
      </c>
    </row>
    <row r="8529" spans="1:3" s="7" customFormat="1" x14ac:dyDescent="0.2">
      <c r="A8529" s="6" t="str">
        <f>"LSM12"</f>
        <v>LSM12</v>
      </c>
      <c r="B8529" s="6">
        <v>0.19780219780219699</v>
      </c>
      <c r="C8529" s="6">
        <v>0.38708183281418201</v>
      </c>
    </row>
    <row r="8530" spans="1:3" s="7" customFormat="1" x14ac:dyDescent="0.2">
      <c r="A8530" s="6" t="str">
        <f>"HERC2P7"</f>
        <v>HERC2P7</v>
      </c>
      <c r="B8530" s="6">
        <v>0.19780219780219699</v>
      </c>
      <c r="C8530" s="6">
        <v>0.38708183281418201</v>
      </c>
    </row>
    <row r="8531" spans="1:3" s="7" customFormat="1" x14ac:dyDescent="0.2">
      <c r="A8531" s="6" t="str">
        <f>"NIPAL1"</f>
        <v>NIPAL1</v>
      </c>
      <c r="B8531" s="6">
        <v>0.19780219780219699</v>
      </c>
      <c r="C8531" s="6">
        <v>0.38708183281418201</v>
      </c>
    </row>
    <row r="8532" spans="1:3" s="7" customFormat="1" x14ac:dyDescent="0.2">
      <c r="A8532" s="6" t="str">
        <f>"AC121757.2"</f>
        <v>AC121757.2</v>
      </c>
      <c r="B8532" s="6">
        <v>0.19780219780219699</v>
      </c>
      <c r="C8532" s="6">
        <v>0.38708183281418201</v>
      </c>
    </row>
    <row r="8533" spans="1:3" s="7" customFormat="1" x14ac:dyDescent="0.2">
      <c r="A8533" s="6" t="str">
        <f>"STAT1"</f>
        <v>STAT1</v>
      </c>
      <c r="B8533" s="6">
        <v>0.19780219780219699</v>
      </c>
      <c r="C8533" s="6">
        <v>0.38708183281418201</v>
      </c>
    </row>
    <row r="8534" spans="1:3" s="7" customFormat="1" x14ac:dyDescent="0.2">
      <c r="A8534" s="6" t="str">
        <f>"AC016582.3"</f>
        <v>AC016582.3</v>
      </c>
      <c r="B8534" s="6">
        <v>0.19780219780219699</v>
      </c>
      <c r="C8534" s="6">
        <v>0.38708183281418201</v>
      </c>
    </row>
    <row r="8535" spans="1:3" s="7" customFormat="1" x14ac:dyDescent="0.2">
      <c r="A8535" s="6" t="str">
        <f>"GAREM2"</f>
        <v>GAREM2</v>
      </c>
      <c r="B8535" s="6">
        <v>0.19780219780219699</v>
      </c>
      <c r="C8535" s="6">
        <v>0.38708183281418201</v>
      </c>
    </row>
    <row r="8536" spans="1:3" s="7" customFormat="1" x14ac:dyDescent="0.2">
      <c r="A8536" s="6" t="str">
        <f>"FAM238C"</f>
        <v>FAM238C</v>
      </c>
      <c r="B8536" s="6">
        <v>0.19780219780219699</v>
      </c>
      <c r="C8536" s="6">
        <v>0.38708183281418201</v>
      </c>
    </row>
    <row r="8537" spans="1:3" s="7" customFormat="1" x14ac:dyDescent="0.2">
      <c r="A8537" s="6" t="str">
        <f>"ITGA10"</f>
        <v>ITGA10</v>
      </c>
      <c r="B8537" s="6">
        <v>0.19780219780219699</v>
      </c>
      <c r="C8537" s="6">
        <v>0.38708183281418201</v>
      </c>
    </row>
    <row r="8538" spans="1:3" s="7" customFormat="1" x14ac:dyDescent="0.2">
      <c r="A8538" s="6" t="str">
        <f>"VAC14"</f>
        <v>VAC14</v>
      </c>
      <c r="B8538" s="6">
        <v>0.19780219780219699</v>
      </c>
      <c r="C8538" s="6">
        <v>0.38708183281418201</v>
      </c>
    </row>
    <row r="8539" spans="1:3" s="7" customFormat="1" x14ac:dyDescent="0.2">
      <c r="A8539" s="6" t="str">
        <f>"TBPL1"</f>
        <v>TBPL1</v>
      </c>
      <c r="B8539" s="6">
        <v>0.19780219780219699</v>
      </c>
      <c r="C8539" s="6">
        <v>0.38708183281418201</v>
      </c>
    </row>
    <row r="8540" spans="1:3" s="7" customFormat="1" x14ac:dyDescent="0.2">
      <c r="A8540" s="6" t="str">
        <f>"AC008105.2"</f>
        <v>AC008105.2</v>
      </c>
      <c r="B8540" s="6">
        <v>0.19780219780219699</v>
      </c>
      <c r="C8540" s="6">
        <v>0.38708183281418201</v>
      </c>
    </row>
    <row r="8541" spans="1:3" s="7" customFormat="1" x14ac:dyDescent="0.2">
      <c r="A8541" s="6" t="str">
        <f>"FILIP1L"</f>
        <v>FILIP1L</v>
      </c>
      <c r="B8541" s="6">
        <v>0.19780219780219699</v>
      </c>
      <c r="C8541" s="6">
        <v>0.38708183281418201</v>
      </c>
    </row>
    <row r="8542" spans="1:3" s="7" customFormat="1" x14ac:dyDescent="0.2">
      <c r="A8542" s="6" t="str">
        <f>"MINDY4"</f>
        <v>MINDY4</v>
      </c>
      <c r="B8542" s="6">
        <v>0.19780219780219699</v>
      </c>
      <c r="C8542" s="6">
        <v>0.38708183281418201</v>
      </c>
    </row>
    <row r="8543" spans="1:3" s="7" customFormat="1" x14ac:dyDescent="0.2">
      <c r="A8543" s="6" t="str">
        <f>"AC018755.5"</f>
        <v>AC018755.5</v>
      </c>
      <c r="B8543" s="6">
        <v>0.19800000000000001</v>
      </c>
      <c r="C8543" s="6">
        <v>0.38737820437785297</v>
      </c>
    </row>
    <row r="8544" spans="1:3" s="7" customFormat="1" x14ac:dyDescent="0.2">
      <c r="A8544" s="6" t="str">
        <f>"SUN1"</f>
        <v>SUN1</v>
      </c>
      <c r="B8544" s="6">
        <v>0.19800000000000001</v>
      </c>
      <c r="C8544" s="6">
        <v>0.38737820437785297</v>
      </c>
    </row>
    <row r="8545" spans="1:3" s="7" customFormat="1" x14ac:dyDescent="0.2">
      <c r="A8545" s="6" t="str">
        <f>"AC073508.3"</f>
        <v>AC073508.3</v>
      </c>
      <c r="B8545" s="6">
        <v>0.19880119880119801</v>
      </c>
      <c r="C8545" s="6">
        <v>0.388263991208604</v>
      </c>
    </row>
    <row r="8546" spans="1:3" s="7" customFormat="1" x14ac:dyDescent="0.2">
      <c r="A8546" s="6" t="str">
        <f>"PI4KB"</f>
        <v>PI4KB</v>
      </c>
      <c r="B8546" s="6">
        <v>0.19880119880119801</v>
      </c>
      <c r="C8546" s="6">
        <v>0.388263991208604</v>
      </c>
    </row>
    <row r="8547" spans="1:3" s="7" customFormat="1" x14ac:dyDescent="0.2">
      <c r="A8547" s="6" t="str">
        <f>"MPHOSPH6"</f>
        <v>MPHOSPH6</v>
      </c>
      <c r="B8547" s="6">
        <v>0.19880119880119801</v>
      </c>
      <c r="C8547" s="6">
        <v>0.388263991208604</v>
      </c>
    </row>
    <row r="8548" spans="1:3" s="7" customFormat="1" x14ac:dyDescent="0.2">
      <c r="A8548" s="6" t="str">
        <f>"PLAAT2"</f>
        <v>PLAAT2</v>
      </c>
      <c r="B8548" s="6">
        <v>0.19880119880119801</v>
      </c>
      <c r="C8548" s="6">
        <v>0.388263991208604</v>
      </c>
    </row>
    <row r="8549" spans="1:3" s="7" customFormat="1" x14ac:dyDescent="0.2">
      <c r="A8549" s="6" t="str">
        <f>"ACBD6"</f>
        <v>ACBD6</v>
      </c>
      <c r="B8549" s="6">
        <v>0.19880119880119801</v>
      </c>
      <c r="C8549" s="6">
        <v>0.388263991208604</v>
      </c>
    </row>
    <row r="8550" spans="1:3" s="7" customFormat="1" x14ac:dyDescent="0.2">
      <c r="A8550" s="6" t="str">
        <f>"SLC12A8"</f>
        <v>SLC12A8</v>
      </c>
      <c r="B8550" s="6">
        <v>0.19880119880119801</v>
      </c>
      <c r="C8550" s="6">
        <v>0.388263991208604</v>
      </c>
    </row>
    <row r="8551" spans="1:3" s="7" customFormat="1" x14ac:dyDescent="0.2">
      <c r="A8551" s="6" t="str">
        <f>"COX6C"</f>
        <v>COX6C</v>
      </c>
      <c r="B8551" s="6">
        <v>0.19880119880119801</v>
      </c>
      <c r="C8551" s="6">
        <v>0.388263991208604</v>
      </c>
    </row>
    <row r="8552" spans="1:3" s="7" customFormat="1" x14ac:dyDescent="0.2">
      <c r="A8552" s="6" t="str">
        <f>"ZNF713"</f>
        <v>ZNF713</v>
      </c>
      <c r="B8552" s="6">
        <v>0.19880119880119801</v>
      </c>
      <c r="C8552" s="6">
        <v>0.388263991208604</v>
      </c>
    </row>
    <row r="8553" spans="1:3" s="7" customFormat="1" x14ac:dyDescent="0.2">
      <c r="A8553" s="6" t="str">
        <f>"MGST3"</f>
        <v>MGST3</v>
      </c>
      <c r="B8553" s="6">
        <v>0.19880119880119801</v>
      </c>
      <c r="C8553" s="6">
        <v>0.388263991208604</v>
      </c>
    </row>
    <row r="8554" spans="1:3" s="7" customFormat="1" x14ac:dyDescent="0.2">
      <c r="A8554" s="6" t="str">
        <f>"USP27X"</f>
        <v>USP27X</v>
      </c>
      <c r="B8554" s="6">
        <v>0.19880119880119801</v>
      </c>
      <c r="C8554" s="6">
        <v>0.388263991208604</v>
      </c>
    </row>
    <row r="8555" spans="1:3" s="7" customFormat="1" x14ac:dyDescent="0.2">
      <c r="A8555" s="6" t="str">
        <f>"AC016590.3"</f>
        <v>AC016590.3</v>
      </c>
      <c r="B8555" s="6">
        <v>0.19880119880119801</v>
      </c>
      <c r="C8555" s="6">
        <v>0.388263991208604</v>
      </c>
    </row>
    <row r="8556" spans="1:3" s="7" customFormat="1" x14ac:dyDescent="0.2">
      <c r="A8556" s="6" t="str">
        <f>"SFXN3"</f>
        <v>SFXN3</v>
      </c>
      <c r="B8556" s="6">
        <v>0.19880119880119801</v>
      </c>
      <c r="C8556" s="6">
        <v>0.388263991208604</v>
      </c>
    </row>
    <row r="8557" spans="1:3" s="7" customFormat="1" x14ac:dyDescent="0.2">
      <c r="A8557" s="6" t="str">
        <f>"RPL37A"</f>
        <v>RPL37A</v>
      </c>
      <c r="B8557" s="6">
        <v>0.19880119880119801</v>
      </c>
      <c r="C8557" s="6">
        <v>0.388263991208604</v>
      </c>
    </row>
    <row r="8558" spans="1:3" s="7" customFormat="1" x14ac:dyDescent="0.2">
      <c r="A8558" s="6" t="str">
        <f>"DYNC2I1"</f>
        <v>DYNC2I1</v>
      </c>
      <c r="B8558" s="6">
        <v>0.19880119880119801</v>
      </c>
      <c r="C8558" s="6">
        <v>0.388263991208604</v>
      </c>
    </row>
    <row r="8559" spans="1:3" s="7" customFormat="1" x14ac:dyDescent="0.2">
      <c r="A8559" s="6" t="str">
        <f>"KDM3B"</f>
        <v>KDM3B</v>
      </c>
      <c r="B8559" s="6">
        <v>0.19880119880119801</v>
      </c>
      <c r="C8559" s="6">
        <v>0.388263991208604</v>
      </c>
    </row>
    <row r="8560" spans="1:3" s="7" customFormat="1" x14ac:dyDescent="0.2">
      <c r="A8560" s="6" t="str">
        <f>"PPIL1"</f>
        <v>PPIL1</v>
      </c>
      <c r="B8560" s="6">
        <v>0.19900000000000001</v>
      </c>
      <c r="C8560" s="6">
        <v>0.38856144859813002</v>
      </c>
    </row>
    <row r="8561" spans="1:3" s="7" customFormat="1" x14ac:dyDescent="0.2">
      <c r="A8561" s="6" t="str">
        <f>"AC138305.1"</f>
        <v>AC138305.1</v>
      </c>
      <c r="B8561" s="6">
        <v>0.19898989898989899</v>
      </c>
      <c r="C8561" s="6">
        <v>0.38856144859813002</v>
      </c>
    </row>
    <row r="8562" spans="1:3" s="7" customFormat="1" x14ac:dyDescent="0.2">
      <c r="A8562" s="6" t="str">
        <f>"AL359183.1"</f>
        <v>AL359183.1</v>
      </c>
      <c r="B8562" s="6">
        <v>0.199598796389167</v>
      </c>
      <c r="C8562" s="6">
        <v>0.38968511655747501</v>
      </c>
    </row>
    <row r="8563" spans="1:3" s="7" customFormat="1" x14ac:dyDescent="0.2">
      <c r="A8563" s="6" t="str">
        <f>"UNKL"</f>
        <v>UNKL</v>
      </c>
      <c r="B8563" s="6">
        <v>0.199800199800199</v>
      </c>
      <c r="C8563" s="6">
        <v>0.38980512892033797</v>
      </c>
    </row>
    <row r="8564" spans="1:3" s="7" customFormat="1" x14ac:dyDescent="0.2">
      <c r="A8564" s="6" t="str">
        <f>"IBA57"</f>
        <v>IBA57</v>
      </c>
      <c r="B8564" s="6">
        <v>0.199800199800199</v>
      </c>
      <c r="C8564" s="6">
        <v>0.38980512892033797</v>
      </c>
    </row>
    <row r="8565" spans="1:3" s="7" customFormat="1" x14ac:dyDescent="0.2">
      <c r="A8565" s="6" t="str">
        <f>"SFRP1"</f>
        <v>SFRP1</v>
      </c>
      <c r="B8565" s="6">
        <v>0.199800199800199</v>
      </c>
      <c r="C8565" s="6">
        <v>0.38980512892033797</v>
      </c>
    </row>
    <row r="8566" spans="1:3" s="7" customFormat="1" x14ac:dyDescent="0.2">
      <c r="A8566" s="6" t="str">
        <f>"POLR2J3"</f>
        <v>POLR2J3</v>
      </c>
      <c r="B8566" s="6">
        <v>0.199800199800199</v>
      </c>
      <c r="C8566" s="6">
        <v>0.38980512892033797</v>
      </c>
    </row>
    <row r="8567" spans="1:3" s="7" customFormat="1" x14ac:dyDescent="0.2">
      <c r="A8567" s="6" t="str">
        <f>"LINC01249"</f>
        <v>LINC01249</v>
      </c>
      <c r="B8567" s="6">
        <v>0.199800199800199</v>
      </c>
      <c r="C8567" s="6">
        <v>0.38980512892033797</v>
      </c>
    </row>
    <row r="8568" spans="1:3" s="7" customFormat="1" x14ac:dyDescent="0.2">
      <c r="A8568" s="6" t="str">
        <f>"PCDHGB5"</f>
        <v>PCDHGB5</v>
      </c>
      <c r="B8568" s="6">
        <v>0.199800199800199</v>
      </c>
      <c r="C8568" s="6">
        <v>0.38980512892033797</v>
      </c>
    </row>
    <row r="8569" spans="1:3" s="7" customFormat="1" x14ac:dyDescent="0.2">
      <c r="A8569" s="6" t="str">
        <f>"GRM7"</f>
        <v>GRM7</v>
      </c>
      <c r="B8569" s="6">
        <v>0.2</v>
      </c>
      <c r="C8569" s="6">
        <v>0.39010386276111497</v>
      </c>
    </row>
    <row r="8570" spans="1:3" s="7" customFormat="1" x14ac:dyDescent="0.2">
      <c r="A8570" s="6" t="str">
        <f>"FAM227A"</f>
        <v>FAM227A</v>
      </c>
      <c r="B8570" s="6">
        <v>0.2</v>
      </c>
      <c r="C8570" s="6">
        <v>0.39010386276111497</v>
      </c>
    </row>
    <row r="8571" spans="1:3" s="7" customFormat="1" x14ac:dyDescent="0.2">
      <c r="A8571" s="6" t="str">
        <f>"H3C8"</f>
        <v>H3C8</v>
      </c>
      <c r="B8571" s="6">
        <v>0.20020020020019999</v>
      </c>
      <c r="C8571" s="6">
        <v>0.39044879184902498</v>
      </c>
    </row>
    <row r="8572" spans="1:3" s="7" customFormat="1" x14ac:dyDescent="0.2">
      <c r="A8572" s="6" t="str">
        <f>"LRRC70"</f>
        <v>LRRC70</v>
      </c>
      <c r="B8572" s="6">
        <v>0.20079920079919999</v>
      </c>
      <c r="C8572" s="6">
        <v>0.39053117286460198</v>
      </c>
    </row>
    <row r="8573" spans="1:3" s="7" customFormat="1" x14ac:dyDescent="0.2">
      <c r="A8573" s="6" t="str">
        <f>"LIFR-AS1"</f>
        <v>LIFR-AS1</v>
      </c>
      <c r="B8573" s="6">
        <v>0.20079920079919999</v>
      </c>
      <c r="C8573" s="6">
        <v>0.39053117286460198</v>
      </c>
    </row>
    <row r="8574" spans="1:3" s="7" customFormat="1" x14ac:dyDescent="0.2">
      <c r="A8574" s="6" t="str">
        <f>"SLCO4C1"</f>
        <v>SLCO4C1</v>
      </c>
      <c r="B8574" s="6">
        <v>0.20079920079919999</v>
      </c>
      <c r="C8574" s="6">
        <v>0.39053117286460198</v>
      </c>
    </row>
    <row r="8575" spans="1:3" s="7" customFormat="1" x14ac:dyDescent="0.2">
      <c r="A8575" s="6" t="str">
        <f>"TP53BP1"</f>
        <v>TP53BP1</v>
      </c>
      <c r="B8575" s="6">
        <v>0.20079920079919999</v>
      </c>
      <c r="C8575" s="6">
        <v>0.39053117286460198</v>
      </c>
    </row>
    <row r="8576" spans="1:3" s="7" customFormat="1" x14ac:dyDescent="0.2">
      <c r="A8576" s="6" t="str">
        <f>"AL136366.1"</f>
        <v>AL136366.1</v>
      </c>
      <c r="B8576" s="6">
        <v>0.20079920079919999</v>
      </c>
      <c r="C8576" s="6">
        <v>0.39053117286460198</v>
      </c>
    </row>
    <row r="8577" spans="1:3" s="7" customFormat="1" x14ac:dyDescent="0.2">
      <c r="A8577" s="6" t="str">
        <f>"GTF2IRD2P1"</f>
        <v>GTF2IRD2P1</v>
      </c>
      <c r="B8577" s="6">
        <v>0.20079920079919999</v>
      </c>
      <c r="C8577" s="6">
        <v>0.39053117286460198</v>
      </c>
    </row>
    <row r="8578" spans="1:3" s="7" customFormat="1" x14ac:dyDescent="0.2">
      <c r="A8578" s="6" t="str">
        <f>"TMEM176B"</f>
        <v>TMEM176B</v>
      </c>
      <c r="B8578" s="6">
        <v>0.20079920079919999</v>
      </c>
      <c r="C8578" s="6">
        <v>0.39053117286460198</v>
      </c>
    </row>
    <row r="8579" spans="1:3" s="7" customFormat="1" x14ac:dyDescent="0.2">
      <c r="A8579" s="6" t="str">
        <f>"RPTN"</f>
        <v>RPTN</v>
      </c>
      <c r="B8579" s="6">
        <v>0.20079920079919999</v>
      </c>
      <c r="C8579" s="6">
        <v>0.39053117286460198</v>
      </c>
    </row>
    <row r="8580" spans="1:3" s="7" customFormat="1" x14ac:dyDescent="0.2">
      <c r="A8580" s="6" t="str">
        <f>"ZNF454"</f>
        <v>ZNF454</v>
      </c>
      <c r="B8580" s="6">
        <v>0.20079920079919999</v>
      </c>
      <c r="C8580" s="6">
        <v>0.39053117286460198</v>
      </c>
    </row>
    <row r="8581" spans="1:3" s="7" customFormat="1" x14ac:dyDescent="0.2">
      <c r="A8581" s="6" t="str">
        <f>"TKFC"</f>
        <v>TKFC</v>
      </c>
      <c r="B8581" s="6">
        <v>0.20079920079919999</v>
      </c>
      <c r="C8581" s="6">
        <v>0.39053117286460198</v>
      </c>
    </row>
    <row r="8582" spans="1:3" s="7" customFormat="1" x14ac:dyDescent="0.2">
      <c r="A8582" s="6" t="str">
        <f>"PTPRO"</f>
        <v>PTPRO</v>
      </c>
      <c r="B8582" s="6">
        <v>0.20079920079919999</v>
      </c>
      <c r="C8582" s="6">
        <v>0.39053117286460198</v>
      </c>
    </row>
    <row r="8583" spans="1:3" s="7" customFormat="1" x14ac:dyDescent="0.2">
      <c r="A8583" s="6" t="str">
        <f>"AC007785.3"</f>
        <v>AC007785.3</v>
      </c>
      <c r="B8583" s="6">
        <v>0.20080321285140501</v>
      </c>
      <c r="C8583" s="6">
        <v>0.39053117286460198</v>
      </c>
    </row>
    <row r="8584" spans="1:3" s="7" customFormat="1" x14ac:dyDescent="0.2">
      <c r="A8584" s="6" t="str">
        <f>"PRIMPOL"</f>
        <v>PRIMPOL</v>
      </c>
      <c r="B8584" s="6">
        <v>0.20079920079919999</v>
      </c>
      <c r="C8584" s="6">
        <v>0.39053117286460198</v>
      </c>
    </row>
    <row r="8585" spans="1:3" s="7" customFormat="1" x14ac:dyDescent="0.2">
      <c r="A8585" s="6" t="str">
        <f>"STON2"</f>
        <v>STON2</v>
      </c>
      <c r="B8585" s="6">
        <v>0.20079920079919999</v>
      </c>
      <c r="C8585" s="6">
        <v>0.39053117286460198</v>
      </c>
    </row>
    <row r="8586" spans="1:3" s="7" customFormat="1" x14ac:dyDescent="0.2">
      <c r="A8586" s="6" t="str">
        <f>"TBK1"</f>
        <v>TBK1</v>
      </c>
      <c r="B8586" s="6">
        <v>0.20079920079919999</v>
      </c>
      <c r="C8586" s="6">
        <v>0.39053117286460198</v>
      </c>
    </row>
    <row r="8587" spans="1:3" s="7" customFormat="1" x14ac:dyDescent="0.2">
      <c r="A8587" s="6" t="str">
        <f>"AC211476.4"</f>
        <v>AC211476.4</v>
      </c>
      <c r="B8587" s="6">
        <v>0.20079920079919999</v>
      </c>
      <c r="C8587" s="6">
        <v>0.39053117286460198</v>
      </c>
    </row>
    <row r="8588" spans="1:3" s="7" customFormat="1" x14ac:dyDescent="0.2">
      <c r="A8588" s="6" t="str">
        <f>"RWDD4"</f>
        <v>RWDD4</v>
      </c>
      <c r="B8588" s="6">
        <v>0.20079920079919999</v>
      </c>
      <c r="C8588" s="6">
        <v>0.39053117286460198</v>
      </c>
    </row>
    <row r="8589" spans="1:3" s="7" customFormat="1" x14ac:dyDescent="0.2">
      <c r="A8589" s="6" t="str">
        <f>"SLC9A9"</f>
        <v>SLC9A9</v>
      </c>
      <c r="B8589" s="6">
        <v>0.20079920079919999</v>
      </c>
      <c r="C8589" s="6">
        <v>0.39053117286460198</v>
      </c>
    </row>
    <row r="8590" spans="1:3" s="7" customFormat="1" x14ac:dyDescent="0.2">
      <c r="A8590" s="6" t="str">
        <f>"NAE1"</f>
        <v>NAE1</v>
      </c>
      <c r="B8590" s="6">
        <v>0.20079920079919999</v>
      </c>
      <c r="C8590" s="6">
        <v>0.39053117286460198</v>
      </c>
    </row>
    <row r="8591" spans="1:3" s="7" customFormat="1" x14ac:dyDescent="0.2">
      <c r="A8591" s="6" t="str">
        <f>"BX664615.1"</f>
        <v>BX664615.1</v>
      </c>
      <c r="B8591" s="6">
        <v>0.20060483870967699</v>
      </c>
      <c r="C8591" s="6">
        <v>0.39053117286460198</v>
      </c>
    </row>
    <row r="8592" spans="1:3" s="7" customFormat="1" x14ac:dyDescent="0.2">
      <c r="A8592" s="6" t="str">
        <f>"TECPR1"</f>
        <v>TECPR1</v>
      </c>
      <c r="B8592" s="6">
        <v>0.20079920079919999</v>
      </c>
      <c r="C8592" s="6">
        <v>0.39053117286460198</v>
      </c>
    </row>
    <row r="8593" spans="1:3" s="7" customFormat="1" x14ac:dyDescent="0.2">
      <c r="A8593" s="6" t="str">
        <f>"ZNF451-AS1"</f>
        <v>ZNF451-AS1</v>
      </c>
      <c r="B8593" s="6">
        <v>0.20079920079919999</v>
      </c>
      <c r="C8593" s="6">
        <v>0.39053117286460198</v>
      </c>
    </row>
    <row r="8594" spans="1:3" s="7" customFormat="1" x14ac:dyDescent="0.2">
      <c r="A8594" s="6" t="str">
        <f>"RRAGC"</f>
        <v>RRAGC</v>
      </c>
      <c r="B8594" s="6">
        <v>0.20079920079919999</v>
      </c>
      <c r="C8594" s="6">
        <v>0.39053117286460198</v>
      </c>
    </row>
    <row r="8595" spans="1:3" s="7" customFormat="1" x14ac:dyDescent="0.2">
      <c r="A8595" s="6" t="str">
        <f>"PRSS12"</f>
        <v>PRSS12</v>
      </c>
      <c r="B8595" s="6">
        <v>0.20079920079919999</v>
      </c>
      <c r="C8595" s="6">
        <v>0.39053117286460198</v>
      </c>
    </row>
    <row r="8596" spans="1:3" s="7" customFormat="1" x14ac:dyDescent="0.2">
      <c r="A8596" s="6" t="str">
        <f>"AC024560.1"</f>
        <v>AC024560.1</v>
      </c>
      <c r="B8596" s="6">
        <v>0.20179820179820099</v>
      </c>
      <c r="C8596" s="6">
        <v>0.39150959313466499</v>
      </c>
    </row>
    <row r="8597" spans="1:3" s="7" customFormat="1" x14ac:dyDescent="0.2">
      <c r="A8597" s="6" t="str">
        <f>"HIPK2"</f>
        <v>HIPK2</v>
      </c>
      <c r="B8597" s="6">
        <v>0.20179820179820099</v>
      </c>
      <c r="C8597" s="6">
        <v>0.39150959313466499</v>
      </c>
    </row>
    <row r="8598" spans="1:3" s="7" customFormat="1" x14ac:dyDescent="0.2">
      <c r="A8598" s="6" t="str">
        <f>"JMY"</f>
        <v>JMY</v>
      </c>
      <c r="B8598" s="6">
        <v>0.20179820179820099</v>
      </c>
      <c r="C8598" s="6">
        <v>0.39150959313466499</v>
      </c>
    </row>
    <row r="8599" spans="1:3" s="7" customFormat="1" x14ac:dyDescent="0.2">
      <c r="A8599" s="6" t="str">
        <f>"AL035252.5"</f>
        <v>AL035252.5</v>
      </c>
      <c r="B8599" s="6">
        <v>0.20179820179820099</v>
      </c>
      <c r="C8599" s="6">
        <v>0.39150959313466499</v>
      </c>
    </row>
    <row r="8600" spans="1:3" s="7" customFormat="1" x14ac:dyDescent="0.2">
      <c r="A8600" s="6" t="str">
        <f>"SGMS1-AS1"</f>
        <v>SGMS1-AS1</v>
      </c>
      <c r="B8600" s="6">
        <v>0.20179820179820099</v>
      </c>
      <c r="C8600" s="6">
        <v>0.39150959313466499</v>
      </c>
    </row>
    <row r="8601" spans="1:3" s="7" customFormat="1" x14ac:dyDescent="0.2">
      <c r="A8601" s="6" t="str">
        <f>"MYBBP1A"</f>
        <v>MYBBP1A</v>
      </c>
      <c r="B8601" s="6">
        <v>0.20179820179820099</v>
      </c>
      <c r="C8601" s="6">
        <v>0.39150959313466499</v>
      </c>
    </row>
    <row r="8602" spans="1:3" s="7" customFormat="1" x14ac:dyDescent="0.2">
      <c r="A8602" s="6" t="str">
        <f>"SIGLEC12"</f>
        <v>SIGLEC12</v>
      </c>
      <c r="B8602" s="6">
        <v>0.20179820179820099</v>
      </c>
      <c r="C8602" s="6">
        <v>0.39150959313466499</v>
      </c>
    </row>
    <row r="8603" spans="1:3" s="7" customFormat="1" x14ac:dyDescent="0.2">
      <c r="A8603" s="6" t="str">
        <f>"PARP12"</f>
        <v>PARP12</v>
      </c>
      <c r="B8603" s="6">
        <v>0.20179820179820099</v>
      </c>
      <c r="C8603" s="6">
        <v>0.39150959313466499</v>
      </c>
    </row>
    <row r="8604" spans="1:3" s="7" customFormat="1" x14ac:dyDescent="0.2">
      <c r="A8604" s="6" t="str">
        <f>"ZNF157"</f>
        <v>ZNF157</v>
      </c>
      <c r="B8604" s="6">
        <v>0.20179820179820099</v>
      </c>
      <c r="C8604" s="6">
        <v>0.39150959313466499</v>
      </c>
    </row>
    <row r="8605" spans="1:3" s="7" customFormat="1" x14ac:dyDescent="0.2">
      <c r="A8605" s="6" t="str">
        <f>"KRAS"</f>
        <v>KRAS</v>
      </c>
      <c r="B8605" s="6">
        <v>0.20179820179820099</v>
      </c>
      <c r="C8605" s="6">
        <v>0.39150959313466499</v>
      </c>
    </row>
    <row r="8606" spans="1:3" s="7" customFormat="1" x14ac:dyDescent="0.2">
      <c r="A8606" s="6" t="str">
        <f>"AKR1C2"</f>
        <v>AKR1C2</v>
      </c>
      <c r="B8606" s="6">
        <v>0.20179820179820099</v>
      </c>
      <c r="C8606" s="6">
        <v>0.39150959313466499</v>
      </c>
    </row>
    <row r="8607" spans="1:3" s="7" customFormat="1" x14ac:dyDescent="0.2">
      <c r="A8607" s="6" t="str">
        <f>"WDR83"</f>
        <v>WDR83</v>
      </c>
      <c r="B8607" s="6">
        <v>0.20179820179820099</v>
      </c>
      <c r="C8607" s="6">
        <v>0.39150959313466499</v>
      </c>
    </row>
    <row r="8608" spans="1:3" s="7" customFormat="1" x14ac:dyDescent="0.2">
      <c r="A8608" s="6" t="str">
        <f>"TXLNG"</f>
        <v>TXLNG</v>
      </c>
      <c r="B8608" s="6">
        <v>0.20179820179820099</v>
      </c>
      <c r="C8608" s="6">
        <v>0.39150959313466499</v>
      </c>
    </row>
    <row r="8609" spans="1:3" s="7" customFormat="1" x14ac:dyDescent="0.2">
      <c r="A8609" s="6" t="str">
        <f>"HSPE1-MOB4"</f>
        <v>HSPE1-MOB4</v>
      </c>
      <c r="B8609" s="6">
        <v>0.20179820179820099</v>
      </c>
      <c r="C8609" s="6">
        <v>0.39150959313466499</v>
      </c>
    </row>
    <row r="8610" spans="1:3" s="7" customFormat="1" x14ac:dyDescent="0.2">
      <c r="A8610" s="6" t="str">
        <f>"COL4A6"</f>
        <v>COL4A6</v>
      </c>
      <c r="B8610" s="6">
        <v>0.20179820179820099</v>
      </c>
      <c r="C8610" s="6">
        <v>0.39150959313466499</v>
      </c>
    </row>
    <row r="8611" spans="1:3" s="7" customFormat="1" x14ac:dyDescent="0.2">
      <c r="A8611" s="6" t="str">
        <f>"AL035587.2"</f>
        <v>AL035587.2</v>
      </c>
      <c r="B8611" s="6">
        <v>0.20179820179820099</v>
      </c>
      <c r="C8611" s="6">
        <v>0.39150959313466499</v>
      </c>
    </row>
    <row r="8612" spans="1:3" s="7" customFormat="1" x14ac:dyDescent="0.2">
      <c r="A8612" s="6" t="str">
        <f>"CLEC2D"</f>
        <v>CLEC2D</v>
      </c>
      <c r="B8612" s="6">
        <v>0.20179820179820099</v>
      </c>
      <c r="C8612" s="6">
        <v>0.39150959313466499</v>
      </c>
    </row>
    <row r="8613" spans="1:3" s="7" customFormat="1" x14ac:dyDescent="0.2">
      <c r="A8613" s="6" t="str">
        <f>"ZNF8-ERVK3-1"</f>
        <v>ZNF8-ERVK3-1</v>
      </c>
      <c r="B8613" s="6">
        <v>0.20179820179820099</v>
      </c>
      <c r="C8613" s="6">
        <v>0.39150959313466499</v>
      </c>
    </row>
    <row r="8614" spans="1:3" s="7" customFormat="1" x14ac:dyDescent="0.2">
      <c r="A8614" s="6" t="str">
        <f>"FSCN3"</f>
        <v>FSCN3</v>
      </c>
      <c r="B8614" s="6">
        <v>0.20179820179820099</v>
      </c>
      <c r="C8614" s="6">
        <v>0.39150959313466499</v>
      </c>
    </row>
    <row r="8615" spans="1:3" s="7" customFormat="1" x14ac:dyDescent="0.2">
      <c r="A8615" s="6" t="str">
        <f>"PCDHGB6"</f>
        <v>PCDHGB6</v>
      </c>
      <c r="B8615" s="6">
        <v>0.20179820179820099</v>
      </c>
      <c r="C8615" s="6">
        <v>0.39150959313466499</v>
      </c>
    </row>
    <row r="8616" spans="1:3" s="7" customFormat="1" x14ac:dyDescent="0.2">
      <c r="A8616" s="6" t="str">
        <f>"FH"</f>
        <v>FH</v>
      </c>
      <c r="B8616" s="6">
        <v>0.20179820179820099</v>
      </c>
      <c r="C8616" s="6">
        <v>0.39150959313466499</v>
      </c>
    </row>
    <row r="8617" spans="1:3" s="7" customFormat="1" x14ac:dyDescent="0.2">
      <c r="A8617" s="6" t="str">
        <f>"AC001226.2"</f>
        <v>AC001226.2</v>
      </c>
      <c r="B8617" s="6">
        <v>0.20200000000000001</v>
      </c>
      <c r="C8617" s="6">
        <v>0.39185561745589598</v>
      </c>
    </row>
    <row r="8618" spans="1:3" s="7" customFormat="1" x14ac:dyDescent="0.2">
      <c r="A8618" s="6" t="str">
        <f>"MORF4L2-AS1"</f>
        <v>MORF4L2-AS1</v>
      </c>
      <c r="B8618" s="6">
        <v>0.202030456852791</v>
      </c>
      <c r="C8618" s="6">
        <v>0.39186921850267598</v>
      </c>
    </row>
    <row r="8619" spans="1:3" s="7" customFormat="1" x14ac:dyDescent="0.2">
      <c r="A8619" s="6" t="str">
        <f>"RBM3"</f>
        <v>RBM3</v>
      </c>
      <c r="B8619" s="6">
        <v>0.20279720279720201</v>
      </c>
      <c r="C8619" s="6">
        <v>0.39280941563940702</v>
      </c>
    </row>
    <row r="8620" spans="1:3" s="7" customFormat="1" x14ac:dyDescent="0.2">
      <c r="A8620" s="6" t="str">
        <f>"TKT"</f>
        <v>TKT</v>
      </c>
      <c r="B8620" s="6">
        <v>0.20279720279720201</v>
      </c>
      <c r="C8620" s="6">
        <v>0.39280941563940702</v>
      </c>
    </row>
    <row r="8621" spans="1:3" s="7" customFormat="1" x14ac:dyDescent="0.2">
      <c r="A8621" s="6" t="str">
        <f>"SPTY2D1"</f>
        <v>SPTY2D1</v>
      </c>
      <c r="B8621" s="6">
        <v>0.20279720279720201</v>
      </c>
      <c r="C8621" s="6">
        <v>0.39280941563940702</v>
      </c>
    </row>
    <row r="8622" spans="1:3" s="7" customFormat="1" x14ac:dyDescent="0.2">
      <c r="A8622" s="6" t="str">
        <f>"GPR160"</f>
        <v>GPR160</v>
      </c>
      <c r="B8622" s="6">
        <v>0.20279720279720201</v>
      </c>
      <c r="C8622" s="6">
        <v>0.39280941563940702</v>
      </c>
    </row>
    <row r="8623" spans="1:3" s="7" customFormat="1" x14ac:dyDescent="0.2">
      <c r="A8623" s="6" t="str">
        <f>"AL355987.4"</f>
        <v>AL355987.4</v>
      </c>
      <c r="B8623" s="6">
        <v>0.20279720279720201</v>
      </c>
      <c r="C8623" s="6">
        <v>0.39280941563940702</v>
      </c>
    </row>
    <row r="8624" spans="1:3" s="7" customFormat="1" x14ac:dyDescent="0.2">
      <c r="A8624" s="6" t="str">
        <f>"AJ003147.3"</f>
        <v>AJ003147.3</v>
      </c>
      <c r="B8624" s="6">
        <v>0.20279720279720201</v>
      </c>
      <c r="C8624" s="6">
        <v>0.39280941563940702</v>
      </c>
    </row>
    <row r="8625" spans="1:3" s="7" customFormat="1" x14ac:dyDescent="0.2">
      <c r="A8625" s="6" t="str">
        <f>"ZNF750"</f>
        <v>ZNF750</v>
      </c>
      <c r="B8625" s="6">
        <v>0.20279720279720201</v>
      </c>
      <c r="C8625" s="6">
        <v>0.39280941563940702</v>
      </c>
    </row>
    <row r="8626" spans="1:3" s="7" customFormat="1" x14ac:dyDescent="0.2">
      <c r="A8626" s="6" t="str">
        <f>"LINC00630"</f>
        <v>LINC00630</v>
      </c>
      <c r="B8626" s="6">
        <v>0.20279720279720201</v>
      </c>
      <c r="C8626" s="6">
        <v>0.39280941563940702</v>
      </c>
    </row>
    <row r="8627" spans="1:3" s="7" customFormat="1" x14ac:dyDescent="0.2">
      <c r="A8627" s="6" t="str">
        <f>"ARHGEF12"</f>
        <v>ARHGEF12</v>
      </c>
      <c r="B8627" s="6">
        <v>0.20279720279720201</v>
      </c>
      <c r="C8627" s="6">
        <v>0.39280941563940702</v>
      </c>
    </row>
    <row r="8628" spans="1:3" s="7" customFormat="1" x14ac:dyDescent="0.2">
      <c r="A8628" s="6" t="str">
        <f>"ZNF555"</f>
        <v>ZNF555</v>
      </c>
      <c r="B8628" s="6">
        <v>0.20279720279720201</v>
      </c>
      <c r="C8628" s="6">
        <v>0.39280941563940702</v>
      </c>
    </row>
    <row r="8629" spans="1:3" s="7" customFormat="1" x14ac:dyDescent="0.2">
      <c r="A8629" s="6" t="str">
        <f>"AC091132.3"</f>
        <v>AC091132.3</v>
      </c>
      <c r="B8629" s="6">
        <v>0.20279720279720201</v>
      </c>
      <c r="C8629" s="6">
        <v>0.39280941563940702</v>
      </c>
    </row>
    <row r="8630" spans="1:3" s="7" customFormat="1" x14ac:dyDescent="0.2">
      <c r="A8630" s="6" t="str">
        <f>"AL138787.1"</f>
        <v>AL138787.1</v>
      </c>
      <c r="B8630" s="6">
        <v>0.20279720279720201</v>
      </c>
      <c r="C8630" s="6">
        <v>0.39280941563940702</v>
      </c>
    </row>
    <row r="8631" spans="1:3" s="7" customFormat="1" x14ac:dyDescent="0.2">
      <c r="A8631" s="6" t="str">
        <f>"AL121749.1"</f>
        <v>AL121749.1</v>
      </c>
      <c r="B8631" s="6">
        <v>0.20300000000000001</v>
      </c>
      <c r="C8631" s="6">
        <v>0.393156662804171</v>
      </c>
    </row>
    <row r="8632" spans="1:3" s="7" customFormat="1" x14ac:dyDescent="0.2">
      <c r="A8632" s="6" t="str">
        <f>"AC079305.1"</f>
        <v>AC079305.1</v>
      </c>
      <c r="B8632" s="6">
        <v>0.20320320320320301</v>
      </c>
      <c r="C8632" s="6">
        <v>0.393459029001197</v>
      </c>
    </row>
    <row r="8633" spans="1:3" s="7" customFormat="1" x14ac:dyDescent="0.2">
      <c r="A8633" s="6" t="str">
        <f>"AC078795.1"</f>
        <v>AC078795.1</v>
      </c>
      <c r="B8633" s="6">
        <v>0.20320320320320301</v>
      </c>
      <c r="C8633" s="6">
        <v>0.393459029001197</v>
      </c>
    </row>
    <row r="8634" spans="1:3" s="7" customFormat="1" x14ac:dyDescent="0.2">
      <c r="A8634" s="6" t="str">
        <f>"LINGO1"</f>
        <v>LINGO1</v>
      </c>
      <c r="B8634" s="6">
        <v>0.203796203796203</v>
      </c>
      <c r="C8634" s="6">
        <v>0.393968280158425</v>
      </c>
    </row>
    <row r="8635" spans="1:3" s="7" customFormat="1" x14ac:dyDescent="0.2">
      <c r="A8635" s="6" t="str">
        <f>"DCLK1"</f>
        <v>DCLK1</v>
      </c>
      <c r="B8635" s="6">
        <v>0.203796203796203</v>
      </c>
      <c r="C8635" s="6">
        <v>0.393968280158425</v>
      </c>
    </row>
    <row r="8636" spans="1:3" s="7" customFormat="1" x14ac:dyDescent="0.2">
      <c r="A8636" s="6" t="str">
        <f>"NSD1"</f>
        <v>NSD1</v>
      </c>
      <c r="B8636" s="6">
        <v>0.203796203796203</v>
      </c>
      <c r="C8636" s="6">
        <v>0.393968280158425</v>
      </c>
    </row>
    <row r="8637" spans="1:3" s="7" customFormat="1" x14ac:dyDescent="0.2">
      <c r="A8637" s="6" t="str">
        <f>"PLXNA2"</f>
        <v>PLXNA2</v>
      </c>
      <c r="B8637" s="6">
        <v>0.203796203796203</v>
      </c>
      <c r="C8637" s="6">
        <v>0.393968280158425</v>
      </c>
    </row>
    <row r="8638" spans="1:3" s="7" customFormat="1" x14ac:dyDescent="0.2">
      <c r="A8638" s="6" t="str">
        <f>"PRB3"</f>
        <v>PRB3</v>
      </c>
      <c r="B8638" s="6">
        <v>0.203796203796203</v>
      </c>
      <c r="C8638" s="6">
        <v>0.393968280158425</v>
      </c>
    </row>
    <row r="8639" spans="1:3" s="7" customFormat="1" x14ac:dyDescent="0.2">
      <c r="A8639" s="6" t="str">
        <f>"CPED1"</f>
        <v>CPED1</v>
      </c>
      <c r="B8639" s="6">
        <v>0.203796203796203</v>
      </c>
      <c r="C8639" s="6">
        <v>0.393968280158425</v>
      </c>
    </row>
    <row r="8640" spans="1:3" s="7" customFormat="1" x14ac:dyDescent="0.2">
      <c r="A8640" s="6" t="str">
        <f>"NCK1"</f>
        <v>NCK1</v>
      </c>
      <c r="B8640" s="6">
        <v>0.203796203796203</v>
      </c>
      <c r="C8640" s="6">
        <v>0.393968280158425</v>
      </c>
    </row>
    <row r="8641" spans="1:3" s="7" customFormat="1" x14ac:dyDescent="0.2">
      <c r="A8641" s="6" t="str">
        <f>"H2BC16P"</f>
        <v>H2BC16P</v>
      </c>
      <c r="B8641" s="6">
        <v>0.203796203796203</v>
      </c>
      <c r="C8641" s="6">
        <v>0.393968280158425</v>
      </c>
    </row>
    <row r="8642" spans="1:3" s="7" customFormat="1" x14ac:dyDescent="0.2">
      <c r="A8642" s="6" t="str">
        <f>"OTOGL"</f>
        <v>OTOGL</v>
      </c>
      <c r="B8642" s="6">
        <v>0.203796203796203</v>
      </c>
      <c r="C8642" s="6">
        <v>0.393968280158425</v>
      </c>
    </row>
    <row r="8643" spans="1:3" s="7" customFormat="1" x14ac:dyDescent="0.2">
      <c r="A8643" s="6" t="str">
        <f>"COQ10A"</f>
        <v>COQ10A</v>
      </c>
      <c r="B8643" s="6">
        <v>0.203796203796203</v>
      </c>
      <c r="C8643" s="6">
        <v>0.393968280158425</v>
      </c>
    </row>
    <row r="8644" spans="1:3" s="7" customFormat="1" x14ac:dyDescent="0.2">
      <c r="A8644" s="6" t="str">
        <f>"SCARF2"</f>
        <v>SCARF2</v>
      </c>
      <c r="B8644" s="6">
        <v>0.203796203796203</v>
      </c>
      <c r="C8644" s="6">
        <v>0.393968280158425</v>
      </c>
    </row>
    <row r="8645" spans="1:3" s="7" customFormat="1" x14ac:dyDescent="0.2">
      <c r="A8645" s="6" t="str">
        <f>"ERICH6"</f>
        <v>ERICH6</v>
      </c>
      <c r="B8645" s="6">
        <v>0.203796203796203</v>
      </c>
      <c r="C8645" s="6">
        <v>0.393968280158425</v>
      </c>
    </row>
    <row r="8646" spans="1:3" s="7" customFormat="1" x14ac:dyDescent="0.2">
      <c r="A8646" s="6" t="str">
        <f>"PARK7"</f>
        <v>PARK7</v>
      </c>
      <c r="B8646" s="6">
        <v>0.203796203796203</v>
      </c>
      <c r="C8646" s="6">
        <v>0.393968280158425</v>
      </c>
    </row>
    <row r="8647" spans="1:3" s="7" customFormat="1" x14ac:dyDescent="0.2">
      <c r="A8647" s="6" t="str">
        <f>"MC5R"</f>
        <v>MC5R</v>
      </c>
      <c r="B8647" s="6">
        <v>0.203796203796203</v>
      </c>
      <c r="C8647" s="6">
        <v>0.393968280158425</v>
      </c>
    </row>
    <row r="8648" spans="1:3" s="7" customFormat="1" x14ac:dyDescent="0.2">
      <c r="A8648" s="6" t="str">
        <f>"STEAP3-AS1"</f>
        <v>STEAP3-AS1</v>
      </c>
      <c r="B8648" s="6">
        <v>0.20399999999999999</v>
      </c>
      <c r="C8648" s="6">
        <v>0.39427104532839902</v>
      </c>
    </row>
    <row r="8649" spans="1:3" s="7" customFormat="1" x14ac:dyDescent="0.2">
      <c r="A8649" s="6" t="str">
        <f>"SCCPDH"</f>
        <v>SCCPDH</v>
      </c>
      <c r="B8649" s="6">
        <v>0.20399999999999999</v>
      </c>
      <c r="C8649" s="6">
        <v>0.39427104532839902</v>
      </c>
    </row>
    <row r="8650" spans="1:3" s="7" customFormat="1" x14ac:dyDescent="0.2">
      <c r="A8650" s="6" t="str">
        <f>"TPD52L2"</f>
        <v>TPD52L2</v>
      </c>
      <c r="B8650" s="6">
        <v>0.20479520479520399</v>
      </c>
      <c r="C8650" s="6">
        <v>0.394940239176999</v>
      </c>
    </row>
    <row r="8651" spans="1:3" s="7" customFormat="1" x14ac:dyDescent="0.2">
      <c r="A8651" s="6" t="str">
        <f>"SYNGR3"</f>
        <v>SYNGR3</v>
      </c>
      <c r="B8651" s="6">
        <v>0.20479520479520399</v>
      </c>
      <c r="C8651" s="6">
        <v>0.394940239176999</v>
      </c>
    </row>
    <row r="8652" spans="1:3" s="7" customFormat="1" x14ac:dyDescent="0.2">
      <c r="A8652" s="6" t="str">
        <f>"LINC00608"</f>
        <v>LINC00608</v>
      </c>
      <c r="B8652" s="6">
        <v>0.20479520479520399</v>
      </c>
      <c r="C8652" s="6">
        <v>0.394940239176999</v>
      </c>
    </row>
    <row r="8653" spans="1:3" s="7" customFormat="1" x14ac:dyDescent="0.2">
      <c r="A8653" s="6" t="str">
        <f>"UNC5CL"</f>
        <v>UNC5CL</v>
      </c>
      <c r="B8653" s="6">
        <v>0.20479520479520399</v>
      </c>
      <c r="C8653" s="6">
        <v>0.394940239176999</v>
      </c>
    </row>
    <row r="8654" spans="1:3" s="7" customFormat="1" x14ac:dyDescent="0.2">
      <c r="A8654" s="6" t="str">
        <f>"AC008522.1"</f>
        <v>AC008522.1</v>
      </c>
      <c r="B8654" s="6">
        <v>0.20465686274509801</v>
      </c>
      <c r="C8654" s="6">
        <v>0.394940239176999</v>
      </c>
    </row>
    <row r="8655" spans="1:3" s="7" customFormat="1" x14ac:dyDescent="0.2">
      <c r="A8655" s="6" t="str">
        <f>"AP002981.1"</f>
        <v>AP002981.1</v>
      </c>
      <c r="B8655" s="6">
        <v>0.20463709677419301</v>
      </c>
      <c r="C8655" s="6">
        <v>0.394940239176999</v>
      </c>
    </row>
    <row r="8656" spans="1:3" s="7" customFormat="1" x14ac:dyDescent="0.2">
      <c r="A8656" s="6" t="str">
        <f>"AL158206.1"</f>
        <v>AL158206.1</v>
      </c>
      <c r="B8656" s="6">
        <v>0.20479520479520399</v>
      </c>
      <c r="C8656" s="6">
        <v>0.394940239176999</v>
      </c>
    </row>
    <row r="8657" spans="1:3" s="7" customFormat="1" x14ac:dyDescent="0.2">
      <c r="A8657" s="6" t="str">
        <f>"PITRM1-AS1"</f>
        <v>PITRM1-AS1</v>
      </c>
      <c r="B8657" s="6">
        <v>0.20479520479520399</v>
      </c>
      <c r="C8657" s="6">
        <v>0.394940239176999</v>
      </c>
    </row>
    <row r="8658" spans="1:3" s="7" customFormat="1" x14ac:dyDescent="0.2">
      <c r="A8658" s="6" t="str">
        <f>"RNFT1"</f>
        <v>RNFT1</v>
      </c>
      <c r="B8658" s="6">
        <v>0.20479520479520399</v>
      </c>
      <c r="C8658" s="6">
        <v>0.394940239176999</v>
      </c>
    </row>
    <row r="8659" spans="1:3" s="7" customFormat="1" x14ac:dyDescent="0.2">
      <c r="A8659" s="6" t="str">
        <f>"GET3"</f>
        <v>GET3</v>
      </c>
      <c r="B8659" s="6">
        <v>0.20479520479520399</v>
      </c>
      <c r="C8659" s="6">
        <v>0.394940239176999</v>
      </c>
    </row>
    <row r="8660" spans="1:3" s="7" customFormat="1" x14ac:dyDescent="0.2">
      <c r="A8660" s="6" t="str">
        <f>"AL096865.1"</f>
        <v>AL096865.1</v>
      </c>
      <c r="B8660" s="6">
        <v>0.20479520479520399</v>
      </c>
      <c r="C8660" s="6">
        <v>0.394940239176999</v>
      </c>
    </row>
    <row r="8661" spans="1:3" s="7" customFormat="1" x14ac:dyDescent="0.2">
      <c r="A8661" s="6" t="str">
        <f>"UBE2FP1"</f>
        <v>UBE2FP1</v>
      </c>
      <c r="B8661" s="6">
        <v>0.20479520479520399</v>
      </c>
      <c r="C8661" s="6">
        <v>0.394940239176999</v>
      </c>
    </row>
    <row r="8662" spans="1:3" s="7" customFormat="1" x14ac:dyDescent="0.2">
      <c r="A8662" s="6" t="str">
        <f>"CU638689.4"</f>
        <v>CU638689.4</v>
      </c>
      <c r="B8662" s="6">
        <v>0.20479520479520399</v>
      </c>
      <c r="C8662" s="6">
        <v>0.394940239176999</v>
      </c>
    </row>
    <row r="8663" spans="1:3" s="7" customFormat="1" x14ac:dyDescent="0.2">
      <c r="A8663" s="6" t="str">
        <f>"RTEL1"</f>
        <v>RTEL1</v>
      </c>
      <c r="B8663" s="6">
        <v>0.20479520479520399</v>
      </c>
      <c r="C8663" s="6">
        <v>0.394940239176999</v>
      </c>
    </row>
    <row r="8664" spans="1:3" s="7" customFormat="1" x14ac:dyDescent="0.2">
      <c r="A8664" s="6" t="str">
        <f>"CTPS1"</f>
        <v>CTPS1</v>
      </c>
      <c r="B8664" s="6">
        <v>0.20479520479520399</v>
      </c>
      <c r="C8664" s="6">
        <v>0.394940239176999</v>
      </c>
    </row>
    <row r="8665" spans="1:3" s="7" customFormat="1" x14ac:dyDescent="0.2">
      <c r="A8665" s="6" t="str">
        <f>"CLUH"</f>
        <v>CLUH</v>
      </c>
      <c r="B8665" s="6">
        <v>0.20479520479520399</v>
      </c>
      <c r="C8665" s="6">
        <v>0.394940239176999</v>
      </c>
    </row>
    <row r="8666" spans="1:3" s="7" customFormat="1" x14ac:dyDescent="0.2">
      <c r="A8666" s="6" t="str">
        <f>"PCDHA4"</f>
        <v>PCDHA4</v>
      </c>
      <c r="B8666" s="6">
        <v>0.20479520479520399</v>
      </c>
      <c r="C8666" s="6">
        <v>0.394940239176999</v>
      </c>
    </row>
    <row r="8667" spans="1:3" s="7" customFormat="1" x14ac:dyDescent="0.2">
      <c r="A8667" s="6" t="str">
        <f>"GHITM"</f>
        <v>GHITM</v>
      </c>
      <c r="B8667" s="6">
        <v>0.20479520479520399</v>
      </c>
      <c r="C8667" s="6">
        <v>0.394940239176999</v>
      </c>
    </row>
    <row r="8668" spans="1:3" s="7" customFormat="1" x14ac:dyDescent="0.2">
      <c r="A8668" s="6" t="str">
        <f>"FHDC1"</f>
        <v>FHDC1</v>
      </c>
      <c r="B8668" s="6">
        <v>0.20479520479520399</v>
      </c>
      <c r="C8668" s="6">
        <v>0.394940239176999</v>
      </c>
    </row>
    <row r="8669" spans="1:3" s="7" customFormat="1" x14ac:dyDescent="0.2">
      <c r="A8669" s="6" t="str">
        <f>"CT75"</f>
        <v>CT75</v>
      </c>
      <c r="B8669" s="6">
        <v>0.20499999999999999</v>
      </c>
      <c r="C8669" s="6">
        <v>0.39524397277655998</v>
      </c>
    </row>
    <row r="8670" spans="1:3" s="7" customFormat="1" x14ac:dyDescent="0.2">
      <c r="A8670" s="6" t="str">
        <f>"AC120024.1"</f>
        <v>AC120024.1</v>
      </c>
      <c r="B8670" s="6">
        <v>0.204994797086368</v>
      </c>
      <c r="C8670" s="6">
        <v>0.39524397277655998</v>
      </c>
    </row>
    <row r="8671" spans="1:3" s="7" customFormat="1" x14ac:dyDescent="0.2">
      <c r="A8671" s="6" t="str">
        <f>"ELAVL1"</f>
        <v>ELAVL1</v>
      </c>
      <c r="B8671" s="6">
        <v>0.20579420579420499</v>
      </c>
      <c r="C8671" s="6">
        <v>0.39581638154710602</v>
      </c>
    </row>
    <row r="8672" spans="1:3" s="7" customFormat="1" x14ac:dyDescent="0.2">
      <c r="A8672" s="6" t="str">
        <f>"ACRBP"</f>
        <v>ACRBP</v>
      </c>
      <c r="B8672" s="6">
        <v>0.20579420579420499</v>
      </c>
      <c r="C8672" s="6">
        <v>0.39581638154710602</v>
      </c>
    </row>
    <row r="8673" spans="1:3" s="7" customFormat="1" x14ac:dyDescent="0.2">
      <c r="A8673" s="6" t="str">
        <f>"AC096751.2"</f>
        <v>AC096751.2</v>
      </c>
      <c r="B8673" s="6">
        <v>0.20579420579420499</v>
      </c>
      <c r="C8673" s="6">
        <v>0.39581638154710602</v>
      </c>
    </row>
    <row r="8674" spans="1:3" s="7" customFormat="1" x14ac:dyDescent="0.2">
      <c r="A8674" s="6" t="str">
        <f>"AC092268.1"</f>
        <v>AC092268.1</v>
      </c>
      <c r="B8674" s="6">
        <v>0.20579420579420499</v>
      </c>
      <c r="C8674" s="6">
        <v>0.39581638154710602</v>
      </c>
    </row>
    <row r="8675" spans="1:3" s="7" customFormat="1" x14ac:dyDescent="0.2">
      <c r="A8675" s="6" t="str">
        <f>"SIK2"</f>
        <v>SIK2</v>
      </c>
      <c r="B8675" s="6">
        <v>0.20579420579420499</v>
      </c>
      <c r="C8675" s="6">
        <v>0.39581638154710602</v>
      </c>
    </row>
    <row r="8676" spans="1:3" s="7" customFormat="1" x14ac:dyDescent="0.2">
      <c r="A8676" s="6" t="str">
        <f>"ZNF501"</f>
        <v>ZNF501</v>
      </c>
      <c r="B8676" s="6">
        <v>0.20579420579420499</v>
      </c>
      <c r="C8676" s="6">
        <v>0.39581638154710602</v>
      </c>
    </row>
    <row r="8677" spans="1:3" s="7" customFormat="1" x14ac:dyDescent="0.2">
      <c r="A8677" s="6" t="str">
        <f>"AC006040.1"</f>
        <v>AC006040.1</v>
      </c>
      <c r="B8677" s="6">
        <v>0.20579420579420499</v>
      </c>
      <c r="C8677" s="6">
        <v>0.39581638154710602</v>
      </c>
    </row>
    <row r="8678" spans="1:3" s="7" customFormat="1" x14ac:dyDescent="0.2">
      <c r="A8678" s="6" t="str">
        <f>"EIF3M"</f>
        <v>EIF3M</v>
      </c>
      <c r="B8678" s="6">
        <v>0.20579420579420499</v>
      </c>
      <c r="C8678" s="6">
        <v>0.39581638154710602</v>
      </c>
    </row>
    <row r="8679" spans="1:3" s="7" customFormat="1" x14ac:dyDescent="0.2">
      <c r="A8679" s="6" t="str">
        <f>"ZBTB14"</f>
        <v>ZBTB14</v>
      </c>
      <c r="B8679" s="6">
        <v>0.20579420579420499</v>
      </c>
      <c r="C8679" s="6">
        <v>0.39581638154710602</v>
      </c>
    </row>
    <row r="8680" spans="1:3" s="7" customFormat="1" x14ac:dyDescent="0.2">
      <c r="A8680" s="6" t="str">
        <f>"PXMP4"</f>
        <v>PXMP4</v>
      </c>
      <c r="B8680" s="6">
        <v>0.20579420579420499</v>
      </c>
      <c r="C8680" s="6">
        <v>0.39581638154710602</v>
      </c>
    </row>
    <row r="8681" spans="1:3" s="7" customFormat="1" x14ac:dyDescent="0.2">
      <c r="A8681" s="6" t="str">
        <f>"RCL1"</f>
        <v>RCL1</v>
      </c>
      <c r="B8681" s="6">
        <v>0.20579420579420499</v>
      </c>
      <c r="C8681" s="6">
        <v>0.39581638154710602</v>
      </c>
    </row>
    <row r="8682" spans="1:3" s="7" customFormat="1" x14ac:dyDescent="0.2">
      <c r="A8682" s="6" t="str">
        <f>"ZNF721"</f>
        <v>ZNF721</v>
      </c>
      <c r="B8682" s="6">
        <v>0.20579420579420499</v>
      </c>
      <c r="C8682" s="6">
        <v>0.39581638154710602</v>
      </c>
    </row>
    <row r="8683" spans="1:3" s="7" customFormat="1" x14ac:dyDescent="0.2">
      <c r="A8683" s="6" t="str">
        <f>"TUBAP13"</f>
        <v>TUBAP13</v>
      </c>
      <c r="B8683" s="6">
        <v>0.20579420579420499</v>
      </c>
      <c r="C8683" s="6">
        <v>0.39581638154710602</v>
      </c>
    </row>
    <row r="8684" spans="1:3" s="7" customFormat="1" x14ac:dyDescent="0.2">
      <c r="A8684" s="6" t="str">
        <f>"RPL34"</f>
        <v>RPL34</v>
      </c>
      <c r="B8684" s="6">
        <v>0.20579420579420499</v>
      </c>
      <c r="C8684" s="6">
        <v>0.39581638154710602</v>
      </c>
    </row>
    <row r="8685" spans="1:3" s="7" customFormat="1" x14ac:dyDescent="0.2">
      <c r="A8685" s="6" t="str">
        <f>"BCL10"</f>
        <v>BCL10</v>
      </c>
      <c r="B8685" s="6">
        <v>0.20579420579420499</v>
      </c>
      <c r="C8685" s="6">
        <v>0.39581638154710602</v>
      </c>
    </row>
    <row r="8686" spans="1:3" s="7" customFormat="1" x14ac:dyDescent="0.2">
      <c r="A8686" s="6" t="str">
        <f>"C14orf178"</f>
        <v>C14orf178</v>
      </c>
      <c r="B8686" s="6">
        <v>0.20579420579420499</v>
      </c>
      <c r="C8686" s="6">
        <v>0.39581638154710602</v>
      </c>
    </row>
    <row r="8687" spans="1:3" s="7" customFormat="1" x14ac:dyDescent="0.2">
      <c r="A8687" s="6" t="str">
        <f>"QSOX1"</f>
        <v>QSOX1</v>
      </c>
      <c r="B8687" s="6">
        <v>0.20579420579420499</v>
      </c>
      <c r="C8687" s="6">
        <v>0.39581638154710602</v>
      </c>
    </row>
    <row r="8688" spans="1:3" s="7" customFormat="1" x14ac:dyDescent="0.2">
      <c r="A8688" s="6" t="str">
        <f>"CDK1"</f>
        <v>CDK1</v>
      </c>
      <c r="B8688" s="6">
        <v>0.20579420579420499</v>
      </c>
      <c r="C8688" s="6">
        <v>0.39581638154710602</v>
      </c>
    </row>
    <row r="8689" spans="1:3" s="7" customFormat="1" x14ac:dyDescent="0.2">
      <c r="A8689" s="6" t="str">
        <f>"RIBC2"</f>
        <v>RIBC2</v>
      </c>
      <c r="B8689" s="6">
        <v>0.20579420579420499</v>
      </c>
      <c r="C8689" s="6">
        <v>0.39581638154710602</v>
      </c>
    </row>
    <row r="8690" spans="1:3" s="7" customFormat="1" x14ac:dyDescent="0.2">
      <c r="A8690" s="6" t="str">
        <f>"PTTG1IP"</f>
        <v>PTTG1IP</v>
      </c>
      <c r="B8690" s="6">
        <v>0.20579420579420499</v>
      </c>
      <c r="C8690" s="6">
        <v>0.39581638154710602</v>
      </c>
    </row>
    <row r="8691" spans="1:3" s="7" customFormat="1" x14ac:dyDescent="0.2">
      <c r="A8691" s="6" t="str">
        <f>"HSPA13"</f>
        <v>HSPA13</v>
      </c>
      <c r="B8691" s="6">
        <v>0.20579420579420499</v>
      </c>
      <c r="C8691" s="6">
        <v>0.39581638154710602</v>
      </c>
    </row>
    <row r="8692" spans="1:3" s="7" customFormat="1" x14ac:dyDescent="0.2">
      <c r="A8692" s="6" t="str">
        <f>"GCGR"</f>
        <v>GCGR</v>
      </c>
      <c r="B8692" s="6">
        <v>0.20599999999999999</v>
      </c>
      <c r="C8692" s="6">
        <v>0.39612103083294897</v>
      </c>
    </row>
    <row r="8693" spans="1:3" s="7" customFormat="1" x14ac:dyDescent="0.2">
      <c r="A8693" s="6" t="str">
        <f>"ZNF737"</f>
        <v>ZNF737</v>
      </c>
      <c r="B8693" s="6">
        <v>0.20599999999999999</v>
      </c>
      <c r="C8693" s="6">
        <v>0.39612103083294897</v>
      </c>
    </row>
    <row r="8694" spans="1:3" s="7" customFormat="1" x14ac:dyDescent="0.2">
      <c r="A8694" s="6" t="str">
        <f>"AC092418.2"</f>
        <v>AC092418.2</v>
      </c>
      <c r="B8694" s="6">
        <v>0.206268958543983</v>
      </c>
      <c r="C8694" s="6">
        <v>0.39659258864651398</v>
      </c>
    </row>
    <row r="8695" spans="1:3" s="7" customFormat="1" x14ac:dyDescent="0.2">
      <c r="A8695" s="6" t="str">
        <f>"AK2"</f>
        <v>AK2</v>
      </c>
      <c r="B8695" s="6">
        <v>0.20679320679320601</v>
      </c>
      <c r="C8695" s="6">
        <v>0.396824530234404</v>
      </c>
    </row>
    <row r="8696" spans="1:3" s="7" customFormat="1" x14ac:dyDescent="0.2">
      <c r="A8696" s="6" t="str">
        <f>"DMBT1"</f>
        <v>DMBT1</v>
      </c>
      <c r="B8696" s="6">
        <v>0.20679320679320601</v>
      </c>
      <c r="C8696" s="6">
        <v>0.396824530234404</v>
      </c>
    </row>
    <row r="8697" spans="1:3" s="7" customFormat="1" x14ac:dyDescent="0.2">
      <c r="A8697" s="6" t="str">
        <f>"POP4"</f>
        <v>POP4</v>
      </c>
      <c r="B8697" s="6">
        <v>0.20679320679320601</v>
      </c>
      <c r="C8697" s="6">
        <v>0.396824530234404</v>
      </c>
    </row>
    <row r="8698" spans="1:3" s="7" customFormat="1" x14ac:dyDescent="0.2">
      <c r="A8698" s="6" t="str">
        <f>"PHACTR2"</f>
        <v>PHACTR2</v>
      </c>
      <c r="B8698" s="6">
        <v>0.20679320679320601</v>
      </c>
      <c r="C8698" s="6">
        <v>0.396824530234404</v>
      </c>
    </row>
    <row r="8699" spans="1:3" s="7" customFormat="1" x14ac:dyDescent="0.2">
      <c r="A8699" s="6" t="str">
        <f>"ZNF296"</f>
        <v>ZNF296</v>
      </c>
      <c r="B8699" s="6">
        <v>0.20679320679320601</v>
      </c>
      <c r="C8699" s="6">
        <v>0.396824530234404</v>
      </c>
    </row>
    <row r="8700" spans="1:3" s="7" customFormat="1" x14ac:dyDescent="0.2">
      <c r="A8700" s="6" t="str">
        <f>"ZNF771"</f>
        <v>ZNF771</v>
      </c>
      <c r="B8700" s="6">
        <v>0.20679320679320601</v>
      </c>
      <c r="C8700" s="6">
        <v>0.396824530234404</v>
      </c>
    </row>
    <row r="8701" spans="1:3" s="7" customFormat="1" x14ac:dyDescent="0.2">
      <c r="A8701" s="6" t="str">
        <f>"TXNRD2"</f>
        <v>TXNRD2</v>
      </c>
      <c r="B8701" s="6">
        <v>0.20679320679320601</v>
      </c>
      <c r="C8701" s="6">
        <v>0.396824530234404</v>
      </c>
    </row>
    <row r="8702" spans="1:3" s="7" customFormat="1" x14ac:dyDescent="0.2">
      <c r="A8702" s="6" t="str">
        <f>"HDAC7"</f>
        <v>HDAC7</v>
      </c>
      <c r="B8702" s="6">
        <v>0.20679320679320601</v>
      </c>
      <c r="C8702" s="6">
        <v>0.396824530234404</v>
      </c>
    </row>
    <row r="8703" spans="1:3" s="7" customFormat="1" x14ac:dyDescent="0.2">
      <c r="A8703" s="6" t="str">
        <f>"TAF4"</f>
        <v>TAF4</v>
      </c>
      <c r="B8703" s="6">
        <v>0.20679320679320601</v>
      </c>
      <c r="C8703" s="6">
        <v>0.396824530234404</v>
      </c>
    </row>
    <row r="8704" spans="1:3" s="7" customFormat="1" x14ac:dyDescent="0.2">
      <c r="A8704" s="6" t="str">
        <f>"ZNF396"</f>
        <v>ZNF396</v>
      </c>
      <c r="B8704" s="6">
        <v>0.20679320679320601</v>
      </c>
      <c r="C8704" s="6">
        <v>0.396824530234404</v>
      </c>
    </row>
    <row r="8705" spans="1:3" s="7" customFormat="1" x14ac:dyDescent="0.2">
      <c r="A8705" s="6" t="str">
        <f>"LINC02579"</f>
        <v>LINC02579</v>
      </c>
      <c r="B8705" s="6">
        <v>0.20679320679320601</v>
      </c>
      <c r="C8705" s="6">
        <v>0.396824530234404</v>
      </c>
    </row>
    <row r="8706" spans="1:3" s="7" customFormat="1" x14ac:dyDescent="0.2">
      <c r="A8706" s="6" t="str">
        <f>"BEGAIN"</f>
        <v>BEGAIN</v>
      </c>
      <c r="B8706" s="6">
        <v>0.20679320679320601</v>
      </c>
      <c r="C8706" s="6">
        <v>0.396824530234404</v>
      </c>
    </row>
    <row r="8707" spans="1:3" s="7" customFormat="1" x14ac:dyDescent="0.2">
      <c r="A8707" s="6" t="str">
        <f>"MARK1"</f>
        <v>MARK1</v>
      </c>
      <c r="B8707" s="6">
        <v>0.20679320679320601</v>
      </c>
      <c r="C8707" s="6">
        <v>0.396824530234404</v>
      </c>
    </row>
    <row r="8708" spans="1:3" s="7" customFormat="1" x14ac:dyDescent="0.2">
      <c r="A8708" s="6" t="str">
        <f>"MROH7"</f>
        <v>MROH7</v>
      </c>
      <c r="B8708" s="6">
        <v>0.20679320679320601</v>
      </c>
      <c r="C8708" s="6">
        <v>0.396824530234404</v>
      </c>
    </row>
    <row r="8709" spans="1:3" s="7" customFormat="1" x14ac:dyDescent="0.2">
      <c r="A8709" s="6" t="str">
        <f>"SDR16C5"</f>
        <v>SDR16C5</v>
      </c>
      <c r="B8709" s="6">
        <v>0.20679320679320601</v>
      </c>
      <c r="C8709" s="6">
        <v>0.396824530234404</v>
      </c>
    </row>
    <row r="8710" spans="1:3" s="7" customFormat="1" x14ac:dyDescent="0.2">
      <c r="A8710" s="6" t="str">
        <f>"CDIPT"</f>
        <v>CDIPT</v>
      </c>
      <c r="B8710" s="6">
        <v>0.20679320679320601</v>
      </c>
      <c r="C8710" s="6">
        <v>0.396824530234404</v>
      </c>
    </row>
    <row r="8711" spans="1:3" s="7" customFormat="1" x14ac:dyDescent="0.2">
      <c r="A8711" s="6" t="str">
        <f>"DDX51"</f>
        <v>DDX51</v>
      </c>
      <c r="B8711" s="6">
        <v>0.20679320679320601</v>
      </c>
      <c r="C8711" s="6">
        <v>0.396824530234404</v>
      </c>
    </row>
    <row r="8712" spans="1:3" s="7" customFormat="1" x14ac:dyDescent="0.2">
      <c r="A8712" s="6" t="str">
        <f>"PEAK1"</f>
        <v>PEAK1</v>
      </c>
      <c r="B8712" s="6">
        <v>0.207792207792207</v>
      </c>
      <c r="C8712" s="6">
        <v>0.39787363512876101</v>
      </c>
    </row>
    <row r="8713" spans="1:3" s="7" customFormat="1" x14ac:dyDescent="0.2">
      <c r="A8713" s="6" t="str">
        <f>"MAP2K6"</f>
        <v>MAP2K6</v>
      </c>
      <c r="B8713" s="6">
        <v>0.207792207792207</v>
      </c>
      <c r="C8713" s="6">
        <v>0.39787363512876101</v>
      </c>
    </row>
    <row r="8714" spans="1:3" s="7" customFormat="1" x14ac:dyDescent="0.2">
      <c r="A8714" s="6" t="str">
        <f>"TVP23C"</f>
        <v>TVP23C</v>
      </c>
      <c r="B8714" s="6">
        <v>0.207792207792207</v>
      </c>
      <c r="C8714" s="6">
        <v>0.39787363512876101</v>
      </c>
    </row>
    <row r="8715" spans="1:3" s="7" customFormat="1" x14ac:dyDescent="0.2">
      <c r="A8715" s="6" t="str">
        <f>"AL606534.4"</f>
        <v>AL606534.4</v>
      </c>
      <c r="B8715" s="6">
        <v>0.207792207792207</v>
      </c>
      <c r="C8715" s="6">
        <v>0.39787363512876101</v>
      </c>
    </row>
    <row r="8716" spans="1:3" s="7" customFormat="1" x14ac:dyDescent="0.2">
      <c r="A8716" s="6" t="str">
        <f>"FDFT1"</f>
        <v>FDFT1</v>
      </c>
      <c r="B8716" s="6">
        <v>0.207792207792207</v>
      </c>
      <c r="C8716" s="6">
        <v>0.39787363512876101</v>
      </c>
    </row>
    <row r="8717" spans="1:3" s="7" customFormat="1" x14ac:dyDescent="0.2">
      <c r="A8717" s="6" t="str">
        <f>"PNMA3"</f>
        <v>PNMA3</v>
      </c>
      <c r="B8717" s="6">
        <v>0.207792207792207</v>
      </c>
      <c r="C8717" s="6">
        <v>0.39787363512876101</v>
      </c>
    </row>
    <row r="8718" spans="1:3" s="7" customFormat="1" x14ac:dyDescent="0.2">
      <c r="A8718" s="6" t="str">
        <f>"BEAN1"</f>
        <v>BEAN1</v>
      </c>
      <c r="B8718" s="6">
        <v>0.207792207792207</v>
      </c>
      <c r="C8718" s="6">
        <v>0.39787363512876101</v>
      </c>
    </row>
    <row r="8719" spans="1:3" s="7" customFormat="1" x14ac:dyDescent="0.2">
      <c r="A8719" s="6" t="str">
        <f>"AL121899.1"</f>
        <v>AL121899.1</v>
      </c>
      <c r="B8719" s="6">
        <v>0.207792207792207</v>
      </c>
      <c r="C8719" s="6">
        <v>0.39787363512876101</v>
      </c>
    </row>
    <row r="8720" spans="1:3" s="7" customFormat="1" x14ac:dyDescent="0.2">
      <c r="A8720" s="6" t="str">
        <f>"FAM163A"</f>
        <v>FAM163A</v>
      </c>
      <c r="B8720" s="6">
        <v>0.207792207792207</v>
      </c>
      <c r="C8720" s="6">
        <v>0.39787363512876101</v>
      </c>
    </row>
    <row r="8721" spans="1:3" s="7" customFormat="1" x14ac:dyDescent="0.2">
      <c r="A8721" s="6" t="str">
        <f>"ATXN7"</f>
        <v>ATXN7</v>
      </c>
      <c r="B8721" s="6">
        <v>0.207792207792207</v>
      </c>
      <c r="C8721" s="6">
        <v>0.39787363512876101</v>
      </c>
    </row>
    <row r="8722" spans="1:3" s="7" customFormat="1" x14ac:dyDescent="0.2">
      <c r="A8722" s="6" t="str">
        <f>"ZNF22"</f>
        <v>ZNF22</v>
      </c>
      <c r="B8722" s="6">
        <v>0.207792207792207</v>
      </c>
      <c r="C8722" s="6">
        <v>0.39787363512876101</v>
      </c>
    </row>
    <row r="8723" spans="1:3" s="7" customFormat="1" x14ac:dyDescent="0.2">
      <c r="A8723" s="6" t="str">
        <f>"FAM153CP"</f>
        <v>FAM153CP</v>
      </c>
      <c r="B8723" s="6">
        <v>0.207792207792207</v>
      </c>
      <c r="C8723" s="6">
        <v>0.39787363512876101</v>
      </c>
    </row>
    <row r="8724" spans="1:3" s="7" customFormat="1" x14ac:dyDescent="0.2">
      <c r="A8724" s="6" t="str">
        <f>"NTMT1"</f>
        <v>NTMT1</v>
      </c>
      <c r="B8724" s="6">
        <v>0.207792207792207</v>
      </c>
      <c r="C8724" s="6">
        <v>0.39787363512876101</v>
      </c>
    </row>
    <row r="8725" spans="1:3" s="7" customFormat="1" x14ac:dyDescent="0.2">
      <c r="A8725" s="6" t="str">
        <f>"TMEM200A"</f>
        <v>TMEM200A</v>
      </c>
      <c r="B8725" s="6">
        <v>0.207792207792207</v>
      </c>
      <c r="C8725" s="6">
        <v>0.39787363512876101</v>
      </c>
    </row>
    <row r="8726" spans="1:3" s="7" customFormat="1" x14ac:dyDescent="0.2">
      <c r="A8726" s="6" t="str">
        <f>"POLQ"</f>
        <v>POLQ</v>
      </c>
      <c r="B8726" s="6">
        <v>0.207792207792207</v>
      </c>
      <c r="C8726" s="6">
        <v>0.39787363512876101</v>
      </c>
    </row>
    <row r="8727" spans="1:3" s="7" customFormat="1" x14ac:dyDescent="0.2">
      <c r="A8727" s="6" t="str">
        <f>"VPS54"</f>
        <v>VPS54</v>
      </c>
      <c r="B8727" s="6">
        <v>0.207792207792207</v>
      </c>
      <c r="C8727" s="6">
        <v>0.39787363512876101</v>
      </c>
    </row>
    <row r="8728" spans="1:3" s="7" customFormat="1" x14ac:dyDescent="0.2">
      <c r="A8728" s="6" t="str">
        <f>"CC2D2A"</f>
        <v>CC2D2A</v>
      </c>
      <c r="B8728" s="6">
        <v>0.207792207792207</v>
      </c>
      <c r="C8728" s="6">
        <v>0.39787363512876101</v>
      </c>
    </row>
    <row r="8729" spans="1:3" s="7" customFormat="1" x14ac:dyDescent="0.2">
      <c r="A8729" s="6" t="str">
        <f>"FAM153B"</f>
        <v>FAM153B</v>
      </c>
      <c r="B8729" s="6">
        <v>0.207792207792207</v>
      </c>
      <c r="C8729" s="6">
        <v>0.39787363512876101</v>
      </c>
    </row>
    <row r="8730" spans="1:3" s="7" customFormat="1" x14ac:dyDescent="0.2">
      <c r="A8730" s="6" t="str">
        <f>"MRPL53"</f>
        <v>MRPL53</v>
      </c>
      <c r="B8730" s="6">
        <v>0.207792207792207</v>
      </c>
      <c r="C8730" s="6">
        <v>0.39787363512876101</v>
      </c>
    </row>
    <row r="8731" spans="1:3" s="7" customFormat="1" x14ac:dyDescent="0.2">
      <c r="A8731" s="6" t="str">
        <f>"AP001625.2"</f>
        <v>AP001625.2</v>
      </c>
      <c r="B8731" s="6">
        <v>0.20799999999999999</v>
      </c>
      <c r="C8731" s="6">
        <v>0.398225887743413</v>
      </c>
    </row>
    <row r="8732" spans="1:3" s="7" customFormat="1" x14ac:dyDescent="0.2">
      <c r="A8732" s="6" t="str">
        <f>"SF3B2"</f>
        <v>SF3B2</v>
      </c>
      <c r="B8732" s="6">
        <v>0.20879120879120799</v>
      </c>
      <c r="C8732" s="6">
        <v>0.39900940586968398</v>
      </c>
    </row>
    <row r="8733" spans="1:3" s="7" customFormat="1" x14ac:dyDescent="0.2">
      <c r="A8733" s="6" t="str">
        <f>"TANK"</f>
        <v>TANK</v>
      </c>
      <c r="B8733" s="6">
        <v>0.20879120879120799</v>
      </c>
      <c r="C8733" s="6">
        <v>0.39900940586968398</v>
      </c>
    </row>
    <row r="8734" spans="1:3" s="7" customFormat="1" x14ac:dyDescent="0.2">
      <c r="A8734" s="6" t="str">
        <f>"MT2A"</f>
        <v>MT2A</v>
      </c>
      <c r="B8734" s="6">
        <v>0.20879120879120799</v>
      </c>
      <c r="C8734" s="6">
        <v>0.39900940586968398</v>
      </c>
    </row>
    <row r="8735" spans="1:3" s="7" customFormat="1" x14ac:dyDescent="0.2">
      <c r="A8735" s="6" t="str">
        <f>"ZNF816"</f>
        <v>ZNF816</v>
      </c>
      <c r="B8735" s="6">
        <v>0.20879120879120799</v>
      </c>
      <c r="C8735" s="6">
        <v>0.39900940586968398</v>
      </c>
    </row>
    <row r="8736" spans="1:3" s="7" customFormat="1" x14ac:dyDescent="0.2">
      <c r="A8736" s="6" t="str">
        <f>"NEPRO"</f>
        <v>NEPRO</v>
      </c>
      <c r="B8736" s="6">
        <v>0.20879120879120799</v>
      </c>
      <c r="C8736" s="6">
        <v>0.39900940586968398</v>
      </c>
    </row>
    <row r="8737" spans="1:3" s="7" customFormat="1" x14ac:dyDescent="0.2">
      <c r="A8737" s="6" t="str">
        <f>"CST1"</f>
        <v>CST1</v>
      </c>
      <c r="B8737" s="6">
        <v>0.20879120879120799</v>
      </c>
      <c r="C8737" s="6">
        <v>0.39900940586968398</v>
      </c>
    </row>
    <row r="8738" spans="1:3" s="7" customFormat="1" x14ac:dyDescent="0.2">
      <c r="A8738" s="6" t="str">
        <f>"AC117461.1"</f>
        <v>AC117461.1</v>
      </c>
      <c r="B8738" s="6">
        <v>0.208625877632898</v>
      </c>
      <c r="C8738" s="6">
        <v>0.39900940586968398</v>
      </c>
    </row>
    <row r="8739" spans="1:3" s="7" customFormat="1" x14ac:dyDescent="0.2">
      <c r="A8739" s="6" t="str">
        <f>"ARMC10"</f>
        <v>ARMC10</v>
      </c>
      <c r="B8739" s="6">
        <v>0.20879120879120799</v>
      </c>
      <c r="C8739" s="6">
        <v>0.39900940586968398</v>
      </c>
    </row>
    <row r="8740" spans="1:3" s="7" customFormat="1" x14ac:dyDescent="0.2">
      <c r="A8740" s="6" t="str">
        <f>"ATP2A1"</f>
        <v>ATP2A1</v>
      </c>
      <c r="B8740" s="6">
        <v>0.20879120879120799</v>
      </c>
      <c r="C8740" s="6">
        <v>0.39900940586968398</v>
      </c>
    </row>
    <row r="8741" spans="1:3" s="7" customFormat="1" x14ac:dyDescent="0.2">
      <c r="A8741" s="6" t="str">
        <f>"ARL4A"</f>
        <v>ARL4A</v>
      </c>
      <c r="B8741" s="6">
        <v>0.20879120879120799</v>
      </c>
      <c r="C8741" s="6">
        <v>0.39900940586968398</v>
      </c>
    </row>
    <row r="8742" spans="1:3" s="7" customFormat="1" x14ac:dyDescent="0.2">
      <c r="A8742" s="6" t="str">
        <f>"CLEC4C"</f>
        <v>CLEC4C</v>
      </c>
      <c r="B8742" s="6">
        <v>0.20879120879120799</v>
      </c>
      <c r="C8742" s="6">
        <v>0.39900940586968398</v>
      </c>
    </row>
    <row r="8743" spans="1:3" s="7" customFormat="1" x14ac:dyDescent="0.2">
      <c r="A8743" s="6" t="str">
        <f>"SMPD2"</f>
        <v>SMPD2</v>
      </c>
      <c r="B8743" s="6">
        <v>0.20879120879120799</v>
      </c>
      <c r="C8743" s="6">
        <v>0.39900940586968398</v>
      </c>
    </row>
    <row r="8744" spans="1:3" s="7" customFormat="1" x14ac:dyDescent="0.2">
      <c r="A8744" s="6" t="str">
        <f>"SS18"</f>
        <v>SS18</v>
      </c>
      <c r="B8744" s="6">
        <v>0.20879120879120799</v>
      </c>
      <c r="C8744" s="6">
        <v>0.39900940586968398</v>
      </c>
    </row>
    <row r="8745" spans="1:3" s="7" customFormat="1" x14ac:dyDescent="0.2">
      <c r="A8745" s="6" t="str">
        <f>"LRRC4"</f>
        <v>LRRC4</v>
      </c>
      <c r="B8745" s="6">
        <v>0.20879120879120799</v>
      </c>
      <c r="C8745" s="6">
        <v>0.39900940586968398</v>
      </c>
    </row>
    <row r="8746" spans="1:3" s="7" customFormat="1" x14ac:dyDescent="0.2">
      <c r="A8746" s="6" t="str">
        <f>"FGF2"</f>
        <v>FGF2</v>
      </c>
      <c r="B8746" s="6">
        <v>0.20879120879120799</v>
      </c>
      <c r="C8746" s="6">
        <v>0.39900940586968398</v>
      </c>
    </row>
    <row r="8747" spans="1:3" s="7" customFormat="1" x14ac:dyDescent="0.2">
      <c r="A8747" s="6" t="str">
        <f>"NUP160"</f>
        <v>NUP160</v>
      </c>
      <c r="B8747" s="6">
        <v>0.20879120879120799</v>
      </c>
      <c r="C8747" s="6">
        <v>0.39900940586968398</v>
      </c>
    </row>
    <row r="8748" spans="1:3" s="7" customFormat="1" x14ac:dyDescent="0.2">
      <c r="A8748" s="6" t="str">
        <f>"AL390755.3"</f>
        <v>AL390755.3</v>
      </c>
      <c r="B8748" s="6">
        <v>0.20899999999999999</v>
      </c>
      <c r="C8748" s="6">
        <v>0.39927145959538202</v>
      </c>
    </row>
    <row r="8749" spans="1:3" s="7" customFormat="1" x14ac:dyDescent="0.2">
      <c r="A8749" s="6" t="str">
        <f>"LINC01602"</f>
        <v>LINC01602</v>
      </c>
      <c r="B8749" s="6">
        <v>0.20899999999999999</v>
      </c>
      <c r="C8749" s="6">
        <v>0.39927145959538202</v>
      </c>
    </row>
    <row r="8750" spans="1:3" s="7" customFormat="1" x14ac:dyDescent="0.2">
      <c r="A8750" s="6" t="str">
        <f>"NR1I2"</f>
        <v>NR1I2</v>
      </c>
      <c r="B8750" s="6">
        <v>0.20899999999999999</v>
      </c>
      <c r="C8750" s="6">
        <v>0.39927145959538202</v>
      </c>
    </row>
    <row r="8751" spans="1:3" s="7" customFormat="1" x14ac:dyDescent="0.2">
      <c r="A8751" s="6" t="str">
        <f>"AL358852.1"</f>
        <v>AL358852.1</v>
      </c>
      <c r="B8751" s="6">
        <v>0.20916905444125999</v>
      </c>
      <c r="C8751" s="6">
        <v>0.39954875153499703</v>
      </c>
    </row>
    <row r="8752" spans="1:3" s="7" customFormat="1" x14ac:dyDescent="0.2">
      <c r="A8752" s="6" t="str">
        <f>"AC026471.4"</f>
        <v>AC026471.4</v>
      </c>
      <c r="B8752" s="6">
        <v>0.20920920920920899</v>
      </c>
      <c r="C8752" s="6">
        <v>0.399579787763995</v>
      </c>
    </row>
    <row r="8753" spans="1:3" s="7" customFormat="1" x14ac:dyDescent="0.2">
      <c r="A8753" s="6" t="str">
        <f>"GTPBP1"</f>
        <v>GTPBP1</v>
      </c>
      <c r="B8753" s="6">
        <v>0.20979020979020899</v>
      </c>
      <c r="C8753" s="6">
        <v>0.39982138727862698</v>
      </c>
    </row>
    <row r="8754" spans="1:3" s="7" customFormat="1" x14ac:dyDescent="0.2">
      <c r="A8754" s="6" t="str">
        <f>"PNPLA3"</f>
        <v>PNPLA3</v>
      </c>
      <c r="B8754" s="6">
        <v>0.20979020979020899</v>
      </c>
      <c r="C8754" s="6">
        <v>0.39982138727862698</v>
      </c>
    </row>
    <row r="8755" spans="1:3" s="7" customFormat="1" x14ac:dyDescent="0.2">
      <c r="A8755" s="6" t="str">
        <f>"RNASEH2C"</f>
        <v>RNASEH2C</v>
      </c>
      <c r="B8755" s="6">
        <v>0.20979020979020899</v>
      </c>
      <c r="C8755" s="6">
        <v>0.39982138727862698</v>
      </c>
    </row>
    <row r="8756" spans="1:3" s="7" customFormat="1" x14ac:dyDescent="0.2">
      <c r="A8756" s="6" t="str">
        <f>"AC073254.1"</f>
        <v>AC073254.1</v>
      </c>
      <c r="B8756" s="6">
        <v>0.20979020979020899</v>
      </c>
      <c r="C8756" s="6">
        <v>0.39982138727862698</v>
      </c>
    </row>
    <row r="8757" spans="1:3" s="7" customFormat="1" x14ac:dyDescent="0.2">
      <c r="A8757" s="6" t="str">
        <f>"RHD"</f>
        <v>RHD</v>
      </c>
      <c r="B8757" s="6">
        <v>0.20979020979020899</v>
      </c>
      <c r="C8757" s="6">
        <v>0.39982138727862698</v>
      </c>
    </row>
    <row r="8758" spans="1:3" s="7" customFormat="1" x14ac:dyDescent="0.2">
      <c r="A8758" s="6" t="str">
        <f>"AC019080.1"</f>
        <v>AC019080.1</v>
      </c>
      <c r="B8758" s="6">
        <v>0.20979020979020899</v>
      </c>
      <c r="C8758" s="6">
        <v>0.39982138727862698</v>
      </c>
    </row>
    <row r="8759" spans="1:3" s="7" customFormat="1" x14ac:dyDescent="0.2">
      <c r="A8759" s="6" t="str">
        <f>"AC116611.1"</f>
        <v>AC116611.1</v>
      </c>
      <c r="B8759" s="6">
        <v>0.20979020979020899</v>
      </c>
      <c r="C8759" s="6">
        <v>0.39982138727862698</v>
      </c>
    </row>
    <row r="8760" spans="1:3" s="7" customFormat="1" x14ac:dyDescent="0.2">
      <c r="A8760" s="6" t="str">
        <f>"UNC119"</f>
        <v>UNC119</v>
      </c>
      <c r="B8760" s="6">
        <v>0.20979020979020899</v>
      </c>
      <c r="C8760" s="6">
        <v>0.39982138727862698</v>
      </c>
    </row>
    <row r="8761" spans="1:3" s="7" customFormat="1" x14ac:dyDescent="0.2">
      <c r="A8761" s="6" t="str">
        <f>"PRR15"</f>
        <v>PRR15</v>
      </c>
      <c r="B8761" s="6">
        <v>0.20979020979020899</v>
      </c>
      <c r="C8761" s="6">
        <v>0.39982138727862698</v>
      </c>
    </row>
    <row r="8762" spans="1:3" s="7" customFormat="1" x14ac:dyDescent="0.2">
      <c r="A8762" s="6" t="str">
        <f>"PMVK"</f>
        <v>PMVK</v>
      </c>
      <c r="B8762" s="6">
        <v>0.20979020979020899</v>
      </c>
      <c r="C8762" s="6">
        <v>0.39982138727862698</v>
      </c>
    </row>
    <row r="8763" spans="1:3" s="7" customFormat="1" x14ac:dyDescent="0.2">
      <c r="A8763" s="6" t="str">
        <f>"UQCR11"</f>
        <v>UQCR11</v>
      </c>
      <c r="B8763" s="6">
        <v>0.20979020979020899</v>
      </c>
      <c r="C8763" s="6">
        <v>0.39982138727862698</v>
      </c>
    </row>
    <row r="8764" spans="1:3" s="7" customFormat="1" x14ac:dyDescent="0.2">
      <c r="A8764" s="6" t="str">
        <f>"COPS9"</f>
        <v>COPS9</v>
      </c>
      <c r="B8764" s="6">
        <v>0.20979020979020899</v>
      </c>
      <c r="C8764" s="6">
        <v>0.39982138727862698</v>
      </c>
    </row>
    <row r="8765" spans="1:3" s="7" customFormat="1" x14ac:dyDescent="0.2">
      <c r="A8765" s="6" t="str">
        <f>"DMXL1"</f>
        <v>DMXL1</v>
      </c>
      <c r="B8765" s="6">
        <v>0.20979020979020899</v>
      </c>
      <c r="C8765" s="6">
        <v>0.39982138727862698</v>
      </c>
    </row>
    <row r="8766" spans="1:3" s="7" customFormat="1" x14ac:dyDescent="0.2">
      <c r="A8766" s="6" t="str">
        <f>"AL357033.1"</f>
        <v>AL357033.1</v>
      </c>
      <c r="B8766" s="6">
        <v>0.20979020979020899</v>
      </c>
      <c r="C8766" s="6">
        <v>0.39982138727862698</v>
      </c>
    </row>
    <row r="8767" spans="1:3" s="7" customFormat="1" x14ac:dyDescent="0.2">
      <c r="A8767" s="6" t="str">
        <f>"IL19"</f>
        <v>IL19</v>
      </c>
      <c r="B8767" s="6">
        <v>0.20979020979020899</v>
      </c>
      <c r="C8767" s="6">
        <v>0.39982138727862698</v>
      </c>
    </row>
    <row r="8768" spans="1:3" s="7" customFormat="1" x14ac:dyDescent="0.2">
      <c r="A8768" s="6" t="str">
        <f>"TUBG2"</f>
        <v>TUBG2</v>
      </c>
      <c r="B8768" s="6">
        <v>0.20979020979020899</v>
      </c>
      <c r="C8768" s="6">
        <v>0.39982138727862698</v>
      </c>
    </row>
    <row r="8769" spans="1:3" s="7" customFormat="1" x14ac:dyDescent="0.2">
      <c r="A8769" s="6" t="str">
        <f>"PRXL2A"</f>
        <v>PRXL2A</v>
      </c>
      <c r="B8769" s="6">
        <v>0.20979020979020899</v>
      </c>
      <c r="C8769" s="6">
        <v>0.39982138727862698</v>
      </c>
    </row>
    <row r="8770" spans="1:3" s="7" customFormat="1" x14ac:dyDescent="0.2">
      <c r="A8770" s="6" t="str">
        <f>"SCAMP4"</f>
        <v>SCAMP4</v>
      </c>
      <c r="B8770" s="6">
        <v>0.20979020979020899</v>
      </c>
      <c r="C8770" s="6">
        <v>0.39982138727862698</v>
      </c>
    </row>
    <row r="8771" spans="1:3" s="7" customFormat="1" x14ac:dyDescent="0.2">
      <c r="A8771" s="6" t="str">
        <f>"AKAP3"</f>
        <v>AKAP3</v>
      </c>
      <c r="B8771" s="6">
        <v>0.20979020979020899</v>
      </c>
      <c r="C8771" s="6">
        <v>0.39982138727862698</v>
      </c>
    </row>
    <row r="8772" spans="1:3" s="7" customFormat="1" x14ac:dyDescent="0.2">
      <c r="A8772" s="6" t="str">
        <f>"NCMAP-DT"</f>
        <v>NCMAP-DT</v>
      </c>
      <c r="B8772" s="6">
        <v>0.20982599795291701</v>
      </c>
      <c r="C8772" s="6">
        <v>0.39984400065956599</v>
      </c>
    </row>
    <row r="8773" spans="1:3" s="7" customFormat="1" x14ac:dyDescent="0.2">
      <c r="A8773" s="6" t="str">
        <f>"ATG4B"</f>
        <v>ATG4B</v>
      </c>
      <c r="B8773" s="6">
        <v>0.21</v>
      </c>
      <c r="C8773" s="6">
        <v>0.40008434970933499</v>
      </c>
    </row>
    <row r="8774" spans="1:3" s="7" customFormat="1" x14ac:dyDescent="0.2">
      <c r="A8774" s="6" t="str">
        <f>"AK8"</f>
        <v>AK8</v>
      </c>
      <c r="B8774" s="6">
        <v>0.21</v>
      </c>
      <c r="C8774" s="6">
        <v>0.40008434970933499</v>
      </c>
    </row>
    <row r="8775" spans="1:3" s="7" customFormat="1" x14ac:dyDescent="0.2">
      <c r="A8775" s="6" t="str">
        <f>"AC006238.1"</f>
        <v>AC006238.1</v>
      </c>
      <c r="B8775" s="6">
        <v>0.21026156941649801</v>
      </c>
      <c r="C8775" s="6">
        <v>0.40053702658164603</v>
      </c>
    </row>
    <row r="8776" spans="1:3" s="7" customFormat="1" x14ac:dyDescent="0.2">
      <c r="A8776" s="6" t="str">
        <f>"CSNK1D"</f>
        <v>CSNK1D</v>
      </c>
      <c r="B8776" s="6">
        <v>0.21078921078921001</v>
      </c>
      <c r="C8776" s="6">
        <v>0.40090246576364003</v>
      </c>
    </row>
    <row r="8777" spans="1:3" s="7" customFormat="1" x14ac:dyDescent="0.2">
      <c r="A8777" s="6" t="str">
        <f>"ZNF528"</f>
        <v>ZNF528</v>
      </c>
      <c r="B8777" s="6">
        <v>0.21078921078921001</v>
      </c>
      <c r="C8777" s="6">
        <v>0.40090246576364003</v>
      </c>
    </row>
    <row r="8778" spans="1:3" s="7" customFormat="1" x14ac:dyDescent="0.2">
      <c r="A8778" s="6" t="str">
        <f>"R3HDM2"</f>
        <v>R3HDM2</v>
      </c>
      <c r="B8778" s="6">
        <v>0.21078921078921001</v>
      </c>
      <c r="C8778" s="6">
        <v>0.40090246576364003</v>
      </c>
    </row>
    <row r="8779" spans="1:3" s="7" customFormat="1" x14ac:dyDescent="0.2">
      <c r="A8779" s="6" t="str">
        <f>"TSPEAR-AS2"</f>
        <v>TSPEAR-AS2</v>
      </c>
      <c r="B8779" s="6">
        <v>0.21073961499493399</v>
      </c>
      <c r="C8779" s="6">
        <v>0.40090246576364003</v>
      </c>
    </row>
    <row r="8780" spans="1:3" s="7" customFormat="1" x14ac:dyDescent="0.2">
      <c r="A8780" s="6" t="str">
        <f>"ZNF429"</f>
        <v>ZNF429</v>
      </c>
      <c r="B8780" s="6">
        <v>0.21078921078921001</v>
      </c>
      <c r="C8780" s="6">
        <v>0.40090246576364003</v>
      </c>
    </row>
    <row r="8781" spans="1:3" s="7" customFormat="1" x14ac:dyDescent="0.2">
      <c r="A8781" s="6" t="str">
        <f>"AL356481.1"</f>
        <v>AL356481.1</v>
      </c>
      <c r="B8781" s="6">
        <v>0.21078921078921001</v>
      </c>
      <c r="C8781" s="6">
        <v>0.40090246576364003</v>
      </c>
    </row>
    <row r="8782" spans="1:3" s="7" customFormat="1" x14ac:dyDescent="0.2">
      <c r="A8782" s="6" t="str">
        <f>"COL9A1"</f>
        <v>COL9A1</v>
      </c>
      <c r="B8782" s="6">
        <v>0.21078921078921001</v>
      </c>
      <c r="C8782" s="6">
        <v>0.40090246576364003</v>
      </c>
    </row>
    <row r="8783" spans="1:3" s="7" customFormat="1" x14ac:dyDescent="0.2">
      <c r="A8783" s="6" t="str">
        <f>"SMIM34B"</f>
        <v>SMIM34B</v>
      </c>
      <c r="B8783" s="6">
        <v>0.21078921078921001</v>
      </c>
      <c r="C8783" s="6">
        <v>0.40090246576364003</v>
      </c>
    </row>
    <row r="8784" spans="1:3" s="7" customFormat="1" x14ac:dyDescent="0.2">
      <c r="A8784" s="6" t="str">
        <f>"ZNF519"</f>
        <v>ZNF519</v>
      </c>
      <c r="B8784" s="6">
        <v>0.21078921078921001</v>
      </c>
      <c r="C8784" s="6">
        <v>0.40090246576364003</v>
      </c>
    </row>
    <row r="8785" spans="1:3" s="7" customFormat="1" x14ac:dyDescent="0.2">
      <c r="A8785" s="6" t="str">
        <f>"AC091057.1"</f>
        <v>AC091057.1</v>
      </c>
      <c r="B8785" s="6">
        <v>0.21078921078921001</v>
      </c>
      <c r="C8785" s="6">
        <v>0.40090246576364003</v>
      </c>
    </row>
    <row r="8786" spans="1:3" s="7" customFormat="1" x14ac:dyDescent="0.2">
      <c r="A8786" s="6" t="str">
        <f>"NT5C2"</f>
        <v>NT5C2</v>
      </c>
      <c r="B8786" s="6">
        <v>0.21078921078921001</v>
      </c>
      <c r="C8786" s="6">
        <v>0.40090246576364003</v>
      </c>
    </row>
    <row r="8787" spans="1:3" s="7" customFormat="1" x14ac:dyDescent="0.2">
      <c r="A8787" s="6" t="str">
        <f>"FEZ2"</f>
        <v>FEZ2</v>
      </c>
      <c r="B8787" s="6">
        <v>0.21078921078921001</v>
      </c>
      <c r="C8787" s="6">
        <v>0.40090246576364003</v>
      </c>
    </row>
    <row r="8788" spans="1:3" s="7" customFormat="1" x14ac:dyDescent="0.2">
      <c r="A8788" s="6" t="str">
        <f>"GOLM1"</f>
        <v>GOLM1</v>
      </c>
      <c r="B8788" s="6">
        <v>0.21078921078921001</v>
      </c>
      <c r="C8788" s="6">
        <v>0.40090246576364003</v>
      </c>
    </row>
    <row r="8789" spans="1:3" s="7" customFormat="1" x14ac:dyDescent="0.2">
      <c r="A8789" s="6" t="str">
        <f>"ID4"</f>
        <v>ID4</v>
      </c>
      <c r="B8789" s="6">
        <v>0.21078921078921001</v>
      </c>
      <c r="C8789" s="6">
        <v>0.40090246576364003</v>
      </c>
    </row>
    <row r="8790" spans="1:3" s="7" customFormat="1" x14ac:dyDescent="0.2">
      <c r="A8790" s="6" t="str">
        <f>"LYL1"</f>
        <v>LYL1</v>
      </c>
      <c r="B8790" s="6">
        <v>0.21099999999999999</v>
      </c>
      <c r="C8790" s="6">
        <v>0.40121205915813402</v>
      </c>
    </row>
    <row r="8791" spans="1:3" s="7" customFormat="1" x14ac:dyDescent="0.2">
      <c r="A8791" s="6" t="str">
        <f>"SPIN2B"</f>
        <v>SPIN2B</v>
      </c>
      <c r="B8791" s="6">
        <v>0.21099999999999999</v>
      </c>
      <c r="C8791" s="6">
        <v>0.40121205915813402</v>
      </c>
    </row>
    <row r="8792" spans="1:3" s="7" customFormat="1" x14ac:dyDescent="0.2">
      <c r="A8792" s="6" t="str">
        <f>"IGHV3-15"</f>
        <v>IGHV3-15</v>
      </c>
      <c r="B8792" s="6">
        <v>0.211788211788211</v>
      </c>
      <c r="C8792" s="6">
        <v>0.40188784875433298</v>
      </c>
    </row>
    <row r="8793" spans="1:3" s="7" customFormat="1" x14ac:dyDescent="0.2">
      <c r="A8793" s="6" t="str">
        <f>"AL669830.1"</f>
        <v>AL669830.1</v>
      </c>
      <c r="B8793" s="6">
        <v>0.211788211788211</v>
      </c>
      <c r="C8793" s="6">
        <v>0.40188784875433298</v>
      </c>
    </row>
    <row r="8794" spans="1:3" s="7" customFormat="1" x14ac:dyDescent="0.2">
      <c r="A8794" s="6" t="str">
        <f>"NIFK-AS1"</f>
        <v>NIFK-AS1</v>
      </c>
      <c r="B8794" s="6">
        <v>0.211788211788211</v>
      </c>
      <c r="C8794" s="6">
        <v>0.40188784875433298</v>
      </c>
    </row>
    <row r="8795" spans="1:3" s="7" customFormat="1" x14ac:dyDescent="0.2">
      <c r="A8795" s="6" t="str">
        <f>"BTN3A3"</f>
        <v>BTN3A3</v>
      </c>
      <c r="B8795" s="6">
        <v>0.211788211788211</v>
      </c>
      <c r="C8795" s="6">
        <v>0.40188784875433298</v>
      </c>
    </row>
    <row r="8796" spans="1:3" s="7" customFormat="1" x14ac:dyDescent="0.2">
      <c r="A8796" s="6" t="str">
        <f>"KRT39"</f>
        <v>KRT39</v>
      </c>
      <c r="B8796" s="6">
        <v>0.211788211788211</v>
      </c>
      <c r="C8796" s="6">
        <v>0.40188784875433298</v>
      </c>
    </row>
    <row r="8797" spans="1:3" s="7" customFormat="1" x14ac:dyDescent="0.2">
      <c r="A8797" s="6" t="str">
        <f>"BCL2L14"</f>
        <v>BCL2L14</v>
      </c>
      <c r="B8797" s="6">
        <v>0.211788211788211</v>
      </c>
      <c r="C8797" s="6">
        <v>0.40188784875433298</v>
      </c>
    </row>
    <row r="8798" spans="1:3" s="7" customFormat="1" x14ac:dyDescent="0.2">
      <c r="A8798" s="6" t="str">
        <f>"ELOA-AS1"</f>
        <v>ELOA-AS1</v>
      </c>
      <c r="B8798" s="6">
        <v>0.211788211788211</v>
      </c>
      <c r="C8798" s="6">
        <v>0.40188784875433298</v>
      </c>
    </row>
    <row r="8799" spans="1:3" s="7" customFormat="1" x14ac:dyDescent="0.2">
      <c r="A8799" s="6" t="str">
        <f>"ANKRD9"</f>
        <v>ANKRD9</v>
      </c>
      <c r="B8799" s="6">
        <v>0.211788211788211</v>
      </c>
      <c r="C8799" s="6">
        <v>0.40188784875433298</v>
      </c>
    </row>
    <row r="8800" spans="1:3" s="7" customFormat="1" x14ac:dyDescent="0.2">
      <c r="A8800" s="6" t="str">
        <f>"AC020663.4"</f>
        <v>AC020663.4</v>
      </c>
      <c r="B8800" s="6">
        <v>0.211788211788211</v>
      </c>
      <c r="C8800" s="6">
        <v>0.40188784875433298</v>
      </c>
    </row>
    <row r="8801" spans="1:3" s="7" customFormat="1" x14ac:dyDescent="0.2">
      <c r="A8801" s="6" t="str">
        <f>"LINC00330"</f>
        <v>LINC00330</v>
      </c>
      <c r="B8801" s="6">
        <v>0.211788211788211</v>
      </c>
      <c r="C8801" s="6">
        <v>0.40188784875433298</v>
      </c>
    </row>
    <row r="8802" spans="1:3" s="7" customFormat="1" x14ac:dyDescent="0.2">
      <c r="A8802" s="6" t="str">
        <f>"DGCR6L"</f>
        <v>DGCR6L</v>
      </c>
      <c r="B8802" s="6">
        <v>0.211788211788211</v>
      </c>
      <c r="C8802" s="6">
        <v>0.40188784875433298</v>
      </c>
    </row>
    <row r="8803" spans="1:3" s="7" customFormat="1" x14ac:dyDescent="0.2">
      <c r="A8803" s="6" t="str">
        <f>"RHBDL1"</f>
        <v>RHBDL1</v>
      </c>
      <c r="B8803" s="6">
        <v>0.211788211788211</v>
      </c>
      <c r="C8803" s="6">
        <v>0.40188784875433298</v>
      </c>
    </row>
    <row r="8804" spans="1:3" s="7" customFormat="1" x14ac:dyDescent="0.2">
      <c r="A8804" s="6" t="str">
        <f>"NR2F1-AS1"</f>
        <v>NR2F1-AS1</v>
      </c>
      <c r="B8804" s="6">
        <v>0.211788211788211</v>
      </c>
      <c r="C8804" s="6">
        <v>0.40188784875433298</v>
      </c>
    </row>
    <row r="8805" spans="1:3" s="7" customFormat="1" x14ac:dyDescent="0.2">
      <c r="A8805" s="6" t="str">
        <f>"FAM161A"</f>
        <v>FAM161A</v>
      </c>
      <c r="B8805" s="6">
        <v>0.211788211788211</v>
      </c>
      <c r="C8805" s="6">
        <v>0.40188784875433298</v>
      </c>
    </row>
    <row r="8806" spans="1:3" s="7" customFormat="1" x14ac:dyDescent="0.2">
      <c r="A8806" s="6" t="str">
        <f>"GPAT4"</f>
        <v>GPAT4</v>
      </c>
      <c r="B8806" s="6">
        <v>0.211788211788211</v>
      </c>
      <c r="C8806" s="6">
        <v>0.40188784875433298</v>
      </c>
    </row>
    <row r="8807" spans="1:3" s="7" customFormat="1" x14ac:dyDescent="0.2">
      <c r="A8807" s="6" t="str">
        <f>"Z95118.2"</f>
        <v>Z95118.2</v>
      </c>
      <c r="B8807" s="6">
        <v>0.211788211788211</v>
      </c>
      <c r="C8807" s="6">
        <v>0.40188784875433298</v>
      </c>
    </row>
    <row r="8808" spans="1:3" s="7" customFormat="1" x14ac:dyDescent="0.2">
      <c r="A8808" s="6" t="str">
        <f>"LINC00639"</f>
        <v>LINC00639</v>
      </c>
      <c r="B8808" s="6">
        <v>0.211788211788211</v>
      </c>
      <c r="C8808" s="6">
        <v>0.40188784875433298</v>
      </c>
    </row>
    <row r="8809" spans="1:3" s="7" customFormat="1" x14ac:dyDescent="0.2">
      <c r="A8809" s="6" t="str">
        <f>"DNAJC11"</f>
        <v>DNAJC11</v>
      </c>
      <c r="B8809" s="6">
        <v>0.211788211788211</v>
      </c>
      <c r="C8809" s="6">
        <v>0.40188784875433298</v>
      </c>
    </row>
    <row r="8810" spans="1:3" s="7" customFormat="1" x14ac:dyDescent="0.2">
      <c r="A8810" s="6" t="str">
        <f>"THRA"</f>
        <v>THRA</v>
      </c>
      <c r="B8810" s="6">
        <v>0.21199999999999999</v>
      </c>
      <c r="C8810" s="6">
        <v>0.40224406856623901</v>
      </c>
    </row>
    <row r="8811" spans="1:3" s="7" customFormat="1" x14ac:dyDescent="0.2">
      <c r="A8811" s="6" t="str">
        <f>"AC073264.3"</f>
        <v>AC073264.3</v>
      </c>
      <c r="B8811" s="6">
        <v>0.21240799158780199</v>
      </c>
      <c r="C8811" s="6">
        <v>0.40297243716214798</v>
      </c>
    </row>
    <row r="8812" spans="1:3" s="7" customFormat="1" x14ac:dyDescent="0.2">
      <c r="A8812" s="6" t="str">
        <f>"SLC34A2"</f>
        <v>SLC34A2</v>
      </c>
      <c r="B8812" s="6">
        <v>0.21278721278721199</v>
      </c>
      <c r="C8812" s="6">
        <v>0.40300571949297098</v>
      </c>
    </row>
    <row r="8813" spans="1:3" s="7" customFormat="1" x14ac:dyDescent="0.2">
      <c r="A8813" s="6" t="str">
        <f>"AC005062.1"</f>
        <v>AC005062.1</v>
      </c>
      <c r="B8813" s="6">
        <v>0.21263791374122301</v>
      </c>
      <c r="C8813" s="6">
        <v>0.40300571949297098</v>
      </c>
    </row>
    <row r="8814" spans="1:3" s="7" customFormat="1" x14ac:dyDescent="0.2">
      <c r="A8814" s="6" t="str">
        <f>"NIP7"</f>
        <v>NIP7</v>
      </c>
      <c r="B8814" s="6">
        <v>0.21278721278721199</v>
      </c>
      <c r="C8814" s="6">
        <v>0.40300571949297098</v>
      </c>
    </row>
    <row r="8815" spans="1:3" s="7" customFormat="1" x14ac:dyDescent="0.2">
      <c r="A8815" s="6" t="str">
        <f>"ZNF677"</f>
        <v>ZNF677</v>
      </c>
      <c r="B8815" s="6">
        <v>0.21278721278721199</v>
      </c>
      <c r="C8815" s="6">
        <v>0.40300571949297098</v>
      </c>
    </row>
    <row r="8816" spans="1:3" s="7" customFormat="1" x14ac:dyDescent="0.2">
      <c r="A8816" s="6" t="str">
        <f>"CDC20P1"</f>
        <v>CDC20P1</v>
      </c>
      <c r="B8816" s="6">
        <v>0.21278721278721199</v>
      </c>
      <c r="C8816" s="6">
        <v>0.40300571949297098</v>
      </c>
    </row>
    <row r="8817" spans="1:3" s="7" customFormat="1" x14ac:dyDescent="0.2">
      <c r="A8817" s="6" t="str">
        <f>"AGPAT5"</f>
        <v>AGPAT5</v>
      </c>
      <c r="B8817" s="6">
        <v>0.21278721278721199</v>
      </c>
      <c r="C8817" s="6">
        <v>0.40300571949297098</v>
      </c>
    </row>
    <row r="8818" spans="1:3" s="7" customFormat="1" x14ac:dyDescent="0.2">
      <c r="A8818" s="6" t="str">
        <f>"ITPRIPL2"</f>
        <v>ITPRIPL2</v>
      </c>
      <c r="B8818" s="6">
        <v>0.21278721278721199</v>
      </c>
      <c r="C8818" s="6">
        <v>0.40300571949297098</v>
      </c>
    </row>
    <row r="8819" spans="1:3" s="7" customFormat="1" x14ac:dyDescent="0.2">
      <c r="A8819" s="6" t="str">
        <f>"METTL21EP"</f>
        <v>METTL21EP</v>
      </c>
      <c r="B8819" s="6">
        <v>0.21278721278721199</v>
      </c>
      <c r="C8819" s="6">
        <v>0.40300571949297098</v>
      </c>
    </row>
    <row r="8820" spans="1:3" s="7" customFormat="1" x14ac:dyDescent="0.2">
      <c r="A8820" s="6" t="str">
        <f>"AGAP1"</f>
        <v>AGAP1</v>
      </c>
      <c r="B8820" s="6">
        <v>0.21278721278721199</v>
      </c>
      <c r="C8820" s="6">
        <v>0.40300571949297098</v>
      </c>
    </row>
    <row r="8821" spans="1:3" s="7" customFormat="1" x14ac:dyDescent="0.2">
      <c r="A8821" s="6" t="str">
        <f>"ATP13A2"</f>
        <v>ATP13A2</v>
      </c>
      <c r="B8821" s="6">
        <v>0.21278721278721199</v>
      </c>
      <c r="C8821" s="6">
        <v>0.40300571949297098</v>
      </c>
    </row>
    <row r="8822" spans="1:3" s="7" customFormat="1" x14ac:dyDescent="0.2">
      <c r="A8822" s="6" t="str">
        <f>"TEAD4"</f>
        <v>TEAD4</v>
      </c>
      <c r="B8822" s="6">
        <v>0.21278721278721199</v>
      </c>
      <c r="C8822" s="6">
        <v>0.40300571949297098</v>
      </c>
    </row>
    <row r="8823" spans="1:3" s="7" customFormat="1" x14ac:dyDescent="0.2">
      <c r="A8823" s="6" t="str">
        <f>"AL121672.2"</f>
        <v>AL121672.2</v>
      </c>
      <c r="B8823" s="6">
        <v>0.21278721278721199</v>
      </c>
      <c r="C8823" s="6">
        <v>0.40300571949297098</v>
      </c>
    </row>
    <row r="8824" spans="1:3" s="7" customFormat="1" x14ac:dyDescent="0.2">
      <c r="A8824" s="6" t="str">
        <f>"COX7A2"</f>
        <v>COX7A2</v>
      </c>
      <c r="B8824" s="6">
        <v>0.21278721278721199</v>
      </c>
      <c r="C8824" s="6">
        <v>0.40300571949297098</v>
      </c>
    </row>
    <row r="8825" spans="1:3" s="7" customFormat="1" x14ac:dyDescent="0.2">
      <c r="A8825" s="6" t="str">
        <f>"UST"</f>
        <v>UST</v>
      </c>
      <c r="B8825" s="6">
        <v>0.21278721278721199</v>
      </c>
      <c r="C8825" s="6">
        <v>0.40300571949297098</v>
      </c>
    </row>
    <row r="8826" spans="1:3" s="7" customFormat="1" x14ac:dyDescent="0.2">
      <c r="A8826" s="6" t="str">
        <f>"AC005224.3"</f>
        <v>AC005224.3</v>
      </c>
      <c r="B8826" s="6">
        <v>0.21278721278721199</v>
      </c>
      <c r="C8826" s="6">
        <v>0.40300571949297098</v>
      </c>
    </row>
    <row r="8827" spans="1:3" s="7" customFormat="1" x14ac:dyDescent="0.2">
      <c r="A8827" s="6" t="str">
        <f>"AC069277.1"</f>
        <v>AC069277.1</v>
      </c>
      <c r="B8827" s="6">
        <v>0.21299999999999999</v>
      </c>
      <c r="C8827" s="6">
        <v>0.40331732185340402</v>
      </c>
    </row>
    <row r="8828" spans="1:3" s="7" customFormat="1" x14ac:dyDescent="0.2">
      <c r="A8828" s="6" t="str">
        <f>"AC015908.2"</f>
        <v>AC015908.2</v>
      </c>
      <c r="B8828" s="6">
        <v>0.21299999999999999</v>
      </c>
      <c r="C8828" s="6">
        <v>0.40331732185340402</v>
      </c>
    </row>
    <row r="8829" spans="1:3" s="7" customFormat="1" x14ac:dyDescent="0.2">
      <c r="A8829" s="6" t="str">
        <f>"AC073593.2"</f>
        <v>AC073593.2</v>
      </c>
      <c r="B8829" s="6">
        <v>0.21317829457364301</v>
      </c>
      <c r="C8829" s="6">
        <v>0.40360919976255899</v>
      </c>
    </row>
    <row r="8830" spans="1:3" s="7" customFormat="1" x14ac:dyDescent="0.2">
      <c r="A8830" s="6" t="str">
        <f>"ZBTB32"</f>
        <v>ZBTB32</v>
      </c>
      <c r="B8830" s="6">
        <v>0.21378621378621299</v>
      </c>
      <c r="C8830" s="6">
        <v>0.40379961320180502</v>
      </c>
    </row>
    <row r="8831" spans="1:3" s="7" customFormat="1" x14ac:dyDescent="0.2">
      <c r="A8831" s="6" t="str">
        <f>"CIITA"</f>
        <v>CIITA</v>
      </c>
      <c r="B8831" s="6">
        <v>0.21378621378621299</v>
      </c>
      <c r="C8831" s="6">
        <v>0.40379961320180502</v>
      </c>
    </row>
    <row r="8832" spans="1:3" s="7" customFormat="1" x14ac:dyDescent="0.2">
      <c r="A8832" s="6" t="str">
        <f>"AP001120.5"</f>
        <v>AP001120.5</v>
      </c>
      <c r="B8832" s="6">
        <v>0.21355236139630299</v>
      </c>
      <c r="C8832" s="6">
        <v>0.40379961320180502</v>
      </c>
    </row>
    <row r="8833" spans="1:3" s="7" customFormat="1" x14ac:dyDescent="0.2">
      <c r="A8833" s="6" t="str">
        <f>"MRO"</f>
        <v>MRO</v>
      </c>
      <c r="B8833" s="6">
        <v>0.21378621378621299</v>
      </c>
      <c r="C8833" s="6">
        <v>0.40379961320180502</v>
      </c>
    </row>
    <row r="8834" spans="1:3" s="7" customFormat="1" x14ac:dyDescent="0.2">
      <c r="A8834" s="6" t="str">
        <f>"AL121658.1"</f>
        <v>AL121658.1</v>
      </c>
      <c r="B8834" s="6">
        <v>0.21364092276830399</v>
      </c>
      <c r="C8834" s="6">
        <v>0.40379961320180502</v>
      </c>
    </row>
    <row r="8835" spans="1:3" s="7" customFormat="1" x14ac:dyDescent="0.2">
      <c r="A8835" s="6" t="str">
        <f>"PI4KAP2"</f>
        <v>PI4KAP2</v>
      </c>
      <c r="B8835" s="6">
        <v>0.21378621378621299</v>
      </c>
      <c r="C8835" s="6">
        <v>0.40379961320180502</v>
      </c>
    </row>
    <row r="8836" spans="1:3" s="7" customFormat="1" x14ac:dyDescent="0.2">
      <c r="A8836" s="6" t="str">
        <f>"TMEM184B"</f>
        <v>TMEM184B</v>
      </c>
      <c r="B8836" s="6">
        <v>0.21378621378621299</v>
      </c>
      <c r="C8836" s="6">
        <v>0.40379961320180502</v>
      </c>
    </row>
    <row r="8837" spans="1:3" s="7" customFormat="1" x14ac:dyDescent="0.2">
      <c r="A8837" s="6" t="str">
        <f>"PRSS43P"</f>
        <v>PRSS43P</v>
      </c>
      <c r="B8837" s="6">
        <v>0.21378621378621299</v>
      </c>
      <c r="C8837" s="6">
        <v>0.40379961320180502</v>
      </c>
    </row>
    <row r="8838" spans="1:3" s="7" customFormat="1" x14ac:dyDescent="0.2">
      <c r="A8838" s="6" t="str">
        <f>"SCMH1"</f>
        <v>SCMH1</v>
      </c>
      <c r="B8838" s="6">
        <v>0.21378621378621299</v>
      </c>
      <c r="C8838" s="6">
        <v>0.40379961320180502</v>
      </c>
    </row>
    <row r="8839" spans="1:3" s="7" customFormat="1" x14ac:dyDescent="0.2">
      <c r="A8839" s="6" t="str">
        <f>"AC099329.1"</f>
        <v>AC099329.1</v>
      </c>
      <c r="B8839" s="6">
        <v>0.21378621378621299</v>
      </c>
      <c r="C8839" s="6">
        <v>0.40379961320180502</v>
      </c>
    </row>
    <row r="8840" spans="1:3" s="7" customFormat="1" x14ac:dyDescent="0.2">
      <c r="A8840" s="6" t="str">
        <f>"HGS"</f>
        <v>HGS</v>
      </c>
      <c r="B8840" s="6">
        <v>0.21378621378621299</v>
      </c>
      <c r="C8840" s="6">
        <v>0.40379961320180502</v>
      </c>
    </row>
    <row r="8841" spans="1:3" s="7" customFormat="1" x14ac:dyDescent="0.2">
      <c r="A8841" s="6" t="str">
        <f>"KIFC3"</f>
        <v>KIFC3</v>
      </c>
      <c r="B8841" s="6">
        <v>0.21378621378621299</v>
      </c>
      <c r="C8841" s="6">
        <v>0.40379961320180502</v>
      </c>
    </row>
    <row r="8842" spans="1:3" s="7" customFormat="1" x14ac:dyDescent="0.2">
      <c r="A8842" s="6" t="str">
        <f>"AC118757.1"</f>
        <v>AC118757.1</v>
      </c>
      <c r="B8842" s="6">
        <v>0.21378621378621299</v>
      </c>
      <c r="C8842" s="6">
        <v>0.40379961320180502</v>
      </c>
    </row>
    <row r="8843" spans="1:3" s="7" customFormat="1" x14ac:dyDescent="0.2">
      <c r="A8843" s="6" t="str">
        <f>"TTC12"</f>
        <v>TTC12</v>
      </c>
      <c r="B8843" s="6">
        <v>0.21378621378621299</v>
      </c>
      <c r="C8843" s="6">
        <v>0.40379961320180502</v>
      </c>
    </row>
    <row r="8844" spans="1:3" s="7" customFormat="1" x14ac:dyDescent="0.2">
      <c r="A8844" s="6" t="str">
        <f>"TSPOAP1"</f>
        <v>TSPOAP1</v>
      </c>
      <c r="B8844" s="6">
        <v>0.21378621378621299</v>
      </c>
      <c r="C8844" s="6">
        <v>0.40379961320180502</v>
      </c>
    </row>
    <row r="8845" spans="1:3" s="7" customFormat="1" x14ac:dyDescent="0.2">
      <c r="A8845" s="6" t="str">
        <f>"ATP6V1G1"</f>
        <v>ATP6V1G1</v>
      </c>
      <c r="B8845" s="6">
        <v>0.21378621378621299</v>
      </c>
      <c r="C8845" s="6">
        <v>0.40379961320180502</v>
      </c>
    </row>
    <row r="8846" spans="1:3" s="7" customFormat="1" x14ac:dyDescent="0.2">
      <c r="A8846" s="6" t="str">
        <f>"AC091544.4"</f>
        <v>AC091544.4</v>
      </c>
      <c r="B8846" s="6">
        <v>0.21378621378621299</v>
      </c>
      <c r="C8846" s="6">
        <v>0.40379961320180502</v>
      </c>
    </row>
    <row r="8847" spans="1:3" s="7" customFormat="1" x14ac:dyDescent="0.2">
      <c r="A8847" s="6" t="str">
        <f>"AL592211.2"</f>
        <v>AL592211.2</v>
      </c>
      <c r="B8847" s="6">
        <v>0.21355236139630299</v>
      </c>
      <c r="C8847" s="6">
        <v>0.40379961320180502</v>
      </c>
    </row>
    <row r="8848" spans="1:3" s="7" customFormat="1" x14ac:dyDescent="0.2">
      <c r="A8848" s="6" t="str">
        <f>"STK39"</f>
        <v>STK39</v>
      </c>
      <c r="B8848" s="6">
        <v>0.21378621378621299</v>
      </c>
      <c r="C8848" s="6">
        <v>0.40379961320180502</v>
      </c>
    </row>
    <row r="8849" spans="1:3" s="7" customFormat="1" x14ac:dyDescent="0.2">
      <c r="A8849" s="6" t="str">
        <f>"TCF19"</f>
        <v>TCF19</v>
      </c>
      <c r="B8849" s="6">
        <v>0.21378621378621299</v>
      </c>
      <c r="C8849" s="6">
        <v>0.40379961320180502</v>
      </c>
    </row>
    <row r="8850" spans="1:3" s="7" customFormat="1" x14ac:dyDescent="0.2">
      <c r="A8850" s="6" t="str">
        <f>"LMLN"</f>
        <v>LMLN</v>
      </c>
      <c r="B8850" s="6">
        <v>0.21378621378621299</v>
      </c>
      <c r="C8850" s="6">
        <v>0.40379961320180502</v>
      </c>
    </row>
    <row r="8851" spans="1:3" s="7" customFormat="1" x14ac:dyDescent="0.2">
      <c r="A8851" s="6" t="str">
        <f>"COMMD6"</f>
        <v>COMMD6</v>
      </c>
      <c r="B8851" s="6">
        <v>0.214</v>
      </c>
      <c r="C8851" s="6">
        <v>0.40415774011299399</v>
      </c>
    </row>
    <row r="8852" spans="1:3" s="7" customFormat="1" x14ac:dyDescent="0.2">
      <c r="A8852" s="6" t="str">
        <f>"TEX38"</f>
        <v>TEX38</v>
      </c>
      <c r="B8852" s="6">
        <v>0.214285714285714</v>
      </c>
      <c r="C8852" s="6">
        <v>0.40465161321561699</v>
      </c>
    </row>
    <row r="8853" spans="1:3" s="7" customFormat="1" x14ac:dyDescent="0.2">
      <c r="A8853" s="6" t="str">
        <f>"CTBP1"</f>
        <v>CTBP1</v>
      </c>
      <c r="B8853" s="6">
        <v>0.21478521478521401</v>
      </c>
      <c r="C8853" s="6">
        <v>0.40490864876157001</v>
      </c>
    </row>
    <row r="8854" spans="1:3" s="7" customFormat="1" x14ac:dyDescent="0.2">
      <c r="A8854" s="6" t="str">
        <f>"USP22"</f>
        <v>USP22</v>
      </c>
      <c r="B8854" s="6">
        <v>0.21478521478521401</v>
      </c>
      <c r="C8854" s="6">
        <v>0.40490864876157001</v>
      </c>
    </row>
    <row r="8855" spans="1:3" s="7" customFormat="1" x14ac:dyDescent="0.2">
      <c r="A8855" s="6" t="str">
        <f>"MROH2A"</f>
        <v>MROH2A</v>
      </c>
      <c r="B8855" s="6">
        <v>0.21478521478521401</v>
      </c>
      <c r="C8855" s="6">
        <v>0.40490864876157001</v>
      </c>
    </row>
    <row r="8856" spans="1:3" s="7" customFormat="1" x14ac:dyDescent="0.2">
      <c r="A8856" s="6" t="str">
        <f>"SLC40A1"</f>
        <v>SLC40A1</v>
      </c>
      <c r="B8856" s="6">
        <v>0.21478521478521401</v>
      </c>
      <c r="C8856" s="6">
        <v>0.40490864876157001</v>
      </c>
    </row>
    <row r="8857" spans="1:3" s="7" customFormat="1" x14ac:dyDescent="0.2">
      <c r="A8857" s="6" t="str">
        <f>"SH2D3A"</f>
        <v>SH2D3A</v>
      </c>
      <c r="B8857" s="6">
        <v>0.21478521478521401</v>
      </c>
      <c r="C8857" s="6">
        <v>0.40490864876157001</v>
      </c>
    </row>
    <row r="8858" spans="1:3" s="7" customFormat="1" x14ac:dyDescent="0.2">
      <c r="A8858" s="6" t="str">
        <f>"MAP1S"</f>
        <v>MAP1S</v>
      </c>
      <c r="B8858" s="6">
        <v>0.21478521478521401</v>
      </c>
      <c r="C8858" s="6">
        <v>0.40490864876157001</v>
      </c>
    </row>
    <row r="8859" spans="1:3" s="7" customFormat="1" x14ac:dyDescent="0.2">
      <c r="A8859" s="6" t="str">
        <f>"RSAD1"</f>
        <v>RSAD1</v>
      </c>
      <c r="B8859" s="6">
        <v>0.21478521478521401</v>
      </c>
      <c r="C8859" s="6">
        <v>0.40490864876157001</v>
      </c>
    </row>
    <row r="8860" spans="1:3" s="7" customFormat="1" x14ac:dyDescent="0.2">
      <c r="A8860" s="6" t="str">
        <f>"CCDC82"</f>
        <v>CCDC82</v>
      </c>
      <c r="B8860" s="6">
        <v>0.21478521478521401</v>
      </c>
      <c r="C8860" s="6">
        <v>0.40490864876157001</v>
      </c>
    </row>
    <row r="8861" spans="1:3" s="7" customFormat="1" x14ac:dyDescent="0.2">
      <c r="A8861" s="6" t="str">
        <f>"MANF"</f>
        <v>MANF</v>
      </c>
      <c r="B8861" s="6">
        <v>0.21478521478521401</v>
      </c>
      <c r="C8861" s="6">
        <v>0.40490864876157001</v>
      </c>
    </row>
    <row r="8862" spans="1:3" s="7" customFormat="1" x14ac:dyDescent="0.2">
      <c r="A8862" s="6" t="str">
        <f>"OPLAH"</f>
        <v>OPLAH</v>
      </c>
      <c r="B8862" s="6">
        <v>0.21478521478521401</v>
      </c>
      <c r="C8862" s="6">
        <v>0.40490864876157001</v>
      </c>
    </row>
    <row r="8863" spans="1:3" s="7" customFormat="1" x14ac:dyDescent="0.2">
      <c r="A8863" s="6" t="str">
        <f>"AC138207.7"</f>
        <v>AC138207.7</v>
      </c>
      <c r="B8863" s="6">
        <v>0.21478521478521401</v>
      </c>
      <c r="C8863" s="6">
        <v>0.40490864876157001</v>
      </c>
    </row>
    <row r="8864" spans="1:3" s="7" customFormat="1" x14ac:dyDescent="0.2">
      <c r="A8864" s="6" t="str">
        <f>"PRELP"</f>
        <v>PRELP</v>
      </c>
      <c r="B8864" s="6">
        <v>0.21478521478521401</v>
      </c>
      <c r="C8864" s="6">
        <v>0.40490864876157001</v>
      </c>
    </row>
    <row r="8865" spans="1:3" s="7" customFormat="1" x14ac:dyDescent="0.2">
      <c r="A8865" s="6" t="str">
        <f>"ABCC13"</f>
        <v>ABCC13</v>
      </c>
      <c r="B8865" s="6">
        <v>0.21478521478521401</v>
      </c>
      <c r="C8865" s="6">
        <v>0.40490864876157001</v>
      </c>
    </row>
    <row r="8866" spans="1:3" s="7" customFormat="1" x14ac:dyDescent="0.2">
      <c r="A8866" s="6" t="str">
        <f>"SYMPK"</f>
        <v>SYMPK</v>
      </c>
      <c r="B8866" s="6">
        <v>0.21478521478521401</v>
      </c>
      <c r="C8866" s="6">
        <v>0.40490864876157001</v>
      </c>
    </row>
    <row r="8867" spans="1:3" s="7" customFormat="1" x14ac:dyDescent="0.2">
      <c r="A8867" s="6" t="str">
        <f>"H2BC5"</f>
        <v>H2BC5</v>
      </c>
      <c r="B8867" s="6">
        <v>0.21478521478521401</v>
      </c>
      <c r="C8867" s="6">
        <v>0.40490864876157001</v>
      </c>
    </row>
    <row r="8868" spans="1:3" s="7" customFormat="1" x14ac:dyDescent="0.2">
      <c r="A8868" s="6" t="str">
        <f>"AC007920.2"</f>
        <v>AC007920.2</v>
      </c>
      <c r="B8868" s="6">
        <v>0.214867617107942</v>
      </c>
      <c r="C8868" s="6">
        <v>0.40501830972619302</v>
      </c>
    </row>
    <row r="8869" spans="1:3" s="7" customFormat="1" x14ac:dyDescent="0.2">
      <c r="A8869" s="6" t="str">
        <f>"RIOK3"</f>
        <v>RIOK3</v>
      </c>
      <c r="B8869" s="6">
        <v>0.215</v>
      </c>
      <c r="C8869" s="6">
        <v>0.40522214704555698</v>
      </c>
    </row>
    <row r="8870" spans="1:3" s="7" customFormat="1" x14ac:dyDescent="0.2">
      <c r="A8870" s="6" t="str">
        <f>"SLC35E1P1"</f>
        <v>SLC35E1P1</v>
      </c>
      <c r="B8870" s="6">
        <v>0.21503131524008301</v>
      </c>
      <c r="C8870" s="6">
        <v>0.405235472197852</v>
      </c>
    </row>
    <row r="8871" spans="1:3" s="7" customFormat="1" x14ac:dyDescent="0.2">
      <c r="A8871" s="6" t="str">
        <f>"GOT2"</f>
        <v>GOT2</v>
      </c>
      <c r="B8871" s="6">
        <v>0.215784215784215</v>
      </c>
      <c r="C8871" s="6">
        <v>0.40564811411735202</v>
      </c>
    </row>
    <row r="8872" spans="1:3" s="7" customFormat="1" x14ac:dyDescent="0.2">
      <c r="A8872" s="6" t="str">
        <f>"ABCG1"</f>
        <v>ABCG1</v>
      </c>
      <c r="B8872" s="6">
        <v>0.215784215784215</v>
      </c>
      <c r="C8872" s="6">
        <v>0.40564811411735202</v>
      </c>
    </row>
    <row r="8873" spans="1:3" s="7" customFormat="1" x14ac:dyDescent="0.2">
      <c r="A8873" s="6" t="str">
        <f>"TOMM34"</f>
        <v>TOMM34</v>
      </c>
      <c r="B8873" s="6">
        <v>0.215784215784215</v>
      </c>
      <c r="C8873" s="6">
        <v>0.40564811411735202</v>
      </c>
    </row>
    <row r="8874" spans="1:3" s="7" customFormat="1" x14ac:dyDescent="0.2">
      <c r="A8874" s="6" t="str">
        <f>"TPPP2"</f>
        <v>TPPP2</v>
      </c>
      <c r="B8874" s="6">
        <v>0.21558704453441199</v>
      </c>
      <c r="C8874" s="6">
        <v>0.40564811411735202</v>
      </c>
    </row>
    <row r="8875" spans="1:3" s="7" customFormat="1" x14ac:dyDescent="0.2">
      <c r="A8875" s="6" t="str">
        <f>"SYK"</f>
        <v>SYK</v>
      </c>
      <c r="B8875" s="6">
        <v>0.215784215784215</v>
      </c>
      <c r="C8875" s="6">
        <v>0.40564811411735202</v>
      </c>
    </row>
    <row r="8876" spans="1:3" s="7" customFormat="1" x14ac:dyDescent="0.2">
      <c r="A8876" s="6" t="str">
        <f>"ZNF512B"</f>
        <v>ZNF512B</v>
      </c>
      <c r="B8876" s="6">
        <v>0.215784215784215</v>
      </c>
      <c r="C8876" s="6">
        <v>0.40564811411735202</v>
      </c>
    </row>
    <row r="8877" spans="1:3" s="7" customFormat="1" x14ac:dyDescent="0.2">
      <c r="A8877" s="6" t="str">
        <f>"UPK3A"</f>
        <v>UPK3A</v>
      </c>
      <c r="B8877" s="6">
        <v>0.215784215784215</v>
      </c>
      <c r="C8877" s="6">
        <v>0.40564811411735202</v>
      </c>
    </row>
    <row r="8878" spans="1:3" s="7" customFormat="1" x14ac:dyDescent="0.2">
      <c r="A8878" s="6" t="str">
        <f>"RAB3GAP2"</f>
        <v>RAB3GAP2</v>
      </c>
      <c r="B8878" s="6">
        <v>0.215784215784215</v>
      </c>
      <c r="C8878" s="6">
        <v>0.40564811411735202</v>
      </c>
    </row>
    <row r="8879" spans="1:3" s="7" customFormat="1" x14ac:dyDescent="0.2">
      <c r="A8879" s="6" t="str">
        <f>"WASF3"</f>
        <v>WASF3</v>
      </c>
      <c r="B8879" s="6">
        <v>0.215784215784215</v>
      </c>
      <c r="C8879" s="6">
        <v>0.40564811411735202</v>
      </c>
    </row>
    <row r="8880" spans="1:3" s="7" customFormat="1" x14ac:dyDescent="0.2">
      <c r="A8880" s="6" t="str">
        <f>"STAMBPL1"</f>
        <v>STAMBPL1</v>
      </c>
      <c r="B8880" s="6">
        <v>0.215784215784215</v>
      </c>
      <c r="C8880" s="6">
        <v>0.40564811411735202</v>
      </c>
    </row>
    <row r="8881" spans="1:3" s="7" customFormat="1" x14ac:dyDescent="0.2">
      <c r="A8881" s="6" t="str">
        <f>"LINC00339"</f>
        <v>LINC00339</v>
      </c>
      <c r="B8881" s="6">
        <v>0.215784215784215</v>
      </c>
      <c r="C8881" s="6">
        <v>0.40564811411735202</v>
      </c>
    </row>
    <row r="8882" spans="1:3" s="7" customFormat="1" x14ac:dyDescent="0.2">
      <c r="A8882" s="6" t="str">
        <f>"SLC25A15"</f>
        <v>SLC25A15</v>
      </c>
      <c r="B8882" s="6">
        <v>0.215784215784215</v>
      </c>
      <c r="C8882" s="6">
        <v>0.40564811411735202</v>
      </c>
    </row>
    <row r="8883" spans="1:3" s="7" customFormat="1" x14ac:dyDescent="0.2">
      <c r="A8883" s="6" t="str">
        <f>"XPO1"</f>
        <v>XPO1</v>
      </c>
      <c r="B8883" s="6">
        <v>0.215784215784215</v>
      </c>
      <c r="C8883" s="6">
        <v>0.40564811411735202</v>
      </c>
    </row>
    <row r="8884" spans="1:3" s="7" customFormat="1" x14ac:dyDescent="0.2">
      <c r="A8884" s="6" t="str">
        <f>"AP1AR"</f>
        <v>AP1AR</v>
      </c>
      <c r="B8884" s="6">
        <v>0.215784215784215</v>
      </c>
      <c r="C8884" s="6">
        <v>0.40564811411735202</v>
      </c>
    </row>
    <row r="8885" spans="1:3" s="7" customFormat="1" x14ac:dyDescent="0.2">
      <c r="A8885" s="6" t="str">
        <f>"GCAT"</f>
        <v>GCAT</v>
      </c>
      <c r="B8885" s="6">
        <v>0.215784215784215</v>
      </c>
      <c r="C8885" s="6">
        <v>0.40564811411735202</v>
      </c>
    </row>
    <row r="8886" spans="1:3" s="7" customFormat="1" x14ac:dyDescent="0.2">
      <c r="A8886" s="6" t="str">
        <f>"FBXW5"</f>
        <v>FBXW5</v>
      </c>
      <c r="B8886" s="6">
        <v>0.215784215784215</v>
      </c>
      <c r="C8886" s="6">
        <v>0.40564811411735202</v>
      </c>
    </row>
    <row r="8887" spans="1:3" s="7" customFormat="1" x14ac:dyDescent="0.2">
      <c r="A8887" s="6" t="str">
        <f>"LAX1"</f>
        <v>LAX1</v>
      </c>
      <c r="B8887" s="6">
        <v>0.215784215784215</v>
      </c>
      <c r="C8887" s="6">
        <v>0.40564811411735202</v>
      </c>
    </row>
    <row r="8888" spans="1:3" s="7" customFormat="1" x14ac:dyDescent="0.2">
      <c r="A8888" s="6" t="str">
        <f>"MRPL36"</f>
        <v>MRPL36</v>
      </c>
      <c r="B8888" s="6">
        <v>0.215784215784215</v>
      </c>
      <c r="C8888" s="6">
        <v>0.40564811411735202</v>
      </c>
    </row>
    <row r="8889" spans="1:3" s="7" customFormat="1" x14ac:dyDescent="0.2">
      <c r="A8889" s="6" t="str">
        <f>"TWIST2"</f>
        <v>TWIST2</v>
      </c>
      <c r="B8889" s="6">
        <v>0.215784215784215</v>
      </c>
      <c r="C8889" s="6">
        <v>0.40564811411735202</v>
      </c>
    </row>
    <row r="8890" spans="1:3" s="7" customFormat="1" x14ac:dyDescent="0.2">
      <c r="A8890" s="6" t="str">
        <f>"WDR49"</f>
        <v>WDR49</v>
      </c>
      <c r="B8890" s="6">
        <v>0.215784215784215</v>
      </c>
      <c r="C8890" s="6">
        <v>0.40564811411735202</v>
      </c>
    </row>
    <row r="8891" spans="1:3" s="7" customFormat="1" x14ac:dyDescent="0.2">
      <c r="A8891" s="6" t="str">
        <f>"OSCP1"</f>
        <v>OSCP1</v>
      </c>
      <c r="B8891" s="6">
        <v>0.215784215784215</v>
      </c>
      <c r="C8891" s="6">
        <v>0.40564811411735202</v>
      </c>
    </row>
    <row r="8892" spans="1:3" s="7" customFormat="1" x14ac:dyDescent="0.2">
      <c r="A8892" s="6" t="str">
        <f>"LCORL"</f>
        <v>LCORL</v>
      </c>
      <c r="B8892" s="6">
        <v>0.215784215784215</v>
      </c>
      <c r="C8892" s="6">
        <v>0.40564811411735202</v>
      </c>
    </row>
    <row r="8893" spans="1:3" s="7" customFormat="1" x14ac:dyDescent="0.2">
      <c r="A8893" s="6" t="str">
        <f>"LATS2"</f>
        <v>LATS2</v>
      </c>
      <c r="B8893" s="6">
        <v>0.216</v>
      </c>
      <c r="C8893" s="6">
        <v>0.40587116357504199</v>
      </c>
    </row>
    <row r="8894" spans="1:3" s="7" customFormat="1" x14ac:dyDescent="0.2">
      <c r="A8894" s="6" t="str">
        <f>"AP005329.3"</f>
        <v>AP005329.3</v>
      </c>
      <c r="B8894" s="6">
        <v>0.216</v>
      </c>
      <c r="C8894" s="6">
        <v>0.40587116357504199</v>
      </c>
    </row>
    <row r="8895" spans="1:3" s="7" customFormat="1" x14ac:dyDescent="0.2">
      <c r="A8895" s="6" t="str">
        <f>"AC005064.1"</f>
        <v>AC005064.1</v>
      </c>
      <c r="B8895" s="6">
        <v>0.216</v>
      </c>
      <c r="C8895" s="6">
        <v>0.40587116357504199</v>
      </c>
    </row>
    <row r="8896" spans="1:3" s="7" customFormat="1" x14ac:dyDescent="0.2">
      <c r="A8896" s="6" t="str">
        <f>"IK"</f>
        <v>IK</v>
      </c>
      <c r="B8896" s="6">
        <v>0.216</v>
      </c>
      <c r="C8896" s="6">
        <v>0.40587116357504199</v>
      </c>
    </row>
    <row r="8897" spans="1:3" s="7" customFormat="1" x14ac:dyDescent="0.2">
      <c r="A8897" s="6" t="str">
        <f>"LINC00092"</f>
        <v>LINC00092</v>
      </c>
      <c r="B8897" s="6">
        <v>0.21607515657619999</v>
      </c>
      <c r="C8897" s="6">
        <v>0.40596674539282901</v>
      </c>
    </row>
    <row r="8898" spans="1:3" s="7" customFormat="1" x14ac:dyDescent="0.2">
      <c r="A8898" s="6" t="str">
        <f>"AC091178.2"</f>
        <v>AC091178.2</v>
      </c>
      <c r="B8898" s="6">
        <v>0.21621621621621601</v>
      </c>
      <c r="C8898" s="6">
        <v>0.40618611192962101</v>
      </c>
    </row>
    <row r="8899" spans="1:3" s="7" customFormat="1" x14ac:dyDescent="0.2">
      <c r="A8899" s="6" t="str">
        <f>"A2M-AS1"</f>
        <v>A2M-AS1</v>
      </c>
      <c r="B8899" s="6">
        <v>0.21629778672032099</v>
      </c>
      <c r="C8899" s="6">
        <v>0.406293684787981</v>
      </c>
    </row>
    <row r="8900" spans="1:3" s="7" customFormat="1" x14ac:dyDescent="0.2">
      <c r="A8900" s="6" t="str">
        <f>"BEX2"</f>
        <v>BEX2</v>
      </c>
      <c r="B8900" s="6">
        <v>0.21678321678321599</v>
      </c>
      <c r="C8900" s="6">
        <v>0.40647461132092</v>
      </c>
    </row>
    <row r="8901" spans="1:3" s="7" customFormat="1" x14ac:dyDescent="0.2">
      <c r="A8901" s="6" t="str">
        <f>"PGAP1"</f>
        <v>PGAP1</v>
      </c>
      <c r="B8901" s="6">
        <v>0.21678321678321599</v>
      </c>
      <c r="C8901" s="6">
        <v>0.40647461132092</v>
      </c>
    </row>
    <row r="8902" spans="1:3" s="7" customFormat="1" x14ac:dyDescent="0.2">
      <c r="A8902" s="6" t="str">
        <f>"ZNF732"</f>
        <v>ZNF732</v>
      </c>
      <c r="B8902" s="6">
        <v>0.21678321678321599</v>
      </c>
      <c r="C8902" s="6">
        <v>0.40647461132092</v>
      </c>
    </row>
    <row r="8903" spans="1:3" s="7" customFormat="1" x14ac:dyDescent="0.2">
      <c r="A8903" s="6" t="str">
        <f>"OR7E38P"</f>
        <v>OR7E38P</v>
      </c>
      <c r="B8903" s="6">
        <v>0.21678321678321599</v>
      </c>
      <c r="C8903" s="6">
        <v>0.40647461132092</v>
      </c>
    </row>
    <row r="8904" spans="1:3" s="7" customFormat="1" x14ac:dyDescent="0.2">
      <c r="A8904" s="6" t="str">
        <f>"AKAP8"</f>
        <v>AKAP8</v>
      </c>
      <c r="B8904" s="6">
        <v>0.21678321678321599</v>
      </c>
      <c r="C8904" s="6">
        <v>0.40647461132092</v>
      </c>
    </row>
    <row r="8905" spans="1:3" s="7" customFormat="1" x14ac:dyDescent="0.2">
      <c r="A8905" s="6" t="str">
        <f>"RAB3B"</f>
        <v>RAB3B</v>
      </c>
      <c r="B8905" s="6">
        <v>0.21678321678321599</v>
      </c>
      <c r="C8905" s="6">
        <v>0.40647461132092</v>
      </c>
    </row>
    <row r="8906" spans="1:3" s="7" customFormat="1" x14ac:dyDescent="0.2">
      <c r="A8906" s="6" t="str">
        <f>"ADAMTS7P4"</f>
        <v>ADAMTS7P4</v>
      </c>
      <c r="B8906" s="6">
        <v>0.21678321678321599</v>
      </c>
      <c r="C8906" s="6">
        <v>0.40647461132092</v>
      </c>
    </row>
    <row r="8907" spans="1:3" s="7" customFormat="1" x14ac:dyDescent="0.2">
      <c r="A8907" s="6" t="str">
        <f>"AP001099.1"</f>
        <v>AP001099.1</v>
      </c>
      <c r="B8907" s="6">
        <v>0.21678321678321599</v>
      </c>
      <c r="C8907" s="6">
        <v>0.40647461132092</v>
      </c>
    </row>
    <row r="8908" spans="1:3" s="7" customFormat="1" x14ac:dyDescent="0.2">
      <c r="A8908" s="6" t="str">
        <f>"ZFAND2A"</f>
        <v>ZFAND2A</v>
      </c>
      <c r="B8908" s="6">
        <v>0.21678321678321599</v>
      </c>
      <c r="C8908" s="6">
        <v>0.40647461132092</v>
      </c>
    </row>
    <row r="8909" spans="1:3" s="7" customFormat="1" x14ac:dyDescent="0.2">
      <c r="A8909" s="6" t="str">
        <f>"RRAGD"</f>
        <v>RRAGD</v>
      </c>
      <c r="B8909" s="6">
        <v>0.21678321678321599</v>
      </c>
      <c r="C8909" s="6">
        <v>0.40647461132092</v>
      </c>
    </row>
    <row r="8910" spans="1:3" s="7" customFormat="1" x14ac:dyDescent="0.2">
      <c r="A8910" s="6" t="str">
        <f>"EPHA5"</f>
        <v>EPHA5</v>
      </c>
      <c r="B8910" s="6">
        <v>0.21678321678321599</v>
      </c>
      <c r="C8910" s="6">
        <v>0.40647461132092</v>
      </c>
    </row>
    <row r="8911" spans="1:3" s="7" customFormat="1" x14ac:dyDescent="0.2">
      <c r="A8911" s="6" t="str">
        <f>"AC026150.2"</f>
        <v>AC026150.2</v>
      </c>
      <c r="B8911" s="6">
        <v>0.21678321678321599</v>
      </c>
      <c r="C8911" s="6">
        <v>0.40647461132092</v>
      </c>
    </row>
    <row r="8912" spans="1:3" s="7" customFormat="1" x14ac:dyDescent="0.2">
      <c r="A8912" s="6" t="str">
        <f>"KDF1"</f>
        <v>KDF1</v>
      </c>
      <c r="B8912" s="6">
        <v>0.21678321678321599</v>
      </c>
      <c r="C8912" s="6">
        <v>0.40647461132092</v>
      </c>
    </row>
    <row r="8913" spans="1:3" s="7" customFormat="1" x14ac:dyDescent="0.2">
      <c r="A8913" s="6" t="str">
        <f>"ZNF148"</f>
        <v>ZNF148</v>
      </c>
      <c r="B8913" s="6">
        <v>0.21678321678321599</v>
      </c>
      <c r="C8913" s="6">
        <v>0.40647461132092</v>
      </c>
    </row>
    <row r="8914" spans="1:3" s="7" customFormat="1" x14ac:dyDescent="0.2">
      <c r="A8914" s="6" t="str">
        <f>"LINC01983"</f>
        <v>LINC01983</v>
      </c>
      <c r="B8914" s="6">
        <v>0.21678321678321599</v>
      </c>
      <c r="C8914" s="6">
        <v>0.40647461132092</v>
      </c>
    </row>
    <row r="8915" spans="1:3" s="7" customFormat="1" x14ac:dyDescent="0.2">
      <c r="A8915" s="6" t="str">
        <f>"FICD"</f>
        <v>FICD</v>
      </c>
      <c r="B8915" s="6">
        <v>0.21678321678321599</v>
      </c>
      <c r="C8915" s="6">
        <v>0.40647461132092</v>
      </c>
    </row>
    <row r="8916" spans="1:3" s="7" customFormat="1" x14ac:dyDescent="0.2">
      <c r="A8916" s="6" t="str">
        <f>"AC008770.3"</f>
        <v>AC008770.3</v>
      </c>
      <c r="B8916" s="6">
        <v>0.217</v>
      </c>
      <c r="C8916" s="6">
        <v>0.40683544587773401</v>
      </c>
    </row>
    <row r="8917" spans="1:3" s="7" customFormat="1" x14ac:dyDescent="0.2">
      <c r="A8917" s="6" t="str">
        <f>"TBL1Y"</f>
        <v>TBL1Y</v>
      </c>
      <c r="B8917" s="6">
        <v>0.21729957805907099</v>
      </c>
      <c r="C8917" s="6">
        <v>0.40735140732159297</v>
      </c>
    </row>
    <row r="8918" spans="1:3" s="7" customFormat="1" x14ac:dyDescent="0.2">
      <c r="A8918" s="6" t="str">
        <f>"AL356234.3"</f>
        <v>AL356234.3</v>
      </c>
      <c r="B8918" s="6">
        <v>0.21778221778221701</v>
      </c>
      <c r="C8918" s="6">
        <v>0.407661774892147</v>
      </c>
    </row>
    <row r="8919" spans="1:3" s="7" customFormat="1" x14ac:dyDescent="0.2">
      <c r="A8919" s="6" t="str">
        <f>"MGP"</f>
        <v>MGP</v>
      </c>
      <c r="B8919" s="6">
        <v>0.21778221778221701</v>
      </c>
      <c r="C8919" s="6">
        <v>0.407661774892147</v>
      </c>
    </row>
    <row r="8920" spans="1:3" s="7" customFormat="1" x14ac:dyDescent="0.2">
      <c r="A8920" s="6" t="str">
        <f>"LINC00674"</f>
        <v>LINC00674</v>
      </c>
      <c r="B8920" s="6">
        <v>0.21778221778221701</v>
      </c>
      <c r="C8920" s="6">
        <v>0.407661774892147</v>
      </c>
    </row>
    <row r="8921" spans="1:3" s="7" customFormat="1" x14ac:dyDescent="0.2">
      <c r="A8921" s="6" t="str">
        <f>"LINC02783"</f>
        <v>LINC02783</v>
      </c>
      <c r="B8921" s="6">
        <v>0.21778221778221701</v>
      </c>
      <c r="C8921" s="6">
        <v>0.407661774892147</v>
      </c>
    </row>
    <row r="8922" spans="1:3" s="7" customFormat="1" x14ac:dyDescent="0.2">
      <c r="A8922" s="6" t="str">
        <f>"AP003084.1"</f>
        <v>AP003084.1</v>
      </c>
      <c r="B8922" s="6">
        <v>0.21778221778221701</v>
      </c>
      <c r="C8922" s="6">
        <v>0.407661774892147</v>
      </c>
    </row>
    <row r="8923" spans="1:3" s="7" customFormat="1" x14ac:dyDescent="0.2">
      <c r="A8923" s="6" t="str">
        <f>"AL109627.1"</f>
        <v>AL109627.1</v>
      </c>
      <c r="B8923" s="6">
        <v>0.21778221778221701</v>
      </c>
      <c r="C8923" s="6">
        <v>0.407661774892147</v>
      </c>
    </row>
    <row r="8924" spans="1:3" s="7" customFormat="1" x14ac:dyDescent="0.2">
      <c r="A8924" s="6" t="str">
        <f>"CCDC6"</f>
        <v>CCDC6</v>
      </c>
      <c r="B8924" s="6">
        <v>0.21778221778221701</v>
      </c>
      <c r="C8924" s="6">
        <v>0.407661774892147</v>
      </c>
    </row>
    <row r="8925" spans="1:3" s="7" customFormat="1" x14ac:dyDescent="0.2">
      <c r="A8925" s="6" t="str">
        <f>"AL357153.3"</f>
        <v>AL357153.3</v>
      </c>
      <c r="B8925" s="6">
        <v>0.21778221778221701</v>
      </c>
      <c r="C8925" s="6">
        <v>0.407661774892147</v>
      </c>
    </row>
    <row r="8926" spans="1:3" s="7" customFormat="1" x14ac:dyDescent="0.2">
      <c r="A8926" s="6" t="str">
        <f>"PINLYP"</f>
        <v>PINLYP</v>
      </c>
      <c r="B8926" s="6">
        <v>0.21778221778221701</v>
      </c>
      <c r="C8926" s="6">
        <v>0.407661774892147</v>
      </c>
    </row>
    <row r="8927" spans="1:3" s="7" customFormat="1" x14ac:dyDescent="0.2">
      <c r="A8927" s="6" t="str">
        <f>"PINK1"</f>
        <v>PINK1</v>
      </c>
      <c r="B8927" s="6">
        <v>0.21778221778221701</v>
      </c>
      <c r="C8927" s="6">
        <v>0.407661774892147</v>
      </c>
    </row>
    <row r="8928" spans="1:3" s="7" customFormat="1" x14ac:dyDescent="0.2">
      <c r="A8928" s="6" t="str">
        <f>"ATP6V1G3"</f>
        <v>ATP6V1G3</v>
      </c>
      <c r="B8928" s="6">
        <v>0.21778221778221701</v>
      </c>
      <c r="C8928" s="6">
        <v>0.407661774892147</v>
      </c>
    </row>
    <row r="8929" spans="1:3" s="7" customFormat="1" x14ac:dyDescent="0.2">
      <c r="A8929" s="6" t="str">
        <f>"IL9R"</f>
        <v>IL9R</v>
      </c>
      <c r="B8929" s="6">
        <v>0.21778221778221701</v>
      </c>
      <c r="C8929" s="6">
        <v>0.407661774892147</v>
      </c>
    </row>
    <row r="8930" spans="1:3" s="7" customFormat="1" x14ac:dyDescent="0.2">
      <c r="A8930" s="6" t="str">
        <f>"DNAJB9"</f>
        <v>DNAJB9</v>
      </c>
      <c r="B8930" s="6">
        <v>0.21778221778221701</v>
      </c>
      <c r="C8930" s="6">
        <v>0.407661774892147</v>
      </c>
    </row>
    <row r="8931" spans="1:3" s="7" customFormat="1" x14ac:dyDescent="0.2">
      <c r="A8931" s="6" t="str">
        <f>"AC024610.2"</f>
        <v>AC024610.2</v>
      </c>
      <c r="B8931" s="6">
        <v>0.218</v>
      </c>
      <c r="C8931" s="6">
        <v>0.40802374020156701</v>
      </c>
    </row>
    <row r="8932" spans="1:3" s="7" customFormat="1" x14ac:dyDescent="0.2">
      <c r="A8932" s="6" t="str">
        <f>"CEP170"</f>
        <v>CEP170</v>
      </c>
      <c r="B8932" s="6">
        <v>0.21878121878121801</v>
      </c>
      <c r="C8932" s="6">
        <v>0.40870786752087701</v>
      </c>
    </row>
    <row r="8933" spans="1:3" s="7" customFormat="1" x14ac:dyDescent="0.2">
      <c r="A8933" s="6" t="str">
        <f>"PUS10"</f>
        <v>PUS10</v>
      </c>
      <c r="B8933" s="6">
        <v>0.21878121878121801</v>
      </c>
      <c r="C8933" s="6">
        <v>0.40870786752087701</v>
      </c>
    </row>
    <row r="8934" spans="1:3" s="7" customFormat="1" x14ac:dyDescent="0.2">
      <c r="A8934" s="6" t="str">
        <f>"C7orf31"</f>
        <v>C7orf31</v>
      </c>
      <c r="B8934" s="6">
        <v>0.21878121878121801</v>
      </c>
      <c r="C8934" s="6">
        <v>0.40870786752087701</v>
      </c>
    </row>
    <row r="8935" spans="1:3" s="7" customFormat="1" x14ac:dyDescent="0.2">
      <c r="A8935" s="6" t="str">
        <f>"RASL11A"</f>
        <v>RASL11A</v>
      </c>
      <c r="B8935" s="6">
        <v>0.21878121878121801</v>
      </c>
      <c r="C8935" s="6">
        <v>0.40870786752087701</v>
      </c>
    </row>
    <row r="8936" spans="1:3" s="7" customFormat="1" x14ac:dyDescent="0.2">
      <c r="A8936" s="6" t="str">
        <f>"TAF8"</f>
        <v>TAF8</v>
      </c>
      <c r="B8936" s="6">
        <v>0.21878121878121801</v>
      </c>
      <c r="C8936" s="6">
        <v>0.40870786752087701</v>
      </c>
    </row>
    <row r="8937" spans="1:3" s="7" customFormat="1" x14ac:dyDescent="0.2">
      <c r="A8937" s="6" t="str">
        <f>"DCAF11"</f>
        <v>DCAF11</v>
      </c>
      <c r="B8937" s="6">
        <v>0.21878121878121801</v>
      </c>
      <c r="C8937" s="6">
        <v>0.40870786752087701</v>
      </c>
    </row>
    <row r="8938" spans="1:3" s="7" customFormat="1" x14ac:dyDescent="0.2">
      <c r="A8938" s="6" t="str">
        <f>"FBN1"</f>
        <v>FBN1</v>
      </c>
      <c r="B8938" s="6">
        <v>0.21878121878121801</v>
      </c>
      <c r="C8938" s="6">
        <v>0.40870786752087701</v>
      </c>
    </row>
    <row r="8939" spans="1:3" s="7" customFormat="1" x14ac:dyDescent="0.2">
      <c r="A8939" s="6" t="str">
        <f>"ANKRD36C"</f>
        <v>ANKRD36C</v>
      </c>
      <c r="B8939" s="6">
        <v>0.21878121878121801</v>
      </c>
      <c r="C8939" s="6">
        <v>0.40870786752087701</v>
      </c>
    </row>
    <row r="8940" spans="1:3" s="7" customFormat="1" x14ac:dyDescent="0.2">
      <c r="A8940" s="6" t="str">
        <f>"BOC"</f>
        <v>BOC</v>
      </c>
      <c r="B8940" s="6">
        <v>0.21878121878121801</v>
      </c>
      <c r="C8940" s="6">
        <v>0.40870786752087701</v>
      </c>
    </row>
    <row r="8941" spans="1:3" s="7" customFormat="1" x14ac:dyDescent="0.2">
      <c r="A8941" s="6" t="str">
        <f>"RRP36"</f>
        <v>RRP36</v>
      </c>
      <c r="B8941" s="6">
        <v>0.21878121878121801</v>
      </c>
      <c r="C8941" s="6">
        <v>0.40870786752087701</v>
      </c>
    </row>
    <row r="8942" spans="1:3" s="7" customFormat="1" x14ac:dyDescent="0.2">
      <c r="A8942" s="6" t="str">
        <f>"ADAMTS19-AS1"</f>
        <v>ADAMTS19-AS1</v>
      </c>
      <c r="B8942" s="6">
        <v>0.21878121878121801</v>
      </c>
      <c r="C8942" s="6">
        <v>0.40870786752087701</v>
      </c>
    </row>
    <row r="8943" spans="1:3" s="7" customFormat="1" x14ac:dyDescent="0.2">
      <c r="A8943" s="6" t="str">
        <f>"ORMDL1"</f>
        <v>ORMDL1</v>
      </c>
      <c r="B8943" s="6">
        <v>0.21878121878121801</v>
      </c>
      <c r="C8943" s="6">
        <v>0.40870786752087701</v>
      </c>
    </row>
    <row r="8944" spans="1:3" s="7" customFormat="1" x14ac:dyDescent="0.2">
      <c r="A8944" s="6" t="str">
        <f>"AC135776.4"</f>
        <v>AC135776.4</v>
      </c>
      <c r="B8944" s="6">
        <v>0.21875</v>
      </c>
      <c r="C8944" s="6">
        <v>0.40870786752087701</v>
      </c>
    </row>
    <row r="8945" spans="1:3" s="7" customFormat="1" x14ac:dyDescent="0.2">
      <c r="A8945" s="6" t="str">
        <f>"ITM2B"</f>
        <v>ITM2B</v>
      </c>
      <c r="B8945" s="6">
        <v>0.21878121878121801</v>
      </c>
      <c r="C8945" s="6">
        <v>0.40870786752087701</v>
      </c>
    </row>
    <row r="8946" spans="1:3" s="7" customFormat="1" x14ac:dyDescent="0.2">
      <c r="A8946" s="6" t="str">
        <f>"HCN4"</f>
        <v>HCN4</v>
      </c>
      <c r="B8946" s="6">
        <v>0.21878121878121801</v>
      </c>
      <c r="C8946" s="6">
        <v>0.40870786752087701</v>
      </c>
    </row>
    <row r="8947" spans="1:3" s="7" customFormat="1" x14ac:dyDescent="0.2">
      <c r="A8947" s="6" t="str">
        <f>"RMDN3"</f>
        <v>RMDN3</v>
      </c>
      <c r="B8947" s="6">
        <v>0.21878121878121801</v>
      </c>
      <c r="C8947" s="6">
        <v>0.40870786752087701</v>
      </c>
    </row>
    <row r="8948" spans="1:3" s="7" customFormat="1" x14ac:dyDescent="0.2">
      <c r="A8948" s="6" t="str">
        <f>"HSD17B11"</f>
        <v>HSD17B11</v>
      </c>
      <c r="B8948" s="6">
        <v>0.21878121878121801</v>
      </c>
      <c r="C8948" s="6">
        <v>0.40870786752087701</v>
      </c>
    </row>
    <row r="8949" spans="1:3" s="7" customFormat="1" x14ac:dyDescent="0.2">
      <c r="A8949" s="6" t="str">
        <f>"CEP350"</f>
        <v>CEP350</v>
      </c>
      <c r="B8949" s="6">
        <v>0.219780219780219</v>
      </c>
      <c r="C8949" s="6">
        <v>0.40947570988814902</v>
      </c>
    </row>
    <row r="8950" spans="1:3" s="7" customFormat="1" x14ac:dyDescent="0.2">
      <c r="A8950" s="6" t="str">
        <f>"PEX26"</f>
        <v>PEX26</v>
      </c>
      <c r="B8950" s="6">
        <v>0.219780219780219</v>
      </c>
      <c r="C8950" s="6">
        <v>0.40947570988814902</v>
      </c>
    </row>
    <row r="8951" spans="1:3" s="7" customFormat="1" x14ac:dyDescent="0.2">
      <c r="A8951" s="6" t="str">
        <f>"AL079303.1"</f>
        <v>AL079303.1</v>
      </c>
      <c r="B8951" s="6">
        <v>0.219780219780219</v>
      </c>
      <c r="C8951" s="6">
        <v>0.40947570988814902</v>
      </c>
    </row>
    <row r="8952" spans="1:3" s="7" customFormat="1" x14ac:dyDescent="0.2">
      <c r="A8952" s="6" t="str">
        <f>"AL513314.2"</f>
        <v>AL513314.2</v>
      </c>
      <c r="B8952" s="6">
        <v>0.219780219780219</v>
      </c>
      <c r="C8952" s="6">
        <v>0.40947570988814902</v>
      </c>
    </row>
    <row r="8953" spans="1:3" s="7" customFormat="1" x14ac:dyDescent="0.2">
      <c r="A8953" s="6" t="str">
        <f>"LMAN2"</f>
        <v>LMAN2</v>
      </c>
      <c r="B8953" s="6">
        <v>0.219780219780219</v>
      </c>
      <c r="C8953" s="6">
        <v>0.40947570988814902</v>
      </c>
    </row>
    <row r="8954" spans="1:3" s="7" customFormat="1" x14ac:dyDescent="0.2">
      <c r="A8954" s="6" t="str">
        <f>"IGLV1-47"</f>
        <v>IGLV1-47</v>
      </c>
      <c r="B8954" s="6">
        <v>0.219780219780219</v>
      </c>
      <c r="C8954" s="6">
        <v>0.40947570988814902</v>
      </c>
    </row>
    <row r="8955" spans="1:3" s="7" customFormat="1" x14ac:dyDescent="0.2">
      <c r="A8955" s="6" t="str">
        <f>"JMJD1C-AS1"</f>
        <v>JMJD1C-AS1</v>
      </c>
      <c r="B8955" s="6">
        <v>0.219780219780219</v>
      </c>
      <c r="C8955" s="6">
        <v>0.40947570988814902</v>
      </c>
    </row>
    <row r="8956" spans="1:3" s="7" customFormat="1" x14ac:dyDescent="0.2">
      <c r="A8956" s="6" t="str">
        <f>"GAMT"</f>
        <v>GAMT</v>
      </c>
      <c r="B8956" s="6">
        <v>0.219780219780219</v>
      </c>
      <c r="C8956" s="6">
        <v>0.40947570988814902</v>
      </c>
    </row>
    <row r="8957" spans="1:3" s="7" customFormat="1" x14ac:dyDescent="0.2">
      <c r="A8957" s="6" t="str">
        <f>"MPP6"</f>
        <v>MPP6</v>
      </c>
      <c r="B8957" s="6">
        <v>0.219780219780219</v>
      </c>
      <c r="C8957" s="6">
        <v>0.40947570988814902</v>
      </c>
    </row>
    <row r="8958" spans="1:3" s="7" customFormat="1" x14ac:dyDescent="0.2">
      <c r="A8958" s="6" t="str">
        <f>"ANKRD13D"</f>
        <v>ANKRD13D</v>
      </c>
      <c r="B8958" s="6">
        <v>0.219780219780219</v>
      </c>
      <c r="C8958" s="6">
        <v>0.40947570988814902</v>
      </c>
    </row>
    <row r="8959" spans="1:3" s="7" customFormat="1" x14ac:dyDescent="0.2">
      <c r="A8959" s="6" t="str">
        <f>"GNG11"</f>
        <v>GNG11</v>
      </c>
      <c r="B8959" s="6">
        <v>0.219780219780219</v>
      </c>
      <c r="C8959" s="6">
        <v>0.40947570988814902</v>
      </c>
    </row>
    <row r="8960" spans="1:3" s="7" customFormat="1" x14ac:dyDescent="0.2">
      <c r="A8960" s="6" t="str">
        <f>"MATR3"</f>
        <v>MATR3</v>
      </c>
      <c r="B8960" s="6">
        <v>0.219780219780219</v>
      </c>
      <c r="C8960" s="6">
        <v>0.40947570988814902</v>
      </c>
    </row>
    <row r="8961" spans="1:3" s="7" customFormat="1" x14ac:dyDescent="0.2">
      <c r="A8961" s="6" t="str">
        <f>"TPSAB1"</f>
        <v>TPSAB1</v>
      </c>
      <c r="B8961" s="6">
        <v>0.219780219780219</v>
      </c>
      <c r="C8961" s="6">
        <v>0.40947570988814902</v>
      </c>
    </row>
    <row r="8962" spans="1:3" s="7" customFormat="1" x14ac:dyDescent="0.2">
      <c r="A8962" s="6" t="str">
        <f>"PKDREJ"</f>
        <v>PKDREJ</v>
      </c>
      <c r="B8962" s="6">
        <v>0.219780219780219</v>
      </c>
      <c r="C8962" s="6">
        <v>0.40947570988814902</v>
      </c>
    </row>
    <row r="8963" spans="1:3" s="7" customFormat="1" x14ac:dyDescent="0.2">
      <c r="A8963" s="6" t="str">
        <f>"KDM2B-DT"</f>
        <v>KDM2B-DT</v>
      </c>
      <c r="B8963" s="6">
        <v>0.21936148300720901</v>
      </c>
      <c r="C8963" s="6">
        <v>0.40947570988814902</v>
      </c>
    </row>
    <row r="8964" spans="1:3" s="7" customFormat="1" x14ac:dyDescent="0.2">
      <c r="A8964" s="6" t="str">
        <f>"FAM167A"</f>
        <v>FAM167A</v>
      </c>
      <c r="B8964" s="6">
        <v>0.219780219780219</v>
      </c>
      <c r="C8964" s="6">
        <v>0.40947570988814902</v>
      </c>
    </row>
    <row r="8965" spans="1:3" s="7" customFormat="1" x14ac:dyDescent="0.2">
      <c r="A8965" s="6" t="str">
        <f>"PLA2G4E-AS1"</f>
        <v>PLA2G4E-AS1</v>
      </c>
      <c r="B8965" s="6">
        <v>0.21923076923076901</v>
      </c>
      <c r="C8965" s="6">
        <v>0.40947570988814902</v>
      </c>
    </row>
    <row r="8966" spans="1:3" s="7" customFormat="1" x14ac:dyDescent="0.2">
      <c r="A8966" s="6" t="str">
        <f>"KCNN3"</f>
        <v>KCNN3</v>
      </c>
      <c r="B8966" s="6">
        <v>0.219780219780219</v>
      </c>
      <c r="C8966" s="6">
        <v>0.40947570988814902</v>
      </c>
    </row>
    <row r="8967" spans="1:3" s="7" customFormat="1" x14ac:dyDescent="0.2">
      <c r="A8967" s="6" t="str">
        <f>"ERVK13-1"</f>
        <v>ERVK13-1</v>
      </c>
      <c r="B8967" s="6">
        <v>0.219780219780219</v>
      </c>
      <c r="C8967" s="6">
        <v>0.40947570988814902</v>
      </c>
    </row>
    <row r="8968" spans="1:3" s="7" customFormat="1" x14ac:dyDescent="0.2">
      <c r="A8968" s="6" t="str">
        <f>"FBXO34"</f>
        <v>FBXO34</v>
      </c>
      <c r="B8968" s="6">
        <v>0.219780219780219</v>
      </c>
      <c r="C8968" s="6">
        <v>0.40947570988814902</v>
      </c>
    </row>
    <row r="8969" spans="1:3" s="7" customFormat="1" x14ac:dyDescent="0.2">
      <c r="A8969" s="6" t="str">
        <f>"TCF24"</f>
        <v>TCF24</v>
      </c>
      <c r="B8969" s="6">
        <v>0.219780219780219</v>
      </c>
      <c r="C8969" s="6">
        <v>0.40947570988814902</v>
      </c>
    </row>
    <row r="8970" spans="1:3" s="7" customFormat="1" x14ac:dyDescent="0.2">
      <c r="A8970" s="6" t="str">
        <f>"MAP7"</f>
        <v>MAP7</v>
      </c>
      <c r="B8970" s="6">
        <v>0.219780219780219</v>
      </c>
      <c r="C8970" s="6">
        <v>0.40947570988814902</v>
      </c>
    </row>
    <row r="8971" spans="1:3" s="7" customFormat="1" x14ac:dyDescent="0.2">
      <c r="A8971" s="6" t="str">
        <f>"MIR193BHG"</f>
        <v>MIR193BHG</v>
      </c>
      <c r="B8971" s="6">
        <v>0.219780219780219</v>
      </c>
      <c r="C8971" s="6">
        <v>0.40947570988814902</v>
      </c>
    </row>
    <row r="8972" spans="1:3" s="7" customFormat="1" x14ac:dyDescent="0.2">
      <c r="A8972" s="6" t="str">
        <f>"EXOC4"</f>
        <v>EXOC4</v>
      </c>
      <c r="B8972" s="6">
        <v>0.219780219780219</v>
      </c>
      <c r="C8972" s="6">
        <v>0.40947570988814902</v>
      </c>
    </row>
    <row r="8973" spans="1:3" s="7" customFormat="1" x14ac:dyDescent="0.2">
      <c r="A8973" s="6" t="str">
        <f>"NAPSA"</f>
        <v>NAPSA</v>
      </c>
      <c r="B8973" s="6">
        <v>0.22</v>
      </c>
      <c r="C8973" s="6">
        <v>0.40983950066874703</v>
      </c>
    </row>
    <row r="8974" spans="1:3" s="7" customFormat="1" x14ac:dyDescent="0.2">
      <c r="A8974" s="6" t="str">
        <f>"TRIM8"</f>
        <v>TRIM8</v>
      </c>
      <c r="B8974" s="6">
        <v>0.22077922077921999</v>
      </c>
      <c r="C8974" s="6">
        <v>0.41069603740722199</v>
      </c>
    </row>
    <row r="8975" spans="1:3" s="7" customFormat="1" x14ac:dyDescent="0.2">
      <c r="A8975" s="6" t="str">
        <f>"LRRC58"</f>
        <v>LRRC58</v>
      </c>
      <c r="B8975" s="6">
        <v>0.22077922077921999</v>
      </c>
      <c r="C8975" s="6">
        <v>0.41069603740722199</v>
      </c>
    </row>
    <row r="8976" spans="1:3" s="7" customFormat="1" x14ac:dyDescent="0.2">
      <c r="A8976" s="6" t="str">
        <f>"MMP13"</f>
        <v>MMP13</v>
      </c>
      <c r="B8976" s="6">
        <v>0.22077922077921999</v>
      </c>
      <c r="C8976" s="6">
        <v>0.41069603740722199</v>
      </c>
    </row>
    <row r="8977" spans="1:3" s="7" customFormat="1" x14ac:dyDescent="0.2">
      <c r="A8977" s="6" t="str">
        <f>"SWT1"</f>
        <v>SWT1</v>
      </c>
      <c r="B8977" s="6">
        <v>0.22077922077921999</v>
      </c>
      <c r="C8977" s="6">
        <v>0.41069603740722199</v>
      </c>
    </row>
    <row r="8978" spans="1:3" s="7" customFormat="1" x14ac:dyDescent="0.2">
      <c r="A8978" s="6" t="str">
        <f>"PDZK1IP1"</f>
        <v>PDZK1IP1</v>
      </c>
      <c r="B8978" s="6">
        <v>0.22077922077921999</v>
      </c>
      <c r="C8978" s="6">
        <v>0.41069603740722199</v>
      </c>
    </row>
    <row r="8979" spans="1:3" s="7" customFormat="1" x14ac:dyDescent="0.2">
      <c r="A8979" s="6" t="str">
        <f>"AC099522.2"</f>
        <v>AC099522.2</v>
      </c>
      <c r="B8979" s="6">
        <v>0.22077922077921999</v>
      </c>
      <c r="C8979" s="6">
        <v>0.41069603740722199</v>
      </c>
    </row>
    <row r="8980" spans="1:3" s="7" customFormat="1" x14ac:dyDescent="0.2">
      <c r="A8980" s="6" t="str">
        <f>"RDH5"</f>
        <v>RDH5</v>
      </c>
      <c r="B8980" s="6">
        <v>0.22077922077921999</v>
      </c>
      <c r="C8980" s="6">
        <v>0.41069603740722199</v>
      </c>
    </row>
    <row r="8981" spans="1:3" s="7" customFormat="1" x14ac:dyDescent="0.2">
      <c r="A8981" s="6" t="str">
        <f>"ARFRP1"</f>
        <v>ARFRP1</v>
      </c>
      <c r="B8981" s="6">
        <v>0.22077922077921999</v>
      </c>
      <c r="C8981" s="6">
        <v>0.41069603740722199</v>
      </c>
    </row>
    <row r="8982" spans="1:3" s="7" customFormat="1" x14ac:dyDescent="0.2">
      <c r="A8982" s="6" t="str">
        <f>"CSNK1A1P1"</f>
        <v>CSNK1A1P1</v>
      </c>
      <c r="B8982" s="6">
        <v>0.22077922077921999</v>
      </c>
      <c r="C8982" s="6">
        <v>0.41069603740722199</v>
      </c>
    </row>
    <row r="8983" spans="1:3" s="7" customFormat="1" x14ac:dyDescent="0.2">
      <c r="A8983" s="6" t="str">
        <f>"CDCA3"</f>
        <v>CDCA3</v>
      </c>
      <c r="B8983" s="6">
        <v>0.22077922077921999</v>
      </c>
      <c r="C8983" s="6">
        <v>0.41069603740722199</v>
      </c>
    </row>
    <row r="8984" spans="1:3" s="7" customFormat="1" x14ac:dyDescent="0.2">
      <c r="A8984" s="6" t="str">
        <f>"AGAP12P"</f>
        <v>AGAP12P</v>
      </c>
      <c r="B8984" s="6">
        <v>0.22077922077921999</v>
      </c>
      <c r="C8984" s="6">
        <v>0.41069603740722199</v>
      </c>
    </row>
    <row r="8985" spans="1:3" s="7" customFormat="1" x14ac:dyDescent="0.2">
      <c r="A8985" s="6" t="str">
        <f>"AP006621.3"</f>
        <v>AP006621.3</v>
      </c>
      <c r="B8985" s="6">
        <v>0.22077922077921999</v>
      </c>
      <c r="C8985" s="6">
        <v>0.41069603740722199</v>
      </c>
    </row>
    <row r="8986" spans="1:3" s="7" customFormat="1" x14ac:dyDescent="0.2">
      <c r="A8986" s="6" t="str">
        <f>"HEPH"</f>
        <v>HEPH</v>
      </c>
      <c r="B8986" s="6">
        <v>0.22077922077921999</v>
      </c>
      <c r="C8986" s="6">
        <v>0.41069603740722199</v>
      </c>
    </row>
    <row r="8987" spans="1:3" s="7" customFormat="1" x14ac:dyDescent="0.2">
      <c r="A8987" s="6" t="str">
        <f>"AC027031.2"</f>
        <v>AC027031.2</v>
      </c>
      <c r="B8987" s="6">
        <v>0.221</v>
      </c>
      <c r="C8987" s="6">
        <v>0.411060983752503</v>
      </c>
    </row>
    <row r="8988" spans="1:3" s="7" customFormat="1" x14ac:dyDescent="0.2">
      <c r="A8988" s="6" t="str">
        <f>"LINC01311"</f>
        <v>LINC01311</v>
      </c>
      <c r="B8988" s="6">
        <v>0.22103004291845399</v>
      </c>
      <c r="C8988" s="6">
        <v>0.41107111798587398</v>
      </c>
    </row>
    <row r="8989" spans="1:3" s="7" customFormat="1" x14ac:dyDescent="0.2">
      <c r="A8989" s="6" t="str">
        <f>"KRT32"</f>
        <v>KRT32</v>
      </c>
      <c r="B8989" s="6">
        <v>0.22122122122122101</v>
      </c>
      <c r="C8989" s="6">
        <v>0.41138089580457099</v>
      </c>
    </row>
    <row r="8990" spans="1:3" s="7" customFormat="1" x14ac:dyDescent="0.2">
      <c r="A8990" s="6" t="str">
        <f>"AC019197.1"</f>
        <v>AC019197.1</v>
      </c>
      <c r="B8990" s="6">
        <v>0.22177822177822101</v>
      </c>
      <c r="C8990" s="6">
        <v>0.41154670798281301</v>
      </c>
    </row>
    <row r="8991" spans="1:3" s="7" customFormat="1" x14ac:dyDescent="0.2">
      <c r="A8991" s="6" t="str">
        <f>"AC145285.6"</f>
        <v>AC145285.6</v>
      </c>
      <c r="B8991" s="6">
        <v>0.22153846153846099</v>
      </c>
      <c r="C8991" s="6">
        <v>0.41154670798281301</v>
      </c>
    </row>
    <row r="8992" spans="1:3" s="7" customFormat="1" x14ac:dyDescent="0.2">
      <c r="A8992" s="6" t="str">
        <f>"TARS3"</f>
        <v>TARS3</v>
      </c>
      <c r="B8992" s="6">
        <v>0.22177822177822101</v>
      </c>
      <c r="C8992" s="6">
        <v>0.41154670798281301</v>
      </c>
    </row>
    <row r="8993" spans="1:3" s="7" customFormat="1" x14ac:dyDescent="0.2">
      <c r="A8993" s="6" t="str">
        <f>"HYLS1"</f>
        <v>HYLS1</v>
      </c>
      <c r="B8993" s="6">
        <v>0.22177822177822101</v>
      </c>
      <c r="C8993" s="6">
        <v>0.41154670798281301</v>
      </c>
    </row>
    <row r="8994" spans="1:3" s="7" customFormat="1" x14ac:dyDescent="0.2">
      <c r="A8994" s="6" t="str">
        <f>"XKR6"</f>
        <v>XKR6</v>
      </c>
      <c r="B8994" s="6">
        <v>0.22177822177822101</v>
      </c>
      <c r="C8994" s="6">
        <v>0.41154670798281301</v>
      </c>
    </row>
    <row r="8995" spans="1:3" s="7" customFormat="1" x14ac:dyDescent="0.2">
      <c r="A8995" s="6" t="str">
        <f>"AC016727.1"</f>
        <v>AC016727.1</v>
      </c>
      <c r="B8995" s="6">
        <v>0.22177822177822101</v>
      </c>
      <c r="C8995" s="6">
        <v>0.41154670798281301</v>
      </c>
    </row>
    <row r="8996" spans="1:3" s="7" customFormat="1" x14ac:dyDescent="0.2">
      <c r="A8996" s="6" t="str">
        <f>"ZNF75D"</f>
        <v>ZNF75D</v>
      </c>
      <c r="B8996" s="6">
        <v>0.22177822177822101</v>
      </c>
      <c r="C8996" s="6">
        <v>0.41154670798281301</v>
      </c>
    </row>
    <row r="8997" spans="1:3" s="7" customFormat="1" x14ac:dyDescent="0.2">
      <c r="A8997" s="6" t="str">
        <f>"GFRA1"</f>
        <v>GFRA1</v>
      </c>
      <c r="B8997" s="6">
        <v>0.22177822177822101</v>
      </c>
      <c r="C8997" s="6">
        <v>0.41154670798281301</v>
      </c>
    </row>
    <row r="8998" spans="1:3" s="7" customFormat="1" x14ac:dyDescent="0.2">
      <c r="A8998" s="6" t="str">
        <f>"PPWD1"</f>
        <v>PPWD1</v>
      </c>
      <c r="B8998" s="6">
        <v>0.22177822177822101</v>
      </c>
      <c r="C8998" s="6">
        <v>0.41154670798281301</v>
      </c>
    </row>
    <row r="8999" spans="1:3" s="7" customFormat="1" x14ac:dyDescent="0.2">
      <c r="A8999" s="6" t="str">
        <f>"TMEM19"</f>
        <v>TMEM19</v>
      </c>
      <c r="B8999" s="6">
        <v>0.22177822177822101</v>
      </c>
      <c r="C8999" s="6">
        <v>0.41154670798281301</v>
      </c>
    </row>
    <row r="9000" spans="1:3" s="7" customFormat="1" x14ac:dyDescent="0.2">
      <c r="A9000" s="6" t="str">
        <f>"SETMAR"</f>
        <v>SETMAR</v>
      </c>
      <c r="B9000" s="6">
        <v>0.22177822177822101</v>
      </c>
      <c r="C9000" s="6">
        <v>0.41154670798281301</v>
      </c>
    </row>
    <row r="9001" spans="1:3" s="7" customFormat="1" x14ac:dyDescent="0.2">
      <c r="A9001" s="6" t="str">
        <f>"MEIS1-AS2"</f>
        <v>MEIS1-AS2</v>
      </c>
      <c r="B9001" s="6">
        <v>0.22164948453608199</v>
      </c>
      <c r="C9001" s="6">
        <v>0.41154670798281301</v>
      </c>
    </row>
    <row r="9002" spans="1:3" s="7" customFormat="1" x14ac:dyDescent="0.2">
      <c r="A9002" s="6" t="str">
        <f>"ARMC4P1"</f>
        <v>ARMC4P1</v>
      </c>
      <c r="B9002" s="6">
        <v>0.22177822177822101</v>
      </c>
      <c r="C9002" s="6">
        <v>0.41154670798281301</v>
      </c>
    </row>
    <row r="9003" spans="1:3" s="7" customFormat="1" x14ac:dyDescent="0.2">
      <c r="A9003" s="6" t="str">
        <f>"SLC15A1"</f>
        <v>SLC15A1</v>
      </c>
      <c r="B9003" s="6">
        <v>0.22177822177822101</v>
      </c>
      <c r="C9003" s="6">
        <v>0.41154670798281301</v>
      </c>
    </row>
    <row r="9004" spans="1:3" s="7" customFormat="1" x14ac:dyDescent="0.2">
      <c r="A9004" s="6" t="str">
        <f>"C9orf116"</f>
        <v>C9orf116</v>
      </c>
      <c r="B9004" s="6">
        <v>0.22177822177822101</v>
      </c>
      <c r="C9004" s="6">
        <v>0.41154670798281301</v>
      </c>
    </row>
    <row r="9005" spans="1:3" s="7" customFormat="1" x14ac:dyDescent="0.2">
      <c r="A9005" s="6" t="str">
        <f>"LY6E-DT"</f>
        <v>LY6E-DT</v>
      </c>
      <c r="B9005" s="6">
        <v>0.22177822177822101</v>
      </c>
      <c r="C9005" s="6">
        <v>0.41154670798281301</v>
      </c>
    </row>
    <row r="9006" spans="1:3" s="7" customFormat="1" x14ac:dyDescent="0.2">
      <c r="A9006" s="6" t="str">
        <f>"IDNK"</f>
        <v>IDNK</v>
      </c>
      <c r="B9006" s="6">
        <v>0.22177822177822101</v>
      </c>
      <c r="C9006" s="6">
        <v>0.41154670798281301</v>
      </c>
    </row>
    <row r="9007" spans="1:3" s="7" customFormat="1" x14ac:dyDescent="0.2">
      <c r="A9007" s="6" t="str">
        <f>"DIS3L"</f>
        <v>DIS3L</v>
      </c>
      <c r="B9007" s="6">
        <v>0.22177822177822101</v>
      </c>
      <c r="C9007" s="6">
        <v>0.41154670798281301</v>
      </c>
    </row>
    <row r="9008" spans="1:3" s="7" customFormat="1" x14ac:dyDescent="0.2">
      <c r="A9008" s="6" t="str">
        <f>"DOCK7"</f>
        <v>DOCK7</v>
      </c>
      <c r="B9008" s="6">
        <v>0.22177822177822101</v>
      </c>
      <c r="C9008" s="6">
        <v>0.41154670798281301</v>
      </c>
    </row>
    <row r="9009" spans="1:3" s="7" customFormat="1" x14ac:dyDescent="0.2">
      <c r="A9009" s="6" t="str">
        <f>"RRN3"</f>
        <v>RRN3</v>
      </c>
      <c r="B9009" s="6">
        <v>0.22277722277722201</v>
      </c>
      <c r="C9009" s="6">
        <v>0.41275895150188402</v>
      </c>
    </row>
    <row r="9010" spans="1:3" s="7" customFormat="1" x14ac:dyDescent="0.2">
      <c r="A9010" s="6" t="str">
        <f>"PEX14"</f>
        <v>PEX14</v>
      </c>
      <c r="B9010" s="6">
        <v>0.22277722277722201</v>
      </c>
      <c r="C9010" s="6">
        <v>0.41275895150188402</v>
      </c>
    </row>
    <row r="9011" spans="1:3" s="7" customFormat="1" x14ac:dyDescent="0.2">
      <c r="A9011" s="6" t="str">
        <f>"DPY19L1"</f>
        <v>DPY19L1</v>
      </c>
      <c r="B9011" s="6">
        <v>0.22277722277722201</v>
      </c>
      <c r="C9011" s="6">
        <v>0.41275895150188402</v>
      </c>
    </row>
    <row r="9012" spans="1:3" s="7" customFormat="1" x14ac:dyDescent="0.2">
      <c r="A9012" s="6" t="str">
        <f>"AC069287.2"</f>
        <v>AC069287.2</v>
      </c>
      <c r="B9012" s="6">
        <v>0.22257053291536</v>
      </c>
      <c r="C9012" s="6">
        <v>0.41275895150188402</v>
      </c>
    </row>
    <row r="9013" spans="1:3" s="7" customFormat="1" x14ac:dyDescent="0.2">
      <c r="A9013" s="6" t="str">
        <f>"TRAPPC8"</f>
        <v>TRAPPC8</v>
      </c>
      <c r="B9013" s="6">
        <v>0.22277722277722201</v>
      </c>
      <c r="C9013" s="6">
        <v>0.41275895150188402</v>
      </c>
    </row>
    <row r="9014" spans="1:3" s="7" customFormat="1" x14ac:dyDescent="0.2">
      <c r="A9014" s="6" t="str">
        <f>"ZNF766"</f>
        <v>ZNF766</v>
      </c>
      <c r="B9014" s="6">
        <v>0.22277722277722201</v>
      </c>
      <c r="C9014" s="6">
        <v>0.41275895150188402</v>
      </c>
    </row>
    <row r="9015" spans="1:3" s="7" customFormat="1" x14ac:dyDescent="0.2">
      <c r="A9015" s="6" t="str">
        <f>"GATAD2A"</f>
        <v>GATAD2A</v>
      </c>
      <c r="B9015" s="6">
        <v>0.22277722277722201</v>
      </c>
      <c r="C9015" s="6">
        <v>0.41275895150188402</v>
      </c>
    </row>
    <row r="9016" spans="1:3" s="7" customFormat="1" x14ac:dyDescent="0.2">
      <c r="A9016" s="6" t="str">
        <f>"PRDX3"</f>
        <v>PRDX3</v>
      </c>
      <c r="B9016" s="6">
        <v>0.22277722277722201</v>
      </c>
      <c r="C9016" s="6">
        <v>0.41275895150188402</v>
      </c>
    </row>
    <row r="9017" spans="1:3" s="7" customFormat="1" x14ac:dyDescent="0.2">
      <c r="A9017" s="6" t="str">
        <f>"SAV1"</f>
        <v>SAV1</v>
      </c>
      <c r="B9017" s="6">
        <v>0.22277722277722201</v>
      </c>
      <c r="C9017" s="6">
        <v>0.41275895150188402</v>
      </c>
    </row>
    <row r="9018" spans="1:3" s="7" customFormat="1" x14ac:dyDescent="0.2">
      <c r="A9018" s="6" t="str">
        <f>"CUL9"</f>
        <v>CUL9</v>
      </c>
      <c r="B9018" s="6">
        <v>0.22277722277722201</v>
      </c>
      <c r="C9018" s="6">
        <v>0.41275895150188402</v>
      </c>
    </row>
    <row r="9019" spans="1:3" s="7" customFormat="1" x14ac:dyDescent="0.2">
      <c r="A9019" s="6" t="str">
        <f>"NR2C1"</f>
        <v>NR2C1</v>
      </c>
      <c r="B9019" s="6">
        <v>0.22277722277722201</v>
      </c>
      <c r="C9019" s="6">
        <v>0.41275895150188402</v>
      </c>
    </row>
    <row r="9020" spans="1:3" s="7" customFormat="1" x14ac:dyDescent="0.2">
      <c r="A9020" s="6" t="str">
        <f>"GRPEL2"</f>
        <v>GRPEL2</v>
      </c>
      <c r="B9020" s="6">
        <v>0.22277722277722201</v>
      </c>
      <c r="C9020" s="6">
        <v>0.41275895150188402</v>
      </c>
    </row>
    <row r="9021" spans="1:3" s="7" customFormat="1" x14ac:dyDescent="0.2">
      <c r="A9021" s="6" t="str">
        <f>"DUSP18"</f>
        <v>DUSP18</v>
      </c>
      <c r="B9021" s="6">
        <v>0.22277722277722201</v>
      </c>
      <c r="C9021" s="6">
        <v>0.41275895150188402</v>
      </c>
    </row>
    <row r="9022" spans="1:3" s="7" customFormat="1" x14ac:dyDescent="0.2">
      <c r="A9022" s="6" t="str">
        <f>"OVCH1-AS1"</f>
        <v>OVCH1-AS1</v>
      </c>
      <c r="B9022" s="6">
        <v>0.22277722277722201</v>
      </c>
      <c r="C9022" s="6">
        <v>0.41275895150188402</v>
      </c>
    </row>
    <row r="9023" spans="1:3" s="7" customFormat="1" x14ac:dyDescent="0.2">
      <c r="A9023" s="6" t="str">
        <f>"AC092647.5"</f>
        <v>AC092647.5</v>
      </c>
      <c r="B9023" s="6">
        <v>0.223</v>
      </c>
      <c r="C9023" s="6">
        <v>0.413034352836879</v>
      </c>
    </row>
    <row r="9024" spans="1:3" s="7" customFormat="1" x14ac:dyDescent="0.2">
      <c r="A9024" s="6" t="str">
        <f>"PAK2"</f>
        <v>PAK2</v>
      </c>
      <c r="B9024" s="6">
        <v>0.223</v>
      </c>
      <c r="C9024" s="6">
        <v>0.413034352836879</v>
      </c>
    </row>
    <row r="9025" spans="1:3" s="7" customFormat="1" x14ac:dyDescent="0.2">
      <c r="A9025" s="6" t="str">
        <f>"FDXR"</f>
        <v>FDXR</v>
      </c>
      <c r="B9025" s="6">
        <v>0.223</v>
      </c>
      <c r="C9025" s="6">
        <v>0.413034352836879</v>
      </c>
    </row>
    <row r="9026" spans="1:3" s="7" customFormat="1" x14ac:dyDescent="0.2">
      <c r="A9026" s="6" t="str">
        <f>"SUGT1P4-STRA6LP"</f>
        <v>SUGT1P4-STRA6LP</v>
      </c>
      <c r="B9026" s="6">
        <v>0.22322322322322299</v>
      </c>
      <c r="C9026" s="6">
        <v>0.413401989246864</v>
      </c>
    </row>
    <row r="9027" spans="1:3" s="7" customFormat="1" x14ac:dyDescent="0.2">
      <c r="A9027" s="6" t="str">
        <f>"ATP6V0B"</f>
        <v>ATP6V0B</v>
      </c>
      <c r="B9027" s="6">
        <v>0.223776223776223</v>
      </c>
      <c r="C9027" s="6">
        <v>0.41341834908763098</v>
      </c>
    </row>
    <row r="9028" spans="1:3" s="7" customFormat="1" x14ac:dyDescent="0.2">
      <c r="A9028" s="6" t="str">
        <f>"LINC02656"</f>
        <v>LINC02656</v>
      </c>
      <c r="B9028" s="6">
        <v>0.223776223776223</v>
      </c>
      <c r="C9028" s="6">
        <v>0.41341834908763098</v>
      </c>
    </row>
    <row r="9029" spans="1:3" s="7" customFormat="1" x14ac:dyDescent="0.2">
      <c r="A9029" s="6" t="str">
        <f>"IGKV1-5"</f>
        <v>IGKV1-5</v>
      </c>
      <c r="B9029" s="6">
        <v>0.223776223776223</v>
      </c>
      <c r="C9029" s="6">
        <v>0.41341834908763098</v>
      </c>
    </row>
    <row r="9030" spans="1:3" s="7" customFormat="1" x14ac:dyDescent="0.2">
      <c r="A9030" s="6" t="str">
        <f>"AC005082.1"</f>
        <v>AC005082.1</v>
      </c>
      <c r="B9030" s="6">
        <v>0.223776223776223</v>
      </c>
      <c r="C9030" s="6">
        <v>0.41341834908763098</v>
      </c>
    </row>
    <row r="9031" spans="1:3" s="7" customFormat="1" x14ac:dyDescent="0.2">
      <c r="A9031" s="6" t="str">
        <f>"LINC01600"</f>
        <v>LINC01600</v>
      </c>
      <c r="B9031" s="6">
        <v>0.223776223776223</v>
      </c>
      <c r="C9031" s="6">
        <v>0.41341834908763098</v>
      </c>
    </row>
    <row r="9032" spans="1:3" s="7" customFormat="1" x14ac:dyDescent="0.2">
      <c r="A9032" s="6" t="str">
        <f>"CCDC126"</f>
        <v>CCDC126</v>
      </c>
      <c r="B9032" s="6">
        <v>0.223776223776223</v>
      </c>
      <c r="C9032" s="6">
        <v>0.41341834908763098</v>
      </c>
    </row>
    <row r="9033" spans="1:3" s="7" customFormat="1" x14ac:dyDescent="0.2">
      <c r="A9033" s="6" t="str">
        <f>"TMEM68"</f>
        <v>TMEM68</v>
      </c>
      <c r="B9033" s="6">
        <v>0.223776223776223</v>
      </c>
      <c r="C9033" s="6">
        <v>0.41341834908763098</v>
      </c>
    </row>
    <row r="9034" spans="1:3" s="7" customFormat="1" x14ac:dyDescent="0.2">
      <c r="A9034" s="6" t="str">
        <f>"LAMC3"</f>
        <v>LAMC3</v>
      </c>
      <c r="B9034" s="6">
        <v>0.223504721930745</v>
      </c>
      <c r="C9034" s="6">
        <v>0.41341834908763098</v>
      </c>
    </row>
    <row r="9035" spans="1:3" s="7" customFormat="1" x14ac:dyDescent="0.2">
      <c r="A9035" s="6" t="str">
        <f>"STIL"</f>
        <v>STIL</v>
      </c>
      <c r="B9035" s="6">
        <v>0.223776223776223</v>
      </c>
      <c r="C9035" s="6">
        <v>0.41341834908763098</v>
      </c>
    </row>
    <row r="9036" spans="1:3" s="7" customFormat="1" x14ac:dyDescent="0.2">
      <c r="A9036" s="6" t="str">
        <f>"BCAT2"</f>
        <v>BCAT2</v>
      </c>
      <c r="B9036" s="6">
        <v>0.223776223776223</v>
      </c>
      <c r="C9036" s="6">
        <v>0.41341834908763098</v>
      </c>
    </row>
    <row r="9037" spans="1:3" s="7" customFormat="1" x14ac:dyDescent="0.2">
      <c r="A9037" s="6" t="str">
        <f>"DLD"</f>
        <v>DLD</v>
      </c>
      <c r="B9037" s="6">
        <v>0.223776223776223</v>
      </c>
      <c r="C9037" s="6">
        <v>0.41341834908763098</v>
      </c>
    </row>
    <row r="9038" spans="1:3" s="7" customFormat="1" x14ac:dyDescent="0.2">
      <c r="A9038" s="6" t="str">
        <f>"ACP6"</f>
        <v>ACP6</v>
      </c>
      <c r="B9038" s="6">
        <v>0.223776223776223</v>
      </c>
      <c r="C9038" s="6">
        <v>0.41341834908763098</v>
      </c>
    </row>
    <row r="9039" spans="1:3" s="7" customFormat="1" x14ac:dyDescent="0.2">
      <c r="A9039" s="6" t="str">
        <f>"SLC7A2"</f>
        <v>SLC7A2</v>
      </c>
      <c r="B9039" s="6">
        <v>0.223776223776223</v>
      </c>
      <c r="C9039" s="6">
        <v>0.41341834908763098</v>
      </c>
    </row>
    <row r="9040" spans="1:3" s="7" customFormat="1" x14ac:dyDescent="0.2">
      <c r="A9040" s="6" t="str">
        <f>"SVOP"</f>
        <v>SVOP</v>
      </c>
      <c r="B9040" s="6">
        <v>0.223776223776223</v>
      </c>
      <c r="C9040" s="6">
        <v>0.41341834908763098</v>
      </c>
    </row>
    <row r="9041" spans="1:3" s="7" customFormat="1" x14ac:dyDescent="0.2">
      <c r="A9041" s="6" t="str">
        <f>"LLGL2"</f>
        <v>LLGL2</v>
      </c>
      <c r="B9041" s="6">
        <v>0.223776223776223</v>
      </c>
      <c r="C9041" s="6">
        <v>0.41341834908763098</v>
      </c>
    </row>
    <row r="9042" spans="1:3" s="7" customFormat="1" x14ac:dyDescent="0.2">
      <c r="A9042" s="6" t="str">
        <f>"MORC2-AS1"</f>
        <v>MORC2-AS1</v>
      </c>
      <c r="B9042" s="6">
        <v>0.223776223776223</v>
      </c>
      <c r="C9042" s="6">
        <v>0.41341834908763098</v>
      </c>
    </row>
    <row r="9043" spans="1:3" s="7" customFormat="1" x14ac:dyDescent="0.2">
      <c r="A9043" s="6" t="str">
        <f>"RBM15"</f>
        <v>RBM15</v>
      </c>
      <c r="B9043" s="6">
        <v>0.223776223776223</v>
      </c>
      <c r="C9043" s="6">
        <v>0.41341834908763098</v>
      </c>
    </row>
    <row r="9044" spans="1:3" s="7" customFormat="1" x14ac:dyDescent="0.2">
      <c r="A9044" s="6" t="str">
        <f>"TMEM106B"</f>
        <v>TMEM106B</v>
      </c>
      <c r="B9044" s="6">
        <v>0.223776223776223</v>
      </c>
      <c r="C9044" s="6">
        <v>0.41341834908763098</v>
      </c>
    </row>
    <row r="9045" spans="1:3" s="7" customFormat="1" x14ac:dyDescent="0.2">
      <c r="A9045" s="6" t="str">
        <f>"VRTN"</f>
        <v>VRTN</v>
      </c>
      <c r="B9045" s="6">
        <v>0.223776223776223</v>
      </c>
      <c r="C9045" s="6">
        <v>0.41341834908763098</v>
      </c>
    </row>
    <row r="9046" spans="1:3" s="7" customFormat="1" x14ac:dyDescent="0.2">
      <c r="A9046" s="6" t="str">
        <f>"AC010654.1"</f>
        <v>AC010654.1</v>
      </c>
      <c r="B9046" s="6">
        <v>0.22344689378757501</v>
      </c>
      <c r="C9046" s="6">
        <v>0.41341834908763098</v>
      </c>
    </row>
    <row r="9047" spans="1:3" s="7" customFormat="1" x14ac:dyDescent="0.2">
      <c r="A9047" s="6" t="str">
        <f>"KCNS3"</f>
        <v>KCNS3</v>
      </c>
      <c r="B9047" s="6">
        <v>0.223776223776223</v>
      </c>
      <c r="C9047" s="6">
        <v>0.41341834908763098</v>
      </c>
    </row>
    <row r="9048" spans="1:3" s="7" customFormat="1" x14ac:dyDescent="0.2">
      <c r="A9048" s="6" t="str">
        <f>"AMY1C"</f>
        <v>AMY1C</v>
      </c>
      <c r="B9048" s="6">
        <v>0.223776223776223</v>
      </c>
      <c r="C9048" s="6">
        <v>0.41341834908763098</v>
      </c>
    </row>
    <row r="9049" spans="1:3" s="7" customFormat="1" x14ac:dyDescent="0.2">
      <c r="A9049" s="6" t="str">
        <f>"TPH2"</f>
        <v>TPH2</v>
      </c>
      <c r="B9049" s="6">
        <v>0.223931623931623</v>
      </c>
      <c r="C9049" s="6">
        <v>0.41365972174990701</v>
      </c>
    </row>
    <row r="9050" spans="1:3" s="7" customFormat="1" x14ac:dyDescent="0.2">
      <c r="A9050" s="6" t="str">
        <f>"ODF4"</f>
        <v>ODF4</v>
      </c>
      <c r="B9050" s="6">
        <v>0.224</v>
      </c>
      <c r="C9050" s="6">
        <v>0.41369458563535899</v>
      </c>
    </row>
    <row r="9051" spans="1:3" s="7" customFormat="1" x14ac:dyDescent="0.2">
      <c r="A9051" s="6" t="str">
        <f>"AC098582.1"</f>
        <v>AC098582.1</v>
      </c>
      <c r="B9051" s="6">
        <v>0.224</v>
      </c>
      <c r="C9051" s="6">
        <v>0.41369458563535899</v>
      </c>
    </row>
    <row r="9052" spans="1:3" s="7" customFormat="1" x14ac:dyDescent="0.2">
      <c r="A9052" s="6" t="str">
        <f>"STARD8"</f>
        <v>STARD8</v>
      </c>
      <c r="B9052" s="6">
        <v>0.22477522477522399</v>
      </c>
      <c r="C9052" s="6">
        <v>0.41393709859994499</v>
      </c>
    </row>
    <row r="9053" spans="1:3" s="7" customFormat="1" x14ac:dyDescent="0.2">
      <c r="A9053" s="6" t="str">
        <f>"COL11A2"</f>
        <v>COL11A2</v>
      </c>
      <c r="B9053" s="6">
        <v>0.22477522477522399</v>
      </c>
      <c r="C9053" s="6">
        <v>0.41393709859994499</v>
      </c>
    </row>
    <row r="9054" spans="1:3" s="7" customFormat="1" x14ac:dyDescent="0.2">
      <c r="A9054" s="6" t="str">
        <f>"MT1L"</f>
        <v>MT1L</v>
      </c>
      <c r="B9054" s="6">
        <v>0.22477522477522399</v>
      </c>
      <c r="C9054" s="6">
        <v>0.41393709859994499</v>
      </c>
    </row>
    <row r="9055" spans="1:3" s="7" customFormat="1" x14ac:dyDescent="0.2">
      <c r="A9055" s="6" t="str">
        <f>"GRM4"</f>
        <v>GRM4</v>
      </c>
      <c r="B9055" s="6">
        <v>0.22477522477522399</v>
      </c>
      <c r="C9055" s="6">
        <v>0.41393709859994499</v>
      </c>
    </row>
    <row r="9056" spans="1:3" s="7" customFormat="1" x14ac:dyDescent="0.2">
      <c r="A9056" s="6" t="str">
        <f>"TENT4B"</f>
        <v>TENT4B</v>
      </c>
      <c r="B9056" s="6">
        <v>0.22477522477522399</v>
      </c>
      <c r="C9056" s="6">
        <v>0.41393709859994499</v>
      </c>
    </row>
    <row r="9057" spans="1:3" s="7" customFormat="1" x14ac:dyDescent="0.2">
      <c r="A9057" s="6" t="str">
        <f>"PXDN"</f>
        <v>PXDN</v>
      </c>
      <c r="B9057" s="6">
        <v>0.22477522477522399</v>
      </c>
      <c r="C9057" s="6">
        <v>0.41393709859994499</v>
      </c>
    </row>
    <row r="9058" spans="1:3" s="7" customFormat="1" x14ac:dyDescent="0.2">
      <c r="A9058" s="6" t="str">
        <f>"VPS8"</f>
        <v>VPS8</v>
      </c>
      <c r="B9058" s="6">
        <v>0.22477522477522399</v>
      </c>
      <c r="C9058" s="6">
        <v>0.41393709859994499</v>
      </c>
    </row>
    <row r="9059" spans="1:3" s="7" customFormat="1" x14ac:dyDescent="0.2">
      <c r="A9059" s="6" t="str">
        <f>"YBX3"</f>
        <v>YBX3</v>
      </c>
      <c r="B9059" s="6">
        <v>0.22477522477522399</v>
      </c>
      <c r="C9059" s="6">
        <v>0.41393709859994499</v>
      </c>
    </row>
    <row r="9060" spans="1:3" s="7" customFormat="1" x14ac:dyDescent="0.2">
      <c r="A9060" s="6" t="str">
        <f>"AC010809.1"</f>
        <v>AC010809.1</v>
      </c>
      <c r="B9060" s="6">
        <v>0.22477522477522399</v>
      </c>
      <c r="C9060" s="6">
        <v>0.41393709859994499</v>
      </c>
    </row>
    <row r="9061" spans="1:3" s="7" customFormat="1" x14ac:dyDescent="0.2">
      <c r="A9061" s="6" t="str">
        <f>"AP001931.2"</f>
        <v>AP001931.2</v>
      </c>
      <c r="B9061" s="6">
        <v>0.22477522477522399</v>
      </c>
      <c r="C9061" s="6">
        <v>0.41393709859994499</v>
      </c>
    </row>
    <row r="9062" spans="1:3" s="7" customFormat="1" x14ac:dyDescent="0.2">
      <c r="A9062" s="6" t="str">
        <f>"WDR61"</f>
        <v>WDR61</v>
      </c>
      <c r="B9062" s="6">
        <v>0.22477522477522399</v>
      </c>
      <c r="C9062" s="6">
        <v>0.41393709859994499</v>
      </c>
    </row>
    <row r="9063" spans="1:3" s="7" customFormat="1" x14ac:dyDescent="0.2">
      <c r="A9063" s="6" t="str">
        <f>"FNBP4"</f>
        <v>FNBP4</v>
      </c>
      <c r="B9063" s="6">
        <v>0.22477522477522399</v>
      </c>
      <c r="C9063" s="6">
        <v>0.41393709859994499</v>
      </c>
    </row>
    <row r="9064" spans="1:3" s="7" customFormat="1" x14ac:dyDescent="0.2">
      <c r="A9064" s="6" t="str">
        <f>"NFYB"</f>
        <v>NFYB</v>
      </c>
      <c r="B9064" s="6">
        <v>0.22477522477522399</v>
      </c>
      <c r="C9064" s="6">
        <v>0.41393709859994499</v>
      </c>
    </row>
    <row r="9065" spans="1:3" s="7" customFormat="1" x14ac:dyDescent="0.2">
      <c r="A9065" s="6" t="str">
        <f>"ERCC5"</f>
        <v>ERCC5</v>
      </c>
      <c r="B9065" s="6">
        <v>0.22477522477522399</v>
      </c>
      <c r="C9065" s="6">
        <v>0.41393709859994499</v>
      </c>
    </row>
    <row r="9066" spans="1:3" s="7" customFormat="1" x14ac:dyDescent="0.2">
      <c r="A9066" s="6" t="str">
        <f>"TRIM39"</f>
        <v>TRIM39</v>
      </c>
      <c r="B9066" s="6">
        <v>0.22477522477522399</v>
      </c>
      <c r="C9066" s="6">
        <v>0.41393709859994499</v>
      </c>
    </row>
    <row r="9067" spans="1:3" s="7" customFormat="1" x14ac:dyDescent="0.2">
      <c r="A9067" s="6" t="str">
        <f>"SOWAHD"</f>
        <v>SOWAHD</v>
      </c>
      <c r="B9067" s="6">
        <v>0.22477522477522399</v>
      </c>
      <c r="C9067" s="6">
        <v>0.41393709859994499</v>
      </c>
    </row>
    <row r="9068" spans="1:3" s="7" customFormat="1" x14ac:dyDescent="0.2">
      <c r="A9068" s="6" t="str">
        <f>"RRP9"</f>
        <v>RRP9</v>
      </c>
      <c r="B9068" s="6">
        <v>0.22477522477522399</v>
      </c>
      <c r="C9068" s="6">
        <v>0.41393709859994499</v>
      </c>
    </row>
    <row r="9069" spans="1:3" s="7" customFormat="1" x14ac:dyDescent="0.2">
      <c r="A9069" s="6" t="str">
        <f>"AL627230.1"</f>
        <v>AL627230.1</v>
      </c>
      <c r="B9069" s="6">
        <v>0.22477522477522399</v>
      </c>
      <c r="C9069" s="6">
        <v>0.41393709859994499</v>
      </c>
    </row>
    <row r="9070" spans="1:3" s="7" customFormat="1" x14ac:dyDescent="0.2">
      <c r="A9070" s="6" t="str">
        <f>"FAM3B"</f>
        <v>FAM3B</v>
      </c>
      <c r="B9070" s="6">
        <v>0.22477522477522399</v>
      </c>
      <c r="C9070" s="6">
        <v>0.41393709859994499</v>
      </c>
    </row>
    <row r="9071" spans="1:3" s="7" customFormat="1" x14ac:dyDescent="0.2">
      <c r="A9071" s="6" t="str">
        <f>"AL355574.1"</f>
        <v>AL355574.1</v>
      </c>
      <c r="B9071" s="6">
        <v>0.22477522477522399</v>
      </c>
      <c r="C9071" s="6">
        <v>0.41393709859994499</v>
      </c>
    </row>
    <row r="9072" spans="1:3" s="7" customFormat="1" x14ac:dyDescent="0.2">
      <c r="A9072" s="6" t="str">
        <f>"AC104232.3"</f>
        <v>AC104232.3</v>
      </c>
      <c r="B9072" s="6">
        <v>0.224581005586592</v>
      </c>
      <c r="C9072" s="6">
        <v>0.41393709859994499</v>
      </c>
    </row>
    <row r="9073" spans="1:3" s="7" customFormat="1" x14ac:dyDescent="0.2">
      <c r="A9073" s="6" t="str">
        <f>"TSNAXIP1"</f>
        <v>TSNAXIP1</v>
      </c>
      <c r="B9073" s="6">
        <v>0.22477522477522399</v>
      </c>
      <c r="C9073" s="6">
        <v>0.41393709859994499</v>
      </c>
    </row>
    <row r="9074" spans="1:3" s="7" customFormat="1" x14ac:dyDescent="0.2">
      <c r="A9074" s="6" t="str">
        <f>"OTUD6A"</f>
        <v>OTUD6A</v>
      </c>
      <c r="B9074" s="6">
        <v>0.22435897435897401</v>
      </c>
      <c r="C9074" s="6">
        <v>0.41393709859994499</v>
      </c>
    </row>
    <row r="9075" spans="1:3" s="7" customFormat="1" x14ac:dyDescent="0.2">
      <c r="A9075" s="6" t="str">
        <f>"POLD1"</f>
        <v>POLD1</v>
      </c>
      <c r="B9075" s="6">
        <v>0.22477522477522399</v>
      </c>
      <c r="C9075" s="6">
        <v>0.41393709859994499</v>
      </c>
    </row>
    <row r="9076" spans="1:3" s="7" customFormat="1" x14ac:dyDescent="0.2">
      <c r="A9076" s="6" t="str">
        <f>"DDX54"</f>
        <v>DDX54</v>
      </c>
      <c r="B9076" s="6">
        <v>0.22477522477522399</v>
      </c>
      <c r="C9076" s="6">
        <v>0.41393709859994499</v>
      </c>
    </row>
    <row r="9077" spans="1:3" s="7" customFormat="1" x14ac:dyDescent="0.2">
      <c r="A9077" s="6" t="str">
        <f>"NDUFA4"</f>
        <v>NDUFA4</v>
      </c>
      <c r="B9077" s="6">
        <v>0.22477522477522399</v>
      </c>
      <c r="C9077" s="6">
        <v>0.41393709859994499</v>
      </c>
    </row>
    <row r="9078" spans="1:3" s="7" customFormat="1" x14ac:dyDescent="0.2">
      <c r="A9078" s="6" t="str">
        <f>"RPL23AP74"</f>
        <v>RPL23AP74</v>
      </c>
      <c r="B9078" s="6">
        <v>0.22481572481572401</v>
      </c>
      <c r="C9078" s="6">
        <v>0.413966070791012</v>
      </c>
    </row>
    <row r="9079" spans="1:3" s="7" customFormat="1" x14ac:dyDescent="0.2">
      <c r="A9079" s="6" t="str">
        <f>"LRRC4C"</f>
        <v>LRRC4C</v>
      </c>
      <c r="B9079" s="6">
        <v>0.22577422577422501</v>
      </c>
      <c r="C9079" s="6">
        <v>0.41490823634858798</v>
      </c>
    </row>
    <row r="9080" spans="1:3" s="7" customFormat="1" x14ac:dyDescent="0.2">
      <c r="A9080" s="6" t="str">
        <f>"CCDC167"</f>
        <v>CCDC167</v>
      </c>
      <c r="B9080" s="6">
        <v>0.22577422577422501</v>
      </c>
      <c r="C9080" s="6">
        <v>0.41490823634858798</v>
      </c>
    </row>
    <row r="9081" spans="1:3" s="7" customFormat="1" x14ac:dyDescent="0.2">
      <c r="A9081" s="6" t="str">
        <f>"AKAP11"</f>
        <v>AKAP11</v>
      </c>
      <c r="B9081" s="6">
        <v>0.22577422577422501</v>
      </c>
      <c r="C9081" s="6">
        <v>0.41490823634858798</v>
      </c>
    </row>
    <row r="9082" spans="1:3" s="7" customFormat="1" x14ac:dyDescent="0.2">
      <c r="A9082" s="6" t="str">
        <f>"CABCOCO1"</f>
        <v>CABCOCO1</v>
      </c>
      <c r="B9082" s="6">
        <v>0.22577422577422501</v>
      </c>
      <c r="C9082" s="6">
        <v>0.41490823634858798</v>
      </c>
    </row>
    <row r="9083" spans="1:3" s="7" customFormat="1" x14ac:dyDescent="0.2">
      <c r="A9083" s="6" t="str">
        <f>"Z97056.1"</f>
        <v>Z97056.1</v>
      </c>
      <c r="B9083" s="6">
        <v>0.22577422577422501</v>
      </c>
      <c r="C9083" s="6">
        <v>0.41490823634858798</v>
      </c>
    </row>
    <row r="9084" spans="1:3" s="7" customFormat="1" x14ac:dyDescent="0.2">
      <c r="A9084" s="6" t="str">
        <f>"XACT"</f>
        <v>XACT</v>
      </c>
      <c r="B9084" s="6">
        <v>0.22577422577422501</v>
      </c>
      <c r="C9084" s="6">
        <v>0.41490823634858798</v>
      </c>
    </row>
    <row r="9085" spans="1:3" s="7" customFormat="1" x14ac:dyDescent="0.2">
      <c r="A9085" s="6" t="str">
        <f>"CADM1"</f>
        <v>CADM1</v>
      </c>
      <c r="B9085" s="6">
        <v>0.22577422577422501</v>
      </c>
      <c r="C9085" s="6">
        <v>0.41490823634858798</v>
      </c>
    </row>
    <row r="9086" spans="1:3" s="7" customFormat="1" x14ac:dyDescent="0.2">
      <c r="A9086" s="6" t="str">
        <f>"AC008957.1"</f>
        <v>AC008957.1</v>
      </c>
      <c r="B9086" s="6">
        <v>0.22577422577422501</v>
      </c>
      <c r="C9086" s="6">
        <v>0.41490823634858798</v>
      </c>
    </row>
    <row r="9087" spans="1:3" s="7" customFormat="1" x14ac:dyDescent="0.2">
      <c r="A9087" s="6" t="str">
        <f>"PUS7L"</f>
        <v>PUS7L</v>
      </c>
      <c r="B9087" s="6">
        <v>0.22577422577422501</v>
      </c>
      <c r="C9087" s="6">
        <v>0.41490823634858798</v>
      </c>
    </row>
    <row r="9088" spans="1:3" s="7" customFormat="1" x14ac:dyDescent="0.2">
      <c r="A9088" s="6" t="str">
        <f>"RNF31"</f>
        <v>RNF31</v>
      </c>
      <c r="B9088" s="6">
        <v>0.22577422577422501</v>
      </c>
      <c r="C9088" s="6">
        <v>0.41490823634858798</v>
      </c>
    </row>
    <row r="9089" spans="1:3" s="7" customFormat="1" x14ac:dyDescent="0.2">
      <c r="A9089" s="6" t="str">
        <f>"NPLOC4"</f>
        <v>NPLOC4</v>
      </c>
      <c r="B9089" s="6">
        <v>0.22577422577422501</v>
      </c>
      <c r="C9089" s="6">
        <v>0.41490823634858798</v>
      </c>
    </row>
    <row r="9090" spans="1:3" s="7" customFormat="1" x14ac:dyDescent="0.2">
      <c r="A9090" s="6" t="str">
        <f>"KRT31"</f>
        <v>KRT31</v>
      </c>
      <c r="B9090" s="6">
        <v>0.22577422577422501</v>
      </c>
      <c r="C9090" s="6">
        <v>0.41490823634858798</v>
      </c>
    </row>
    <row r="9091" spans="1:3" s="7" customFormat="1" x14ac:dyDescent="0.2">
      <c r="A9091" s="6" t="str">
        <f>"AMY1A"</f>
        <v>AMY1A</v>
      </c>
      <c r="B9091" s="6">
        <v>0.22577422577422501</v>
      </c>
      <c r="C9091" s="6">
        <v>0.41490823634858798</v>
      </c>
    </row>
    <row r="9092" spans="1:3" s="7" customFormat="1" x14ac:dyDescent="0.2">
      <c r="A9092" s="6" t="str">
        <f>"SCARA5"</f>
        <v>SCARA5</v>
      </c>
      <c r="B9092" s="6">
        <v>0.22577422577422501</v>
      </c>
      <c r="C9092" s="6">
        <v>0.41490823634858798</v>
      </c>
    </row>
    <row r="9093" spans="1:3" s="7" customFormat="1" x14ac:dyDescent="0.2">
      <c r="A9093" s="6" t="str">
        <f>"RSPH14"</f>
        <v>RSPH14</v>
      </c>
      <c r="B9093" s="6">
        <v>0.22577422577422501</v>
      </c>
      <c r="C9093" s="6">
        <v>0.41490823634858798</v>
      </c>
    </row>
    <row r="9094" spans="1:3" s="7" customFormat="1" x14ac:dyDescent="0.2">
      <c r="A9094" s="6" t="str">
        <f>"YRDC"</f>
        <v>YRDC</v>
      </c>
      <c r="B9094" s="6">
        <v>0.22577422577422501</v>
      </c>
      <c r="C9094" s="6">
        <v>0.41490823634858798</v>
      </c>
    </row>
    <row r="9095" spans="1:3" s="7" customFormat="1" x14ac:dyDescent="0.2">
      <c r="A9095" s="6" t="str">
        <f>"UQCRC2"</f>
        <v>UQCRC2</v>
      </c>
      <c r="B9095" s="6">
        <v>0.22577422577422501</v>
      </c>
      <c r="C9095" s="6">
        <v>0.41490823634858798</v>
      </c>
    </row>
    <row r="9096" spans="1:3" s="7" customFormat="1" x14ac:dyDescent="0.2">
      <c r="A9096" s="6" t="str">
        <f>"SLC2A9"</f>
        <v>SLC2A9</v>
      </c>
      <c r="B9096" s="6">
        <v>0.22577422577422501</v>
      </c>
      <c r="C9096" s="6">
        <v>0.41490823634858798</v>
      </c>
    </row>
    <row r="9097" spans="1:3" s="7" customFormat="1" x14ac:dyDescent="0.2">
      <c r="A9097" s="6" t="str">
        <f>"DUSP22"</f>
        <v>DUSP22</v>
      </c>
      <c r="B9097" s="6">
        <v>0.22677322677322601</v>
      </c>
      <c r="C9097" s="6">
        <v>0.41642361154556201</v>
      </c>
    </row>
    <row r="9098" spans="1:3" s="7" customFormat="1" x14ac:dyDescent="0.2">
      <c r="A9098" s="6" t="str">
        <f>"AK5"</f>
        <v>AK5</v>
      </c>
      <c r="B9098" s="6">
        <v>0.22677322677322601</v>
      </c>
      <c r="C9098" s="6">
        <v>0.41642361154556201</v>
      </c>
    </row>
    <row r="9099" spans="1:3" s="7" customFormat="1" x14ac:dyDescent="0.2">
      <c r="A9099" s="6" t="str">
        <f>"SIRT6"</f>
        <v>SIRT6</v>
      </c>
      <c r="B9099" s="6">
        <v>0.22677322677322601</v>
      </c>
      <c r="C9099" s="6">
        <v>0.41642361154556201</v>
      </c>
    </row>
    <row r="9100" spans="1:3" s="7" customFormat="1" x14ac:dyDescent="0.2">
      <c r="A9100" s="6" t="str">
        <f>"PPM1F-AS1"</f>
        <v>PPM1F-AS1</v>
      </c>
      <c r="B9100" s="6">
        <v>0.22677322677322601</v>
      </c>
      <c r="C9100" s="6">
        <v>0.41642361154556201</v>
      </c>
    </row>
    <row r="9101" spans="1:3" s="7" customFormat="1" x14ac:dyDescent="0.2">
      <c r="A9101" s="6" t="str">
        <f>"CBY3"</f>
        <v>CBY3</v>
      </c>
      <c r="B9101" s="6">
        <v>0.22677322677322601</v>
      </c>
      <c r="C9101" s="6">
        <v>0.41642361154556201</v>
      </c>
    </row>
    <row r="9102" spans="1:3" s="7" customFormat="1" x14ac:dyDescent="0.2">
      <c r="A9102" s="6" t="str">
        <f>"PCDHB2"</f>
        <v>PCDHB2</v>
      </c>
      <c r="B9102" s="6">
        <v>0.22677322677322601</v>
      </c>
      <c r="C9102" s="6">
        <v>0.41642361154556201</v>
      </c>
    </row>
    <row r="9103" spans="1:3" s="7" customFormat="1" x14ac:dyDescent="0.2">
      <c r="A9103" s="6" t="str">
        <f>"MUC5AC"</f>
        <v>MUC5AC</v>
      </c>
      <c r="B9103" s="6">
        <v>0.22677322677322601</v>
      </c>
      <c r="C9103" s="6">
        <v>0.41642361154556201</v>
      </c>
    </row>
    <row r="9104" spans="1:3" s="7" customFormat="1" x14ac:dyDescent="0.2">
      <c r="A9104" s="6" t="str">
        <f>"RPS7"</f>
        <v>RPS7</v>
      </c>
      <c r="B9104" s="6">
        <v>0.22700000000000001</v>
      </c>
      <c r="C9104" s="6">
        <v>0.41679424365593698</v>
      </c>
    </row>
    <row r="9105" spans="1:3" s="7" customFormat="1" x14ac:dyDescent="0.2">
      <c r="A9105" s="6" t="str">
        <f>"AC073130.3"</f>
        <v>AC073130.3</v>
      </c>
      <c r="B9105" s="6">
        <v>0.22722722722722699</v>
      </c>
      <c r="C9105" s="6">
        <v>0.41716562784225297</v>
      </c>
    </row>
    <row r="9106" spans="1:3" s="7" customFormat="1" x14ac:dyDescent="0.2">
      <c r="A9106" s="6" t="str">
        <f>"AP1M2"</f>
        <v>AP1M2</v>
      </c>
      <c r="B9106" s="6">
        <v>0.227772227772227</v>
      </c>
      <c r="C9106" s="6">
        <v>0.41724956323816398</v>
      </c>
    </row>
    <row r="9107" spans="1:3" s="7" customFormat="1" x14ac:dyDescent="0.2">
      <c r="A9107" s="6" t="str">
        <f>"AC137834.1"</f>
        <v>AC137834.1</v>
      </c>
      <c r="B9107" s="6">
        <v>0.227772227772227</v>
      </c>
      <c r="C9107" s="6">
        <v>0.41724956323816398</v>
      </c>
    </row>
    <row r="9108" spans="1:3" s="7" customFormat="1" x14ac:dyDescent="0.2">
      <c r="A9108" s="6" t="str">
        <f>"LIPG"</f>
        <v>LIPG</v>
      </c>
      <c r="B9108" s="6">
        <v>0.227772227772227</v>
      </c>
      <c r="C9108" s="6">
        <v>0.41724956323816398</v>
      </c>
    </row>
    <row r="9109" spans="1:3" s="7" customFormat="1" x14ac:dyDescent="0.2">
      <c r="A9109" s="6" t="str">
        <f>"AC020915.1"</f>
        <v>AC020915.1</v>
      </c>
      <c r="B9109" s="6">
        <v>0.22745490981963901</v>
      </c>
      <c r="C9109" s="6">
        <v>0.41724956323816398</v>
      </c>
    </row>
    <row r="9110" spans="1:3" s="7" customFormat="1" x14ac:dyDescent="0.2">
      <c r="A9110" s="6" t="str">
        <f>"BLMH"</f>
        <v>BLMH</v>
      </c>
      <c r="B9110" s="6">
        <v>0.227772227772227</v>
      </c>
      <c r="C9110" s="6">
        <v>0.41724956323816398</v>
      </c>
    </row>
    <row r="9111" spans="1:3" s="7" customFormat="1" x14ac:dyDescent="0.2">
      <c r="A9111" s="6" t="str">
        <f>"GPATCH3"</f>
        <v>GPATCH3</v>
      </c>
      <c r="B9111" s="6">
        <v>0.227772227772227</v>
      </c>
      <c r="C9111" s="6">
        <v>0.41724956323816398</v>
      </c>
    </row>
    <row r="9112" spans="1:3" s="7" customFormat="1" x14ac:dyDescent="0.2">
      <c r="A9112" s="6" t="str">
        <f>"SLC12A9"</f>
        <v>SLC12A9</v>
      </c>
      <c r="B9112" s="6">
        <v>0.227772227772227</v>
      </c>
      <c r="C9112" s="6">
        <v>0.41724956323816398</v>
      </c>
    </row>
    <row r="9113" spans="1:3" s="7" customFormat="1" x14ac:dyDescent="0.2">
      <c r="A9113" s="6" t="str">
        <f>"LY75"</f>
        <v>LY75</v>
      </c>
      <c r="B9113" s="6">
        <v>0.227772227772227</v>
      </c>
      <c r="C9113" s="6">
        <v>0.41724956323816398</v>
      </c>
    </row>
    <row r="9114" spans="1:3" s="7" customFormat="1" x14ac:dyDescent="0.2">
      <c r="A9114" s="6" t="str">
        <f>"WARS2"</f>
        <v>WARS2</v>
      </c>
      <c r="B9114" s="6">
        <v>0.227772227772227</v>
      </c>
      <c r="C9114" s="6">
        <v>0.41724956323816398</v>
      </c>
    </row>
    <row r="9115" spans="1:3" s="7" customFormat="1" x14ac:dyDescent="0.2">
      <c r="A9115" s="6" t="str">
        <f>"RASA3"</f>
        <v>RASA3</v>
      </c>
      <c r="B9115" s="6">
        <v>0.227772227772227</v>
      </c>
      <c r="C9115" s="6">
        <v>0.41724956323816398</v>
      </c>
    </row>
    <row r="9116" spans="1:3" s="7" customFormat="1" x14ac:dyDescent="0.2">
      <c r="A9116" s="6" t="str">
        <f>"CLCN4"</f>
        <v>CLCN4</v>
      </c>
      <c r="B9116" s="6">
        <v>0.227772227772227</v>
      </c>
      <c r="C9116" s="6">
        <v>0.41724956323816398</v>
      </c>
    </row>
    <row r="9117" spans="1:3" s="7" customFormat="1" x14ac:dyDescent="0.2">
      <c r="A9117" s="6" t="str">
        <f>"STAM2"</f>
        <v>STAM2</v>
      </c>
      <c r="B9117" s="6">
        <v>0.227772227772227</v>
      </c>
      <c r="C9117" s="6">
        <v>0.41724956323816398</v>
      </c>
    </row>
    <row r="9118" spans="1:3" s="7" customFormat="1" x14ac:dyDescent="0.2">
      <c r="A9118" s="6" t="str">
        <f>"TMEM94"</f>
        <v>TMEM94</v>
      </c>
      <c r="B9118" s="6">
        <v>0.227772227772227</v>
      </c>
      <c r="C9118" s="6">
        <v>0.41724956323816398</v>
      </c>
    </row>
    <row r="9119" spans="1:3" s="7" customFormat="1" x14ac:dyDescent="0.2">
      <c r="A9119" s="6" t="str">
        <f>"TRAFD1"</f>
        <v>TRAFD1</v>
      </c>
      <c r="B9119" s="6">
        <v>0.227772227772227</v>
      </c>
      <c r="C9119" s="6">
        <v>0.41724956323816398</v>
      </c>
    </row>
    <row r="9120" spans="1:3" s="7" customFormat="1" x14ac:dyDescent="0.2">
      <c r="A9120" s="6" t="str">
        <f>"AF228730.5"</f>
        <v>AF228730.5</v>
      </c>
      <c r="B9120" s="6">
        <v>0.227772227772227</v>
      </c>
      <c r="C9120" s="6">
        <v>0.41724956323816398</v>
      </c>
    </row>
    <row r="9121" spans="1:3" s="7" customFormat="1" x14ac:dyDescent="0.2">
      <c r="A9121" s="6" t="str">
        <f>"TWF2"</f>
        <v>TWF2</v>
      </c>
      <c r="B9121" s="6">
        <v>0.227772227772227</v>
      </c>
      <c r="C9121" s="6">
        <v>0.41724956323816398</v>
      </c>
    </row>
    <row r="9122" spans="1:3" s="7" customFormat="1" x14ac:dyDescent="0.2">
      <c r="A9122" s="6" t="str">
        <f>"DHTKD1"</f>
        <v>DHTKD1</v>
      </c>
      <c r="B9122" s="6">
        <v>0.227772227772227</v>
      </c>
      <c r="C9122" s="6">
        <v>0.41724956323816398</v>
      </c>
    </row>
    <row r="9123" spans="1:3" s="7" customFormat="1" x14ac:dyDescent="0.2">
      <c r="A9123" s="6" t="str">
        <f>"KNDC1"</f>
        <v>KNDC1</v>
      </c>
      <c r="B9123" s="6">
        <v>0.227772227772227</v>
      </c>
      <c r="C9123" s="6">
        <v>0.41724956323816398</v>
      </c>
    </row>
    <row r="9124" spans="1:3" s="7" customFormat="1" x14ac:dyDescent="0.2">
      <c r="A9124" s="6" t="str">
        <f>"ATP5PF"</f>
        <v>ATP5PF</v>
      </c>
      <c r="B9124" s="6">
        <v>0.227772227772227</v>
      </c>
      <c r="C9124" s="6">
        <v>0.41724956323816398</v>
      </c>
    </row>
    <row r="9125" spans="1:3" s="7" customFormat="1" x14ac:dyDescent="0.2">
      <c r="A9125" s="6" t="str">
        <f>"OTUD6B"</f>
        <v>OTUD6B</v>
      </c>
      <c r="B9125" s="6">
        <v>0.227772227772227</v>
      </c>
      <c r="C9125" s="6">
        <v>0.41724956323816398</v>
      </c>
    </row>
    <row r="9126" spans="1:3" s="7" customFormat="1" x14ac:dyDescent="0.2">
      <c r="A9126" s="6" t="str">
        <f>"DYNLL2"</f>
        <v>DYNLL2</v>
      </c>
      <c r="B9126" s="6">
        <v>0.22800000000000001</v>
      </c>
      <c r="C9126" s="6">
        <v>0.41757527942143302</v>
      </c>
    </row>
    <row r="9127" spans="1:3" s="7" customFormat="1" x14ac:dyDescent="0.2">
      <c r="A9127" s="6" t="str">
        <f>"EFCC1"</f>
        <v>EFCC1</v>
      </c>
      <c r="B9127" s="6">
        <v>0.22800000000000001</v>
      </c>
      <c r="C9127" s="6">
        <v>0.41757527942143302</v>
      </c>
    </row>
    <row r="9128" spans="1:3" s="7" customFormat="1" x14ac:dyDescent="0.2">
      <c r="A9128" s="6" t="str">
        <f>"MPP7-DT"</f>
        <v>MPP7-DT</v>
      </c>
      <c r="B9128" s="6">
        <v>0.228228228228228</v>
      </c>
      <c r="C9128" s="6">
        <v>0.41790168784033799</v>
      </c>
    </row>
    <row r="9129" spans="1:3" s="7" customFormat="1" x14ac:dyDescent="0.2">
      <c r="A9129" s="6" t="str">
        <f>"PLPP2"</f>
        <v>PLPP2</v>
      </c>
      <c r="B9129" s="6">
        <v>0.228228228228228</v>
      </c>
      <c r="C9129" s="6">
        <v>0.41790168784033799</v>
      </c>
    </row>
    <row r="9130" spans="1:3" s="7" customFormat="1" x14ac:dyDescent="0.2">
      <c r="A9130" s="6" t="str">
        <f>"MAST4"</f>
        <v>MAST4</v>
      </c>
      <c r="B9130" s="6">
        <v>0.22877122877122799</v>
      </c>
      <c r="C9130" s="6">
        <v>0.41807154140414499</v>
      </c>
    </row>
    <row r="9131" spans="1:3" s="7" customFormat="1" x14ac:dyDescent="0.2">
      <c r="A9131" s="6" t="str">
        <f>"ARHGAP27"</f>
        <v>ARHGAP27</v>
      </c>
      <c r="B9131" s="6">
        <v>0.22877122877122799</v>
      </c>
      <c r="C9131" s="6">
        <v>0.41807154140414499</v>
      </c>
    </row>
    <row r="9132" spans="1:3" s="7" customFormat="1" x14ac:dyDescent="0.2">
      <c r="A9132" s="6" t="str">
        <f>"ARL14EPL"</f>
        <v>ARL14EPL</v>
      </c>
      <c r="B9132" s="6">
        <v>0.228473019517795</v>
      </c>
      <c r="C9132" s="6">
        <v>0.41807154140414499</v>
      </c>
    </row>
    <row r="9133" spans="1:3" s="7" customFormat="1" x14ac:dyDescent="0.2">
      <c r="A9133" s="6" t="str">
        <f>"AGA"</f>
        <v>AGA</v>
      </c>
      <c r="B9133" s="6">
        <v>0.22877122877122799</v>
      </c>
      <c r="C9133" s="6">
        <v>0.41807154140414499</v>
      </c>
    </row>
    <row r="9134" spans="1:3" s="7" customFormat="1" x14ac:dyDescent="0.2">
      <c r="A9134" s="6" t="str">
        <f>"MICOS10-NBL1"</f>
        <v>MICOS10-NBL1</v>
      </c>
      <c r="B9134" s="6">
        <v>0.22877122877122799</v>
      </c>
      <c r="C9134" s="6">
        <v>0.41807154140414499</v>
      </c>
    </row>
    <row r="9135" spans="1:3" s="7" customFormat="1" x14ac:dyDescent="0.2">
      <c r="A9135" s="6" t="str">
        <f>"COX20"</f>
        <v>COX20</v>
      </c>
      <c r="B9135" s="6">
        <v>0.22877122877122799</v>
      </c>
      <c r="C9135" s="6">
        <v>0.41807154140414499</v>
      </c>
    </row>
    <row r="9136" spans="1:3" s="7" customFormat="1" x14ac:dyDescent="0.2">
      <c r="A9136" s="6" t="str">
        <f>"CACNB1"</f>
        <v>CACNB1</v>
      </c>
      <c r="B9136" s="6">
        <v>0.22877122877122799</v>
      </c>
      <c r="C9136" s="6">
        <v>0.41807154140414499</v>
      </c>
    </row>
    <row r="9137" spans="1:3" s="7" customFormat="1" x14ac:dyDescent="0.2">
      <c r="A9137" s="6" t="str">
        <f>"AC025423.2"</f>
        <v>AC025423.2</v>
      </c>
      <c r="B9137" s="6">
        <v>0.22877122877122799</v>
      </c>
      <c r="C9137" s="6">
        <v>0.41807154140414499</v>
      </c>
    </row>
    <row r="9138" spans="1:3" s="7" customFormat="1" x14ac:dyDescent="0.2">
      <c r="A9138" s="6" t="str">
        <f>"RSAD2"</f>
        <v>RSAD2</v>
      </c>
      <c r="B9138" s="6">
        <v>0.22877122877122799</v>
      </c>
      <c r="C9138" s="6">
        <v>0.41807154140414499</v>
      </c>
    </row>
    <row r="9139" spans="1:3" s="7" customFormat="1" x14ac:dyDescent="0.2">
      <c r="A9139" s="6" t="str">
        <f>"TEAD3"</f>
        <v>TEAD3</v>
      </c>
      <c r="B9139" s="6">
        <v>0.22877122877122799</v>
      </c>
      <c r="C9139" s="6">
        <v>0.41807154140414499</v>
      </c>
    </row>
    <row r="9140" spans="1:3" s="7" customFormat="1" x14ac:dyDescent="0.2">
      <c r="A9140" s="6" t="str">
        <f>"ATP6V1A"</f>
        <v>ATP6V1A</v>
      </c>
      <c r="B9140" s="6">
        <v>0.22877122877122799</v>
      </c>
      <c r="C9140" s="6">
        <v>0.41807154140414499</v>
      </c>
    </row>
    <row r="9141" spans="1:3" s="7" customFormat="1" x14ac:dyDescent="0.2">
      <c r="A9141" s="6" t="str">
        <f>"AC005520.2"</f>
        <v>AC005520.2</v>
      </c>
      <c r="B9141" s="6">
        <v>0.22877122877122799</v>
      </c>
      <c r="C9141" s="6">
        <v>0.41807154140414499</v>
      </c>
    </row>
    <row r="9142" spans="1:3" s="7" customFormat="1" x14ac:dyDescent="0.2">
      <c r="A9142" s="6" t="str">
        <f>"ARL8B"</f>
        <v>ARL8B</v>
      </c>
      <c r="B9142" s="6">
        <v>0.22877122877122799</v>
      </c>
      <c r="C9142" s="6">
        <v>0.41807154140414499</v>
      </c>
    </row>
    <row r="9143" spans="1:3" s="7" customFormat="1" x14ac:dyDescent="0.2">
      <c r="A9143" s="6" t="str">
        <f>"TSPAN5"</f>
        <v>TSPAN5</v>
      </c>
      <c r="B9143" s="6">
        <v>0.22877122877122799</v>
      </c>
      <c r="C9143" s="6">
        <v>0.41807154140414499</v>
      </c>
    </row>
    <row r="9144" spans="1:3" s="7" customFormat="1" x14ac:dyDescent="0.2">
      <c r="A9144" s="6" t="str">
        <f>"WDR47"</f>
        <v>WDR47</v>
      </c>
      <c r="B9144" s="6">
        <v>0.22877122877122799</v>
      </c>
      <c r="C9144" s="6">
        <v>0.41807154140414499</v>
      </c>
    </row>
    <row r="9145" spans="1:3" s="7" customFormat="1" x14ac:dyDescent="0.2">
      <c r="A9145" s="6" t="str">
        <f>"CEP41"</f>
        <v>CEP41</v>
      </c>
      <c r="B9145" s="6">
        <v>0.22877122877122799</v>
      </c>
      <c r="C9145" s="6">
        <v>0.41807154140414499</v>
      </c>
    </row>
    <row r="9146" spans="1:3" s="7" customFormat="1" x14ac:dyDescent="0.2">
      <c r="A9146" s="6" t="str">
        <f>"CCDC151"</f>
        <v>CCDC151</v>
      </c>
      <c r="B9146" s="6">
        <v>0.22877122877122799</v>
      </c>
      <c r="C9146" s="6">
        <v>0.41807154140414499</v>
      </c>
    </row>
    <row r="9147" spans="1:3" s="7" customFormat="1" x14ac:dyDescent="0.2">
      <c r="A9147" s="6" t="str">
        <f>"NDUFA11"</f>
        <v>NDUFA11</v>
      </c>
      <c r="B9147" s="6">
        <v>0.22877122877122799</v>
      </c>
      <c r="C9147" s="6">
        <v>0.41807154140414499</v>
      </c>
    </row>
    <row r="9148" spans="1:3" s="7" customFormat="1" x14ac:dyDescent="0.2">
      <c r="A9148" s="6" t="str">
        <f>"YIPF4"</f>
        <v>YIPF4</v>
      </c>
      <c r="B9148" s="6">
        <v>0.22900000000000001</v>
      </c>
      <c r="C9148" s="6">
        <v>0.41844386137531397</v>
      </c>
    </row>
    <row r="9149" spans="1:3" s="7" customFormat="1" x14ac:dyDescent="0.2">
      <c r="A9149" s="6" t="str">
        <f>"AC121761.2"</f>
        <v>AC121761.2</v>
      </c>
      <c r="B9149" s="6">
        <v>0.22910216718266199</v>
      </c>
      <c r="C9149" s="6">
        <v>0.418584785995957</v>
      </c>
    </row>
    <row r="9150" spans="1:3" s="7" customFormat="1" x14ac:dyDescent="0.2">
      <c r="A9150" s="6" t="str">
        <f>"USP36"</f>
        <v>USP36</v>
      </c>
      <c r="B9150" s="6">
        <v>0.22977022977022901</v>
      </c>
      <c r="C9150" s="6">
        <v>0.41893527003159298</v>
      </c>
    </row>
    <row r="9151" spans="1:3" s="7" customFormat="1" x14ac:dyDescent="0.2">
      <c r="A9151" s="6" t="str">
        <f>"RBFOX2"</f>
        <v>RBFOX2</v>
      </c>
      <c r="B9151" s="6">
        <v>0.22977022977022901</v>
      </c>
      <c r="C9151" s="6">
        <v>0.41893527003159298</v>
      </c>
    </row>
    <row r="9152" spans="1:3" s="7" customFormat="1" x14ac:dyDescent="0.2">
      <c r="A9152" s="6" t="str">
        <f>"IGHV3-53"</f>
        <v>IGHV3-53</v>
      </c>
      <c r="B9152" s="6">
        <v>0.22977022977022901</v>
      </c>
      <c r="C9152" s="6">
        <v>0.41893527003159298</v>
      </c>
    </row>
    <row r="9153" spans="1:3" s="7" customFormat="1" x14ac:dyDescent="0.2">
      <c r="A9153" s="6" t="str">
        <f>"ICAM5"</f>
        <v>ICAM5</v>
      </c>
      <c r="B9153" s="6">
        <v>0.22977022977022901</v>
      </c>
      <c r="C9153" s="6">
        <v>0.41893527003159298</v>
      </c>
    </row>
    <row r="9154" spans="1:3" s="7" customFormat="1" x14ac:dyDescent="0.2">
      <c r="A9154" s="6" t="str">
        <f>"AC027117.2"</f>
        <v>AC027117.2</v>
      </c>
      <c r="B9154" s="6">
        <v>0.22977022977022901</v>
      </c>
      <c r="C9154" s="6">
        <v>0.41893527003159298</v>
      </c>
    </row>
    <row r="9155" spans="1:3" s="7" customFormat="1" x14ac:dyDescent="0.2">
      <c r="A9155" s="6" t="str">
        <f>"SQLE"</f>
        <v>SQLE</v>
      </c>
      <c r="B9155" s="6">
        <v>0.22977022977022901</v>
      </c>
      <c r="C9155" s="6">
        <v>0.41893527003159298</v>
      </c>
    </row>
    <row r="9156" spans="1:3" s="7" customFormat="1" x14ac:dyDescent="0.2">
      <c r="A9156" s="6" t="str">
        <f>"PGAP3"</f>
        <v>PGAP3</v>
      </c>
      <c r="B9156" s="6">
        <v>0.22977022977022901</v>
      </c>
      <c r="C9156" s="6">
        <v>0.41893527003159298</v>
      </c>
    </row>
    <row r="9157" spans="1:3" s="7" customFormat="1" x14ac:dyDescent="0.2">
      <c r="A9157" s="6" t="str">
        <f>"CCDC18-AS1"</f>
        <v>CCDC18-AS1</v>
      </c>
      <c r="B9157" s="6">
        <v>0.22977022977022901</v>
      </c>
      <c r="C9157" s="6">
        <v>0.41893527003159298</v>
      </c>
    </row>
    <row r="9158" spans="1:3" s="7" customFormat="1" x14ac:dyDescent="0.2">
      <c r="A9158" s="6" t="str">
        <f>"SLC39A14"</f>
        <v>SLC39A14</v>
      </c>
      <c r="B9158" s="6">
        <v>0.22977022977022901</v>
      </c>
      <c r="C9158" s="6">
        <v>0.41893527003159298</v>
      </c>
    </row>
    <row r="9159" spans="1:3" s="7" customFormat="1" x14ac:dyDescent="0.2">
      <c r="A9159" s="6" t="str">
        <f>"AL359317.2"</f>
        <v>AL359317.2</v>
      </c>
      <c r="B9159" s="6">
        <v>0.22977022977022901</v>
      </c>
      <c r="C9159" s="6">
        <v>0.41893527003159298</v>
      </c>
    </row>
    <row r="9160" spans="1:3" s="7" customFormat="1" x14ac:dyDescent="0.2">
      <c r="A9160" s="6" t="str">
        <f>"NAT9"</f>
        <v>NAT9</v>
      </c>
      <c r="B9160" s="6">
        <v>0.22977022977022901</v>
      </c>
      <c r="C9160" s="6">
        <v>0.41893527003159298</v>
      </c>
    </row>
    <row r="9161" spans="1:3" s="7" customFormat="1" x14ac:dyDescent="0.2">
      <c r="A9161" s="6" t="str">
        <f>"PAK6"</f>
        <v>PAK6</v>
      </c>
      <c r="B9161" s="6">
        <v>0.22977022977022901</v>
      </c>
      <c r="C9161" s="6">
        <v>0.41893527003159298</v>
      </c>
    </row>
    <row r="9162" spans="1:3" s="7" customFormat="1" x14ac:dyDescent="0.2">
      <c r="A9162" s="6" t="str">
        <f>"RAB35"</f>
        <v>RAB35</v>
      </c>
      <c r="B9162" s="6">
        <v>0.22977022977022901</v>
      </c>
      <c r="C9162" s="6">
        <v>0.41893527003159298</v>
      </c>
    </row>
    <row r="9163" spans="1:3" s="7" customFormat="1" x14ac:dyDescent="0.2">
      <c r="A9163" s="6" t="str">
        <f>"ACSL4"</f>
        <v>ACSL4</v>
      </c>
      <c r="B9163" s="6">
        <v>0.22977022977022901</v>
      </c>
      <c r="C9163" s="6">
        <v>0.41893527003159298</v>
      </c>
    </row>
    <row r="9164" spans="1:3" s="7" customFormat="1" x14ac:dyDescent="0.2">
      <c r="A9164" s="6" t="str">
        <f>"ZNF217"</f>
        <v>ZNF217</v>
      </c>
      <c r="B9164" s="6">
        <v>0.22977022977022901</v>
      </c>
      <c r="C9164" s="6">
        <v>0.41893527003159298</v>
      </c>
    </row>
    <row r="9165" spans="1:3" s="7" customFormat="1" x14ac:dyDescent="0.2">
      <c r="A9165" s="6" t="str">
        <f>"TMEM106A"</f>
        <v>TMEM106A</v>
      </c>
      <c r="B9165" s="6">
        <v>0.22977022977022901</v>
      </c>
      <c r="C9165" s="6">
        <v>0.41893527003159298</v>
      </c>
    </row>
    <row r="9166" spans="1:3" s="7" customFormat="1" x14ac:dyDescent="0.2">
      <c r="A9166" s="6" t="str">
        <f>"C5orf34-AS1"</f>
        <v>C5orf34-AS1</v>
      </c>
      <c r="B9166" s="6">
        <v>0.22945891783567099</v>
      </c>
      <c r="C9166" s="6">
        <v>0.41893527003159298</v>
      </c>
    </row>
    <row r="9167" spans="1:3" s="7" customFormat="1" x14ac:dyDescent="0.2">
      <c r="A9167" s="6" t="str">
        <f>"L1CAM"</f>
        <v>L1CAM</v>
      </c>
      <c r="B9167" s="6">
        <v>0.22977022977022901</v>
      </c>
      <c r="C9167" s="6">
        <v>0.41893527003159298</v>
      </c>
    </row>
    <row r="9168" spans="1:3" s="7" customFormat="1" x14ac:dyDescent="0.2">
      <c r="A9168" s="6" t="str">
        <f>"PKD1P6"</f>
        <v>PKD1P6</v>
      </c>
      <c r="B9168" s="6">
        <v>0.22977022977022901</v>
      </c>
      <c r="C9168" s="6">
        <v>0.41893527003159298</v>
      </c>
    </row>
    <row r="9169" spans="1:3" s="7" customFormat="1" x14ac:dyDescent="0.2">
      <c r="A9169" s="6" t="str">
        <f>"HCP5B"</f>
        <v>HCP5B</v>
      </c>
      <c r="B9169" s="6">
        <v>0.229797979797979</v>
      </c>
      <c r="C9169" s="6">
        <v>0.418940165177076</v>
      </c>
    </row>
    <row r="9170" spans="1:3" s="7" customFormat="1" x14ac:dyDescent="0.2">
      <c r="A9170" s="6" t="str">
        <f>"LINC02863"</f>
        <v>LINC02863</v>
      </c>
      <c r="B9170" s="6">
        <v>0.23</v>
      </c>
      <c r="C9170" s="6">
        <v>0.41907990842690501</v>
      </c>
    </row>
    <row r="9171" spans="1:3" s="7" customFormat="1" x14ac:dyDescent="0.2">
      <c r="A9171" s="6" t="str">
        <f>"AL138889.1"</f>
        <v>AL138889.1</v>
      </c>
      <c r="B9171" s="6">
        <v>0.23</v>
      </c>
      <c r="C9171" s="6">
        <v>0.41907990842690501</v>
      </c>
    </row>
    <row r="9172" spans="1:3" s="7" customFormat="1" x14ac:dyDescent="0.2">
      <c r="A9172" s="6" t="str">
        <f>"PPP2CB"</f>
        <v>PPP2CB</v>
      </c>
      <c r="B9172" s="6">
        <v>0.23</v>
      </c>
      <c r="C9172" s="6">
        <v>0.41907990842690501</v>
      </c>
    </row>
    <row r="9173" spans="1:3" s="7" customFormat="1" x14ac:dyDescent="0.2">
      <c r="A9173" s="6" t="str">
        <f>"HPS1"</f>
        <v>HPS1</v>
      </c>
      <c r="B9173" s="6">
        <v>0.23</v>
      </c>
      <c r="C9173" s="6">
        <v>0.41907990842690501</v>
      </c>
    </row>
    <row r="9174" spans="1:3" s="7" customFormat="1" x14ac:dyDescent="0.2">
      <c r="A9174" s="6" t="str">
        <f>"LIMA1"</f>
        <v>LIMA1</v>
      </c>
      <c r="B9174" s="6">
        <v>0.23</v>
      </c>
      <c r="C9174" s="6">
        <v>0.41907990842690501</v>
      </c>
    </row>
    <row r="9175" spans="1:3" s="7" customFormat="1" x14ac:dyDescent="0.2">
      <c r="A9175" s="6" t="str">
        <f>"AC068888.1"</f>
        <v>AC068888.1</v>
      </c>
      <c r="B9175" s="6">
        <v>0.23076923076923</v>
      </c>
      <c r="C9175" s="6">
        <v>0.41961237196224099</v>
      </c>
    </row>
    <row r="9176" spans="1:3" s="7" customFormat="1" x14ac:dyDescent="0.2">
      <c r="A9176" s="6" t="str">
        <f>"CXCL1"</f>
        <v>CXCL1</v>
      </c>
      <c r="B9176" s="6">
        <v>0.23076923076923</v>
      </c>
      <c r="C9176" s="6">
        <v>0.41961237196224099</v>
      </c>
    </row>
    <row r="9177" spans="1:3" s="7" customFormat="1" x14ac:dyDescent="0.2">
      <c r="A9177" s="6" t="str">
        <f>"UTP6"</f>
        <v>UTP6</v>
      </c>
      <c r="B9177" s="6">
        <v>0.23076923076923</v>
      </c>
      <c r="C9177" s="6">
        <v>0.41961237196224099</v>
      </c>
    </row>
    <row r="9178" spans="1:3" s="7" customFormat="1" x14ac:dyDescent="0.2">
      <c r="A9178" s="6" t="str">
        <f>"GGT6"</f>
        <v>GGT6</v>
      </c>
      <c r="B9178" s="6">
        <v>0.23076923076923</v>
      </c>
      <c r="C9178" s="6">
        <v>0.41961237196224099</v>
      </c>
    </row>
    <row r="9179" spans="1:3" s="7" customFormat="1" x14ac:dyDescent="0.2">
      <c r="A9179" s="6" t="str">
        <f>"RHEBL1"</f>
        <v>RHEBL1</v>
      </c>
      <c r="B9179" s="6">
        <v>0.23076923076923</v>
      </c>
      <c r="C9179" s="6">
        <v>0.41961237196224099</v>
      </c>
    </row>
    <row r="9180" spans="1:3" s="7" customFormat="1" x14ac:dyDescent="0.2">
      <c r="A9180" s="6" t="str">
        <f>"TOR1A"</f>
        <v>TOR1A</v>
      </c>
      <c r="B9180" s="6">
        <v>0.23076923076923</v>
      </c>
      <c r="C9180" s="6">
        <v>0.41961237196224099</v>
      </c>
    </row>
    <row r="9181" spans="1:3" s="7" customFormat="1" x14ac:dyDescent="0.2">
      <c r="A9181" s="6" t="str">
        <f>"TMEM267"</f>
        <v>TMEM267</v>
      </c>
      <c r="B9181" s="6">
        <v>0.23076923076923</v>
      </c>
      <c r="C9181" s="6">
        <v>0.41961237196224099</v>
      </c>
    </row>
    <row r="9182" spans="1:3" s="7" customFormat="1" x14ac:dyDescent="0.2">
      <c r="A9182" s="6" t="str">
        <f>"NIT2"</f>
        <v>NIT2</v>
      </c>
      <c r="B9182" s="6">
        <v>0.23076923076923</v>
      </c>
      <c r="C9182" s="6">
        <v>0.41961237196224099</v>
      </c>
    </row>
    <row r="9183" spans="1:3" s="7" customFormat="1" x14ac:dyDescent="0.2">
      <c r="A9183" s="6" t="str">
        <f>"VOPP1"</f>
        <v>VOPP1</v>
      </c>
      <c r="B9183" s="6">
        <v>0.23076923076923</v>
      </c>
      <c r="C9183" s="6">
        <v>0.41961237196224099</v>
      </c>
    </row>
    <row r="9184" spans="1:3" s="7" customFormat="1" x14ac:dyDescent="0.2">
      <c r="A9184" s="6" t="str">
        <f>"TUFT1"</f>
        <v>TUFT1</v>
      </c>
      <c r="B9184" s="6">
        <v>0.23076923076923</v>
      </c>
      <c r="C9184" s="6">
        <v>0.41961237196224099</v>
      </c>
    </row>
    <row r="9185" spans="1:3" s="7" customFormat="1" x14ac:dyDescent="0.2">
      <c r="A9185" s="6" t="str">
        <f>"TOMM7"</f>
        <v>TOMM7</v>
      </c>
      <c r="B9185" s="6">
        <v>0.23076923076923</v>
      </c>
      <c r="C9185" s="6">
        <v>0.41961237196224099</v>
      </c>
    </row>
    <row r="9186" spans="1:3" s="7" customFormat="1" x14ac:dyDescent="0.2">
      <c r="A9186" s="6" t="str">
        <f>"AL357153.1"</f>
        <v>AL357153.1</v>
      </c>
      <c r="B9186" s="6">
        <v>0.23076923076923</v>
      </c>
      <c r="C9186" s="6">
        <v>0.41961237196224099</v>
      </c>
    </row>
    <row r="9187" spans="1:3" s="7" customFormat="1" x14ac:dyDescent="0.2">
      <c r="A9187" s="6" t="str">
        <f>"KIF2A"</f>
        <v>KIF2A</v>
      </c>
      <c r="B9187" s="6">
        <v>0.23076923076923</v>
      </c>
      <c r="C9187" s="6">
        <v>0.41961237196224099</v>
      </c>
    </row>
    <row r="9188" spans="1:3" s="7" customFormat="1" x14ac:dyDescent="0.2">
      <c r="A9188" s="6" t="str">
        <f>"RPS15P4"</f>
        <v>RPS15P4</v>
      </c>
      <c r="B9188" s="6">
        <v>0.23076923076923</v>
      </c>
      <c r="C9188" s="6">
        <v>0.41961237196224099</v>
      </c>
    </row>
    <row r="9189" spans="1:3" s="7" customFormat="1" x14ac:dyDescent="0.2">
      <c r="A9189" s="6" t="str">
        <f>"AHDC1"</f>
        <v>AHDC1</v>
      </c>
      <c r="B9189" s="6">
        <v>0.23076923076923</v>
      </c>
      <c r="C9189" s="6">
        <v>0.41961237196224099</v>
      </c>
    </row>
    <row r="9190" spans="1:3" s="7" customFormat="1" x14ac:dyDescent="0.2">
      <c r="A9190" s="6" t="str">
        <f>"DCST2"</f>
        <v>DCST2</v>
      </c>
      <c r="B9190" s="6">
        <v>0.23076923076923</v>
      </c>
      <c r="C9190" s="6">
        <v>0.41961237196224099</v>
      </c>
    </row>
    <row r="9191" spans="1:3" s="7" customFormat="1" x14ac:dyDescent="0.2">
      <c r="A9191" s="6" t="str">
        <f>"RPS2P5"</f>
        <v>RPS2P5</v>
      </c>
      <c r="B9191" s="6">
        <v>0.23076923076923</v>
      </c>
      <c r="C9191" s="6">
        <v>0.41961237196224099</v>
      </c>
    </row>
    <row r="9192" spans="1:3" s="7" customFormat="1" x14ac:dyDescent="0.2">
      <c r="A9192" s="6" t="str">
        <f>"CALHM6"</f>
        <v>CALHM6</v>
      </c>
      <c r="B9192" s="6">
        <v>0.23076923076923</v>
      </c>
      <c r="C9192" s="6">
        <v>0.41961237196224099</v>
      </c>
    </row>
    <row r="9193" spans="1:3" s="7" customFormat="1" x14ac:dyDescent="0.2">
      <c r="A9193" s="6" t="str">
        <f>"FIGNL1"</f>
        <v>FIGNL1</v>
      </c>
      <c r="B9193" s="6">
        <v>0.23076923076923</v>
      </c>
      <c r="C9193" s="6">
        <v>0.41961237196224099</v>
      </c>
    </row>
    <row r="9194" spans="1:3" s="7" customFormat="1" x14ac:dyDescent="0.2">
      <c r="A9194" s="6" t="str">
        <f>"FSIP1"</f>
        <v>FSIP1</v>
      </c>
      <c r="B9194" s="6">
        <v>0.23100000000000001</v>
      </c>
      <c r="C9194" s="6">
        <v>0.41994061344354999</v>
      </c>
    </row>
    <row r="9195" spans="1:3" s="7" customFormat="1" x14ac:dyDescent="0.2">
      <c r="A9195" s="6" t="str">
        <f>"ZNF487"</f>
        <v>ZNF487</v>
      </c>
      <c r="B9195" s="6">
        <v>0.23100000000000001</v>
      </c>
      <c r="C9195" s="6">
        <v>0.41994061344354999</v>
      </c>
    </row>
    <row r="9196" spans="1:3" s="7" customFormat="1" x14ac:dyDescent="0.2">
      <c r="A9196" s="6" t="str">
        <f>"CA13"</f>
        <v>CA13</v>
      </c>
      <c r="B9196" s="6">
        <v>0.231768231768231</v>
      </c>
      <c r="C9196" s="6">
        <v>0.420650909520493</v>
      </c>
    </row>
    <row r="9197" spans="1:3" s="7" customFormat="1" x14ac:dyDescent="0.2">
      <c r="A9197" s="6" t="str">
        <f>"MFSD3"</f>
        <v>MFSD3</v>
      </c>
      <c r="B9197" s="6">
        <v>0.231768231768231</v>
      </c>
      <c r="C9197" s="6">
        <v>0.420650909520493</v>
      </c>
    </row>
    <row r="9198" spans="1:3" s="7" customFormat="1" x14ac:dyDescent="0.2">
      <c r="A9198" s="6" t="str">
        <f>"ALPL"</f>
        <v>ALPL</v>
      </c>
      <c r="B9198" s="6">
        <v>0.231768231768231</v>
      </c>
      <c r="C9198" s="6">
        <v>0.420650909520493</v>
      </c>
    </row>
    <row r="9199" spans="1:3" s="7" customFormat="1" x14ac:dyDescent="0.2">
      <c r="A9199" s="6" t="str">
        <f>"BEND6"</f>
        <v>BEND6</v>
      </c>
      <c r="B9199" s="6">
        <v>0.231768231768231</v>
      </c>
      <c r="C9199" s="6">
        <v>0.420650909520493</v>
      </c>
    </row>
    <row r="9200" spans="1:3" s="7" customFormat="1" x14ac:dyDescent="0.2">
      <c r="A9200" s="6" t="str">
        <f>"USP8"</f>
        <v>USP8</v>
      </c>
      <c r="B9200" s="6">
        <v>0.231768231768231</v>
      </c>
      <c r="C9200" s="6">
        <v>0.420650909520493</v>
      </c>
    </row>
    <row r="9201" spans="1:3" s="7" customFormat="1" x14ac:dyDescent="0.2">
      <c r="A9201" s="6" t="str">
        <f>"UBE2I"</f>
        <v>UBE2I</v>
      </c>
      <c r="B9201" s="6">
        <v>0.231768231768231</v>
      </c>
      <c r="C9201" s="6">
        <v>0.420650909520493</v>
      </c>
    </row>
    <row r="9202" spans="1:3" s="7" customFormat="1" x14ac:dyDescent="0.2">
      <c r="A9202" s="6" t="str">
        <f>"TMEM30A"</f>
        <v>TMEM30A</v>
      </c>
      <c r="B9202" s="6">
        <v>0.231768231768231</v>
      </c>
      <c r="C9202" s="6">
        <v>0.420650909520493</v>
      </c>
    </row>
    <row r="9203" spans="1:3" s="7" customFormat="1" x14ac:dyDescent="0.2">
      <c r="A9203" s="6" t="str">
        <f>"CPNE1"</f>
        <v>CPNE1</v>
      </c>
      <c r="B9203" s="6">
        <v>0.231768231768231</v>
      </c>
      <c r="C9203" s="6">
        <v>0.420650909520493</v>
      </c>
    </row>
    <row r="9204" spans="1:3" s="7" customFormat="1" x14ac:dyDescent="0.2">
      <c r="A9204" s="6" t="str">
        <f>"FUCA2"</f>
        <v>FUCA2</v>
      </c>
      <c r="B9204" s="6">
        <v>0.231768231768231</v>
      </c>
      <c r="C9204" s="6">
        <v>0.420650909520493</v>
      </c>
    </row>
    <row r="9205" spans="1:3" s="7" customFormat="1" x14ac:dyDescent="0.2">
      <c r="A9205" s="6" t="str">
        <f>"HCP5"</f>
        <v>HCP5</v>
      </c>
      <c r="B9205" s="6">
        <v>0.231768231768231</v>
      </c>
      <c r="C9205" s="6">
        <v>0.420650909520493</v>
      </c>
    </row>
    <row r="9206" spans="1:3" s="7" customFormat="1" x14ac:dyDescent="0.2">
      <c r="A9206" s="6" t="str">
        <f>"AC027807.1"</f>
        <v>AC027807.1</v>
      </c>
      <c r="B9206" s="6">
        <v>0.231768231768231</v>
      </c>
      <c r="C9206" s="6">
        <v>0.420650909520493</v>
      </c>
    </row>
    <row r="9207" spans="1:3" s="7" customFormat="1" x14ac:dyDescent="0.2">
      <c r="A9207" s="6" t="str">
        <f>"TSSC4"</f>
        <v>TSSC4</v>
      </c>
      <c r="B9207" s="6">
        <v>0.231768231768231</v>
      </c>
      <c r="C9207" s="6">
        <v>0.420650909520493</v>
      </c>
    </row>
    <row r="9208" spans="1:3" s="7" customFormat="1" x14ac:dyDescent="0.2">
      <c r="A9208" s="6" t="str">
        <f>"MTMR7"</f>
        <v>MTMR7</v>
      </c>
      <c r="B9208" s="6">
        <v>0.231768231768231</v>
      </c>
      <c r="C9208" s="6">
        <v>0.420650909520493</v>
      </c>
    </row>
    <row r="9209" spans="1:3" s="7" customFormat="1" x14ac:dyDescent="0.2">
      <c r="A9209" s="6" t="str">
        <f>"DRC7"</f>
        <v>DRC7</v>
      </c>
      <c r="B9209" s="6">
        <v>0.231768231768231</v>
      </c>
      <c r="C9209" s="6">
        <v>0.420650909520493</v>
      </c>
    </row>
    <row r="9210" spans="1:3" s="7" customFormat="1" x14ac:dyDescent="0.2">
      <c r="A9210" s="6" t="str">
        <f>"OVCA2"</f>
        <v>OVCA2</v>
      </c>
      <c r="B9210" s="6">
        <v>0.231768231768231</v>
      </c>
      <c r="C9210" s="6">
        <v>0.420650909520493</v>
      </c>
    </row>
    <row r="9211" spans="1:3" s="7" customFormat="1" x14ac:dyDescent="0.2">
      <c r="A9211" s="6" t="str">
        <f>"AC020658.6"</f>
        <v>AC020658.6</v>
      </c>
      <c r="B9211" s="6">
        <v>0.23200000000000001</v>
      </c>
      <c r="C9211" s="6">
        <v>0.42082679829646502</v>
      </c>
    </row>
    <row r="9212" spans="1:3" s="7" customFormat="1" x14ac:dyDescent="0.2">
      <c r="A9212" s="6" t="str">
        <f>"LINC00839"</f>
        <v>LINC00839</v>
      </c>
      <c r="B9212" s="6">
        <v>0.23200000000000001</v>
      </c>
      <c r="C9212" s="6">
        <v>0.42082679829646502</v>
      </c>
    </row>
    <row r="9213" spans="1:3" s="7" customFormat="1" x14ac:dyDescent="0.2">
      <c r="A9213" s="6" t="str">
        <f>"AC027097.2"</f>
        <v>AC027097.2</v>
      </c>
      <c r="B9213" s="6">
        <v>0.23192019950124601</v>
      </c>
      <c r="C9213" s="6">
        <v>0.42082679829646502</v>
      </c>
    </row>
    <row r="9214" spans="1:3" s="7" customFormat="1" x14ac:dyDescent="0.2">
      <c r="A9214" s="6" t="str">
        <f>"Z83847.1"</f>
        <v>Z83847.1</v>
      </c>
      <c r="B9214" s="6">
        <v>0.23201621073961501</v>
      </c>
      <c r="C9214" s="6">
        <v>0.42082679829646502</v>
      </c>
    </row>
    <row r="9215" spans="1:3" s="7" customFormat="1" x14ac:dyDescent="0.2">
      <c r="A9215" s="6" t="str">
        <f>"FAM114A1"</f>
        <v>FAM114A1</v>
      </c>
      <c r="B9215" s="6">
        <v>0.23200000000000001</v>
      </c>
      <c r="C9215" s="6">
        <v>0.42082679829646502</v>
      </c>
    </row>
    <row r="9216" spans="1:3" s="7" customFormat="1" x14ac:dyDescent="0.2">
      <c r="A9216" s="6" t="str">
        <f>"DNAJB1"</f>
        <v>DNAJB1</v>
      </c>
      <c r="B9216" s="6">
        <v>0.23200000000000001</v>
      </c>
      <c r="C9216" s="6">
        <v>0.42082679829646502</v>
      </c>
    </row>
    <row r="9217" spans="1:3" s="7" customFormat="1" x14ac:dyDescent="0.2">
      <c r="A9217" s="6" t="str">
        <f>"AL359710.1"</f>
        <v>AL359710.1</v>
      </c>
      <c r="B9217" s="6">
        <v>0.23223223223223199</v>
      </c>
      <c r="C9217" s="6">
        <v>0.42117290902013099</v>
      </c>
    </row>
    <row r="9218" spans="1:3" s="7" customFormat="1" x14ac:dyDescent="0.2">
      <c r="A9218" s="6" t="str">
        <f>"UBASH3B"</f>
        <v>UBASH3B</v>
      </c>
      <c r="B9218" s="6">
        <v>0.23276723276723199</v>
      </c>
      <c r="C9218" s="6">
        <v>0.42118345008893798</v>
      </c>
    </row>
    <row r="9219" spans="1:3" s="7" customFormat="1" x14ac:dyDescent="0.2">
      <c r="A9219" s="6" t="str">
        <f>"UBE2E1"</f>
        <v>UBE2E1</v>
      </c>
      <c r="B9219" s="6">
        <v>0.23276723276723199</v>
      </c>
      <c r="C9219" s="6">
        <v>0.42118345008893798</v>
      </c>
    </row>
    <row r="9220" spans="1:3" s="7" customFormat="1" x14ac:dyDescent="0.2">
      <c r="A9220" s="6" t="str">
        <f>"LINC01473"</f>
        <v>LINC01473</v>
      </c>
      <c r="B9220" s="6">
        <v>0.23239436619718301</v>
      </c>
      <c r="C9220" s="6">
        <v>0.42118345008893798</v>
      </c>
    </row>
    <row r="9221" spans="1:3" s="7" customFormat="1" x14ac:dyDescent="0.2">
      <c r="A9221" s="6" t="str">
        <f>"GAS6-AS1"</f>
        <v>GAS6-AS1</v>
      </c>
      <c r="B9221" s="6">
        <v>0.23276723276723199</v>
      </c>
      <c r="C9221" s="6">
        <v>0.42118345008893798</v>
      </c>
    </row>
    <row r="9222" spans="1:3" s="7" customFormat="1" x14ac:dyDescent="0.2">
      <c r="A9222" s="6" t="str">
        <f>"PDE6G"</f>
        <v>PDE6G</v>
      </c>
      <c r="B9222" s="6">
        <v>0.23276723276723199</v>
      </c>
      <c r="C9222" s="6">
        <v>0.42118345008893798</v>
      </c>
    </row>
    <row r="9223" spans="1:3" s="7" customFormat="1" x14ac:dyDescent="0.2">
      <c r="A9223" s="6" t="str">
        <f>"SPATA25"</f>
        <v>SPATA25</v>
      </c>
      <c r="B9223" s="6">
        <v>0.23276723276723199</v>
      </c>
      <c r="C9223" s="6">
        <v>0.42118345008893798</v>
      </c>
    </row>
    <row r="9224" spans="1:3" s="7" customFormat="1" x14ac:dyDescent="0.2">
      <c r="A9224" s="6" t="str">
        <f>"IRX5"</f>
        <v>IRX5</v>
      </c>
      <c r="B9224" s="6">
        <v>0.23276723276723199</v>
      </c>
      <c r="C9224" s="6">
        <v>0.42118345008893798</v>
      </c>
    </row>
    <row r="9225" spans="1:3" s="7" customFormat="1" x14ac:dyDescent="0.2">
      <c r="A9225" s="6" t="str">
        <f>"ARMCX4"</f>
        <v>ARMCX4</v>
      </c>
      <c r="B9225" s="6">
        <v>0.23276723276723199</v>
      </c>
      <c r="C9225" s="6">
        <v>0.42118345008893798</v>
      </c>
    </row>
    <row r="9226" spans="1:3" s="7" customFormat="1" x14ac:dyDescent="0.2">
      <c r="A9226" s="6" t="str">
        <f>"IGKV2-24"</f>
        <v>IGKV2-24</v>
      </c>
      <c r="B9226" s="6">
        <v>0.23276723276723199</v>
      </c>
      <c r="C9226" s="6">
        <v>0.42118345008893798</v>
      </c>
    </row>
    <row r="9227" spans="1:3" s="7" customFormat="1" x14ac:dyDescent="0.2">
      <c r="A9227" s="6" t="str">
        <f>"LINC02747"</f>
        <v>LINC02747</v>
      </c>
      <c r="B9227" s="6">
        <v>0.23276723276723199</v>
      </c>
      <c r="C9227" s="6">
        <v>0.42118345008893798</v>
      </c>
    </row>
    <row r="9228" spans="1:3" s="7" customFormat="1" x14ac:dyDescent="0.2">
      <c r="A9228" s="6" t="str">
        <f>"TSEN15"</f>
        <v>TSEN15</v>
      </c>
      <c r="B9228" s="6">
        <v>0.23276723276723199</v>
      </c>
      <c r="C9228" s="6">
        <v>0.42118345008893798</v>
      </c>
    </row>
    <row r="9229" spans="1:3" s="7" customFormat="1" x14ac:dyDescent="0.2">
      <c r="A9229" s="6" t="str">
        <f>"RPIA"</f>
        <v>RPIA</v>
      </c>
      <c r="B9229" s="6">
        <v>0.23276723276723199</v>
      </c>
      <c r="C9229" s="6">
        <v>0.42118345008893798</v>
      </c>
    </row>
    <row r="9230" spans="1:3" s="7" customFormat="1" x14ac:dyDescent="0.2">
      <c r="A9230" s="6" t="str">
        <f>"TAF7L"</f>
        <v>TAF7L</v>
      </c>
      <c r="B9230" s="6">
        <v>0.23276723276723199</v>
      </c>
      <c r="C9230" s="6">
        <v>0.42118345008893798</v>
      </c>
    </row>
    <row r="9231" spans="1:3" s="7" customFormat="1" x14ac:dyDescent="0.2">
      <c r="A9231" s="6" t="str">
        <f>"ATP6V0A4"</f>
        <v>ATP6V0A4</v>
      </c>
      <c r="B9231" s="6">
        <v>0.23276723276723199</v>
      </c>
      <c r="C9231" s="6">
        <v>0.42118345008893798</v>
      </c>
    </row>
    <row r="9232" spans="1:3" s="7" customFormat="1" x14ac:dyDescent="0.2">
      <c r="A9232" s="6" t="str">
        <f>"AL358777.3"</f>
        <v>AL358777.3</v>
      </c>
      <c r="B9232" s="6">
        <v>0.23276723276723199</v>
      </c>
      <c r="C9232" s="6">
        <v>0.42118345008893798</v>
      </c>
    </row>
    <row r="9233" spans="1:3" s="7" customFormat="1" x14ac:dyDescent="0.2">
      <c r="A9233" s="6" t="str">
        <f>"PDZD4"</f>
        <v>PDZD4</v>
      </c>
      <c r="B9233" s="6">
        <v>0.23276723276723199</v>
      </c>
      <c r="C9233" s="6">
        <v>0.42118345008893798</v>
      </c>
    </row>
    <row r="9234" spans="1:3" s="7" customFormat="1" x14ac:dyDescent="0.2">
      <c r="A9234" s="6" t="str">
        <f>"GFOD2"</f>
        <v>GFOD2</v>
      </c>
      <c r="B9234" s="6">
        <v>0.23276723276723199</v>
      </c>
      <c r="C9234" s="6">
        <v>0.42118345008893798</v>
      </c>
    </row>
    <row r="9235" spans="1:3" s="7" customFormat="1" x14ac:dyDescent="0.2">
      <c r="A9235" s="6" t="str">
        <f>"AC025165.3"</f>
        <v>AC025165.3</v>
      </c>
      <c r="B9235" s="6">
        <v>0.23276723276723199</v>
      </c>
      <c r="C9235" s="6">
        <v>0.42118345008893798</v>
      </c>
    </row>
    <row r="9236" spans="1:3" s="7" customFormat="1" x14ac:dyDescent="0.2">
      <c r="A9236" s="6" t="str">
        <f>"NUGGC"</f>
        <v>NUGGC</v>
      </c>
      <c r="B9236" s="6">
        <v>0.23276723276723199</v>
      </c>
      <c r="C9236" s="6">
        <v>0.42118345008893798</v>
      </c>
    </row>
    <row r="9237" spans="1:3" s="7" customFormat="1" x14ac:dyDescent="0.2">
      <c r="A9237" s="6" t="str">
        <f>"NDUFA3"</f>
        <v>NDUFA3</v>
      </c>
      <c r="B9237" s="6">
        <v>0.23276723276723199</v>
      </c>
      <c r="C9237" s="6">
        <v>0.42118345008893798</v>
      </c>
    </row>
    <row r="9238" spans="1:3" s="7" customFormat="1" x14ac:dyDescent="0.2">
      <c r="A9238" s="6" t="str">
        <f>"HLF"</f>
        <v>HLF</v>
      </c>
      <c r="B9238" s="6">
        <v>0.23276723276723199</v>
      </c>
      <c r="C9238" s="6">
        <v>0.42118345008893798</v>
      </c>
    </row>
    <row r="9239" spans="1:3" s="7" customFormat="1" x14ac:dyDescent="0.2">
      <c r="A9239" s="6" t="str">
        <f>"MEI4"</f>
        <v>MEI4</v>
      </c>
      <c r="B9239" s="6">
        <v>0.23300000000000001</v>
      </c>
      <c r="C9239" s="6">
        <v>0.42155899545356101</v>
      </c>
    </row>
    <row r="9240" spans="1:3" s="7" customFormat="1" x14ac:dyDescent="0.2">
      <c r="A9240" s="6" t="str">
        <f>"AUTS2"</f>
        <v>AUTS2</v>
      </c>
      <c r="B9240" s="6">
        <v>0.23376623376623301</v>
      </c>
      <c r="C9240" s="6">
        <v>0.42212282099922499</v>
      </c>
    </row>
    <row r="9241" spans="1:3" s="7" customFormat="1" x14ac:dyDescent="0.2">
      <c r="A9241" s="6" t="str">
        <f>"ANKRD35"</f>
        <v>ANKRD35</v>
      </c>
      <c r="B9241" s="6">
        <v>0.23376623376623301</v>
      </c>
      <c r="C9241" s="6">
        <v>0.42212282099922499</v>
      </c>
    </row>
    <row r="9242" spans="1:3" s="7" customFormat="1" x14ac:dyDescent="0.2">
      <c r="A9242" s="6" t="str">
        <f>"ATXN3"</f>
        <v>ATXN3</v>
      </c>
      <c r="B9242" s="6">
        <v>0.23376623376623301</v>
      </c>
      <c r="C9242" s="6">
        <v>0.42212282099922499</v>
      </c>
    </row>
    <row r="9243" spans="1:3" s="7" customFormat="1" x14ac:dyDescent="0.2">
      <c r="A9243" s="6" t="str">
        <f>"POMZP3"</f>
        <v>POMZP3</v>
      </c>
      <c r="B9243" s="6">
        <v>0.23376623376623301</v>
      </c>
      <c r="C9243" s="6">
        <v>0.42212282099922499</v>
      </c>
    </row>
    <row r="9244" spans="1:3" s="7" customFormat="1" x14ac:dyDescent="0.2">
      <c r="A9244" s="6" t="str">
        <f>"EPPK1"</f>
        <v>EPPK1</v>
      </c>
      <c r="B9244" s="6">
        <v>0.23376623376623301</v>
      </c>
      <c r="C9244" s="6">
        <v>0.42212282099922499</v>
      </c>
    </row>
    <row r="9245" spans="1:3" s="7" customFormat="1" x14ac:dyDescent="0.2">
      <c r="A9245" s="6" t="str">
        <f>"GTF2IP12"</f>
        <v>GTF2IP12</v>
      </c>
      <c r="B9245" s="6">
        <v>0.23376623376623301</v>
      </c>
      <c r="C9245" s="6">
        <v>0.42212282099922499</v>
      </c>
    </row>
    <row r="9246" spans="1:3" s="7" customFormat="1" x14ac:dyDescent="0.2">
      <c r="A9246" s="6" t="str">
        <f>"AC073548.1"</f>
        <v>AC073548.1</v>
      </c>
      <c r="B9246" s="6">
        <v>0.23376623376623301</v>
      </c>
      <c r="C9246" s="6">
        <v>0.42212282099922499</v>
      </c>
    </row>
    <row r="9247" spans="1:3" s="7" customFormat="1" x14ac:dyDescent="0.2">
      <c r="A9247" s="6" t="str">
        <f>"AL138724.1"</f>
        <v>AL138724.1</v>
      </c>
      <c r="B9247" s="6">
        <v>0.23376623376623301</v>
      </c>
      <c r="C9247" s="6">
        <v>0.42212282099922499</v>
      </c>
    </row>
    <row r="9248" spans="1:3" s="7" customFormat="1" x14ac:dyDescent="0.2">
      <c r="A9248" s="6" t="str">
        <f>"PWWP2A"</f>
        <v>PWWP2A</v>
      </c>
      <c r="B9248" s="6">
        <v>0.23376623376623301</v>
      </c>
      <c r="C9248" s="6">
        <v>0.42212282099922499</v>
      </c>
    </row>
    <row r="9249" spans="1:3" s="7" customFormat="1" x14ac:dyDescent="0.2">
      <c r="A9249" s="6" t="str">
        <f>"AC016582.2"</f>
        <v>AC016582.2</v>
      </c>
      <c r="B9249" s="6">
        <v>0.23376623376623301</v>
      </c>
      <c r="C9249" s="6">
        <v>0.42212282099922499</v>
      </c>
    </row>
    <row r="9250" spans="1:3" s="7" customFormat="1" x14ac:dyDescent="0.2">
      <c r="A9250" s="6" t="str">
        <f>"LINC00887"</f>
        <v>LINC00887</v>
      </c>
      <c r="B9250" s="6">
        <v>0.23376623376623301</v>
      </c>
      <c r="C9250" s="6">
        <v>0.42212282099922499</v>
      </c>
    </row>
    <row r="9251" spans="1:3" s="7" customFormat="1" x14ac:dyDescent="0.2">
      <c r="A9251" s="6" t="str">
        <f>"FBXO22"</f>
        <v>FBXO22</v>
      </c>
      <c r="B9251" s="6">
        <v>0.23376623376623301</v>
      </c>
      <c r="C9251" s="6">
        <v>0.42212282099922499</v>
      </c>
    </row>
    <row r="9252" spans="1:3" s="7" customFormat="1" x14ac:dyDescent="0.2">
      <c r="A9252" s="6" t="str">
        <f>"ACVRL1"</f>
        <v>ACVRL1</v>
      </c>
      <c r="B9252" s="6">
        <v>0.23376623376623301</v>
      </c>
      <c r="C9252" s="6">
        <v>0.42212282099922499</v>
      </c>
    </row>
    <row r="9253" spans="1:3" s="7" customFormat="1" x14ac:dyDescent="0.2">
      <c r="A9253" s="6" t="str">
        <f>"THOC5"</f>
        <v>THOC5</v>
      </c>
      <c r="B9253" s="6">
        <v>0.23376623376623301</v>
      </c>
      <c r="C9253" s="6">
        <v>0.42212282099922499</v>
      </c>
    </row>
    <row r="9254" spans="1:3" s="7" customFormat="1" x14ac:dyDescent="0.2">
      <c r="A9254" s="6" t="str">
        <f>"AC011477.7"</f>
        <v>AC011477.7</v>
      </c>
      <c r="B9254" s="6">
        <v>0.23376623376623301</v>
      </c>
      <c r="C9254" s="6">
        <v>0.42212282099922499</v>
      </c>
    </row>
    <row r="9255" spans="1:3" s="7" customFormat="1" x14ac:dyDescent="0.2">
      <c r="A9255" s="6" t="str">
        <f>"ESR1"</f>
        <v>ESR1</v>
      </c>
      <c r="B9255" s="6">
        <v>0.23376623376623301</v>
      </c>
      <c r="C9255" s="6">
        <v>0.42212282099922499</v>
      </c>
    </row>
    <row r="9256" spans="1:3" s="7" customFormat="1" x14ac:dyDescent="0.2">
      <c r="A9256" s="6" t="str">
        <f>"YARS2"</f>
        <v>YARS2</v>
      </c>
      <c r="B9256" s="6">
        <v>0.23376623376623301</v>
      </c>
      <c r="C9256" s="6">
        <v>0.42212282099922499</v>
      </c>
    </row>
    <row r="9257" spans="1:3" s="7" customFormat="1" x14ac:dyDescent="0.2">
      <c r="A9257" s="6" t="str">
        <f>"MYG1"</f>
        <v>MYG1</v>
      </c>
      <c r="B9257" s="6">
        <v>0.23376623376623301</v>
      </c>
      <c r="C9257" s="6">
        <v>0.42212282099922499</v>
      </c>
    </row>
    <row r="9258" spans="1:3" s="7" customFormat="1" x14ac:dyDescent="0.2">
      <c r="A9258" s="6" t="str">
        <f>"AL627171.2"</f>
        <v>AL627171.2</v>
      </c>
      <c r="B9258" s="6">
        <v>0.23400000000000001</v>
      </c>
      <c r="C9258" s="6">
        <v>0.42249929782867002</v>
      </c>
    </row>
    <row r="9259" spans="1:3" s="7" customFormat="1" x14ac:dyDescent="0.2">
      <c r="A9259" s="6" t="str">
        <f>"LRRTM4"</f>
        <v>LRRTM4</v>
      </c>
      <c r="B9259" s="6">
        <v>0.234765234765234</v>
      </c>
      <c r="C9259" s="6">
        <v>0.42351496318037002</v>
      </c>
    </row>
    <row r="9260" spans="1:3" s="7" customFormat="1" x14ac:dyDescent="0.2">
      <c r="A9260" s="6" t="str">
        <f>"BX539320.1"</f>
        <v>BX539320.1</v>
      </c>
      <c r="B9260" s="6">
        <v>0.234765234765234</v>
      </c>
      <c r="C9260" s="6">
        <v>0.42351496318037002</v>
      </c>
    </row>
    <row r="9261" spans="1:3" s="7" customFormat="1" x14ac:dyDescent="0.2">
      <c r="A9261" s="6" t="str">
        <f>"RARRES2"</f>
        <v>RARRES2</v>
      </c>
      <c r="B9261" s="6">
        <v>0.234765234765234</v>
      </c>
      <c r="C9261" s="6">
        <v>0.42351496318037002</v>
      </c>
    </row>
    <row r="9262" spans="1:3" s="7" customFormat="1" x14ac:dyDescent="0.2">
      <c r="A9262" s="6" t="str">
        <f>"PXDC1"</f>
        <v>PXDC1</v>
      </c>
      <c r="B9262" s="6">
        <v>0.234765234765234</v>
      </c>
      <c r="C9262" s="6">
        <v>0.42351496318037002</v>
      </c>
    </row>
    <row r="9263" spans="1:3" s="7" customFormat="1" x14ac:dyDescent="0.2">
      <c r="A9263" s="6" t="str">
        <f>"CCDC107"</f>
        <v>CCDC107</v>
      </c>
      <c r="B9263" s="6">
        <v>0.234765234765234</v>
      </c>
      <c r="C9263" s="6">
        <v>0.42351496318037002</v>
      </c>
    </row>
    <row r="9264" spans="1:3" s="7" customFormat="1" x14ac:dyDescent="0.2">
      <c r="A9264" s="6" t="str">
        <f>"DHRS4L2"</f>
        <v>DHRS4L2</v>
      </c>
      <c r="B9264" s="6">
        <v>0.234765234765234</v>
      </c>
      <c r="C9264" s="6">
        <v>0.42351496318037002</v>
      </c>
    </row>
    <row r="9265" spans="1:3" s="7" customFormat="1" x14ac:dyDescent="0.2">
      <c r="A9265" s="6" t="str">
        <f>"PIGC"</f>
        <v>PIGC</v>
      </c>
      <c r="B9265" s="6">
        <v>0.234765234765234</v>
      </c>
      <c r="C9265" s="6">
        <v>0.42351496318037002</v>
      </c>
    </row>
    <row r="9266" spans="1:3" s="7" customFormat="1" x14ac:dyDescent="0.2">
      <c r="A9266" s="6" t="str">
        <f>"FAM71F2"</f>
        <v>FAM71F2</v>
      </c>
      <c r="B9266" s="6">
        <v>0.234765234765234</v>
      </c>
      <c r="C9266" s="6">
        <v>0.42351496318037002</v>
      </c>
    </row>
    <row r="9267" spans="1:3" s="7" customFormat="1" x14ac:dyDescent="0.2">
      <c r="A9267" s="6" t="str">
        <f>"DYNC1H1"</f>
        <v>DYNC1H1</v>
      </c>
      <c r="B9267" s="6">
        <v>0.23499999999999999</v>
      </c>
      <c r="C9267" s="6">
        <v>0.42389272609540202</v>
      </c>
    </row>
    <row r="9268" spans="1:3" s="7" customFormat="1" x14ac:dyDescent="0.2">
      <c r="A9268" s="6" t="str">
        <f>"ITGA6-AS1"</f>
        <v>ITGA6-AS1</v>
      </c>
      <c r="B9268" s="6">
        <v>0.23523523523523501</v>
      </c>
      <c r="C9268" s="6">
        <v>0.42427125517661801</v>
      </c>
    </row>
    <row r="9269" spans="1:3" s="7" customFormat="1" x14ac:dyDescent="0.2">
      <c r="A9269" s="6" t="str">
        <f>"STAT3"</f>
        <v>STAT3</v>
      </c>
      <c r="B9269" s="6">
        <v>0.235764235764235</v>
      </c>
      <c r="C9269" s="6">
        <v>0.42453818536559301</v>
      </c>
    </row>
    <row r="9270" spans="1:3" s="7" customFormat="1" x14ac:dyDescent="0.2">
      <c r="A9270" s="6" t="str">
        <f>"AC005304.2"</f>
        <v>AC005304.2</v>
      </c>
      <c r="B9270" s="6">
        <v>0.235764235764235</v>
      </c>
      <c r="C9270" s="6">
        <v>0.42453818536559301</v>
      </c>
    </row>
    <row r="9271" spans="1:3" s="7" customFormat="1" x14ac:dyDescent="0.2">
      <c r="A9271" s="6" t="str">
        <f>"HECTD2"</f>
        <v>HECTD2</v>
      </c>
      <c r="B9271" s="6">
        <v>0.235764235764235</v>
      </c>
      <c r="C9271" s="6">
        <v>0.42453818536559301</v>
      </c>
    </row>
    <row r="9272" spans="1:3" s="7" customFormat="1" x14ac:dyDescent="0.2">
      <c r="A9272" s="6" t="str">
        <f>"FBRSL1"</f>
        <v>FBRSL1</v>
      </c>
      <c r="B9272" s="6">
        <v>0.235764235764235</v>
      </c>
      <c r="C9272" s="6">
        <v>0.42453818536559301</v>
      </c>
    </row>
    <row r="9273" spans="1:3" s="7" customFormat="1" x14ac:dyDescent="0.2">
      <c r="A9273" s="6" t="str">
        <f>"NLRP14"</f>
        <v>NLRP14</v>
      </c>
      <c r="B9273" s="6">
        <v>0.235764235764235</v>
      </c>
      <c r="C9273" s="6">
        <v>0.42453818536559301</v>
      </c>
    </row>
    <row r="9274" spans="1:3" s="7" customFormat="1" x14ac:dyDescent="0.2">
      <c r="A9274" s="6" t="str">
        <f>"HINT2"</f>
        <v>HINT2</v>
      </c>
      <c r="B9274" s="6">
        <v>0.235764235764235</v>
      </c>
      <c r="C9274" s="6">
        <v>0.42453818536559301</v>
      </c>
    </row>
    <row r="9275" spans="1:3" s="7" customFormat="1" x14ac:dyDescent="0.2">
      <c r="A9275" s="6" t="str">
        <f>"MRPL35"</f>
        <v>MRPL35</v>
      </c>
      <c r="B9275" s="6">
        <v>0.235764235764235</v>
      </c>
      <c r="C9275" s="6">
        <v>0.42453818536559301</v>
      </c>
    </row>
    <row r="9276" spans="1:3" s="7" customFormat="1" x14ac:dyDescent="0.2">
      <c r="A9276" s="6" t="str">
        <f>"AL159169.2"</f>
        <v>AL159169.2</v>
      </c>
      <c r="B9276" s="6">
        <v>0.23553299492385699</v>
      </c>
      <c r="C9276" s="6">
        <v>0.42453818536559301</v>
      </c>
    </row>
    <row r="9277" spans="1:3" s="7" customFormat="1" x14ac:dyDescent="0.2">
      <c r="A9277" s="6" t="str">
        <f>"HIGD2B"</f>
        <v>HIGD2B</v>
      </c>
      <c r="B9277" s="6">
        <v>0.235764235764235</v>
      </c>
      <c r="C9277" s="6">
        <v>0.42453818536559301</v>
      </c>
    </row>
    <row r="9278" spans="1:3" s="7" customFormat="1" x14ac:dyDescent="0.2">
      <c r="A9278" s="6" t="str">
        <f>"PRKAG2-AS1"</f>
        <v>PRKAG2-AS1</v>
      </c>
      <c r="B9278" s="6">
        <v>0.235764235764235</v>
      </c>
      <c r="C9278" s="6">
        <v>0.42453818536559301</v>
      </c>
    </row>
    <row r="9279" spans="1:3" s="7" customFormat="1" x14ac:dyDescent="0.2">
      <c r="A9279" s="6" t="str">
        <f>"PRPF4"</f>
        <v>PRPF4</v>
      </c>
      <c r="B9279" s="6">
        <v>0.235764235764235</v>
      </c>
      <c r="C9279" s="6">
        <v>0.42453818536559301</v>
      </c>
    </row>
    <row r="9280" spans="1:3" s="7" customFormat="1" x14ac:dyDescent="0.2">
      <c r="A9280" s="6" t="str">
        <f>"VPS37D"</f>
        <v>VPS37D</v>
      </c>
      <c r="B9280" s="6">
        <v>0.235764235764235</v>
      </c>
      <c r="C9280" s="6">
        <v>0.42453818536559301</v>
      </c>
    </row>
    <row r="9281" spans="1:3" s="7" customFormat="1" x14ac:dyDescent="0.2">
      <c r="A9281" s="6" t="str">
        <f>"LINC02884"</f>
        <v>LINC02884</v>
      </c>
      <c r="B9281" s="6">
        <v>0.235764235764235</v>
      </c>
      <c r="C9281" s="6">
        <v>0.42453818536559301</v>
      </c>
    </row>
    <row r="9282" spans="1:3" s="7" customFormat="1" x14ac:dyDescent="0.2">
      <c r="A9282" s="6" t="str">
        <f>"GNB2"</f>
        <v>GNB2</v>
      </c>
      <c r="B9282" s="6">
        <v>0.235764235764235</v>
      </c>
      <c r="C9282" s="6">
        <v>0.42453818536559301</v>
      </c>
    </row>
    <row r="9283" spans="1:3" s="7" customFormat="1" x14ac:dyDescent="0.2">
      <c r="A9283" s="6" t="str">
        <f>"EIF2S3B"</f>
        <v>EIF2S3B</v>
      </c>
      <c r="B9283" s="6">
        <v>0.235591506572295</v>
      </c>
      <c r="C9283" s="6">
        <v>0.42453818536559301</v>
      </c>
    </row>
    <row r="9284" spans="1:3" s="7" customFormat="1" x14ac:dyDescent="0.2">
      <c r="A9284" s="6" t="str">
        <f>"OFD1"</f>
        <v>OFD1</v>
      </c>
      <c r="B9284" s="6">
        <v>0.23599999999999999</v>
      </c>
      <c r="C9284" s="6">
        <v>0.42487117621714698</v>
      </c>
    </row>
    <row r="9285" spans="1:3" s="7" customFormat="1" x14ac:dyDescent="0.2">
      <c r="A9285" s="6" t="str">
        <f>"ZNF420"</f>
        <v>ZNF420</v>
      </c>
      <c r="B9285" s="6">
        <v>0.23599999999999999</v>
      </c>
      <c r="C9285" s="6">
        <v>0.42487117621714698</v>
      </c>
    </row>
    <row r="9286" spans="1:3" s="7" customFormat="1" x14ac:dyDescent="0.2">
      <c r="A9286" s="6" t="str">
        <f>"FAM136A"</f>
        <v>FAM136A</v>
      </c>
      <c r="B9286" s="6">
        <v>0.23676323676323599</v>
      </c>
      <c r="C9286" s="6">
        <v>0.42532897025588301</v>
      </c>
    </row>
    <row r="9287" spans="1:3" s="7" customFormat="1" x14ac:dyDescent="0.2">
      <c r="A9287" s="6" t="str">
        <f>"ATXN10"</f>
        <v>ATXN10</v>
      </c>
      <c r="B9287" s="6">
        <v>0.23676323676323599</v>
      </c>
      <c r="C9287" s="6">
        <v>0.42532897025588301</v>
      </c>
    </row>
    <row r="9288" spans="1:3" s="7" customFormat="1" x14ac:dyDescent="0.2">
      <c r="A9288" s="6" t="str">
        <f>"COL13A1"</f>
        <v>COL13A1</v>
      </c>
      <c r="B9288" s="6">
        <v>0.23676323676323599</v>
      </c>
      <c r="C9288" s="6">
        <v>0.42532897025588301</v>
      </c>
    </row>
    <row r="9289" spans="1:3" s="7" customFormat="1" x14ac:dyDescent="0.2">
      <c r="A9289" s="6" t="str">
        <f>"ABHD17C"</f>
        <v>ABHD17C</v>
      </c>
      <c r="B9289" s="6">
        <v>0.23676323676323599</v>
      </c>
      <c r="C9289" s="6">
        <v>0.42532897025588301</v>
      </c>
    </row>
    <row r="9290" spans="1:3" s="7" customFormat="1" x14ac:dyDescent="0.2">
      <c r="A9290" s="6" t="str">
        <f>"LINC01697"</f>
        <v>LINC01697</v>
      </c>
      <c r="B9290" s="6">
        <v>0.23676323676323599</v>
      </c>
      <c r="C9290" s="6">
        <v>0.42532897025588301</v>
      </c>
    </row>
    <row r="9291" spans="1:3" s="7" customFormat="1" x14ac:dyDescent="0.2">
      <c r="A9291" s="6" t="str">
        <f>"THUMPD2"</f>
        <v>THUMPD2</v>
      </c>
      <c r="B9291" s="6">
        <v>0.23676323676323599</v>
      </c>
      <c r="C9291" s="6">
        <v>0.42532897025588301</v>
      </c>
    </row>
    <row r="9292" spans="1:3" s="7" customFormat="1" x14ac:dyDescent="0.2">
      <c r="A9292" s="6" t="str">
        <f>"JADE1"</f>
        <v>JADE1</v>
      </c>
      <c r="B9292" s="6">
        <v>0.23676323676323599</v>
      </c>
      <c r="C9292" s="6">
        <v>0.42532897025588301</v>
      </c>
    </row>
    <row r="9293" spans="1:3" s="7" customFormat="1" x14ac:dyDescent="0.2">
      <c r="A9293" s="6" t="str">
        <f>"SNAI2"</f>
        <v>SNAI2</v>
      </c>
      <c r="B9293" s="6">
        <v>0.23676323676323599</v>
      </c>
      <c r="C9293" s="6">
        <v>0.42532897025588301</v>
      </c>
    </row>
    <row r="9294" spans="1:3" s="7" customFormat="1" x14ac:dyDescent="0.2">
      <c r="A9294" s="6" t="str">
        <f>"NFAT5"</f>
        <v>NFAT5</v>
      </c>
      <c r="B9294" s="6">
        <v>0.23676323676323599</v>
      </c>
      <c r="C9294" s="6">
        <v>0.42532897025588301</v>
      </c>
    </row>
    <row r="9295" spans="1:3" s="7" customFormat="1" x14ac:dyDescent="0.2">
      <c r="A9295" s="6" t="str">
        <f>"ROBO1"</f>
        <v>ROBO1</v>
      </c>
      <c r="B9295" s="6">
        <v>0.23676323676323599</v>
      </c>
      <c r="C9295" s="6">
        <v>0.42532897025588301</v>
      </c>
    </row>
    <row r="9296" spans="1:3" s="7" customFormat="1" x14ac:dyDescent="0.2">
      <c r="A9296" s="6" t="str">
        <f>"TRIO"</f>
        <v>TRIO</v>
      </c>
      <c r="B9296" s="6">
        <v>0.23676323676323599</v>
      </c>
      <c r="C9296" s="6">
        <v>0.42532897025588301</v>
      </c>
    </row>
    <row r="9297" spans="1:3" s="7" customFormat="1" x14ac:dyDescent="0.2">
      <c r="A9297" s="6" t="str">
        <f>"C16orf87"</f>
        <v>C16orf87</v>
      </c>
      <c r="B9297" s="6">
        <v>0.23676323676323599</v>
      </c>
      <c r="C9297" s="6">
        <v>0.42532897025588301</v>
      </c>
    </row>
    <row r="9298" spans="1:3" s="7" customFormat="1" x14ac:dyDescent="0.2">
      <c r="A9298" s="6" t="str">
        <f>"IMPDH2"</f>
        <v>IMPDH2</v>
      </c>
      <c r="B9298" s="6">
        <v>0.23676323676323599</v>
      </c>
      <c r="C9298" s="6">
        <v>0.42532897025588301</v>
      </c>
    </row>
    <row r="9299" spans="1:3" s="7" customFormat="1" x14ac:dyDescent="0.2">
      <c r="A9299" s="6" t="str">
        <f>"AL355994.2"</f>
        <v>AL355994.2</v>
      </c>
      <c r="B9299" s="6">
        <v>0.23676323676323599</v>
      </c>
      <c r="C9299" s="6">
        <v>0.42532897025588301</v>
      </c>
    </row>
    <row r="9300" spans="1:3" s="7" customFormat="1" x14ac:dyDescent="0.2">
      <c r="A9300" s="6" t="str">
        <f>"CPS1"</f>
        <v>CPS1</v>
      </c>
      <c r="B9300" s="6">
        <v>0.23676323676323599</v>
      </c>
      <c r="C9300" s="6">
        <v>0.42532897025588301</v>
      </c>
    </row>
    <row r="9301" spans="1:3" s="7" customFormat="1" x14ac:dyDescent="0.2">
      <c r="A9301" s="6" t="str">
        <f>"SPPL2A"</f>
        <v>SPPL2A</v>
      </c>
      <c r="B9301" s="6">
        <v>0.23676323676323599</v>
      </c>
      <c r="C9301" s="6">
        <v>0.42532897025588301</v>
      </c>
    </row>
    <row r="9302" spans="1:3" s="7" customFormat="1" x14ac:dyDescent="0.2">
      <c r="A9302" s="6" t="str">
        <f>"HERC4"</f>
        <v>HERC4</v>
      </c>
      <c r="B9302" s="6">
        <v>0.23676323676323599</v>
      </c>
      <c r="C9302" s="6">
        <v>0.42532897025588301</v>
      </c>
    </row>
    <row r="9303" spans="1:3" s="7" customFormat="1" x14ac:dyDescent="0.2">
      <c r="A9303" s="6" t="str">
        <f>"RRM2P3"</f>
        <v>RRM2P3</v>
      </c>
      <c r="B9303" s="6">
        <v>0.23676323676323599</v>
      </c>
      <c r="C9303" s="6">
        <v>0.42532897025588301</v>
      </c>
    </row>
    <row r="9304" spans="1:3" s="7" customFormat="1" x14ac:dyDescent="0.2">
      <c r="A9304" s="6" t="str">
        <f>"PLA2G7"</f>
        <v>PLA2G7</v>
      </c>
      <c r="B9304" s="6">
        <v>0.23676323676323599</v>
      </c>
      <c r="C9304" s="6">
        <v>0.42532897025588301</v>
      </c>
    </row>
    <row r="9305" spans="1:3" s="7" customFormat="1" x14ac:dyDescent="0.2">
      <c r="A9305" s="6" t="str">
        <f>"SIRT3"</f>
        <v>SIRT3</v>
      </c>
      <c r="B9305" s="6">
        <v>0.23676323676323599</v>
      </c>
      <c r="C9305" s="6">
        <v>0.42532897025588301</v>
      </c>
    </row>
    <row r="9306" spans="1:3" s="7" customFormat="1" x14ac:dyDescent="0.2">
      <c r="A9306" s="6" t="str">
        <f>"BX324167.2"</f>
        <v>BX324167.2</v>
      </c>
      <c r="B9306" s="6">
        <v>0.23699999999999999</v>
      </c>
      <c r="C9306" s="6">
        <v>0.42566279819471298</v>
      </c>
    </row>
    <row r="9307" spans="1:3" s="7" customFormat="1" x14ac:dyDescent="0.2">
      <c r="A9307" s="6" t="str">
        <f>"KCTD1"</f>
        <v>KCTD1</v>
      </c>
      <c r="B9307" s="6">
        <v>0.23699999999999999</v>
      </c>
      <c r="C9307" s="6">
        <v>0.42566279819471298</v>
      </c>
    </row>
    <row r="9308" spans="1:3" s="7" customFormat="1" x14ac:dyDescent="0.2">
      <c r="A9308" s="6" t="str">
        <f>"KIDINS220"</f>
        <v>KIDINS220</v>
      </c>
      <c r="B9308" s="6">
        <v>0.23776223776223701</v>
      </c>
      <c r="C9308" s="6">
        <v>0.42620742620742602</v>
      </c>
    </row>
    <row r="9309" spans="1:3" s="7" customFormat="1" x14ac:dyDescent="0.2">
      <c r="A9309" s="6" t="str">
        <f>"NTPCR"</f>
        <v>NTPCR</v>
      </c>
      <c r="B9309" s="6">
        <v>0.23776223776223701</v>
      </c>
      <c r="C9309" s="6">
        <v>0.42620742620742602</v>
      </c>
    </row>
    <row r="9310" spans="1:3" s="7" customFormat="1" x14ac:dyDescent="0.2">
      <c r="A9310" s="6" t="str">
        <f>"MTF2"</f>
        <v>MTF2</v>
      </c>
      <c r="B9310" s="6">
        <v>0.23776223776223701</v>
      </c>
      <c r="C9310" s="6">
        <v>0.42620742620742602</v>
      </c>
    </row>
    <row r="9311" spans="1:3" s="7" customFormat="1" x14ac:dyDescent="0.2">
      <c r="A9311" s="6" t="str">
        <f>"HSD17B12"</f>
        <v>HSD17B12</v>
      </c>
      <c r="B9311" s="6">
        <v>0.23776223776223701</v>
      </c>
      <c r="C9311" s="6">
        <v>0.42620742620742602</v>
      </c>
    </row>
    <row r="9312" spans="1:3" s="7" customFormat="1" x14ac:dyDescent="0.2">
      <c r="A9312" s="6" t="str">
        <f>"CD44"</f>
        <v>CD44</v>
      </c>
      <c r="B9312" s="6">
        <v>0.23776223776223701</v>
      </c>
      <c r="C9312" s="6">
        <v>0.42620742620742602</v>
      </c>
    </row>
    <row r="9313" spans="1:3" s="7" customFormat="1" x14ac:dyDescent="0.2">
      <c r="A9313" s="6" t="str">
        <f>"MAPKAPK3"</f>
        <v>MAPKAPK3</v>
      </c>
      <c r="B9313" s="6">
        <v>0.23776223776223701</v>
      </c>
      <c r="C9313" s="6">
        <v>0.42620742620742602</v>
      </c>
    </row>
    <row r="9314" spans="1:3" s="7" customFormat="1" x14ac:dyDescent="0.2">
      <c r="A9314" s="6" t="str">
        <f>"TMEM225B"</f>
        <v>TMEM225B</v>
      </c>
      <c r="B9314" s="6">
        <v>0.23776223776223701</v>
      </c>
      <c r="C9314" s="6">
        <v>0.42620742620742602</v>
      </c>
    </row>
    <row r="9315" spans="1:3" s="7" customFormat="1" x14ac:dyDescent="0.2">
      <c r="A9315" s="6" t="str">
        <f>"IGKV3-11"</f>
        <v>IGKV3-11</v>
      </c>
      <c r="B9315" s="6">
        <v>0.23776223776223701</v>
      </c>
      <c r="C9315" s="6">
        <v>0.42620742620742602</v>
      </c>
    </row>
    <row r="9316" spans="1:3" s="7" customFormat="1" x14ac:dyDescent="0.2">
      <c r="A9316" s="6" t="str">
        <f>"CLDN24"</f>
        <v>CLDN24</v>
      </c>
      <c r="B9316" s="6">
        <v>0.23776223776223701</v>
      </c>
      <c r="C9316" s="6">
        <v>0.42620742620742602</v>
      </c>
    </row>
    <row r="9317" spans="1:3" s="7" customFormat="1" x14ac:dyDescent="0.2">
      <c r="A9317" s="6" t="str">
        <f>"RSU1"</f>
        <v>RSU1</v>
      </c>
      <c r="B9317" s="6">
        <v>0.23776223776223701</v>
      </c>
      <c r="C9317" s="6">
        <v>0.42620742620742602</v>
      </c>
    </row>
    <row r="9318" spans="1:3" s="7" customFormat="1" x14ac:dyDescent="0.2">
      <c r="A9318" s="6" t="str">
        <f>"KYAT3"</f>
        <v>KYAT3</v>
      </c>
      <c r="B9318" s="6">
        <v>0.23776223776223701</v>
      </c>
      <c r="C9318" s="6">
        <v>0.42620742620742602</v>
      </c>
    </row>
    <row r="9319" spans="1:3" s="7" customFormat="1" x14ac:dyDescent="0.2">
      <c r="A9319" s="6" t="str">
        <f>"MAP3K12"</f>
        <v>MAP3K12</v>
      </c>
      <c r="B9319" s="6">
        <v>0.23776223776223701</v>
      </c>
      <c r="C9319" s="6">
        <v>0.42620742620742602</v>
      </c>
    </row>
    <row r="9320" spans="1:3" s="7" customFormat="1" x14ac:dyDescent="0.2">
      <c r="A9320" s="6" t="str">
        <f>"PLPP6"</f>
        <v>PLPP6</v>
      </c>
      <c r="B9320" s="6">
        <v>0.23776223776223701</v>
      </c>
      <c r="C9320" s="6">
        <v>0.42620742620742602</v>
      </c>
    </row>
    <row r="9321" spans="1:3" s="7" customFormat="1" x14ac:dyDescent="0.2">
      <c r="A9321" s="6" t="str">
        <f>"AL589794.2"</f>
        <v>AL589794.2</v>
      </c>
      <c r="B9321" s="6">
        <v>0.23776223776223701</v>
      </c>
      <c r="C9321" s="6">
        <v>0.42620742620742602</v>
      </c>
    </row>
    <row r="9322" spans="1:3" s="7" customFormat="1" x14ac:dyDescent="0.2">
      <c r="A9322" s="6" t="str">
        <f>"DCUN1D5"</f>
        <v>DCUN1D5</v>
      </c>
      <c r="B9322" s="6">
        <v>0.23776223776223701</v>
      </c>
      <c r="C9322" s="6">
        <v>0.42620742620742602</v>
      </c>
    </row>
    <row r="9323" spans="1:3" s="7" customFormat="1" x14ac:dyDescent="0.2">
      <c r="A9323" s="6" t="str">
        <f>"AC008632.1"</f>
        <v>AC008632.1</v>
      </c>
      <c r="B9323" s="6">
        <v>0.237474949899799</v>
      </c>
      <c r="C9323" s="6">
        <v>0.42620742620742602</v>
      </c>
    </row>
    <row r="9324" spans="1:3" s="7" customFormat="1" x14ac:dyDescent="0.2">
      <c r="A9324" s="6" t="str">
        <f>"AL663070.1"</f>
        <v>AL663070.1</v>
      </c>
      <c r="B9324" s="6">
        <v>0.23776223776223701</v>
      </c>
      <c r="C9324" s="6">
        <v>0.42620742620742602</v>
      </c>
    </row>
    <row r="9325" spans="1:3" s="7" customFormat="1" x14ac:dyDescent="0.2">
      <c r="A9325" s="6" t="str">
        <f>"DBF4"</f>
        <v>DBF4</v>
      </c>
      <c r="B9325" s="6">
        <v>0.23776223776223701</v>
      </c>
      <c r="C9325" s="6">
        <v>0.42620742620742602</v>
      </c>
    </row>
    <row r="9326" spans="1:3" s="7" customFormat="1" x14ac:dyDescent="0.2">
      <c r="A9326" s="6" t="str">
        <f>"TBCA"</f>
        <v>TBCA</v>
      </c>
      <c r="B9326" s="6">
        <v>0.23799999999999999</v>
      </c>
      <c r="C9326" s="6">
        <v>0.42654214025305498</v>
      </c>
    </row>
    <row r="9327" spans="1:3" s="7" customFormat="1" x14ac:dyDescent="0.2">
      <c r="A9327" s="6" t="str">
        <f>"CCDC13"</f>
        <v>CCDC13</v>
      </c>
      <c r="B9327" s="6">
        <v>0.23799999999999999</v>
      </c>
      <c r="C9327" s="6">
        <v>0.42654214025305498</v>
      </c>
    </row>
    <row r="9328" spans="1:3" s="7" customFormat="1" x14ac:dyDescent="0.2">
      <c r="A9328" s="6" t="str">
        <f>"XYLT1"</f>
        <v>XYLT1</v>
      </c>
      <c r="B9328" s="6">
        <v>0.238761238761238</v>
      </c>
      <c r="C9328" s="6">
        <v>0.42708212164547699</v>
      </c>
    </row>
    <row r="9329" spans="1:3" s="7" customFormat="1" x14ac:dyDescent="0.2">
      <c r="A9329" s="6" t="str">
        <f>"PIN4"</f>
        <v>PIN4</v>
      </c>
      <c r="B9329" s="6">
        <v>0.238761238761238</v>
      </c>
      <c r="C9329" s="6">
        <v>0.42708212164547699</v>
      </c>
    </row>
    <row r="9330" spans="1:3" s="7" customFormat="1" x14ac:dyDescent="0.2">
      <c r="A9330" s="6" t="str">
        <f>"ZNF433-AS1"</f>
        <v>ZNF433-AS1</v>
      </c>
      <c r="B9330" s="6">
        <v>0.238761238761238</v>
      </c>
      <c r="C9330" s="6">
        <v>0.42708212164547699</v>
      </c>
    </row>
    <row r="9331" spans="1:3" s="7" customFormat="1" x14ac:dyDescent="0.2">
      <c r="A9331" s="6" t="str">
        <f>"CCDC144B"</f>
        <v>CCDC144B</v>
      </c>
      <c r="B9331" s="6">
        <v>0.238761238761238</v>
      </c>
      <c r="C9331" s="6">
        <v>0.42708212164547699</v>
      </c>
    </row>
    <row r="9332" spans="1:3" s="7" customFormat="1" x14ac:dyDescent="0.2">
      <c r="A9332" s="6" t="str">
        <f>"OTOF"</f>
        <v>OTOF</v>
      </c>
      <c r="B9332" s="6">
        <v>0.238761238761238</v>
      </c>
      <c r="C9332" s="6">
        <v>0.42708212164547699</v>
      </c>
    </row>
    <row r="9333" spans="1:3" s="7" customFormat="1" x14ac:dyDescent="0.2">
      <c r="A9333" s="6" t="str">
        <f>"MMP2"</f>
        <v>MMP2</v>
      </c>
      <c r="B9333" s="6">
        <v>0.238761238761238</v>
      </c>
      <c r="C9333" s="6">
        <v>0.42708212164547699</v>
      </c>
    </row>
    <row r="9334" spans="1:3" s="7" customFormat="1" x14ac:dyDescent="0.2">
      <c r="A9334" s="6" t="str">
        <f>"CD2"</f>
        <v>CD2</v>
      </c>
      <c r="B9334" s="6">
        <v>0.238761238761238</v>
      </c>
      <c r="C9334" s="6">
        <v>0.42708212164547699</v>
      </c>
    </row>
    <row r="9335" spans="1:3" s="7" customFormat="1" x14ac:dyDescent="0.2">
      <c r="A9335" s="6" t="str">
        <f>"DSTYK"</f>
        <v>DSTYK</v>
      </c>
      <c r="B9335" s="6">
        <v>0.238761238761238</v>
      </c>
      <c r="C9335" s="6">
        <v>0.42708212164547699</v>
      </c>
    </row>
    <row r="9336" spans="1:3" s="7" customFormat="1" x14ac:dyDescent="0.2">
      <c r="A9336" s="6" t="str">
        <f>"KPNA2P3"</f>
        <v>KPNA2P3</v>
      </c>
      <c r="B9336" s="6">
        <v>0.238761238761238</v>
      </c>
      <c r="C9336" s="6">
        <v>0.42708212164547699</v>
      </c>
    </row>
    <row r="9337" spans="1:3" s="7" customFormat="1" x14ac:dyDescent="0.2">
      <c r="A9337" s="6" t="str">
        <f>"FOXK2"</f>
        <v>FOXK2</v>
      </c>
      <c r="B9337" s="6">
        <v>0.238761238761238</v>
      </c>
      <c r="C9337" s="6">
        <v>0.42708212164547699</v>
      </c>
    </row>
    <row r="9338" spans="1:3" s="7" customFormat="1" x14ac:dyDescent="0.2">
      <c r="A9338" s="6" t="str">
        <f>"ETNK2"</f>
        <v>ETNK2</v>
      </c>
      <c r="B9338" s="6">
        <v>0.238761238761238</v>
      </c>
      <c r="C9338" s="6">
        <v>0.42708212164547699</v>
      </c>
    </row>
    <row r="9339" spans="1:3" s="7" customFormat="1" x14ac:dyDescent="0.2">
      <c r="A9339" s="6" t="str">
        <f>"RAB9A"</f>
        <v>RAB9A</v>
      </c>
      <c r="B9339" s="6">
        <v>0.238761238761238</v>
      </c>
      <c r="C9339" s="6">
        <v>0.42708212164547699</v>
      </c>
    </row>
    <row r="9340" spans="1:3" s="7" customFormat="1" x14ac:dyDescent="0.2">
      <c r="A9340" s="6" t="str">
        <f>"AC005480.1"</f>
        <v>AC005480.1</v>
      </c>
      <c r="B9340" s="6">
        <v>0.238761238761238</v>
      </c>
      <c r="C9340" s="6">
        <v>0.42708212164547699</v>
      </c>
    </row>
    <row r="9341" spans="1:3" s="7" customFormat="1" x14ac:dyDescent="0.2">
      <c r="A9341" s="6" t="str">
        <f>"RAB5A"</f>
        <v>RAB5A</v>
      </c>
      <c r="B9341" s="6">
        <v>0.238761238761238</v>
      </c>
      <c r="C9341" s="6">
        <v>0.42708212164547699</v>
      </c>
    </row>
    <row r="9342" spans="1:3" s="7" customFormat="1" x14ac:dyDescent="0.2">
      <c r="A9342" s="6" t="str">
        <f>"LINC01797"</f>
        <v>LINC01797</v>
      </c>
      <c r="B9342" s="6">
        <v>0.238761238761238</v>
      </c>
      <c r="C9342" s="6">
        <v>0.42708212164547699</v>
      </c>
    </row>
    <row r="9343" spans="1:3" s="7" customFormat="1" x14ac:dyDescent="0.2">
      <c r="A9343" s="6" t="str">
        <f>"AC005332.2"</f>
        <v>AC005332.2</v>
      </c>
      <c r="B9343" s="6">
        <v>0.238761238761238</v>
      </c>
      <c r="C9343" s="6">
        <v>0.42708212164547699</v>
      </c>
    </row>
    <row r="9344" spans="1:3" s="7" customFormat="1" x14ac:dyDescent="0.2">
      <c r="A9344" s="6" t="str">
        <f>"HELQ"</f>
        <v>HELQ</v>
      </c>
      <c r="B9344" s="6">
        <v>0.238761238761238</v>
      </c>
      <c r="C9344" s="6">
        <v>0.42708212164547699</v>
      </c>
    </row>
    <row r="9345" spans="1:3" s="7" customFormat="1" x14ac:dyDescent="0.2">
      <c r="A9345" s="6" t="str">
        <f>"ZNF688"</f>
        <v>ZNF688</v>
      </c>
      <c r="B9345" s="6">
        <v>0.238761238761238</v>
      </c>
      <c r="C9345" s="6">
        <v>0.42708212164547699</v>
      </c>
    </row>
    <row r="9346" spans="1:3" s="7" customFormat="1" x14ac:dyDescent="0.2">
      <c r="A9346" s="6" t="str">
        <f>"AL590068.3"</f>
        <v>AL590068.3</v>
      </c>
      <c r="B9346" s="6">
        <v>0.23899999999999999</v>
      </c>
      <c r="C9346" s="6">
        <v>0.42741771881018598</v>
      </c>
    </row>
    <row r="9347" spans="1:3" s="7" customFormat="1" x14ac:dyDescent="0.2">
      <c r="A9347" s="6" t="str">
        <f>"DNAI2"</f>
        <v>DNAI2</v>
      </c>
      <c r="B9347" s="6">
        <v>0.23899999999999999</v>
      </c>
      <c r="C9347" s="6">
        <v>0.42741771881018598</v>
      </c>
    </row>
    <row r="9348" spans="1:3" s="7" customFormat="1" x14ac:dyDescent="0.2">
      <c r="A9348" s="6" t="str">
        <f>"AC008429.1"</f>
        <v>AC008429.1</v>
      </c>
      <c r="B9348" s="6">
        <v>0.23923923923923901</v>
      </c>
      <c r="C9348" s="6">
        <v>0.42779979080396302</v>
      </c>
    </row>
    <row r="9349" spans="1:3" s="7" customFormat="1" x14ac:dyDescent="0.2">
      <c r="A9349" s="6" t="str">
        <f>"AC109587.1"</f>
        <v>AC109587.1</v>
      </c>
      <c r="B9349" s="6">
        <v>0.239307535641547</v>
      </c>
      <c r="C9349" s="6">
        <v>0.427876139357384</v>
      </c>
    </row>
    <row r="9350" spans="1:3" s="7" customFormat="1" x14ac:dyDescent="0.2">
      <c r="A9350" s="6" t="str">
        <f>"ABR"</f>
        <v>ABR</v>
      </c>
      <c r="B9350" s="6">
        <v>0.239760239760239</v>
      </c>
      <c r="C9350" s="6">
        <v>0.42790738359344799</v>
      </c>
    </row>
    <row r="9351" spans="1:3" s="7" customFormat="1" x14ac:dyDescent="0.2">
      <c r="A9351" s="6" t="str">
        <f>"AC006111.2"</f>
        <v>AC006111.2</v>
      </c>
      <c r="B9351" s="6">
        <v>0.239760239760239</v>
      </c>
      <c r="C9351" s="6">
        <v>0.42790738359344799</v>
      </c>
    </row>
    <row r="9352" spans="1:3" s="7" customFormat="1" x14ac:dyDescent="0.2">
      <c r="A9352" s="6" t="str">
        <f>"AC079296.1"</f>
        <v>AC079296.1</v>
      </c>
      <c r="B9352" s="6">
        <v>0.239760239760239</v>
      </c>
      <c r="C9352" s="6">
        <v>0.42790738359344799</v>
      </c>
    </row>
    <row r="9353" spans="1:3" s="7" customFormat="1" x14ac:dyDescent="0.2">
      <c r="A9353" s="6" t="str">
        <f>"FNBP1"</f>
        <v>FNBP1</v>
      </c>
      <c r="B9353" s="6">
        <v>0.239760239760239</v>
      </c>
      <c r="C9353" s="6">
        <v>0.42790738359344799</v>
      </c>
    </row>
    <row r="9354" spans="1:3" s="7" customFormat="1" x14ac:dyDescent="0.2">
      <c r="A9354" s="6" t="str">
        <f>"NCOA6"</f>
        <v>NCOA6</v>
      </c>
      <c r="B9354" s="6">
        <v>0.239760239760239</v>
      </c>
      <c r="C9354" s="6">
        <v>0.42790738359344799</v>
      </c>
    </row>
    <row r="9355" spans="1:3" s="7" customFormat="1" x14ac:dyDescent="0.2">
      <c r="A9355" s="6" t="str">
        <f>"ANKRD20A2P"</f>
        <v>ANKRD20A2P</v>
      </c>
      <c r="B9355" s="6">
        <v>0.239760239760239</v>
      </c>
      <c r="C9355" s="6">
        <v>0.42790738359344799</v>
      </c>
    </row>
    <row r="9356" spans="1:3" s="7" customFormat="1" x14ac:dyDescent="0.2">
      <c r="A9356" s="6" t="str">
        <f>"LINC01238"</f>
        <v>LINC01238</v>
      </c>
      <c r="B9356" s="6">
        <v>0.239760239760239</v>
      </c>
      <c r="C9356" s="6">
        <v>0.42790738359344799</v>
      </c>
    </row>
    <row r="9357" spans="1:3" s="7" customFormat="1" x14ac:dyDescent="0.2">
      <c r="A9357" s="6" t="str">
        <f>"AC097499.2"</f>
        <v>AC097499.2</v>
      </c>
      <c r="B9357" s="6">
        <v>0.239760239760239</v>
      </c>
      <c r="C9357" s="6">
        <v>0.42790738359344799</v>
      </c>
    </row>
    <row r="9358" spans="1:3" s="7" customFormat="1" x14ac:dyDescent="0.2">
      <c r="A9358" s="6" t="str">
        <f>"TUBB8P7"</f>
        <v>TUBB8P7</v>
      </c>
      <c r="B9358" s="6">
        <v>0.239760239760239</v>
      </c>
      <c r="C9358" s="6">
        <v>0.42790738359344799</v>
      </c>
    </row>
    <row r="9359" spans="1:3" s="7" customFormat="1" x14ac:dyDescent="0.2">
      <c r="A9359" s="6" t="str">
        <f>"AL358115.1"</f>
        <v>AL358115.1</v>
      </c>
      <c r="B9359" s="6">
        <v>0.239760239760239</v>
      </c>
      <c r="C9359" s="6">
        <v>0.42790738359344799</v>
      </c>
    </row>
    <row r="9360" spans="1:3" s="7" customFormat="1" x14ac:dyDescent="0.2">
      <c r="A9360" s="6" t="str">
        <f>"C19orf33"</f>
        <v>C19orf33</v>
      </c>
      <c r="B9360" s="6">
        <v>0.239760239760239</v>
      </c>
      <c r="C9360" s="6">
        <v>0.42790738359344799</v>
      </c>
    </row>
    <row r="9361" spans="1:3" s="7" customFormat="1" x14ac:dyDescent="0.2">
      <c r="A9361" s="6" t="str">
        <f>"SEC14L2"</f>
        <v>SEC14L2</v>
      </c>
      <c r="B9361" s="6">
        <v>0.239760239760239</v>
      </c>
      <c r="C9361" s="6">
        <v>0.42790738359344799</v>
      </c>
    </row>
    <row r="9362" spans="1:3" s="7" customFormat="1" x14ac:dyDescent="0.2">
      <c r="A9362" s="6" t="str">
        <f>"XPO4"</f>
        <v>XPO4</v>
      </c>
      <c r="B9362" s="6">
        <v>0.239760239760239</v>
      </c>
      <c r="C9362" s="6">
        <v>0.42790738359344799</v>
      </c>
    </row>
    <row r="9363" spans="1:3" s="7" customFormat="1" x14ac:dyDescent="0.2">
      <c r="A9363" s="6" t="str">
        <f>"WDR43"</f>
        <v>WDR43</v>
      </c>
      <c r="B9363" s="6">
        <v>0.239760239760239</v>
      </c>
      <c r="C9363" s="6">
        <v>0.42790738359344799</v>
      </c>
    </row>
    <row r="9364" spans="1:3" s="7" customFormat="1" x14ac:dyDescent="0.2">
      <c r="A9364" s="6" t="str">
        <f>"AC079416.2"</f>
        <v>AC079416.2</v>
      </c>
      <c r="B9364" s="6">
        <v>0.23947895791583099</v>
      </c>
      <c r="C9364" s="6">
        <v>0.42790738359344799</v>
      </c>
    </row>
    <row r="9365" spans="1:3" s="7" customFormat="1" x14ac:dyDescent="0.2">
      <c r="A9365" s="6" t="str">
        <f>"PPM1A"</f>
        <v>PPM1A</v>
      </c>
      <c r="B9365" s="6">
        <v>0.239760239760239</v>
      </c>
      <c r="C9365" s="6">
        <v>0.42790738359344799</v>
      </c>
    </row>
    <row r="9366" spans="1:3" s="7" customFormat="1" x14ac:dyDescent="0.2">
      <c r="A9366" s="6" t="str">
        <f>"ZNF101"</f>
        <v>ZNF101</v>
      </c>
      <c r="B9366" s="6">
        <v>0.239760239760239</v>
      </c>
      <c r="C9366" s="6">
        <v>0.42790738359344799</v>
      </c>
    </row>
    <row r="9367" spans="1:3" s="7" customFormat="1" x14ac:dyDescent="0.2">
      <c r="A9367" s="6" t="str">
        <f>"TMEM171"</f>
        <v>TMEM171</v>
      </c>
      <c r="B9367" s="6">
        <v>0.24</v>
      </c>
      <c r="C9367" s="6">
        <v>0.42828955797565599</v>
      </c>
    </row>
    <row r="9368" spans="1:3" s="7" customFormat="1" x14ac:dyDescent="0.2">
      <c r="A9368" s="6" t="str">
        <f>"NSFL1C"</f>
        <v>NSFL1C</v>
      </c>
      <c r="B9368" s="6">
        <v>0.24075924075923999</v>
      </c>
      <c r="C9368" s="6">
        <v>0.42863761717617699</v>
      </c>
    </row>
    <row r="9369" spans="1:3" s="7" customFormat="1" x14ac:dyDescent="0.2">
      <c r="A9369" s="6" t="str">
        <f>"GBE1"</f>
        <v>GBE1</v>
      </c>
      <c r="B9369" s="6">
        <v>0.24075924075923999</v>
      </c>
      <c r="C9369" s="6">
        <v>0.42863761717617699</v>
      </c>
    </row>
    <row r="9370" spans="1:3" s="7" customFormat="1" x14ac:dyDescent="0.2">
      <c r="A9370" s="6" t="str">
        <f>"RAP2C"</f>
        <v>RAP2C</v>
      </c>
      <c r="B9370" s="6">
        <v>0.24075924075923999</v>
      </c>
      <c r="C9370" s="6">
        <v>0.42863761717617699</v>
      </c>
    </row>
    <row r="9371" spans="1:3" s="7" customFormat="1" x14ac:dyDescent="0.2">
      <c r="A9371" s="6" t="str">
        <f>"AL160286.2"</f>
        <v>AL160286.2</v>
      </c>
      <c r="B9371" s="6">
        <v>0.24040920716112499</v>
      </c>
      <c r="C9371" s="6">
        <v>0.42863761717617699</v>
      </c>
    </row>
    <row r="9372" spans="1:3" s="7" customFormat="1" x14ac:dyDescent="0.2">
      <c r="A9372" s="6" t="str">
        <f>"AC017116.2"</f>
        <v>AC017116.2</v>
      </c>
      <c r="B9372" s="6">
        <v>0.24075924075923999</v>
      </c>
      <c r="C9372" s="6">
        <v>0.42863761717617699</v>
      </c>
    </row>
    <row r="9373" spans="1:3" s="7" customFormat="1" x14ac:dyDescent="0.2">
      <c r="A9373" s="6" t="str">
        <f>"SNHG3"</f>
        <v>SNHG3</v>
      </c>
      <c r="B9373" s="6">
        <v>0.24075924075923999</v>
      </c>
      <c r="C9373" s="6">
        <v>0.42863761717617699</v>
      </c>
    </row>
    <row r="9374" spans="1:3" s="7" customFormat="1" x14ac:dyDescent="0.2">
      <c r="A9374" s="6" t="str">
        <f>"RPS28P7"</f>
        <v>RPS28P7</v>
      </c>
      <c r="B9374" s="6">
        <v>0.24075924075923999</v>
      </c>
      <c r="C9374" s="6">
        <v>0.42863761717617699</v>
      </c>
    </row>
    <row r="9375" spans="1:3" s="7" customFormat="1" x14ac:dyDescent="0.2">
      <c r="A9375" s="6" t="str">
        <f>"RIPOR1"</f>
        <v>RIPOR1</v>
      </c>
      <c r="B9375" s="6">
        <v>0.24075924075923999</v>
      </c>
      <c r="C9375" s="6">
        <v>0.42863761717617699</v>
      </c>
    </row>
    <row r="9376" spans="1:3" s="7" customFormat="1" x14ac:dyDescent="0.2">
      <c r="A9376" s="6" t="str">
        <f>"ITGB1BP2"</f>
        <v>ITGB1BP2</v>
      </c>
      <c r="B9376" s="6">
        <v>0.24075924075923999</v>
      </c>
      <c r="C9376" s="6">
        <v>0.42863761717617699</v>
      </c>
    </row>
    <row r="9377" spans="1:3" s="7" customFormat="1" x14ac:dyDescent="0.2">
      <c r="A9377" s="6" t="str">
        <f>"TMEM104"</f>
        <v>TMEM104</v>
      </c>
      <c r="B9377" s="6">
        <v>0.24075924075923999</v>
      </c>
      <c r="C9377" s="6">
        <v>0.42863761717617699</v>
      </c>
    </row>
    <row r="9378" spans="1:3" s="7" customFormat="1" x14ac:dyDescent="0.2">
      <c r="A9378" s="6" t="str">
        <f>"WDR41"</f>
        <v>WDR41</v>
      </c>
      <c r="B9378" s="6">
        <v>0.24075924075923999</v>
      </c>
      <c r="C9378" s="6">
        <v>0.42863761717617699</v>
      </c>
    </row>
    <row r="9379" spans="1:3" s="7" customFormat="1" x14ac:dyDescent="0.2">
      <c r="A9379" s="6" t="str">
        <f>"STK32A"</f>
        <v>STK32A</v>
      </c>
      <c r="B9379" s="6">
        <v>0.24075924075923999</v>
      </c>
      <c r="C9379" s="6">
        <v>0.42863761717617699</v>
      </c>
    </row>
    <row r="9380" spans="1:3" s="7" customFormat="1" x14ac:dyDescent="0.2">
      <c r="A9380" s="6" t="str">
        <f>"OMA1"</f>
        <v>OMA1</v>
      </c>
      <c r="B9380" s="6">
        <v>0.24075924075923999</v>
      </c>
      <c r="C9380" s="6">
        <v>0.42863761717617699</v>
      </c>
    </row>
    <row r="9381" spans="1:3" s="7" customFormat="1" x14ac:dyDescent="0.2">
      <c r="A9381" s="6" t="str">
        <f>"HEY2"</f>
        <v>HEY2</v>
      </c>
      <c r="B9381" s="6">
        <v>0.24075924075923999</v>
      </c>
      <c r="C9381" s="6">
        <v>0.42863761717617699</v>
      </c>
    </row>
    <row r="9382" spans="1:3" s="7" customFormat="1" x14ac:dyDescent="0.2">
      <c r="A9382" s="6" t="str">
        <f>"YIF1A"</f>
        <v>YIF1A</v>
      </c>
      <c r="B9382" s="6">
        <v>0.24075924075923999</v>
      </c>
      <c r="C9382" s="6">
        <v>0.42863761717617699</v>
      </c>
    </row>
    <row r="9383" spans="1:3" s="7" customFormat="1" x14ac:dyDescent="0.2">
      <c r="A9383" s="6" t="str">
        <f>"ANKMY1"</f>
        <v>ANKMY1</v>
      </c>
      <c r="B9383" s="6">
        <v>0.24075924075923999</v>
      </c>
      <c r="C9383" s="6">
        <v>0.42863761717617699</v>
      </c>
    </row>
    <row r="9384" spans="1:3" s="7" customFormat="1" x14ac:dyDescent="0.2">
      <c r="A9384" s="6" t="str">
        <f>"COMMD5"</f>
        <v>COMMD5</v>
      </c>
      <c r="B9384" s="6">
        <v>0.24075924075923999</v>
      </c>
      <c r="C9384" s="6">
        <v>0.42863761717617699</v>
      </c>
    </row>
    <row r="9385" spans="1:3" s="7" customFormat="1" x14ac:dyDescent="0.2">
      <c r="A9385" s="6" t="str">
        <f>"AC117480.1"</f>
        <v>AC117480.1</v>
      </c>
      <c r="B9385" s="6">
        <v>0.24075924075923999</v>
      </c>
      <c r="C9385" s="6">
        <v>0.42863761717617699</v>
      </c>
    </row>
    <row r="9386" spans="1:3" s="7" customFormat="1" x14ac:dyDescent="0.2">
      <c r="A9386" s="6" t="str">
        <f>"SERF2"</f>
        <v>SERF2</v>
      </c>
      <c r="B9386" s="6">
        <v>0.24075924075923999</v>
      </c>
      <c r="C9386" s="6">
        <v>0.42863761717617699</v>
      </c>
    </row>
    <row r="9387" spans="1:3" s="7" customFormat="1" x14ac:dyDescent="0.2">
      <c r="A9387" s="6" t="str">
        <f>"GPR18"</f>
        <v>GPR18</v>
      </c>
      <c r="B9387" s="6">
        <v>0.24075924075923999</v>
      </c>
      <c r="C9387" s="6">
        <v>0.42863761717617699</v>
      </c>
    </row>
    <row r="9388" spans="1:3" s="7" customFormat="1" x14ac:dyDescent="0.2">
      <c r="A9388" s="6" t="str">
        <f>"PCDHGB3"</f>
        <v>PCDHGB3</v>
      </c>
      <c r="B9388" s="6">
        <v>0.24075924075923999</v>
      </c>
      <c r="C9388" s="6">
        <v>0.42863761717617699</v>
      </c>
    </row>
    <row r="9389" spans="1:3" s="7" customFormat="1" x14ac:dyDescent="0.2">
      <c r="A9389" s="6" t="str">
        <f>"FXR1"</f>
        <v>FXR1</v>
      </c>
      <c r="B9389" s="6">
        <v>0.24075924075923999</v>
      </c>
      <c r="C9389" s="6">
        <v>0.42863761717617699</v>
      </c>
    </row>
    <row r="9390" spans="1:3" s="7" customFormat="1" x14ac:dyDescent="0.2">
      <c r="A9390" s="6" t="str">
        <f>"AC002470.1"</f>
        <v>AC002470.1</v>
      </c>
      <c r="B9390" s="6">
        <v>0.240913811007268</v>
      </c>
      <c r="C9390" s="6">
        <v>0.428867125058631</v>
      </c>
    </row>
    <row r="9391" spans="1:3" s="7" customFormat="1" x14ac:dyDescent="0.2">
      <c r="A9391" s="6" t="str">
        <f>"METTL22"</f>
        <v>METTL22</v>
      </c>
      <c r="B9391" s="6">
        <v>0.24175824175824101</v>
      </c>
      <c r="C9391" s="6">
        <v>0.42940990996251299</v>
      </c>
    </row>
    <row r="9392" spans="1:3" s="7" customFormat="1" x14ac:dyDescent="0.2">
      <c r="A9392" s="6" t="str">
        <f>"DPP4"</f>
        <v>DPP4</v>
      </c>
      <c r="B9392" s="6">
        <v>0.24175824175824101</v>
      </c>
      <c r="C9392" s="6">
        <v>0.42940990996251299</v>
      </c>
    </row>
    <row r="9393" spans="1:3" s="7" customFormat="1" x14ac:dyDescent="0.2">
      <c r="A9393" s="6" t="str">
        <f>"SLC7A8"</f>
        <v>SLC7A8</v>
      </c>
      <c r="B9393" s="6">
        <v>0.24175824175824101</v>
      </c>
      <c r="C9393" s="6">
        <v>0.42940990996251299</v>
      </c>
    </row>
    <row r="9394" spans="1:3" s="7" customFormat="1" x14ac:dyDescent="0.2">
      <c r="A9394" s="6" t="str">
        <f>"KIF7"</f>
        <v>KIF7</v>
      </c>
      <c r="B9394" s="6">
        <v>0.24175824175824101</v>
      </c>
      <c r="C9394" s="6">
        <v>0.42940990996251299</v>
      </c>
    </row>
    <row r="9395" spans="1:3" s="7" customFormat="1" x14ac:dyDescent="0.2">
      <c r="A9395" s="6" t="str">
        <f>"PAX6"</f>
        <v>PAX6</v>
      </c>
      <c r="B9395" s="6">
        <v>0.24175824175824101</v>
      </c>
      <c r="C9395" s="6">
        <v>0.42940990996251299</v>
      </c>
    </row>
    <row r="9396" spans="1:3" s="7" customFormat="1" x14ac:dyDescent="0.2">
      <c r="A9396" s="6" t="str">
        <f>"UPK3BL2"</f>
        <v>UPK3BL2</v>
      </c>
      <c r="B9396" s="6">
        <v>0.24175824175824101</v>
      </c>
      <c r="C9396" s="6">
        <v>0.42940990996251299</v>
      </c>
    </row>
    <row r="9397" spans="1:3" s="7" customFormat="1" x14ac:dyDescent="0.2">
      <c r="A9397" s="6" t="str">
        <f>"AC005618.1"</f>
        <v>AC005618.1</v>
      </c>
      <c r="B9397" s="6">
        <v>0.24175824175824101</v>
      </c>
      <c r="C9397" s="6">
        <v>0.42940990996251299</v>
      </c>
    </row>
    <row r="9398" spans="1:3" s="7" customFormat="1" x14ac:dyDescent="0.2">
      <c r="A9398" s="6" t="str">
        <f>"HR"</f>
        <v>HR</v>
      </c>
      <c r="B9398" s="6">
        <v>0.24175824175824101</v>
      </c>
      <c r="C9398" s="6">
        <v>0.42940990996251299</v>
      </c>
    </row>
    <row r="9399" spans="1:3" s="7" customFormat="1" x14ac:dyDescent="0.2">
      <c r="A9399" s="6" t="str">
        <f>"COL4A5"</f>
        <v>COL4A5</v>
      </c>
      <c r="B9399" s="6">
        <v>0.24175824175824101</v>
      </c>
      <c r="C9399" s="6">
        <v>0.42940990996251299</v>
      </c>
    </row>
    <row r="9400" spans="1:3" s="7" customFormat="1" x14ac:dyDescent="0.2">
      <c r="A9400" s="6" t="str">
        <f>"RBM17"</f>
        <v>RBM17</v>
      </c>
      <c r="B9400" s="6">
        <v>0.24175824175824101</v>
      </c>
      <c r="C9400" s="6">
        <v>0.42940990996251299</v>
      </c>
    </row>
    <row r="9401" spans="1:3" s="7" customFormat="1" x14ac:dyDescent="0.2">
      <c r="A9401" s="6" t="str">
        <f>"TJP1"</f>
        <v>TJP1</v>
      </c>
      <c r="B9401" s="6">
        <v>0.241482965931863</v>
      </c>
      <c r="C9401" s="6">
        <v>0.42940990996251299</v>
      </c>
    </row>
    <row r="9402" spans="1:3" s="7" customFormat="1" x14ac:dyDescent="0.2">
      <c r="A9402" s="6" t="str">
        <f>"FRAT1"</f>
        <v>FRAT1</v>
      </c>
      <c r="B9402" s="6">
        <v>0.24175824175824101</v>
      </c>
      <c r="C9402" s="6">
        <v>0.42940990996251299</v>
      </c>
    </row>
    <row r="9403" spans="1:3" s="7" customFormat="1" x14ac:dyDescent="0.2">
      <c r="A9403" s="6" t="str">
        <f>"AL157829.1"</f>
        <v>AL157829.1</v>
      </c>
      <c r="B9403" s="6">
        <v>0.24175824175824101</v>
      </c>
      <c r="C9403" s="6">
        <v>0.42940990996251299</v>
      </c>
    </row>
    <row r="9404" spans="1:3" s="7" customFormat="1" x14ac:dyDescent="0.2">
      <c r="A9404" s="6" t="str">
        <f>"LINC02784"</f>
        <v>LINC02784</v>
      </c>
      <c r="B9404" s="6">
        <v>0.24175824175824101</v>
      </c>
      <c r="C9404" s="6">
        <v>0.42940990996251299</v>
      </c>
    </row>
    <row r="9405" spans="1:3" s="7" customFormat="1" x14ac:dyDescent="0.2">
      <c r="A9405" s="6" t="str">
        <f>"MARK2"</f>
        <v>MARK2</v>
      </c>
      <c r="B9405" s="6">
        <v>0.24175824175824101</v>
      </c>
      <c r="C9405" s="6">
        <v>0.42940990996251299</v>
      </c>
    </row>
    <row r="9406" spans="1:3" s="7" customFormat="1" x14ac:dyDescent="0.2">
      <c r="A9406" s="6" t="str">
        <f>"AL035252.3"</f>
        <v>AL035252.3</v>
      </c>
      <c r="B9406" s="6">
        <v>0.24175824175824101</v>
      </c>
      <c r="C9406" s="6">
        <v>0.42940990996251299</v>
      </c>
    </row>
    <row r="9407" spans="1:3" s="7" customFormat="1" x14ac:dyDescent="0.2">
      <c r="A9407" s="6" t="str">
        <f>"MAPRE1"</f>
        <v>MAPRE1</v>
      </c>
      <c r="B9407" s="6">
        <v>0.24175824175824101</v>
      </c>
      <c r="C9407" s="6">
        <v>0.42940990996251299</v>
      </c>
    </row>
    <row r="9408" spans="1:3" s="7" customFormat="1" x14ac:dyDescent="0.2">
      <c r="A9408" s="6" t="str">
        <f>"KRT40"</f>
        <v>KRT40</v>
      </c>
      <c r="B9408" s="6">
        <v>0.24175824175824101</v>
      </c>
      <c r="C9408" s="6">
        <v>0.42940990996251299</v>
      </c>
    </row>
    <row r="9409" spans="1:3" s="7" customFormat="1" x14ac:dyDescent="0.2">
      <c r="A9409" s="6" t="str">
        <f>"GPR3"</f>
        <v>GPR3</v>
      </c>
      <c r="B9409" s="6">
        <v>0.24175824175824101</v>
      </c>
      <c r="C9409" s="6">
        <v>0.42940990996251299</v>
      </c>
    </row>
    <row r="9410" spans="1:3" s="7" customFormat="1" x14ac:dyDescent="0.2">
      <c r="A9410" s="6" t="str">
        <f>"INKA2-AS1"</f>
        <v>INKA2-AS1</v>
      </c>
      <c r="B9410" s="6">
        <v>0.24175824175824101</v>
      </c>
      <c r="C9410" s="6">
        <v>0.42940990996251299</v>
      </c>
    </row>
    <row r="9411" spans="1:3" s="7" customFormat="1" x14ac:dyDescent="0.2">
      <c r="A9411" s="6" t="str">
        <f>"MRPL48"</f>
        <v>MRPL48</v>
      </c>
      <c r="B9411" s="6">
        <v>0.24175824175824101</v>
      </c>
      <c r="C9411" s="6">
        <v>0.42940990996251299</v>
      </c>
    </row>
    <row r="9412" spans="1:3" s="7" customFormat="1" x14ac:dyDescent="0.2">
      <c r="A9412" s="6" t="str">
        <f>"DCTN5"</f>
        <v>DCTN5</v>
      </c>
      <c r="B9412" s="6">
        <v>0.24199999999999999</v>
      </c>
      <c r="C9412" s="6">
        <v>0.42974798130046699</v>
      </c>
    </row>
    <row r="9413" spans="1:3" s="7" customFormat="1" x14ac:dyDescent="0.2">
      <c r="A9413" s="6" t="str">
        <f>"NAT14"</f>
        <v>NAT14</v>
      </c>
      <c r="B9413" s="6">
        <v>0.24199999999999999</v>
      </c>
      <c r="C9413" s="6">
        <v>0.42974798130046699</v>
      </c>
    </row>
    <row r="9414" spans="1:3" s="7" customFormat="1" x14ac:dyDescent="0.2">
      <c r="A9414" s="6" t="str">
        <f>"LINC01275"</f>
        <v>LINC01275</v>
      </c>
      <c r="B9414" s="6">
        <v>0.242242242242242</v>
      </c>
      <c r="C9414" s="6">
        <v>0.43013245902866598</v>
      </c>
    </row>
    <row r="9415" spans="1:3" s="7" customFormat="1" x14ac:dyDescent="0.2">
      <c r="A9415" s="6" t="str">
        <f>"LARP1"</f>
        <v>LARP1</v>
      </c>
      <c r="B9415" s="6">
        <v>0.242757242757242</v>
      </c>
      <c r="C9415" s="6">
        <v>0.43026983620832998</v>
      </c>
    </row>
    <row r="9416" spans="1:3" s="7" customFormat="1" x14ac:dyDescent="0.2">
      <c r="A9416" s="6" t="str">
        <f>"SMDT1"</f>
        <v>SMDT1</v>
      </c>
      <c r="B9416" s="6">
        <v>0.242757242757242</v>
      </c>
      <c r="C9416" s="6">
        <v>0.43026983620832998</v>
      </c>
    </row>
    <row r="9417" spans="1:3" s="7" customFormat="1" x14ac:dyDescent="0.2">
      <c r="A9417" s="6" t="str">
        <f>"DLX5"</f>
        <v>DLX5</v>
      </c>
      <c r="B9417" s="6">
        <v>0.242757242757242</v>
      </c>
      <c r="C9417" s="6">
        <v>0.43026983620832998</v>
      </c>
    </row>
    <row r="9418" spans="1:3" s="7" customFormat="1" x14ac:dyDescent="0.2">
      <c r="A9418" s="6" t="str">
        <f>"LIMS2"</f>
        <v>LIMS2</v>
      </c>
      <c r="B9418" s="6">
        <v>0.242757242757242</v>
      </c>
      <c r="C9418" s="6">
        <v>0.43026983620832998</v>
      </c>
    </row>
    <row r="9419" spans="1:3" s="7" customFormat="1" x14ac:dyDescent="0.2">
      <c r="A9419" s="6" t="str">
        <f>"ZNF470"</f>
        <v>ZNF470</v>
      </c>
      <c r="B9419" s="6">
        <v>0.242757242757242</v>
      </c>
      <c r="C9419" s="6">
        <v>0.43026983620832998</v>
      </c>
    </row>
    <row r="9420" spans="1:3" s="7" customFormat="1" x14ac:dyDescent="0.2">
      <c r="A9420" s="6" t="str">
        <f>"ACER2"</f>
        <v>ACER2</v>
      </c>
      <c r="B9420" s="6">
        <v>0.242757242757242</v>
      </c>
      <c r="C9420" s="6">
        <v>0.43026983620832998</v>
      </c>
    </row>
    <row r="9421" spans="1:3" s="7" customFormat="1" x14ac:dyDescent="0.2">
      <c r="A9421" s="6" t="str">
        <f>"MUL1"</f>
        <v>MUL1</v>
      </c>
      <c r="B9421" s="6">
        <v>0.242757242757242</v>
      </c>
      <c r="C9421" s="6">
        <v>0.43026983620832998</v>
      </c>
    </row>
    <row r="9422" spans="1:3" s="7" customFormat="1" x14ac:dyDescent="0.2">
      <c r="A9422" s="6" t="str">
        <f>"SIVA1"</f>
        <v>SIVA1</v>
      </c>
      <c r="B9422" s="6">
        <v>0.242757242757242</v>
      </c>
      <c r="C9422" s="6">
        <v>0.43026983620832998</v>
      </c>
    </row>
    <row r="9423" spans="1:3" s="7" customFormat="1" x14ac:dyDescent="0.2">
      <c r="A9423" s="6" t="str">
        <f>"RUNDC3A-AS1"</f>
        <v>RUNDC3A-AS1</v>
      </c>
      <c r="B9423" s="6">
        <v>0.242757242757242</v>
      </c>
      <c r="C9423" s="6">
        <v>0.43026983620832998</v>
      </c>
    </row>
    <row r="9424" spans="1:3" s="7" customFormat="1" x14ac:dyDescent="0.2">
      <c r="A9424" s="6" t="str">
        <f>"PIK3C2B"</f>
        <v>PIK3C2B</v>
      </c>
      <c r="B9424" s="6">
        <v>0.242757242757242</v>
      </c>
      <c r="C9424" s="6">
        <v>0.43026983620832998</v>
      </c>
    </row>
    <row r="9425" spans="1:3" s="7" customFormat="1" x14ac:dyDescent="0.2">
      <c r="A9425" s="6" t="str">
        <f>"MTA2"</f>
        <v>MTA2</v>
      </c>
      <c r="B9425" s="6">
        <v>0.242757242757242</v>
      </c>
      <c r="C9425" s="6">
        <v>0.43026983620832998</v>
      </c>
    </row>
    <row r="9426" spans="1:3" s="7" customFormat="1" x14ac:dyDescent="0.2">
      <c r="A9426" s="6" t="str">
        <f>"AC139453.2"</f>
        <v>AC139453.2</v>
      </c>
      <c r="B9426" s="6">
        <v>0.242757242757242</v>
      </c>
      <c r="C9426" s="6">
        <v>0.43026983620832998</v>
      </c>
    </row>
    <row r="9427" spans="1:3" s="7" customFormat="1" x14ac:dyDescent="0.2">
      <c r="A9427" s="6" t="str">
        <f>"POLR1F"</f>
        <v>POLR1F</v>
      </c>
      <c r="B9427" s="6">
        <v>0.242757242757242</v>
      </c>
      <c r="C9427" s="6">
        <v>0.43026983620832998</v>
      </c>
    </row>
    <row r="9428" spans="1:3" s="7" customFormat="1" x14ac:dyDescent="0.2">
      <c r="A9428" s="6" t="str">
        <f>"ERICH3"</f>
        <v>ERICH3</v>
      </c>
      <c r="B9428" s="6">
        <v>0.242757242757242</v>
      </c>
      <c r="C9428" s="6">
        <v>0.43026983620832998</v>
      </c>
    </row>
    <row r="9429" spans="1:3" s="7" customFormat="1" x14ac:dyDescent="0.2">
      <c r="A9429" s="6" t="str">
        <f>"HGF"</f>
        <v>HGF</v>
      </c>
      <c r="B9429" s="6">
        <v>0.242757242757242</v>
      </c>
      <c r="C9429" s="6">
        <v>0.43026983620832998</v>
      </c>
    </row>
    <row r="9430" spans="1:3" s="7" customFormat="1" x14ac:dyDescent="0.2">
      <c r="A9430" s="6" t="str">
        <f>"RPS3"</f>
        <v>RPS3</v>
      </c>
      <c r="B9430" s="6">
        <v>0.242757242757242</v>
      </c>
      <c r="C9430" s="6">
        <v>0.43026983620832998</v>
      </c>
    </row>
    <row r="9431" spans="1:3" s="7" customFormat="1" x14ac:dyDescent="0.2">
      <c r="A9431" s="6" t="str">
        <f>"NUP155"</f>
        <v>NUP155</v>
      </c>
      <c r="B9431" s="6">
        <v>0.242757242757242</v>
      </c>
      <c r="C9431" s="6">
        <v>0.43026983620832998</v>
      </c>
    </row>
    <row r="9432" spans="1:3" s="7" customFormat="1" x14ac:dyDescent="0.2">
      <c r="A9432" s="6" t="str">
        <f>"PARD6A"</f>
        <v>PARD6A</v>
      </c>
      <c r="B9432" s="6">
        <v>0.243756243756243</v>
      </c>
      <c r="C9432" s="6">
        <v>0.43149140628488197</v>
      </c>
    </row>
    <row r="9433" spans="1:3" s="7" customFormat="1" x14ac:dyDescent="0.2">
      <c r="A9433" s="6" t="str">
        <f>"EIF4A3"</f>
        <v>EIF4A3</v>
      </c>
      <c r="B9433" s="6">
        <v>0.243756243756243</v>
      </c>
      <c r="C9433" s="6">
        <v>0.43149140628488197</v>
      </c>
    </row>
    <row r="9434" spans="1:3" s="7" customFormat="1" x14ac:dyDescent="0.2">
      <c r="A9434" s="6" t="str">
        <f>"MSX2"</f>
        <v>MSX2</v>
      </c>
      <c r="B9434" s="6">
        <v>0.243756243756243</v>
      </c>
      <c r="C9434" s="6">
        <v>0.43149140628488197</v>
      </c>
    </row>
    <row r="9435" spans="1:3" s="7" customFormat="1" x14ac:dyDescent="0.2">
      <c r="A9435" s="6" t="str">
        <f>"NTN1"</f>
        <v>NTN1</v>
      </c>
      <c r="B9435" s="6">
        <v>0.243756243756243</v>
      </c>
      <c r="C9435" s="6">
        <v>0.43149140628488197</v>
      </c>
    </row>
    <row r="9436" spans="1:3" s="7" customFormat="1" x14ac:dyDescent="0.2">
      <c r="A9436" s="6" t="str">
        <f>"PRELID3B"</f>
        <v>PRELID3B</v>
      </c>
      <c r="B9436" s="6">
        <v>0.243756243756243</v>
      </c>
      <c r="C9436" s="6">
        <v>0.43149140628488197</v>
      </c>
    </row>
    <row r="9437" spans="1:3" s="7" customFormat="1" x14ac:dyDescent="0.2">
      <c r="A9437" s="6" t="str">
        <f>"TLCD4"</f>
        <v>TLCD4</v>
      </c>
      <c r="B9437" s="6">
        <v>0.243756243756243</v>
      </c>
      <c r="C9437" s="6">
        <v>0.43149140628488197</v>
      </c>
    </row>
    <row r="9438" spans="1:3" s="7" customFormat="1" x14ac:dyDescent="0.2">
      <c r="A9438" s="6" t="str">
        <f>"FAM234A"</f>
        <v>FAM234A</v>
      </c>
      <c r="B9438" s="6">
        <v>0.243756243756243</v>
      </c>
      <c r="C9438" s="6">
        <v>0.43149140628488197</v>
      </c>
    </row>
    <row r="9439" spans="1:3" s="7" customFormat="1" x14ac:dyDescent="0.2">
      <c r="A9439" s="6" t="str">
        <f>"MAP1B"</f>
        <v>MAP1B</v>
      </c>
      <c r="B9439" s="6">
        <v>0.243756243756243</v>
      </c>
      <c r="C9439" s="6">
        <v>0.43149140628488197</v>
      </c>
    </row>
    <row r="9440" spans="1:3" s="7" customFormat="1" x14ac:dyDescent="0.2">
      <c r="A9440" s="6" t="str">
        <f>"EFR3B"</f>
        <v>EFR3B</v>
      </c>
      <c r="B9440" s="6">
        <v>0.243756243756243</v>
      </c>
      <c r="C9440" s="6">
        <v>0.43149140628488197</v>
      </c>
    </row>
    <row r="9441" spans="1:3" s="7" customFormat="1" x14ac:dyDescent="0.2">
      <c r="A9441" s="6" t="str">
        <f>"DBNDD2"</f>
        <v>DBNDD2</v>
      </c>
      <c r="B9441" s="6">
        <v>0.243756243756243</v>
      </c>
      <c r="C9441" s="6">
        <v>0.43149140628488197</v>
      </c>
    </row>
    <row r="9442" spans="1:3" s="7" customFormat="1" x14ac:dyDescent="0.2">
      <c r="A9442" s="6" t="str">
        <f>"DPY19L2"</f>
        <v>DPY19L2</v>
      </c>
      <c r="B9442" s="6">
        <v>0.243756243756243</v>
      </c>
      <c r="C9442" s="6">
        <v>0.43149140628488197</v>
      </c>
    </row>
    <row r="9443" spans="1:3" s="7" customFormat="1" x14ac:dyDescent="0.2">
      <c r="A9443" s="6" t="str">
        <f>"AC008758.5"</f>
        <v>AC008758.5</v>
      </c>
      <c r="B9443" s="6">
        <v>0.243756243756243</v>
      </c>
      <c r="C9443" s="6">
        <v>0.43149140628488197</v>
      </c>
    </row>
    <row r="9444" spans="1:3" s="7" customFormat="1" x14ac:dyDescent="0.2">
      <c r="A9444" s="6" t="str">
        <f>"UNC119B"</f>
        <v>UNC119B</v>
      </c>
      <c r="B9444" s="6">
        <v>0.24399999999999999</v>
      </c>
      <c r="C9444" s="6">
        <v>0.43183142736128699</v>
      </c>
    </row>
    <row r="9445" spans="1:3" s="7" customFormat="1" x14ac:dyDescent="0.2">
      <c r="A9445" s="6" t="str">
        <f>"AC091057.2"</f>
        <v>AC091057.2</v>
      </c>
      <c r="B9445" s="6">
        <v>0.24399999999999999</v>
      </c>
      <c r="C9445" s="6">
        <v>0.43183142736128699</v>
      </c>
    </row>
    <row r="9446" spans="1:3" s="7" customFormat="1" x14ac:dyDescent="0.2">
      <c r="A9446" s="6" t="str">
        <f>"ERGIC1"</f>
        <v>ERGIC1</v>
      </c>
      <c r="B9446" s="6">
        <v>0.24475524475524399</v>
      </c>
      <c r="C9446" s="6">
        <v>0.43252687257762301</v>
      </c>
    </row>
    <row r="9447" spans="1:3" s="7" customFormat="1" x14ac:dyDescent="0.2">
      <c r="A9447" s="6" t="str">
        <f>"ZNF75A"</f>
        <v>ZNF75A</v>
      </c>
      <c r="B9447" s="6">
        <v>0.24475524475524399</v>
      </c>
      <c r="C9447" s="6">
        <v>0.43252687257762301</v>
      </c>
    </row>
    <row r="9448" spans="1:3" s="7" customFormat="1" x14ac:dyDescent="0.2">
      <c r="A9448" s="6" t="str">
        <f>"TMEM238"</f>
        <v>TMEM238</v>
      </c>
      <c r="B9448" s="6">
        <v>0.24475524475524399</v>
      </c>
      <c r="C9448" s="6">
        <v>0.43252687257762301</v>
      </c>
    </row>
    <row r="9449" spans="1:3" s="7" customFormat="1" x14ac:dyDescent="0.2">
      <c r="A9449" s="6" t="str">
        <f>"BICDL2"</f>
        <v>BICDL2</v>
      </c>
      <c r="B9449" s="6">
        <v>0.24475524475524399</v>
      </c>
      <c r="C9449" s="6">
        <v>0.43252687257762301</v>
      </c>
    </row>
    <row r="9450" spans="1:3" s="7" customFormat="1" x14ac:dyDescent="0.2">
      <c r="A9450" s="6" t="str">
        <f>"ZNF302"</f>
        <v>ZNF302</v>
      </c>
      <c r="B9450" s="6">
        <v>0.24475524475524399</v>
      </c>
      <c r="C9450" s="6">
        <v>0.43252687257762301</v>
      </c>
    </row>
    <row r="9451" spans="1:3" s="7" customFormat="1" x14ac:dyDescent="0.2">
      <c r="A9451" s="6" t="str">
        <f>"RCC1L"</f>
        <v>RCC1L</v>
      </c>
      <c r="B9451" s="6">
        <v>0.24475524475524399</v>
      </c>
      <c r="C9451" s="6">
        <v>0.43252687257762301</v>
      </c>
    </row>
    <row r="9452" spans="1:3" s="7" customFormat="1" x14ac:dyDescent="0.2">
      <c r="A9452" s="6" t="str">
        <f>"SESTD1"</f>
        <v>SESTD1</v>
      </c>
      <c r="B9452" s="6">
        <v>0.24475524475524399</v>
      </c>
      <c r="C9452" s="6">
        <v>0.43252687257762301</v>
      </c>
    </row>
    <row r="9453" spans="1:3" s="7" customFormat="1" x14ac:dyDescent="0.2">
      <c r="A9453" s="6" t="str">
        <f>"BCL2L2"</f>
        <v>BCL2L2</v>
      </c>
      <c r="B9453" s="6">
        <v>0.24475524475524399</v>
      </c>
      <c r="C9453" s="6">
        <v>0.43252687257762301</v>
      </c>
    </row>
    <row r="9454" spans="1:3" s="7" customFormat="1" x14ac:dyDescent="0.2">
      <c r="A9454" s="6" t="str">
        <f>"ANKRD45"</f>
        <v>ANKRD45</v>
      </c>
      <c r="B9454" s="6">
        <v>0.24475524475524399</v>
      </c>
      <c r="C9454" s="6">
        <v>0.43252687257762301</v>
      </c>
    </row>
    <row r="9455" spans="1:3" s="7" customFormat="1" x14ac:dyDescent="0.2">
      <c r="A9455" s="6" t="str">
        <f>"GSTO2"</f>
        <v>GSTO2</v>
      </c>
      <c r="B9455" s="6">
        <v>0.24475524475524399</v>
      </c>
      <c r="C9455" s="6">
        <v>0.43252687257762301</v>
      </c>
    </row>
    <row r="9456" spans="1:3" s="7" customFormat="1" x14ac:dyDescent="0.2">
      <c r="A9456" s="6" t="str">
        <f>"DDC"</f>
        <v>DDC</v>
      </c>
      <c r="B9456" s="6">
        <v>0.24475524475524399</v>
      </c>
      <c r="C9456" s="6">
        <v>0.43252687257762301</v>
      </c>
    </row>
    <row r="9457" spans="1:3" s="7" customFormat="1" x14ac:dyDescent="0.2">
      <c r="A9457" s="6" t="str">
        <f>"SPATA7"</f>
        <v>SPATA7</v>
      </c>
      <c r="B9457" s="6">
        <v>0.24475524475524399</v>
      </c>
      <c r="C9457" s="6">
        <v>0.43252687257762301</v>
      </c>
    </row>
    <row r="9458" spans="1:3" s="7" customFormat="1" x14ac:dyDescent="0.2">
      <c r="A9458" s="6" t="str">
        <f>"RPS19"</f>
        <v>RPS19</v>
      </c>
      <c r="B9458" s="6">
        <v>0.24475524475524399</v>
      </c>
      <c r="C9458" s="6">
        <v>0.43252687257762301</v>
      </c>
    </row>
    <row r="9459" spans="1:3" s="7" customFormat="1" x14ac:dyDescent="0.2">
      <c r="A9459" s="6" t="str">
        <f>"SERPIND1"</f>
        <v>SERPIND1</v>
      </c>
      <c r="B9459" s="6">
        <v>0.24475524475524399</v>
      </c>
      <c r="C9459" s="6">
        <v>0.43252687257762301</v>
      </c>
    </row>
    <row r="9460" spans="1:3" s="7" customFormat="1" x14ac:dyDescent="0.2">
      <c r="A9460" s="6" t="str">
        <f>"AC090241.2"</f>
        <v>AC090241.2</v>
      </c>
      <c r="B9460" s="6">
        <v>0.245</v>
      </c>
      <c r="C9460" s="6">
        <v>0.432913627233322</v>
      </c>
    </row>
    <row r="9461" spans="1:3" s="7" customFormat="1" x14ac:dyDescent="0.2">
      <c r="A9461" s="6" t="str">
        <f>"ARL5B"</f>
        <v>ARL5B</v>
      </c>
      <c r="B9461" s="6">
        <v>0.24575424575424501</v>
      </c>
      <c r="C9461" s="6">
        <v>0.43360460926173999</v>
      </c>
    </row>
    <row r="9462" spans="1:3" s="7" customFormat="1" x14ac:dyDescent="0.2">
      <c r="A9462" s="6" t="str">
        <f>"CCDC106"</f>
        <v>CCDC106</v>
      </c>
      <c r="B9462" s="6">
        <v>0.24575424575424501</v>
      </c>
      <c r="C9462" s="6">
        <v>0.43360460926173999</v>
      </c>
    </row>
    <row r="9463" spans="1:3" s="7" customFormat="1" x14ac:dyDescent="0.2">
      <c r="A9463" s="6" t="str">
        <f>"HOMER3-AS1"</f>
        <v>HOMER3-AS1</v>
      </c>
      <c r="B9463" s="6">
        <v>0.245737211634904</v>
      </c>
      <c r="C9463" s="6">
        <v>0.43360460926173999</v>
      </c>
    </row>
    <row r="9464" spans="1:3" s="7" customFormat="1" x14ac:dyDescent="0.2">
      <c r="A9464" s="6" t="str">
        <f>"AC034213.1"</f>
        <v>AC034213.1</v>
      </c>
      <c r="B9464" s="6">
        <v>0.24575424575424501</v>
      </c>
      <c r="C9464" s="6">
        <v>0.43360460926173999</v>
      </c>
    </row>
    <row r="9465" spans="1:3" s="7" customFormat="1" x14ac:dyDescent="0.2">
      <c r="A9465" s="6" t="str">
        <f>"ZNRD2"</f>
        <v>ZNRD2</v>
      </c>
      <c r="B9465" s="6">
        <v>0.24575424575424501</v>
      </c>
      <c r="C9465" s="6">
        <v>0.43360460926173999</v>
      </c>
    </row>
    <row r="9466" spans="1:3" s="7" customFormat="1" x14ac:dyDescent="0.2">
      <c r="A9466" s="6" t="str">
        <f>"CTSS"</f>
        <v>CTSS</v>
      </c>
      <c r="B9466" s="6">
        <v>0.24575424575424501</v>
      </c>
      <c r="C9466" s="6">
        <v>0.43360460926173999</v>
      </c>
    </row>
    <row r="9467" spans="1:3" s="7" customFormat="1" x14ac:dyDescent="0.2">
      <c r="A9467" s="6" t="str">
        <f>"VPS37C"</f>
        <v>VPS37C</v>
      </c>
      <c r="B9467" s="6">
        <v>0.24575424575424501</v>
      </c>
      <c r="C9467" s="6">
        <v>0.43360460926173999</v>
      </c>
    </row>
    <row r="9468" spans="1:3" s="7" customFormat="1" x14ac:dyDescent="0.2">
      <c r="A9468" s="6" t="str">
        <f>"BX322234.1"</f>
        <v>BX322234.1</v>
      </c>
      <c r="B9468" s="6">
        <v>0.24575424575424501</v>
      </c>
      <c r="C9468" s="6">
        <v>0.43360460926173999</v>
      </c>
    </row>
    <row r="9469" spans="1:3" s="7" customFormat="1" x14ac:dyDescent="0.2">
      <c r="A9469" s="6" t="str">
        <f>"PRICKLE2"</f>
        <v>PRICKLE2</v>
      </c>
      <c r="B9469" s="6">
        <v>0.24575424575424501</v>
      </c>
      <c r="C9469" s="6">
        <v>0.43360460926173999</v>
      </c>
    </row>
    <row r="9470" spans="1:3" s="7" customFormat="1" x14ac:dyDescent="0.2">
      <c r="A9470" s="6" t="str">
        <f>"KRT10"</f>
        <v>KRT10</v>
      </c>
      <c r="B9470" s="6">
        <v>0.24575424575424501</v>
      </c>
      <c r="C9470" s="6">
        <v>0.43360460926173999</v>
      </c>
    </row>
    <row r="9471" spans="1:3" s="7" customFormat="1" x14ac:dyDescent="0.2">
      <c r="A9471" s="6" t="str">
        <f>"FRG1"</f>
        <v>FRG1</v>
      </c>
      <c r="B9471" s="6">
        <v>0.24575424575424501</v>
      </c>
      <c r="C9471" s="6">
        <v>0.43360460926173999</v>
      </c>
    </row>
    <row r="9472" spans="1:3" s="7" customFormat="1" x14ac:dyDescent="0.2">
      <c r="A9472" s="6" t="str">
        <f>"CX3CR1"</f>
        <v>CX3CR1</v>
      </c>
      <c r="B9472" s="6">
        <v>0.24575424575424501</v>
      </c>
      <c r="C9472" s="6">
        <v>0.43360460926173999</v>
      </c>
    </row>
    <row r="9473" spans="1:3" s="7" customFormat="1" x14ac:dyDescent="0.2">
      <c r="A9473" s="6" t="str">
        <f>"CCDC192"</f>
        <v>CCDC192</v>
      </c>
      <c r="B9473" s="6">
        <v>0.245737211634904</v>
      </c>
      <c r="C9473" s="6">
        <v>0.43360460926173999</v>
      </c>
    </row>
    <row r="9474" spans="1:3" s="7" customFormat="1" x14ac:dyDescent="0.2">
      <c r="A9474" s="6" t="str">
        <f>"AC104958.2"</f>
        <v>AC104958.2</v>
      </c>
      <c r="B9474" s="6">
        <v>0.24575424575424501</v>
      </c>
      <c r="C9474" s="6">
        <v>0.43360460926173999</v>
      </c>
    </row>
    <row r="9475" spans="1:3" s="7" customFormat="1" x14ac:dyDescent="0.2">
      <c r="A9475" s="6" t="str">
        <f>"RPL19"</f>
        <v>RPL19</v>
      </c>
      <c r="B9475" s="6">
        <v>0.246</v>
      </c>
      <c r="C9475" s="6">
        <v>0.43390080202617098</v>
      </c>
    </row>
    <row r="9476" spans="1:3" s="7" customFormat="1" x14ac:dyDescent="0.2">
      <c r="A9476" s="6" t="str">
        <f>"ACTBP9"</f>
        <v>ACTBP9</v>
      </c>
      <c r="B9476" s="6">
        <v>0.246</v>
      </c>
      <c r="C9476" s="6">
        <v>0.43390080202617098</v>
      </c>
    </row>
    <row r="9477" spans="1:3" s="7" customFormat="1" x14ac:dyDescent="0.2">
      <c r="A9477" s="6" t="str">
        <f>"YWHAZ"</f>
        <v>YWHAZ</v>
      </c>
      <c r="B9477" s="6">
        <v>0.246</v>
      </c>
      <c r="C9477" s="6">
        <v>0.43390080202617098</v>
      </c>
    </row>
    <row r="9478" spans="1:3" s="7" customFormat="1" x14ac:dyDescent="0.2">
      <c r="A9478" s="6" t="str">
        <f>"RPL23AP42"</f>
        <v>RPL23AP42</v>
      </c>
      <c r="B9478" s="6">
        <v>0.246753246753246</v>
      </c>
      <c r="C9478" s="6">
        <v>0.43454154106350901</v>
      </c>
    </row>
    <row r="9479" spans="1:3" s="7" customFormat="1" x14ac:dyDescent="0.2">
      <c r="A9479" s="6" t="str">
        <f>"RRP1B"</f>
        <v>RRP1B</v>
      </c>
      <c r="B9479" s="6">
        <v>0.246753246753246</v>
      </c>
      <c r="C9479" s="6">
        <v>0.43454154106350901</v>
      </c>
    </row>
    <row r="9480" spans="1:3" s="7" customFormat="1" x14ac:dyDescent="0.2">
      <c r="A9480" s="6" t="str">
        <f>"FAM169A"</f>
        <v>FAM169A</v>
      </c>
      <c r="B9480" s="6">
        <v>0.246753246753246</v>
      </c>
      <c r="C9480" s="6">
        <v>0.43454154106350901</v>
      </c>
    </row>
    <row r="9481" spans="1:3" s="7" customFormat="1" x14ac:dyDescent="0.2">
      <c r="A9481" s="6" t="str">
        <f>"CDHR1"</f>
        <v>CDHR1</v>
      </c>
      <c r="B9481" s="6">
        <v>0.246753246753246</v>
      </c>
      <c r="C9481" s="6">
        <v>0.43454154106350901</v>
      </c>
    </row>
    <row r="9482" spans="1:3" s="7" customFormat="1" x14ac:dyDescent="0.2">
      <c r="A9482" s="6" t="str">
        <f>"PARG"</f>
        <v>PARG</v>
      </c>
      <c r="B9482" s="6">
        <v>0.246753246753246</v>
      </c>
      <c r="C9482" s="6">
        <v>0.43454154106350901</v>
      </c>
    </row>
    <row r="9483" spans="1:3" s="7" customFormat="1" x14ac:dyDescent="0.2">
      <c r="A9483" s="6" t="str">
        <f>"MTFP1"</f>
        <v>MTFP1</v>
      </c>
      <c r="B9483" s="6">
        <v>0.246753246753246</v>
      </c>
      <c r="C9483" s="6">
        <v>0.43454154106350901</v>
      </c>
    </row>
    <row r="9484" spans="1:3" s="7" customFormat="1" x14ac:dyDescent="0.2">
      <c r="A9484" s="6" t="str">
        <f>"ZNF33A"</f>
        <v>ZNF33A</v>
      </c>
      <c r="B9484" s="6">
        <v>0.246753246753246</v>
      </c>
      <c r="C9484" s="6">
        <v>0.43454154106350901</v>
      </c>
    </row>
    <row r="9485" spans="1:3" s="7" customFormat="1" x14ac:dyDescent="0.2">
      <c r="A9485" s="6" t="str">
        <f>"GFPT1"</f>
        <v>GFPT1</v>
      </c>
      <c r="B9485" s="6">
        <v>0.246753246753246</v>
      </c>
      <c r="C9485" s="6">
        <v>0.43454154106350901</v>
      </c>
    </row>
    <row r="9486" spans="1:3" s="7" customFormat="1" x14ac:dyDescent="0.2">
      <c r="A9486" s="6" t="str">
        <f>"AL121900.1"</f>
        <v>AL121900.1</v>
      </c>
      <c r="B9486" s="6">
        <v>0.246753246753246</v>
      </c>
      <c r="C9486" s="6">
        <v>0.43454154106350901</v>
      </c>
    </row>
    <row r="9487" spans="1:3" s="7" customFormat="1" x14ac:dyDescent="0.2">
      <c r="A9487" s="6" t="str">
        <f>"FEM1C"</f>
        <v>FEM1C</v>
      </c>
      <c r="B9487" s="6">
        <v>0.246753246753246</v>
      </c>
      <c r="C9487" s="6">
        <v>0.43454154106350901</v>
      </c>
    </row>
    <row r="9488" spans="1:3" s="7" customFormat="1" x14ac:dyDescent="0.2">
      <c r="A9488" s="6" t="str">
        <f>"RPL36A"</f>
        <v>RPL36A</v>
      </c>
      <c r="B9488" s="6">
        <v>0.246753246753246</v>
      </c>
      <c r="C9488" s="6">
        <v>0.43454154106350901</v>
      </c>
    </row>
    <row r="9489" spans="1:3" s="7" customFormat="1" x14ac:dyDescent="0.2">
      <c r="A9489" s="6" t="str">
        <f>"ZNF221"</f>
        <v>ZNF221</v>
      </c>
      <c r="B9489" s="6">
        <v>0.246753246753246</v>
      </c>
      <c r="C9489" s="6">
        <v>0.43454154106350901</v>
      </c>
    </row>
    <row r="9490" spans="1:3" s="7" customFormat="1" x14ac:dyDescent="0.2">
      <c r="A9490" s="6" t="str">
        <f>"PRR29-AS1"</f>
        <v>PRR29-AS1</v>
      </c>
      <c r="B9490" s="6">
        <v>0.246753246753246</v>
      </c>
      <c r="C9490" s="6">
        <v>0.43454154106350901</v>
      </c>
    </row>
    <row r="9491" spans="1:3" s="7" customFormat="1" x14ac:dyDescent="0.2">
      <c r="A9491" s="6" t="str">
        <f>"CCDC183-AS1"</f>
        <v>CCDC183-AS1</v>
      </c>
      <c r="B9491" s="6">
        <v>0.246753246753246</v>
      </c>
      <c r="C9491" s="6">
        <v>0.43454154106350901</v>
      </c>
    </row>
    <row r="9492" spans="1:3" s="7" customFormat="1" x14ac:dyDescent="0.2">
      <c r="A9492" s="6" t="str">
        <f>"ELOVL7"</f>
        <v>ELOVL7</v>
      </c>
      <c r="B9492" s="6">
        <v>0.246753246753246</v>
      </c>
      <c r="C9492" s="6">
        <v>0.43454154106350901</v>
      </c>
    </row>
    <row r="9493" spans="1:3" s="7" customFormat="1" x14ac:dyDescent="0.2">
      <c r="A9493" s="6" t="str">
        <f>"DNAH10"</f>
        <v>DNAH10</v>
      </c>
      <c r="B9493" s="6">
        <v>0.247</v>
      </c>
      <c r="C9493" s="6">
        <v>0.43493025705857502</v>
      </c>
    </row>
    <row r="9494" spans="1:3" s="7" customFormat="1" x14ac:dyDescent="0.2">
      <c r="A9494" s="6" t="str">
        <f>"LINC01503"</f>
        <v>LINC01503</v>
      </c>
      <c r="B9494" s="6">
        <v>0.247752247752247</v>
      </c>
      <c r="C9494" s="6">
        <v>0.43538335284734098</v>
      </c>
    </row>
    <row r="9495" spans="1:3" s="7" customFormat="1" x14ac:dyDescent="0.2">
      <c r="A9495" s="6" t="str">
        <f>"AL008729.2"</f>
        <v>AL008729.2</v>
      </c>
      <c r="B9495" s="6">
        <v>0.247752247752247</v>
      </c>
      <c r="C9495" s="6">
        <v>0.43538335284734098</v>
      </c>
    </row>
    <row r="9496" spans="1:3" s="7" customFormat="1" x14ac:dyDescent="0.2">
      <c r="A9496" s="6" t="str">
        <f>"KCTD5"</f>
        <v>KCTD5</v>
      </c>
      <c r="B9496" s="6">
        <v>0.247752247752247</v>
      </c>
      <c r="C9496" s="6">
        <v>0.43538335284734098</v>
      </c>
    </row>
    <row r="9497" spans="1:3" s="7" customFormat="1" x14ac:dyDescent="0.2">
      <c r="A9497" s="6" t="str">
        <f>"ZMYND19"</f>
        <v>ZMYND19</v>
      </c>
      <c r="B9497" s="6">
        <v>0.247752247752247</v>
      </c>
      <c r="C9497" s="6">
        <v>0.43538335284734098</v>
      </c>
    </row>
    <row r="9498" spans="1:3" s="7" customFormat="1" x14ac:dyDescent="0.2">
      <c r="A9498" s="6" t="str">
        <f>"GMNC"</f>
        <v>GMNC</v>
      </c>
      <c r="B9498" s="6">
        <v>0.247752247752247</v>
      </c>
      <c r="C9498" s="6">
        <v>0.43538335284734098</v>
      </c>
    </row>
    <row r="9499" spans="1:3" s="7" customFormat="1" x14ac:dyDescent="0.2">
      <c r="A9499" s="6" t="str">
        <f>"SRBD1"</f>
        <v>SRBD1</v>
      </c>
      <c r="B9499" s="6">
        <v>0.247752247752247</v>
      </c>
      <c r="C9499" s="6">
        <v>0.43538335284734098</v>
      </c>
    </row>
    <row r="9500" spans="1:3" s="7" customFormat="1" x14ac:dyDescent="0.2">
      <c r="A9500" s="6" t="str">
        <f>"MFAP3L"</f>
        <v>MFAP3L</v>
      </c>
      <c r="B9500" s="6">
        <v>0.247752247752247</v>
      </c>
      <c r="C9500" s="6">
        <v>0.43538335284734098</v>
      </c>
    </row>
    <row r="9501" spans="1:3" s="7" customFormat="1" x14ac:dyDescent="0.2">
      <c r="A9501" s="6" t="str">
        <f>"AC139769.1"</f>
        <v>AC139769.1</v>
      </c>
      <c r="B9501" s="6">
        <v>0.247752247752247</v>
      </c>
      <c r="C9501" s="6">
        <v>0.43538335284734098</v>
      </c>
    </row>
    <row r="9502" spans="1:3" s="7" customFormat="1" x14ac:dyDescent="0.2">
      <c r="A9502" s="6" t="str">
        <f>"OSMR"</f>
        <v>OSMR</v>
      </c>
      <c r="B9502" s="6">
        <v>0.247752247752247</v>
      </c>
      <c r="C9502" s="6">
        <v>0.43538335284734098</v>
      </c>
    </row>
    <row r="9503" spans="1:3" s="7" customFormat="1" x14ac:dyDescent="0.2">
      <c r="A9503" s="6" t="str">
        <f>"PIGK"</f>
        <v>PIGK</v>
      </c>
      <c r="B9503" s="6">
        <v>0.247752247752247</v>
      </c>
      <c r="C9503" s="6">
        <v>0.43538335284734098</v>
      </c>
    </row>
    <row r="9504" spans="1:3" s="7" customFormat="1" x14ac:dyDescent="0.2">
      <c r="A9504" s="6" t="str">
        <f>"RPSA"</f>
        <v>RPSA</v>
      </c>
      <c r="B9504" s="6">
        <v>0.247752247752247</v>
      </c>
      <c r="C9504" s="6">
        <v>0.43538335284734098</v>
      </c>
    </row>
    <row r="9505" spans="1:3" s="7" customFormat="1" x14ac:dyDescent="0.2">
      <c r="A9505" s="6" t="str">
        <f>"HSD17B10"</f>
        <v>HSD17B10</v>
      </c>
      <c r="B9505" s="6">
        <v>0.247752247752247</v>
      </c>
      <c r="C9505" s="6">
        <v>0.43538335284734098</v>
      </c>
    </row>
    <row r="9506" spans="1:3" s="7" customFormat="1" x14ac:dyDescent="0.2">
      <c r="A9506" s="6" t="str">
        <f>"ST20-MTHFS"</f>
        <v>ST20-MTHFS</v>
      </c>
      <c r="B9506" s="6">
        <v>0.247752247752247</v>
      </c>
      <c r="C9506" s="6">
        <v>0.43538335284734098</v>
      </c>
    </row>
    <row r="9507" spans="1:3" s="7" customFormat="1" x14ac:dyDescent="0.2">
      <c r="A9507" s="6" t="str">
        <f>"SURF4"</f>
        <v>SURF4</v>
      </c>
      <c r="B9507" s="6">
        <v>0.247752247752247</v>
      </c>
      <c r="C9507" s="6">
        <v>0.43538335284734098</v>
      </c>
    </row>
    <row r="9508" spans="1:3" s="7" customFormat="1" x14ac:dyDescent="0.2">
      <c r="A9508" s="6" t="str">
        <f>"ACBD7"</f>
        <v>ACBD7</v>
      </c>
      <c r="B9508" s="6">
        <v>0.247752247752247</v>
      </c>
      <c r="C9508" s="6">
        <v>0.43538335284734098</v>
      </c>
    </row>
    <row r="9509" spans="1:3" s="7" customFormat="1" x14ac:dyDescent="0.2">
      <c r="A9509" s="6" t="str">
        <f>"TMEM212"</f>
        <v>TMEM212</v>
      </c>
      <c r="B9509" s="6">
        <v>0.247752247752247</v>
      </c>
      <c r="C9509" s="6">
        <v>0.43538335284734098</v>
      </c>
    </row>
    <row r="9510" spans="1:3" s="7" customFormat="1" x14ac:dyDescent="0.2">
      <c r="A9510" s="6" t="str">
        <f>"PLCB1"</f>
        <v>PLCB1</v>
      </c>
      <c r="B9510" s="6">
        <v>0.247752247752247</v>
      </c>
      <c r="C9510" s="6">
        <v>0.43538335284734098</v>
      </c>
    </row>
    <row r="9511" spans="1:3" s="7" customFormat="1" x14ac:dyDescent="0.2">
      <c r="A9511" s="6" t="str">
        <f>"MYCBP2"</f>
        <v>MYCBP2</v>
      </c>
      <c r="B9511" s="6">
        <v>0.247752247752247</v>
      </c>
      <c r="C9511" s="6">
        <v>0.43538335284734098</v>
      </c>
    </row>
    <row r="9512" spans="1:3" s="7" customFormat="1" x14ac:dyDescent="0.2">
      <c r="A9512" s="6" t="str">
        <f>"PCDHGC3"</f>
        <v>PCDHGC3</v>
      </c>
      <c r="B9512" s="6">
        <v>0.247752247752247</v>
      </c>
      <c r="C9512" s="6">
        <v>0.43538335284734098</v>
      </c>
    </row>
    <row r="9513" spans="1:3" s="7" customFormat="1" x14ac:dyDescent="0.2">
      <c r="A9513" s="6" t="str">
        <f>"AL049874.3"</f>
        <v>AL049874.3</v>
      </c>
      <c r="B9513" s="6">
        <v>0.24818276220145299</v>
      </c>
      <c r="C9513" s="6">
        <v>0.43609405881361402</v>
      </c>
    </row>
    <row r="9514" spans="1:3" s="7" customFormat="1" x14ac:dyDescent="0.2">
      <c r="A9514" s="6" t="str">
        <f>"RAP1GAP2"</f>
        <v>RAP1GAP2</v>
      </c>
      <c r="B9514" s="6">
        <v>0.24875124875124799</v>
      </c>
      <c r="C9514" s="6">
        <v>0.43631318833333699</v>
      </c>
    </row>
    <row r="9515" spans="1:3" s="7" customFormat="1" x14ac:dyDescent="0.2">
      <c r="A9515" s="6" t="str">
        <f>"PRPF31"</f>
        <v>PRPF31</v>
      </c>
      <c r="B9515" s="6">
        <v>0.24875124875124799</v>
      </c>
      <c r="C9515" s="6">
        <v>0.43631318833333699</v>
      </c>
    </row>
    <row r="9516" spans="1:3" s="7" customFormat="1" x14ac:dyDescent="0.2">
      <c r="A9516" s="6" t="str">
        <f>"L2HGDH"</f>
        <v>L2HGDH</v>
      </c>
      <c r="B9516" s="6">
        <v>0.24875124875124799</v>
      </c>
      <c r="C9516" s="6">
        <v>0.43631318833333699</v>
      </c>
    </row>
    <row r="9517" spans="1:3" s="7" customFormat="1" x14ac:dyDescent="0.2">
      <c r="A9517" s="6" t="str">
        <f>"RPL36AL"</f>
        <v>RPL36AL</v>
      </c>
      <c r="B9517" s="6">
        <v>0.24875124875124799</v>
      </c>
      <c r="C9517" s="6">
        <v>0.43631318833333699</v>
      </c>
    </row>
    <row r="9518" spans="1:3" s="7" customFormat="1" x14ac:dyDescent="0.2">
      <c r="A9518" s="6" t="str">
        <f>"ZNF812P"</f>
        <v>ZNF812P</v>
      </c>
      <c r="B9518" s="6">
        <v>0.24875124875124799</v>
      </c>
      <c r="C9518" s="6">
        <v>0.43631318833333699</v>
      </c>
    </row>
    <row r="9519" spans="1:3" s="7" customFormat="1" x14ac:dyDescent="0.2">
      <c r="A9519" s="6" t="str">
        <f>"AC005498.3"</f>
        <v>AC005498.3</v>
      </c>
      <c r="B9519" s="6">
        <v>0.24875124875124799</v>
      </c>
      <c r="C9519" s="6">
        <v>0.43631318833333699</v>
      </c>
    </row>
    <row r="9520" spans="1:3" s="7" customFormat="1" x14ac:dyDescent="0.2">
      <c r="A9520" s="6" t="str">
        <f>"CLASP2"</f>
        <v>CLASP2</v>
      </c>
      <c r="B9520" s="6">
        <v>0.24875124875124799</v>
      </c>
      <c r="C9520" s="6">
        <v>0.43631318833333699</v>
      </c>
    </row>
    <row r="9521" spans="1:3" s="7" customFormat="1" x14ac:dyDescent="0.2">
      <c r="A9521" s="6" t="str">
        <f>"ARID5B"</f>
        <v>ARID5B</v>
      </c>
      <c r="B9521" s="6">
        <v>0.24875124875124799</v>
      </c>
      <c r="C9521" s="6">
        <v>0.43631318833333699</v>
      </c>
    </row>
    <row r="9522" spans="1:3" s="7" customFormat="1" x14ac:dyDescent="0.2">
      <c r="A9522" s="6" t="str">
        <f>"RHBDL2"</f>
        <v>RHBDL2</v>
      </c>
      <c r="B9522" s="6">
        <v>0.24875124875124799</v>
      </c>
      <c r="C9522" s="6">
        <v>0.43631318833333699</v>
      </c>
    </row>
    <row r="9523" spans="1:3" s="7" customFormat="1" x14ac:dyDescent="0.2">
      <c r="A9523" s="6" t="str">
        <f>"FOCAD"</f>
        <v>FOCAD</v>
      </c>
      <c r="B9523" s="6">
        <v>0.24875124875124799</v>
      </c>
      <c r="C9523" s="6">
        <v>0.43631318833333699</v>
      </c>
    </row>
    <row r="9524" spans="1:3" s="7" customFormat="1" x14ac:dyDescent="0.2">
      <c r="A9524" s="6" t="str">
        <f>"SMU1"</f>
        <v>SMU1</v>
      </c>
      <c r="B9524" s="6">
        <v>0.24875124875124799</v>
      </c>
      <c r="C9524" s="6">
        <v>0.43631318833333699</v>
      </c>
    </row>
    <row r="9525" spans="1:3" s="7" customFormat="1" x14ac:dyDescent="0.2">
      <c r="A9525" s="6" t="str">
        <f>"DYRK3"</f>
        <v>DYRK3</v>
      </c>
      <c r="B9525" s="6">
        <v>0.24875124875124799</v>
      </c>
      <c r="C9525" s="6">
        <v>0.43631318833333699</v>
      </c>
    </row>
    <row r="9526" spans="1:3" s="7" customFormat="1" x14ac:dyDescent="0.2">
      <c r="A9526" s="6" t="str">
        <f>"PGLYRP4"</f>
        <v>PGLYRP4</v>
      </c>
      <c r="B9526" s="6">
        <v>0.24875124875124799</v>
      </c>
      <c r="C9526" s="6">
        <v>0.43631318833333699</v>
      </c>
    </row>
    <row r="9527" spans="1:3" s="7" customFormat="1" x14ac:dyDescent="0.2">
      <c r="A9527" s="6" t="str">
        <f>"AC027702.1"</f>
        <v>AC027702.1</v>
      </c>
      <c r="B9527" s="6">
        <v>0.24874623871614801</v>
      </c>
      <c r="C9527" s="6">
        <v>0.43631318833333699</v>
      </c>
    </row>
    <row r="9528" spans="1:3" s="7" customFormat="1" x14ac:dyDescent="0.2">
      <c r="A9528" s="6" t="str">
        <f>"PALMD"</f>
        <v>PALMD</v>
      </c>
      <c r="B9528" s="6">
        <v>0.24875124875124799</v>
      </c>
      <c r="C9528" s="6">
        <v>0.43631318833333699</v>
      </c>
    </row>
    <row r="9529" spans="1:3" s="7" customFormat="1" x14ac:dyDescent="0.2">
      <c r="A9529" s="6" t="str">
        <f>"SLC10A3"</f>
        <v>SLC10A3</v>
      </c>
      <c r="B9529" s="6">
        <v>0.24875124875124799</v>
      </c>
      <c r="C9529" s="6">
        <v>0.43631318833333699</v>
      </c>
    </row>
    <row r="9530" spans="1:3" s="7" customFormat="1" x14ac:dyDescent="0.2">
      <c r="A9530" s="6" t="str">
        <f>"AFDN"</f>
        <v>AFDN</v>
      </c>
      <c r="B9530" s="6">
        <v>0.24875124875124799</v>
      </c>
      <c r="C9530" s="6">
        <v>0.43631318833333699</v>
      </c>
    </row>
    <row r="9531" spans="1:3" s="7" customFormat="1" x14ac:dyDescent="0.2">
      <c r="A9531" s="6" t="str">
        <f>"LINC01348"</f>
        <v>LINC01348</v>
      </c>
      <c r="B9531" s="6">
        <v>0.249</v>
      </c>
      <c r="C9531" s="6">
        <v>0.43665785332074197</v>
      </c>
    </row>
    <row r="9532" spans="1:3" s="7" customFormat="1" x14ac:dyDescent="0.2">
      <c r="A9532" s="6" t="str">
        <f>"DDO"</f>
        <v>DDO</v>
      </c>
      <c r="B9532" s="6">
        <v>0.249</v>
      </c>
      <c r="C9532" s="6">
        <v>0.43665785332074197</v>
      </c>
    </row>
    <row r="9533" spans="1:3" s="7" customFormat="1" x14ac:dyDescent="0.2">
      <c r="A9533" s="6" t="str">
        <f>"HDAC8"</f>
        <v>HDAC8</v>
      </c>
      <c r="B9533" s="6">
        <v>0.24975024975024901</v>
      </c>
      <c r="C9533" s="6">
        <v>0.437193723745881</v>
      </c>
    </row>
    <row r="9534" spans="1:3" s="7" customFormat="1" x14ac:dyDescent="0.2">
      <c r="A9534" s="6" t="str">
        <f>"GSTCD"</f>
        <v>GSTCD</v>
      </c>
      <c r="B9534" s="6">
        <v>0.24975024975024901</v>
      </c>
      <c r="C9534" s="6">
        <v>0.437193723745881</v>
      </c>
    </row>
    <row r="9535" spans="1:3" s="7" customFormat="1" x14ac:dyDescent="0.2">
      <c r="A9535" s="6" t="str">
        <f>"AC104126.1"</f>
        <v>AC104126.1</v>
      </c>
      <c r="B9535" s="6">
        <v>0.24975024975024901</v>
      </c>
      <c r="C9535" s="6">
        <v>0.437193723745881</v>
      </c>
    </row>
    <row r="9536" spans="1:3" s="7" customFormat="1" x14ac:dyDescent="0.2">
      <c r="A9536" s="6" t="str">
        <f>"CLDND1"</f>
        <v>CLDND1</v>
      </c>
      <c r="B9536" s="6">
        <v>0.24975024975024901</v>
      </c>
      <c r="C9536" s="6">
        <v>0.437193723745881</v>
      </c>
    </row>
    <row r="9537" spans="1:3" s="7" customFormat="1" x14ac:dyDescent="0.2">
      <c r="A9537" s="6" t="str">
        <f>"EPB41L4A-AS1"</f>
        <v>EPB41L4A-AS1</v>
      </c>
      <c r="B9537" s="6">
        <v>0.24975024975024901</v>
      </c>
      <c r="C9537" s="6">
        <v>0.437193723745881</v>
      </c>
    </row>
    <row r="9538" spans="1:3" s="7" customFormat="1" x14ac:dyDescent="0.2">
      <c r="A9538" s="6" t="str">
        <f>"ZNF865"</f>
        <v>ZNF865</v>
      </c>
      <c r="B9538" s="6">
        <v>0.24975024975024901</v>
      </c>
      <c r="C9538" s="6">
        <v>0.437193723745881</v>
      </c>
    </row>
    <row r="9539" spans="1:3" s="7" customFormat="1" x14ac:dyDescent="0.2">
      <c r="A9539" s="6" t="str">
        <f>"MED8"</f>
        <v>MED8</v>
      </c>
      <c r="B9539" s="6">
        <v>0.24975024975024901</v>
      </c>
      <c r="C9539" s="6">
        <v>0.437193723745881</v>
      </c>
    </row>
    <row r="9540" spans="1:3" s="7" customFormat="1" x14ac:dyDescent="0.2">
      <c r="A9540" s="6" t="str">
        <f>"C1GALT1C1L"</f>
        <v>C1GALT1C1L</v>
      </c>
      <c r="B9540" s="6">
        <v>0.24975024975024901</v>
      </c>
      <c r="C9540" s="6">
        <v>0.437193723745881</v>
      </c>
    </row>
    <row r="9541" spans="1:3" s="7" customFormat="1" x14ac:dyDescent="0.2">
      <c r="A9541" s="6" t="str">
        <f>"ARPP19"</f>
        <v>ARPP19</v>
      </c>
      <c r="B9541" s="6">
        <v>0.24975024975024901</v>
      </c>
      <c r="C9541" s="6">
        <v>0.437193723745881</v>
      </c>
    </row>
    <row r="9542" spans="1:3" s="7" customFormat="1" x14ac:dyDescent="0.2">
      <c r="A9542" s="6" t="str">
        <f>"EPCAM-DT"</f>
        <v>EPCAM-DT</v>
      </c>
      <c r="B9542" s="6">
        <v>0.24975024975024901</v>
      </c>
      <c r="C9542" s="6">
        <v>0.437193723745881</v>
      </c>
    </row>
    <row r="9543" spans="1:3" s="7" customFormat="1" x14ac:dyDescent="0.2">
      <c r="A9543" s="6" t="str">
        <f>"TSPAN33"</f>
        <v>TSPAN33</v>
      </c>
      <c r="B9543" s="6">
        <v>0.24975024975024901</v>
      </c>
      <c r="C9543" s="6">
        <v>0.437193723745881</v>
      </c>
    </row>
    <row r="9544" spans="1:3" s="7" customFormat="1" x14ac:dyDescent="0.2">
      <c r="A9544" s="6" t="str">
        <f>"PEG10"</f>
        <v>PEG10</v>
      </c>
      <c r="B9544" s="6">
        <v>0.24975024975024901</v>
      </c>
      <c r="C9544" s="6">
        <v>0.437193723745881</v>
      </c>
    </row>
    <row r="9545" spans="1:3" s="7" customFormat="1" x14ac:dyDescent="0.2">
      <c r="A9545" s="6" t="str">
        <f>"LINC02762"</f>
        <v>LINC02762</v>
      </c>
      <c r="B9545" s="6">
        <v>0.24975024975024901</v>
      </c>
      <c r="C9545" s="6">
        <v>0.437193723745881</v>
      </c>
    </row>
    <row r="9546" spans="1:3" s="7" customFormat="1" x14ac:dyDescent="0.2">
      <c r="A9546" s="6" t="str">
        <f>"AC008013.1"</f>
        <v>AC008013.1</v>
      </c>
      <c r="B9546" s="6">
        <v>0.24975024975024901</v>
      </c>
      <c r="C9546" s="6">
        <v>0.437193723745881</v>
      </c>
    </row>
    <row r="9547" spans="1:3" s="7" customFormat="1" x14ac:dyDescent="0.2">
      <c r="A9547" s="6" t="str">
        <f>"AC092142.1"</f>
        <v>AC092142.1</v>
      </c>
      <c r="B9547" s="6">
        <v>0.24975024975024901</v>
      </c>
      <c r="C9547" s="6">
        <v>0.437193723745881</v>
      </c>
    </row>
    <row r="9548" spans="1:3" s="7" customFormat="1" x14ac:dyDescent="0.2">
      <c r="A9548" s="6" t="str">
        <f>"USH1C"</f>
        <v>USH1C</v>
      </c>
      <c r="B9548" s="6">
        <v>0.24975024975024901</v>
      </c>
      <c r="C9548" s="6">
        <v>0.437193723745881</v>
      </c>
    </row>
    <row r="9549" spans="1:3" s="7" customFormat="1" x14ac:dyDescent="0.2">
      <c r="A9549" s="6" t="str">
        <f>"SERINC1"</f>
        <v>SERINC1</v>
      </c>
      <c r="B9549" s="6">
        <v>0.24975024975024901</v>
      </c>
      <c r="C9549" s="6">
        <v>0.437193723745881</v>
      </c>
    </row>
    <row r="9550" spans="1:3" s="7" customFormat="1" x14ac:dyDescent="0.2">
      <c r="A9550" s="6" t="str">
        <f>"SF3B5"</f>
        <v>SF3B5</v>
      </c>
      <c r="B9550" s="6">
        <v>0.25074925074924997</v>
      </c>
      <c r="C9550" s="6">
        <v>0.43798974470367702</v>
      </c>
    </row>
    <row r="9551" spans="1:3" s="7" customFormat="1" x14ac:dyDescent="0.2">
      <c r="A9551" s="6" t="str">
        <f>"RDH11"</f>
        <v>RDH11</v>
      </c>
      <c r="B9551" s="6">
        <v>0.25074925074924997</v>
      </c>
      <c r="C9551" s="6">
        <v>0.43798974470367702</v>
      </c>
    </row>
    <row r="9552" spans="1:3" s="7" customFormat="1" x14ac:dyDescent="0.2">
      <c r="A9552" s="6" t="str">
        <f>"LINC02701"</f>
        <v>LINC02701</v>
      </c>
      <c r="B9552" s="6">
        <v>0.25074925074924997</v>
      </c>
      <c r="C9552" s="6">
        <v>0.43798974470367702</v>
      </c>
    </row>
    <row r="9553" spans="1:3" s="7" customFormat="1" x14ac:dyDescent="0.2">
      <c r="A9553" s="6" t="str">
        <f>"TRPV2"</f>
        <v>TRPV2</v>
      </c>
      <c r="B9553" s="6">
        <v>0.25074925074924997</v>
      </c>
      <c r="C9553" s="6">
        <v>0.43798974470367702</v>
      </c>
    </row>
    <row r="9554" spans="1:3" s="7" customFormat="1" x14ac:dyDescent="0.2">
      <c r="A9554" s="6" t="str">
        <f>"MEGF10"</f>
        <v>MEGF10</v>
      </c>
      <c r="B9554" s="6">
        <v>0.25074925074924997</v>
      </c>
      <c r="C9554" s="6">
        <v>0.43798974470367702</v>
      </c>
    </row>
    <row r="9555" spans="1:3" s="7" customFormat="1" x14ac:dyDescent="0.2">
      <c r="A9555" s="6" t="str">
        <f>"CDH26"</f>
        <v>CDH26</v>
      </c>
      <c r="B9555" s="6">
        <v>0.25074925074924997</v>
      </c>
      <c r="C9555" s="6">
        <v>0.43798974470367702</v>
      </c>
    </row>
    <row r="9556" spans="1:3" s="7" customFormat="1" x14ac:dyDescent="0.2">
      <c r="A9556" s="6" t="str">
        <f>"LSM8"</f>
        <v>LSM8</v>
      </c>
      <c r="B9556" s="6">
        <v>0.25074925074924997</v>
      </c>
      <c r="C9556" s="6">
        <v>0.43798974470367702</v>
      </c>
    </row>
    <row r="9557" spans="1:3" s="7" customFormat="1" x14ac:dyDescent="0.2">
      <c r="A9557" s="6" t="str">
        <f>"PSMB9"</f>
        <v>PSMB9</v>
      </c>
      <c r="B9557" s="6">
        <v>0.25074925074924997</v>
      </c>
      <c r="C9557" s="6">
        <v>0.43798974470367702</v>
      </c>
    </row>
    <row r="9558" spans="1:3" s="7" customFormat="1" x14ac:dyDescent="0.2">
      <c r="A9558" s="6" t="str">
        <f>"TMPRSS11BNL"</f>
        <v>TMPRSS11BNL</v>
      </c>
      <c r="B9558" s="6">
        <v>0.25074925074924997</v>
      </c>
      <c r="C9558" s="6">
        <v>0.43798974470367702</v>
      </c>
    </row>
    <row r="9559" spans="1:3" s="7" customFormat="1" x14ac:dyDescent="0.2">
      <c r="A9559" s="6" t="str">
        <f>"DARS1"</f>
        <v>DARS1</v>
      </c>
      <c r="B9559" s="6">
        <v>0.25074925074924997</v>
      </c>
      <c r="C9559" s="6">
        <v>0.43798974470367702</v>
      </c>
    </row>
    <row r="9560" spans="1:3" s="7" customFormat="1" x14ac:dyDescent="0.2">
      <c r="A9560" s="6" t="str">
        <f>"FOXD4L1"</f>
        <v>FOXD4L1</v>
      </c>
      <c r="B9560" s="6">
        <v>0.25075528700906302</v>
      </c>
      <c r="C9560" s="6">
        <v>0.43798974470367702</v>
      </c>
    </row>
    <row r="9561" spans="1:3" s="7" customFormat="1" x14ac:dyDescent="0.2">
      <c r="A9561" s="6" t="str">
        <f>"SPATA6L"</f>
        <v>SPATA6L</v>
      </c>
      <c r="B9561" s="6">
        <v>0.25074925074924997</v>
      </c>
      <c r="C9561" s="6">
        <v>0.43798974470367702</v>
      </c>
    </row>
    <row r="9562" spans="1:3" s="7" customFormat="1" x14ac:dyDescent="0.2">
      <c r="A9562" s="6" t="str">
        <f>"PRR18"</f>
        <v>PRR18</v>
      </c>
      <c r="B9562" s="6">
        <v>0.25074925074924997</v>
      </c>
      <c r="C9562" s="6">
        <v>0.43798974470367702</v>
      </c>
    </row>
    <row r="9563" spans="1:3" s="7" customFormat="1" x14ac:dyDescent="0.2">
      <c r="A9563" s="6" t="str">
        <f>"ANKRD37"</f>
        <v>ANKRD37</v>
      </c>
      <c r="B9563" s="6">
        <v>0.25074925074924997</v>
      </c>
      <c r="C9563" s="6">
        <v>0.43798974470367702</v>
      </c>
    </row>
    <row r="9564" spans="1:3" s="7" customFormat="1" x14ac:dyDescent="0.2">
      <c r="A9564" s="6" t="str">
        <f>"AKNAD1"</f>
        <v>AKNAD1</v>
      </c>
      <c r="B9564" s="6">
        <v>0.25074925074924997</v>
      </c>
      <c r="C9564" s="6">
        <v>0.43798974470367702</v>
      </c>
    </row>
    <row r="9565" spans="1:3" s="7" customFormat="1" x14ac:dyDescent="0.2">
      <c r="A9565" s="6" t="str">
        <f>"GRK7"</f>
        <v>GRK7</v>
      </c>
      <c r="B9565" s="6">
        <v>0.25074925074924997</v>
      </c>
      <c r="C9565" s="6">
        <v>0.43798974470367702</v>
      </c>
    </row>
    <row r="9566" spans="1:3" s="7" customFormat="1" x14ac:dyDescent="0.2">
      <c r="A9566" s="6" t="str">
        <f>"AC025048.2"</f>
        <v>AC025048.2</v>
      </c>
      <c r="B9566" s="6">
        <v>0.25025025025024999</v>
      </c>
      <c r="C9566" s="6">
        <v>0.43798974470367702</v>
      </c>
    </row>
    <row r="9567" spans="1:3" s="7" customFormat="1" x14ac:dyDescent="0.2">
      <c r="A9567" s="6" t="str">
        <f>"TMEM184A"</f>
        <v>TMEM184A</v>
      </c>
      <c r="B9567" s="6">
        <v>0.25074925074924997</v>
      </c>
      <c r="C9567" s="6">
        <v>0.43798974470367702</v>
      </c>
    </row>
    <row r="9568" spans="1:3" s="7" customFormat="1" x14ac:dyDescent="0.2">
      <c r="A9568" s="6" t="str">
        <f>"TTC30B"</f>
        <v>TTC30B</v>
      </c>
      <c r="B9568" s="6">
        <v>0.25074925074924997</v>
      </c>
      <c r="C9568" s="6">
        <v>0.43798974470367702</v>
      </c>
    </row>
    <row r="9569" spans="1:3" s="7" customFormat="1" x14ac:dyDescent="0.2">
      <c r="A9569" s="6" t="str">
        <f>"VPS28"</f>
        <v>VPS28</v>
      </c>
      <c r="B9569" s="6">
        <v>0.25074925074924997</v>
      </c>
      <c r="C9569" s="6">
        <v>0.43798974470367702</v>
      </c>
    </row>
    <row r="9570" spans="1:3" s="7" customFormat="1" x14ac:dyDescent="0.2">
      <c r="A9570" s="6" t="str">
        <f>"DDX50P1"</f>
        <v>DDX50P1</v>
      </c>
      <c r="B9570" s="6">
        <v>0.25075528700906302</v>
      </c>
      <c r="C9570" s="6">
        <v>0.43798974470367702</v>
      </c>
    </row>
    <row r="9571" spans="1:3" s="7" customFormat="1" x14ac:dyDescent="0.2">
      <c r="A9571" s="6" t="str">
        <f>"TSGA13"</f>
        <v>TSGA13</v>
      </c>
      <c r="B9571" s="6">
        <v>0.25078369905956099</v>
      </c>
      <c r="C9571" s="6">
        <v>0.43799359938155702</v>
      </c>
    </row>
    <row r="9572" spans="1:3" s="7" customFormat="1" x14ac:dyDescent="0.2">
      <c r="A9572" s="6" t="str">
        <f>"OR5AS1"</f>
        <v>OR5AS1</v>
      </c>
      <c r="B9572" s="6">
        <v>0.251</v>
      </c>
      <c r="C9572" s="6">
        <v>0.43827977434183002</v>
      </c>
    </row>
    <row r="9573" spans="1:3" s="7" customFormat="1" x14ac:dyDescent="0.2">
      <c r="A9573" s="6" t="str">
        <f>"RPL10P19"</f>
        <v>RPL10P19</v>
      </c>
      <c r="B9573" s="6">
        <v>0.251</v>
      </c>
      <c r="C9573" s="6">
        <v>0.43827977434183002</v>
      </c>
    </row>
    <row r="9574" spans="1:3" s="7" customFormat="1" x14ac:dyDescent="0.2">
      <c r="A9574" s="6" t="str">
        <f>"SCML1"</f>
        <v>SCML1</v>
      </c>
      <c r="B9574" s="6">
        <v>0.251748251748251</v>
      </c>
      <c r="C9574" s="6">
        <v>0.43908173637903303</v>
      </c>
    </row>
    <row r="9575" spans="1:3" s="7" customFormat="1" x14ac:dyDescent="0.2">
      <c r="A9575" s="6" t="str">
        <f>"TRIM59"</f>
        <v>TRIM59</v>
      </c>
      <c r="B9575" s="6">
        <v>0.251748251748251</v>
      </c>
      <c r="C9575" s="6">
        <v>0.43908173637903303</v>
      </c>
    </row>
    <row r="9576" spans="1:3" s="7" customFormat="1" x14ac:dyDescent="0.2">
      <c r="A9576" s="6" t="str">
        <f>"AL390955.2"</f>
        <v>AL390955.2</v>
      </c>
      <c r="B9576" s="6">
        <v>0.251748251748251</v>
      </c>
      <c r="C9576" s="6">
        <v>0.43908173637903303</v>
      </c>
    </row>
    <row r="9577" spans="1:3" s="7" customFormat="1" x14ac:dyDescent="0.2">
      <c r="A9577" s="6" t="str">
        <f>"HLA-DQB1"</f>
        <v>HLA-DQB1</v>
      </c>
      <c r="B9577" s="6">
        <v>0.251748251748251</v>
      </c>
      <c r="C9577" s="6">
        <v>0.43908173637903303</v>
      </c>
    </row>
    <row r="9578" spans="1:3" s="7" customFormat="1" x14ac:dyDescent="0.2">
      <c r="A9578" s="6" t="str">
        <f>"ISY1-RAB43"</f>
        <v>ISY1-RAB43</v>
      </c>
      <c r="B9578" s="6">
        <v>0.251748251748251</v>
      </c>
      <c r="C9578" s="6">
        <v>0.43908173637903303</v>
      </c>
    </row>
    <row r="9579" spans="1:3" s="7" customFormat="1" x14ac:dyDescent="0.2">
      <c r="A9579" s="6" t="str">
        <f>"CIP2A"</f>
        <v>CIP2A</v>
      </c>
      <c r="B9579" s="6">
        <v>0.251748251748251</v>
      </c>
      <c r="C9579" s="6">
        <v>0.43908173637903303</v>
      </c>
    </row>
    <row r="9580" spans="1:3" s="7" customFormat="1" x14ac:dyDescent="0.2">
      <c r="A9580" s="6" t="str">
        <f>"ATRIP"</f>
        <v>ATRIP</v>
      </c>
      <c r="B9580" s="6">
        <v>0.251748251748251</v>
      </c>
      <c r="C9580" s="6">
        <v>0.43908173637903303</v>
      </c>
    </row>
    <row r="9581" spans="1:3" s="7" customFormat="1" x14ac:dyDescent="0.2">
      <c r="A9581" s="6" t="str">
        <f>"HEXD-IT1"</f>
        <v>HEXD-IT1</v>
      </c>
      <c r="B9581" s="6">
        <v>0.25154004106776101</v>
      </c>
      <c r="C9581" s="6">
        <v>0.43908173637903303</v>
      </c>
    </row>
    <row r="9582" spans="1:3" s="7" customFormat="1" x14ac:dyDescent="0.2">
      <c r="A9582" s="6" t="str">
        <f>"RPL30"</f>
        <v>RPL30</v>
      </c>
      <c r="B9582" s="6">
        <v>0.251748251748251</v>
      </c>
      <c r="C9582" s="6">
        <v>0.43908173637903303</v>
      </c>
    </row>
    <row r="9583" spans="1:3" s="7" customFormat="1" x14ac:dyDescent="0.2">
      <c r="A9583" s="6" t="str">
        <f>"AC005041.1"</f>
        <v>AC005041.1</v>
      </c>
      <c r="B9583" s="6">
        <v>0.251748251748251</v>
      </c>
      <c r="C9583" s="6">
        <v>0.43908173637903303</v>
      </c>
    </row>
    <row r="9584" spans="1:3" s="7" customFormat="1" x14ac:dyDescent="0.2">
      <c r="A9584" s="6" t="str">
        <f>"RPL23AP49"</f>
        <v>RPL23AP49</v>
      </c>
      <c r="B9584" s="6">
        <v>0.251748251748251</v>
      </c>
      <c r="C9584" s="6">
        <v>0.43908173637903303</v>
      </c>
    </row>
    <row r="9585" spans="1:3" s="7" customFormat="1" x14ac:dyDescent="0.2">
      <c r="A9585" s="6" t="str">
        <f>"ZADH2"</f>
        <v>ZADH2</v>
      </c>
      <c r="B9585" s="6">
        <v>0.252</v>
      </c>
      <c r="C9585" s="6">
        <v>0.43942910798121998</v>
      </c>
    </row>
    <row r="9586" spans="1:3" s="7" customFormat="1" x14ac:dyDescent="0.2">
      <c r="A9586" s="6" t="str">
        <f>"VPS53"</f>
        <v>VPS53</v>
      </c>
      <c r="B9586" s="6">
        <v>0.252</v>
      </c>
      <c r="C9586" s="6">
        <v>0.43942910798121998</v>
      </c>
    </row>
    <row r="9587" spans="1:3" s="7" customFormat="1" x14ac:dyDescent="0.2">
      <c r="A9587" s="6" t="str">
        <f>"CLDN1"</f>
        <v>CLDN1</v>
      </c>
      <c r="B9587" s="6">
        <v>0.25225225225225201</v>
      </c>
      <c r="C9587" s="6">
        <v>0.43977721332472502</v>
      </c>
    </row>
    <row r="9588" spans="1:3" s="7" customFormat="1" x14ac:dyDescent="0.2">
      <c r="A9588" s="6" t="str">
        <f>"CDC42SE2"</f>
        <v>CDC42SE2</v>
      </c>
      <c r="B9588" s="6">
        <v>0.25225225225225201</v>
      </c>
      <c r="C9588" s="6">
        <v>0.43977721332472502</v>
      </c>
    </row>
    <row r="9589" spans="1:3" s="7" customFormat="1" x14ac:dyDescent="0.2">
      <c r="A9589" s="6" t="str">
        <f>"FBXL12"</f>
        <v>FBXL12</v>
      </c>
      <c r="B9589" s="6">
        <v>0.25274725274725202</v>
      </c>
      <c r="C9589" s="6">
        <v>0.43995184153484501</v>
      </c>
    </row>
    <row r="9590" spans="1:3" s="7" customFormat="1" x14ac:dyDescent="0.2">
      <c r="A9590" s="6" t="str">
        <f>"AL513497.1"</f>
        <v>AL513497.1</v>
      </c>
      <c r="B9590" s="6">
        <v>0.25274725274725202</v>
      </c>
      <c r="C9590" s="6">
        <v>0.43995184153484501</v>
      </c>
    </row>
    <row r="9591" spans="1:3" s="7" customFormat="1" x14ac:dyDescent="0.2">
      <c r="A9591" s="6" t="str">
        <f>"OSTC"</f>
        <v>OSTC</v>
      </c>
      <c r="B9591" s="6">
        <v>0.25274725274725202</v>
      </c>
      <c r="C9591" s="6">
        <v>0.43995184153484501</v>
      </c>
    </row>
    <row r="9592" spans="1:3" s="7" customFormat="1" x14ac:dyDescent="0.2">
      <c r="A9592" s="6" t="str">
        <f>"LINC02848"</f>
        <v>LINC02848</v>
      </c>
      <c r="B9592" s="6">
        <v>0.25274725274725202</v>
      </c>
      <c r="C9592" s="6">
        <v>0.43995184153484501</v>
      </c>
    </row>
    <row r="9593" spans="1:3" s="7" customFormat="1" x14ac:dyDescent="0.2">
      <c r="A9593" s="6" t="str">
        <f>"CPNE7"</f>
        <v>CPNE7</v>
      </c>
      <c r="B9593" s="6">
        <v>0.25274725274725202</v>
      </c>
      <c r="C9593" s="6">
        <v>0.43995184153484501</v>
      </c>
    </row>
    <row r="9594" spans="1:3" s="7" customFormat="1" x14ac:dyDescent="0.2">
      <c r="A9594" s="6" t="str">
        <f>"RMC1"</f>
        <v>RMC1</v>
      </c>
      <c r="B9594" s="6">
        <v>0.25274725274725202</v>
      </c>
      <c r="C9594" s="6">
        <v>0.43995184153484501</v>
      </c>
    </row>
    <row r="9595" spans="1:3" s="7" customFormat="1" x14ac:dyDescent="0.2">
      <c r="A9595" s="6" t="str">
        <f>"IMPACT"</f>
        <v>IMPACT</v>
      </c>
      <c r="B9595" s="6">
        <v>0.25274725274725202</v>
      </c>
      <c r="C9595" s="6">
        <v>0.43995184153484501</v>
      </c>
    </row>
    <row r="9596" spans="1:3" s="7" customFormat="1" x14ac:dyDescent="0.2">
      <c r="A9596" s="6" t="str">
        <f>"PPP3CB"</f>
        <v>PPP3CB</v>
      </c>
      <c r="B9596" s="6">
        <v>0.25274725274725202</v>
      </c>
      <c r="C9596" s="6">
        <v>0.43995184153484501</v>
      </c>
    </row>
    <row r="9597" spans="1:3" s="7" customFormat="1" x14ac:dyDescent="0.2">
      <c r="A9597" s="6" t="str">
        <f>"AC018638.7"</f>
        <v>AC018638.7</v>
      </c>
      <c r="B9597" s="6">
        <v>0.25250501002004</v>
      </c>
      <c r="C9597" s="6">
        <v>0.43995184153484501</v>
      </c>
    </row>
    <row r="9598" spans="1:3" s="7" customFormat="1" x14ac:dyDescent="0.2">
      <c r="A9598" s="6" t="str">
        <f>"DRG1"</f>
        <v>DRG1</v>
      </c>
      <c r="B9598" s="6">
        <v>0.25274725274725202</v>
      </c>
      <c r="C9598" s="6">
        <v>0.43995184153484501</v>
      </c>
    </row>
    <row r="9599" spans="1:3" s="7" customFormat="1" x14ac:dyDescent="0.2">
      <c r="A9599" s="6" t="str">
        <f>"SAR1A"</f>
        <v>SAR1A</v>
      </c>
      <c r="B9599" s="6">
        <v>0.25274725274725202</v>
      </c>
      <c r="C9599" s="6">
        <v>0.43995184153484501</v>
      </c>
    </row>
    <row r="9600" spans="1:3" s="7" customFormat="1" x14ac:dyDescent="0.2">
      <c r="A9600" s="6" t="str">
        <f>"LINC00589"</f>
        <v>LINC00589</v>
      </c>
      <c r="B9600" s="6">
        <v>0.25274725274725202</v>
      </c>
      <c r="C9600" s="6">
        <v>0.43995184153484501</v>
      </c>
    </row>
    <row r="9601" spans="1:3" s="7" customFormat="1" x14ac:dyDescent="0.2">
      <c r="A9601" s="6" t="str">
        <f>"RPL23A"</f>
        <v>RPL23A</v>
      </c>
      <c r="B9601" s="6">
        <v>0.25274725274725202</v>
      </c>
      <c r="C9601" s="6">
        <v>0.43995184153484501</v>
      </c>
    </row>
    <row r="9602" spans="1:3" s="7" customFormat="1" x14ac:dyDescent="0.2">
      <c r="A9602" s="6" t="str">
        <f>"ZNF85"</f>
        <v>ZNF85</v>
      </c>
      <c r="B9602" s="6">
        <v>0.25274725274725202</v>
      </c>
      <c r="C9602" s="6">
        <v>0.43995184153484501</v>
      </c>
    </row>
    <row r="9603" spans="1:3" s="7" customFormat="1" x14ac:dyDescent="0.2">
      <c r="A9603" s="6" t="str">
        <f>"LYRM2"</f>
        <v>LYRM2</v>
      </c>
      <c r="B9603" s="6">
        <v>0.25274725274725202</v>
      </c>
      <c r="C9603" s="6">
        <v>0.43995184153484501</v>
      </c>
    </row>
    <row r="9604" spans="1:3" s="7" customFormat="1" x14ac:dyDescent="0.2">
      <c r="A9604" s="6" t="str">
        <f>"MID1IP1"</f>
        <v>MID1IP1</v>
      </c>
      <c r="B9604" s="6">
        <v>0.253</v>
      </c>
      <c r="C9604" s="6">
        <v>0.44027520806808701</v>
      </c>
    </row>
    <row r="9605" spans="1:3" s="7" customFormat="1" x14ac:dyDescent="0.2">
      <c r="A9605" s="6" t="str">
        <f>"AP002008.1"</f>
        <v>AP002008.1</v>
      </c>
      <c r="B9605" s="6">
        <v>0.25301204819277101</v>
      </c>
      <c r="C9605" s="6">
        <v>0.44027520806808701</v>
      </c>
    </row>
    <row r="9606" spans="1:3" s="7" customFormat="1" x14ac:dyDescent="0.2">
      <c r="A9606" s="6" t="str">
        <f>"AL513548.4"</f>
        <v>AL513548.4</v>
      </c>
      <c r="B9606" s="6">
        <v>0.253</v>
      </c>
      <c r="C9606" s="6">
        <v>0.44027520806808701</v>
      </c>
    </row>
    <row r="9607" spans="1:3" s="7" customFormat="1" x14ac:dyDescent="0.2">
      <c r="A9607" s="6" t="str">
        <f>"YTHDF1"</f>
        <v>YTHDF1</v>
      </c>
      <c r="B9607" s="6">
        <v>0.25374625374625298</v>
      </c>
      <c r="C9607" s="6">
        <v>0.44045226764096801</v>
      </c>
    </row>
    <row r="9608" spans="1:3" s="7" customFormat="1" x14ac:dyDescent="0.2">
      <c r="A9608" s="6" t="str">
        <f>"AD000671.2"</f>
        <v>AD000671.2</v>
      </c>
      <c r="B9608" s="6">
        <v>0.25374625374625298</v>
      </c>
      <c r="C9608" s="6">
        <v>0.44045226764096801</v>
      </c>
    </row>
    <row r="9609" spans="1:3" s="7" customFormat="1" x14ac:dyDescent="0.2">
      <c r="A9609" s="6" t="str">
        <f>"NCBP1"</f>
        <v>NCBP1</v>
      </c>
      <c r="B9609" s="6">
        <v>0.25374625374625298</v>
      </c>
      <c r="C9609" s="6">
        <v>0.44045226764096801</v>
      </c>
    </row>
    <row r="9610" spans="1:3" s="7" customFormat="1" x14ac:dyDescent="0.2">
      <c r="A9610" s="6" t="str">
        <f>"PSCA"</f>
        <v>PSCA</v>
      </c>
      <c r="B9610" s="6">
        <v>0.25374625374625298</v>
      </c>
      <c r="C9610" s="6">
        <v>0.44045226764096801</v>
      </c>
    </row>
    <row r="9611" spans="1:3" s="7" customFormat="1" x14ac:dyDescent="0.2">
      <c r="A9611" s="6" t="str">
        <f>"AC090912.1"</f>
        <v>AC090912.1</v>
      </c>
      <c r="B9611" s="6">
        <v>0.25329280648429497</v>
      </c>
      <c r="C9611" s="6">
        <v>0.44045226764096801</v>
      </c>
    </row>
    <row r="9612" spans="1:3" s="7" customFormat="1" x14ac:dyDescent="0.2">
      <c r="A9612" s="6" t="str">
        <f>"AHR"</f>
        <v>AHR</v>
      </c>
      <c r="B9612" s="6">
        <v>0.25374625374625298</v>
      </c>
      <c r="C9612" s="6">
        <v>0.44045226764096801</v>
      </c>
    </row>
    <row r="9613" spans="1:3" s="7" customFormat="1" x14ac:dyDescent="0.2">
      <c r="A9613" s="6" t="str">
        <f>"C1orf167"</f>
        <v>C1orf167</v>
      </c>
      <c r="B9613" s="6">
        <v>0.25374625374625298</v>
      </c>
      <c r="C9613" s="6">
        <v>0.44045226764096801</v>
      </c>
    </row>
    <row r="9614" spans="1:3" s="7" customFormat="1" x14ac:dyDescent="0.2">
      <c r="A9614" s="6" t="str">
        <f>"MRPL19"</f>
        <v>MRPL19</v>
      </c>
      <c r="B9614" s="6">
        <v>0.25374625374625298</v>
      </c>
      <c r="C9614" s="6">
        <v>0.44045226764096801</v>
      </c>
    </row>
    <row r="9615" spans="1:3" s="7" customFormat="1" x14ac:dyDescent="0.2">
      <c r="A9615" s="6" t="str">
        <f>"NSF"</f>
        <v>NSF</v>
      </c>
      <c r="B9615" s="6">
        <v>0.25374625374625298</v>
      </c>
      <c r="C9615" s="6">
        <v>0.44045226764096801</v>
      </c>
    </row>
    <row r="9616" spans="1:3" s="7" customFormat="1" x14ac:dyDescent="0.2">
      <c r="A9616" s="6" t="str">
        <f>"NBPF11"</f>
        <v>NBPF11</v>
      </c>
      <c r="B9616" s="6">
        <v>0.25374625374625298</v>
      </c>
      <c r="C9616" s="6">
        <v>0.44045226764096801</v>
      </c>
    </row>
    <row r="9617" spans="1:3" s="7" customFormat="1" x14ac:dyDescent="0.2">
      <c r="A9617" s="6" t="str">
        <f>"ACOX3"</f>
        <v>ACOX3</v>
      </c>
      <c r="B9617" s="6">
        <v>0.25374625374625298</v>
      </c>
      <c r="C9617" s="6">
        <v>0.44045226764096801</v>
      </c>
    </row>
    <row r="9618" spans="1:3" s="7" customFormat="1" x14ac:dyDescent="0.2">
      <c r="A9618" s="6" t="str">
        <f>"RPL17-C18orf32"</f>
        <v>RPL17-C18orf32</v>
      </c>
      <c r="B9618" s="6">
        <v>0.25374625374625298</v>
      </c>
      <c r="C9618" s="6">
        <v>0.44045226764096801</v>
      </c>
    </row>
    <row r="9619" spans="1:3" s="7" customFormat="1" x14ac:dyDescent="0.2">
      <c r="A9619" s="6" t="str">
        <f>"RPAP2"</f>
        <v>RPAP2</v>
      </c>
      <c r="B9619" s="6">
        <v>0.25374625374625298</v>
      </c>
      <c r="C9619" s="6">
        <v>0.44045226764096801</v>
      </c>
    </row>
    <row r="9620" spans="1:3" s="7" customFormat="1" x14ac:dyDescent="0.2">
      <c r="A9620" s="6" t="str">
        <f>"TRAT1"</f>
        <v>TRAT1</v>
      </c>
      <c r="B9620" s="6">
        <v>0.25374625374625298</v>
      </c>
      <c r="C9620" s="6">
        <v>0.44045226764096801</v>
      </c>
    </row>
    <row r="9621" spans="1:3" s="7" customFormat="1" x14ac:dyDescent="0.2">
      <c r="A9621" s="6" t="str">
        <f>"HDHD2"</f>
        <v>HDHD2</v>
      </c>
      <c r="B9621" s="6">
        <v>0.25374625374625298</v>
      </c>
      <c r="C9621" s="6">
        <v>0.44045226764096801</v>
      </c>
    </row>
    <row r="9622" spans="1:3" s="7" customFormat="1" x14ac:dyDescent="0.2">
      <c r="A9622" s="6" t="str">
        <f>"DHX8"</f>
        <v>DHX8</v>
      </c>
      <c r="B9622" s="6">
        <v>0.25374625374625298</v>
      </c>
      <c r="C9622" s="6">
        <v>0.44045226764096801</v>
      </c>
    </row>
    <row r="9623" spans="1:3" s="7" customFormat="1" x14ac:dyDescent="0.2">
      <c r="A9623" s="6" t="str">
        <f>"WASIR2"</f>
        <v>WASIR2</v>
      </c>
      <c r="B9623" s="6">
        <v>0.25374625374625298</v>
      </c>
      <c r="C9623" s="6">
        <v>0.44045226764096801</v>
      </c>
    </row>
    <row r="9624" spans="1:3" s="7" customFormat="1" x14ac:dyDescent="0.2">
      <c r="A9624" s="6" t="str">
        <f>"EPB41L4A"</f>
        <v>EPB41L4A</v>
      </c>
      <c r="B9624" s="6">
        <v>0.25374625374625298</v>
      </c>
      <c r="C9624" s="6">
        <v>0.44045226764096801</v>
      </c>
    </row>
    <row r="9625" spans="1:3" s="7" customFormat="1" x14ac:dyDescent="0.2">
      <c r="A9625" s="6" t="str">
        <f>"SBF1"</f>
        <v>SBF1</v>
      </c>
      <c r="B9625" s="6">
        <v>0.25374625374625298</v>
      </c>
      <c r="C9625" s="6">
        <v>0.44045226764096801</v>
      </c>
    </row>
    <row r="9626" spans="1:3" s="7" customFormat="1" x14ac:dyDescent="0.2">
      <c r="A9626" s="6" t="str">
        <f>"AC100847.1"</f>
        <v>AC100847.1</v>
      </c>
      <c r="B9626" s="6">
        <v>0.25325325325325299</v>
      </c>
      <c r="C9626" s="6">
        <v>0.44045226764096801</v>
      </c>
    </row>
    <row r="9627" spans="1:3" s="7" customFormat="1" x14ac:dyDescent="0.2">
      <c r="A9627" s="6" t="str">
        <f>"NIPAL2"</f>
        <v>NIPAL2</v>
      </c>
      <c r="B9627" s="6">
        <v>0.25374625374625298</v>
      </c>
      <c r="C9627" s="6">
        <v>0.44045226764096801</v>
      </c>
    </row>
    <row r="9628" spans="1:3" s="7" customFormat="1" x14ac:dyDescent="0.2">
      <c r="A9628" s="6" t="str">
        <f>"PIK3CA"</f>
        <v>PIK3CA</v>
      </c>
      <c r="B9628" s="6">
        <v>0.25374625374625298</v>
      </c>
      <c r="C9628" s="6">
        <v>0.44045226764096801</v>
      </c>
    </row>
    <row r="9629" spans="1:3" s="7" customFormat="1" x14ac:dyDescent="0.2">
      <c r="A9629" s="6" t="str">
        <f>"MROH7-TTC4"</f>
        <v>MROH7-TTC4</v>
      </c>
      <c r="B9629" s="6">
        <v>0.25374625374625298</v>
      </c>
      <c r="C9629" s="6">
        <v>0.44045226764096801</v>
      </c>
    </row>
    <row r="9630" spans="1:3" s="7" customFormat="1" x14ac:dyDescent="0.2">
      <c r="A9630" s="6" t="str">
        <f>"KANSL2"</f>
        <v>KANSL2</v>
      </c>
      <c r="B9630" s="6">
        <v>0.25374625374625298</v>
      </c>
      <c r="C9630" s="6">
        <v>0.44045226764096801</v>
      </c>
    </row>
    <row r="9631" spans="1:3" s="7" customFormat="1" x14ac:dyDescent="0.2">
      <c r="A9631" s="6" t="str">
        <f>"AC006130.3"</f>
        <v>AC006130.3</v>
      </c>
      <c r="B9631" s="6">
        <v>0.25379170879676399</v>
      </c>
      <c r="C9631" s="6">
        <v>0.44048542272368801</v>
      </c>
    </row>
    <row r="9632" spans="1:3" s="7" customFormat="1" x14ac:dyDescent="0.2">
      <c r="A9632" s="6" t="str">
        <f>"PDXK"</f>
        <v>PDXK</v>
      </c>
      <c r="B9632" s="6">
        <v>0.254</v>
      </c>
      <c r="C9632" s="6">
        <v>0.44080116291143101</v>
      </c>
    </row>
    <row r="9633" spans="1:3" s="7" customFormat="1" x14ac:dyDescent="0.2">
      <c r="A9633" s="6" t="str">
        <f>"FRG1EP"</f>
        <v>FRG1EP</v>
      </c>
      <c r="B9633" s="6">
        <v>0.25418060200668802</v>
      </c>
      <c r="C9633" s="6">
        <v>0.441068789653218</v>
      </c>
    </row>
    <row r="9634" spans="1:3" s="7" customFormat="1" x14ac:dyDescent="0.2">
      <c r="A9634" s="6" t="str">
        <f>"ZNF395"</f>
        <v>ZNF395</v>
      </c>
      <c r="B9634" s="6">
        <v>0.25425425425425402</v>
      </c>
      <c r="C9634" s="6">
        <v>0.441105003695827</v>
      </c>
    </row>
    <row r="9635" spans="1:3" s="7" customFormat="1" x14ac:dyDescent="0.2">
      <c r="A9635" s="6" t="str">
        <f>"TPD52"</f>
        <v>TPD52</v>
      </c>
      <c r="B9635" s="6">
        <v>0.25425425425425402</v>
      </c>
      <c r="C9635" s="6">
        <v>0.441105003695827</v>
      </c>
    </row>
    <row r="9636" spans="1:3" s="7" customFormat="1" x14ac:dyDescent="0.2">
      <c r="A9636" s="6" t="str">
        <f>"LARS2"</f>
        <v>LARS2</v>
      </c>
      <c r="B9636" s="6">
        <v>0.254745254745254</v>
      </c>
      <c r="C9636" s="6">
        <v>0.441269788352387</v>
      </c>
    </row>
    <row r="9637" spans="1:3" s="7" customFormat="1" x14ac:dyDescent="0.2">
      <c r="A9637" s="6" t="str">
        <f>"ST8SIA4"</f>
        <v>ST8SIA4</v>
      </c>
      <c r="B9637" s="6">
        <v>0.254745254745254</v>
      </c>
      <c r="C9637" s="6">
        <v>0.441269788352387</v>
      </c>
    </row>
    <row r="9638" spans="1:3" s="7" customFormat="1" x14ac:dyDescent="0.2">
      <c r="A9638" s="6" t="str">
        <f>"MPPED2"</f>
        <v>MPPED2</v>
      </c>
      <c r="B9638" s="6">
        <v>0.254745254745254</v>
      </c>
      <c r="C9638" s="6">
        <v>0.441269788352387</v>
      </c>
    </row>
    <row r="9639" spans="1:3" s="7" customFormat="1" x14ac:dyDescent="0.2">
      <c r="A9639" s="6" t="str">
        <f>"LRRC8C-DT"</f>
        <v>LRRC8C-DT</v>
      </c>
      <c r="B9639" s="6">
        <v>0.254745254745254</v>
      </c>
      <c r="C9639" s="6">
        <v>0.441269788352387</v>
      </c>
    </row>
    <row r="9640" spans="1:3" s="7" customFormat="1" x14ac:dyDescent="0.2">
      <c r="A9640" s="6" t="str">
        <f>"PPP4R1"</f>
        <v>PPP4R1</v>
      </c>
      <c r="B9640" s="6">
        <v>0.254745254745254</v>
      </c>
      <c r="C9640" s="6">
        <v>0.441269788352387</v>
      </c>
    </row>
    <row r="9641" spans="1:3" s="7" customFormat="1" x14ac:dyDescent="0.2">
      <c r="A9641" s="6" t="str">
        <f>"AC008915.2"</f>
        <v>AC008915.2</v>
      </c>
      <c r="B9641" s="6">
        <v>0.254745254745254</v>
      </c>
      <c r="C9641" s="6">
        <v>0.441269788352387</v>
      </c>
    </row>
    <row r="9642" spans="1:3" s="7" customFormat="1" x14ac:dyDescent="0.2">
      <c r="A9642" s="6" t="str">
        <f>"CILK1"</f>
        <v>CILK1</v>
      </c>
      <c r="B9642" s="6">
        <v>0.254745254745254</v>
      </c>
      <c r="C9642" s="6">
        <v>0.441269788352387</v>
      </c>
    </row>
    <row r="9643" spans="1:3" s="7" customFormat="1" x14ac:dyDescent="0.2">
      <c r="A9643" s="6" t="str">
        <f>"TADA1"</f>
        <v>TADA1</v>
      </c>
      <c r="B9643" s="6">
        <v>0.254745254745254</v>
      </c>
      <c r="C9643" s="6">
        <v>0.441269788352387</v>
      </c>
    </row>
    <row r="9644" spans="1:3" s="7" customFormat="1" x14ac:dyDescent="0.2">
      <c r="A9644" s="6" t="str">
        <f>"SEPTIN11"</f>
        <v>SEPTIN11</v>
      </c>
      <c r="B9644" s="6">
        <v>0.254745254745254</v>
      </c>
      <c r="C9644" s="6">
        <v>0.441269788352387</v>
      </c>
    </row>
    <row r="9645" spans="1:3" s="7" customFormat="1" x14ac:dyDescent="0.2">
      <c r="A9645" s="6" t="str">
        <f>"TMEM184C"</f>
        <v>TMEM184C</v>
      </c>
      <c r="B9645" s="6">
        <v>0.254745254745254</v>
      </c>
      <c r="C9645" s="6">
        <v>0.441269788352387</v>
      </c>
    </row>
    <row r="9646" spans="1:3" s="7" customFormat="1" x14ac:dyDescent="0.2">
      <c r="A9646" s="6" t="str">
        <f>"FAM153A"</f>
        <v>FAM153A</v>
      </c>
      <c r="B9646" s="6">
        <v>0.254745254745254</v>
      </c>
      <c r="C9646" s="6">
        <v>0.441269788352387</v>
      </c>
    </row>
    <row r="9647" spans="1:3" s="7" customFormat="1" x14ac:dyDescent="0.2">
      <c r="A9647" s="6" t="str">
        <f>"PLA2G4A"</f>
        <v>PLA2G4A</v>
      </c>
      <c r="B9647" s="6">
        <v>0.254745254745254</v>
      </c>
      <c r="C9647" s="6">
        <v>0.441269788352387</v>
      </c>
    </row>
    <row r="9648" spans="1:3" s="7" customFormat="1" x14ac:dyDescent="0.2">
      <c r="A9648" s="6" t="str">
        <f>"ZNF705E"</f>
        <v>ZNF705E</v>
      </c>
      <c r="B9648" s="6">
        <v>0.254745254745254</v>
      </c>
      <c r="C9648" s="6">
        <v>0.441269788352387</v>
      </c>
    </row>
    <row r="9649" spans="1:3" s="7" customFormat="1" x14ac:dyDescent="0.2">
      <c r="A9649" s="6" t="str">
        <f>"CLU"</f>
        <v>CLU</v>
      </c>
      <c r="B9649" s="6">
        <v>0.254745254745254</v>
      </c>
      <c r="C9649" s="6">
        <v>0.441269788352387</v>
      </c>
    </row>
    <row r="9650" spans="1:3" s="7" customFormat="1" x14ac:dyDescent="0.2">
      <c r="A9650" s="6" t="str">
        <f>"WEE2-AS1"</f>
        <v>WEE2-AS1</v>
      </c>
      <c r="B9650" s="6">
        <v>0.254745254745254</v>
      </c>
      <c r="C9650" s="6">
        <v>0.441269788352387</v>
      </c>
    </row>
    <row r="9651" spans="1:3" s="7" customFormat="1" x14ac:dyDescent="0.2">
      <c r="A9651" s="6" t="str">
        <f>"ZMAT3"</f>
        <v>ZMAT3</v>
      </c>
      <c r="B9651" s="6">
        <v>0.25574425574425502</v>
      </c>
      <c r="C9651" s="6">
        <v>0.44162718157965603</v>
      </c>
    </row>
    <row r="9652" spans="1:3" s="7" customFormat="1" x14ac:dyDescent="0.2">
      <c r="A9652" s="6" t="str">
        <f>"KCTD3"</f>
        <v>KCTD3</v>
      </c>
      <c r="B9652" s="6">
        <v>0.25574425574425502</v>
      </c>
      <c r="C9652" s="6">
        <v>0.44162718157965603</v>
      </c>
    </row>
    <row r="9653" spans="1:3" s="7" customFormat="1" x14ac:dyDescent="0.2">
      <c r="A9653" s="6" t="str">
        <f>"SNX18"</f>
        <v>SNX18</v>
      </c>
      <c r="B9653" s="6">
        <v>0.25574425574425502</v>
      </c>
      <c r="C9653" s="6">
        <v>0.44162718157965603</v>
      </c>
    </row>
    <row r="9654" spans="1:3" s="7" customFormat="1" x14ac:dyDescent="0.2">
      <c r="A9654" s="6" t="str">
        <f>"FAM167B"</f>
        <v>FAM167B</v>
      </c>
      <c r="B9654" s="6">
        <v>0.25502008032128498</v>
      </c>
      <c r="C9654" s="6">
        <v>0.44162718157965603</v>
      </c>
    </row>
    <row r="9655" spans="1:3" s="7" customFormat="1" x14ac:dyDescent="0.2">
      <c r="A9655" s="6" t="str">
        <f>"ZHX1-C8orf76"</f>
        <v>ZHX1-C8orf76</v>
      </c>
      <c r="B9655" s="6">
        <v>0.25574425574425502</v>
      </c>
      <c r="C9655" s="6">
        <v>0.44162718157965603</v>
      </c>
    </row>
    <row r="9656" spans="1:3" s="7" customFormat="1" x14ac:dyDescent="0.2">
      <c r="A9656" s="6" t="str">
        <f>"SIGLEC17P"</f>
        <v>SIGLEC17P</v>
      </c>
      <c r="B9656" s="6">
        <v>0.25574425574425502</v>
      </c>
      <c r="C9656" s="6">
        <v>0.44162718157965603</v>
      </c>
    </row>
    <row r="9657" spans="1:3" s="7" customFormat="1" x14ac:dyDescent="0.2">
      <c r="A9657" s="6" t="str">
        <f>"ZNF773"</f>
        <v>ZNF773</v>
      </c>
      <c r="B9657" s="6">
        <v>0.25574425574425502</v>
      </c>
      <c r="C9657" s="6">
        <v>0.44162718157965603</v>
      </c>
    </row>
    <row r="9658" spans="1:3" s="7" customFormat="1" x14ac:dyDescent="0.2">
      <c r="A9658" s="6" t="str">
        <f>"LINC01764"</f>
        <v>LINC01764</v>
      </c>
      <c r="B9658" s="6">
        <v>0.25574425574425502</v>
      </c>
      <c r="C9658" s="6">
        <v>0.44162718157965603</v>
      </c>
    </row>
    <row r="9659" spans="1:3" s="7" customFormat="1" x14ac:dyDescent="0.2">
      <c r="A9659" s="6" t="str">
        <f>"XRCC1"</f>
        <v>XRCC1</v>
      </c>
      <c r="B9659" s="6">
        <v>0.25574425574425502</v>
      </c>
      <c r="C9659" s="6">
        <v>0.44162718157965603</v>
      </c>
    </row>
    <row r="9660" spans="1:3" s="7" customFormat="1" x14ac:dyDescent="0.2">
      <c r="A9660" s="6" t="str">
        <f>"WDR12"</f>
        <v>WDR12</v>
      </c>
      <c r="B9660" s="6">
        <v>0.25574425574425502</v>
      </c>
      <c r="C9660" s="6">
        <v>0.44162718157965603</v>
      </c>
    </row>
    <row r="9661" spans="1:3" s="7" customFormat="1" x14ac:dyDescent="0.2">
      <c r="A9661" s="6" t="str">
        <f>"PKP4"</f>
        <v>PKP4</v>
      </c>
      <c r="B9661" s="6">
        <v>0.25574425574425502</v>
      </c>
      <c r="C9661" s="6">
        <v>0.44162718157965603</v>
      </c>
    </row>
    <row r="9662" spans="1:3" s="7" customFormat="1" x14ac:dyDescent="0.2">
      <c r="A9662" s="6" t="str">
        <f>"POLR2D"</f>
        <v>POLR2D</v>
      </c>
      <c r="B9662" s="6">
        <v>0.25574425574425502</v>
      </c>
      <c r="C9662" s="6">
        <v>0.44162718157965603</v>
      </c>
    </row>
    <row r="9663" spans="1:3" s="7" customFormat="1" x14ac:dyDescent="0.2">
      <c r="A9663" s="6" t="str">
        <f>"PTDSS1"</f>
        <v>PTDSS1</v>
      </c>
      <c r="B9663" s="6">
        <v>0.25574425574425502</v>
      </c>
      <c r="C9663" s="6">
        <v>0.44162718157965603</v>
      </c>
    </row>
    <row r="9664" spans="1:3" s="7" customFormat="1" x14ac:dyDescent="0.2">
      <c r="A9664" s="6" t="str">
        <f>"AC016745.1"</f>
        <v>AC016745.1</v>
      </c>
      <c r="B9664" s="6">
        <v>0.255</v>
      </c>
      <c r="C9664" s="6">
        <v>0.44162718157965603</v>
      </c>
    </row>
    <row r="9665" spans="1:3" s="7" customFormat="1" x14ac:dyDescent="0.2">
      <c r="A9665" s="6" t="str">
        <f>"VPS33B"</f>
        <v>VPS33B</v>
      </c>
      <c r="B9665" s="6">
        <v>0.25574425574425502</v>
      </c>
      <c r="C9665" s="6">
        <v>0.44162718157965603</v>
      </c>
    </row>
    <row r="9666" spans="1:3" s="7" customFormat="1" x14ac:dyDescent="0.2">
      <c r="A9666" s="6" t="str">
        <f>"VRK2"</f>
        <v>VRK2</v>
      </c>
      <c r="B9666" s="6">
        <v>0.25574425574425502</v>
      </c>
      <c r="C9666" s="6">
        <v>0.44162718157965603</v>
      </c>
    </row>
    <row r="9667" spans="1:3" s="7" customFormat="1" x14ac:dyDescent="0.2">
      <c r="A9667" s="6" t="str">
        <f>"DHX40"</f>
        <v>DHX40</v>
      </c>
      <c r="B9667" s="6">
        <v>0.25574425574425502</v>
      </c>
      <c r="C9667" s="6">
        <v>0.44162718157965603</v>
      </c>
    </row>
    <row r="9668" spans="1:3" s="7" customFormat="1" x14ac:dyDescent="0.2">
      <c r="A9668" s="6" t="str">
        <f>"FAM149B1"</f>
        <v>FAM149B1</v>
      </c>
      <c r="B9668" s="6">
        <v>0.25574425574425502</v>
      </c>
      <c r="C9668" s="6">
        <v>0.44162718157965603</v>
      </c>
    </row>
    <row r="9669" spans="1:3" s="7" customFormat="1" x14ac:dyDescent="0.2">
      <c r="A9669" s="6" t="str">
        <f>"TRAF6"</f>
        <v>TRAF6</v>
      </c>
      <c r="B9669" s="6">
        <v>0.25574425574425502</v>
      </c>
      <c r="C9669" s="6">
        <v>0.44162718157965603</v>
      </c>
    </row>
    <row r="9670" spans="1:3" s="7" customFormat="1" x14ac:dyDescent="0.2">
      <c r="A9670" s="6" t="str">
        <f>"SCIMP"</f>
        <v>SCIMP</v>
      </c>
      <c r="B9670" s="6">
        <v>0.25574425574425502</v>
      </c>
      <c r="C9670" s="6">
        <v>0.44162718157965603</v>
      </c>
    </row>
    <row r="9671" spans="1:3" s="7" customFormat="1" x14ac:dyDescent="0.2">
      <c r="A9671" s="6" t="str">
        <f>"AL008638.5"</f>
        <v>AL008638.5</v>
      </c>
      <c r="B9671" s="6">
        <v>0.255543822597676</v>
      </c>
      <c r="C9671" s="6">
        <v>0.44162718157965603</v>
      </c>
    </row>
    <row r="9672" spans="1:3" s="7" customFormat="1" x14ac:dyDescent="0.2">
      <c r="A9672" s="6" t="str">
        <f>"DNAAF2"</f>
        <v>DNAAF2</v>
      </c>
      <c r="B9672" s="6">
        <v>0.25574425574425502</v>
      </c>
      <c r="C9672" s="6">
        <v>0.44162718157965603</v>
      </c>
    </row>
    <row r="9673" spans="1:3" s="7" customFormat="1" x14ac:dyDescent="0.2">
      <c r="A9673" s="6" t="str">
        <f>"AC137561.1"</f>
        <v>AC137561.1</v>
      </c>
      <c r="B9673" s="6">
        <v>0.25574425574425502</v>
      </c>
      <c r="C9673" s="6">
        <v>0.44162718157965603</v>
      </c>
    </row>
    <row r="9674" spans="1:3" s="7" customFormat="1" x14ac:dyDescent="0.2">
      <c r="A9674" s="6" t="str">
        <f>"FAM126B"</f>
        <v>FAM126B</v>
      </c>
      <c r="B9674" s="6">
        <v>0.25574425574425502</v>
      </c>
      <c r="C9674" s="6">
        <v>0.44162718157965603</v>
      </c>
    </row>
    <row r="9675" spans="1:3" s="7" customFormat="1" x14ac:dyDescent="0.2">
      <c r="A9675" s="6" t="str">
        <f>"MAT2A"</f>
        <v>MAT2A</v>
      </c>
      <c r="B9675" s="6">
        <v>0.25574425574425502</v>
      </c>
      <c r="C9675" s="6">
        <v>0.44162718157965603</v>
      </c>
    </row>
    <row r="9676" spans="1:3" s="7" customFormat="1" x14ac:dyDescent="0.2">
      <c r="A9676" s="6" t="str">
        <f>"ZNF337-AS1"</f>
        <v>ZNF337-AS1</v>
      </c>
      <c r="B9676" s="6">
        <v>0.25574425574425502</v>
      </c>
      <c r="C9676" s="6">
        <v>0.44162718157965603</v>
      </c>
    </row>
    <row r="9677" spans="1:3" s="7" customFormat="1" x14ac:dyDescent="0.2">
      <c r="A9677" s="6" t="str">
        <f>"LINC01980"</f>
        <v>LINC01980</v>
      </c>
      <c r="B9677" s="6">
        <v>0.25574425574425502</v>
      </c>
      <c r="C9677" s="6">
        <v>0.44162718157965603</v>
      </c>
    </row>
    <row r="9678" spans="1:3" s="7" customFormat="1" x14ac:dyDescent="0.2">
      <c r="A9678" s="6" t="str">
        <f>"H2BP1"</f>
        <v>H2BP1</v>
      </c>
      <c r="B9678" s="6">
        <v>0.25574425574425502</v>
      </c>
      <c r="C9678" s="6">
        <v>0.44162718157965603</v>
      </c>
    </row>
    <row r="9679" spans="1:3" s="7" customFormat="1" x14ac:dyDescent="0.2">
      <c r="A9679" s="6" t="str">
        <f>"KALRN"</f>
        <v>KALRN</v>
      </c>
      <c r="B9679" s="6">
        <v>0.25574425574425502</v>
      </c>
      <c r="C9679" s="6">
        <v>0.44162718157965603</v>
      </c>
    </row>
    <row r="9680" spans="1:3" s="7" customFormat="1" x14ac:dyDescent="0.2">
      <c r="A9680" s="6" t="str">
        <f>"HMG20B"</f>
        <v>HMG20B</v>
      </c>
      <c r="B9680" s="6">
        <v>0.25574425574425502</v>
      </c>
      <c r="C9680" s="6">
        <v>0.44162718157965603</v>
      </c>
    </row>
    <row r="9681" spans="1:3" s="7" customFormat="1" x14ac:dyDescent="0.2">
      <c r="A9681" s="6" t="str">
        <f>"AL360181.2"</f>
        <v>AL360181.2</v>
      </c>
      <c r="B9681" s="6">
        <v>0.25600000000000001</v>
      </c>
      <c r="C9681" s="6">
        <v>0.44197748166511702</v>
      </c>
    </row>
    <row r="9682" spans="1:3" s="7" customFormat="1" x14ac:dyDescent="0.2">
      <c r="A9682" s="6" t="str">
        <f>"PIN1"</f>
        <v>PIN1</v>
      </c>
      <c r="B9682" s="6">
        <v>0.25600000000000001</v>
      </c>
      <c r="C9682" s="6">
        <v>0.44197748166511702</v>
      </c>
    </row>
    <row r="9683" spans="1:3" s="7" customFormat="1" x14ac:dyDescent="0.2">
      <c r="A9683" s="6" t="str">
        <f>"PARL"</f>
        <v>PARL</v>
      </c>
      <c r="B9683" s="6">
        <v>0.25674325674325599</v>
      </c>
      <c r="C9683" s="6">
        <v>0.44225567280292599</v>
      </c>
    </row>
    <row r="9684" spans="1:3" s="7" customFormat="1" x14ac:dyDescent="0.2">
      <c r="A9684" s="6" t="str">
        <f>"ARFIP2"</f>
        <v>ARFIP2</v>
      </c>
      <c r="B9684" s="6">
        <v>0.25674325674325599</v>
      </c>
      <c r="C9684" s="6">
        <v>0.44225567280292599</v>
      </c>
    </row>
    <row r="9685" spans="1:3" s="7" customFormat="1" x14ac:dyDescent="0.2">
      <c r="A9685" s="6" t="str">
        <f>"CLCN5"</f>
        <v>CLCN5</v>
      </c>
      <c r="B9685" s="6">
        <v>0.25674325674325599</v>
      </c>
      <c r="C9685" s="6">
        <v>0.44225567280292599</v>
      </c>
    </row>
    <row r="9686" spans="1:3" s="7" customFormat="1" x14ac:dyDescent="0.2">
      <c r="A9686" s="6" t="str">
        <f>"MAPK8IP1P2"</f>
        <v>MAPK8IP1P2</v>
      </c>
      <c r="B9686" s="6">
        <v>0.25651302605210402</v>
      </c>
      <c r="C9686" s="6">
        <v>0.44225567280292599</v>
      </c>
    </row>
    <row r="9687" spans="1:3" s="7" customFormat="1" x14ac:dyDescent="0.2">
      <c r="A9687" s="6" t="str">
        <f>"ABCD4"</f>
        <v>ABCD4</v>
      </c>
      <c r="B9687" s="6">
        <v>0.25674325674325599</v>
      </c>
      <c r="C9687" s="6">
        <v>0.44225567280292599</v>
      </c>
    </row>
    <row r="9688" spans="1:3" s="7" customFormat="1" x14ac:dyDescent="0.2">
      <c r="A9688" s="6" t="str">
        <f>"TMEM208"</f>
        <v>TMEM208</v>
      </c>
      <c r="B9688" s="6">
        <v>0.25674325674325599</v>
      </c>
      <c r="C9688" s="6">
        <v>0.44225567280292599</v>
      </c>
    </row>
    <row r="9689" spans="1:3" s="7" customFormat="1" x14ac:dyDescent="0.2">
      <c r="A9689" s="6" t="str">
        <f>"GATD3A"</f>
        <v>GATD3A</v>
      </c>
      <c r="B9689" s="6">
        <v>0.25674325674325599</v>
      </c>
      <c r="C9689" s="6">
        <v>0.44225567280292599</v>
      </c>
    </row>
    <row r="9690" spans="1:3" s="7" customFormat="1" x14ac:dyDescent="0.2">
      <c r="A9690" s="6" t="str">
        <f>"TMED1"</f>
        <v>TMED1</v>
      </c>
      <c r="B9690" s="6">
        <v>0.25674325674325599</v>
      </c>
      <c r="C9690" s="6">
        <v>0.44225567280292599</v>
      </c>
    </row>
    <row r="9691" spans="1:3" s="7" customFormat="1" x14ac:dyDescent="0.2">
      <c r="A9691" s="6" t="str">
        <f>"ACADSB"</f>
        <v>ACADSB</v>
      </c>
      <c r="B9691" s="6">
        <v>0.25674325674325599</v>
      </c>
      <c r="C9691" s="6">
        <v>0.44225567280292599</v>
      </c>
    </row>
    <row r="9692" spans="1:3" s="7" customFormat="1" x14ac:dyDescent="0.2">
      <c r="A9692" s="6" t="str">
        <f>"TMEM98"</f>
        <v>TMEM98</v>
      </c>
      <c r="B9692" s="6">
        <v>0.25674325674325599</v>
      </c>
      <c r="C9692" s="6">
        <v>0.44225567280292599</v>
      </c>
    </row>
    <row r="9693" spans="1:3" s="7" customFormat="1" x14ac:dyDescent="0.2">
      <c r="A9693" s="6" t="str">
        <f>"JAG2"</f>
        <v>JAG2</v>
      </c>
      <c r="B9693" s="6">
        <v>0.25674325674325599</v>
      </c>
      <c r="C9693" s="6">
        <v>0.44225567280292599</v>
      </c>
    </row>
    <row r="9694" spans="1:3" s="7" customFormat="1" x14ac:dyDescent="0.2">
      <c r="A9694" s="6" t="str">
        <f>"NAGK"</f>
        <v>NAGK</v>
      </c>
      <c r="B9694" s="6">
        <v>0.25674325674325599</v>
      </c>
      <c r="C9694" s="6">
        <v>0.44225567280292599</v>
      </c>
    </row>
    <row r="9695" spans="1:3" s="7" customFormat="1" x14ac:dyDescent="0.2">
      <c r="A9695" s="6" t="str">
        <f>"TPR"</f>
        <v>TPR</v>
      </c>
      <c r="B9695" s="6">
        <v>0.25674325674325599</v>
      </c>
      <c r="C9695" s="6">
        <v>0.44225567280292599</v>
      </c>
    </row>
    <row r="9696" spans="1:3" s="7" customFormat="1" x14ac:dyDescent="0.2">
      <c r="A9696" s="6" t="str">
        <f>"AC006252.1"</f>
        <v>AC006252.1</v>
      </c>
      <c r="B9696" s="6">
        <v>0.25625625625625598</v>
      </c>
      <c r="C9696" s="6">
        <v>0.44225567280292599</v>
      </c>
    </row>
    <row r="9697" spans="1:3" s="7" customFormat="1" x14ac:dyDescent="0.2">
      <c r="A9697" s="6" t="str">
        <f>"LRRC56"</f>
        <v>LRRC56</v>
      </c>
      <c r="B9697" s="6">
        <v>0.25674325674325599</v>
      </c>
      <c r="C9697" s="6">
        <v>0.44225567280292599</v>
      </c>
    </row>
    <row r="9698" spans="1:3" s="7" customFormat="1" x14ac:dyDescent="0.2">
      <c r="A9698" s="6" t="str">
        <f>"TCAM1P"</f>
        <v>TCAM1P</v>
      </c>
      <c r="B9698" s="6">
        <v>0.25674325674325599</v>
      </c>
      <c r="C9698" s="6">
        <v>0.44225567280292599</v>
      </c>
    </row>
    <row r="9699" spans="1:3" s="7" customFormat="1" x14ac:dyDescent="0.2">
      <c r="A9699" s="6" t="str">
        <f>"PSMD11"</f>
        <v>PSMD11</v>
      </c>
      <c r="B9699" s="6">
        <v>0.25674325674325599</v>
      </c>
      <c r="C9699" s="6">
        <v>0.44225567280292599</v>
      </c>
    </row>
    <row r="9700" spans="1:3" s="7" customFormat="1" x14ac:dyDescent="0.2">
      <c r="A9700" s="6" t="str">
        <f>"DHX36"</f>
        <v>DHX36</v>
      </c>
      <c r="B9700" s="6">
        <v>0.25674325674325599</v>
      </c>
      <c r="C9700" s="6">
        <v>0.44225567280292599</v>
      </c>
    </row>
    <row r="9701" spans="1:3" s="7" customFormat="1" x14ac:dyDescent="0.2">
      <c r="A9701" s="6" t="str">
        <f>"CTDSP1"</f>
        <v>CTDSP1</v>
      </c>
      <c r="B9701" s="6">
        <v>0.25674325674325599</v>
      </c>
      <c r="C9701" s="6">
        <v>0.44225567280292599</v>
      </c>
    </row>
    <row r="9702" spans="1:3" s="7" customFormat="1" x14ac:dyDescent="0.2">
      <c r="A9702" s="6" t="str">
        <f>"UVRAG"</f>
        <v>UVRAG</v>
      </c>
      <c r="B9702" s="6">
        <v>0.25674325674325599</v>
      </c>
      <c r="C9702" s="6">
        <v>0.44225567280292599</v>
      </c>
    </row>
    <row r="9703" spans="1:3" s="7" customFormat="1" x14ac:dyDescent="0.2">
      <c r="A9703" s="6" t="str">
        <f>"H2BU1"</f>
        <v>H2BU1</v>
      </c>
      <c r="B9703" s="6">
        <v>0.25674325674325599</v>
      </c>
      <c r="C9703" s="6">
        <v>0.44225567280292599</v>
      </c>
    </row>
    <row r="9704" spans="1:3" s="7" customFormat="1" x14ac:dyDescent="0.2">
      <c r="A9704" s="6" t="str">
        <f>"MCCC1"</f>
        <v>MCCC1</v>
      </c>
      <c r="B9704" s="6">
        <v>0.25674325674325599</v>
      </c>
      <c r="C9704" s="6">
        <v>0.44225567280292599</v>
      </c>
    </row>
    <row r="9705" spans="1:3" s="7" customFormat="1" x14ac:dyDescent="0.2">
      <c r="A9705" s="6" t="str">
        <f>"SATB1"</f>
        <v>SATB1</v>
      </c>
      <c r="B9705" s="6">
        <v>0.25700000000000001</v>
      </c>
      <c r="C9705" s="6">
        <v>0.44251550427526498</v>
      </c>
    </row>
    <row r="9706" spans="1:3" s="7" customFormat="1" x14ac:dyDescent="0.2">
      <c r="A9706" s="6" t="str">
        <f>"CD180"</f>
        <v>CD180</v>
      </c>
      <c r="B9706" s="6">
        <v>0.25700000000000001</v>
      </c>
      <c r="C9706" s="6">
        <v>0.44251550427526498</v>
      </c>
    </row>
    <row r="9707" spans="1:3" s="7" customFormat="1" x14ac:dyDescent="0.2">
      <c r="A9707" s="6" t="str">
        <f>"TLDC2"</f>
        <v>TLDC2</v>
      </c>
      <c r="B9707" s="6">
        <v>0.25700000000000001</v>
      </c>
      <c r="C9707" s="6">
        <v>0.44251550427526498</v>
      </c>
    </row>
    <row r="9708" spans="1:3" s="7" customFormat="1" x14ac:dyDescent="0.2">
      <c r="A9708" s="6" t="str">
        <f>"TLCD4-RWDD3"</f>
        <v>TLCD4-RWDD3</v>
      </c>
      <c r="B9708" s="6">
        <v>0.25700000000000001</v>
      </c>
      <c r="C9708" s="6">
        <v>0.44251550427526498</v>
      </c>
    </row>
    <row r="9709" spans="1:3" s="7" customFormat="1" x14ac:dyDescent="0.2">
      <c r="A9709" s="6" t="str">
        <f>"ZNF563"</f>
        <v>ZNF563</v>
      </c>
      <c r="B9709" s="6">
        <v>0.25774225774225701</v>
      </c>
      <c r="C9709" s="6">
        <v>0.44292659838619097</v>
      </c>
    </row>
    <row r="9710" spans="1:3" s="7" customFormat="1" x14ac:dyDescent="0.2">
      <c r="A9710" s="6" t="str">
        <f>"TBX3"</f>
        <v>TBX3</v>
      </c>
      <c r="B9710" s="6">
        <v>0.25774225774225701</v>
      </c>
      <c r="C9710" s="6">
        <v>0.44292659838619097</v>
      </c>
    </row>
    <row r="9711" spans="1:3" s="7" customFormat="1" x14ac:dyDescent="0.2">
      <c r="A9711" s="6" t="str">
        <f>"PIBF1"</f>
        <v>PIBF1</v>
      </c>
      <c r="B9711" s="6">
        <v>0.25774225774225701</v>
      </c>
      <c r="C9711" s="6">
        <v>0.44292659838619097</v>
      </c>
    </row>
    <row r="9712" spans="1:3" s="7" customFormat="1" x14ac:dyDescent="0.2">
      <c r="A9712" s="6" t="str">
        <f>"IQSEC3"</f>
        <v>IQSEC3</v>
      </c>
      <c r="B9712" s="6">
        <v>0.25774225774225701</v>
      </c>
      <c r="C9712" s="6">
        <v>0.44292659838619097</v>
      </c>
    </row>
    <row r="9713" spans="1:3" s="7" customFormat="1" x14ac:dyDescent="0.2">
      <c r="A9713" s="6" t="str">
        <f>"PTCH1"</f>
        <v>PTCH1</v>
      </c>
      <c r="B9713" s="6">
        <v>0.25774225774225701</v>
      </c>
      <c r="C9713" s="6">
        <v>0.44292659838619097</v>
      </c>
    </row>
    <row r="9714" spans="1:3" s="7" customFormat="1" x14ac:dyDescent="0.2">
      <c r="A9714" s="6" t="str">
        <f>"FER"</f>
        <v>FER</v>
      </c>
      <c r="B9714" s="6">
        <v>0.25774225774225701</v>
      </c>
      <c r="C9714" s="6">
        <v>0.44292659838619097</v>
      </c>
    </row>
    <row r="9715" spans="1:3" s="7" customFormat="1" x14ac:dyDescent="0.2">
      <c r="A9715" s="6" t="str">
        <f>"HYI"</f>
        <v>HYI</v>
      </c>
      <c r="B9715" s="6">
        <v>0.25774225774225701</v>
      </c>
      <c r="C9715" s="6">
        <v>0.44292659838619097</v>
      </c>
    </row>
    <row r="9716" spans="1:3" s="7" customFormat="1" x14ac:dyDescent="0.2">
      <c r="A9716" s="6" t="str">
        <f>"CEP70"</f>
        <v>CEP70</v>
      </c>
      <c r="B9716" s="6">
        <v>0.25774225774225701</v>
      </c>
      <c r="C9716" s="6">
        <v>0.44292659838619097</v>
      </c>
    </row>
    <row r="9717" spans="1:3" s="7" customFormat="1" x14ac:dyDescent="0.2">
      <c r="A9717" s="6" t="str">
        <f>"MRPL13"</f>
        <v>MRPL13</v>
      </c>
      <c r="B9717" s="6">
        <v>0.25774225774225701</v>
      </c>
      <c r="C9717" s="6">
        <v>0.44292659838619097</v>
      </c>
    </row>
    <row r="9718" spans="1:3" s="7" customFormat="1" x14ac:dyDescent="0.2">
      <c r="A9718" s="6" t="str">
        <f>"ESD"</f>
        <v>ESD</v>
      </c>
      <c r="B9718" s="6">
        <v>0.25774225774225701</v>
      </c>
      <c r="C9718" s="6">
        <v>0.44292659838619097</v>
      </c>
    </row>
    <row r="9719" spans="1:3" s="7" customFormat="1" x14ac:dyDescent="0.2">
      <c r="A9719" s="6" t="str">
        <f>"SMIM7"</f>
        <v>SMIM7</v>
      </c>
      <c r="B9719" s="6">
        <v>0.25774225774225701</v>
      </c>
      <c r="C9719" s="6">
        <v>0.44292659838619097</v>
      </c>
    </row>
    <row r="9720" spans="1:3" s="7" customFormat="1" x14ac:dyDescent="0.2">
      <c r="A9720" s="6" t="str">
        <f>"TRAC"</f>
        <v>TRAC</v>
      </c>
      <c r="B9720" s="6">
        <v>0.25774225774225701</v>
      </c>
      <c r="C9720" s="6">
        <v>0.44292659838619097</v>
      </c>
    </row>
    <row r="9721" spans="1:3" s="7" customFormat="1" x14ac:dyDescent="0.2">
      <c r="A9721" s="6" t="str">
        <f>"UVSSA"</f>
        <v>UVSSA</v>
      </c>
      <c r="B9721" s="6">
        <v>0.25774225774225701</v>
      </c>
      <c r="C9721" s="6">
        <v>0.44292659838619097</v>
      </c>
    </row>
    <row r="9722" spans="1:3" s="7" customFormat="1" x14ac:dyDescent="0.2">
      <c r="A9722" s="6" t="str">
        <f>"AL356608.3"</f>
        <v>AL356608.3</v>
      </c>
      <c r="B9722" s="6">
        <v>0.25774225774225701</v>
      </c>
      <c r="C9722" s="6">
        <v>0.44292659838619097</v>
      </c>
    </row>
    <row r="9723" spans="1:3" s="7" customFormat="1" x14ac:dyDescent="0.2">
      <c r="A9723" s="6" t="str">
        <f>"RRP7A"</f>
        <v>RRP7A</v>
      </c>
      <c r="B9723" s="6">
        <v>0.25774225774225701</v>
      </c>
      <c r="C9723" s="6">
        <v>0.44292659838619097</v>
      </c>
    </row>
    <row r="9724" spans="1:3" s="7" customFormat="1" x14ac:dyDescent="0.2">
      <c r="A9724" s="6" t="str">
        <f>"ACTA2"</f>
        <v>ACTA2</v>
      </c>
      <c r="B9724" s="6">
        <v>0.25774225774225701</v>
      </c>
      <c r="C9724" s="6">
        <v>0.44292659838619097</v>
      </c>
    </row>
    <row r="9725" spans="1:3" s="7" customFormat="1" x14ac:dyDescent="0.2">
      <c r="A9725" s="6" t="str">
        <f>"ST3GAL4"</f>
        <v>ST3GAL4</v>
      </c>
      <c r="B9725" s="6">
        <v>0.25774225774225701</v>
      </c>
      <c r="C9725" s="6">
        <v>0.44292659838619097</v>
      </c>
    </row>
    <row r="9726" spans="1:3" s="7" customFormat="1" x14ac:dyDescent="0.2">
      <c r="A9726" s="6" t="str">
        <f>"USP42"</f>
        <v>USP42</v>
      </c>
      <c r="B9726" s="6">
        <v>0.25774225774225701</v>
      </c>
      <c r="C9726" s="6">
        <v>0.44292659838619097</v>
      </c>
    </row>
    <row r="9727" spans="1:3" s="7" customFormat="1" x14ac:dyDescent="0.2">
      <c r="A9727" s="6" t="str">
        <f>"ADAMTS15"</f>
        <v>ADAMTS15</v>
      </c>
      <c r="B9727" s="6">
        <v>0.25774225774225701</v>
      </c>
      <c r="C9727" s="6">
        <v>0.44292659838619097</v>
      </c>
    </row>
    <row r="9728" spans="1:3" s="7" customFormat="1" x14ac:dyDescent="0.2">
      <c r="A9728" s="6" t="str">
        <f>"ADAT2"</f>
        <v>ADAT2</v>
      </c>
      <c r="B9728" s="6">
        <v>0.25800000000000001</v>
      </c>
      <c r="C9728" s="6">
        <v>0.44332394366197098</v>
      </c>
    </row>
    <row r="9729" spans="1:3" s="7" customFormat="1" x14ac:dyDescent="0.2">
      <c r="A9729" s="6" t="str">
        <f>"OSR2"</f>
        <v>OSR2</v>
      </c>
      <c r="B9729" s="6">
        <v>0.25874125874125797</v>
      </c>
      <c r="C9729" s="6">
        <v>0.444004250369753</v>
      </c>
    </row>
    <row r="9730" spans="1:3" s="7" customFormat="1" x14ac:dyDescent="0.2">
      <c r="A9730" s="6" t="str">
        <f>"SULT1A2"</f>
        <v>SULT1A2</v>
      </c>
      <c r="B9730" s="6">
        <v>0.25874125874125797</v>
      </c>
      <c r="C9730" s="6">
        <v>0.444004250369753</v>
      </c>
    </row>
    <row r="9731" spans="1:3" s="7" customFormat="1" x14ac:dyDescent="0.2">
      <c r="A9731" s="6" t="str">
        <f>"ZNF517"</f>
        <v>ZNF517</v>
      </c>
      <c r="B9731" s="6">
        <v>0.25874125874125797</v>
      </c>
      <c r="C9731" s="6">
        <v>0.444004250369753</v>
      </c>
    </row>
    <row r="9732" spans="1:3" s="7" customFormat="1" x14ac:dyDescent="0.2">
      <c r="A9732" s="6" t="str">
        <f>"NME4"</f>
        <v>NME4</v>
      </c>
      <c r="B9732" s="6">
        <v>0.25874125874125797</v>
      </c>
      <c r="C9732" s="6">
        <v>0.444004250369753</v>
      </c>
    </row>
    <row r="9733" spans="1:3" s="7" customFormat="1" x14ac:dyDescent="0.2">
      <c r="A9733" s="6" t="str">
        <f>"SMG1P7"</f>
        <v>SMG1P7</v>
      </c>
      <c r="B9733" s="6">
        <v>0.25874125874125797</v>
      </c>
      <c r="C9733" s="6">
        <v>0.444004250369753</v>
      </c>
    </row>
    <row r="9734" spans="1:3" s="7" customFormat="1" x14ac:dyDescent="0.2">
      <c r="A9734" s="6" t="str">
        <f>"YARS1"</f>
        <v>YARS1</v>
      </c>
      <c r="B9734" s="6">
        <v>0.25874125874125797</v>
      </c>
      <c r="C9734" s="6">
        <v>0.444004250369753</v>
      </c>
    </row>
    <row r="9735" spans="1:3" s="7" customFormat="1" x14ac:dyDescent="0.2">
      <c r="A9735" s="6" t="str">
        <f>"KDM7A-DT"</f>
        <v>KDM7A-DT</v>
      </c>
      <c r="B9735" s="6">
        <v>0.25874125874125797</v>
      </c>
      <c r="C9735" s="6">
        <v>0.444004250369753</v>
      </c>
    </row>
    <row r="9736" spans="1:3" s="7" customFormat="1" x14ac:dyDescent="0.2">
      <c r="A9736" s="6" t="str">
        <f>"ANKRD46"</f>
        <v>ANKRD46</v>
      </c>
      <c r="B9736" s="6">
        <v>0.25874125874125797</v>
      </c>
      <c r="C9736" s="6">
        <v>0.444004250369753</v>
      </c>
    </row>
    <row r="9737" spans="1:3" s="7" customFormat="1" x14ac:dyDescent="0.2">
      <c r="A9737" s="6" t="str">
        <f>"MOAP1"</f>
        <v>MOAP1</v>
      </c>
      <c r="B9737" s="6">
        <v>0.25874125874125797</v>
      </c>
      <c r="C9737" s="6">
        <v>0.444004250369753</v>
      </c>
    </row>
    <row r="9738" spans="1:3" s="7" customFormat="1" x14ac:dyDescent="0.2">
      <c r="A9738" s="6" t="str">
        <f>"GUSBP5"</f>
        <v>GUSBP5</v>
      </c>
      <c r="B9738" s="6">
        <v>0.25874125874125797</v>
      </c>
      <c r="C9738" s="6">
        <v>0.444004250369753</v>
      </c>
    </row>
    <row r="9739" spans="1:3" s="7" customFormat="1" x14ac:dyDescent="0.2">
      <c r="A9739" s="6" t="str">
        <f>"GET1-SH3BGR"</f>
        <v>GET1-SH3BGR</v>
      </c>
      <c r="B9739" s="6">
        <v>0.25874125874125797</v>
      </c>
      <c r="C9739" s="6">
        <v>0.444004250369753</v>
      </c>
    </row>
    <row r="9740" spans="1:3" s="7" customFormat="1" x14ac:dyDescent="0.2">
      <c r="A9740" s="6" t="str">
        <f>"DUSP19"</f>
        <v>DUSP19</v>
      </c>
      <c r="B9740" s="6">
        <v>0.25874125874125797</v>
      </c>
      <c r="C9740" s="6">
        <v>0.444004250369753</v>
      </c>
    </row>
    <row r="9741" spans="1:3" s="7" customFormat="1" x14ac:dyDescent="0.2">
      <c r="A9741" s="6" t="str">
        <f>"PMFBP1"</f>
        <v>PMFBP1</v>
      </c>
      <c r="B9741" s="6">
        <v>0.25874125874125797</v>
      </c>
      <c r="C9741" s="6">
        <v>0.444004250369753</v>
      </c>
    </row>
    <row r="9742" spans="1:3" s="7" customFormat="1" x14ac:dyDescent="0.2">
      <c r="A9742" s="6" t="str">
        <f>"NUDT12"</f>
        <v>NUDT12</v>
      </c>
      <c r="B9742" s="6">
        <v>0.25974025974025899</v>
      </c>
      <c r="C9742" s="6">
        <v>0.44489636209250799</v>
      </c>
    </row>
    <row r="9743" spans="1:3" s="7" customFormat="1" x14ac:dyDescent="0.2">
      <c r="A9743" s="6" t="str">
        <f>"SMG1P3"</f>
        <v>SMG1P3</v>
      </c>
      <c r="B9743" s="6">
        <v>0.25974025974025899</v>
      </c>
      <c r="C9743" s="6">
        <v>0.44489636209250799</v>
      </c>
    </row>
    <row r="9744" spans="1:3" s="7" customFormat="1" x14ac:dyDescent="0.2">
      <c r="A9744" s="6" t="str">
        <f>"FEZF1-AS1"</f>
        <v>FEZF1-AS1</v>
      </c>
      <c r="B9744" s="6">
        <v>0.25974025974025899</v>
      </c>
      <c r="C9744" s="6">
        <v>0.44489636209250799</v>
      </c>
    </row>
    <row r="9745" spans="1:3" s="7" customFormat="1" x14ac:dyDescent="0.2">
      <c r="A9745" s="6" t="str">
        <f>"ZNF443"</f>
        <v>ZNF443</v>
      </c>
      <c r="B9745" s="6">
        <v>0.25974025974025899</v>
      </c>
      <c r="C9745" s="6">
        <v>0.44489636209250799</v>
      </c>
    </row>
    <row r="9746" spans="1:3" s="7" customFormat="1" x14ac:dyDescent="0.2">
      <c r="A9746" s="6" t="str">
        <f>"ATP7B"</f>
        <v>ATP7B</v>
      </c>
      <c r="B9746" s="6">
        <v>0.25974025974025899</v>
      </c>
      <c r="C9746" s="6">
        <v>0.44489636209250799</v>
      </c>
    </row>
    <row r="9747" spans="1:3" s="7" customFormat="1" x14ac:dyDescent="0.2">
      <c r="A9747" s="6" t="str">
        <f>"TRMT2B"</f>
        <v>TRMT2B</v>
      </c>
      <c r="B9747" s="6">
        <v>0.25974025974025899</v>
      </c>
      <c r="C9747" s="6">
        <v>0.44489636209250799</v>
      </c>
    </row>
    <row r="9748" spans="1:3" s="7" customFormat="1" x14ac:dyDescent="0.2">
      <c r="A9748" s="6" t="str">
        <f>"CHAC1"</f>
        <v>CHAC1</v>
      </c>
      <c r="B9748" s="6">
        <v>0.25974025974025899</v>
      </c>
      <c r="C9748" s="6">
        <v>0.44489636209250799</v>
      </c>
    </row>
    <row r="9749" spans="1:3" s="7" customFormat="1" x14ac:dyDescent="0.2">
      <c r="A9749" s="6" t="str">
        <f>"C8orf44"</f>
        <v>C8orf44</v>
      </c>
      <c r="B9749" s="6">
        <v>0.25974025974025899</v>
      </c>
      <c r="C9749" s="6">
        <v>0.44489636209250799</v>
      </c>
    </row>
    <row r="9750" spans="1:3" s="7" customFormat="1" x14ac:dyDescent="0.2">
      <c r="A9750" s="6" t="str">
        <f>"CLPX"</f>
        <v>CLPX</v>
      </c>
      <c r="B9750" s="6">
        <v>0.25974025974025899</v>
      </c>
      <c r="C9750" s="6">
        <v>0.44489636209250799</v>
      </c>
    </row>
    <row r="9751" spans="1:3" s="7" customFormat="1" x14ac:dyDescent="0.2">
      <c r="A9751" s="6" t="str">
        <f>"SPRY2"</f>
        <v>SPRY2</v>
      </c>
      <c r="B9751" s="6">
        <v>0.25974025974025899</v>
      </c>
      <c r="C9751" s="6">
        <v>0.44489636209250799</v>
      </c>
    </row>
    <row r="9752" spans="1:3" s="7" customFormat="1" x14ac:dyDescent="0.2">
      <c r="A9752" s="6" t="str">
        <f>"LINC02693"</f>
        <v>LINC02693</v>
      </c>
      <c r="B9752" s="6">
        <v>0.25974025974025899</v>
      </c>
      <c r="C9752" s="6">
        <v>0.44489636209250799</v>
      </c>
    </row>
    <row r="9753" spans="1:3" s="7" customFormat="1" x14ac:dyDescent="0.2">
      <c r="A9753" s="6" t="str">
        <f>"TSN"</f>
        <v>TSN</v>
      </c>
      <c r="B9753" s="6">
        <v>0.25974025974025899</v>
      </c>
      <c r="C9753" s="6">
        <v>0.44489636209250799</v>
      </c>
    </row>
    <row r="9754" spans="1:3" s="7" customFormat="1" x14ac:dyDescent="0.2">
      <c r="A9754" s="6" t="str">
        <f>"SRSF5"</f>
        <v>SRSF5</v>
      </c>
      <c r="B9754" s="6">
        <v>0.25974025974025899</v>
      </c>
      <c r="C9754" s="6">
        <v>0.44489636209250799</v>
      </c>
    </row>
    <row r="9755" spans="1:3" s="7" customFormat="1" x14ac:dyDescent="0.2">
      <c r="A9755" s="6" t="str">
        <f>"POLR3K"</f>
        <v>POLR3K</v>
      </c>
      <c r="B9755" s="6">
        <v>0.25974025974025899</v>
      </c>
      <c r="C9755" s="6">
        <v>0.44489636209250799</v>
      </c>
    </row>
    <row r="9756" spans="1:3" s="7" customFormat="1" x14ac:dyDescent="0.2">
      <c r="A9756" s="6" t="str">
        <f>"ARPC3"</f>
        <v>ARPC3</v>
      </c>
      <c r="B9756" s="6">
        <v>0.25974025974025899</v>
      </c>
      <c r="C9756" s="6">
        <v>0.44489636209250799</v>
      </c>
    </row>
    <row r="9757" spans="1:3" s="7" customFormat="1" x14ac:dyDescent="0.2">
      <c r="A9757" s="6" t="str">
        <f>"RB1-DT"</f>
        <v>RB1-DT</v>
      </c>
      <c r="B9757" s="6">
        <v>0.25974025974025899</v>
      </c>
      <c r="C9757" s="6">
        <v>0.44489636209250799</v>
      </c>
    </row>
    <row r="9758" spans="1:3" s="7" customFormat="1" x14ac:dyDescent="0.2">
      <c r="A9758" s="6" t="str">
        <f>"TEX46"</f>
        <v>TEX46</v>
      </c>
      <c r="B9758" s="6">
        <v>0.25951903807615201</v>
      </c>
      <c r="C9758" s="6">
        <v>0.44489636209250799</v>
      </c>
    </row>
    <row r="9759" spans="1:3" s="7" customFormat="1" x14ac:dyDescent="0.2">
      <c r="A9759" s="6" t="str">
        <f>"SLC25A33"</f>
        <v>SLC25A33</v>
      </c>
      <c r="B9759" s="6">
        <v>0.25974025974025899</v>
      </c>
      <c r="C9759" s="6">
        <v>0.44489636209250799</v>
      </c>
    </row>
    <row r="9760" spans="1:3" s="7" customFormat="1" x14ac:dyDescent="0.2">
      <c r="A9760" s="6" t="str">
        <f>"AC103706.1"</f>
        <v>AC103706.1</v>
      </c>
      <c r="B9760" s="6">
        <v>0.26</v>
      </c>
      <c r="C9760" s="6">
        <v>0.44529562455169502</v>
      </c>
    </row>
    <row r="9761" spans="1:3" s="7" customFormat="1" x14ac:dyDescent="0.2">
      <c r="A9761" s="6" t="str">
        <f>"Z82217.1"</f>
        <v>Z82217.1</v>
      </c>
      <c r="B9761" s="6">
        <v>0.26008064516128998</v>
      </c>
      <c r="C9761" s="6">
        <v>0.445388104838709</v>
      </c>
    </row>
    <row r="9762" spans="1:3" s="7" customFormat="1" x14ac:dyDescent="0.2">
      <c r="A9762" s="6" t="str">
        <f>"SUMO2"</f>
        <v>SUMO2</v>
      </c>
      <c r="B9762" s="6">
        <v>0.26073926073926001</v>
      </c>
      <c r="C9762" s="6">
        <v>0.44592203049176299</v>
      </c>
    </row>
    <row r="9763" spans="1:3" s="7" customFormat="1" x14ac:dyDescent="0.2">
      <c r="A9763" s="6" t="str">
        <f>"NUDT18"</f>
        <v>NUDT18</v>
      </c>
      <c r="B9763" s="6">
        <v>0.26073926073926001</v>
      </c>
      <c r="C9763" s="6">
        <v>0.44592203049176299</v>
      </c>
    </row>
    <row r="9764" spans="1:3" s="7" customFormat="1" x14ac:dyDescent="0.2">
      <c r="A9764" s="6" t="str">
        <f>"WASL"</f>
        <v>WASL</v>
      </c>
      <c r="B9764" s="6">
        <v>0.26073926073926001</v>
      </c>
      <c r="C9764" s="6">
        <v>0.44592203049176299</v>
      </c>
    </row>
    <row r="9765" spans="1:3" s="7" customFormat="1" x14ac:dyDescent="0.2">
      <c r="A9765" s="6" t="str">
        <f>"EEPD1"</f>
        <v>EEPD1</v>
      </c>
      <c r="B9765" s="6">
        <v>0.26073926073926001</v>
      </c>
      <c r="C9765" s="6">
        <v>0.44592203049176299</v>
      </c>
    </row>
    <row r="9766" spans="1:3" s="7" customFormat="1" x14ac:dyDescent="0.2">
      <c r="A9766" s="6" t="str">
        <f>"STAG3"</f>
        <v>STAG3</v>
      </c>
      <c r="B9766" s="6">
        <v>0.26073926073926001</v>
      </c>
      <c r="C9766" s="6">
        <v>0.44592203049176299</v>
      </c>
    </row>
    <row r="9767" spans="1:3" s="7" customFormat="1" x14ac:dyDescent="0.2">
      <c r="A9767" s="6" t="str">
        <f>"LYG1"</f>
        <v>LYG1</v>
      </c>
      <c r="B9767" s="6">
        <v>0.26073926073926001</v>
      </c>
      <c r="C9767" s="6">
        <v>0.44592203049176299</v>
      </c>
    </row>
    <row r="9768" spans="1:3" s="7" customFormat="1" x14ac:dyDescent="0.2">
      <c r="A9768" s="6" t="str">
        <f>"NAP1L1"</f>
        <v>NAP1L1</v>
      </c>
      <c r="B9768" s="6">
        <v>0.26073926073926001</v>
      </c>
      <c r="C9768" s="6">
        <v>0.44592203049176299</v>
      </c>
    </row>
    <row r="9769" spans="1:3" s="7" customFormat="1" x14ac:dyDescent="0.2">
      <c r="A9769" s="6" t="str">
        <f>"TSPYL1"</f>
        <v>TSPYL1</v>
      </c>
      <c r="B9769" s="6">
        <v>0.26073926073926001</v>
      </c>
      <c r="C9769" s="6">
        <v>0.44592203049176299</v>
      </c>
    </row>
    <row r="9770" spans="1:3" s="7" customFormat="1" x14ac:dyDescent="0.2">
      <c r="A9770" s="6" t="str">
        <f>"NAP1L2"</f>
        <v>NAP1L2</v>
      </c>
      <c r="B9770" s="6">
        <v>0.26073926073926001</v>
      </c>
      <c r="C9770" s="6">
        <v>0.44592203049176299</v>
      </c>
    </row>
    <row r="9771" spans="1:3" s="7" customFormat="1" x14ac:dyDescent="0.2">
      <c r="A9771" s="6" t="str">
        <f>"QDPR"</f>
        <v>QDPR</v>
      </c>
      <c r="B9771" s="6">
        <v>0.26073926073926001</v>
      </c>
      <c r="C9771" s="6">
        <v>0.44592203049176299</v>
      </c>
    </row>
    <row r="9772" spans="1:3" s="7" customFormat="1" x14ac:dyDescent="0.2">
      <c r="A9772" s="6" t="str">
        <f>"AL591684.2"</f>
        <v>AL591684.2</v>
      </c>
      <c r="B9772" s="6">
        <v>0.26073926073926001</v>
      </c>
      <c r="C9772" s="6">
        <v>0.44592203049176299</v>
      </c>
    </row>
    <row r="9773" spans="1:3" s="7" customFormat="1" x14ac:dyDescent="0.2">
      <c r="A9773" s="6" t="str">
        <f>"FAM43A"</f>
        <v>FAM43A</v>
      </c>
      <c r="B9773" s="6">
        <v>0.26073926073926001</v>
      </c>
      <c r="C9773" s="6">
        <v>0.44592203049176299</v>
      </c>
    </row>
    <row r="9774" spans="1:3" s="7" customFormat="1" x14ac:dyDescent="0.2">
      <c r="A9774" s="6" t="str">
        <f>"KDELR2"</f>
        <v>KDELR2</v>
      </c>
      <c r="B9774" s="6">
        <v>0.26073926073926001</v>
      </c>
      <c r="C9774" s="6">
        <v>0.44592203049176299</v>
      </c>
    </row>
    <row r="9775" spans="1:3" s="7" customFormat="1" x14ac:dyDescent="0.2">
      <c r="A9775" s="6" t="str">
        <f>"PF4V1"</f>
        <v>PF4V1</v>
      </c>
      <c r="B9775" s="6">
        <v>0.26082578046324201</v>
      </c>
      <c r="C9775" s="6">
        <v>0.44602436000231599</v>
      </c>
    </row>
    <row r="9776" spans="1:3" s="7" customFormat="1" x14ac:dyDescent="0.2">
      <c r="A9776" s="6" t="str">
        <f>"LINC02432"</f>
        <v>LINC02432</v>
      </c>
      <c r="B9776" s="6">
        <v>0.26100000000000001</v>
      </c>
      <c r="C9776" s="6">
        <v>0.44623097381341997</v>
      </c>
    </row>
    <row r="9777" spans="1:3" s="7" customFormat="1" x14ac:dyDescent="0.2">
      <c r="A9777" s="6" t="str">
        <f>"XYLT2"</f>
        <v>XYLT2</v>
      </c>
      <c r="B9777" s="6">
        <v>0.26100000000000001</v>
      </c>
      <c r="C9777" s="6">
        <v>0.44623097381341997</v>
      </c>
    </row>
    <row r="9778" spans="1:3" s="7" customFormat="1" x14ac:dyDescent="0.2">
      <c r="A9778" s="6" t="str">
        <f>"SLC22A1"</f>
        <v>SLC22A1</v>
      </c>
      <c r="B9778" s="6">
        <v>0.26173826173826098</v>
      </c>
      <c r="C9778" s="6">
        <v>0.44699022240659098</v>
      </c>
    </row>
    <row r="9779" spans="1:3" s="7" customFormat="1" x14ac:dyDescent="0.2">
      <c r="A9779" s="6" t="str">
        <f>"CERS6"</f>
        <v>CERS6</v>
      </c>
      <c r="B9779" s="6">
        <v>0.26173826173826098</v>
      </c>
      <c r="C9779" s="6">
        <v>0.44699022240659098</v>
      </c>
    </row>
    <row r="9780" spans="1:3" s="7" customFormat="1" x14ac:dyDescent="0.2">
      <c r="A9780" s="6" t="str">
        <f>"TAPBPL"</f>
        <v>TAPBPL</v>
      </c>
      <c r="B9780" s="6">
        <v>0.26173826173826098</v>
      </c>
      <c r="C9780" s="6">
        <v>0.44699022240659098</v>
      </c>
    </row>
    <row r="9781" spans="1:3" s="7" customFormat="1" x14ac:dyDescent="0.2">
      <c r="A9781" s="6" t="str">
        <f>"FRY"</f>
        <v>FRY</v>
      </c>
      <c r="B9781" s="6">
        <v>0.26173826173826098</v>
      </c>
      <c r="C9781" s="6">
        <v>0.44699022240659098</v>
      </c>
    </row>
    <row r="9782" spans="1:3" s="7" customFormat="1" x14ac:dyDescent="0.2">
      <c r="A9782" s="6" t="str">
        <f>"BTN3A2"</f>
        <v>BTN3A2</v>
      </c>
      <c r="B9782" s="6">
        <v>0.26173826173826098</v>
      </c>
      <c r="C9782" s="6">
        <v>0.44699022240659098</v>
      </c>
    </row>
    <row r="9783" spans="1:3" s="7" customFormat="1" x14ac:dyDescent="0.2">
      <c r="A9783" s="6" t="str">
        <f>"XPNPEP1"</f>
        <v>XPNPEP1</v>
      </c>
      <c r="B9783" s="6">
        <v>0.26173826173826098</v>
      </c>
      <c r="C9783" s="6">
        <v>0.44699022240659098</v>
      </c>
    </row>
    <row r="9784" spans="1:3" s="7" customFormat="1" x14ac:dyDescent="0.2">
      <c r="A9784" s="6" t="str">
        <f>"PNKP"</f>
        <v>PNKP</v>
      </c>
      <c r="B9784" s="6">
        <v>0.26173826173826098</v>
      </c>
      <c r="C9784" s="6">
        <v>0.44699022240659098</v>
      </c>
    </row>
    <row r="9785" spans="1:3" s="7" customFormat="1" x14ac:dyDescent="0.2">
      <c r="A9785" s="6" t="str">
        <f>"AC011484.1"</f>
        <v>AC011484.1</v>
      </c>
      <c r="B9785" s="6">
        <v>0.26173826173826098</v>
      </c>
      <c r="C9785" s="6">
        <v>0.44699022240659098</v>
      </c>
    </row>
    <row r="9786" spans="1:3" s="7" customFormat="1" x14ac:dyDescent="0.2">
      <c r="A9786" s="6" t="str">
        <f>"TUSC1"</f>
        <v>TUSC1</v>
      </c>
      <c r="B9786" s="6">
        <v>0.26173826173826098</v>
      </c>
      <c r="C9786" s="6">
        <v>0.44699022240659098</v>
      </c>
    </row>
    <row r="9787" spans="1:3" s="7" customFormat="1" x14ac:dyDescent="0.2">
      <c r="A9787" s="6" t="str">
        <f>"AL109955.1"</f>
        <v>AL109955.1</v>
      </c>
      <c r="B9787" s="6">
        <v>0.26173826173826098</v>
      </c>
      <c r="C9787" s="6">
        <v>0.44699022240659098</v>
      </c>
    </row>
    <row r="9788" spans="1:3" s="7" customFormat="1" x14ac:dyDescent="0.2">
      <c r="A9788" s="6" t="str">
        <f>"CFAP298"</f>
        <v>CFAP298</v>
      </c>
      <c r="B9788" s="6">
        <v>0.26173826173826098</v>
      </c>
      <c r="C9788" s="6">
        <v>0.44699022240659098</v>
      </c>
    </row>
    <row r="9789" spans="1:3" s="7" customFormat="1" x14ac:dyDescent="0.2">
      <c r="A9789" s="6" t="str">
        <f>"LINC02754"</f>
        <v>LINC02754</v>
      </c>
      <c r="B9789" s="6">
        <v>0.26200000000000001</v>
      </c>
      <c r="C9789" s="6">
        <v>0.447391499795668</v>
      </c>
    </row>
    <row r="9790" spans="1:3" s="7" customFormat="1" x14ac:dyDescent="0.2">
      <c r="A9790" s="6" t="str">
        <f>"TSHR"</f>
        <v>TSHR</v>
      </c>
      <c r="B9790" s="6">
        <v>0.26204819277108399</v>
      </c>
      <c r="C9790" s="6">
        <v>0.44742808192623301</v>
      </c>
    </row>
    <row r="9791" spans="1:3" s="7" customFormat="1" x14ac:dyDescent="0.2">
      <c r="A9791" s="6" t="str">
        <f>"AL360270.3"</f>
        <v>AL360270.3</v>
      </c>
      <c r="B9791" s="6">
        <v>0.26211453744493302</v>
      </c>
      <c r="C9791" s="6">
        <v>0.44749564646114598</v>
      </c>
    </row>
    <row r="9792" spans="1:3" s="7" customFormat="1" x14ac:dyDescent="0.2">
      <c r="A9792" s="6" t="str">
        <f>"IGKV1D-39"</f>
        <v>IGKV1D-39</v>
      </c>
      <c r="B9792" s="6">
        <v>0.262737262737262</v>
      </c>
      <c r="C9792" s="6">
        <v>0.447735584154833</v>
      </c>
    </row>
    <row r="9793" spans="1:3" s="7" customFormat="1" x14ac:dyDescent="0.2">
      <c r="A9793" s="6" t="str">
        <f>"AC037198.2"</f>
        <v>AC037198.2</v>
      </c>
      <c r="B9793" s="6">
        <v>0.262737262737262</v>
      </c>
      <c r="C9793" s="6">
        <v>0.447735584154833</v>
      </c>
    </row>
    <row r="9794" spans="1:3" s="7" customFormat="1" x14ac:dyDescent="0.2">
      <c r="A9794" s="6" t="str">
        <f>"KIF13B"</f>
        <v>KIF13B</v>
      </c>
      <c r="B9794" s="6">
        <v>0.262737262737262</v>
      </c>
      <c r="C9794" s="6">
        <v>0.447735584154833</v>
      </c>
    </row>
    <row r="9795" spans="1:3" s="7" customFormat="1" x14ac:dyDescent="0.2">
      <c r="A9795" s="6" t="str">
        <f>"GCLC"</f>
        <v>GCLC</v>
      </c>
      <c r="B9795" s="6">
        <v>0.262737262737262</v>
      </c>
      <c r="C9795" s="6">
        <v>0.447735584154833</v>
      </c>
    </row>
    <row r="9796" spans="1:3" s="7" customFormat="1" x14ac:dyDescent="0.2">
      <c r="A9796" s="6" t="str">
        <f>"HIVEP1"</f>
        <v>HIVEP1</v>
      </c>
      <c r="B9796" s="6">
        <v>0.262737262737262</v>
      </c>
      <c r="C9796" s="6">
        <v>0.447735584154833</v>
      </c>
    </row>
    <row r="9797" spans="1:3" s="7" customFormat="1" x14ac:dyDescent="0.2">
      <c r="A9797" s="6" t="str">
        <f>"LINC01635"</f>
        <v>LINC01635</v>
      </c>
      <c r="B9797" s="6">
        <v>0.262737262737262</v>
      </c>
      <c r="C9797" s="6">
        <v>0.447735584154833</v>
      </c>
    </row>
    <row r="9798" spans="1:3" s="7" customFormat="1" x14ac:dyDescent="0.2">
      <c r="A9798" s="6" t="str">
        <f>"THEM4"</f>
        <v>THEM4</v>
      </c>
      <c r="B9798" s="6">
        <v>0.262737262737262</v>
      </c>
      <c r="C9798" s="6">
        <v>0.447735584154833</v>
      </c>
    </row>
    <row r="9799" spans="1:3" s="7" customFormat="1" x14ac:dyDescent="0.2">
      <c r="A9799" s="6" t="str">
        <f>"TMEM192"</f>
        <v>TMEM192</v>
      </c>
      <c r="B9799" s="6">
        <v>0.262737262737262</v>
      </c>
      <c r="C9799" s="6">
        <v>0.447735584154833</v>
      </c>
    </row>
    <row r="9800" spans="1:3" s="7" customFormat="1" x14ac:dyDescent="0.2">
      <c r="A9800" s="6" t="str">
        <f>"PI4K2B"</f>
        <v>PI4K2B</v>
      </c>
      <c r="B9800" s="6">
        <v>0.262737262737262</v>
      </c>
      <c r="C9800" s="6">
        <v>0.447735584154833</v>
      </c>
    </row>
    <row r="9801" spans="1:3" s="7" customFormat="1" x14ac:dyDescent="0.2">
      <c r="A9801" s="6" t="str">
        <f>"SCOC"</f>
        <v>SCOC</v>
      </c>
      <c r="B9801" s="6">
        <v>0.262737262737262</v>
      </c>
      <c r="C9801" s="6">
        <v>0.447735584154833</v>
      </c>
    </row>
    <row r="9802" spans="1:3" s="7" customFormat="1" x14ac:dyDescent="0.2">
      <c r="A9802" s="6" t="str">
        <f>"KIAA1143"</f>
        <v>KIAA1143</v>
      </c>
      <c r="B9802" s="6">
        <v>0.262737262737262</v>
      </c>
      <c r="C9802" s="6">
        <v>0.447735584154833</v>
      </c>
    </row>
    <row r="9803" spans="1:3" s="7" customFormat="1" x14ac:dyDescent="0.2">
      <c r="A9803" s="6" t="str">
        <f>"AP002761.4"</f>
        <v>AP002761.4</v>
      </c>
      <c r="B9803" s="6">
        <v>0.262737262737262</v>
      </c>
      <c r="C9803" s="6">
        <v>0.447735584154833</v>
      </c>
    </row>
    <row r="9804" spans="1:3" s="7" customFormat="1" x14ac:dyDescent="0.2">
      <c r="A9804" s="6" t="str">
        <f>"ABHD12"</f>
        <v>ABHD12</v>
      </c>
      <c r="B9804" s="6">
        <v>0.262737262737262</v>
      </c>
      <c r="C9804" s="6">
        <v>0.447735584154833</v>
      </c>
    </row>
    <row r="9805" spans="1:3" s="7" customFormat="1" x14ac:dyDescent="0.2">
      <c r="A9805" s="6" t="str">
        <f>"POMGNT1"</f>
        <v>POMGNT1</v>
      </c>
      <c r="B9805" s="6">
        <v>0.262737262737262</v>
      </c>
      <c r="C9805" s="6">
        <v>0.447735584154833</v>
      </c>
    </row>
    <row r="9806" spans="1:3" s="7" customFormat="1" x14ac:dyDescent="0.2">
      <c r="A9806" s="6" t="str">
        <f>"STEAP1B"</f>
        <v>STEAP1B</v>
      </c>
      <c r="B9806" s="6">
        <v>0.262737262737262</v>
      </c>
      <c r="C9806" s="6">
        <v>0.447735584154833</v>
      </c>
    </row>
    <row r="9807" spans="1:3" s="7" customFormat="1" x14ac:dyDescent="0.2">
      <c r="A9807" s="6" t="str">
        <f>"TST"</f>
        <v>TST</v>
      </c>
      <c r="B9807" s="6">
        <v>0.262737262737262</v>
      </c>
      <c r="C9807" s="6">
        <v>0.447735584154833</v>
      </c>
    </row>
    <row r="9808" spans="1:3" s="7" customFormat="1" x14ac:dyDescent="0.2">
      <c r="A9808" s="6" t="str">
        <f>"ERLEC1"</f>
        <v>ERLEC1</v>
      </c>
      <c r="B9808" s="6">
        <v>0.262737262737262</v>
      </c>
      <c r="C9808" s="6">
        <v>0.447735584154833</v>
      </c>
    </row>
    <row r="9809" spans="1:3" s="7" customFormat="1" x14ac:dyDescent="0.2">
      <c r="A9809" s="6" t="str">
        <f>"ERBIN"</f>
        <v>ERBIN</v>
      </c>
      <c r="B9809" s="6">
        <v>0.262737262737262</v>
      </c>
      <c r="C9809" s="6">
        <v>0.447735584154833</v>
      </c>
    </row>
    <row r="9810" spans="1:3" s="7" customFormat="1" x14ac:dyDescent="0.2">
      <c r="A9810" s="6" t="str">
        <f>"SF3A3"</f>
        <v>SF3A3</v>
      </c>
      <c r="B9810" s="6">
        <v>0.26300000000000001</v>
      </c>
      <c r="C9810" s="6">
        <v>0.44809194699286398</v>
      </c>
    </row>
    <row r="9811" spans="1:3" s="7" customFormat="1" x14ac:dyDescent="0.2">
      <c r="A9811" s="6" t="str">
        <f>"AC005839.1"</f>
        <v>AC005839.1</v>
      </c>
      <c r="B9811" s="6">
        <v>0.26300000000000001</v>
      </c>
      <c r="C9811" s="6">
        <v>0.44809194699286398</v>
      </c>
    </row>
    <row r="9812" spans="1:3" s="7" customFormat="1" x14ac:dyDescent="0.2">
      <c r="A9812" s="6" t="str">
        <f>"AC005037.1"</f>
        <v>AC005037.1</v>
      </c>
      <c r="B9812" s="6">
        <v>0.26315789473684198</v>
      </c>
      <c r="C9812" s="6">
        <v>0.44831526374799402</v>
      </c>
    </row>
    <row r="9813" spans="1:3" s="7" customFormat="1" x14ac:dyDescent="0.2">
      <c r="A9813" s="6" t="str">
        <f>"YIPF6"</f>
        <v>YIPF6</v>
      </c>
      <c r="B9813" s="6">
        <v>0.26373626373626302</v>
      </c>
      <c r="C9813" s="6">
        <v>0.44847776092053199</v>
      </c>
    </row>
    <row r="9814" spans="1:3" s="7" customFormat="1" x14ac:dyDescent="0.2">
      <c r="A9814" s="6" t="str">
        <f>"ZNF571"</f>
        <v>ZNF571</v>
      </c>
      <c r="B9814" s="6">
        <v>0.26373626373626302</v>
      </c>
      <c r="C9814" s="6">
        <v>0.44847776092053199</v>
      </c>
    </row>
    <row r="9815" spans="1:3" s="7" customFormat="1" x14ac:dyDescent="0.2">
      <c r="A9815" s="6" t="str">
        <f>"PPM1K"</f>
        <v>PPM1K</v>
      </c>
      <c r="B9815" s="6">
        <v>0.26373626373626302</v>
      </c>
      <c r="C9815" s="6">
        <v>0.44847776092053199</v>
      </c>
    </row>
    <row r="9816" spans="1:3" s="7" customFormat="1" x14ac:dyDescent="0.2">
      <c r="A9816" s="6" t="str">
        <f>"ANKRD19P"</f>
        <v>ANKRD19P</v>
      </c>
      <c r="B9816" s="6">
        <v>0.26373626373626302</v>
      </c>
      <c r="C9816" s="6">
        <v>0.44847776092053199</v>
      </c>
    </row>
    <row r="9817" spans="1:3" s="7" customFormat="1" x14ac:dyDescent="0.2">
      <c r="A9817" s="6" t="str">
        <f>"ATP10D"</f>
        <v>ATP10D</v>
      </c>
      <c r="B9817" s="6">
        <v>0.26373626373626302</v>
      </c>
      <c r="C9817" s="6">
        <v>0.44847776092053199</v>
      </c>
    </row>
    <row r="9818" spans="1:3" s="7" customFormat="1" x14ac:dyDescent="0.2">
      <c r="A9818" s="6" t="str">
        <f>"FAM230J"</f>
        <v>FAM230J</v>
      </c>
      <c r="B9818" s="6">
        <v>0.26373626373626302</v>
      </c>
      <c r="C9818" s="6">
        <v>0.44847776092053199</v>
      </c>
    </row>
    <row r="9819" spans="1:3" s="7" customFormat="1" x14ac:dyDescent="0.2">
      <c r="A9819" s="6" t="str">
        <f>"LINC00342"</f>
        <v>LINC00342</v>
      </c>
      <c r="B9819" s="6">
        <v>0.26373626373626302</v>
      </c>
      <c r="C9819" s="6">
        <v>0.44847776092053199</v>
      </c>
    </row>
    <row r="9820" spans="1:3" s="7" customFormat="1" x14ac:dyDescent="0.2">
      <c r="A9820" s="6" t="str">
        <f>"AHCTF1"</f>
        <v>AHCTF1</v>
      </c>
      <c r="B9820" s="6">
        <v>0.26373626373626302</v>
      </c>
      <c r="C9820" s="6">
        <v>0.44847776092053199</v>
      </c>
    </row>
    <row r="9821" spans="1:3" s="7" customFormat="1" x14ac:dyDescent="0.2">
      <c r="A9821" s="6" t="str">
        <f>"PAXBP1"</f>
        <v>PAXBP1</v>
      </c>
      <c r="B9821" s="6">
        <v>0.26373626373626302</v>
      </c>
      <c r="C9821" s="6">
        <v>0.44847776092053199</v>
      </c>
    </row>
    <row r="9822" spans="1:3" s="7" customFormat="1" x14ac:dyDescent="0.2">
      <c r="A9822" s="6" t="str">
        <f>"SLC35A4"</f>
        <v>SLC35A4</v>
      </c>
      <c r="B9822" s="6">
        <v>0.26373626373626302</v>
      </c>
      <c r="C9822" s="6">
        <v>0.44847776092053199</v>
      </c>
    </row>
    <row r="9823" spans="1:3" s="7" customFormat="1" x14ac:dyDescent="0.2">
      <c r="A9823" s="6" t="str">
        <f>"TOMM40L"</f>
        <v>TOMM40L</v>
      </c>
      <c r="B9823" s="6">
        <v>0.26373626373626302</v>
      </c>
      <c r="C9823" s="6">
        <v>0.44847776092053199</v>
      </c>
    </row>
    <row r="9824" spans="1:3" s="7" customFormat="1" x14ac:dyDescent="0.2">
      <c r="A9824" s="6" t="str">
        <f>"SPARC"</f>
        <v>SPARC</v>
      </c>
      <c r="B9824" s="6">
        <v>0.26373626373626302</v>
      </c>
      <c r="C9824" s="6">
        <v>0.44847776092053199</v>
      </c>
    </row>
    <row r="9825" spans="1:3" s="7" customFormat="1" x14ac:dyDescent="0.2">
      <c r="A9825" s="6" t="str">
        <f>"SMIM14"</f>
        <v>SMIM14</v>
      </c>
      <c r="B9825" s="6">
        <v>0.26373626373626302</v>
      </c>
      <c r="C9825" s="6">
        <v>0.44847776092053199</v>
      </c>
    </row>
    <row r="9826" spans="1:3" s="7" customFormat="1" x14ac:dyDescent="0.2">
      <c r="A9826" s="6" t="str">
        <f>"CLN3"</f>
        <v>CLN3</v>
      </c>
      <c r="B9826" s="6">
        <v>0.26373626373626302</v>
      </c>
      <c r="C9826" s="6">
        <v>0.44847776092053199</v>
      </c>
    </row>
    <row r="9827" spans="1:3" s="7" customFormat="1" x14ac:dyDescent="0.2">
      <c r="A9827" s="6" t="str">
        <f>"GTF2IP13"</f>
        <v>GTF2IP13</v>
      </c>
      <c r="B9827" s="6">
        <v>0.26373626373626302</v>
      </c>
      <c r="C9827" s="6">
        <v>0.44847776092053199</v>
      </c>
    </row>
    <row r="9828" spans="1:3" s="7" customFormat="1" x14ac:dyDescent="0.2">
      <c r="A9828" s="6" t="str">
        <f>"METTL21A"</f>
        <v>METTL21A</v>
      </c>
      <c r="B9828" s="6">
        <v>0.26373626373626302</v>
      </c>
      <c r="C9828" s="6">
        <v>0.44847776092053199</v>
      </c>
    </row>
    <row r="9829" spans="1:3" s="7" customFormat="1" x14ac:dyDescent="0.2">
      <c r="A9829" s="6" t="str">
        <f>"RHOBTB3"</f>
        <v>RHOBTB3</v>
      </c>
      <c r="B9829" s="6">
        <v>0.26373626373626302</v>
      </c>
      <c r="C9829" s="6">
        <v>0.44847776092053199</v>
      </c>
    </row>
    <row r="9830" spans="1:3" s="7" customFormat="1" x14ac:dyDescent="0.2">
      <c r="A9830" s="6" t="str">
        <f>"SMIM5"</f>
        <v>SMIM5</v>
      </c>
      <c r="B9830" s="6">
        <v>0.26373626373626302</v>
      </c>
      <c r="C9830" s="6">
        <v>0.44847776092053199</v>
      </c>
    </row>
    <row r="9831" spans="1:3" s="7" customFormat="1" x14ac:dyDescent="0.2">
      <c r="A9831" s="6" t="str">
        <f>"LRRN1"</f>
        <v>LRRN1</v>
      </c>
      <c r="B9831" s="6">
        <v>0.26400000000000001</v>
      </c>
      <c r="C9831" s="6">
        <v>0.44874361842774302</v>
      </c>
    </row>
    <row r="9832" spans="1:3" s="7" customFormat="1" x14ac:dyDescent="0.2">
      <c r="A9832" s="6" t="str">
        <f>"AL359955.1"</f>
        <v>AL359955.1</v>
      </c>
      <c r="B9832" s="6">
        <v>0.26400000000000001</v>
      </c>
      <c r="C9832" s="6">
        <v>0.44874361842774302</v>
      </c>
    </row>
    <row r="9833" spans="1:3" s="7" customFormat="1" x14ac:dyDescent="0.2">
      <c r="A9833" s="6" t="str">
        <f>"TERB1"</f>
        <v>TERB1</v>
      </c>
      <c r="B9833" s="6">
        <v>0.26400000000000001</v>
      </c>
      <c r="C9833" s="6">
        <v>0.44874361842774302</v>
      </c>
    </row>
    <row r="9834" spans="1:3" s="7" customFormat="1" x14ac:dyDescent="0.2">
      <c r="A9834" s="6" t="str">
        <f>"PPTC7"</f>
        <v>PPTC7</v>
      </c>
      <c r="B9834" s="6">
        <v>0.26400000000000001</v>
      </c>
      <c r="C9834" s="6">
        <v>0.44874361842774302</v>
      </c>
    </row>
    <row r="9835" spans="1:3" s="7" customFormat="1" x14ac:dyDescent="0.2">
      <c r="A9835" s="6" t="str">
        <f>"L1TD1"</f>
        <v>L1TD1</v>
      </c>
      <c r="B9835" s="6">
        <v>0.26405622489959801</v>
      </c>
      <c r="C9835" s="6">
        <v>0.448793547180383</v>
      </c>
    </row>
    <row r="9836" spans="1:3" s="7" customFormat="1" x14ac:dyDescent="0.2">
      <c r="A9836" s="6" t="str">
        <f>"AC010883.3"</f>
        <v>AC010883.3</v>
      </c>
      <c r="B9836" s="6">
        <v>0.26426426426426403</v>
      </c>
      <c r="C9836" s="6">
        <v>0.44910146547157198</v>
      </c>
    </row>
    <row r="9837" spans="1:3" s="7" customFormat="1" x14ac:dyDescent="0.2">
      <c r="A9837" s="6" t="str">
        <f>"SLC46A3"</f>
        <v>SLC46A3</v>
      </c>
      <c r="B9837" s="6">
        <v>0.26473526473526399</v>
      </c>
      <c r="C9837" s="6">
        <v>0.44912558006345998</v>
      </c>
    </row>
    <row r="9838" spans="1:3" s="7" customFormat="1" x14ac:dyDescent="0.2">
      <c r="A9838" s="6" t="str">
        <f>"AP003307.1"</f>
        <v>AP003307.1</v>
      </c>
      <c r="B9838" s="6">
        <v>0.26473526473526399</v>
      </c>
      <c r="C9838" s="6">
        <v>0.44912558006345998</v>
      </c>
    </row>
    <row r="9839" spans="1:3" s="7" customFormat="1" x14ac:dyDescent="0.2">
      <c r="A9839" s="6" t="str">
        <f>"FAM133B"</f>
        <v>FAM133B</v>
      </c>
      <c r="B9839" s="6">
        <v>0.26473526473526399</v>
      </c>
      <c r="C9839" s="6">
        <v>0.44912558006345998</v>
      </c>
    </row>
    <row r="9840" spans="1:3" s="7" customFormat="1" x14ac:dyDescent="0.2">
      <c r="A9840" s="6" t="str">
        <f>"NCAM2"</f>
        <v>NCAM2</v>
      </c>
      <c r="B9840" s="6">
        <v>0.26473526473526399</v>
      </c>
      <c r="C9840" s="6">
        <v>0.44912558006345998</v>
      </c>
    </row>
    <row r="9841" spans="1:3" s="7" customFormat="1" x14ac:dyDescent="0.2">
      <c r="A9841" s="6" t="str">
        <f>"BCL2"</f>
        <v>BCL2</v>
      </c>
      <c r="B9841" s="6">
        <v>0.26473526473526399</v>
      </c>
      <c r="C9841" s="6">
        <v>0.44912558006345998</v>
      </c>
    </row>
    <row r="9842" spans="1:3" s="7" customFormat="1" x14ac:dyDescent="0.2">
      <c r="A9842" s="6" t="str">
        <f>"TMEM187"</f>
        <v>TMEM187</v>
      </c>
      <c r="B9842" s="6">
        <v>0.26473526473526399</v>
      </c>
      <c r="C9842" s="6">
        <v>0.44912558006345998</v>
      </c>
    </row>
    <row r="9843" spans="1:3" s="7" customFormat="1" x14ac:dyDescent="0.2">
      <c r="A9843" s="6" t="str">
        <f>"TTC24"</f>
        <v>TTC24</v>
      </c>
      <c r="B9843" s="6">
        <v>0.26473526473526399</v>
      </c>
      <c r="C9843" s="6">
        <v>0.44912558006345998</v>
      </c>
    </row>
    <row r="9844" spans="1:3" s="7" customFormat="1" x14ac:dyDescent="0.2">
      <c r="A9844" s="6" t="str">
        <f>"TNS1"</f>
        <v>TNS1</v>
      </c>
      <c r="B9844" s="6">
        <v>0.26473526473526399</v>
      </c>
      <c r="C9844" s="6">
        <v>0.44912558006345998</v>
      </c>
    </row>
    <row r="9845" spans="1:3" s="7" customFormat="1" x14ac:dyDescent="0.2">
      <c r="A9845" s="6" t="str">
        <f>"MICOS10"</f>
        <v>MICOS10</v>
      </c>
      <c r="B9845" s="6">
        <v>0.26473526473526399</v>
      </c>
      <c r="C9845" s="6">
        <v>0.44912558006345998</v>
      </c>
    </row>
    <row r="9846" spans="1:3" s="7" customFormat="1" x14ac:dyDescent="0.2">
      <c r="A9846" s="6" t="str">
        <f>"ZNF775"</f>
        <v>ZNF775</v>
      </c>
      <c r="B9846" s="6">
        <v>0.26473526473526399</v>
      </c>
      <c r="C9846" s="6">
        <v>0.44912558006345998</v>
      </c>
    </row>
    <row r="9847" spans="1:3" s="7" customFormat="1" x14ac:dyDescent="0.2">
      <c r="A9847" s="6" t="str">
        <f>"SLC25A20"</f>
        <v>SLC25A20</v>
      </c>
      <c r="B9847" s="6">
        <v>0.26473526473526399</v>
      </c>
      <c r="C9847" s="6">
        <v>0.44912558006345998</v>
      </c>
    </row>
    <row r="9848" spans="1:3" s="7" customFormat="1" x14ac:dyDescent="0.2">
      <c r="A9848" s="6" t="str">
        <f>"LARP4"</f>
        <v>LARP4</v>
      </c>
      <c r="B9848" s="6">
        <v>0.26473526473526399</v>
      </c>
      <c r="C9848" s="6">
        <v>0.44912558006345998</v>
      </c>
    </row>
    <row r="9849" spans="1:3" s="7" customFormat="1" x14ac:dyDescent="0.2">
      <c r="A9849" s="6" t="str">
        <f>"AL139393.2"</f>
        <v>AL139393.2</v>
      </c>
      <c r="B9849" s="6">
        <v>0.26473526473526399</v>
      </c>
      <c r="C9849" s="6">
        <v>0.44912558006345998</v>
      </c>
    </row>
    <row r="9850" spans="1:3" s="7" customFormat="1" x14ac:dyDescent="0.2">
      <c r="A9850" s="6" t="str">
        <f>"MEI1"</f>
        <v>MEI1</v>
      </c>
      <c r="B9850" s="6">
        <v>0.26473526473526399</v>
      </c>
      <c r="C9850" s="6">
        <v>0.44912558006345998</v>
      </c>
    </row>
    <row r="9851" spans="1:3" s="7" customFormat="1" x14ac:dyDescent="0.2">
      <c r="A9851" s="6" t="str">
        <f>"NSRP1"</f>
        <v>NSRP1</v>
      </c>
      <c r="B9851" s="6">
        <v>0.26473526473526399</v>
      </c>
      <c r="C9851" s="6">
        <v>0.44912558006345998</v>
      </c>
    </row>
    <row r="9852" spans="1:3" s="7" customFormat="1" x14ac:dyDescent="0.2">
      <c r="A9852" s="6" t="str">
        <f>"AL592430.1"</f>
        <v>AL592430.1</v>
      </c>
      <c r="B9852" s="6">
        <v>0.26473526473526399</v>
      </c>
      <c r="C9852" s="6">
        <v>0.44912558006345998</v>
      </c>
    </row>
    <row r="9853" spans="1:3" s="7" customFormat="1" x14ac:dyDescent="0.2">
      <c r="A9853" s="6" t="str">
        <f>"RASGEF1A"</f>
        <v>RASGEF1A</v>
      </c>
      <c r="B9853" s="6">
        <v>0.26473526473526399</v>
      </c>
      <c r="C9853" s="6">
        <v>0.44912558006345998</v>
      </c>
    </row>
    <row r="9854" spans="1:3" s="7" customFormat="1" x14ac:dyDescent="0.2">
      <c r="A9854" s="6" t="str">
        <f>"AC097637.1"</f>
        <v>AC097637.1</v>
      </c>
      <c r="B9854" s="6">
        <v>0.26573426573426501</v>
      </c>
      <c r="C9854" s="6">
        <v>0.450180672763279</v>
      </c>
    </row>
    <row r="9855" spans="1:3" s="7" customFormat="1" x14ac:dyDescent="0.2">
      <c r="A9855" s="6" t="str">
        <f>"NARF"</f>
        <v>NARF</v>
      </c>
      <c r="B9855" s="6">
        <v>0.26573426573426501</v>
      </c>
      <c r="C9855" s="6">
        <v>0.450180672763279</v>
      </c>
    </row>
    <row r="9856" spans="1:3" s="7" customFormat="1" x14ac:dyDescent="0.2">
      <c r="A9856" s="6" t="str">
        <f>"HTR1B"</f>
        <v>HTR1B</v>
      </c>
      <c r="B9856" s="6">
        <v>0.26573426573426501</v>
      </c>
      <c r="C9856" s="6">
        <v>0.450180672763279</v>
      </c>
    </row>
    <row r="9857" spans="1:3" s="7" customFormat="1" x14ac:dyDescent="0.2">
      <c r="A9857" s="6" t="str">
        <f>"GCDH"</f>
        <v>GCDH</v>
      </c>
      <c r="B9857" s="6">
        <v>0.26573426573426501</v>
      </c>
      <c r="C9857" s="6">
        <v>0.450180672763279</v>
      </c>
    </row>
    <row r="9858" spans="1:3" s="7" customFormat="1" x14ac:dyDescent="0.2">
      <c r="A9858" s="6" t="str">
        <f>"KPNA2"</f>
        <v>KPNA2</v>
      </c>
      <c r="B9858" s="6">
        <v>0.26573426573426501</v>
      </c>
      <c r="C9858" s="6">
        <v>0.450180672763279</v>
      </c>
    </row>
    <row r="9859" spans="1:3" s="7" customFormat="1" x14ac:dyDescent="0.2">
      <c r="A9859" s="6" t="str">
        <f>"ACTR1A"</f>
        <v>ACTR1A</v>
      </c>
      <c r="B9859" s="6">
        <v>0.26573426573426501</v>
      </c>
      <c r="C9859" s="6">
        <v>0.450180672763279</v>
      </c>
    </row>
    <row r="9860" spans="1:3" s="7" customFormat="1" x14ac:dyDescent="0.2">
      <c r="A9860" s="6" t="str">
        <f>"ZFAND2B"</f>
        <v>ZFAND2B</v>
      </c>
      <c r="B9860" s="6">
        <v>0.26573426573426501</v>
      </c>
      <c r="C9860" s="6">
        <v>0.450180672763279</v>
      </c>
    </row>
    <row r="9861" spans="1:3" s="7" customFormat="1" x14ac:dyDescent="0.2">
      <c r="A9861" s="6" t="str">
        <f>"AP2B1"</f>
        <v>AP2B1</v>
      </c>
      <c r="B9861" s="6">
        <v>0.26573426573426501</v>
      </c>
      <c r="C9861" s="6">
        <v>0.450180672763279</v>
      </c>
    </row>
    <row r="9862" spans="1:3" s="7" customFormat="1" x14ac:dyDescent="0.2">
      <c r="A9862" s="6" t="str">
        <f>"WDR19"</f>
        <v>WDR19</v>
      </c>
      <c r="B9862" s="6">
        <v>0.26573426573426501</v>
      </c>
      <c r="C9862" s="6">
        <v>0.450180672763279</v>
      </c>
    </row>
    <row r="9863" spans="1:3" s="7" customFormat="1" x14ac:dyDescent="0.2">
      <c r="A9863" s="6" t="str">
        <f>"UBE2Q2P2"</f>
        <v>UBE2Q2P2</v>
      </c>
      <c r="B9863" s="6">
        <v>0.26573426573426501</v>
      </c>
      <c r="C9863" s="6">
        <v>0.450180672763279</v>
      </c>
    </row>
    <row r="9864" spans="1:3" s="7" customFormat="1" x14ac:dyDescent="0.2">
      <c r="A9864" s="6" t="str">
        <f>"TACR1"</f>
        <v>TACR1</v>
      </c>
      <c r="B9864" s="6">
        <v>0.26573426573426501</v>
      </c>
      <c r="C9864" s="6">
        <v>0.450180672763279</v>
      </c>
    </row>
    <row r="9865" spans="1:3" s="7" customFormat="1" x14ac:dyDescent="0.2">
      <c r="A9865" s="6" t="str">
        <f>"CISD2"</f>
        <v>CISD2</v>
      </c>
      <c r="B9865" s="6">
        <v>0.26573426573426501</v>
      </c>
      <c r="C9865" s="6">
        <v>0.450180672763279</v>
      </c>
    </row>
    <row r="9866" spans="1:3" s="7" customFormat="1" x14ac:dyDescent="0.2">
      <c r="A9866" s="6" t="str">
        <f>"GZMB"</f>
        <v>GZMB</v>
      </c>
      <c r="B9866" s="6">
        <v>0.26573426573426501</v>
      </c>
      <c r="C9866" s="6">
        <v>0.450180672763279</v>
      </c>
    </row>
    <row r="9867" spans="1:3" s="7" customFormat="1" x14ac:dyDescent="0.2">
      <c r="A9867" s="6" t="str">
        <f>"HS3ST3B1"</f>
        <v>HS3ST3B1</v>
      </c>
      <c r="B9867" s="6">
        <v>0.26573426573426501</v>
      </c>
      <c r="C9867" s="6">
        <v>0.450180672763279</v>
      </c>
    </row>
    <row r="9868" spans="1:3" s="7" customFormat="1" x14ac:dyDescent="0.2">
      <c r="A9868" s="6" t="str">
        <f>"AC099778.1"</f>
        <v>AC099778.1</v>
      </c>
      <c r="B9868" s="6">
        <v>0.26600000000000001</v>
      </c>
      <c r="C9868" s="6">
        <v>0.45053952168625799</v>
      </c>
    </row>
    <row r="9869" spans="1:3" s="7" customFormat="1" x14ac:dyDescent="0.2">
      <c r="A9869" s="6" t="str">
        <f>"ZNF669"</f>
        <v>ZNF669</v>
      </c>
      <c r="B9869" s="6">
        <v>0.26600000000000001</v>
      </c>
      <c r="C9869" s="6">
        <v>0.45053952168625799</v>
      </c>
    </row>
    <row r="9870" spans="1:3" s="7" customFormat="1" x14ac:dyDescent="0.2">
      <c r="A9870" s="6" t="str">
        <f>"KDELR1"</f>
        <v>KDELR1</v>
      </c>
      <c r="B9870" s="6">
        <v>0.26673326673326597</v>
      </c>
      <c r="C9870" s="6">
        <v>0.450867700260904</v>
      </c>
    </row>
    <row r="9871" spans="1:3" s="7" customFormat="1" x14ac:dyDescent="0.2">
      <c r="A9871" s="6" t="str">
        <f>"SNRPF"</f>
        <v>SNRPF</v>
      </c>
      <c r="B9871" s="6">
        <v>0.26673326673326597</v>
      </c>
      <c r="C9871" s="6">
        <v>0.450867700260904</v>
      </c>
    </row>
    <row r="9872" spans="1:3" s="7" customFormat="1" x14ac:dyDescent="0.2">
      <c r="A9872" s="6" t="str">
        <f>"AP1S2"</f>
        <v>AP1S2</v>
      </c>
      <c r="B9872" s="6">
        <v>0.26673326673326597</v>
      </c>
      <c r="C9872" s="6">
        <v>0.450867700260904</v>
      </c>
    </row>
    <row r="9873" spans="1:3" s="7" customFormat="1" x14ac:dyDescent="0.2">
      <c r="A9873" s="6" t="str">
        <f>"KMT2A"</f>
        <v>KMT2A</v>
      </c>
      <c r="B9873" s="6">
        <v>0.26673326673326597</v>
      </c>
      <c r="C9873" s="6">
        <v>0.450867700260904</v>
      </c>
    </row>
    <row r="9874" spans="1:3" s="7" customFormat="1" x14ac:dyDescent="0.2">
      <c r="A9874" s="6" t="str">
        <f>"NRARP"</f>
        <v>NRARP</v>
      </c>
      <c r="B9874" s="6">
        <v>0.26673326673326597</v>
      </c>
      <c r="C9874" s="6">
        <v>0.450867700260904</v>
      </c>
    </row>
    <row r="9875" spans="1:3" s="7" customFormat="1" x14ac:dyDescent="0.2">
      <c r="A9875" s="6" t="str">
        <f>"CBARP"</f>
        <v>CBARP</v>
      </c>
      <c r="B9875" s="6">
        <v>0.26673326673326597</v>
      </c>
      <c r="C9875" s="6">
        <v>0.450867700260904</v>
      </c>
    </row>
    <row r="9876" spans="1:3" s="7" customFormat="1" x14ac:dyDescent="0.2">
      <c r="A9876" s="6" t="str">
        <f>"AC003965.1"</f>
        <v>AC003965.1</v>
      </c>
      <c r="B9876" s="6">
        <v>0.26673326673326597</v>
      </c>
      <c r="C9876" s="6">
        <v>0.450867700260904</v>
      </c>
    </row>
    <row r="9877" spans="1:3" s="7" customFormat="1" x14ac:dyDescent="0.2">
      <c r="A9877" s="6" t="str">
        <f>"AP003498.1"</f>
        <v>AP003498.1</v>
      </c>
      <c r="B9877" s="6">
        <v>0.26673326673326597</v>
      </c>
      <c r="C9877" s="6">
        <v>0.450867700260904</v>
      </c>
    </row>
    <row r="9878" spans="1:3" s="7" customFormat="1" x14ac:dyDescent="0.2">
      <c r="A9878" s="6" t="str">
        <f>"TSNAX-DISC1"</f>
        <v>TSNAX-DISC1</v>
      </c>
      <c r="B9878" s="6">
        <v>0.26673326673326597</v>
      </c>
      <c r="C9878" s="6">
        <v>0.450867700260904</v>
      </c>
    </row>
    <row r="9879" spans="1:3" s="7" customFormat="1" x14ac:dyDescent="0.2">
      <c r="A9879" s="6" t="str">
        <f>"TIMM13"</f>
        <v>TIMM13</v>
      </c>
      <c r="B9879" s="6">
        <v>0.26673326673326597</v>
      </c>
      <c r="C9879" s="6">
        <v>0.450867700260904</v>
      </c>
    </row>
    <row r="9880" spans="1:3" s="7" customFormat="1" x14ac:dyDescent="0.2">
      <c r="A9880" s="6" t="str">
        <f>"BLVRA"</f>
        <v>BLVRA</v>
      </c>
      <c r="B9880" s="6">
        <v>0.26673326673326597</v>
      </c>
      <c r="C9880" s="6">
        <v>0.450867700260904</v>
      </c>
    </row>
    <row r="9881" spans="1:3" s="7" customFormat="1" x14ac:dyDescent="0.2">
      <c r="A9881" s="6" t="str">
        <f>"OTUD1"</f>
        <v>OTUD1</v>
      </c>
      <c r="B9881" s="6">
        <v>0.26673326673326597</v>
      </c>
      <c r="C9881" s="6">
        <v>0.450867700260904</v>
      </c>
    </row>
    <row r="9882" spans="1:3" s="7" customFormat="1" x14ac:dyDescent="0.2">
      <c r="A9882" s="6" t="str">
        <f>"TIMM50"</f>
        <v>TIMM50</v>
      </c>
      <c r="B9882" s="6">
        <v>0.26673326673326597</v>
      </c>
      <c r="C9882" s="6">
        <v>0.450867700260904</v>
      </c>
    </row>
    <row r="9883" spans="1:3" s="7" customFormat="1" x14ac:dyDescent="0.2">
      <c r="A9883" s="6" t="str">
        <f>"HSPA8"</f>
        <v>HSPA8</v>
      </c>
      <c r="B9883" s="6">
        <v>0.26673326673326597</v>
      </c>
      <c r="C9883" s="6">
        <v>0.450867700260904</v>
      </c>
    </row>
    <row r="9884" spans="1:3" s="7" customFormat="1" x14ac:dyDescent="0.2">
      <c r="A9884" s="6" t="str">
        <f>"RREB1"</f>
        <v>RREB1</v>
      </c>
      <c r="B9884" s="6">
        <v>0.26673326673326597</v>
      </c>
      <c r="C9884" s="6">
        <v>0.450867700260904</v>
      </c>
    </row>
    <row r="9885" spans="1:3" s="7" customFormat="1" x14ac:dyDescent="0.2">
      <c r="A9885" s="6" t="str">
        <f>"SGSM2"</f>
        <v>SGSM2</v>
      </c>
      <c r="B9885" s="6">
        <v>0.26673326673326597</v>
      </c>
      <c r="C9885" s="6">
        <v>0.450867700260904</v>
      </c>
    </row>
    <row r="9886" spans="1:3" s="7" customFormat="1" x14ac:dyDescent="0.2">
      <c r="A9886" s="6" t="str">
        <f>"MBTPS1"</f>
        <v>MBTPS1</v>
      </c>
      <c r="B9886" s="6">
        <v>0.26673326673326597</v>
      </c>
      <c r="C9886" s="6">
        <v>0.450867700260904</v>
      </c>
    </row>
    <row r="9887" spans="1:3" s="7" customFormat="1" x14ac:dyDescent="0.2">
      <c r="A9887" s="6" t="str">
        <f>"CPA3"</f>
        <v>CPA3</v>
      </c>
      <c r="B9887" s="6">
        <v>0.26673326673326597</v>
      </c>
      <c r="C9887" s="6">
        <v>0.450867700260904</v>
      </c>
    </row>
    <row r="9888" spans="1:3" s="7" customFormat="1" x14ac:dyDescent="0.2">
      <c r="A9888" s="6" t="str">
        <f>"FAM234B"</f>
        <v>FAM234B</v>
      </c>
      <c r="B9888" s="6">
        <v>0.26673326673326597</v>
      </c>
      <c r="C9888" s="6">
        <v>0.450867700260904</v>
      </c>
    </row>
    <row r="9889" spans="1:3" s="7" customFormat="1" x14ac:dyDescent="0.2">
      <c r="A9889" s="6" t="str">
        <f>"AC008808.2"</f>
        <v>AC008808.2</v>
      </c>
      <c r="B9889" s="6">
        <v>0.26626626626626598</v>
      </c>
      <c r="C9889" s="6">
        <v>0.450867700260904</v>
      </c>
    </row>
    <row r="9890" spans="1:3" s="7" customFormat="1" x14ac:dyDescent="0.2">
      <c r="A9890" s="6" t="str">
        <f>"SP100"</f>
        <v>SP100</v>
      </c>
      <c r="B9890" s="6">
        <v>0.26700000000000002</v>
      </c>
      <c r="C9890" s="6">
        <v>0.45127292951764503</v>
      </c>
    </row>
    <row r="9891" spans="1:3" s="7" customFormat="1" x14ac:dyDescent="0.2">
      <c r="A9891" s="6" t="str">
        <f>"ACOT8"</f>
        <v>ACOT8</v>
      </c>
      <c r="B9891" s="6">
        <v>0.26773226773226699</v>
      </c>
      <c r="C9891" s="6">
        <v>0.45214480376650701</v>
      </c>
    </row>
    <row r="9892" spans="1:3" s="7" customFormat="1" x14ac:dyDescent="0.2">
      <c r="A9892" s="6" t="str">
        <f>"AL136985.3"</f>
        <v>AL136985.3</v>
      </c>
      <c r="B9892" s="6">
        <v>0.26773226773226699</v>
      </c>
      <c r="C9892" s="6">
        <v>0.45214480376650701</v>
      </c>
    </row>
    <row r="9893" spans="1:3" s="7" customFormat="1" x14ac:dyDescent="0.2">
      <c r="A9893" s="6" t="str">
        <f>"TMEM200C"</f>
        <v>TMEM200C</v>
      </c>
      <c r="B9893" s="6">
        <v>0.26773226773226699</v>
      </c>
      <c r="C9893" s="6">
        <v>0.45214480376650701</v>
      </c>
    </row>
    <row r="9894" spans="1:3" s="7" customFormat="1" x14ac:dyDescent="0.2">
      <c r="A9894" s="6" t="str">
        <f>"LYPD6"</f>
        <v>LYPD6</v>
      </c>
      <c r="B9894" s="6">
        <v>0.26773226773226699</v>
      </c>
      <c r="C9894" s="6">
        <v>0.45214480376650701</v>
      </c>
    </row>
    <row r="9895" spans="1:3" s="7" customFormat="1" x14ac:dyDescent="0.2">
      <c r="A9895" s="6" t="str">
        <f>"GNL2"</f>
        <v>GNL2</v>
      </c>
      <c r="B9895" s="6">
        <v>0.26773226773226699</v>
      </c>
      <c r="C9895" s="6">
        <v>0.45214480376650701</v>
      </c>
    </row>
    <row r="9896" spans="1:3" s="7" customFormat="1" x14ac:dyDescent="0.2">
      <c r="A9896" s="6" t="str">
        <f>"TUBG1"</f>
        <v>TUBG1</v>
      </c>
      <c r="B9896" s="6">
        <v>0.26773226773226699</v>
      </c>
      <c r="C9896" s="6">
        <v>0.45214480376650701</v>
      </c>
    </row>
    <row r="9897" spans="1:3" s="7" customFormat="1" x14ac:dyDescent="0.2">
      <c r="A9897" s="6" t="str">
        <f>"DGKH"</f>
        <v>DGKH</v>
      </c>
      <c r="B9897" s="6">
        <v>0.26773226773226699</v>
      </c>
      <c r="C9897" s="6">
        <v>0.45214480376650701</v>
      </c>
    </row>
    <row r="9898" spans="1:3" s="7" customFormat="1" x14ac:dyDescent="0.2">
      <c r="A9898" s="6" t="str">
        <f>"TRPM8"</f>
        <v>TRPM8</v>
      </c>
      <c r="B9898" s="6">
        <v>0.26773226773226699</v>
      </c>
      <c r="C9898" s="6">
        <v>0.45214480376650701</v>
      </c>
    </row>
    <row r="9899" spans="1:3" s="7" customFormat="1" x14ac:dyDescent="0.2">
      <c r="A9899" s="6" t="str">
        <f>"HSBP1"</f>
        <v>HSBP1</v>
      </c>
      <c r="B9899" s="6">
        <v>0.26800000000000002</v>
      </c>
      <c r="C9899" s="6">
        <v>0.452551222469185</v>
      </c>
    </row>
    <row r="9900" spans="1:3" s="7" customFormat="1" x14ac:dyDescent="0.2">
      <c r="A9900" s="6" t="str">
        <f>"PCDHB19P"</f>
        <v>PCDHB19P</v>
      </c>
      <c r="B9900" s="6">
        <v>0.26807228915662601</v>
      </c>
      <c r="C9900" s="6">
        <v>0.45262756247740699</v>
      </c>
    </row>
    <row r="9901" spans="1:3" s="7" customFormat="1" x14ac:dyDescent="0.2">
      <c r="A9901" s="6" t="str">
        <f>"SERPINF1"</f>
        <v>SERPINF1</v>
      </c>
      <c r="B9901" s="6">
        <v>0.26873126873126801</v>
      </c>
      <c r="C9901" s="6">
        <v>0.45328231159293803</v>
      </c>
    </row>
    <row r="9902" spans="1:3" s="7" customFormat="1" x14ac:dyDescent="0.2">
      <c r="A9902" s="6" t="str">
        <f>"LINC01559"</f>
        <v>LINC01559</v>
      </c>
      <c r="B9902" s="6">
        <v>0.26873126873126801</v>
      </c>
      <c r="C9902" s="6">
        <v>0.45328231159293803</v>
      </c>
    </row>
    <row r="9903" spans="1:3" s="7" customFormat="1" x14ac:dyDescent="0.2">
      <c r="A9903" s="6" t="str">
        <f>"TBPL2"</f>
        <v>TBPL2</v>
      </c>
      <c r="B9903" s="6">
        <v>0.26849037487335298</v>
      </c>
      <c r="C9903" s="6">
        <v>0.45328231159293803</v>
      </c>
    </row>
    <row r="9904" spans="1:3" s="7" customFormat="1" x14ac:dyDescent="0.2">
      <c r="A9904" s="6" t="str">
        <f>"SULT1E1"</f>
        <v>SULT1E1</v>
      </c>
      <c r="B9904" s="6">
        <v>0.26873126873126801</v>
      </c>
      <c r="C9904" s="6">
        <v>0.45328231159293803</v>
      </c>
    </row>
    <row r="9905" spans="1:3" s="7" customFormat="1" x14ac:dyDescent="0.2">
      <c r="A9905" s="6" t="str">
        <f>"MAPK8IP3"</f>
        <v>MAPK8IP3</v>
      </c>
      <c r="B9905" s="6">
        <v>0.26873126873126801</v>
      </c>
      <c r="C9905" s="6">
        <v>0.45328231159293803</v>
      </c>
    </row>
    <row r="9906" spans="1:3" s="7" customFormat="1" x14ac:dyDescent="0.2">
      <c r="A9906" s="6" t="str">
        <f>"HTATIP2"</f>
        <v>HTATIP2</v>
      </c>
      <c r="B9906" s="6">
        <v>0.26873126873126801</v>
      </c>
      <c r="C9906" s="6">
        <v>0.45328231159293803</v>
      </c>
    </row>
    <row r="9907" spans="1:3" s="7" customFormat="1" x14ac:dyDescent="0.2">
      <c r="A9907" s="6" t="str">
        <f>"USF1"</f>
        <v>USF1</v>
      </c>
      <c r="B9907" s="6">
        <v>0.26873126873126801</v>
      </c>
      <c r="C9907" s="6">
        <v>0.45328231159293803</v>
      </c>
    </row>
    <row r="9908" spans="1:3" s="7" customFormat="1" x14ac:dyDescent="0.2">
      <c r="A9908" s="6" t="str">
        <f>"NCAPH2"</f>
        <v>NCAPH2</v>
      </c>
      <c r="B9908" s="6">
        <v>0.26873126873126801</v>
      </c>
      <c r="C9908" s="6">
        <v>0.45328231159293803</v>
      </c>
    </row>
    <row r="9909" spans="1:3" s="7" customFormat="1" x14ac:dyDescent="0.2">
      <c r="A9909" s="6" t="str">
        <f>"FNBP1P1"</f>
        <v>FNBP1P1</v>
      </c>
      <c r="B9909" s="6">
        <v>0.26873126873126801</v>
      </c>
      <c r="C9909" s="6">
        <v>0.45328231159293803</v>
      </c>
    </row>
    <row r="9910" spans="1:3" s="7" customFormat="1" x14ac:dyDescent="0.2">
      <c r="A9910" s="6" t="str">
        <f>"NOL6"</f>
        <v>NOL6</v>
      </c>
      <c r="B9910" s="6">
        <v>0.26873126873126801</v>
      </c>
      <c r="C9910" s="6">
        <v>0.45328231159293803</v>
      </c>
    </row>
    <row r="9911" spans="1:3" s="7" customFormat="1" x14ac:dyDescent="0.2">
      <c r="A9911" s="6" t="str">
        <f>"AC015982.2"</f>
        <v>AC015982.2</v>
      </c>
      <c r="B9911" s="6">
        <v>0.26900000000000002</v>
      </c>
      <c r="C9911" s="6">
        <v>0.45368980827446997</v>
      </c>
    </row>
    <row r="9912" spans="1:3" s="7" customFormat="1" x14ac:dyDescent="0.2">
      <c r="A9912" s="6" t="str">
        <f>"NBN"</f>
        <v>NBN</v>
      </c>
      <c r="B9912" s="6">
        <v>0.26973026973026898</v>
      </c>
      <c r="C9912" s="6">
        <v>0.454096668842841</v>
      </c>
    </row>
    <row r="9913" spans="1:3" s="7" customFormat="1" x14ac:dyDescent="0.2">
      <c r="A9913" s="6" t="str">
        <f>"PLA2G15"</f>
        <v>PLA2G15</v>
      </c>
      <c r="B9913" s="6">
        <v>0.26973026973026898</v>
      </c>
      <c r="C9913" s="6">
        <v>0.454096668842841</v>
      </c>
    </row>
    <row r="9914" spans="1:3" s="7" customFormat="1" x14ac:dyDescent="0.2">
      <c r="A9914" s="6" t="str">
        <f>"MORF4L2"</f>
        <v>MORF4L2</v>
      </c>
      <c r="B9914" s="6">
        <v>0.26973026973026898</v>
      </c>
      <c r="C9914" s="6">
        <v>0.454096668842841</v>
      </c>
    </row>
    <row r="9915" spans="1:3" s="7" customFormat="1" x14ac:dyDescent="0.2">
      <c r="A9915" s="6" t="str">
        <f>"ARHGDIA"</f>
        <v>ARHGDIA</v>
      </c>
      <c r="B9915" s="6">
        <v>0.26973026973026898</v>
      </c>
      <c r="C9915" s="6">
        <v>0.454096668842841</v>
      </c>
    </row>
    <row r="9916" spans="1:3" s="7" customFormat="1" x14ac:dyDescent="0.2">
      <c r="A9916" s="6" t="str">
        <f>"AARS1"</f>
        <v>AARS1</v>
      </c>
      <c r="B9916" s="6">
        <v>0.26973026973026898</v>
      </c>
      <c r="C9916" s="6">
        <v>0.454096668842841</v>
      </c>
    </row>
    <row r="9917" spans="1:3" s="7" customFormat="1" x14ac:dyDescent="0.2">
      <c r="A9917" s="6" t="str">
        <f>"SNRPB"</f>
        <v>SNRPB</v>
      </c>
      <c r="B9917" s="6">
        <v>0.26973026973026898</v>
      </c>
      <c r="C9917" s="6">
        <v>0.454096668842841</v>
      </c>
    </row>
    <row r="9918" spans="1:3" s="7" customFormat="1" x14ac:dyDescent="0.2">
      <c r="A9918" s="6" t="str">
        <f>"NUDCD2"</f>
        <v>NUDCD2</v>
      </c>
      <c r="B9918" s="6">
        <v>0.26973026973026898</v>
      </c>
      <c r="C9918" s="6">
        <v>0.454096668842841</v>
      </c>
    </row>
    <row r="9919" spans="1:3" s="7" customFormat="1" x14ac:dyDescent="0.2">
      <c r="A9919" s="6" t="str">
        <f>"DUSP16"</f>
        <v>DUSP16</v>
      </c>
      <c r="B9919" s="6">
        <v>0.26973026973026898</v>
      </c>
      <c r="C9919" s="6">
        <v>0.454096668842841</v>
      </c>
    </row>
    <row r="9920" spans="1:3" s="7" customFormat="1" x14ac:dyDescent="0.2">
      <c r="A9920" s="6" t="str">
        <f>"C17orf75"</f>
        <v>C17orf75</v>
      </c>
      <c r="B9920" s="6">
        <v>0.26973026973026898</v>
      </c>
      <c r="C9920" s="6">
        <v>0.454096668842841</v>
      </c>
    </row>
    <row r="9921" spans="1:3" s="7" customFormat="1" x14ac:dyDescent="0.2">
      <c r="A9921" s="6" t="str">
        <f>"AC069222.1"</f>
        <v>AC069222.1</v>
      </c>
      <c r="B9921" s="6">
        <v>0.269346733668341</v>
      </c>
      <c r="C9921" s="6">
        <v>0.454096668842841</v>
      </c>
    </row>
    <row r="9922" spans="1:3" s="7" customFormat="1" x14ac:dyDescent="0.2">
      <c r="A9922" s="6" t="str">
        <f>"AL008628.1"</f>
        <v>AL008628.1</v>
      </c>
      <c r="B9922" s="6">
        <v>0.26930693069306899</v>
      </c>
      <c r="C9922" s="6">
        <v>0.454096668842841</v>
      </c>
    </row>
    <row r="9923" spans="1:3" s="7" customFormat="1" x14ac:dyDescent="0.2">
      <c r="A9923" s="6" t="str">
        <f>"AP001931.1"</f>
        <v>AP001931.1</v>
      </c>
      <c r="B9923" s="6">
        <v>0.26973026973026898</v>
      </c>
      <c r="C9923" s="6">
        <v>0.454096668842841</v>
      </c>
    </row>
    <row r="9924" spans="1:3" s="7" customFormat="1" x14ac:dyDescent="0.2">
      <c r="A9924" s="6" t="str">
        <f>"GPR107"</f>
        <v>GPR107</v>
      </c>
      <c r="B9924" s="6">
        <v>0.26973026973026898</v>
      </c>
      <c r="C9924" s="6">
        <v>0.454096668842841</v>
      </c>
    </row>
    <row r="9925" spans="1:3" s="7" customFormat="1" x14ac:dyDescent="0.2">
      <c r="A9925" s="6" t="str">
        <f>"GSTA9P"</f>
        <v>GSTA9P</v>
      </c>
      <c r="B9925" s="6">
        <v>0.26973026973026898</v>
      </c>
      <c r="C9925" s="6">
        <v>0.454096668842841</v>
      </c>
    </row>
    <row r="9926" spans="1:3" s="7" customFormat="1" x14ac:dyDescent="0.2">
      <c r="A9926" s="6" t="str">
        <f>"GRPEL1"</f>
        <v>GRPEL1</v>
      </c>
      <c r="B9926" s="6">
        <v>0.26973026973026898</v>
      </c>
      <c r="C9926" s="6">
        <v>0.454096668842841</v>
      </c>
    </row>
    <row r="9927" spans="1:3" s="7" customFormat="1" x14ac:dyDescent="0.2">
      <c r="A9927" s="6" t="str">
        <f>"MFN2"</f>
        <v>MFN2</v>
      </c>
      <c r="B9927" s="6">
        <v>0.26973026973026898</v>
      </c>
      <c r="C9927" s="6">
        <v>0.454096668842841</v>
      </c>
    </row>
    <row r="9928" spans="1:3" s="7" customFormat="1" x14ac:dyDescent="0.2">
      <c r="A9928" s="6" t="str">
        <f>"STAG2"</f>
        <v>STAG2</v>
      </c>
      <c r="B9928" s="6">
        <v>0.26973026973026898</v>
      </c>
      <c r="C9928" s="6">
        <v>0.454096668842841</v>
      </c>
    </row>
    <row r="9929" spans="1:3" s="7" customFormat="1" x14ac:dyDescent="0.2">
      <c r="A9929" s="6" t="str">
        <f>"FZD10-AS1"</f>
        <v>FZD10-AS1</v>
      </c>
      <c r="B9929" s="6">
        <v>0.26973026973026898</v>
      </c>
      <c r="C9929" s="6">
        <v>0.454096668842841</v>
      </c>
    </row>
    <row r="9930" spans="1:3" s="7" customFormat="1" x14ac:dyDescent="0.2">
      <c r="A9930" s="6" t="str">
        <f>"KDM7A"</f>
        <v>KDM7A</v>
      </c>
      <c r="B9930" s="6">
        <v>0.27072927072927</v>
      </c>
      <c r="C9930" s="6">
        <v>0.45504515597033601</v>
      </c>
    </row>
    <row r="9931" spans="1:3" s="7" customFormat="1" x14ac:dyDescent="0.2">
      <c r="A9931" s="6" t="str">
        <f>"MXI1"</f>
        <v>MXI1</v>
      </c>
      <c r="B9931" s="6">
        <v>0.27072927072927</v>
      </c>
      <c r="C9931" s="6">
        <v>0.45504515597033601</v>
      </c>
    </row>
    <row r="9932" spans="1:3" s="7" customFormat="1" x14ac:dyDescent="0.2">
      <c r="A9932" s="6" t="str">
        <f>"IGSF22"</f>
        <v>IGSF22</v>
      </c>
      <c r="B9932" s="6">
        <v>0.27072927072927</v>
      </c>
      <c r="C9932" s="6">
        <v>0.45504515597033601</v>
      </c>
    </row>
    <row r="9933" spans="1:3" s="7" customFormat="1" x14ac:dyDescent="0.2">
      <c r="A9933" s="6" t="str">
        <f>"HLA-DOB"</f>
        <v>HLA-DOB</v>
      </c>
      <c r="B9933" s="6">
        <v>0.27072927072927</v>
      </c>
      <c r="C9933" s="6">
        <v>0.45504515597033601</v>
      </c>
    </row>
    <row r="9934" spans="1:3" s="7" customFormat="1" x14ac:dyDescent="0.2">
      <c r="A9934" s="6" t="str">
        <f>"FAM189A1"</f>
        <v>FAM189A1</v>
      </c>
      <c r="B9934" s="6">
        <v>0.27072927072927</v>
      </c>
      <c r="C9934" s="6">
        <v>0.45504515597033601</v>
      </c>
    </row>
    <row r="9935" spans="1:3" s="7" customFormat="1" x14ac:dyDescent="0.2">
      <c r="A9935" s="6" t="str">
        <f>"ZBED4"</f>
        <v>ZBED4</v>
      </c>
      <c r="B9935" s="6">
        <v>0.27072927072927</v>
      </c>
      <c r="C9935" s="6">
        <v>0.45504515597033601</v>
      </c>
    </row>
    <row r="9936" spans="1:3" s="7" customFormat="1" x14ac:dyDescent="0.2">
      <c r="A9936" s="6" t="str">
        <f>"WWTR1-AS1"</f>
        <v>WWTR1-AS1</v>
      </c>
      <c r="B9936" s="6">
        <v>0.27072927072927</v>
      </c>
      <c r="C9936" s="6">
        <v>0.45504515597033601</v>
      </c>
    </row>
    <row r="9937" spans="1:3" s="7" customFormat="1" x14ac:dyDescent="0.2">
      <c r="A9937" s="6" t="str">
        <f>"PPP4R1L"</f>
        <v>PPP4R1L</v>
      </c>
      <c r="B9937" s="6">
        <v>0.27072927072927</v>
      </c>
      <c r="C9937" s="6">
        <v>0.45504515597033601</v>
      </c>
    </row>
    <row r="9938" spans="1:3" s="7" customFormat="1" x14ac:dyDescent="0.2">
      <c r="A9938" s="6" t="str">
        <f>"AC114956.2"</f>
        <v>AC114956.2</v>
      </c>
      <c r="B9938" s="6">
        <v>0.27072927072927</v>
      </c>
      <c r="C9938" s="6">
        <v>0.45504515597033601</v>
      </c>
    </row>
    <row r="9939" spans="1:3" s="7" customFormat="1" x14ac:dyDescent="0.2">
      <c r="A9939" s="6" t="str">
        <f>"STK16"</f>
        <v>STK16</v>
      </c>
      <c r="B9939" s="6">
        <v>0.27072927072927</v>
      </c>
      <c r="C9939" s="6">
        <v>0.45504515597033601</v>
      </c>
    </row>
    <row r="9940" spans="1:3" s="7" customFormat="1" x14ac:dyDescent="0.2">
      <c r="A9940" s="6" t="str">
        <f>"LINC01476"</f>
        <v>LINC01476</v>
      </c>
      <c r="B9940" s="6">
        <v>0.27072927072927</v>
      </c>
      <c r="C9940" s="6">
        <v>0.45504515597033601</v>
      </c>
    </row>
    <row r="9941" spans="1:3" s="7" customFormat="1" x14ac:dyDescent="0.2">
      <c r="A9941" s="6" t="str">
        <f>"PEX3"</f>
        <v>PEX3</v>
      </c>
      <c r="B9941" s="6">
        <v>0.27072927072927</v>
      </c>
      <c r="C9941" s="6">
        <v>0.45504515597033601</v>
      </c>
    </row>
    <row r="9942" spans="1:3" s="7" customFormat="1" x14ac:dyDescent="0.2">
      <c r="A9942" s="6" t="str">
        <f>"NBPF1"</f>
        <v>NBPF1</v>
      </c>
      <c r="B9942" s="6">
        <v>0.27072927072927</v>
      </c>
      <c r="C9942" s="6">
        <v>0.45504515597033601</v>
      </c>
    </row>
    <row r="9943" spans="1:3" s="7" customFormat="1" x14ac:dyDescent="0.2">
      <c r="A9943" s="6" t="str">
        <f>"AL390719.2"</f>
        <v>AL390719.2</v>
      </c>
      <c r="B9943" s="6">
        <v>0.27072927072927</v>
      </c>
      <c r="C9943" s="6">
        <v>0.45504515597033601</v>
      </c>
    </row>
    <row r="9944" spans="1:3" s="7" customFormat="1" x14ac:dyDescent="0.2">
      <c r="A9944" s="6" t="str">
        <f>"FN3KRP"</f>
        <v>FN3KRP</v>
      </c>
      <c r="B9944" s="6">
        <v>0.27072927072927</v>
      </c>
      <c r="C9944" s="6">
        <v>0.45504515597033601</v>
      </c>
    </row>
    <row r="9945" spans="1:3" s="7" customFormat="1" x14ac:dyDescent="0.2">
      <c r="A9945" s="6" t="str">
        <f>"AC010542.5"</f>
        <v>AC010542.5</v>
      </c>
      <c r="B9945" s="6">
        <v>0.27072927072927</v>
      </c>
      <c r="C9945" s="6">
        <v>0.45504515597033601</v>
      </c>
    </row>
    <row r="9946" spans="1:3" s="7" customFormat="1" x14ac:dyDescent="0.2">
      <c r="A9946" s="6" t="str">
        <f>"SAP30L"</f>
        <v>SAP30L</v>
      </c>
      <c r="B9946" s="6">
        <v>0.27172827172827102</v>
      </c>
      <c r="C9946" s="6">
        <v>0.45576179966546199</v>
      </c>
    </row>
    <row r="9947" spans="1:3" s="7" customFormat="1" x14ac:dyDescent="0.2">
      <c r="A9947" s="6" t="str">
        <f>"CACNB4"</f>
        <v>CACNB4</v>
      </c>
      <c r="B9947" s="6">
        <v>0.27172827172827102</v>
      </c>
      <c r="C9947" s="6">
        <v>0.45576179966546199</v>
      </c>
    </row>
    <row r="9948" spans="1:3" s="7" customFormat="1" x14ac:dyDescent="0.2">
      <c r="A9948" s="6" t="str">
        <f>"CPD"</f>
        <v>CPD</v>
      </c>
      <c r="B9948" s="6">
        <v>0.27172827172827102</v>
      </c>
      <c r="C9948" s="6">
        <v>0.45576179966546199</v>
      </c>
    </row>
    <row r="9949" spans="1:3" s="7" customFormat="1" x14ac:dyDescent="0.2">
      <c r="A9949" s="6" t="str">
        <f>"TIMM9"</f>
        <v>TIMM9</v>
      </c>
      <c r="B9949" s="6">
        <v>0.27172827172827102</v>
      </c>
      <c r="C9949" s="6">
        <v>0.45576179966546199</v>
      </c>
    </row>
    <row r="9950" spans="1:3" s="7" customFormat="1" x14ac:dyDescent="0.2">
      <c r="A9950" s="6" t="str">
        <f>"FRK"</f>
        <v>FRK</v>
      </c>
      <c r="B9950" s="6">
        <v>0.27172827172827102</v>
      </c>
      <c r="C9950" s="6">
        <v>0.45576179966546199</v>
      </c>
    </row>
    <row r="9951" spans="1:3" s="7" customFormat="1" x14ac:dyDescent="0.2">
      <c r="A9951" s="6" t="str">
        <f>"PELO"</f>
        <v>PELO</v>
      </c>
      <c r="B9951" s="6">
        <v>0.27172827172827102</v>
      </c>
      <c r="C9951" s="6">
        <v>0.45576179966546199</v>
      </c>
    </row>
    <row r="9952" spans="1:3" s="7" customFormat="1" x14ac:dyDescent="0.2">
      <c r="A9952" s="6" t="str">
        <f>"CEP57"</f>
        <v>CEP57</v>
      </c>
      <c r="B9952" s="6">
        <v>0.27172827172827102</v>
      </c>
      <c r="C9952" s="6">
        <v>0.45576179966546199</v>
      </c>
    </row>
    <row r="9953" spans="1:3" s="7" customFormat="1" x14ac:dyDescent="0.2">
      <c r="A9953" s="6" t="str">
        <f>"POFUT2"</f>
        <v>POFUT2</v>
      </c>
      <c r="B9953" s="6">
        <v>0.27172827172827102</v>
      </c>
      <c r="C9953" s="6">
        <v>0.45576179966546199</v>
      </c>
    </row>
    <row r="9954" spans="1:3" s="7" customFormat="1" x14ac:dyDescent="0.2">
      <c r="A9954" s="6" t="str">
        <f>"UMPS"</f>
        <v>UMPS</v>
      </c>
      <c r="B9954" s="6">
        <v>0.27172827172827102</v>
      </c>
      <c r="C9954" s="6">
        <v>0.45576179966546199</v>
      </c>
    </row>
    <row r="9955" spans="1:3" s="7" customFormat="1" x14ac:dyDescent="0.2">
      <c r="A9955" s="6" t="str">
        <f>"RPL36"</f>
        <v>RPL36</v>
      </c>
      <c r="B9955" s="6">
        <v>0.27172827172827102</v>
      </c>
      <c r="C9955" s="6">
        <v>0.45576179966546199</v>
      </c>
    </row>
    <row r="9956" spans="1:3" s="7" customFormat="1" x14ac:dyDescent="0.2">
      <c r="A9956" s="6" t="str">
        <f>"RPL35P5"</f>
        <v>RPL35P5</v>
      </c>
      <c r="B9956" s="6">
        <v>0.27167019027484102</v>
      </c>
      <c r="C9956" s="6">
        <v>0.45576179966546199</v>
      </c>
    </row>
    <row r="9957" spans="1:3" s="7" customFormat="1" x14ac:dyDescent="0.2">
      <c r="A9957" s="6" t="str">
        <f>"AL357558.3"</f>
        <v>AL357558.3</v>
      </c>
      <c r="B9957" s="6">
        <v>0.27172827172827102</v>
      </c>
      <c r="C9957" s="6">
        <v>0.45576179966546199</v>
      </c>
    </row>
    <row r="9958" spans="1:3" s="7" customFormat="1" x14ac:dyDescent="0.2">
      <c r="A9958" s="6" t="str">
        <f>"NDRG2"</f>
        <v>NDRG2</v>
      </c>
      <c r="B9958" s="6">
        <v>0.27172827172827102</v>
      </c>
      <c r="C9958" s="6">
        <v>0.45576179966546199</v>
      </c>
    </row>
    <row r="9959" spans="1:3" s="7" customFormat="1" x14ac:dyDescent="0.2">
      <c r="A9959" s="6" t="str">
        <f>"SNAP25-AS1"</f>
        <v>SNAP25-AS1</v>
      </c>
      <c r="B9959" s="6">
        <v>0.27172827172827102</v>
      </c>
      <c r="C9959" s="6">
        <v>0.45576179966546199</v>
      </c>
    </row>
    <row r="9960" spans="1:3" s="7" customFormat="1" x14ac:dyDescent="0.2">
      <c r="A9960" s="6" t="str">
        <f>"ZNF829"</f>
        <v>ZNF829</v>
      </c>
      <c r="B9960" s="6">
        <v>0.27172827172827102</v>
      </c>
      <c r="C9960" s="6">
        <v>0.45576179966546199</v>
      </c>
    </row>
    <row r="9961" spans="1:3" s="7" customFormat="1" x14ac:dyDescent="0.2">
      <c r="A9961" s="6" t="str">
        <f>"EFS"</f>
        <v>EFS</v>
      </c>
      <c r="B9961" s="6">
        <v>0.27172827172827102</v>
      </c>
      <c r="C9961" s="6">
        <v>0.45576179966546199</v>
      </c>
    </row>
    <row r="9962" spans="1:3" s="7" customFormat="1" x14ac:dyDescent="0.2">
      <c r="A9962" s="6" t="str">
        <f>"RFPL3S"</f>
        <v>RFPL3S</v>
      </c>
      <c r="B9962" s="6">
        <v>0.27172827172827102</v>
      </c>
      <c r="C9962" s="6">
        <v>0.45576179966546199</v>
      </c>
    </row>
    <row r="9963" spans="1:3" s="7" customFormat="1" x14ac:dyDescent="0.2">
      <c r="A9963" s="6" t="str">
        <f>"GAS8"</f>
        <v>GAS8</v>
      </c>
      <c r="B9963" s="6">
        <v>0.27172827172827102</v>
      </c>
      <c r="C9963" s="6">
        <v>0.45576179966546199</v>
      </c>
    </row>
    <row r="9964" spans="1:3" s="7" customFormat="1" x14ac:dyDescent="0.2">
      <c r="A9964" s="6" t="str">
        <f>"CFAP45"</f>
        <v>CFAP45</v>
      </c>
      <c r="B9964" s="6">
        <v>0.27172827172827102</v>
      </c>
      <c r="C9964" s="6">
        <v>0.45576179966546199</v>
      </c>
    </row>
    <row r="9965" spans="1:3" s="7" customFormat="1" x14ac:dyDescent="0.2">
      <c r="A9965" s="6" t="str">
        <f>"PLXDC1"</f>
        <v>PLXDC1</v>
      </c>
      <c r="B9965" s="6">
        <v>0.27172827172827102</v>
      </c>
      <c r="C9965" s="6">
        <v>0.45576179966546199</v>
      </c>
    </row>
    <row r="9966" spans="1:3" s="7" customFormat="1" x14ac:dyDescent="0.2">
      <c r="A9966" s="6" t="str">
        <f>"LMTK3"</f>
        <v>LMTK3</v>
      </c>
      <c r="B9966" s="6">
        <v>0.27172827172827102</v>
      </c>
      <c r="C9966" s="6">
        <v>0.45576179966546199</v>
      </c>
    </row>
    <row r="9967" spans="1:3" s="7" customFormat="1" x14ac:dyDescent="0.2">
      <c r="A9967" s="6" t="str">
        <f>"SPTB"</f>
        <v>SPTB</v>
      </c>
      <c r="B9967" s="6">
        <v>0.27184466019417403</v>
      </c>
      <c r="C9967" s="6">
        <v>0.45591126334391202</v>
      </c>
    </row>
    <row r="9968" spans="1:3" s="7" customFormat="1" x14ac:dyDescent="0.2">
      <c r="A9968" s="6" t="str">
        <f>"RNASEK-C17orf49"</f>
        <v>RNASEK-C17orf49</v>
      </c>
      <c r="B9968" s="6">
        <v>0.27200000000000002</v>
      </c>
      <c r="C9968" s="6">
        <v>0.45612601585231199</v>
      </c>
    </row>
    <row r="9969" spans="1:3" s="7" customFormat="1" x14ac:dyDescent="0.2">
      <c r="A9969" s="6" t="str">
        <f>"FNIP1"</f>
        <v>FNIP1</v>
      </c>
      <c r="B9969" s="6">
        <v>0.27272727272727199</v>
      </c>
      <c r="C9969" s="6">
        <v>0.45665834866395799</v>
      </c>
    </row>
    <row r="9970" spans="1:3" s="7" customFormat="1" x14ac:dyDescent="0.2">
      <c r="A9970" s="6" t="str">
        <f>"ZNF558"</f>
        <v>ZNF558</v>
      </c>
      <c r="B9970" s="6">
        <v>0.27272727272727199</v>
      </c>
      <c r="C9970" s="6">
        <v>0.45665834866395799</v>
      </c>
    </row>
    <row r="9971" spans="1:3" s="7" customFormat="1" x14ac:dyDescent="0.2">
      <c r="A9971" s="6" t="str">
        <f>"METTL7A"</f>
        <v>METTL7A</v>
      </c>
      <c r="B9971" s="6">
        <v>0.27272727272727199</v>
      </c>
      <c r="C9971" s="6">
        <v>0.45665834866395799</v>
      </c>
    </row>
    <row r="9972" spans="1:3" s="7" customFormat="1" x14ac:dyDescent="0.2">
      <c r="A9972" s="6" t="str">
        <f>"LINC01882"</f>
        <v>LINC01882</v>
      </c>
      <c r="B9972" s="6">
        <v>0.27272727272727199</v>
      </c>
      <c r="C9972" s="6">
        <v>0.45665834866395799</v>
      </c>
    </row>
    <row r="9973" spans="1:3" s="7" customFormat="1" x14ac:dyDescent="0.2">
      <c r="A9973" s="6" t="str">
        <f>"AL157997.1"</f>
        <v>AL157997.1</v>
      </c>
      <c r="B9973" s="6">
        <v>0.27272727272727199</v>
      </c>
      <c r="C9973" s="6">
        <v>0.45665834866395799</v>
      </c>
    </row>
    <row r="9974" spans="1:3" s="7" customFormat="1" x14ac:dyDescent="0.2">
      <c r="A9974" s="6" t="str">
        <f>"AC123768.1"</f>
        <v>AC123768.1</v>
      </c>
      <c r="B9974" s="6">
        <v>0.27263479145473002</v>
      </c>
      <c r="C9974" s="6">
        <v>0.45665834866395799</v>
      </c>
    </row>
    <row r="9975" spans="1:3" s="7" customFormat="1" x14ac:dyDescent="0.2">
      <c r="A9975" s="6" t="str">
        <f>"TBX2"</f>
        <v>TBX2</v>
      </c>
      <c r="B9975" s="6">
        <v>0.27272727272727199</v>
      </c>
      <c r="C9975" s="6">
        <v>0.45665834866395799</v>
      </c>
    </row>
    <row r="9976" spans="1:3" s="7" customFormat="1" x14ac:dyDescent="0.2">
      <c r="A9976" s="6" t="str">
        <f>"ZNF57"</f>
        <v>ZNF57</v>
      </c>
      <c r="B9976" s="6">
        <v>0.27272727272727199</v>
      </c>
      <c r="C9976" s="6">
        <v>0.45665834866395799</v>
      </c>
    </row>
    <row r="9977" spans="1:3" s="7" customFormat="1" x14ac:dyDescent="0.2">
      <c r="A9977" s="6" t="str">
        <f>"HES5"</f>
        <v>HES5</v>
      </c>
      <c r="B9977" s="6">
        <v>0.27272727272727199</v>
      </c>
      <c r="C9977" s="6">
        <v>0.45665834866395799</v>
      </c>
    </row>
    <row r="9978" spans="1:3" s="7" customFormat="1" x14ac:dyDescent="0.2">
      <c r="A9978" s="6" t="str">
        <f>"SSR3"</f>
        <v>SSR3</v>
      </c>
      <c r="B9978" s="6">
        <v>0.27272727272727199</v>
      </c>
      <c r="C9978" s="6">
        <v>0.45665834866395799</v>
      </c>
    </row>
    <row r="9979" spans="1:3" s="7" customFormat="1" x14ac:dyDescent="0.2">
      <c r="A9979" s="6" t="str">
        <f>"GATA2"</f>
        <v>GATA2</v>
      </c>
      <c r="B9979" s="6">
        <v>0.27272727272727199</v>
      </c>
      <c r="C9979" s="6">
        <v>0.45665834866395799</v>
      </c>
    </row>
    <row r="9980" spans="1:3" s="7" customFormat="1" x14ac:dyDescent="0.2">
      <c r="A9980" s="6" t="str">
        <f>"MARCHF7"</f>
        <v>MARCHF7</v>
      </c>
      <c r="B9980" s="6">
        <v>0.27272727272727199</v>
      </c>
      <c r="C9980" s="6">
        <v>0.45665834866395799</v>
      </c>
    </row>
    <row r="9981" spans="1:3" s="7" customFormat="1" x14ac:dyDescent="0.2">
      <c r="A9981" s="6" t="str">
        <f>"RAB8A"</f>
        <v>RAB8A</v>
      </c>
      <c r="B9981" s="6">
        <v>0.27272727272727199</v>
      </c>
      <c r="C9981" s="6">
        <v>0.45665834866395799</v>
      </c>
    </row>
    <row r="9982" spans="1:3" s="7" customFormat="1" x14ac:dyDescent="0.2">
      <c r="A9982" s="6" t="str">
        <f>"ARMH3"</f>
        <v>ARMH3</v>
      </c>
      <c r="B9982" s="6">
        <v>0.27272727272727199</v>
      </c>
      <c r="C9982" s="6">
        <v>0.45665834866395799</v>
      </c>
    </row>
    <row r="9983" spans="1:3" s="7" customFormat="1" x14ac:dyDescent="0.2">
      <c r="A9983" s="6" t="str">
        <f>"MCAM"</f>
        <v>MCAM</v>
      </c>
      <c r="B9983" s="6">
        <v>0.27272727272727199</v>
      </c>
      <c r="C9983" s="6">
        <v>0.45665834866395799</v>
      </c>
    </row>
    <row r="9984" spans="1:3" s="7" customFormat="1" x14ac:dyDescent="0.2">
      <c r="A9984" s="6" t="str">
        <f>"ABHD17AP5"</f>
        <v>ABHD17AP5</v>
      </c>
      <c r="B9984" s="6">
        <v>0.27281947261663198</v>
      </c>
      <c r="C9984" s="6">
        <v>0.45676697038108799</v>
      </c>
    </row>
    <row r="9985" spans="1:3" s="7" customFormat="1" x14ac:dyDescent="0.2">
      <c r="A9985" s="6" t="str">
        <f>"MAPKAP1"</f>
        <v>MAPKAP1</v>
      </c>
      <c r="B9985" s="6">
        <v>0.27300000000000002</v>
      </c>
      <c r="C9985" s="6">
        <v>0.456931904666533</v>
      </c>
    </row>
    <row r="9986" spans="1:3" s="7" customFormat="1" x14ac:dyDescent="0.2">
      <c r="A9986" s="6" t="str">
        <f>"ANAPC4"</f>
        <v>ANAPC4</v>
      </c>
      <c r="B9986" s="6">
        <v>0.27300000000000002</v>
      </c>
      <c r="C9986" s="6">
        <v>0.456931904666533</v>
      </c>
    </row>
    <row r="9987" spans="1:3" s="7" customFormat="1" x14ac:dyDescent="0.2">
      <c r="A9987" s="6" t="str">
        <f>"DPY19L4"</f>
        <v>DPY19L4</v>
      </c>
      <c r="B9987" s="6">
        <v>0.27300000000000002</v>
      </c>
      <c r="C9987" s="6">
        <v>0.456931904666533</v>
      </c>
    </row>
    <row r="9988" spans="1:3" s="7" customFormat="1" x14ac:dyDescent="0.2">
      <c r="A9988" s="6" t="str">
        <f>"IQGAP1"</f>
        <v>IQGAP1</v>
      </c>
      <c r="B9988" s="6">
        <v>0.27372627372627301</v>
      </c>
      <c r="C9988" s="6">
        <v>0.45773496138678699</v>
      </c>
    </row>
    <row r="9989" spans="1:3" s="7" customFormat="1" x14ac:dyDescent="0.2">
      <c r="A9989" s="6" t="str">
        <f>"YES1"</f>
        <v>YES1</v>
      </c>
      <c r="B9989" s="6">
        <v>0.27372627372627301</v>
      </c>
      <c r="C9989" s="6">
        <v>0.45773496138678699</v>
      </c>
    </row>
    <row r="9990" spans="1:3" s="7" customFormat="1" x14ac:dyDescent="0.2">
      <c r="A9990" s="6" t="str">
        <f>"GAS2"</f>
        <v>GAS2</v>
      </c>
      <c r="B9990" s="6">
        <v>0.27372627372627301</v>
      </c>
      <c r="C9990" s="6">
        <v>0.45773496138678699</v>
      </c>
    </row>
    <row r="9991" spans="1:3" s="7" customFormat="1" x14ac:dyDescent="0.2">
      <c r="A9991" s="6" t="str">
        <f>"TEX26"</f>
        <v>TEX26</v>
      </c>
      <c r="B9991" s="6">
        <v>0.27372627372627301</v>
      </c>
      <c r="C9991" s="6">
        <v>0.45773496138678699</v>
      </c>
    </row>
    <row r="9992" spans="1:3" s="7" customFormat="1" x14ac:dyDescent="0.2">
      <c r="A9992" s="6" t="str">
        <f>"UTP25"</f>
        <v>UTP25</v>
      </c>
      <c r="B9992" s="6">
        <v>0.27372627372627301</v>
      </c>
      <c r="C9992" s="6">
        <v>0.45773496138678699</v>
      </c>
    </row>
    <row r="9993" spans="1:3" s="7" customFormat="1" x14ac:dyDescent="0.2">
      <c r="A9993" s="6" t="str">
        <f>"RPS26"</f>
        <v>RPS26</v>
      </c>
      <c r="B9993" s="6">
        <v>0.27372627372627301</v>
      </c>
      <c r="C9993" s="6">
        <v>0.45773496138678699</v>
      </c>
    </row>
    <row r="9994" spans="1:3" s="7" customFormat="1" x14ac:dyDescent="0.2">
      <c r="A9994" s="6" t="str">
        <f>"DSP"</f>
        <v>DSP</v>
      </c>
      <c r="B9994" s="6">
        <v>0.27372627372627301</v>
      </c>
      <c r="C9994" s="6">
        <v>0.45773496138678699</v>
      </c>
    </row>
    <row r="9995" spans="1:3" s="7" customFormat="1" x14ac:dyDescent="0.2">
      <c r="A9995" s="6" t="str">
        <f>"DRC1"</f>
        <v>DRC1</v>
      </c>
      <c r="B9995" s="6">
        <v>0.27372627372627301</v>
      </c>
      <c r="C9995" s="6">
        <v>0.45773496138678699</v>
      </c>
    </row>
    <row r="9996" spans="1:3" s="7" customFormat="1" x14ac:dyDescent="0.2">
      <c r="A9996" s="6" t="str">
        <f>"LCOR"</f>
        <v>LCOR</v>
      </c>
      <c r="B9996" s="6">
        <v>0.27372627372627301</v>
      </c>
      <c r="C9996" s="6">
        <v>0.45773496138678699</v>
      </c>
    </row>
    <row r="9997" spans="1:3" s="7" customFormat="1" x14ac:dyDescent="0.2">
      <c r="A9997" s="6" t="str">
        <f>"AC099332.2"</f>
        <v>AC099332.2</v>
      </c>
      <c r="B9997" s="6">
        <v>0.27400000000000002</v>
      </c>
      <c r="C9997" s="6">
        <v>0.45796360000000003</v>
      </c>
    </row>
    <row r="9998" spans="1:3" s="7" customFormat="1" x14ac:dyDescent="0.2">
      <c r="A9998" s="6" t="str">
        <f>"TSC22D1-AS1"</f>
        <v>TSC22D1-AS1</v>
      </c>
      <c r="B9998" s="6">
        <v>0.27400000000000002</v>
      </c>
      <c r="C9998" s="6">
        <v>0.45796360000000003</v>
      </c>
    </row>
    <row r="9999" spans="1:3" s="7" customFormat="1" x14ac:dyDescent="0.2">
      <c r="A9999" s="6" t="str">
        <f>"PFKFB1"</f>
        <v>PFKFB1</v>
      </c>
      <c r="B9999" s="6">
        <v>0.27400000000000002</v>
      </c>
      <c r="C9999" s="6">
        <v>0.45796360000000003</v>
      </c>
    </row>
    <row r="10000" spans="1:3" s="7" customFormat="1" x14ac:dyDescent="0.2">
      <c r="A10000" s="6" t="str">
        <f>"MGC4859"</f>
        <v>MGC4859</v>
      </c>
      <c r="B10000" s="6">
        <v>0.27400000000000002</v>
      </c>
      <c r="C10000" s="6">
        <v>0.45796360000000003</v>
      </c>
    </row>
    <row r="10001" spans="1:3" s="7" customFormat="1" x14ac:dyDescent="0.2">
      <c r="A10001" s="6" t="str">
        <f>"OR52I1"</f>
        <v>OR52I1</v>
      </c>
      <c r="B10001" s="6">
        <v>0.27400000000000002</v>
      </c>
      <c r="C10001" s="6">
        <v>0.45796360000000003</v>
      </c>
    </row>
    <row r="10002" spans="1:3" s="7" customFormat="1" x14ac:dyDescent="0.2">
      <c r="A10002" s="6" t="str">
        <f>"AC008870.2"</f>
        <v>AC008870.2</v>
      </c>
      <c r="B10002" s="6">
        <v>0.27427427427427398</v>
      </c>
      <c r="C10002" s="6">
        <v>0.45837618440358102</v>
      </c>
    </row>
    <row r="10003" spans="1:3" s="7" customFormat="1" x14ac:dyDescent="0.2">
      <c r="A10003" s="6" t="str">
        <f>"ZNF681"</f>
        <v>ZNF681</v>
      </c>
      <c r="B10003" s="6">
        <v>0.27472527472527403</v>
      </c>
      <c r="C10003" s="6">
        <v>0.45871710706875501</v>
      </c>
    </row>
    <row r="10004" spans="1:3" s="7" customFormat="1" x14ac:dyDescent="0.2">
      <c r="A10004" s="6" t="str">
        <f>"FOXRED1"</f>
        <v>FOXRED1</v>
      </c>
      <c r="B10004" s="6">
        <v>0.27472527472527403</v>
      </c>
      <c r="C10004" s="6">
        <v>0.45871710706875501</v>
      </c>
    </row>
    <row r="10005" spans="1:3" s="7" customFormat="1" x14ac:dyDescent="0.2">
      <c r="A10005" s="6" t="str">
        <f>"SMPD4BP"</f>
        <v>SMPD4BP</v>
      </c>
      <c r="B10005" s="6">
        <v>0.27472527472527403</v>
      </c>
      <c r="C10005" s="6">
        <v>0.45871710706875501</v>
      </c>
    </row>
    <row r="10006" spans="1:3" s="7" customFormat="1" x14ac:dyDescent="0.2">
      <c r="A10006" s="6" t="str">
        <f>"CA14"</f>
        <v>CA14</v>
      </c>
      <c r="B10006" s="6">
        <v>0.27454909819639201</v>
      </c>
      <c r="C10006" s="6">
        <v>0.45871710706875501</v>
      </c>
    </row>
    <row r="10007" spans="1:3" s="7" customFormat="1" x14ac:dyDescent="0.2">
      <c r="A10007" s="6" t="str">
        <f>"PLAAT3"</f>
        <v>PLAAT3</v>
      </c>
      <c r="B10007" s="6">
        <v>0.27472527472527403</v>
      </c>
      <c r="C10007" s="6">
        <v>0.45871710706875501</v>
      </c>
    </row>
    <row r="10008" spans="1:3" s="7" customFormat="1" x14ac:dyDescent="0.2">
      <c r="A10008" s="6" t="str">
        <f>"RUVBL1"</f>
        <v>RUVBL1</v>
      </c>
      <c r="B10008" s="6">
        <v>0.27472527472527403</v>
      </c>
      <c r="C10008" s="6">
        <v>0.45871710706875501</v>
      </c>
    </row>
    <row r="10009" spans="1:3" s="7" customFormat="1" x14ac:dyDescent="0.2">
      <c r="A10009" s="6" t="str">
        <f>"CACUL1"</f>
        <v>CACUL1</v>
      </c>
      <c r="B10009" s="6">
        <v>0.27472527472527403</v>
      </c>
      <c r="C10009" s="6">
        <v>0.45871710706875501</v>
      </c>
    </row>
    <row r="10010" spans="1:3" s="7" customFormat="1" x14ac:dyDescent="0.2">
      <c r="A10010" s="6" t="str">
        <f>"AGBL5"</f>
        <v>AGBL5</v>
      </c>
      <c r="B10010" s="6">
        <v>0.27472527472527403</v>
      </c>
      <c r="C10010" s="6">
        <v>0.45871710706875501</v>
      </c>
    </row>
    <row r="10011" spans="1:3" s="7" customFormat="1" x14ac:dyDescent="0.2">
      <c r="A10011" s="6" t="str">
        <f>"RPS24"</f>
        <v>RPS24</v>
      </c>
      <c r="B10011" s="6">
        <v>0.27472527472527403</v>
      </c>
      <c r="C10011" s="6">
        <v>0.45871710706875501</v>
      </c>
    </row>
    <row r="10012" spans="1:3" s="7" customFormat="1" x14ac:dyDescent="0.2">
      <c r="A10012" s="6" t="str">
        <f>"SPNS1"</f>
        <v>SPNS1</v>
      </c>
      <c r="B10012" s="6">
        <v>0.27500000000000002</v>
      </c>
      <c r="C10012" s="6">
        <v>0.45908409908110198</v>
      </c>
    </row>
    <row r="10013" spans="1:3" s="7" customFormat="1" x14ac:dyDescent="0.2">
      <c r="A10013" s="6" t="str">
        <f>"VSIG10"</f>
        <v>VSIG10</v>
      </c>
      <c r="B10013" s="6">
        <v>0.27500000000000002</v>
      </c>
      <c r="C10013" s="6">
        <v>0.45908409908110198</v>
      </c>
    </row>
    <row r="10014" spans="1:3" s="7" customFormat="1" x14ac:dyDescent="0.2">
      <c r="A10014" s="6" t="str">
        <f>"VPS26A"</f>
        <v>VPS26A</v>
      </c>
      <c r="B10014" s="6">
        <v>0.27572427572427499</v>
      </c>
      <c r="C10014" s="6">
        <v>0.45937555267698799</v>
      </c>
    </row>
    <row r="10015" spans="1:3" s="7" customFormat="1" x14ac:dyDescent="0.2">
      <c r="A10015" s="6" t="str">
        <f>"FBXO17"</f>
        <v>FBXO17</v>
      </c>
      <c r="B10015" s="6">
        <v>0.27572427572427499</v>
      </c>
      <c r="C10015" s="6">
        <v>0.45937555267698799</v>
      </c>
    </row>
    <row r="10016" spans="1:3" s="7" customFormat="1" x14ac:dyDescent="0.2">
      <c r="A10016" s="6" t="str">
        <f>"DCAF4L1"</f>
        <v>DCAF4L1</v>
      </c>
      <c r="B10016" s="6">
        <v>0.27572427572427499</v>
      </c>
      <c r="C10016" s="6">
        <v>0.45937555267698799</v>
      </c>
    </row>
    <row r="10017" spans="1:3" s="7" customFormat="1" x14ac:dyDescent="0.2">
      <c r="A10017" s="6" t="str">
        <f>"GBP1"</f>
        <v>GBP1</v>
      </c>
      <c r="B10017" s="6">
        <v>0.27572427572427499</v>
      </c>
      <c r="C10017" s="6">
        <v>0.45937555267698799</v>
      </c>
    </row>
    <row r="10018" spans="1:3" s="7" customFormat="1" x14ac:dyDescent="0.2">
      <c r="A10018" s="6" t="str">
        <f>"RIPK4"</f>
        <v>RIPK4</v>
      </c>
      <c r="B10018" s="6">
        <v>0.27572427572427499</v>
      </c>
      <c r="C10018" s="6">
        <v>0.45937555267698799</v>
      </c>
    </row>
    <row r="10019" spans="1:3" s="7" customFormat="1" x14ac:dyDescent="0.2">
      <c r="A10019" s="6" t="str">
        <f>"AC025539.1"</f>
        <v>AC025539.1</v>
      </c>
      <c r="B10019" s="6">
        <v>0.27572427572427499</v>
      </c>
      <c r="C10019" s="6">
        <v>0.45937555267698799</v>
      </c>
    </row>
    <row r="10020" spans="1:3" s="7" customFormat="1" x14ac:dyDescent="0.2">
      <c r="A10020" s="6" t="str">
        <f>"PIK3CB"</f>
        <v>PIK3CB</v>
      </c>
      <c r="B10020" s="6">
        <v>0.27572427572427499</v>
      </c>
      <c r="C10020" s="6">
        <v>0.45937555267698799</v>
      </c>
    </row>
    <row r="10021" spans="1:3" s="7" customFormat="1" x14ac:dyDescent="0.2">
      <c r="A10021" s="6" t="str">
        <f>"PIGG"</f>
        <v>PIGG</v>
      </c>
      <c r="B10021" s="6">
        <v>0.27572427572427499</v>
      </c>
      <c r="C10021" s="6">
        <v>0.45937555267698799</v>
      </c>
    </row>
    <row r="10022" spans="1:3" s="7" customFormat="1" x14ac:dyDescent="0.2">
      <c r="A10022" s="6" t="str">
        <f>"SPAG7"</f>
        <v>SPAG7</v>
      </c>
      <c r="B10022" s="6">
        <v>0.27572427572427499</v>
      </c>
      <c r="C10022" s="6">
        <v>0.45937555267698799</v>
      </c>
    </row>
    <row r="10023" spans="1:3" s="7" customFormat="1" x14ac:dyDescent="0.2">
      <c r="A10023" s="6" t="str">
        <f>"ACO1"</f>
        <v>ACO1</v>
      </c>
      <c r="B10023" s="6">
        <v>0.27572427572427499</v>
      </c>
      <c r="C10023" s="6">
        <v>0.45937555267698799</v>
      </c>
    </row>
    <row r="10024" spans="1:3" s="7" customFormat="1" x14ac:dyDescent="0.2">
      <c r="A10024" s="6" t="str">
        <f>"MOCS2"</f>
        <v>MOCS2</v>
      </c>
      <c r="B10024" s="6">
        <v>0.27572427572427499</v>
      </c>
      <c r="C10024" s="6">
        <v>0.45937555267698799</v>
      </c>
    </row>
    <row r="10025" spans="1:3" s="7" customFormat="1" x14ac:dyDescent="0.2">
      <c r="A10025" s="6" t="str">
        <f>"CIBAR2"</f>
        <v>CIBAR2</v>
      </c>
      <c r="B10025" s="6">
        <v>0.27572427572427499</v>
      </c>
      <c r="C10025" s="6">
        <v>0.45937555267698799</v>
      </c>
    </row>
    <row r="10026" spans="1:3" s="7" customFormat="1" x14ac:dyDescent="0.2">
      <c r="A10026" s="6" t="str">
        <f>"MIER2"</f>
        <v>MIER2</v>
      </c>
      <c r="B10026" s="6">
        <v>0.27572427572427499</v>
      </c>
      <c r="C10026" s="6">
        <v>0.45937555267698799</v>
      </c>
    </row>
    <row r="10027" spans="1:3" s="7" customFormat="1" x14ac:dyDescent="0.2">
      <c r="A10027" s="6" t="str">
        <f>"SPDEF"</f>
        <v>SPDEF</v>
      </c>
      <c r="B10027" s="6">
        <v>0.27572427572427499</v>
      </c>
      <c r="C10027" s="6">
        <v>0.45937555267698799</v>
      </c>
    </row>
    <row r="10028" spans="1:3" s="7" customFormat="1" x14ac:dyDescent="0.2">
      <c r="A10028" s="6" t="str">
        <f>"SMIM11A"</f>
        <v>SMIM11A</v>
      </c>
      <c r="B10028" s="6">
        <v>0.27572427572427499</v>
      </c>
      <c r="C10028" s="6">
        <v>0.45937555267698799</v>
      </c>
    </row>
    <row r="10029" spans="1:3" s="7" customFormat="1" x14ac:dyDescent="0.2">
      <c r="A10029" s="6" t="str">
        <f>"SSR1"</f>
        <v>SSR1</v>
      </c>
      <c r="B10029" s="6">
        <v>0.27572427572427499</v>
      </c>
      <c r="C10029" s="6">
        <v>0.45937555267698799</v>
      </c>
    </row>
    <row r="10030" spans="1:3" s="7" customFormat="1" x14ac:dyDescent="0.2">
      <c r="A10030" s="6" t="str">
        <f>"C11orf24"</f>
        <v>C11orf24</v>
      </c>
      <c r="B10030" s="6">
        <v>0.27572427572427499</v>
      </c>
      <c r="C10030" s="6">
        <v>0.45937555267698799</v>
      </c>
    </row>
    <row r="10031" spans="1:3" s="7" customFormat="1" x14ac:dyDescent="0.2">
      <c r="A10031" s="6" t="str">
        <f>"SCYL2"</f>
        <v>SCYL2</v>
      </c>
      <c r="B10031" s="6">
        <v>0.27572427572427499</v>
      </c>
      <c r="C10031" s="6">
        <v>0.45937555267698799</v>
      </c>
    </row>
    <row r="10032" spans="1:3" s="7" customFormat="1" x14ac:dyDescent="0.2">
      <c r="A10032" s="6" t="str">
        <f>"SERINC5"</f>
        <v>SERINC5</v>
      </c>
      <c r="B10032" s="6">
        <v>0.27572427572427499</v>
      </c>
      <c r="C10032" s="6">
        <v>0.45937555267698799</v>
      </c>
    </row>
    <row r="10033" spans="1:3" s="7" customFormat="1" x14ac:dyDescent="0.2">
      <c r="A10033" s="6" t="str">
        <f>"FAM83B"</f>
        <v>FAM83B</v>
      </c>
      <c r="B10033" s="6">
        <v>0.27572427572427499</v>
      </c>
      <c r="C10033" s="6">
        <v>0.45937555267698799</v>
      </c>
    </row>
    <row r="10034" spans="1:3" s="7" customFormat="1" x14ac:dyDescent="0.2">
      <c r="A10034" s="6" t="str">
        <f>"AL138995.1"</f>
        <v>AL138995.1</v>
      </c>
      <c r="B10034" s="6">
        <v>0.27586206896551702</v>
      </c>
      <c r="C10034" s="6">
        <v>0.459559316325092</v>
      </c>
    </row>
    <row r="10035" spans="1:3" s="7" customFormat="1" x14ac:dyDescent="0.2">
      <c r="A10035" s="6" t="str">
        <f>"TMEM30BP1"</f>
        <v>TMEM30BP1</v>
      </c>
      <c r="B10035" s="6">
        <v>0.27600000000000002</v>
      </c>
      <c r="C10035" s="6">
        <v>0.45969745889387098</v>
      </c>
    </row>
    <row r="10036" spans="1:3" s="7" customFormat="1" x14ac:dyDescent="0.2">
      <c r="A10036" s="6" t="str">
        <f>"RRS1-AS1"</f>
        <v>RRS1-AS1</v>
      </c>
      <c r="B10036" s="6">
        <v>0.27600000000000002</v>
      </c>
      <c r="C10036" s="6">
        <v>0.45969745889387098</v>
      </c>
    </row>
    <row r="10037" spans="1:3" s="7" customFormat="1" x14ac:dyDescent="0.2">
      <c r="A10037" s="6" t="str">
        <f>"FAM224A"</f>
        <v>FAM224A</v>
      </c>
      <c r="B10037" s="6">
        <v>0.276381909547738</v>
      </c>
      <c r="C10037" s="6">
        <v>0.46028768794150099</v>
      </c>
    </row>
    <row r="10038" spans="1:3" s="7" customFormat="1" x14ac:dyDescent="0.2">
      <c r="A10038" s="6" t="str">
        <f>"PPP1R12A"</f>
        <v>PPP1R12A</v>
      </c>
      <c r="B10038" s="6">
        <v>0.27672327672327601</v>
      </c>
      <c r="C10038" s="6">
        <v>0.46030581679466998</v>
      </c>
    </row>
    <row r="10039" spans="1:3" s="7" customFormat="1" x14ac:dyDescent="0.2">
      <c r="A10039" s="6" t="str">
        <f>"ANGPTL6"</f>
        <v>ANGPTL6</v>
      </c>
      <c r="B10039" s="6">
        <v>0.27672327672327601</v>
      </c>
      <c r="C10039" s="6">
        <v>0.46030581679466998</v>
      </c>
    </row>
    <row r="10040" spans="1:3" s="7" customFormat="1" x14ac:dyDescent="0.2">
      <c r="A10040" s="6" t="str">
        <f>"DCAF13"</f>
        <v>DCAF13</v>
      </c>
      <c r="B10040" s="6">
        <v>0.27672327672327601</v>
      </c>
      <c r="C10040" s="6">
        <v>0.46030581679466998</v>
      </c>
    </row>
    <row r="10041" spans="1:3" s="7" customFormat="1" x14ac:dyDescent="0.2">
      <c r="A10041" s="6" t="str">
        <f>"TEFM"</f>
        <v>TEFM</v>
      </c>
      <c r="B10041" s="6">
        <v>0.27672327672327601</v>
      </c>
      <c r="C10041" s="6">
        <v>0.46030581679466998</v>
      </c>
    </row>
    <row r="10042" spans="1:3" s="7" customFormat="1" x14ac:dyDescent="0.2">
      <c r="A10042" s="6" t="str">
        <f>"AC104118.1"</f>
        <v>AC104118.1</v>
      </c>
      <c r="B10042" s="6">
        <v>0.27655310621242402</v>
      </c>
      <c r="C10042" s="6">
        <v>0.46030581679466998</v>
      </c>
    </row>
    <row r="10043" spans="1:3" s="7" customFormat="1" x14ac:dyDescent="0.2">
      <c r="A10043" s="6" t="str">
        <f>"ZNF414"</f>
        <v>ZNF414</v>
      </c>
      <c r="B10043" s="6">
        <v>0.27672327672327601</v>
      </c>
      <c r="C10043" s="6">
        <v>0.46030581679466998</v>
      </c>
    </row>
    <row r="10044" spans="1:3" s="7" customFormat="1" x14ac:dyDescent="0.2">
      <c r="A10044" s="6" t="str">
        <f>"L3MBTL3"</f>
        <v>L3MBTL3</v>
      </c>
      <c r="B10044" s="6">
        <v>0.27672327672327601</v>
      </c>
      <c r="C10044" s="6">
        <v>0.46030581679466998</v>
      </c>
    </row>
    <row r="10045" spans="1:3" s="7" customFormat="1" x14ac:dyDescent="0.2">
      <c r="A10045" s="6" t="str">
        <f>"LTA4H"</f>
        <v>LTA4H</v>
      </c>
      <c r="B10045" s="6">
        <v>0.27672327672327601</v>
      </c>
      <c r="C10045" s="6">
        <v>0.46030581679466998</v>
      </c>
    </row>
    <row r="10046" spans="1:3" s="7" customFormat="1" x14ac:dyDescent="0.2">
      <c r="A10046" s="6" t="str">
        <f>"PLA2G2A"</f>
        <v>PLA2G2A</v>
      </c>
      <c r="B10046" s="6">
        <v>0.27672327672327601</v>
      </c>
      <c r="C10046" s="6">
        <v>0.46030581679466998</v>
      </c>
    </row>
    <row r="10047" spans="1:3" s="7" customFormat="1" x14ac:dyDescent="0.2">
      <c r="A10047" s="6" t="str">
        <f>"LINC01564"</f>
        <v>LINC01564</v>
      </c>
      <c r="B10047" s="6">
        <v>0.27672327672327601</v>
      </c>
      <c r="C10047" s="6">
        <v>0.46030581679466998</v>
      </c>
    </row>
    <row r="10048" spans="1:3" s="7" customFormat="1" x14ac:dyDescent="0.2">
      <c r="A10048" s="6" t="str">
        <f>"RSPH9"</f>
        <v>RSPH9</v>
      </c>
      <c r="B10048" s="6">
        <v>0.27672327672327601</v>
      </c>
      <c r="C10048" s="6">
        <v>0.46030581679466998</v>
      </c>
    </row>
    <row r="10049" spans="1:3" s="7" customFormat="1" x14ac:dyDescent="0.2">
      <c r="A10049" s="6" t="str">
        <f>"NCS1"</f>
        <v>NCS1</v>
      </c>
      <c r="B10049" s="6">
        <v>0.27672327672327601</v>
      </c>
      <c r="C10049" s="6">
        <v>0.46030581679466998</v>
      </c>
    </row>
    <row r="10050" spans="1:3" s="7" customFormat="1" x14ac:dyDescent="0.2">
      <c r="A10050" s="6" t="str">
        <f>"Z97634.1"</f>
        <v>Z97634.1</v>
      </c>
      <c r="B10050" s="6">
        <v>0.27700000000000002</v>
      </c>
      <c r="C10050" s="6">
        <v>0.46072027067369797</v>
      </c>
    </row>
    <row r="10051" spans="1:3" s="7" customFormat="1" x14ac:dyDescent="0.2">
      <c r="A10051" s="6" t="str">
        <f>"AC090948.2"</f>
        <v>AC090948.2</v>
      </c>
      <c r="B10051" s="6">
        <v>0.27727727727727702</v>
      </c>
      <c r="C10051" s="6">
        <v>0.46113556342411999</v>
      </c>
    </row>
    <row r="10052" spans="1:3" s="7" customFormat="1" x14ac:dyDescent="0.2">
      <c r="A10052" s="6" t="str">
        <f>"DCTD"</f>
        <v>DCTD</v>
      </c>
      <c r="B10052" s="6">
        <v>0.27772227772227698</v>
      </c>
      <c r="C10052" s="6">
        <v>0.46114148120903498</v>
      </c>
    </row>
    <row r="10053" spans="1:3" s="7" customFormat="1" x14ac:dyDescent="0.2">
      <c r="A10053" s="6" t="str">
        <f>"AC138904.3"</f>
        <v>AC138904.3</v>
      </c>
      <c r="B10053" s="6">
        <v>0.27755511022043999</v>
      </c>
      <c r="C10053" s="6">
        <v>0.46114148120903498</v>
      </c>
    </row>
    <row r="10054" spans="1:3" s="7" customFormat="1" x14ac:dyDescent="0.2">
      <c r="A10054" s="6" t="str">
        <f>"ZNF30"</f>
        <v>ZNF30</v>
      </c>
      <c r="B10054" s="6">
        <v>0.27772227772227698</v>
      </c>
      <c r="C10054" s="6">
        <v>0.46114148120903498</v>
      </c>
    </row>
    <row r="10055" spans="1:3" s="7" customFormat="1" x14ac:dyDescent="0.2">
      <c r="A10055" s="6" t="str">
        <f>"ZNF875"</f>
        <v>ZNF875</v>
      </c>
      <c r="B10055" s="6">
        <v>0.27772227772227698</v>
      </c>
      <c r="C10055" s="6">
        <v>0.46114148120903498</v>
      </c>
    </row>
    <row r="10056" spans="1:3" s="7" customFormat="1" x14ac:dyDescent="0.2">
      <c r="A10056" s="6" t="str">
        <f>"AL139353.1"</f>
        <v>AL139353.1</v>
      </c>
      <c r="B10056" s="6">
        <v>0.27772227772227698</v>
      </c>
      <c r="C10056" s="6">
        <v>0.46114148120903498</v>
      </c>
    </row>
    <row r="10057" spans="1:3" s="7" customFormat="1" x14ac:dyDescent="0.2">
      <c r="A10057" s="6" t="str">
        <f>"GOSR2"</f>
        <v>GOSR2</v>
      </c>
      <c r="B10057" s="6">
        <v>0.27772227772227698</v>
      </c>
      <c r="C10057" s="6">
        <v>0.46114148120903498</v>
      </c>
    </row>
    <row r="10058" spans="1:3" s="7" customFormat="1" x14ac:dyDescent="0.2">
      <c r="A10058" s="6" t="str">
        <f>"NAB1"</f>
        <v>NAB1</v>
      </c>
      <c r="B10058" s="6">
        <v>0.27772227772227698</v>
      </c>
      <c r="C10058" s="6">
        <v>0.46114148120903498</v>
      </c>
    </row>
    <row r="10059" spans="1:3" s="7" customFormat="1" x14ac:dyDescent="0.2">
      <c r="A10059" s="6" t="str">
        <f>"RBM6"</f>
        <v>RBM6</v>
      </c>
      <c r="B10059" s="6">
        <v>0.27772227772227698</v>
      </c>
      <c r="C10059" s="6">
        <v>0.46114148120903498</v>
      </c>
    </row>
    <row r="10060" spans="1:3" s="7" customFormat="1" x14ac:dyDescent="0.2">
      <c r="A10060" s="6" t="str">
        <f>"ILVBL"</f>
        <v>ILVBL</v>
      </c>
      <c r="B10060" s="6">
        <v>0.27772227772227698</v>
      </c>
      <c r="C10060" s="6">
        <v>0.46114148120903498</v>
      </c>
    </row>
    <row r="10061" spans="1:3" s="7" customFormat="1" x14ac:dyDescent="0.2">
      <c r="A10061" s="6" t="str">
        <f>"AL157895.1"</f>
        <v>AL157895.1</v>
      </c>
      <c r="B10061" s="6">
        <v>0.27772227772227698</v>
      </c>
      <c r="C10061" s="6">
        <v>0.46114148120903498</v>
      </c>
    </row>
    <row r="10062" spans="1:3" s="7" customFormat="1" x14ac:dyDescent="0.2">
      <c r="A10062" s="6" t="str">
        <f>"TMEM168"</f>
        <v>TMEM168</v>
      </c>
      <c r="B10062" s="6">
        <v>0.27772227772227698</v>
      </c>
      <c r="C10062" s="6">
        <v>0.46114148120903498</v>
      </c>
    </row>
    <row r="10063" spans="1:3" s="7" customFormat="1" x14ac:dyDescent="0.2">
      <c r="A10063" s="6" t="str">
        <f>"SPRING1"</f>
        <v>SPRING1</v>
      </c>
      <c r="B10063" s="6">
        <v>0.27772227772227698</v>
      </c>
      <c r="C10063" s="6">
        <v>0.46114148120903498</v>
      </c>
    </row>
    <row r="10064" spans="1:3" s="7" customFormat="1" x14ac:dyDescent="0.2">
      <c r="A10064" s="6" t="str">
        <f>"TCTEX1D2"</f>
        <v>TCTEX1D2</v>
      </c>
      <c r="B10064" s="6">
        <v>0.27772227772227698</v>
      </c>
      <c r="C10064" s="6">
        <v>0.46114148120903498</v>
      </c>
    </row>
    <row r="10065" spans="1:3" s="7" customFormat="1" x14ac:dyDescent="0.2">
      <c r="A10065" s="6" t="str">
        <f>"LINC02332"</f>
        <v>LINC02332</v>
      </c>
      <c r="B10065" s="6">
        <v>0.277721261444557</v>
      </c>
      <c r="C10065" s="6">
        <v>0.46114148120903498</v>
      </c>
    </row>
    <row r="10066" spans="1:3" s="7" customFormat="1" x14ac:dyDescent="0.2">
      <c r="A10066" s="6" t="str">
        <f>"AC026403.1"</f>
        <v>AC026403.1</v>
      </c>
      <c r="B10066" s="6">
        <v>0.277386934673366</v>
      </c>
      <c r="C10066" s="6">
        <v>0.46114148120903498</v>
      </c>
    </row>
    <row r="10067" spans="1:3" s="7" customFormat="1" x14ac:dyDescent="0.2">
      <c r="A10067" s="6" t="str">
        <f>"JRK"</f>
        <v>JRK</v>
      </c>
      <c r="B10067" s="6">
        <v>0.27772227772227698</v>
      </c>
      <c r="C10067" s="6">
        <v>0.46114148120903498</v>
      </c>
    </row>
    <row r="10068" spans="1:3" s="7" customFormat="1" x14ac:dyDescent="0.2">
      <c r="A10068" s="6" t="str">
        <f>"POMP"</f>
        <v>POMP</v>
      </c>
      <c r="B10068" s="6">
        <v>0.27800000000000002</v>
      </c>
      <c r="C10068" s="6">
        <v>0.46141926514399201</v>
      </c>
    </row>
    <row r="10069" spans="1:3" s="7" customFormat="1" x14ac:dyDescent="0.2">
      <c r="A10069" s="6" t="str">
        <f>"PPP6C"</f>
        <v>PPP6C</v>
      </c>
      <c r="B10069" s="6">
        <v>0.27800000000000002</v>
      </c>
      <c r="C10069" s="6">
        <v>0.46141926514399201</v>
      </c>
    </row>
    <row r="10070" spans="1:3" s="7" customFormat="1" x14ac:dyDescent="0.2">
      <c r="A10070" s="6" t="str">
        <f>"SPATA4"</f>
        <v>SPATA4</v>
      </c>
      <c r="B10070" s="6">
        <v>0.27800000000000002</v>
      </c>
      <c r="C10070" s="6">
        <v>0.46141926514399201</v>
      </c>
    </row>
    <row r="10071" spans="1:3" s="7" customFormat="1" x14ac:dyDescent="0.2">
      <c r="A10071" s="6" t="str">
        <f>"PGK1"</f>
        <v>PGK1</v>
      </c>
      <c r="B10071" s="6">
        <v>0.27800000000000002</v>
      </c>
      <c r="C10071" s="6">
        <v>0.46141926514399201</v>
      </c>
    </row>
    <row r="10072" spans="1:3" s="7" customFormat="1" x14ac:dyDescent="0.2">
      <c r="A10072" s="6" t="str">
        <f>"UBE2M"</f>
        <v>UBE2M</v>
      </c>
      <c r="B10072" s="6">
        <v>0.278721278721278</v>
      </c>
      <c r="C10072" s="6">
        <v>0.46169945020291803</v>
      </c>
    </row>
    <row r="10073" spans="1:3" s="7" customFormat="1" x14ac:dyDescent="0.2">
      <c r="A10073" s="6" t="str">
        <f>"MARCHF5"</f>
        <v>MARCHF5</v>
      </c>
      <c r="B10073" s="6">
        <v>0.278721278721278</v>
      </c>
      <c r="C10073" s="6">
        <v>0.46169945020291803</v>
      </c>
    </row>
    <row r="10074" spans="1:3" s="7" customFormat="1" x14ac:dyDescent="0.2">
      <c r="A10074" s="6" t="str">
        <f>"AKR1C3"</f>
        <v>AKR1C3</v>
      </c>
      <c r="B10074" s="6">
        <v>0.278721278721278</v>
      </c>
      <c r="C10074" s="6">
        <v>0.46169945020291803</v>
      </c>
    </row>
    <row r="10075" spans="1:3" s="7" customFormat="1" x14ac:dyDescent="0.2">
      <c r="A10075" s="6" t="str">
        <f>"AL356056.2"</f>
        <v>AL356056.2</v>
      </c>
      <c r="B10075" s="6">
        <v>0.278721278721278</v>
      </c>
      <c r="C10075" s="6">
        <v>0.46169945020291803</v>
      </c>
    </row>
    <row r="10076" spans="1:3" s="7" customFormat="1" x14ac:dyDescent="0.2">
      <c r="A10076" s="6" t="str">
        <f>"ATP11B"</f>
        <v>ATP11B</v>
      </c>
      <c r="B10076" s="6">
        <v>0.278721278721278</v>
      </c>
      <c r="C10076" s="6">
        <v>0.46169945020291803</v>
      </c>
    </row>
    <row r="10077" spans="1:3" s="7" customFormat="1" x14ac:dyDescent="0.2">
      <c r="A10077" s="6" t="str">
        <f>"DAB2"</f>
        <v>DAB2</v>
      </c>
      <c r="B10077" s="6">
        <v>0.278721278721278</v>
      </c>
      <c r="C10077" s="6">
        <v>0.46169945020291803</v>
      </c>
    </row>
    <row r="10078" spans="1:3" s="7" customFormat="1" x14ac:dyDescent="0.2">
      <c r="A10078" s="6" t="str">
        <f>"LINC01655"</f>
        <v>LINC01655</v>
      </c>
      <c r="B10078" s="6">
        <v>0.278721278721278</v>
      </c>
      <c r="C10078" s="6">
        <v>0.46169945020291803</v>
      </c>
    </row>
    <row r="10079" spans="1:3" s="7" customFormat="1" x14ac:dyDescent="0.2">
      <c r="A10079" s="6" t="str">
        <f>"NPSR1"</f>
        <v>NPSR1</v>
      </c>
      <c r="B10079" s="6">
        <v>0.278721278721278</v>
      </c>
      <c r="C10079" s="6">
        <v>0.46169945020291803</v>
      </c>
    </row>
    <row r="10080" spans="1:3" s="7" customFormat="1" x14ac:dyDescent="0.2">
      <c r="A10080" s="6" t="str">
        <f>"DAPP1"</f>
        <v>DAPP1</v>
      </c>
      <c r="B10080" s="6">
        <v>0.278721278721278</v>
      </c>
      <c r="C10080" s="6">
        <v>0.46169945020291803</v>
      </c>
    </row>
    <row r="10081" spans="1:3" s="7" customFormat="1" x14ac:dyDescent="0.2">
      <c r="A10081" s="6" t="str">
        <f>"AC002116.1"</f>
        <v>AC002116.1</v>
      </c>
      <c r="B10081" s="6">
        <v>0.278721278721278</v>
      </c>
      <c r="C10081" s="6">
        <v>0.46169945020291803</v>
      </c>
    </row>
    <row r="10082" spans="1:3" s="7" customFormat="1" x14ac:dyDescent="0.2">
      <c r="A10082" s="6" t="str">
        <f>"AL035661.1"</f>
        <v>AL035661.1</v>
      </c>
      <c r="B10082" s="6">
        <v>0.278721278721278</v>
      </c>
      <c r="C10082" s="6">
        <v>0.46169945020291803</v>
      </c>
    </row>
    <row r="10083" spans="1:3" s="7" customFormat="1" x14ac:dyDescent="0.2">
      <c r="A10083" s="6" t="str">
        <f>"WDR74"</f>
        <v>WDR74</v>
      </c>
      <c r="B10083" s="6">
        <v>0.278721278721278</v>
      </c>
      <c r="C10083" s="6">
        <v>0.46169945020291803</v>
      </c>
    </row>
    <row r="10084" spans="1:3" s="7" customFormat="1" x14ac:dyDescent="0.2">
      <c r="A10084" s="6" t="str">
        <f>"SLC25A16"</f>
        <v>SLC25A16</v>
      </c>
      <c r="B10084" s="6">
        <v>0.278721278721278</v>
      </c>
      <c r="C10084" s="6">
        <v>0.46169945020291803</v>
      </c>
    </row>
    <row r="10085" spans="1:3" s="7" customFormat="1" x14ac:dyDescent="0.2">
      <c r="A10085" s="6" t="str">
        <f>"BCL7C"</f>
        <v>BCL7C</v>
      </c>
      <c r="B10085" s="6">
        <v>0.278721278721278</v>
      </c>
      <c r="C10085" s="6">
        <v>0.46169945020291803</v>
      </c>
    </row>
    <row r="10086" spans="1:3" s="7" customFormat="1" x14ac:dyDescent="0.2">
      <c r="A10086" s="6" t="str">
        <f>"SCRN2"</f>
        <v>SCRN2</v>
      </c>
      <c r="B10086" s="6">
        <v>0.278721278721278</v>
      </c>
      <c r="C10086" s="6">
        <v>0.46169945020291803</v>
      </c>
    </row>
    <row r="10087" spans="1:3" s="7" customFormat="1" x14ac:dyDescent="0.2">
      <c r="A10087" s="6" t="str">
        <f>"GNG12-AS1"</f>
        <v>GNG12-AS1</v>
      </c>
      <c r="B10087" s="6">
        <v>0.278721278721278</v>
      </c>
      <c r="C10087" s="6">
        <v>0.46169945020291803</v>
      </c>
    </row>
    <row r="10088" spans="1:3" s="7" customFormat="1" x14ac:dyDescent="0.2">
      <c r="A10088" s="6" t="str">
        <f>"AL096828.3"</f>
        <v>AL096828.3</v>
      </c>
      <c r="B10088" s="6">
        <v>0.278278278278278</v>
      </c>
      <c r="C10088" s="6">
        <v>0.46169945020291803</v>
      </c>
    </row>
    <row r="10089" spans="1:3" s="7" customFormat="1" x14ac:dyDescent="0.2">
      <c r="A10089" s="6" t="str">
        <f>"TRIT1"</f>
        <v>TRIT1</v>
      </c>
      <c r="B10089" s="6">
        <v>0.278721278721278</v>
      </c>
      <c r="C10089" s="6">
        <v>0.46169945020291803</v>
      </c>
    </row>
    <row r="10090" spans="1:3" s="7" customFormat="1" x14ac:dyDescent="0.2">
      <c r="A10090" s="6" t="str">
        <f>"MORN3"</f>
        <v>MORN3</v>
      </c>
      <c r="B10090" s="6">
        <v>0.278721278721278</v>
      </c>
      <c r="C10090" s="6">
        <v>0.46169945020291803</v>
      </c>
    </row>
    <row r="10091" spans="1:3" s="7" customFormat="1" x14ac:dyDescent="0.2">
      <c r="A10091" s="6" t="str">
        <f>"CTNS"</f>
        <v>CTNS</v>
      </c>
      <c r="B10091" s="6">
        <v>0.278721278721278</v>
      </c>
      <c r="C10091" s="6">
        <v>0.46169945020291803</v>
      </c>
    </row>
    <row r="10092" spans="1:3" s="7" customFormat="1" x14ac:dyDescent="0.2">
      <c r="A10092" s="6" t="str">
        <f>"AL603750.1"</f>
        <v>AL603750.1</v>
      </c>
      <c r="B10092" s="6">
        <v>0.27927927927927898</v>
      </c>
      <c r="C10092" s="6">
        <v>0.46257792824039901</v>
      </c>
    </row>
    <row r="10093" spans="1:3" s="7" customFormat="1" x14ac:dyDescent="0.2">
      <c r="A10093" s="6" t="str">
        <f>"KRBOX4"</f>
        <v>KRBOX4</v>
      </c>
      <c r="B10093" s="6">
        <v>0.27972027972027902</v>
      </c>
      <c r="C10093" s="6">
        <v>0.46266647751061402</v>
      </c>
    </row>
    <row r="10094" spans="1:3" s="7" customFormat="1" x14ac:dyDescent="0.2">
      <c r="A10094" s="6" t="str">
        <f>"ZHX2"</f>
        <v>ZHX2</v>
      </c>
      <c r="B10094" s="6">
        <v>0.27972027972027902</v>
      </c>
      <c r="C10094" s="6">
        <v>0.46266647751061402</v>
      </c>
    </row>
    <row r="10095" spans="1:3" s="7" customFormat="1" x14ac:dyDescent="0.2">
      <c r="A10095" s="6" t="str">
        <f>"SLC35D2"</f>
        <v>SLC35D2</v>
      </c>
      <c r="B10095" s="6">
        <v>0.27972027972027902</v>
      </c>
      <c r="C10095" s="6">
        <v>0.46266647751061402</v>
      </c>
    </row>
    <row r="10096" spans="1:3" s="7" customFormat="1" x14ac:dyDescent="0.2">
      <c r="A10096" s="6" t="str">
        <f>"PGRMC2"</f>
        <v>PGRMC2</v>
      </c>
      <c r="B10096" s="6">
        <v>0.27972027972027902</v>
      </c>
      <c r="C10096" s="6">
        <v>0.46266647751061402</v>
      </c>
    </row>
    <row r="10097" spans="1:3" s="7" customFormat="1" x14ac:dyDescent="0.2">
      <c r="A10097" s="6" t="str">
        <f>"TBL3"</f>
        <v>TBL3</v>
      </c>
      <c r="B10097" s="6">
        <v>0.27972027972027902</v>
      </c>
      <c r="C10097" s="6">
        <v>0.46266647751061402</v>
      </c>
    </row>
    <row r="10098" spans="1:3" s="7" customFormat="1" x14ac:dyDescent="0.2">
      <c r="A10098" s="6" t="str">
        <f>"TNRC6C"</f>
        <v>TNRC6C</v>
      </c>
      <c r="B10098" s="6">
        <v>0.27972027972027902</v>
      </c>
      <c r="C10098" s="6">
        <v>0.46266647751061402</v>
      </c>
    </row>
    <row r="10099" spans="1:3" s="7" customFormat="1" x14ac:dyDescent="0.2">
      <c r="A10099" s="6" t="str">
        <f>"ACP2"</f>
        <v>ACP2</v>
      </c>
      <c r="B10099" s="6">
        <v>0.27972027972027902</v>
      </c>
      <c r="C10099" s="6">
        <v>0.46266647751061402</v>
      </c>
    </row>
    <row r="10100" spans="1:3" s="7" customFormat="1" x14ac:dyDescent="0.2">
      <c r="A10100" s="6" t="str">
        <f>"WDR25"</f>
        <v>WDR25</v>
      </c>
      <c r="B10100" s="6">
        <v>0.27972027972027902</v>
      </c>
      <c r="C10100" s="6">
        <v>0.46266647751061402</v>
      </c>
    </row>
    <row r="10101" spans="1:3" s="7" customFormat="1" x14ac:dyDescent="0.2">
      <c r="A10101" s="6" t="str">
        <f>"TEX22"</f>
        <v>TEX22</v>
      </c>
      <c r="B10101" s="6">
        <v>0.27972027972027902</v>
      </c>
      <c r="C10101" s="6">
        <v>0.46266647751061402</v>
      </c>
    </row>
    <row r="10102" spans="1:3" s="7" customFormat="1" x14ac:dyDescent="0.2">
      <c r="A10102" s="6" t="str">
        <f>"EVL"</f>
        <v>EVL</v>
      </c>
      <c r="B10102" s="6">
        <v>0.27972027972027902</v>
      </c>
      <c r="C10102" s="6">
        <v>0.46266647751061402</v>
      </c>
    </row>
    <row r="10103" spans="1:3" s="7" customFormat="1" x14ac:dyDescent="0.2">
      <c r="A10103" s="6" t="str">
        <f>"DCC"</f>
        <v>DCC</v>
      </c>
      <c r="B10103" s="6">
        <v>0.27972027972027902</v>
      </c>
      <c r="C10103" s="6">
        <v>0.46266647751061402</v>
      </c>
    </row>
    <row r="10104" spans="1:3" s="7" customFormat="1" x14ac:dyDescent="0.2">
      <c r="A10104" s="6" t="str">
        <f>"PPP1CA"</f>
        <v>PPP1CA</v>
      </c>
      <c r="B10104" s="6">
        <v>0.27972027972027902</v>
      </c>
      <c r="C10104" s="6">
        <v>0.46266647751061402</v>
      </c>
    </row>
    <row r="10105" spans="1:3" s="7" customFormat="1" x14ac:dyDescent="0.2">
      <c r="A10105" s="6" t="str">
        <f>"LIMS3"</f>
        <v>LIMS3</v>
      </c>
      <c r="B10105" s="6">
        <v>0.27972027972027902</v>
      </c>
      <c r="C10105" s="6">
        <v>0.46266647751061402</v>
      </c>
    </row>
    <row r="10106" spans="1:3" s="7" customFormat="1" x14ac:dyDescent="0.2">
      <c r="A10106" s="6" t="str">
        <f>"AURKAIP1"</f>
        <v>AURKAIP1</v>
      </c>
      <c r="B10106" s="6">
        <v>0.27972027972027902</v>
      </c>
      <c r="C10106" s="6">
        <v>0.46266647751061402</v>
      </c>
    </row>
    <row r="10107" spans="1:3" s="7" customFormat="1" x14ac:dyDescent="0.2">
      <c r="A10107" s="6" t="str">
        <f>"AC098484.3"</f>
        <v>AC098484.3</v>
      </c>
      <c r="B10107" s="6">
        <v>0.28000000000000003</v>
      </c>
      <c r="C10107" s="6">
        <v>0.46308331684148002</v>
      </c>
    </row>
    <row r="10108" spans="1:3" s="7" customFormat="1" x14ac:dyDescent="0.2">
      <c r="A10108" s="6" t="str">
        <f>"ABCE1"</f>
        <v>ABCE1</v>
      </c>
      <c r="B10108" s="6">
        <v>0.28071928071927998</v>
      </c>
      <c r="C10108" s="6">
        <v>0.46317295734867298</v>
      </c>
    </row>
    <row r="10109" spans="1:3" s="7" customFormat="1" x14ac:dyDescent="0.2">
      <c r="A10109" s="6" t="str">
        <f>"ABCF1"</f>
        <v>ABCF1</v>
      </c>
      <c r="B10109" s="6">
        <v>0.28071928071927998</v>
      </c>
      <c r="C10109" s="6">
        <v>0.46317295734867298</v>
      </c>
    </row>
    <row r="10110" spans="1:3" s="7" customFormat="1" x14ac:dyDescent="0.2">
      <c r="A10110" s="6" t="str">
        <f>"NAP1L4P1"</f>
        <v>NAP1L4P1</v>
      </c>
      <c r="B10110" s="6">
        <v>0.28071928071927998</v>
      </c>
      <c r="C10110" s="6">
        <v>0.46317295734867298</v>
      </c>
    </row>
    <row r="10111" spans="1:3" s="7" customFormat="1" x14ac:dyDescent="0.2">
      <c r="A10111" s="6" t="str">
        <f>"AC027290.2"</f>
        <v>AC027290.2</v>
      </c>
      <c r="B10111" s="6">
        <v>0.28071928071927998</v>
      </c>
      <c r="C10111" s="6">
        <v>0.46317295734867298</v>
      </c>
    </row>
    <row r="10112" spans="1:3" s="7" customFormat="1" x14ac:dyDescent="0.2">
      <c r="A10112" s="6" t="str">
        <f>"AC008453.2"</f>
        <v>AC008453.2</v>
      </c>
      <c r="B10112" s="6">
        <v>0.28071928071927998</v>
      </c>
      <c r="C10112" s="6">
        <v>0.46317295734867298</v>
      </c>
    </row>
    <row r="10113" spans="1:3" s="7" customFormat="1" x14ac:dyDescent="0.2">
      <c r="A10113" s="6" t="str">
        <f>"CDCA4"</f>
        <v>CDCA4</v>
      </c>
      <c r="B10113" s="6">
        <v>0.28071928071927998</v>
      </c>
      <c r="C10113" s="6">
        <v>0.46317295734867298</v>
      </c>
    </row>
    <row r="10114" spans="1:3" s="7" customFormat="1" x14ac:dyDescent="0.2">
      <c r="A10114" s="6" t="str">
        <f>"GVINP1"</f>
        <v>GVINP1</v>
      </c>
      <c r="B10114" s="6">
        <v>0.28071928071927998</v>
      </c>
      <c r="C10114" s="6">
        <v>0.46317295734867298</v>
      </c>
    </row>
    <row r="10115" spans="1:3" s="7" customFormat="1" x14ac:dyDescent="0.2">
      <c r="A10115" s="6" t="str">
        <f>"BFSP1"</f>
        <v>BFSP1</v>
      </c>
      <c r="B10115" s="6">
        <v>0.28071928071927998</v>
      </c>
      <c r="C10115" s="6">
        <v>0.46317295734867298</v>
      </c>
    </row>
    <row r="10116" spans="1:3" s="7" customFormat="1" x14ac:dyDescent="0.2">
      <c r="A10116" s="6" t="str">
        <f>"LINC00112"</f>
        <v>LINC00112</v>
      </c>
      <c r="B10116" s="6">
        <v>0.28071928071927998</v>
      </c>
      <c r="C10116" s="6">
        <v>0.46317295734867298</v>
      </c>
    </row>
    <row r="10117" spans="1:3" s="7" customFormat="1" x14ac:dyDescent="0.2">
      <c r="A10117" s="6" t="str">
        <f>"ZNF335"</f>
        <v>ZNF335</v>
      </c>
      <c r="B10117" s="6">
        <v>0.28071928071927998</v>
      </c>
      <c r="C10117" s="6">
        <v>0.46317295734867298</v>
      </c>
    </row>
    <row r="10118" spans="1:3" s="7" customFormat="1" x14ac:dyDescent="0.2">
      <c r="A10118" s="6" t="str">
        <f>"AC099552.5"</f>
        <v>AC099552.5</v>
      </c>
      <c r="B10118" s="6">
        <v>0.28071928071927998</v>
      </c>
      <c r="C10118" s="6">
        <v>0.46317295734867298</v>
      </c>
    </row>
    <row r="10119" spans="1:3" s="7" customFormat="1" x14ac:dyDescent="0.2">
      <c r="A10119" s="6" t="str">
        <f>"SMIM19"</f>
        <v>SMIM19</v>
      </c>
      <c r="B10119" s="6">
        <v>0.28071928071927998</v>
      </c>
      <c r="C10119" s="6">
        <v>0.46317295734867298</v>
      </c>
    </row>
    <row r="10120" spans="1:3" s="7" customFormat="1" x14ac:dyDescent="0.2">
      <c r="A10120" s="6" t="str">
        <f>"ZNF770"</f>
        <v>ZNF770</v>
      </c>
      <c r="B10120" s="6">
        <v>0.28071928071927998</v>
      </c>
      <c r="C10120" s="6">
        <v>0.46317295734867298</v>
      </c>
    </row>
    <row r="10121" spans="1:3" s="7" customFormat="1" x14ac:dyDescent="0.2">
      <c r="A10121" s="6" t="str">
        <f>"MC1R"</f>
        <v>MC1R</v>
      </c>
      <c r="B10121" s="6">
        <v>0.28071928071927998</v>
      </c>
      <c r="C10121" s="6">
        <v>0.46317295734867298</v>
      </c>
    </row>
    <row r="10122" spans="1:3" s="7" customFormat="1" x14ac:dyDescent="0.2">
      <c r="A10122" s="6" t="str">
        <f>"AC102945.2"</f>
        <v>AC102945.2</v>
      </c>
      <c r="B10122" s="6">
        <v>0.28071928071927998</v>
      </c>
      <c r="C10122" s="6">
        <v>0.46317295734867298</v>
      </c>
    </row>
    <row r="10123" spans="1:3" s="7" customFormat="1" x14ac:dyDescent="0.2">
      <c r="A10123" s="6" t="str">
        <f>"NRBP1"</f>
        <v>NRBP1</v>
      </c>
      <c r="B10123" s="6">
        <v>0.28071928071927998</v>
      </c>
      <c r="C10123" s="6">
        <v>0.46317295734867298</v>
      </c>
    </row>
    <row r="10124" spans="1:3" s="7" customFormat="1" x14ac:dyDescent="0.2">
      <c r="A10124" s="6" t="str">
        <f>"SMG8"</f>
        <v>SMG8</v>
      </c>
      <c r="B10124" s="6">
        <v>0.28071928071927998</v>
      </c>
      <c r="C10124" s="6">
        <v>0.46317295734867298</v>
      </c>
    </row>
    <row r="10125" spans="1:3" s="7" customFormat="1" x14ac:dyDescent="0.2">
      <c r="A10125" s="6" t="str">
        <f>"TMED7"</f>
        <v>TMED7</v>
      </c>
      <c r="B10125" s="6">
        <v>0.28071928071927998</v>
      </c>
      <c r="C10125" s="6">
        <v>0.46317295734867298</v>
      </c>
    </row>
    <row r="10126" spans="1:3" s="7" customFormat="1" x14ac:dyDescent="0.2">
      <c r="A10126" s="6" t="str">
        <f>"HEYL"</f>
        <v>HEYL</v>
      </c>
      <c r="B10126" s="6">
        <v>0.28071928071927998</v>
      </c>
      <c r="C10126" s="6">
        <v>0.46317295734867298</v>
      </c>
    </row>
    <row r="10127" spans="1:3" s="7" customFormat="1" x14ac:dyDescent="0.2">
      <c r="A10127" s="6" t="str">
        <f>"NAA50"</f>
        <v>NAA50</v>
      </c>
      <c r="B10127" s="6">
        <v>0.28071928071927998</v>
      </c>
      <c r="C10127" s="6">
        <v>0.46317295734867298</v>
      </c>
    </row>
    <row r="10128" spans="1:3" s="7" customFormat="1" x14ac:dyDescent="0.2">
      <c r="A10128" s="6" t="str">
        <f>"AMHR2"</f>
        <v>AMHR2</v>
      </c>
      <c r="B10128" s="6">
        <v>0.28071928071927998</v>
      </c>
      <c r="C10128" s="6">
        <v>0.46317295734867298</v>
      </c>
    </row>
    <row r="10129" spans="1:3" s="7" customFormat="1" x14ac:dyDescent="0.2">
      <c r="A10129" s="6" t="str">
        <f>"THRAP3"</f>
        <v>THRAP3</v>
      </c>
      <c r="B10129" s="6">
        <v>0.28071928071927998</v>
      </c>
      <c r="C10129" s="6">
        <v>0.46317295734867298</v>
      </c>
    </row>
    <row r="10130" spans="1:3" s="7" customFormat="1" x14ac:dyDescent="0.2">
      <c r="A10130" s="6" t="str">
        <f>"HPS4"</f>
        <v>HPS4</v>
      </c>
      <c r="B10130" s="6">
        <v>0.28071928071927998</v>
      </c>
      <c r="C10130" s="6">
        <v>0.46317295734867298</v>
      </c>
    </row>
    <row r="10131" spans="1:3" s="7" customFormat="1" x14ac:dyDescent="0.2">
      <c r="A10131" s="6" t="str">
        <f>"ZFY-AS1"</f>
        <v>ZFY-AS1</v>
      </c>
      <c r="B10131" s="6">
        <v>0.28035320088300197</v>
      </c>
      <c r="C10131" s="6">
        <v>0.46317295734867298</v>
      </c>
    </row>
    <row r="10132" spans="1:3" s="7" customFormat="1" x14ac:dyDescent="0.2">
      <c r="A10132" s="6" t="str">
        <f>"TRAF3IP2"</f>
        <v>TRAF3IP2</v>
      </c>
      <c r="B10132" s="6">
        <v>0.28100000000000003</v>
      </c>
      <c r="C10132" s="6">
        <v>0.46359036620274402</v>
      </c>
    </row>
    <row r="10133" spans="1:3" s="7" customFormat="1" x14ac:dyDescent="0.2">
      <c r="A10133" s="6" t="str">
        <f>"DBT"</f>
        <v>DBT</v>
      </c>
      <c r="B10133" s="6">
        <v>0.28171828171828101</v>
      </c>
      <c r="C10133" s="6">
        <v>0.463768281359141</v>
      </c>
    </row>
    <row r="10134" spans="1:3" s="7" customFormat="1" x14ac:dyDescent="0.2">
      <c r="A10134" s="6" t="str">
        <f>"FTH1P10"</f>
        <v>FTH1P10</v>
      </c>
      <c r="B10134" s="6">
        <v>0.28171828171828101</v>
      </c>
      <c r="C10134" s="6">
        <v>0.463768281359141</v>
      </c>
    </row>
    <row r="10135" spans="1:3" s="7" customFormat="1" x14ac:dyDescent="0.2">
      <c r="A10135" s="6" t="str">
        <f>"AL158212.3"</f>
        <v>AL158212.3</v>
      </c>
      <c r="B10135" s="6">
        <v>0.28171828171828101</v>
      </c>
      <c r="C10135" s="6">
        <v>0.463768281359141</v>
      </c>
    </row>
    <row r="10136" spans="1:3" s="7" customFormat="1" x14ac:dyDescent="0.2">
      <c r="A10136" s="6" t="str">
        <f>"PKD1L2"</f>
        <v>PKD1L2</v>
      </c>
      <c r="B10136" s="6">
        <v>0.28171828171828101</v>
      </c>
      <c r="C10136" s="6">
        <v>0.463768281359141</v>
      </c>
    </row>
    <row r="10137" spans="1:3" s="7" customFormat="1" x14ac:dyDescent="0.2">
      <c r="A10137" s="6" t="str">
        <f>"AC003006.1"</f>
        <v>AC003006.1</v>
      </c>
      <c r="B10137" s="6">
        <v>0.28171828171828101</v>
      </c>
      <c r="C10137" s="6">
        <v>0.463768281359141</v>
      </c>
    </row>
    <row r="10138" spans="1:3" s="7" customFormat="1" x14ac:dyDescent="0.2">
      <c r="A10138" s="6" t="str">
        <f>"PRXL2C"</f>
        <v>PRXL2C</v>
      </c>
      <c r="B10138" s="6">
        <v>0.28171828171828101</v>
      </c>
      <c r="C10138" s="6">
        <v>0.463768281359141</v>
      </c>
    </row>
    <row r="10139" spans="1:3" s="7" customFormat="1" x14ac:dyDescent="0.2">
      <c r="A10139" s="6" t="str">
        <f>"AC006213.1"</f>
        <v>AC006213.1</v>
      </c>
      <c r="B10139" s="6">
        <v>0.28171828171828101</v>
      </c>
      <c r="C10139" s="6">
        <v>0.463768281359141</v>
      </c>
    </row>
    <row r="10140" spans="1:3" s="7" customFormat="1" x14ac:dyDescent="0.2">
      <c r="A10140" s="6" t="str">
        <f>"RBBP9"</f>
        <v>RBBP9</v>
      </c>
      <c r="B10140" s="6">
        <v>0.28171828171828101</v>
      </c>
      <c r="C10140" s="6">
        <v>0.463768281359141</v>
      </c>
    </row>
    <row r="10141" spans="1:3" s="7" customFormat="1" x14ac:dyDescent="0.2">
      <c r="A10141" s="6" t="str">
        <f>"HEXD"</f>
        <v>HEXD</v>
      </c>
      <c r="B10141" s="6">
        <v>0.28171828171828101</v>
      </c>
      <c r="C10141" s="6">
        <v>0.463768281359141</v>
      </c>
    </row>
    <row r="10142" spans="1:3" s="7" customFormat="1" x14ac:dyDescent="0.2">
      <c r="A10142" s="6" t="str">
        <f>"XPO5"</f>
        <v>XPO5</v>
      </c>
      <c r="B10142" s="6">
        <v>0.28171828171828101</v>
      </c>
      <c r="C10142" s="6">
        <v>0.463768281359141</v>
      </c>
    </row>
    <row r="10143" spans="1:3" s="7" customFormat="1" x14ac:dyDescent="0.2">
      <c r="A10143" s="6" t="str">
        <f>"FEZ1"</f>
        <v>FEZ1</v>
      </c>
      <c r="B10143" s="6">
        <v>0.28171828171828101</v>
      </c>
      <c r="C10143" s="6">
        <v>0.463768281359141</v>
      </c>
    </row>
    <row r="10144" spans="1:3" s="7" customFormat="1" x14ac:dyDescent="0.2">
      <c r="A10144" s="6" t="str">
        <f>"SKA2"</f>
        <v>SKA2</v>
      </c>
      <c r="B10144" s="6">
        <v>0.28171828171828101</v>
      </c>
      <c r="C10144" s="6">
        <v>0.463768281359141</v>
      </c>
    </row>
    <row r="10145" spans="1:3" s="7" customFormat="1" x14ac:dyDescent="0.2">
      <c r="A10145" s="6" t="str">
        <f>"ISYNA1"</f>
        <v>ISYNA1</v>
      </c>
      <c r="B10145" s="6">
        <v>0.28171828171828101</v>
      </c>
      <c r="C10145" s="6">
        <v>0.463768281359141</v>
      </c>
    </row>
    <row r="10146" spans="1:3" s="7" customFormat="1" x14ac:dyDescent="0.2">
      <c r="A10146" s="6" t="str">
        <f>"PART1"</f>
        <v>PART1</v>
      </c>
      <c r="B10146" s="6">
        <v>0.28171828171828101</v>
      </c>
      <c r="C10146" s="6">
        <v>0.463768281359141</v>
      </c>
    </row>
    <row r="10147" spans="1:3" s="7" customFormat="1" x14ac:dyDescent="0.2">
      <c r="A10147" s="6" t="str">
        <f>"TMEM41A"</f>
        <v>TMEM41A</v>
      </c>
      <c r="B10147" s="6">
        <v>0.28171828171828101</v>
      </c>
      <c r="C10147" s="6">
        <v>0.463768281359141</v>
      </c>
    </row>
    <row r="10148" spans="1:3" s="7" customFormat="1" x14ac:dyDescent="0.2">
      <c r="A10148" s="6" t="str">
        <f>"VAT1"</f>
        <v>VAT1</v>
      </c>
      <c r="B10148" s="6">
        <v>0.28171828171828101</v>
      </c>
      <c r="C10148" s="6">
        <v>0.463768281359141</v>
      </c>
    </row>
    <row r="10149" spans="1:3" s="7" customFormat="1" x14ac:dyDescent="0.2">
      <c r="A10149" s="6" t="str">
        <f>"RNF32"</f>
        <v>RNF32</v>
      </c>
      <c r="B10149" s="6">
        <v>0.28171828171828101</v>
      </c>
      <c r="C10149" s="6">
        <v>0.463768281359141</v>
      </c>
    </row>
    <row r="10150" spans="1:3" s="7" customFormat="1" x14ac:dyDescent="0.2">
      <c r="A10150" s="6" t="str">
        <f>"EFCAB7"</f>
        <v>EFCAB7</v>
      </c>
      <c r="B10150" s="6">
        <v>0.28171828171828101</v>
      </c>
      <c r="C10150" s="6">
        <v>0.463768281359141</v>
      </c>
    </row>
    <row r="10151" spans="1:3" s="7" customFormat="1" x14ac:dyDescent="0.2">
      <c r="A10151" s="6" t="str">
        <f>"MAPK1"</f>
        <v>MAPK1</v>
      </c>
      <c r="B10151" s="6">
        <v>0.28171828171828101</v>
      </c>
      <c r="C10151" s="6">
        <v>0.463768281359141</v>
      </c>
    </row>
    <row r="10152" spans="1:3" s="7" customFormat="1" x14ac:dyDescent="0.2">
      <c r="A10152" s="6" t="str">
        <f>"HSD17B6"</f>
        <v>HSD17B6</v>
      </c>
      <c r="B10152" s="6">
        <v>0.28171828171828101</v>
      </c>
      <c r="C10152" s="6">
        <v>0.463768281359141</v>
      </c>
    </row>
    <row r="10153" spans="1:3" s="7" customFormat="1" x14ac:dyDescent="0.2">
      <c r="A10153" s="6" t="str">
        <f>"TENT2"</f>
        <v>TENT2</v>
      </c>
      <c r="B10153" s="6">
        <v>0.28171828171828101</v>
      </c>
      <c r="C10153" s="6">
        <v>0.463768281359141</v>
      </c>
    </row>
    <row r="10154" spans="1:3" s="7" customFormat="1" x14ac:dyDescent="0.2">
      <c r="A10154" s="6" t="str">
        <f>"LMO2"</f>
        <v>LMO2</v>
      </c>
      <c r="B10154" s="6">
        <v>0.28171828171828101</v>
      </c>
      <c r="C10154" s="6">
        <v>0.463768281359141</v>
      </c>
    </row>
    <row r="10155" spans="1:3" s="7" customFormat="1" x14ac:dyDescent="0.2">
      <c r="A10155" s="6" t="str">
        <f>"AL118505.1"</f>
        <v>AL118505.1</v>
      </c>
      <c r="B10155" s="6">
        <v>0.28199999999999997</v>
      </c>
      <c r="C10155" s="6">
        <v>0.46409491925954999</v>
      </c>
    </row>
    <row r="10156" spans="1:3" s="7" customFormat="1" x14ac:dyDescent="0.2">
      <c r="A10156" s="6" t="str">
        <f>"AC091060.1"</f>
        <v>AC091060.1</v>
      </c>
      <c r="B10156" s="6">
        <v>0.28199999999999997</v>
      </c>
      <c r="C10156" s="6">
        <v>0.46409491925954999</v>
      </c>
    </row>
    <row r="10157" spans="1:3" s="7" customFormat="1" x14ac:dyDescent="0.2">
      <c r="A10157" s="6" t="str">
        <f>"IL17RC"</f>
        <v>IL17RC</v>
      </c>
      <c r="B10157" s="6">
        <v>0.28199999999999997</v>
      </c>
      <c r="C10157" s="6">
        <v>0.46409491925954999</v>
      </c>
    </row>
    <row r="10158" spans="1:3" s="7" customFormat="1" x14ac:dyDescent="0.2">
      <c r="A10158" s="6" t="str">
        <f>"THUMPD3"</f>
        <v>THUMPD3</v>
      </c>
      <c r="B10158" s="6">
        <v>0.28271728271728203</v>
      </c>
      <c r="C10158" s="6">
        <v>0.46440655167927802</v>
      </c>
    </row>
    <row r="10159" spans="1:3" s="7" customFormat="1" x14ac:dyDescent="0.2">
      <c r="A10159" s="6" t="str">
        <f>"PET117"</f>
        <v>PET117</v>
      </c>
      <c r="B10159" s="6">
        <v>0.28271728271728203</v>
      </c>
      <c r="C10159" s="6">
        <v>0.46440655167927802</v>
      </c>
    </row>
    <row r="10160" spans="1:3" s="7" customFormat="1" x14ac:dyDescent="0.2">
      <c r="A10160" s="6" t="str">
        <f>"MEGF6"</f>
        <v>MEGF6</v>
      </c>
      <c r="B10160" s="6">
        <v>0.28271728271728203</v>
      </c>
      <c r="C10160" s="6">
        <v>0.46440655167927802</v>
      </c>
    </row>
    <row r="10161" spans="1:3" s="7" customFormat="1" x14ac:dyDescent="0.2">
      <c r="A10161" s="6" t="str">
        <f>"PRKAA2"</f>
        <v>PRKAA2</v>
      </c>
      <c r="B10161" s="6">
        <v>0.28271728271728203</v>
      </c>
      <c r="C10161" s="6">
        <v>0.46440655167927802</v>
      </c>
    </row>
    <row r="10162" spans="1:3" s="7" customFormat="1" x14ac:dyDescent="0.2">
      <c r="A10162" s="6" t="str">
        <f>"EPN3"</f>
        <v>EPN3</v>
      </c>
      <c r="B10162" s="6">
        <v>0.28271728271728203</v>
      </c>
      <c r="C10162" s="6">
        <v>0.46440655167927802</v>
      </c>
    </row>
    <row r="10163" spans="1:3" s="7" customFormat="1" x14ac:dyDescent="0.2">
      <c r="A10163" s="6" t="str">
        <f>"IMPDH1P5"</f>
        <v>IMPDH1P5</v>
      </c>
      <c r="B10163" s="6">
        <v>0.28271728271728203</v>
      </c>
      <c r="C10163" s="6">
        <v>0.46440655167927802</v>
      </c>
    </row>
    <row r="10164" spans="1:3" s="7" customFormat="1" x14ac:dyDescent="0.2">
      <c r="A10164" s="6" t="str">
        <f>"AC134878.2"</f>
        <v>AC134878.2</v>
      </c>
      <c r="B10164" s="6">
        <v>0.28271728271728203</v>
      </c>
      <c r="C10164" s="6">
        <v>0.46440655167927802</v>
      </c>
    </row>
    <row r="10165" spans="1:3" s="7" customFormat="1" x14ac:dyDescent="0.2">
      <c r="A10165" s="6" t="str">
        <f>"RN7SL2"</f>
        <v>RN7SL2</v>
      </c>
      <c r="B10165" s="6">
        <v>0.28271728271728203</v>
      </c>
      <c r="C10165" s="6">
        <v>0.46440655167927802</v>
      </c>
    </row>
    <row r="10166" spans="1:3" s="7" customFormat="1" x14ac:dyDescent="0.2">
      <c r="A10166" s="6" t="str">
        <f>"AP005901.5"</f>
        <v>AP005901.5</v>
      </c>
      <c r="B10166" s="6">
        <v>0.28271728271728203</v>
      </c>
      <c r="C10166" s="6">
        <v>0.46440655167927802</v>
      </c>
    </row>
    <row r="10167" spans="1:3" s="7" customFormat="1" x14ac:dyDescent="0.2">
      <c r="A10167" s="6" t="str">
        <f>"TARS1"</f>
        <v>TARS1</v>
      </c>
      <c r="B10167" s="6">
        <v>0.28271728271728203</v>
      </c>
      <c r="C10167" s="6">
        <v>0.46440655167927802</v>
      </c>
    </row>
    <row r="10168" spans="1:3" s="7" customFormat="1" x14ac:dyDescent="0.2">
      <c r="A10168" s="6" t="str">
        <f>"ZNF322"</f>
        <v>ZNF322</v>
      </c>
      <c r="B10168" s="6">
        <v>0.28271728271728203</v>
      </c>
      <c r="C10168" s="6">
        <v>0.46440655167927802</v>
      </c>
    </row>
    <row r="10169" spans="1:3" s="7" customFormat="1" x14ac:dyDescent="0.2">
      <c r="A10169" s="6" t="str">
        <f>"TMEM181"</f>
        <v>TMEM181</v>
      </c>
      <c r="B10169" s="6">
        <v>0.28271728271728203</v>
      </c>
      <c r="C10169" s="6">
        <v>0.46440655167927802</v>
      </c>
    </row>
    <row r="10170" spans="1:3" s="7" customFormat="1" x14ac:dyDescent="0.2">
      <c r="A10170" s="6" t="str">
        <f>"AC073210.3"</f>
        <v>AC073210.3</v>
      </c>
      <c r="B10170" s="6">
        <v>0.28271728271728203</v>
      </c>
      <c r="C10170" s="6">
        <v>0.46440655167927802</v>
      </c>
    </row>
    <row r="10171" spans="1:3" s="7" customFormat="1" x14ac:dyDescent="0.2">
      <c r="A10171" s="6" t="str">
        <f>"AL008721.2"</f>
        <v>AL008721.2</v>
      </c>
      <c r="B10171" s="6">
        <v>0.28271728271728203</v>
      </c>
      <c r="C10171" s="6">
        <v>0.46440655167927802</v>
      </c>
    </row>
    <row r="10172" spans="1:3" s="7" customFormat="1" x14ac:dyDescent="0.2">
      <c r="A10172" s="6" t="str">
        <f>"ITSN2"</f>
        <v>ITSN2</v>
      </c>
      <c r="B10172" s="6">
        <v>0.28271728271728203</v>
      </c>
      <c r="C10172" s="6">
        <v>0.46440655167927802</v>
      </c>
    </row>
    <row r="10173" spans="1:3" s="7" customFormat="1" x14ac:dyDescent="0.2">
      <c r="A10173" s="6" t="str">
        <f>"ZNF711"</f>
        <v>ZNF711</v>
      </c>
      <c r="B10173" s="6">
        <v>0.28271728271728203</v>
      </c>
      <c r="C10173" s="6">
        <v>0.46440655167927802</v>
      </c>
    </row>
    <row r="10174" spans="1:3" s="7" customFormat="1" x14ac:dyDescent="0.2">
      <c r="A10174" s="6" t="str">
        <f>"TCF3"</f>
        <v>TCF3</v>
      </c>
      <c r="B10174" s="6">
        <v>0.28271728271728203</v>
      </c>
      <c r="C10174" s="6">
        <v>0.46440655167927802</v>
      </c>
    </row>
    <row r="10175" spans="1:3" s="7" customFormat="1" x14ac:dyDescent="0.2">
      <c r="A10175" s="6" t="str">
        <f>"AP006621.6"</f>
        <v>AP006621.6</v>
      </c>
      <c r="B10175" s="6">
        <v>0.28271728271728203</v>
      </c>
      <c r="C10175" s="6">
        <v>0.46440655167927802</v>
      </c>
    </row>
    <row r="10176" spans="1:3" s="7" customFormat="1" x14ac:dyDescent="0.2">
      <c r="A10176" s="6" t="str">
        <f>"LMF2"</f>
        <v>LMF2</v>
      </c>
      <c r="B10176" s="6">
        <v>0.28271728271728203</v>
      </c>
      <c r="C10176" s="6">
        <v>0.46440655167927802</v>
      </c>
    </row>
    <row r="10177" spans="1:3" s="7" customFormat="1" x14ac:dyDescent="0.2">
      <c r="A10177" s="6" t="str">
        <f>"CAMK2D"</f>
        <v>CAMK2D</v>
      </c>
      <c r="B10177" s="6">
        <v>0.28299999999999997</v>
      </c>
      <c r="C10177" s="6">
        <v>0.46477960106121602</v>
      </c>
    </row>
    <row r="10178" spans="1:3" s="7" customFormat="1" x14ac:dyDescent="0.2">
      <c r="A10178" s="6" t="str">
        <f>"RRP1"</f>
        <v>RRP1</v>
      </c>
      <c r="B10178" s="6">
        <v>0.28299999999999997</v>
      </c>
      <c r="C10178" s="6">
        <v>0.46477960106121602</v>
      </c>
    </row>
    <row r="10179" spans="1:3" s="7" customFormat="1" x14ac:dyDescent="0.2">
      <c r="A10179" s="6" t="str">
        <f>"DDOST"</f>
        <v>DDOST</v>
      </c>
      <c r="B10179" s="6">
        <v>0.28371628371628299</v>
      </c>
      <c r="C10179" s="6">
        <v>0.46527020859830898</v>
      </c>
    </row>
    <row r="10180" spans="1:3" s="7" customFormat="1" x14ac:dyDescent="0.2">
      <c r="A10180" s="6" t="str">
        <f>"METTL2B"</f>
        <v>METTL2B</v>
      </c>
      <c r="B10180" s="6">
        <v>0.28371628371628299</v>
      </c>
      <c r="C10180" s="6">
        <v>0.46527020859830898</v>
      </c>
    </row>
    <row r="10181" spans="1:3" s="7" customFormat="1" x14ac:dyDescent="0.2">
      <c r="A10181" s="6" t="str">
        <f>"PDIK1L"</f>
        <v>PDIK1L</v>
      </c>
      <c r="B10181" s="6">
        <v>0.28371628371628299</v>
      </c>
      <c r="C10181" s="6">
        <v>0.46527020859830898</v>
      </c>
    </row>
    <row r="10182" spans="1:3" s="7" customFormat="1" x14ac:dyDescent="0.2">
      <c r="A10182" s="6" t="str">
        <f>"RNF217"</f>
        <v>RNF217</v>
      </c>
      <c r="B10182" s="6">
        <v>0.28371628371628299</v>
      </c>
      <c r="C10182" s="6">
        <v>0.46527020859830898</v>
      </c>
    </row>
    <row r="10183" spans="1:3" s="7" customFormat="1" x14ac:dyDescent="0.2">
      <c r="A10183" s="6" t="str">
        <f>"GRM2"</f>
        <v>GRM2</v>
      </c>
      <c r="B10183" s="6">
        <v>0.28371628371628299</v>
      </c>
      <c r="C10183" s="6">
        <v>0.46527020859830898</v>
      </c>
    </row>
    <row r="10184" spans="1:3" s="7" customFormat="1" x14ac:dyDescent="0.2">
      <c r="A10184" s="6" t="str">
        <f>"DHX58"</f>
        <v>DHX58</v>
      </c>
      <c r="B10184" s="6">
        <v>0.28371628371628299</v>
      </c>
      <c r="C10184" s="6">
        <v>0.46527020859830898</v>
      </c>
    </row>
    <row r="10185" spans="1:3" s="7" customFormat="1" x14ac:dyDescent="0.2">
      <c r="A10185" s="6" t="str">
        <f>"DISP1"</f>
        <v>DISP1</v>
      </c>
      <c r="B10185" s="6">
        <v>0.28371628371628299</v>
      </c>
      <c r="C10185" s="6">
        <v>0.46527020859830898</v>
      </c>
    </row>
    <row r="10186" spans="1:3" s="7" customFormat="1" x14ac:dyDescent="0.2">
      <c r="A10186" s="6" t="str">
        <f>"H1-10"</f>
        <v>H1-10</v>
      </c>
      <c r="B10186" s="6">
        <v>0.28371628371628299</v>
      </c>
      <c r="C10186" s="6">
        <v>0.46527020859830898</v>
      </c>
    </row>
    <row r="10187" spans="1:3" s="7" customFormat="1" x14ac:dyDescent="0.2">
      <c r="A10187" s="6" t="str">
        <f>"HDHD3"</f>
        <v>HDHD3</v>
      </c>
      <c r="B10187" s="6">
        <v>0.28371628371628299</v>
      </c>
      <c r="C10187" s="6">
        <v>0.46527020859830898</v>
      </c>
    </row>
    <row r="10188" spans="1:3" s="7" customFormat="1" x14ac:dyDescent="0.2">
      <c r="A10188" s="6" t="str">
        <f>"WDR36"</f>
        <v>WDR36</v>
      </c>
      <c r="B10188" s="6">
        <v>0.28371628371628299</v>
      </c>
      <c r="C10188" s="6">
        <v>0.46527020859830898</v>
      </c>
    </row>
    <row r="10189" spans="1:3" s="7" customFormat="1" x14ac:dyDescent="0.2">
      <c r="A10189" s="6" t="str">
        <f>"TRIM37"</f>
        <v>TRIM37</v>
      </c>
      <c r="B10189" s="6">
        <v>0.28371628371628299</v>
      </c>
      <c r="C10189" s="6">
        <v>0.46527020859830898</v>
      </c>
    </row>
    <row r="10190" spans="1:3" s="7" customFormat="1" x14ac:dyDescent="0.2">
      <c r="A10190" s="6" t="str">
        <f>"DACT1"</f>
        <v>DACT1</v>
      </c>
      <c r="B10190" s="6">
        <v>0.28371628371628299</v>
      </c>
      <c r="C10190" s="6">
        <v>0.46527020859830898</v>
      </c>
    </row>
    <row r="10191" spans="1:3" s="7" customFormat="1" x14ac:dyDescent="0.2">
      <c r="A10191" s="6" t="str">
        <f>"TUBBP5"</f>
        <v>TUBBP5</v>
      </c>
      <c r="B10191" s="6">
        <v>0.28371628371628299</v>
      </c>
      <c r="C10191" s="6">
        <v>0.46527020859830898</v>
      </c>
    </row>
    <row r="10192" spans="1:3" s="7" customFormat="1" x14ac:dyDescent="0.2">
      <c r="A10192" s="6" t="str">
        <f>"SYTL5"</f>
        <v>SYTL5</v>
      </c>
      <c r="B10192" s="6">
        <v>0.28371628371628299</v>
      </c>
      <c r="C10192" s="6">
        <v>0.46527020859830898</v>
      </c>
    </row>
    <row r="10193" spans="1:3" s="7" customFormat="1" x14ac:dyDescent="0.2">
      <c r="A10193" s="6" t="str">
        <f>"AL355916.1"</f>
        <v>AL355916.1</v>
      </c>
      <c r="B10193" s="6">
        <v>0.28371628371628299</v>
      </c>
      <c r="C10193" s="6">
        <v>0.46527020859830898</v>
      </c>
    </row>
    <row r="10194" spans="1:3" s="7" customFormat="1" x14ac:dyDescent="0.2">
      <c r="A10194" s="6" t="str">
        <f>"CC2D2B"</f>
        <v>CC2D2B</v>
      </c>
      <c r="B10194" s="6">
        <v>0.28399999999999997</v>
      </c>
      <c r="C10194" s="6">
        <v>0.46555276579050597</v>
      </c>
    </row>
    <row r="10195" spans="1:3" s="7" customFormat="1" x14ac:dyDescent="0.2">
      <c r="A10195" s="6" t="str">
        <f>"CITED1"</f>
        <v>CITED1</v>
      </c>
      <c r="B10195" s="6">
        <v>0.28399999999999997</v>
      </c>
      <c r="C10195" s="6">
        <v>0.46555276579050597</v>
      </c>
    </row>
    <row r="10196" spans="1:3" s="7" customFormat="1" x14ac:dyDescent="0.2">
      <c r="A10196" s="6" t="str">
        <f>"ZNF474"</f>
        <v>ZNF474</v>
      </c>
      <c r="B10196" s="6">
        <v>0.28399999999999997</v>
      </c>
      <c r="C10196" s="6">
        <v>0.46555276579050597</v>
      </c>
    </row>
    <row r="10197" spans="1:3" s="7" customFormat="1" x14ac:dyDescent="0.2">
      <c r="A10197" s="6" t="str">
        <f>"ATP5F1C"</f>
        <v>ATP5F1C</v>
      </c>
      <c r="B10197" s="6">
        <v>0.28399999999999997</v>
      </c>
      <c r="C10197" s="6">
        <v>0.46555276579050597</v>
      </c>
    </row>
    <row r="10198" spans="1:3" s="7" customFormat="1" x14ac:dyDescent="0.2">
      <c r="A10198" s="6" t="str">
        <f>"COPS6"</f>
        <v>COPS6</v>
      </c>
      <c r="B10198" s="6">
        <v>0.28471528471528401</v>
      </c>
      <c r="C10198" s="6">
        <v>0.465994052950574</v>
      </c>
    </row>
    <row r="10199" spans="1:3" s="7" customFormat="1" x14ac:dyDescent="0.2">
      <c r="A10199" s="6" t="str">
        <f>"RPA3"</f>
        <v>RPA3</v>
      </c>
      <c r="B10199" s="6">
        <v>0.28471528471528401</v>
      </c>
      <c r="C10199" s="6">
        <v>0.465994052950574</v>
      </c>
    </row>
    <row r="10200" spans="1:3" s="7" customFormat="1" x14ac:dyDescent="0.2">
      <c r="A10200" s="6" t="str">
        <f>"WDR33"</f>
        <v>WDR33</v>
      </c>
      <c r="B10200" s="6">
        <v>0.28471528471528401</v>
      </c>
      <c r="C10200" s="6">
        <v>0.465994052950574</v>
      </c>
    </row>
    <row r="10201" spans="1:3" s="7" customFormat="1" x14ac:dyDescent="0.2">
      <c r="A10201" s="6" t="str">
        <f>"AP003031.1"</f>
        <v>AP003031.1</v>
      </c>
      <c r="B10201" s="6">
        <v>0.28469387755101999</v>
      </c>
      <c r="C10201" s="6">
        <v>0.465994052950574</v>
      </c>
    </row>
    <row r="10202" spans="1:3" s="7" customFormat="1" x14ac:dyDescent="0.2">
      <c r="A10202" s="6" t="str">
        <f>"AC113349.2"</f>
        <v>AC113349.2</v>
      </c>
      <c r="B10202" s="6">
        <v>0.284569138276553</v>
      </c>
      <c r="C10202" s="6">
        <v>0.465994052950574</v>
      </c>
    </row>
    <row r="10203" spans="1:3" s="7" customFormat="1" x14ac:dyDescent="0.2">
      <c r="A10203" s="6" t="str">
        <f>"PATL1"</f>
        <v>PATL1</v>
      </c>
      <c r="B10203" s="6">
        <v>0.28471528471528401</v>
      </c>
      <c r="C10203" s="6">
        <v>0.465994052950574</v>
      </c>
    </row>
    <row r="10204" spans="1:3" s="7" customFormat="1" x14ac:dyDescent="0.2">
      <c r="A10204" s="6" t="str">
        <f>"SLC22A13"</f>
        <v>SLC22A13</v>
      </c>
      <c r="B10204" s="6">
        <v>0.28471528471528401</v>
      </c>
      <c r="C10204" s="6">
        <v>0.465994052950574</v>
      </c>
    </row>
    <row r="10205" spans="1:3" s="7" customFormat="1" x14ac:dyDescent="0.2">
      <c r="A10205" s="6" t="str">
        <f>"GBA"</f>
        <v>GBA</v>
      </c>
      <c r="B10205" s="6">
        <v>0.28471528471528401</v>
      </c>
      <c r="C10205" s="6">
        <v>0.465994052950574</v>
      </c>
    </row>
    <row r="10206" spans="1:3" s="7" customFormat="1" x14ac:dyDescent="0.2">
      <c r="A10206" s="6" t="str">
        <f>"DMAC2L"</f>
        <v>DMAC2L</v>
      </c>
      <c r="B10206" s="6">
        <v>0.28471528471528401</v>
      </c>
      <c r="C10206" s="6">
        <v>0.465994052950574</v>
      </c>
    </row>
    <row r="10207" spans="1:3" s="7" customFormat="1" x14ac:dyDescent="0.2">
      <c r="A10207" s="6" t="str">
        <f>"ZNF557"</f>
        <v>ZNF557</v>
      </c>
      <c r="B10207" s="6">
        <v>0.28471528471528401</v>
      </c>
      <c r="C10207" s="6">
        <v>0.465994052950574</v>
      </c>
    </row>
    <row r="10208" spans="1:3" s="7" customFormat="1" x14ac:dyDescent="0.2">
      <c r="A10208" s="6" t="str">
        <f>"TUSC2"</f>
        <v>TUSC2</v>
      </c>
      <c r="B10208" s="6">
        <v>0.28471528471528401</v>
      </c>
      <c r="C10208" s="6">
        <v>0.465994052950574</v>
      </c>
    </row>
    <row r="10209" spans="1:3" s="7" customFormat="1" x14ac:dyDescent="0.2">
      <c r="A10209" s="6" t="str">
        <f>"RCVRN"</f>
        <v>RCVRN</v>
      </c>
      <c r="B10209" s="6">
        <v>0.28471528471528401</v>
      </c>
      <c r="C10209" s="6">
        <v>0.465994052950574</v>
      </c>
    </row>
    <row r="10210" spans="1:3" s="7" customFormat="1" x14ac:dyDescent="0.2">
      <c r="A10210" s="6" t="str">
        <f>"PGRMC1"</f>
        <v>PGRMC1</v>
      </c>
      <c r="B10210" s="6">
        <v>0.28471528471528401</v>
      </c>
      <c r="C10210" s="6">
        <v>0.465994052950574</v>
      </c>
    </row>
    <row r="10211" spans="1:3" s="7" customFormat="1" x14ac:dyDescent="0.2">
      <c r="A10211" s="6" t="str">
        <f>"RHEB"</f>
        <v>RHEB</v>
      </c>
      <c r="B10211" s="6">
        <v>0.28471528471528401</v>
      </c>
      <c r="C10211" s="6">
        <v>0.465994052950574</v>
      </c>
    </row>
    <row r="10212" spans="1:3" s="7" customFormat="1" x14ac:dyDescent="0.2">
      <c r="A10212" s="6" t="str">
        <f>"TAF1D"</f>
        <v>TAF1D</v>
      </c>
      <c r="B10212" s="6">
        <v>0.28471528471528401</v>
      </c>
      <c r="C10212" s="6">
        <v>0.465994052950574</v>
      </c>
    </row>
    <row r="10213" spans="1:3" s="7" customFormat="1" x14ac:dyDescent="0.2">
      <c r="A10213" s="6" t="str">
        <f>"VPS33A"</f>
        <v>VPS33A</v>
      </c>
      <c r="B10213" s="6">
        <v>0.28471528471528401</v>
      </c>
      <c r="C10213" s="6">
        <v>0.465994052950574</v>
      </c>
    </row>
    <row r="10214" spans="1:3" s="7" customFormat="1" x14ac:dyDescent="0.2">
      <c r="A10214" s="6" t="str">
        <f>"USP38"</f>
        <v>USP38</v>
      </c>
      <c r="B10214" s="6">
        <v>0.28499999999999998</v>
      </c>
      <c r="C10214" s="6">
        <v>0.46641437383726603</v>
      </c>
    </row>
    <row r="10215" spans="1:3" s="7" customFormat="1" x14ac:dyDescent="0.2">
      <c r="A10215" s="6" t="str">
        <f>"AGTPBP1"</f>
        <v>AGTPBP1</v>
      </c>
      <c r="B10215" s="6">
        <v>0.28571428571428498</v>
      </c>
      <c r="C10215" s="6">
        <v>0.46712594849149602</v>
      </c>
    </row>
    <row r="10216" spans="1:3" s="7" customFormat="1" x14ac:dyDescent="0.2">
      <c r="A10216" s="6" t="str">
        <f>"NR2F6"</f>
        <v>NR2F6</v>
      </c>
      <c r="B10216" s="6">
        <v>0.28571428571428498</v>
      </c>
      <c r="C10216" s="6">
        <v>0.46712594849149602</v>
      </c>
    </row>
    <row r="10217" spans="1:3" s="7" customFormat="1" x14ac:dyDescent="0.2">
      <c r="A10217" s="6" t="str">
        <f>"PTBP2"</f>
        <v>PTBP2</v>
      </c>
      <c r="B10217" s="6">
        <v>0.28571428571428498</v>
      </c>
      <c r="C10217" s="6">
        <v>0.46712594849149602</v>
      </c>
    </row>
    <row r="10218" spans="1:3" s="7" customFormat="1" x14ac:dyDescent="0.2">
      <c r="A10218" s="6" t="str">
        <f>"RTCA"</f>
        <v>RTCA</v>
      </c>
      <c r="B10218" s="6">
        <v>0.28571428571428498</v>
      </c>
      <c r="C10218" s="6">
        <v>0.46712594849149602</v>
      </c>
    </row>
    <row r="10219" spans="1:3" s="7" customFormat="1" x14ac:dyDescent="0.2">
      <c r="A10219" s="6" t="str">
        <f>"CACYBP"</f>
        <v>CACYBP</v>
      </c>
      <c r="B10219" s="6">
        <v>0.28571428571428498</v>
      </c>
      <c r="C10219" s="6">
        <v>0.46712594849149602</v>
      </c>
    </row>
    <row r="10220" spans="1:3" s="7" customFormat="1" x14ac:dyDescent="0.2">
      <c r="A10220" s="6" t="str">
        <f>"CMAS"</f>
        <v>CMAS</v>
      </c>
      <c r="B10220" s="6">
        <v>0.28571428571428498</v>
      </c>
      <c r="C10220" s="6">
        <v>0.46712594849149602</v>
      </c>
    </row>
    <row r="10221" spans="1:3" s="7" customFormat="1" x14ac:dyDescent="0.2">
      <c r="A10221" s="6" t="str">
        <f>"ZDHHC6"</f>
        <v>ZDHHC6</v>
      </c>
      <c r="B10221" s="6">
        <v>0.28571428571428498</v>
      </c>
      <c r="C10221" s="6">
        <v>0.46712594849149602</v>
      </c>
    </row>
    <row r="10222" spans="1:3" s="7" customFormat="1" x14ac:dyDescent="0.2">
      <c r="A10222" s="6" t="str">
        <f>"DYNC2H1"</f>
        <v>DYNC2H1</v>
      </c>
      <c r="B10222" s="6">
        <v>0.28571428571428498</v>
      </c>
      <c r="C10222" s="6">
        <v>0.46712594849149602</v>
      </c>
    </row>
    <row r="10223" spans="1:3" s="7" customFormat="1" x14ac:dyDescent="0.2">
      <c r="A10223" s="6" t="str">
        <f>"KIFC1"</f>
        <v>KIFC1</v>
      </c>
      <c r="B10223" s="6">
        <v>0.28571428571428498</v>
      </c>
      <c r="C10223" s="6">
        <v>0.46712594849149602</v>
      </c>
    </row>
    <row r="10224" spans="1:3" s="7" customFormat="1" x14ac:dyDescent="0.2">
      <c r="A10224" s="6" t="str">
        <f>"LINC02577"</f>
        <v>LINC02577</v>
      </c>
      <c r="B10224" s="6">
        <v>0.28571428571428498</v>
      </c>
      <c r="C10224" s="6">
        <v>0.46712594849149602</v>
      </c>
    </row>
    <row r="10225" spans="1:3" s="7" customFormat="1" x14ac:dyDescent="0.2">
      <c r="A10225" s="6" t="str">
        <f>"CIRBP"</f>
        <v>CIRBP</v>
      </c>
      <c r="B10225" s="6">
        <v>0.286286286286286</v>
      </c>
      <c r="C10225" s="6">
        <v>0.46801535494806201</v>
      </c>
    </row>
    <row r="10226" spans="1:3" s="7" customFormat="1" x14ac:dyDescent="0.2">
      <c r="A10226" s="6" t="str">
        <f>"HSDL1"</f>
        <v>HSDL1</v>
      </c>
      <c r="B10226" s="6">
        <v>0.286713286713286</v>
      </c>
      <c r="C10226" s="6">
        <v>0.468118186395025</v>
      </c>
    </row>
    <row r="10227" spans="1:3" s="7" customFormat="1" x14ac:dyDescent="0.2">
      <c r="A10227" s="6" t="str">
        <f>"RPH3AL"</f>
        <v>RPH3AL</v>
      </c>
      <c r="B10227" s="6">
        <v>0.286713286713286</v>
      </c>
      <c r="C10227" s="6">
        <v>0.468118186395025</v>
      </c>
    </row>
    <row r="10228" spans="1:3" s="7" customFormat="1" x14ac:dyDescent="0.2">
      <c r="A10228" s="6" t="str">
        <f>"AC007686.3"</f>
        <v>AC007686.3</v>
      </c>
      <c r="B10228" s="6">
        <v>0.286713286713286</v>
      </c>
      <c r="C10228" s="6">
        <v>0.468118186395025</v>
      </c>
    </row>
    <row r="10229" spans="1:3" s="7" customFormat="1" x14ac:dyDescent="0.2">
      <c r="A10229" s="6" t="str">
        <f>"WASH4P"</f>
        <v>WASH4P</v>
      </c>
      <c r="B10229" s="6">
        <v>0.286713286713286</v>
      </c>
      <c r="C10229" s="6">
        <v>0.468118186395025</v>
      </c>
    </row>
    <row r="10230" spans="1:3" s="7" customFormat="1" x14ac:dyDescent="0.2">
      <c r="A10230" s="6" t="str">
        <f>"CBR3-AS1"</f>
        <v>CBR3-AS1</v>
      </c>
      <c r="B10230" s="6">
        <v>0.286713286713286</v>
      </c>
      <c r="C10230" s="6">
        <v>0.468118186395025</v>
      </c>
    </row>
    <row r="10231" spans="1:3" s="7" customFormat="1" x14ac:dyDescent="0.2">
      <c r="A10231" s="6" t="str">
        <f>"IL32"</f>
        <v>IL32</v>
      </c>
      <c r="B10231" s="6">
        <v>0.286713286713286</v>
      </c>
      <c r="C10231" s="6">
        <v>0.468118186395025</v>
      </c>
    </row>
    <row r="10232" spans="1:3" s="7" customFormat="1" x14ac:dyDescent="0.2">
      <c r="A10232" s="6" t="str">
        <f>"RSL24D1"</f>
        <v>RSL24D1</v>
      </c>
      <c r="B10232" s="6">
        <v>0.286713286713286</v>
      </c>
      <c r="C10232" s="6">
        <v>0.468118186395025</v>
      </c>
    </row>
    <row r="10233" spans="1:3" s="7" customFormat="1" x14ac:dyDescent="0.2">
      <c r="A10233" s="6" t="str">
        <f>"SDHD"</f>
        <v>SDHD</v>
      </c>
      <c r="B10233" s="6">
        <v>0.286713286713286</v>
      </c>
      <c r="C10233" s="6">
        <v>0.468118186395025</v>
      </c>
    </row>
    <row r="10234" spans="1:3" s="7" customFormat="1" x14ac:dyDescent="0.2">
      <c r="A10234" s="6" t="str">
        <f>"ZNF70"</f>
        <v>ZNF70</v>
      </c>
      <c r="B10234" s="6">
        <v>0.286713286713286</v>
      </c>
      <c r="C10234" s="6">
        <v>0.468118186395025</v>
      </c>
    </row>
    <row r="10235" spans="1:3" s="7" customFormat="1" x14ac:dyDescent="0.2">
      <c r="A10235" s="6" t="str">
        <f>"GET1"</f>
        <v>GET1</v>
      </c>
      <c r="B10235" s="6">
        <v>0.286713286713286</v>
      </c>
      <c r="C10235" s="6">
        <v>0.468118186395025</v>
      </c>
    </row>
    <row r="10236" spans="1:3" s="7" customFormat="1" x14ac:dyDescent="0.2">
      <c r="A10236" s="6" t="str">
        <f>"AC090589.3"</f>
        <v>AC090589.3</v>
      </c>
      <c r="B10236" s="6">
        <v>0.286713286713286</v>
      </c>
      <c r="C10236" s="6">
        <v>0.468118186395025</v>
      </c>
    </row>
    <row r="10237" spans="1:3" s="7" customFormat="1" x14ac:dyDescent="0.2">
      <c r="A10237" s="6" t="str">
        <f>"RDH10-AS1"</f>
        <v>RDH10-AS1</v>
      </c>
      <c r="B10237" s="6">
        <v>0.286713286713286</v>
      </c>
      <c r="C10237" s="6">
        <v>0.468118186395025</v>
      </c>
    </row>
    <row r="10238" spans="1:3" s="7" customFormat="1" x14ac:dyDescent="0.2">
      <c r="A10238" s="6" t="str">
        <f>"FAM181B"</f>
        <v>FAM181B</v>
      </c>
      <c r="B10238" s="6">
        <v>0.286713286713286</v>
      </c>
      <c r="C10238" s="6">
        <v>0.468118186395025</v>
      </c>
    </row>
    <row r="10239" spans="1:3" s="7" customFormat="1" x14ac:dyDescent="0.2">
      <c r="A10239" s="6" t="str">
        <f>"AC112484.5"</f>
        <v>AC112484.5</v>
      </c>
      <c r="B10239" s="6">
        <v>0.28699999999999998</v>
      </c>
      <c r="C10239" s="6">
        <v>0.46854053526079298</v>
      </c>
    </row>
    <row r="10240" spans="1:3" s="7" customFormat="1" x14ac:dyDescent="0.2">
      <c r="A10240" s="6" t="str">
        <f>"RFTN1"</f>
        <v>RFTN1</v>
      </c>
      <c r="B10240" s="6">
        <v>0.28771228771228702</v>
      </c>
      <c r="C10240" s="6">
        <v>0.46878759766262201</v>
      </c>
    </row>
    <row r="10241" spans="1:3" s="7" customFormat="1" x14ac:dyDescent="0.2">
      <c r="A10241" s="6" t="str">
        <f>"AP1S1"</f>
        <v>AP1S1</v>
      </c>
      <c r="B10241" s="6">
        <v>0.28771228771228702</v>
      </c>
      <c r="C10241" s="6">
        <v>0.46878759766262201</v>
      </c>
    </row>
    <row r="10242" spans="1:3" s="7" customFormat="1" x14ac:dyDescent="0.2">
      <c r="A10242" s="6" t="str">
        <f>"ZNF667-AS1"</f>
        <v>ZNF667-AS1</v>
      </c>
      <c r="B10242" s="6">
        <v>0.28771228771228702</v>
      </c>
      <c r="C10242" s="6">
        <v>0.46878759766262201</v>
      </c>
    </row>
    <row r="10243" spans="1:3" s="7" customFormat="1" x14ac:dyDescent="0.2">
      <c r="A10243" s="6" t="str">
        <f>"HID1"</f>
        <v>HID1</v>
      </c>
      <c r="B10243" s="6">
        <v>0.28771228771228702</v>
      </c>
      <c r="C10243" s="6">
        <v>0.46878759766262201</v>
      </c>
    </row>
    <row r="10244" spans="1:3" s="7" customFormat="1" x14ac:dyDescent="0.2">
      <c r="A10244" s="6" t="str">
        <f>"RBM44"</f>
        <v>RBM44</v>
      </c>
      <c r="B10244" s="6">
        <v>0.28771228771228702</v>
      </c>
      <c r="C10244" s="6">
        <v>0.46878759766262201</v>
      </c>
    </row>
    <row r="10245" spans="1:3" s="7" customFormat="1" x14ac:dyDescent="0.2">
      <c r="A10245" s="6" t="str">
        <f>"VSIG2"</f>
        <v>VSIG2</v>
      </c>
      <c r="B10245" s="6">
        <v>0.28771228771228702</v>
      </c>
      <c r="C10245" s="6">
        <v>0.46878759766262201</v>
      </c>
    </row>
    <row r="10246" spans="1:3" s="7" customFormat="1" x14ac:dyDescent="0.2">
      <c r="A10246" s="6" t="str">
        <f>"ACTL10"</f>
        <v>ACTL10</v>
      </c>
      <c r="B10246" s="6">
        <v>0.28771228771228702</v>
      </c>
      <c r="C10246" s="6">
        <v>0.46878759766262201</v>
      </c>
    </row>
    <row r="10247" spans="1:3" s="7" customFormat="1" x14ac:dyDescent="0.2">
      <c r="A10247" s="6" t="str">
        <f>"MON2"</f>
        <v>MON2</v>
      </c>
      <c r="B10247" s="6">
        <v>0.28771228771228702</v>
      </c>
      <c r="C10247" s="6">
        <v>0.46878759766262201</v>
      </c>
    </row>
    <row r="10248" spans="1:3" s="7" customFormat="1" x14ac:dyDescent="0.2">
      <c r="A10248" s="6" t="str">
        <f>"ATXN7L3"</f>
        <v>ATXN7L3</v>
      </c>
      <c r="B10248" s="6">
        <v>0.28771228771228702</v>
      </c>
      <c r="C10248" s="6">
        <v>0.46878759766262201</v>
      </c>
    </row>
    <row r="10249" spans="1:3" s="7" customFormat="1" x14ac:dyDescent="0.2">
      <c r="A10249" s="6" t="str">
        <f>"SCARB2"</f>
        <v>SCARB2</v>
      </c>
      <c r="B10249" s="6">
        <v>0.28771228771228702</v>
      </c>
      <c r="C10249" s="6">
        <v>0.46878759766262201</v>
      </c>
    </row>
    <row r="10250" spans="1:3" s="7" customFormat="1" x14ac:dyDescent="0.2">
      <c r="A10250" s="6" t="str">
        <f>"ST8SIA5"</f>
        <v>ST8SIA5</v>
      </c>
      <c r="B10250" s="6">
        <v>0.28771228771228702</v>
      </c>
      <c r="C10250" s="6">
        <v>0.46878759766262201</v>
      </c>
    </row>
    <row r="10251" spans="1:3" s="7" customFormat="1" x14ac:dyDescent="0.2">
      <c r="A10251" s="6" t="str">
        <f>"DKK2"</f>
        <v>DKK2</v>
      </c>
      <c r="B10251" s="6">
        <v>0.28771228771228702</v>
      </c>
      <c r="C10251" s="6">
        <v>0.46878759766262201</v>
      </c>
    </row>
    <row r="10252" spans="1:3" s="7" customFormat="1" x14ac:dyDescent="0.2">
      <c r="A10252" s="6" t="str">
        <f>"TXNDC5"</f>
        <v>TXNDC5</v>
      </c>
      <c r="B10252" s="6">
        <v>0.28771228771228702</v>
      </c>
      <c r="C10252" s="6">
        <v>0.46878759766262201</v>
      </c>
    </row>
    <row r="10253" spans="1:3" s="7" customFormat="1" x14ac:dyDescent="0.2">
      <c r="A10253" s="6" t="str">
        <f>"BX322639.1"</f>
        <v>BX322639.1</v>
      </c>
      <c r="B10253" s="6">
        <v>0.28771228771228702</v>
      </c>
      <c r="C10253" s="6">
        <v>0.46878759766262201</v>
      </c>
    </row>
    <row r="10254" spans="1:3" s="7" customFormat="1" x14ac:dyDescent="0.2">
      <c r="A10254" s="6" t="str">
        <f>"ANG"</f>
        <v>ANG</v>
      </c>
      <c r="B10254" s="6">
        <v>0.28771228771228702</v>
      </c>
      <c r="C10254" s="6">
        <v>0.46878759766262201</v>
      </c>
    </row>
    <row r="10255" spans="1:3" s="7" customFormat="1" x14ac:dyDescent="0.2">
      <c r="A10255" s="6" t="str">
        <f>"EFCAB10"</f>
        <v>EFCAB10</v>
      </c>
      <c r="B10255" s="6">
        <v>0.28771228771228702</v>
      </c>
      <c r="C10255" s="6">
        <v>0.46878759766262201</v>
      </c>
    </row>
    <row r="10256" spans="1:3" s="7" customFormat="1" x14ac:dyDescent="0.2">
      <c r="A10256" s="6" t="str">
        <f>"ZNF316"</f>
        <v>ZNF316</v>
      </c>
      <c r="B10256" s="6">
        <v>0.28771228771228702</v>
      </c>
      <c r="C10256" s="6">
        <v>0.46878759766262201</v>
      </c>
    </row>
    <row r="10257" spans="1:3" s="7" customFormat="1" x14ac:dyDescent="0.2">
      <c r="A10257" s="6" t="str">
        <f>"LYPLA1"</f>
        <v>LYPLA1</v>
      </c>
      <c r="B10257" s="6">
        <v>0.28771228771228702</v>
      </c>
      <c r="C10257" s="6">
        <v>0.46878759766262201</v>
      </c>
    </row>
    <row r="10258" spans="1:3" s="7" customFormat="1" x14ac:dyDescent="0.2">
      <c r="A10258" s="6" t="str">
        <f>"NUP133"</f>
        <v>NUP133</v>
      </c>
      <c r="B10258" s="6">
        <v>0.28771228771228702</v>
      </c>
      <c r="C10258" s="6">
        <v>0.46878759766262201</v>
      </c>
    </row>
    <row r="10259" spans="1:3" s="7" customFormat="1" x14ac:dyDescent="0.2">
      <c r="A10259" s="6" t="str">
        <f>"LMO4"</f>
        <v>LMO4</v>
      </c>
      <c r="B10259" s="6">
        <v>0.28771228771228702</v>
      </c>
      <c r="C10259" s="6">
        <v>0.46878759766262201</v>
      </c>
    </row>
    <row r="10260" spans="1:3" s="7" customFormat="1" x14ac:dyDescent="0.2">
      <c r="A10260" s="6" t="str">
        <f>"ANKRD2"</f>
        <v>ANKRD2</v>
      </c>
      <c r="B10260" s="6">
        <v>0.28828828828828801</v>
      </c>
      <c r="C10260" s="6">
        <v>0.46963454682752898</v>
      </c>
    </row>
    <row r="10261" spans="1:3" s="7" customFormat="1" x14ac:dyDescent="0.2">
      <c r="A10261" s="6" t="str">
        <f>"AC138696.2"</f>
        <v>AC138696.2</v>
      </c>
      <c r="B10261" s="6">
        <v>0.28828828828828801</v>
      </c>
      <c r="C10261" s="6">
        <v>0.46963454682752898</v>
      </c>
    </row>
    <row r="10262" spans="1:3" s="7" customFormat="1" x14ac:dyDescent="0.2">
      <c r="A10262" s="6" t="str">
        <f>"SMIM22"</f>
        <v>SMIM22</v>
      </c>
      <c r="B10262" s="6">
        <v>0.28871128871128798</v>
      </c>
      <c r="C10262" s="6">
        <v>0.46963702963702902</v>
      </c>
    </row>
    <row r="10263" spans="1:3" s="7" customFormat="1" x14ac:dyDescent="0.2">
      <c r="A10263" s="6" t="str">
        <f>"ORAI1"</f>
        <v>ORAI1</v>
      </c>
      <c r="B10263" s="6">
        <v>0.28871128871128798</v>
      </c>
      <c r="C10263" s="6">
        <v>0.46963702963702902</v>
      </c>
    </row>
    <row r="10264" spans="1:3" s="7" customFormat="1" x14ac:dyDescent="0.2">
      <c r="A10264" s="6" t="str">
        <f>"RAPGEF3"</f>
        <v>RAPGEF3</v>
      </c>
      <c r="B10264" s="6">
        <v>0.28871128871128798</v>
      </c>
      <c r="C10264" s="6">
        <v>0.46963702963702902</v>
      </c>
    </row>
    <row r="10265" spans="1:3" s="7" customFormat="1" x14ac:dyDescent="0.2">
      <c r="A10265" s="6" t="str">
        <f>"TRIM44"</f>
        <v>TRIM44</v>
      </c>
      <c r="B10265" s="6">
        <v>0.28871128871128798</v>
      </c>
      <c r="C10265" s="6">
        <v>0.46963702963702902</v>
      </c>
    </row>
    <row r="10266" spans="1:3" s="7" customFormat="1" x14ac:dyDescent="0.2">
      <c r="A10266" s="6" t="str">
        <f>"NANOG"</f>
        <v>NANOG</v>
      </c>
      <c r="B10266" s="6">
        <v>0.28871128871128798</v>
      </c>
      <c r="C10266" s="6">
        <v>0.46963702963702902</v>
      </c>
    </row>
    <row r="10267" spans="1:3" s="7" customFormat="1" x14ac:dyDescent="0.2">
      <c r="A10267" s="6" t="str">
        <f>"AL359762.3"</f>
        <v>AL359762.3</v>
      </c>
      <c r="B10267" s="6">
        <v>0.28871128871128798</v>
      </c>
      <c r="C10267" s="6">
        <v>0.46963702963702902</v>
      </c>
    </row>
    <row r="10268" spans="1:3" s="7" customFormat="1" x14ac:dyDescent="0.2">
      <c r="A10268" s="6" t="str">
        <f>"EIF1AD"</f>
        <v>EIF1AD</v>
      </c>
      <c r="B10268" s="6">
        <v>0.28871128871128798</v>
      </c>
      <c r="C10268" s="6">
        <v>0.46963702963702902</v>
      </c>
    </row>
    <row r="10269" spans="1:3" s="7" customFormat="1" x14ac:dyDescent="0.2">
      <c r="A10269" s="6" t="str">
        <f>"PCDHGA6"</f>
        <v>PCDHGA6</v>
      </c>
      <c r="B10269" s="6">
        <v>0.28871128871128798</v>
      </c>
      <c r="C10269" s="6">
        <v>0.46963702963702902</v>
      </c>
    </row>
    <row r="10270" spans="1:3" s="7" customFormat="1" x14ac:dyDescent="0.2">
      <c r="A10270" s="6" t="str">
        <f>"WDR46"</f>
        <v>WDR46</v>
      </c>
      <c r="B10270" s="6">
        <v>0.28871128871128798</v>
      </c>
      <c r="C10270" s="6">
        <v>0.46963702963702902</v>
      </c>
    </row>
    <row r="10271" spans="1:3" s="7" customFormat="1" x14ac:dyDescent="0.2">
      <c r="A10271" s="6" t="str">
        <f>"TMEM87A"</f>
        <v>TMEM87A</v>
      </c>
      <c r="B10271" s="6">
        <v>0.28871128871128798</v>
      </c>
      <c r="C10271" s="6">
        <v>0.46963702963702902</v>
      </c>
    </row>
    <row r="10272" spans="1:3" s="7" customFormat="1" x14ac:dyDescent="0.2">
      <c r="A10272" s="6" t="str">
        <f>"AC023796.1"</f>
        <v>AC023796.1</v>
      </c>
      <c r="B10272" s="6">
        <v>0.28871128871128798</v>
      </c>
      <c r="C10272" s="6">
        <v>0.46963702963702902</v>
      </c>
    </row>
    <row r="10273" spans="1:3" s="7" customFormat="1" x14ac:dyDescent="0.2">
      <c r="A10273" s="6" t="str">
        <f>"ZBTB12"</f>
        <v>ZBTB12</v>
      </c>
      <c r="B10273" s="6">
        <v>0.28871128871128798</v>
      </c>
      <c r="C10273" s="6">
        <v>0.46963702963702902</v>
      </c>
    </row>
    <row r="10274" spans="1:3" s="7" customFormat="1" x14ac:dyDescent="0.2">
      <c r="A10274" s="6" t="str">
        <f>"RPS18"</f>
        <v>RPS18</v>
      </c>
      <c r="B10274" s="6">
        <v>0.28871128871128798</v>
      </c>
      <c r="C10274" s="6">
        <v>0.46963702963702902</v>
      </c>
    </row>
    <row r="10275" spans="1:3" s="7" customFormat="1" x14ac:dyDescent="0.2">
      <c r="A10275" s="6" t="str">
        <f>"PIKFYVE"</f>
        <v>PIKFYVE</v>
      </c>
      <c r="B10275" s="6">
        <v>0.28871128871128798</v>
      </c>
      <c r="C10275" s="6">
        <v>0.46963702963702902</v>
      </c>
    </row>
    <row r="10276" spans="1:3" s="7" customFormat="1" x14ac:dyDescent="0.2">
      <c r="A10276" s="6" t="str">
        <f>"GIMAP5"</f>
        <v>GIMAP5</v>
      </c>
      <c r="B10276" s="6">
        <v>0.28871128871128798</v>
      </c>
      <c r="C10276" s="6">
        <v>0.46963702963702902</v>
      </c>
    </row>
    <row r="10277" spans="1:3" s="7" customFormat="1" x14ac:dyDescent="0.2">
      <c r="A10277" s="6" t="str">
        <f>"SLC35F5"</f>
        <v>SLC35F5</v>
      </c>
      <c r="B10277" s="6">
        <v>0.28899999999999998</v>
      </c>
      <c r="C10277" s="6">
        <v>0.47006091864538702</v>
      </c>
    </row>
    <row r="10278" spans="1:3" s="7" customFormat="1" x14ac:dyDescent="0.2">
      <c r="A10278" s="6" t="str">
        <f>"RASD1"</f>
        <v>RASD1</v>
      </c>
      <c r="B10278" s="6">
        <v>0.289710289710289</v>
      </c>
      <c r="C10278" s="6">
        <v>0.47043794639247799</v>
      </c>
    </row>
    <row r="10279" spans="1:3" s="7" customFormat="1" x14ac:dyDescent="0.2">
      <c r="A10279" s="6" t="str">
        <f>"AC119427.1"</f>
        <v>AC119427.1</v>
      </c>
      <c r="B10279" s="6">
        <v>0.28944723618090401</v>
      </c>
      <c r="C10279" s="6">
        <v>0.47043794639247799</v>
      </c>
    </row>
    <row r="10280" spans="1:3" s="7" customFormat="1" x14ac:dyDescent="0.2">
      <c r="A10280" s="6" t="str">
        <f>"CTSF"</f>
        <v>CTSF</v>
      </c>
      <c r="B10280" s="6">
        <v>0.289710289710289</v>
      </c>
      <c r="C10280" s="6">
        <v>0.47043794639247799</v>
      </c>
    </row>
    <row r="10281" spans="1:3" s="7" customFormat="1" x14ac:dyDescent="0.2">
      <c r="A10281" s="6" t="str">
        <f>"ADAMTSL3"</f>
        <v>ADAMTSL3</v>
      </c>
      <c r="B10281" s="6">
        <v>0.289710289710289</v>
      </c>
      <c r="C10281" s="6">
        <v>0.47043794639247799</v>
      </c>
    </row>
    <row r="10282" spans="1:3" s="7" customFormat="1" x14ac:dyDescent="0.2">
      <c r="A10282" s="6" t="str">
        <f>"MN1"</f>
        <v>MN1</v>
      </c>
      <c r="B10282" s="6">
        <v>0.289710289710289</v>
      </c>
      <c r="C10282" s="6">
        <v>0.47043794639247799</v>
      </c>
    </row>
    <row r="10283" spans="1:3" s="7" customFormat="1" x14ac:dyDescent="0.2">
      <c r="A10283" s="6" t="str">
        <f>"GTF2A2"</f>
        <v>GTF2A2</v>
      </c>
      <c r="B10283" s="6">
        <v>0.289710289710289</v>
      </c>
      <c r="C10283" s="6">
        <v>0.47043794639247799</v>
      </c>
    </row>
    <row r="10284" spans="1:3" s="7" customFormat="1" x14ac:dyDescent="0.2">
      <c r="A10284" s="6" t="str">
        <f>"DPH7"</f>
        <v>DPH7</v>
      </c>
      <c r="B10284" s="6">
        <v>0.289710289710289</v>
      </c>
      <c r="C10284" s="6">
        <v>0.47043794639247799</v>
      </c>
    </row>
    <row r="10285" spans="1:3" s="7" customFormat="1" x14ac:dyDescent="0.2">
      <c r="A10285" s="6" t="str">
        <f>"TOR1AIP2"</f>
        <v>TOR1AIP2</v>
      </c>
      <c r="B10285" s="6">
        <v>0.289710289710289</v>
      </c>
      <c r="C10285" s="6">
        <v>0.47043794639247799</v>
      </c>
    </row>
    <row r="10286" spans="1:3" s="7" customFormat="1" x14ac:dyDescent="0.2">
      <c r="A10286" s="6" t="str">
        <f>"IVD"</f>
        <v>IVD</v>
      </c>
      <c r="B10286" s="6">
        <v>0.289710289710289</v>
      </c>
      <c r="C10286" s="6">
        <v>0.47043794639247799</v>
      </c>
    </row>
    <row r="10287" spans="1:3" s="7" customFormat="1" x14ac:dyDescent="0.2">
      <c r="A10287" s="6" t="str">
        <f>"SH3BGR"</f>
        <v>SH3BGR</v>
      </c>
      <c r="B10287" s="6">
        <v>0.289710289710289</v>
      </c>
      <c r="C10287" s="6">
        <v>0.47043794639247799</v>
      </c>
    </row>
    <row r="10288" spans="1:3" s="7" customFormat="1" x14ac:dyDescent="0.2">
      <c r="A10288" s="6" t="str">
        <f>"SKIDA1"</f>
        <v>SKIDA1</v>
      </c>
      <c r="B10288" s="6">
        <v>0.289710289710289</v>
      </c>
      <c r="C10288" s="6">
        <v>0.47043794639247799</v>
      </c>
    </row>
    <row r="10289" spans="1:3" s="7" customFormat="1" x14ac:dyDescent="0.2">
      <c r="A10289" s="6" t="str">
        <f>"MTHFR"</f>
        <v>MTHFR</v>
      </c>
      <c r="B10289" s="6">
        <v>0.289710289710289</v>
      </c>
      <c r="C10289" s="6">
        <v>0.47043794639247799</v>
      </c>
    </row>
    <row r="10290" spans="1:3" s="7" customFormat="1" x14ac:dyDescent="0.2">
      <c r="A10290" s="6" t="str">
        <f>"AHCY"</f>
        <v>AHCY</v>
      </c>
      <c r="B10290" s="6">
        <v>0.289710289710289</v>
      </c>
      <c r="C10290" s="6">
        <v>0.47043794639247799</v>
      </c>
    </row>
    <row r="10291" spans="1:3" s="7" customFormat="1" x14ac:dyDescent="0.2">
      <c r="A10291" s="6" t="str">
        <f>"LINC01695"</f>
        <v>LINC01695</v>
      </c>
      <c r="B10291" s="6">
        <v>0.289710289710289</v>
      </c>
      <c r="C10291" s="6">
        <v>0.47043794639247799</v>
      </c>
    </row>
    <row r="10292" spans="1:3" s="7" customFormat="1" x14ac:dyDescent="0.2">
      <c r="A10292" s="6" t="str">
        <f>"ANKRD24"</f>
        <v>ANKRD24</v>
      </c>
      <c r="B10292" s="6">
        <v>0.289710289710289</v>
      </c>
      <c r="C10292" s="6">
        <v>0.47043794639247799</v>
      </c>
    </row>
    <row r="10293" spans="1:3" s="7" customFormat="1" x14ac:dyDescent="0.2">
      <c r="A10293" s="6" t="str">
        <f>"CEP68"</f>
        <v>CEP68</v>
      </c>
      <c r="B10293" s="6">
        <v>0.289710289710289</v>
      </c>
      <c r="C10293" s="6">
        <v>0.47043794639247799</v>
      </c>
    </row>
    <row r="10294" spans="1:3" s="7" customFormat="1" x14ac:dyDescent="0.2">
      <c r="A10294" s="6" t="str">
        <f>"GPD1"</f>
        <v>GPD1</v>
      </c>
      <c r="B10294" s="6">
        <v>0.289710289710289</v>
      </c>
      <c r="C10294" s="6">
        <v>0.47043794639247799</v>
      </c>
    </row>
    <row r="10295" spans="1:3" s="7" customFormat="1" x14ac:dyDescent="0.2">
      <c r="A10295" s="6" t="str">
        <f>"HIGD1A"</f>
        <v>HIGD1A</v>
      </c>
      <c r="B10295" s="6">
        <v>0.28999999999999998</v>
      </c>
      <c r="C10295" s="6">
        <v>0.47086263843015302</v>
      </c>
    </row>
    <row r="10296" spans="1:3" s="7" customFormat="1" x14ac:dyDescent="0.2">
      <c r="A10296" s="6" t="str">
        <f>"AC091167.1"</f>
        <v>AC091167.1</v>
      </c>
      <c r="B10296" s="6">
        <v>0.29008438818565402</v>
      </c>
      <c r="C10296" s="6">
        <v>0.47095390618115701</v>
      </c>
    </row>
    <row r="10297" spans="1:3" s="7" customFormat="1" x14ac:dyDescent="0.2">
      <c r="A10297" s="6" t="str">
        <f>"AC007637.1"</f>
        <v>AC007637.1</v>
      </c>
      <c r="B10297" s="6">
        <v>0.29016064257028101</v>
      </c>
      <c r="C10297" s="6">
        <v>0.47098620762548998</v>
      </c>
    </row>
    <row r="10298" spans="1:3" s="7" customFormat="1" x14ac:dyDescent="0.2">
      <c r="A10298" s="6" t="str">
        <f>"AC000068.2"</f>
        <v>AC000068.2</v>
      </c>
      <c r="B10298" s="6">
        <v>0.29014396456256902</v>
      </c>
      <c r="C10298" s="6">
        <v>0.47098620762548998</v>
      </c>
    </row>
    <row r="10299" spans="1:3" s="7" customFormat="1" x14ac:dyDescent="0.2">
      <c r="A10299" s="6" t="str">
        <f>"NR2C2"</f>
        <v>NR2C2</v>
      </c>
      <c r="B10299" s="6">
        <v>0.29029029029029002</v>
      </c>
      <c r="C10299" s="6">
        <v>0.47115089453407499</v>
      </c>
    </row>
    <row r="10300" spans="1:3" s="7" customFormat="1" x14ac:dyDescent="0.2">
      <c r="A10300" s="6" t="str">
        <f>"RC3H1"</f>
        <v>RC3H1</v>
      </c>
      <c r="B10300" s="6">
        <v>0.29070929070929002</v>
      </c>
      <c r="C10300" s="6">
        <v>0.47119036897935201</v>
      </c>
    </row>
    <row r="10301" spans="1:3" s="7" customFormat="1" x14ac:dyDescent="0.2">
      <c r="A10301" s="6" t="str">
        <f>"AC020915.4"</f>
        <v>AC020915.4</v>
      </c>
      <c r="B10301" s="6">
        <v>0.29070929070929002</v>
      </c>
      <c r="C10301" s="6">
        <v>0.47119036897935201</v>
      </c>
    </row>
    <row r="10302" spans="1:3" s="7" customFormat="1" x14ac:dyDescent="0.2">
      <c r="A10302" s="6" t="str">
        <f>"TTC19"</f>
        <v>TTC19</v>
      </c>
      <c r="B10302" s="6">
        <v>0.29070929070929002</v>
      </c>
      <c r="C10302" s="6">
        <v>0.47119036897935201</v>
      </c>
    </row>
    <row r="10303" spans="1:3" s="7" customFormat="1" x14ac:dyDescent="0.2">
      <c r="A10303" s="6" t="str">
        <f>"PEX11B"</f>
        <v>PEX11B</v>
      </c>
      <c r="B10303" s="6">
        <v>0.29070929070929002</v>
      </c>
      <c r="C10303" s="6">
        <v>0.47119036897935201</v>
      </c>
    </row>
    <row r="10304" spans="1:3" s="7" customFormat="1" x14ac:dyDescent="0.2">
      <c r="A10304" s="6" t="str">
        <f>"RAB3IP"</f>
        <v>RAB3IP</v>
      </c>
      <c r="B10304" s="6">
        <v>0.29070929070929002</v>
      </c>
      <c r="C10304" s="6">
        <v>0.47119036897935201</v>
      </c>
    </row>
    <row r="10305" spans="1:3" s="7" customFormat="1" x14ac:dyDescent="0.2">
      <c r="A10305" s="6" t="str">
        <f>"FBXL18"</f>
        <v>FBXL18</v>
      </c>
      <c r="B10305" s="6">
        <v>0.29070929070929002</v>
      </c>
      <c r="C10305" s="6">
        <v>0.47119036897935201</v>
      </c>
    </row>
    <row r="10306" spans="1:3" s="7" customFormat="1" x14ac:dyDescent="0.2">
      <c r="A10306" s="6" t="str">
        <f>"WDR20"</f>
        <v>WDR20</v>
      </c>
      <c r="B10306" s="6">
        <v>0.29070929070929002</v>
      </c>
      <c r="C10306" s="6">
        <v>0.47119036897935201</v>
      </c>
    </row>
    <row r="10307" spans="1:3" s="7" customFormat="1" x14ac:dyDescent="0.2">
      <c r="A10307" s="6" t="str">
        <f>"LSM3"</f>
        <v>LSM3</v>
      </c>
      <c r="B10307" s="6">
        <v>0.29070929070929002</v>
      </c>
      <c r="C10307" s="6">
        <v>0.47119036897935201</v>
      </c>
    </row>
    <row r="10308" spans="1:3" s="7" customFormat="1" x14ac:dyDescent="0.2">
      <c r="A10308" s="6" t="str">
        <f>"TADA3"</f>
        <v>TADA3</v>
      </c>
      <c r="B10308" s="6">
        <v>0.29070929070929002</v>
      </c>
      <c r="C10308" s="6">
        <v>0.47119036897935201</v>
      </c>
    </row>
    <row r="10309" spans="1:3" s="7" customFormat="1" x14ac:dyDescent="0.2">
      <c r="A10309" s="6" t="str">
        <f>"MAP6D1"</f>
        <v>MAP6D1</v>
      </c>
      <c r="B10309" s="6">
        <v>0.29070929070929002</v>
      </c>
      <c r="C10309" s="6">
        <v>0.47119036897935201</v>
      </c>
    </row>
    <row r="10310" spans="1:3" s="7" customFormat="1" x14ac:dyDescent="0.2">
      <c r="A10310" s="6" t="str">
        <f>"GNGT2"</f>
        <v>GNGT2</v>
      </c>
      <c r="B10310" s="6">
        <v>0.29070929070929002</v>
      </c>
      <c r="C10310" s="6">
        <v>0.47119036897935201</v>
      </c>
    </row>
    <row r="10311" spans="1:3" s="7" customFormat="1" x14ac:dyDescent="0.2">
      <c r="A10311" s="6" t="str">
        <f>"DMTF1"</f>
        <v>DMTF1</v>
      </c>
      <c r="B10311" s="6">
        <v>0.29070929070929002</v>
      </c>
      <c r="C10311" s="6">
        <v>0.47119036897935201</v>
      </c>
    </row>
    <row r="10312" spans="1:3" s="7" customFormat="1" x14ac:dyDescent="0.2">
      <c r="A10312" s="6" t="str">
        <f>"USP9X"</f>
        <v>USP9X</v>
      </c>
      <c r="B10312" s="6">
        <v>0.29070929070929002</v>
      </c>
      <c r="C10312" s="6">
        <v>0.47119036897935201</v>
      </c>
    </row>
    <row r="10313" spans="1:3" s="7" customFormat="1" x14ac:dyDescent="0.2">
      <c r="A10313" s="6" t="str">
        <f>"NDUFA9"</f>
        <v>NDUFA9</v>
      </c>
      <c r="B10313" s="6">
        <v>0.29070929070929002</v>
      </c>
      <c r="C10313" s="6">
        <v>0.47119036897935201</v>
      </c>
    </row>
    <row r="10314" spans="1:3" s="7" customFormat="1" x14ac:dyDescent="0.2">
      <c r="A10314" s="6" t="str">
        <f>"C19orf44"</f>
        <v>C19orf44</v>
      </c>
      <c r="B10314" s="6">
        <v>0.29099999999999998</v>
      </c>
      <c r="C10314" s="6">
        <v>0.47157009889470602</v>
      </c>
    </row>
    <row r="10315" spans="1:3" s="7" customFormat="1" x14ac:dyDescent="0.2">
      <c r="A10315" s="6" t="str">
        <f>"OTUD7B"</f>
        <v>OTUD7B</v>
      </c>
      <c r="B10315" s="6">
        <v>0.29099999999999998</v>
      </c>
      <c r="C10315" s="6">
        <v>0.47157009889470602</v>
      </c>
    </row>
    <row r="10316" spans="1:3" s="7" customFormat="1" x14ac:dyDescent="0.2">
      <c r="A10316" s="6" t="str">
        <f>"RNF217-AS1"</f>
        <v>RNF217-AS1</v>
      </c>
      <c r="B10316" s="6">
        <v>0.29120323559150602</v>
      </c>
      <c r="C10316" s="6">
        <v>0.47185369652704201</v>
      </c>
    </row>
    <row r="10317" spans="1:3" s="7" customFormat="1" x14ac:dyDescent="0.2">
      <c r="A10317" s="6" t="str">
        <f>"KDM4B"</f>
        <v>KDM4B</v>
      </c>
      <c r="B10317" s="6">
        <v>0.29170829170829099</v>
      </c>
      <c r="C10317" s="6">
        <v>0.47189434645880601</v>
      </c>
    </row>
    <row r="10318" spans="1:3" s="7" customFormat="1" x14ac:dyDescent="0.2">
      <c r="A10318" s="6" t="str">
        <f>"ORC4"</f>
        <v>ORC4</v>
      </c>
      <c r="B10318" s="6">
        <v>0.29170829170829099</v>
      </c>
      <c r="C10318" s="6">
        <v>0.47189434645880601</v>
      </c>
    </row>
    <row r="10319" spans="1:3" s="7" customFormat="1" x14ac:dyDescent="0.2">
      <c r="A10319" s="6" t="str">
        <f>"AL138976.2"</f>
        <v>AL138976.2</v>
      </c>
      <c r="B10319" s="6">
        <v>0.29158316633266501</v>
      </c>
      <c r="C10319" s="6">
        <v>0.47189434645880601</v>
      </c>
    </row>
    <row r="10320" spans="1:3" s="7" customFormat="1" x14ac:dyDescent="0.2">
      <c r="A10320" s="6" t="str">
        <f>"HDAC2-AS2"</f>
        <v>HDAC2-AS2</v>
      </c>
      <c r="B10320" s="6">
        <v>0.291291291291291</v>
      </c>
      <c r="C10320" s="6">
        <v>0.47189434645880601</v>
      </c>
    </row>
    <row r="10321" spans="1:3" s="7" customFormat="1" x14ac:dyDescent="0.2">
      <c r="A10321" s="6" t="str">
        <f>"FAM24B"</f>
        <v>FAM24B</v>
      </c>
      <c r="B10321" s="6">
        <v>0.29158316633266501</v>
      </c>
      <c r="C10321" s="6">
        <v>0.47189434645880601</v>
      </c>
    </row>
    <row r="10322" spans="1:3" s="7" customFormat="1" x14ac:dyDescent="0.2">
      <c r="A10322" s="6" t="str">
        <f>"PGBD5"</f>
        <v>PGBD5</v>
      </c>
      <c r="B10322" s="6">
        <v>0.29170829170829099</v>
      </c>
      <c r="C10322" s="6">
        <v>0.47189434645880601</v>
      </c>
    </row>
    <row r="10323" spans="1:3" s="7" customFormat="1" x14ac:dyDescent="0.2">
      <c r="A10323" s="6" t="str">
        <f>"BX284632.1"</f>
        <v>BX284632.1</v>
      </c>
      <c r="B10323" s="6">
        <v>0.29170829170829099</v>
      </c>
      <c r="C10323" s="6">
        <v>0.47189434645880601</v>
      </c>
    </row>
    <row r="10324" spans="1:3" s="7" customFormat="1" x14ac:dyDescent="0.2">
      <c r="A10324" s="6" t="str">
        <f>"ARHGEF37"</f>
        <v>ARHGEF37</v>
      </c>
      <c r="B10324" s="6">
        <v>0.29170829170829099</v>
      </c>
      <c r="C10324" s="6">
        <v>0.47189434645880601</v>
      </c>
    </row>
    <row r="10325" spans="1:3" s="7" customFormat="1" x14ac:dyDescent="0.2">
      <c r="A10325" s="6" t="str">
        <f>"SNF8"</f>
        <v>SNF8</v>
      </c>
      <c r="B10325" s="6">
        <v>0.29170829170829099</v>
      </c>
      <c r="C10325" s="6">
        <v>0.47189434645880601</v>
      </c>
    </row>
    <row r="10326" spans="1:3" s="7" customFormat="1" x14ac:dyDescent="0.2">
      <c r="A10326" s="6" t="str">
        <f>"SYT6"</f>
        <v>SYT6</v>
      </c>
      <c r="B10326" s="6">
        <v>0.29170829170829099</v>
      </c>
      <c r="C10326" s="6">
        <v>0.47189434645880601</v>
      </c>
    </row>
    <row r="10327" spans="1:3" s="7" customFormat="1" x14ac:dyDescent="0.2">
      <c r="A10327" s="6" t="str">
        <f>"LINC01587"</f>
        <v>LINC01587</v>
      </c>
      <c r="B10327" s="6">
        <v>0.29170829170829099</v>
      </c>
      <c r="C10327" s="6">
        <v>0.47189434645880601</v>
      </c>
    </row>
    <row r="10328" spans="1:3" s="7" customFormat="1" x14ac:dyDescent="0.2">
      <c r="A10328" s="6" t="str">
        <f>"MAP7D3"</f>
        <v>MAP7D3</v>
      </c>
      <c r="B10328" s="6">
        <v>0.29170829170829099</v>
      </c>
      <c r="C10328" s="6">
        <v>0.47189434645880601</v>
      </c>
    </row>
    <row r="10329" spans="1:3" s="7" customFormat="1" x14ac:dyDescent="0.2">
      <c r="A10329" s="6" t="str">
        <f>"CLN6"</f>
        <v>CLN6</v>
      </c>
      <c r="B10329" s="6">
        <v>0.29170829170829099</v>
      </c>
      <c r="C10329" s="6">
        <v>0.47189434645880601</v>
      </c>
    </row>
    <row r="10330" spans="1:3" s="7" customFormat="1" x14ac:dyDescent="0.2">
      <c r="A10330" s="6" t="str">
        <f>"AL592429.2"</f>
        <v>AL592429.2</v>
      </c>
      <c r="B10330" s="6">
        <v>0.29170829170829099</v>
      </c>
      <c r="C10330" s="6">
        <v>0.47189434645880601</v>
      </c>
    </row>
    <row r="10331" spans="1:3" s="7" customFormat="1" x14ac:dyDescent="0.2">
      <c r="A10331" s="6" t="str">
        <f>"PURB"</f>
        <v>PURB</v>
      </c>
      <c r="B10331" s="6">
        <v>0.29170829170829099</v>
      </c>
      <c r="C10331" s="6">
        <v>0.47189434645880601</v>
      </c>
    </row>
    <row r="10332" spans="1:3" s="7" customFormat="1" x14ac:dyDescent="0.2">
      <c r="A10332" s="6" t="str">
        <f>"SPICE1"</f>
        <v>SPICE1</v>
      </c>
      <c r="B10332" s="6">
        <v>0.29170829170829099</v>
      </c>
      <c r="C10332" s="6">
        <v>0.47189434645880601</v>
      </c>
    </row>
    <row r="10333" spans="1:3" s="7" customFormat="1" x14ac:dyDescent="0.2">
      <c r="A10333" s="6" t="str">
        <f>"EXOC6B"</f>
        <v>EXOC6B</v>
      </c>
      <c r="B10333" s="6">
        <v>0.29170829170829099</v>
      </c>
      <c r="C10333" s="6">
        <v>0.47189434645880601</v>
      </c>
    </row>
    <row r="10334" spans="1:3" s="7" customFormat="1" x14ac:dyDescent="0.2">
      <c r="A10334" s="6" t="str">
        <f>"SRA1"</f>
        <v>SRA1</v>
      </c>
      <c r="B10334" s="6">
        <v>0.29199999999999998</v>
      </c>
      <c r="C10334" s="6">
        <v>0.47227482097929102</v>
      </c>
    </row>
    <row r="10335" spans="1:3" s="7" customFormat="1" x14ac:dyDescent="0.2">
      <c r="A10335" s="6" t="str">
        <f>"GNPTAB"</f>
        <v>GNPTAB</v>
      </c>
      <c r="B10335" s="6">
        <v>0.29199999999999998</v>
      </c>
      <c r="C10335" s="6">
        <v>0.47227482097929102</v>
      </c>
    </row>
    <row r="10336" spans="1:3" s="7" customFormat="1" x14ac:dyDescent="0.2">
      <c r="A10336" s="6" t="str">
        <f>"SATL1"</f>
        <v>SATL1</v>
      </c>
      <c r="B10336" s="6">
        <v>0.29230769230769199</v>
      </c>
      <c r="C10336" s="6">
        <v>0.47272673142048999</v>
      </c>
    </row>
    <row r="10337" spans="1:3" s="7" customFormat="1" x14ac:dyDescent="0.2">
      <c r="A10337" s="6" t="str">
        <f>"SCNN1B"</f>
        <v>SCNN1B</v>
      </c>
      <c r="B10337" s="6">
        <v>0.29270729270729201</v>
      </c>
      <c r="C10337" s="6">
        <v>0.47273260124743299</v>
      </c>
    </row>
    <row r="10338" spans="1:3" s="7" customFormat="1" x14ac:dyDescent="0.2">
      <c r="A10338" s="6" t="str">
        <f>"FOLR1"</f>
        <v>FOLR1</v>
      </c>
      <c r="B10338" s="6">
        <v>0.29270729270729201</v>
      </c>
      <c r="C10338" s="6">
        <v>0.47273260124743299</v>
      </c>
    </row>
    <row r="10339" spans="1:3" s="7" customFormat="1" x14ac:dyDescent="0.2">
      <c r="A10339" s="6" t="str">
        <f>"TRNAU1AP"</f>
        <v>TRNAU1AP</v>
      </c>
      <c r="B10339" s="6">
        <v>0.29270729270729201</v>
      </c>
      <c r="C10339" s="6">
        <v>0.47273260124743299</v>
      </c>
    </row>
    <row r="10340" spans="1:3" s="7" customFormat="1" x14ac:dyDescent="0.2">
      <c r="A10340" s="6" t="str">
        <f>"OSBPL11"</f>
        <v>OSBPL11</v>
      </c>
      <c r="B10340" s="6">
        <v>0.29270729270729201</v>
      </c>
      <c r="C10340" s="6">
        <v>0.47273260124743299</v>
      </c>
    </row>
    <row r="10341" spans="1:3" s="7" customFormat="1" x14ac:dyDescent="0.2">
      <c r="A10341" s="6" t="str">
        <f>"C14orf28"</f>
        <v>C14orf28</v>
      </c>
      <c r="B10341" s="6">
        <v>0.29270729270729201</v>
      </c>
      <c r="C10341" s="6">
        <v>0.47273260124743299</v>
      </c>
    </row>
    <row r="10342" spans="1:3" s="7" customFormat="1" x14ac:dyDescent="0.2">
      <c r="A10342" s="6" t="str">
        <f>"SSBP3-AS1"</f>
        <v>SSBP3-AS1</v>
      </c>
      <c r="B10342" s="6">
        <v>0.29270729270729201</v>
      </c>
      <c r="C10342" s="6">
        <v>0.47273260124743299</v>
      </c>
    </row>
    <row r="10343" spans="1:3" s="7" customFormat="1" x14ac:dyDescent="0.2">
      <c r="A10343" s="6" t="str">
        <f>"TSNARE1"</f>
        <v>TSNARE1</v>
      </c>
      <c r="B10343" s="6">
        <v>0.29270729270729201</v>
      </c>
      <c r="C10343" s="6">
        <v>0.47273260124743299</v>
      </c>
    </row>
    <row r="10344" spans="1:3" s="7" customFormat="1" x14ac:dyDescent="0.2">
      <c r="A10344" s="6" t="str">
        <f>"SCGB3A1"</f>
        <v>SCGB3A1</v>
      </c>
      <c r="B10344" s="6">
        <v>0.29270729270729201</v>
      </c>
      <c r="C10344" s="6">
        <v>0.47273260124743299</v>
      </c>
    </row>
    <row r="10345" spans="1:3" s="7" customFormat="1" x14ac:dyDescent="0.2">
      <c r="A10345" s="6" t="str">
        <f>"STON1"</f>
        <v>STON1</v>
      </c>
      <c r="B10345" s="6">
        <v>0.29270729270729201</v>
      </c>
      <c r="C10345" s="6">
        <v>0.47273260124743299</v>
      </c>
    </row>
    <row r="10346" spans="1:3" s="7" customFormat="1" x14ac:dyDescent="0.2">
      <c r="A10346" s="6" t="str">
        <f>"RAP1A"</f>
        <v>RAP1A</v>
      </c>
      <c r="B10346" s="6">
        <v>0.29270729270729201</v>
      </c>
      <c r="C10346" s="6">
        <v>0.47273260124743299</v>
      </c>
    </row>
    <row r="10347" spans="1:3" s="7" customFormat="1" x14ac:dyDescent="0.2">
      <c r="A10347" s="6" t="str">
        <f>"R3HCC1"</f>
        <v>R3HCC1</v>
      </c>
      <c r="B10347" s="6">
        <v>0.29270729270729201</v>
      </c>
      <c r="C10347" s="6">
        <v>0.47273260124743299</v>
      </c>
    </row>
    <row r="10348" spans="1:3" s="7" customFormat="1" x14ac:dyDescent="0.2">
      <c r="A10348" s="6" t="str">
        <f>"METTL3"</f>
        <v>METTL3</v>
      </c>
      <c r="B10348" s="6">
        <v>0.29270729270729201</v>
      </c>
      <c r="C10348" s="6">
        <v>0.47273260124743299</v>
      </c>
    </row>
    <row r="10349" spans="1:3" s="7" customFormat="1" x14ac:dyDescent="0.2">
      <c r="A10349" s="6" t="str">
        <f>"RSPH4A"</f>
        <v>RSPH4A</v>
      </c>
      <c r="B10349" s="6">
        <v>0.29270729270729201</v>
      </c>
      <c r="C10349" s="6">
        <v>0.47273260124743299</v>
      </c>
    </row>
    <row r="10350" spans="1:3" s="7" customFormat="1" x14ac:dyDescent="0.2">
      <c r="A10350" s="6" t="str">
        <f>"FIBIN"</f>
        <v>FIBIN</v>
      </c>
      <c r="B10350" s="6">
        <v>0.29270729270729201</v>
      </c>
      <c r="C10350" s="6">
        <v>0.47273260124743299</v>
      </c>
    </row>
    <row r="10351" spans="1:3" s="7" customFormat="1" x14ac:dyDescent="0.2">
      <c r="A10351" s="6" t="str">
        <f>"MPDU1"</f>
        <v>MPDU1</v>
      </c>
      <c r="B10351" s="6">
        <v>0.29299999999999998</v>
      </c>
      <c r="C10351" s="6">
        <v>0.47315961352656999</v>
      </c>
    </row>
    <row r="10352" spans="1:3" s="7" customFormat="1" x14ac:dyDescent="0.2">
      <c r="A10352" s="6" t="str">
        <f>"CENPB"</f>
        <v>CENPB</v>
      </c>
      <c r="B10352" s="6">
        <v>0.29370629370629298</v>
      </c>
      <c r="C10352" s="6">
        <v>0.47329415667248198</v>
      </c>
    </row>
    <row r="10353" spans="1:3" s="7" customFormat="1" x14ac:dyDescent="0.2">
      <c r="A10353" s="6" t="str">
        <f>"PGM3"</f>
        <v>PGM3</v>
      </c>
      <c r="B10353" s="6">
        <v>0.29370629370629298</v>
      </c>
      <c r="C10353" s="6">
        <v>0.47329415667248198</v>
      </c>
    </row>
    <row r="10354" spans="1:3" s="7" customFormat="1" x14ac:dyDescent="0.2">
      <c r="A10354" s="6" t="str">
        <f>"IGHV4-39"</f>
        <v>IGHV4-39</v>
      </c>
      <c r="B10354" s="6">
        <v>0.29370629370629298</v>
      </c>
      <c r="C10354" s="6">
        <v>0.47329415667248198</v>
      </c>
    </row>
    <row r="10355" spans="1:3" s="7" customFormat="1" x14ac:dyDescent="0.2">
      <c r="A10355" s="6" t="str">
        <f>"DAGLA"</f>
        <v>DAGLA</v>
      </c>
      <c r="B10355" s="6">
        <v>0.29370629370629298</v>
      </c>
      <c r="C10355" s="6">
        <v>0.47329415667248198</v>
      </c>
    </row>
    <row r="10356" spans="1:3" s="7" customFormat="1" x14ac:dyDescent="0.2">
      <c r="A10356" s="6" t="str">
        <f>"RILPL1"</f>
        <v>RILPL1</v>
      </c>
      <c r="B10356" s="6">
        <v>0.29370629370629298</v>
      </c>
      <c r="C10356" s="6">
        <v>0.47329415667248198</v>
      </c>
    </row>
    <row r="10357" spans="1:3" s="7" customFormat="1" x14ac:dyDescent="0.2">
      <c r="A10357" s="6" t="str">
        <f>"AC010969.1"</f>
        <v>AC010969.1</v>
      </c>
      <c r="B10357" s="6">
        <v>0.29370629370629298</v>
      </c>
      <c r="C10357" s="6">
        <v>0.47329415667248198</v>
      </c>
    </row>
    <row r="10358" spans="1:3" s="7" customFormat="1" x14ac:dyDescent="0.2">
      <c r="A10358" s="6" t="str">
        <f>"CTBP1-DT"</f>
        <v>CTBP1-DT</v>
      </c>
      <c r="B10358" s="6">
        <v>0.29370629370629298</v>
      </c>
      <c r="C10358" s="6">
        <v>0.47329415667248198</v>
      </c>
    </row>
    <row r="10359" spans="1:3" s="7" customFormat="1" x14ac:dyDescent="0.2">
      <c r="A10359" s="6" t="str">
        <f>"ZNF706"</f>
        <v>ZNF706</v>
      </c>
      <c r="B10359" s="6">
        <v>0.29370629370629298</v>
      </c>
      <c r="C10359" s="6">
        <v>0.47329415667248198</v>
      </c>
    </row>
    <row r="10360" spans="1:3" s="7" customFormat="1" x14ac:dyDescent="0.2">
      <c r="A10360" s="6" t="str">
        <f>"AGFG1"</f>
        <v>AGFG1</v>
      </c>
      <c r="B10360" s="6">
        <v>0.29370629370629298</v>
      </c>
      <c r="C10360" s="6">
        <v>0.47329415667248198</v>
      </c>
    </row>
    <row r="10361" spans="1:3" s="7" customFormat="1" x14ac:dyDescent="0.2">
      <c r="A10361" s="6" t="str">
        <f>"CADPS2"</f>
        <v>CADPS2</v>
      </c>
      <c r="B10361" s="6">
        <v>0.29370629370629298</v>
      </c>
      <c r="C10361" s="6">
        <v>0.47329415667248198</v>
      </c>
    </row>
    <row r="10362" spans="1:3" s="7" customFormat="1" x14ac:dyDescent="0.2">
      <c r="A10362" s="6" t="str">
        <f>"WDFY2"</f>
        <v>WDFY2</v>
      </c>
      <c r="B10362" s="6">
        <v>0.29370629370629298</v>
      </c>
      <c r="C10362" s="6">
        <v>0.47329415667248198</v>
      </c>
    </row>
    <row r="10363" spans="1:3" s="7" customFormat="1" x14ac:dyDescent="0.2">
      <c r="A10363" s="6" t="str">
        <f>"AC140504.1"</f>
        <v>AC140504.1</v>
      </c>
      <c r="B10363" s="6">
        <v>0.29370629370629298</v>
      </c>
      <c r="C10363" s="6">
        <v>0.47329415667248198</v>
      </c>
    </row>
    <row r="10364" spans="1:3" s="7" customFormat="1" x14ac:dyDescent="0.2">
      <c r="A10364" s="6" t="str">
        <f>"TCF12"</f>
        <v>TCF12</v>
      </c>
      <c r="B10364" s="6">
        <v>0.29370629370629298</v>
      </c>
      <c r="C10364" s="6">
        <v>0.47329415667248198</v>
      </c>
    </row>
    <row r="10365" spans="1:3" s="7" customFormat="1" x14ac:dyDescent="0.2">
      <c r="A10365" s="6" t="str">
        <f>"LINC01902"</f>
        <v>LINC01902</v>
      </c>
      <c r="B10365" s="6">
        <v>0.29370629370629298</v>
      </c>
      <c r="C10365" s="6">
        <v>0.47329415667248198</v>
      </c>
    </row>
    <row r="10366" spans="1:3" s="7" customFormat="1" x14ac:dyDescent="0.2">
      <c r="A10366" s="6" t="str">
        <f>"AC008464.1"</f>
        <v>AC008464.1</v>
      </c>
      <c r="B10366" s="6">
        <v>0.29370629370629298</v>
      </c>
      <c r="C10366" s="6">
        <v>0.47329415667248198</v>
      </c>
    </row>
    <row r="10367" spans="1:3" s="7" customFormat="1" x14ac:dyDescent="0.2">
      <c r="A10367" s="6" t="str">
        <f>"AC068790.9"</f>
        <v>AC068790.9</v>
      </c>
      <c r="B10367" s="6">
        <v>0.29358717434869702</v>
      </c>
      <c r="C10367" s="6">
        <v>0.47329415667248198</v>
      </c>
    </row>
    <row r="10368" spans="1:3" s="7" customFormat="1" x14ac:dyDescent="0.2">
      <c r="A10368" s="6" t="str">
        <f>"CWF19L1"</f>
        <v>CWF19L1</v>
      </c>
      <c r="B10368" s="6">
        <v>0.29370629370629298</v>
      </c>
      <c r="C10368" s="6">
        <v>0.47329415667248198</v>
      </c>
    </row>
    <row r="10369" spans="1:3" s="7" customFormat="1" x14ac:dyDescent="0.2">
      <c r="A10369" s="6" t="str">
        <f>"TUBB8"</f>
        <v>TUBB8</v>
      </c>
      <c r="B10369" s="6">
        <v>0.29329329329329301</v>
      </c>
      <c r="C10369" s="6">
        <v>0.47329415667248198</v>
      </c>
    </row>
    <row r="10370" spans="1:3" s="7" customFormat="1" x14ac:dyDescent="0.2">
      <c r="A10370" s="6" t="str">
        <f>"RPL26"</f>
        <v>RPL26</v>
      </c>
      <c r="B10370" s="6">
        <v>0.29370629370629298</v>
      </c>
      <c r="C10370" s="6">
        <v>0.47329415667248198</v>
      </c>
    </row>
    <row r="10371" spans="1:3" s="7" customFormat="1" x14ac:dyDescent="0.2">
      <c r="A10371" s="6" t="str">
        <f>"MELTF-AS1"</f>
        <v>MELTF-AS1</v>
      </c>
      <c r="B10371" s="6">
        <v>0.29370629370629298</v>
      </c>
      <c r="C10371" s="6">
        <v>0.47329415667248198</v>
      </c>
    </row>
    <row r="10372" spans="1:3" s="7" customFormat="1" x14ac:dyDescent="0.2">
      <c r="A10372" s="6" t="str">
        <f>"MPPE1"</f>
        <v>MPPE1</v>
      </c>
      <c r="B10372" s="6">
        <v>0.29370629370629298</v>
      </c>
      <c r="C10372" s="6">
        <v>0.47329415667248198</v>
      </c>
    </row>
    <row r="10373" spans="1:3" s="7" customFormat="1" x14ac:dyDescent="0.2">
      <c r="A10373" s="6" t="str">
        <f>"DDX52"</f>
        <v>DDX52</v>
      </c>
      <c r="B10373" s="6">
        <v>0.29370629370629298</v>
      </c>
      <c r="C10373" s="6">
        <v>0.47329415667248198</v>
      </c>
    </row>
    <row r="10374" spans="1:3" s="7" customFormat="1" x14ac:dyDescent="0.2">
      <c r="A10374" s="6" t="str">
        <f>"AAGAB"</f>
        <v>AAGAB</v>
      </c>
      <c r="B10374" s="6">
        <v>0.294705294705294</v>
      </c>
      <c r="C10374" s="6">
        <v>0.47417253520449498</v>
      </c>
    </row>
    <row r="10375" spans="1:3" s="7" customFormat="1" x14ac:dyDescent="0.2">
      <c r="A10375" s="6" t="str">
        <f>"RPL23AP24"</f>
        <v>RPL23AP24</v>
      </c>
      <c r="B10375" s="6">
        <v>0.29465186680121003</v>
      </c>
      <c r="C10375" s="6">
        <v>0.47417253520449498</v>
      </c>
    </row>
    <row r="10376" spans="1:3" s="7" customFormat="1" x14ac:dyDescent="0.2">
      <c r="A10376" s="6" t="str">
        <f>"TRAM1"</f>
        <v>TRAM1</v>
      </c>
      <c r="B10376" s="6">
        <v>0.294705294705294</v>
      </c>
      <c r="C10376" s="6">
        <v>0.47417253520449498</v>
      </c>
    </row>
    <row r="10377" spans="1:3" s="7" customFormat="1" x14ac:dyDescent="0.2">
      <c r="A10377" s="6" t="str">
        <f>"GARS1"</f>
        <v>GARS1</v>
      </c>
      <c r="B10377" s="6">
        <v>0.294705294705294</v>
      </c>
      <c r="C10377" s="6">
        <v>0.47417253520449498</v>
      </c>
    </row>
    <row r="10378" spans="1:3" s="7" customFormat="1" x14ac:dyDescent="0.2">
      <c r="A10378" s="6" t="str">
        <f>"ZDHHC13"</f>
        <v>ZDHHC13</v>
      </c>
      <c r="B10378" s="6">
        <v>0.294705294705294</v>
      </c>
      <c r="C10378" s="6">
        <v>0.47417253520449498</v>
      </c>
    </row>
    <row r="10379" spans="1:3" s="7" customFormat="1" x14ac:dyDescent="0.2">
      <c r="A10379" s="6" t="str">
        <f>"MOB4"</f>
        <v>MOB4</v>
      </c>
      <c r="B10379" s="6">
        <v>0.294705294705294</v>
      </c>
      <c r="C10379" s="6">
        <v>0.47417253520449498</v>
      </c>
    </row>
    <row r="10380" spans="1:3" s="7" customFormat="1" x14ac:dyDescent="0.2">
      <c r="A10380" s="6" t="str">
        <f>"BMS1P1"</f>
        <v>BMS1P1</v>
      </c>
      <c r="B10380" s="6">
        <v>0.294705294705294</v>
      </c>
      <c r="C10380" s="6">
        <v>0.47417253520449498</v>
      </c>
    </row>
    <row r="10381" spans="1:3" s="7" customFormat="1" x14ac:dyDescent="0.2">
      <c r="A10381" s="6" t="str">
        <f>"ABITRAM"</f>
        <v>ABITRAM</v>
      </c>
      <c r="B10381" s="6">
        <v>0.294705294705294</v>
      </c>
      <c r="C10381" s="6">
        <v>0.47417253520449498</v>
      </c>
    </row>
    <row r="10382" spans="1:3" s="7" customFormat="1" x14ac:dyDescent="0.2">
      <c r="A10382" s="6" t="str">
        <f>"LINS1"</f>
        <v>LINS1</v>
      </c>
      <c r="B10382" s="6">
        <v>0.294705294705294</v>
      </c>
      <c r="C10382" s="6">
        <v>0.47417253520449498</v>
      </c>
    </row>
    <row r="10383" spans="1:3" s="7" customFormat="1" x14ac:dyDescent="0.2">
      <c r="A10383" s="6" t="str">
        <f>"ERGIC2"</f>
        <v>ERGIC2</v>
      </c>
      <c r="B10383" s="6">
        <v>0.294705294705294</v>
      </c>
      <c r="C10383" s="6">
        <v>0.47417253520449498</v>
      </c>
    </row>
    <row r="10384" spans="1:3" s="7" customFormat="1" x14ac:dyDescent="0.2">
      <c r="A10384" s="6" t="str">
        <f>"RIMKLB"</f>
        <v>RIMKLB</v>
      </c>
      <c r="B10384" s="6">
        <v>0.294705294705294</v>
      </c>
      <c r="C10384" s="6">
        <v>0.47417253520449498</v>
      </c>
    </row>
    <row r="10385" spans="1:3" s="7" customFormat="1" x14ac:dyDescent="0.2">
      <c r="A10385" s="6" t="str">
        <f>"MTHFD1"</f>
        <v>MTHFD1</v>
      </c>
      <c r="B10385" s="6">
        <v>0.294705294705294</v>
      </c>
      <c r="C10385" s="6">
        <v>0.47417253520449498</v>
      </c>
    </row>
    <row r="10386" spans="1:3" s="7" customFormat="1" x14ac:dyDescent="0.2">
      <c r="A10386" s="6" t="str">
        <f>"DIPK2B"</f>
        <v>DIPK2B</v>
      </c>
      <c r="B10386" s="6">
        <v>0.294705294705294</v>
      </c>
      <c r="C10386" s="6">
        <v>0.47417253520449498</v>
      </c>
    </row>
    <row r="10387" spans="1:3" s="7" customFormat="1" x14ac:dyDescent="0.2">
      <c r="A10387" s="6" t="str">
        <f>"EIF2S2P4"</f>
        <v>EIF2S2P4</v>
      </c>
      <c r="B10387" s="6">
        <v>0.294705294705294</v>
      </c>
      <c r="C10387" s="6">
        <v>0.47417253520449498</v>
      </c>
    </row>
    <row r="10388" spans="1:3" s="7" customFormat="1" x14ac:dyDescent="0.2">
      <c r="A10388" s="6" t="str">
        <f>"SYNPO2"</f>
        <v>SYNPO2</v>
      </c>
      <c r="B10388" s="6">
        <v>0.294705294705294</v>
      </c>
      <c r="C10388" s="6">
        <v>0.47417253520449498</v>
      </c>
    </row>
    <row r="10389" spans="1:3" s="7" customFormat="1" x14ac:dyDescent="0.2">
      <c r="A10389" s="6" t="str">
        <f>"RHPN2"</f>
        <v>RHPN2</v>
      </c>
      <c r="B10389" s="6">
        <v>0.294705294705294</v>
      </c>
      <c r="C10389" s="6">
        <v>0.47417253520449498</v>
      </c>
    </row>
    <row r="10390" spans="1:3" s="7" customFormat="1" x14ac:dyDescent="0.2">
      <c r="A10390" s="6" t="str">
        <f>"PSMG3"</f>
        <v>PSMG3</v>
      </c>
      <c r="B10390" s="6">
        <v>0.29499999999999998</v>
      </c>
      <c r="C10390" s="6">
        <v>0.47455534167468699</v>
      </c>
    </row>
    <row r="10391" spans="1:3" s="7" customFormat="1" x14ac:dyDescent="0.2">
      <c r="A10391" s="6" t="str">
        <f>"IDH1"</f>
        <v>IDH1</v>
      </c>
      <c r="B10391" s="6">
        <v>0.29499999999999998</v>
      </c>
      <c r="C10391" s="6">
        <v>0.47455534167468699</v>
      </c>
    </row>
    <row r="10392" spans="1:3" s="7" customFormat="1" x14ac:dyDescent="0.2">
      <c r="A10392" s="6" t="str">
        <f>"ARFGEF2"</f>
        <v>ARFGEF2</v>
      </c>
      <c r="B10392" s="6">
        <v>0.29570429570429502</v>
      </c>
      <c r="C10392" s="6">
        <v>0.47513954993285801</v>
      </c>
    </row>
    <row r="10393" spans="1:3" s="7" customFormat="1" x14ac:dyDescent="0.2">
      <c r="A10393" s="6" t="str">
        <f>"TMEM176A"</f>
        <v>TMEM176A</v>
      </c>
      <c r="B10393" s="6">
        <v>0.29570429570429502</v>
      </c>
      <c r="C10393" s="6">
        <v>0.47513954993285801</v>
      </c>
    </row>
    <row r="10394" spans="1:3" s="7" customFormat="1" x14ac:dyDescent="0.2">
      <c r="A10394" s="6" t="str">
        <f>"VWF"</f>
        <v>VWF</v>
      </c>
      <c r="B10394" s="6">
        <v>0.29570429570429502</v>
      </c>
      <c r="C10394" s="6">
        <v>0.47513954993285801</v>
      </c>
    </row>
    <row r="10395" spans="1:3" s="7" customFormat="1" x14ac:dyDescent="0.2">
      <c r="A10395" s="6" t="str">
        <f>"NUDT11"</f>
        <v>NUDT11</v>
      </c>
      <c r="B10395" s="6">
        <v>0.29570429570429502</v>
      </c>
      <c r="C10395" s="6">
        <v>0.47513954993285801</v>
      </c>
    </row>
    <row r="10396" spans="1:3" s="7" customFormat="1" x14ac:dyDescent="0.2">
      <c r="A10396" s="6" t="str">
        <f>"AC138811.2"</f>
        <v>AC138811.2</v>
      </c>
      <c r="B10396" s="6">
        <v>0.29570429570429502</v>
      </c>
      <c r="C10396" s="6">
        <v>0.47513954993285801</v>
      </c>
    </row>
    <row r="10397" spans="1:3" s="7" customFormat="1" x14ac:dyDescent="0.2">
      <c r="A10397" s="6" t="str">
        <f>"ZNF131"</f>
        <v>ZNF131</v>
      </c>
      <c r="B10397" s="6">
        <v>0.29570429570429502</v>
      </c>
      <c r="C10397" s="6">
        <v>0.47513954993285801</v>
      </c>
    </row>
    <row r="10398" spans="1:3" s="7" customFormat="1" x14ac:dyDescent="0.2">
      <c r="A10398" s="6" t="str">
        <f>"RNF7P1"</f>
        <v>RNF7P1</v>
      </c>
      <c r="B10398" s="6">
        <v>0.29570429570429502</v>
      </c>
      <c r="C10398" s="6">
        <v>0.47513954993285801</v>
      </c>
    </row>
    <row r="10399" spans="1:3" s="7" customFormat="1" x14ac:dyDescent="0.2">
      <c r="A10399" s="6" t="str">
        <f>"ANKS1A"</f>
        <v>ANKS1A</v>
      </c>
      <c r="B10399" s="6">
        <v>0.29570429570429502</v>
      </c>
      <c r="C10399" s="6">
        <v>0.47513954993285801</v>
      </c>
    </row>
    <row r="10400" spans="1:3" s="7" customFormat="1" x14ac:dyDescent="0.2">
      <c r="A10400" s="6" t="str">
        <f>"KIAA1841"</f>
        <v>KIAA1841</v>
      </c>
      <c r="B10400" s="6">
        <v>0.29570429570429502</v>
      </c>
      <c r="C10400" s="6">
        <v>0.47513954993285801</v>
      </c>
    </row>
    <row r="10401" spans="1:3" s="7" customFormat="1" x14ac:dyDescent="0.2">
      <c r="A10401" s="6" t="str">
        <f>"ZNF695"</f>
        <v>ZNF695</v>
      </c>
      <c r="B10401" s="6">
        <v>0.29570429570429502</v>
      </c>
      <c r="C10401" s="6">
        <v>0.47513954993285801</v>
      </c>
    </row>
    <row r="10402" spans="1:3" s="7" customFormat="1" x14ac:dyDescent="0.2">
      <c r="A10402" s="6" t="str">
        <f>"TP53AIP1"</f>
        <v>TP53AIP1</v>
      </c>
      <c r="B10402" s="6">
        <v>0.29570429570429502</v>
      </c>
      <c r="C10402" s="6">
        <v>0.47513954993285801</v>
      </c>
    </row>
    <row r="10403" spans="1:3" s="7" customFormat="1" x14ac:dyDescent="0.2">
      <c r="A10403" s="6" t="str">
        <f>"GRK3"</f>
        <v>GRK3</v>
      </c>
      <c r="B10403" s="6">
        <v>0.29570429570429502</v>
      </c>
      <c r="C10403" s="6">
        <v>0.47513954993285801</v>
      </c>
    </row>
    <row r="10404" spans="1:3" s="7" customFormat="1" x14ac:dyDescent="0.2">
      <c r="A10404" s="6" t="str">
        <f>"FGD5P1"</f>
        <v>FGD5P1</v>
      </c>
      <c r="B10404" s="6">
        <v>0.29599999999999999</v>
      </c>
      <c r="C10404" s="6">
        <v>0.47556897048928098</v>
      </c>
    </row>
    <row r="10405" spans="1:3" s="7" customFormat="1" x14ac:dyDescent="0.2">
      <c r="A10405" s="6" t="str">
        <f>"NBEAL1"</f>
        <v>NBEAL1</v>
      </c>
      <c r="B10405" s="6">
        <v>0.29670329670329598</v>
      </c>
      <c r="C10405" s="6">
        <v>0.476195400528029</v>
      </c>
    </row>
    <row r="10406" spans="1:3" s="7" customFormat="1" x14ac:dyDescent="0.2">
      <c r="A10406" s="6" t="str">
        <f>"NETO2"</f>
        <v>NETO2</v>
      </c>
      <c r="B10406" s="6">
        <v>0.29670329670329598</v>
      </c>
      <c r="C10406" s="6">
        <v>0.476195400528029</v>
      </c>
    </row>
    <row r="10407" spans="1:3" s="7" customFormat="1" x14ac:dyDescent="0.2">
      <c r="A10407" s="6" t="str">
        <f>"VPS13D"</f>
        <v>VPS13D</v>
      </c>
      <c r="B10407" s="6">
        <v>0.29670329670329598</v>
      </c>
      <c r="C10407" s="6">
        <v>0.476195400528029</v>
      </c>
    </row>
    <row r="10408" spans="1:3" s="7" customFormat="1" x14ac:dyDescent="0.2">
      <c r="A10408" s="6" t="str">
        <f>"SSTR2"</f>
        <v>SSTR2</v>
      </c>
      <c r="B10408" s="6">
        <v>0.29670329670329598</v>
      </c>
      <c r="C10408" s="6">
        <v>0.476195400528029</v>
      </c>
    </row>
    <row r="10409" spans="1:3" s="7" customFormat="1" x14ac:dyDescent="0.2">
      <c r="A10409" s="6" t="str">
        <f>"TRNP1"</f>
        <v>TRNP1</v>
      </c>
      <c r="B10409" s="6">
        <v>0.29670329670329598</v>
      </c>
      <c r="C10409" s="6">
        <v>0.476195400528029</v>
      </c>
    </row>
    <row r="10410" spans="1:3" s="7" customFormat="1" x14ac:dyDescent="0.2">
      <c r="A10410" s="6" t="str">
        <f>"OLFM1"</f>
        <v>OLFM1</v>
      </c>
      <c r="B10410" s="6">
        <v>0.29670329670329598</v>
      </c>
      <c r="C10410" s="6">
        <v>0.476195400528029</v>
      </c>
    </row>
    <row r="10411" spans="1:3" s="7" customFormat="1" x14ac:dyDescent="0.2">
      <c r="A10411" s="6" t="str">
        <f>"UBE2E3"</f>
        <v>UBE2E3</v>
      </c>
      <c r="B10411" s="6">
        <v>0.29670329670329598</v>
      </c>
      <c r="C10411" s="6">
        <v>0.476195400528029</v>
      </c>
    </row>
    <row r="10412" spans="1:3" s="7" customFormat="1" x14ac:dyDescent="0.2">
      <c r="A10412" s="6" t="str">
        <f>"ITGA9"</f>
        <v>ITGA9</v>
      </c>
      <c r="B10412" s="6">
        <v>0.29670329670329598</v>
      </c>
      <c r="C10412" s="6">
        <v>0.476195400528029</v>
      </c>
    </row>
    <row r="10413" spans="1:3" s="7" customFormat="1" x14ac:dyDescent="0.2">
      <c r="A10413" s="6" t="str">
        <f>"AC005332.4"</f>
        <v>AC005332.4</v>
      </c>
      <c r="B10413" s="6">
        <v>0.29670329670329598</v>
      </c>
      <c r="C10413" s="6">
        <v>0.476195400528029</v>
      </c>
    </row>
    <row r="10414" spans="1:3" s="7" customFormat="1" x14ac:dyDescent="0.2">
      <c r="A10414" s="6" t="str">
        <f>"HSPA12A"</f>
        <v>HSPA12A</v>
      </c>
      <c r="B10414" s="6">
        <v>0.29670329670329598</v>
      </c>
      <c r="C10414" s="6">
        <v>0.476195400528029</v>
      </c>
    </row>
    <row r="10415" spans="1:3" s="7" customFormat="1" x14ac:dyDescent="0.2">
      <c r="A10415" s="6" t="str">
        <f>"CDC6"</f>
        <v>CDC6</v>
      </c>
      <c r="B10415" s="6">
        <v>0.29670329670329598</v>
      </c>
      <c r="C10415" s="6">
        <v>0.476195400528029</v>
      </c>
    </row>
    <row r="10416" spans="1:3" s="7" customFormat="1" x14ac:dyDescent="0.2">
      <c r="A10416" s="6" t="str">
        <f>"OR7A17"</f>
        <v>OR7A17</v>
      </c>
      <c r="B10416" s="6">
        <v>0.29729729729729698</v>
      </c>
      <c r="C10416" s="6">
        <v>0.477102931063564</v>
      </c>
    </row>
    <row r="10417" spans="1:3" s="7" customFormat="1" x14ac:dyDescent="0.2">
      <c r="A10417" s="6" t="str">
        <f>"SULF2"</f>
        <v>SULF2</v>
      </c>
      <c r="B10417" s="6">
        <v>0.297702297702297</v>
      </c>
      <c r="C10417" s="6">
        <v>0.47724882062115898</v>
      </c>
    </row>
    <row r="10418" spans="1:3" s="7" customFormat="1" x14ac:dyDescent="0.2">
      <c r="A10418" s="6" t="str">
        <f>"RAC3"</f>
        <v>RAC3</v>
      </c>
      <c r="B10418" s="6">
        <v>0.297702297702297</v>
      </c>
      <c r="C10418" s="6">
        <v>0.47724882062115898</v>
      </c>
    </row>
    <row r="10419" spans="1:3" s="7" customFormat="1" x14ac:dyDescent="0.2">
      <c r="A10419" s="6" t="str">
        <f>"IKZF2"</f>
        <v>IKZF2</v>
      </c>
      <c r="B10419" s="6">
        <v>0.297702297702297</v>
      </c>
      <c r="C10419" s="6">
        <v>0.47724882062115898</v>
      </c>
    </row>
    <row r="10420" spans="1:3" s="7" customFormat="1" x14ac:dyDescent="0.2">
      <c r="A10420" s="6" t="str">
        <f>"ZFX"</f>
        <v>ZFX</v>
      </c>
      <c r="B10420" s="6">
        <v>0.297702297702297</v>
      </c>
      <c r="C10420" s="6">
        <v>0.47724882062115898</v>
      </c>
    </row>
    <row r="10421" spans="1:3" s="7" customFormat="1" x14ac:dyDescent="0.2">
      <c r="A10421" s="6" t="str">
        <f>"POLG"</f>
        <v>POLG</v>
      </c>
      <c r="B10421" s="6">
        <v>0.297702297702297</v>
      </c>
      <c r="C10421" s="6">
        <v>0.47724882062115898</v>
      </c>
    </row>
    <row r="10422" spans="1:3" s="7" customFormat="1" x14ac:dyDescent="0.2">
      <c r="A10422" s="6" t="str">
        <f>"GPR155"</f>
        <v>GPR155</v>
      </c>
      <c r="B10422" s="6">
        <v>0.297702297702297</v>
      </c>
      <c r="C10422" s="6">
        <v>0.47724882062115898</v>
      </c>
    </row>
    <row r="10423" spans="1:3" s="7" customFormat="1" x14ac:dyDescent="0.2">
      <c r="A10423" s="6" t="str">
        <f>"ITGA11"</f>
        <v>ITGA11</v>
      </c>
      <c r="B10423" s="6">
        <v>0.297702297702297</v>
      </c>
      <c r="C10423" s="6">
        <v>0.47724882062115898</v>
      </c>
    </row>
    <row r="10424" spans="1:3" s="7" customFormat="1" x14ac:dyDescent="0.2">
      <c r="A10424" s="6" t="str">
        <f>"ABHD11-AS1"</f>
        <v>ABHD11-AS1</v>
      </c>
      <c r="B10424" s="6">
        <v>0.297702297702297</v>
      </c>
      <c r="C10424" s="6">
        <v>0.47724882062115898</v>
      </c>
    </row>
    <row r="10425" spans="1:3" s="7" customFormat="1" x14ac:dyDescent="0.2">
      <c r="A10425" s="6" t="str">
        <f>"SMPD3"</f>
        <v>SMPD3</v>
      </c>
      <c r="B10425" s="6">
        <v>0.297702297702297</v>
      </c>
      <c r="C10425" s="6">
        <v>0.47724882062115898</v>
      </c>
    </row>
    <row r="10426" spans="1:3" s="7" customFormat="1" x14ac:dyDescent="0.2">
      <c r="A10426" s="6" t="str">
        <f>"KIF24"</f>
        <v>KIF24</v>
      </c>
      <c r="B10426" s="6">
        <v>0.297702297702297</v>
      </c>
      <c r="C10426" s="6">
        <v>0.47724882062115898</v>
      </c>
    </row>
    <row r="10427" spans="1:3" s="7" customFormat="1" x14ac:dyDescent="0.2">
      <c r="A10427" s="6" t="str">
        <f>"UBE2W"</f>
        <v>UBE2W</v>
      </c>
      <c r="B10427" s="6">
        <v>0.297702297702297</v>
      </c>
      <c r="C10427" s="6">
        <v>0.47724882062115898</v>
      </c>
    </row>
    <row r="10428" spans="1:3" s="7" customFormat="1" x14ac:dyDescent="0.2">
      <c r="A10428" s="6" t="str">
        <f>"AC008764.9"</f>
        <v>AC008764.9</v>
      </c>
      <c r="B10428" s="6">
        <v>0.29799999999999999</v>
      </c>
      <c r="C10428" s="6">
        <v>0.47763444572305302</v>
      </c>
    </row>
    <row r="10429" spans="1:3" s="7" customFormat="1" x14ac:dyDescent="0.2">
      <c r="A10429" s="6" t="str">
        <f>"DCXR-DT"</f>
        <v>DCXR-DT</v>
      </c>
      <c r="B10429" s="6">
        <v>0.29799999999999999</v>
      </c>
      <c r="C10429" s="6">
        <v>0.47763444572305302</v>
      </c>
    </row>
    <row r="10430" spans="1:3" s="7" customFormat="1" x14ac:dyDescent="0.2">
      <c r="A10430" s="6" t="str">
        <f>"IRF4"</f>
        <v>IRF4</v>
      </c>
      <c r="B10430" s="6">
        <v>0.29870129870129802</v>
      </c>
      <c r="C10430" s="6">
        <v>0.47807081360657899</v>
      </c>
    </row>
    <row r="10431" spans="1:3" s="7" customFormat="1" x14ac:dyDescent="0.2">
      <c r="A10431" s="6" t="str">
        <f>"NBPF12"</f>
        <v>NBPF12</v>
      </c>
      <c r="B10431" s="6">
        <v>0.29870129870129802</v>
      </c>
      <c r="C10431" s="6">
        <v>0.47807081360657899</v>
      </c>
    </row>
    <row r="10432" spans="1:3" s="7" customFormat="1" x14ac:dyDescent="0.2">
      <c r="A10432" s="6" t="str">
        <f>"AC019117.2"</f>
        <v>AC019117.2</v>
      </c>
      <c r="B10432" s="6">
        <v>0.29870129870129802</v>
      </c>
      <c r="C10432" s="6">
        <v>0.47807081360657899</v>
      </c>
    </row>
    <row r="10433" spans="1:3" s="7" customFormat="1" x14ac:dyDescent="0.2">
      <c r="A10433" s="6" t="str">
        <f>"RPSAP41"</f>
        <v>RPSAP41</v>
      </c>
      <c r="B10433" s="6">
        <v>0.29870129870129802</v>
      </c>
      <c r="C10433" s="6">
        <v>0.47807081360657899</v>
      </c>
    </row>
    <row r="10434" spans="1:3" s="7" customFormat="1" x14ac:dyDescent="0.2">
      <c r="A10434" s="6" t="str">
        <f>"SUPT7L"</f>
        <v>SUPT7L</v>
      </c>
      <c r="B10434" s="6">
        <v>0.29870129870129802</v>
      </c>
      <c r="C10434" s="6">
        <v>0.47807081360657899</v>
      </c>
    </row>
    <row r="10435" spans="1:3" s="7" customFormat="1" x14ac:dyDescent="0.2">
      <c r="A10435" s="6" t="str">
        <f>"TRAPPC5"</f>
        <v>TRAPPC5</v>
      </c>
      <c r="B10435" s="6">
        <v>0.29870129870129802</v>
      </c>
      <c r="C10435" s="6">
        <v>0.47807081360657899</v>
      </c>
    </row>
    <row r="10436" spans="1:3" s="7" customFormat="1" x14ac:dyDescent="0.2">
      <c r="A10436" s="6" t="str">
        <f>"SPINK2"</f>
        <v>SPINK2</v>
      </c>
      <c r="B10436" s="6">
        <v>0.29849246231155702</v>
      </c>
      <c r="C10436" s="6">
        <v>0.47807081360657899</v>
      </c>
    </row>
    <row r="10437" spans="1:3" s="7" customFormat="1" x14ac:dyDescent="0.2">
      <c r="A10437" s="6" t="str">
        <f>"DISP2"</f>
        <v>DISP2</v>
      </c>
      <c r="B10437" s="6">
        <v>0.29870129870129802</v>
      </c>
      <c r="C10437" s="6">
        <v>0.47807081360657899</v>
      </c>
    </row>
    <row r="10438" spans="1:3" s="7" customFormat="1" x14ac:dyDescent="0.2">
      <c r="A10438" s="6" t="str">
        <f>"LINC01679"</f>
        <v>LINC01679</v>
      </c>
      <c r="B10438" s="6">
        <v>0.29870129870129802</v>
      </c>
      <c r="C10438" s="6">
        <v>0.47807081360657899</v>
      </c>
    </row>
    <row r="10439" spans="1:3" s="7" customFormat="1" x14ac:dyDescent="0.2">
      <c r="A10439" s="6" t="str">
        <f>"CDC14B"</f>
        <v>CDC14B</v>
      </c>
      <c r="B10439" s="6">
        <v>0.29870129870129802</v>
      </c>
      <c r="C10439" s="6">
        <v>0.47807081360657899</v>
      </c>
    </row>
    <row r="10440" spans="1:3" s="7" customFormat="1" x14ac:dyDescent="0.2">
      <c r="A10440" s="6" t="str">
        <f>"PRR14L"</f>
        <v>PRR14L</v>
      </c>
      <c r="B10440" s="6">
        <v>0.29870129870129802</v>
      </c>
      <c r="C10440" s="6">
        <v>0.47807081360657899</v>
      </c>
    </row>
    <row r="10441" spans="1:3" s="7" customFormat="1" x14ac:dyDescent="0.2">
      <c r="A10441" s="6" t="str">
        <f>"CD99"</f>
        <v>CD99</v>
      </c>
      <c r="B10441" s="6">
        <v>0.29870129870129802</v>
      </c>
      <c r="C10441" s="6">
        <v>0.47807081360657899</v>
      </c>
    </row>
    <row r="10442" spans="1:3" s="7" customFormat="1" x14ac:dyDescent="0.2">
      <c r="A10442" s="6" t="str">
        <f>"TMEM54"</f>
        <v>TMEM54</v>
      </c>
      <c r="B10442" s="6">
        <v>0.29870129870129802</v>
      </c>
      <c r="C10442" s="6">
        <v>0.47807081360657899</v>
      </c>
    </row>
    <row r="10443" spans="1:3" s="7" customFormat="1" x14ac:dyDescent="0.2">
      <c r="A10443" s="6" t="str">
        <f>"FAM117B"</f>
        <v>FAM117B</v>
      </c>
      <c r="B10443" s="6">
        <v>0.29870129870129802</v>
      </c>
      <c r="C10443" s="6">
        <v>0.47807081360657899</v>
      </c>
    </row>
    <row r="10444" spans="1:3" s="7" customFormat="1" x14ac:dyDescent="0.2">
      <c r="A10444" s="6" t="str">
        <f>"PSME3"</f>
        <v>PSME3</v>
      </c>
      <c r="B10444" s="6">
        <v>0.29870129870129802</v>
      </c>
      <c r="C10444" s="6">
        <v>0.47807081360657899</v>
      </c>
    </row>
    <row r="10445" spans="1:3" s="7" customFormat="1" x14ac:dyDescent="0.2">
      <c r="A10445" s="6" t="str">
        <f>"RDH16"</f>
        <v>RDH16</v>
      </c>
      <c r="B10445" s="6">
        <v>0.29909365558912299</v>
      </c>
      <c r="C10445" s="6">
        <v>0.478652945185428</v>
      </c>
    </row>
    <row r="10446" spans="1:3" s="7" customFormat="1" x14ac:dyDescent="0.2">
      <c r="A10446" s="6" t="str">
        <f>"SPAG9"</f>
        <v>SPAG9</v>
      </c>
      <c r="B10446" s="6">
        <v>0.29970029970029899</v>
      </c>
      <c r="C10446" s="6">
        <v>0.47916499035687798</v>
      </c>
    </row>
    <row r="10447" spans="1:3" s="7" customFormat="1" x14ac:dyDescent="0.2">
      <c r="A10447" s="6" t="str">
        <f>"LINC02348"</f>
        <v>LINC02348</v>
      </c>
      <c r="B10447" s="6">
        <v>0.29970029970029899</v>
      </c>
      <c r="C10447" s="6">
        <v>0.47916499035687798</v>
      </c>
    </row>
    <row r="10448" spans="1:3" s="7" customFormat="1" x14ac:dyDescent="0.2">
      <c r="A10448" s="6" t="str">
        <f>"MTMR4"</f>
        <v>MTMR4</v>
      </c>
      <c r="B10448" s="6">
        <v>0.29970029970029899</v>
      </c>
      <c r="C10448" s="6">
        <v>0.47916499035687798</v>
      </c>
    </row>
    <row r="10449" spans="1:3" s="7" customFormat="1" x14ac:dyDescent="0.2">
      <c r="A10449" s="6" t="str">
        <f>"CSNK1G2"</f>
        <v>CSNK1G2</v>
      </c>
      <c r="B10449" s="6">
        <v>0.29970029970029899</v>
      </c>
      <c r="C10449" s="6">
        <v>0.47916499035687798</v>
      </c>
    </row>
    <row r="10450" spans="1:3" s="7" customFormat="1" x14ac:dyDescent="0.2">
      <c r="A10450" s="6" t="str">
        <f>"FAM193A"</f>
        <v>FAM193A</v>
      </c>
      <c r="B10450" s="6">
        <v>0.29970029970029899</v>
      </c>
      <c r="C10450" s="6">
        <v>0.47916499035687798</v>
      </c>
    </row>
    <row r="10451" spans="1:3" s="7" customFormat="1" x14ac:dyDescent="0.2">
      <c r="A10451" s="6" t="str">
        <f>"CCZ1B"</f>
        <v>CCZ1B</v>
      </c>
      <c r="B10451" s="6">
        <v>0.29970029970029899</v>
      </c>
      <c r="C10451" s="6">
        <v>0.47916499035687798</v>
      </c>
    </row>
    <row r="10452" spans="1:3" s="7" customFormat="1" x14ac:dyDescent="0.2">
      <c r="A10452" s="6" t="str">
        <f>"ATP2C2-AS1"</f>
        <v>ATP2C2-AS1</v>
      </c>
      <c r="B10452" s="6">
        <v>0.29970029970029899</v>
      </c>
      <c r="C10452" s="6">
        <v>0.47916499035687798</v>
      </c>
    </row>
    <row r="10453" spans="1:3" s="7" customFormat="1" x14ac:dyDescent="0.2">
      <c r="A10453" s="6" t="str">
        <f>"ARHGAP5"</f>
        <v>ARHGAP5</v>
      </c>
      <c r="B10453" s="6">
        <v>0.29970029970029899</v>
      </c>
      <c r="C10453" s="6">
        <v>0.47916499035687798</v>
      </c>
    </row>
    <row r="10454" spans="1:3" s="7" customFormat="1" x14ac:dyDescent="0.2">
      <c r="A10454" s="6" t="str">
        <f>"DPM1"</f>
        <v>DPM1</v>
      </c>
      <c r="B10454" s="6">
        <v>0.29970029970029899</v>
      </c>
      <c r="C10454" s="6">
        <v>0.47916499035687798</v>
      </c>
    </row>
    <row r="10455" spans="1:3" s="7" customFormat="1" x14ac:dyDescent="0.2">
      <c r="A10455" s="6" t="str">
        <f>"UBA5"</f>
        <v>UBA5</v>
      </c>
      <c r="B10455" s="6">
        <v>0.29970029970029899</v>
      </c>
      <c r="C10455" s="6">
        <v>0.47916499035687798</v>
      </c>
    </row>
    <row r="10456" spans="1:3" s="7" customFormat="1" x14ac:dyDescent="0.2">
      <c r="A10456" s="6" t="str">
        <f>"LRRN3"</f>
        <v>LRRN3</v>
      </c>
      <c r="B10456" s="6">
        <v>0.3</v>
      </c>
      <c r="C10456" s="6">
        <v>0.47959827833572399</v>
      </c>
    </row>
    <row r="10457" spans="1:3" s="7" customFormat="1" x14ac:dyDescent="0.2">
      <c r="A10457" s="6" t="str">
        <f>"NPW"</f>
        <v>NPW</v>
      </c>
      <c r="B10457" s="6">
        <v>0.30069930069930001</v>
      </c>
      <c r="C10457" s="6">
        <v>0.48002751784986702</v>
      </c>
    </row>
    <row r="10458" spans="1:3" s="7" customFormat="1" x14ac:dyDescent="0.2">
      <c r="A10458" s="6" t="str">
        <f>"CD8B"</f>
        <v>CD8B</v>
      </c>
      <c r="B10458" s="6">
        <v>0.30069930069930001</v>
      </c>
      <c r="C10458" s="6">
        <v>0.48002751784986702</v>
      </c>
    </row>
    <row r="10459" spans="1:3" s="7" customFormat="1" x14ac:dyDescent="0.2">
      <c r="A10459" s="6" t="str">
        <f>"RABIF"</f>
        <v>RABIF</v>
      </c>
      <c r="B10459" s="6">
        <v>0.30069930069930001</v>
      </c>
      <c r="C10459" s="6">
        <v>0.48002751784986702</v>
      </c>
    </row>
    <row r="10460" spans="1:3" s="7" customFormat="1" x14ac:dyDescent="0.2">
      <c r="A10460" s="6" t="str">
        <f>"AC112504.1"</f>
        <v>AC112504.1</v>
      </c>
      <c r="B10460" s="6">
        <v>0.30060120240480898</v>
      </c>
      <c r="C10460" s="6">
        <v>0.48002751784986702</v>
      </c>
    </row>
    <row r="10461" spans="1:3" s="7" customFormat="1" x14ac:dyDescent="0.2">
      <c r="A10461" s="6" t="str">
        <f>"SLC35F6"</f>
        <v>SLC35F6</v>
      </c>
      <c r="B10461" s="6">
        <v>0.30069930069930001</v>
      </c>
      <c r="C10461" s="6">
        <v>0.48002751784986702</v>
      </c>
    </row>
    <row r="10462" spans="1:3" s="7" customFormat="1" x14ac:dyDescent="0.2">
      <c r="A10462" s="6" t="str">
        <f>"ACSF3"</f>
        <v>ACSF3</v>
      </c>
      <c r="B10462" s="6">
        <v>0.30069930069930001</v>
      </c>
      <c r="C10462" s="6">
        <v>0.48002751784986702</v>
      </c>
    </row>
    <row r="10463" spans="1:3" s="7" customFormat="1" x14ac:dyDescent="0.2">
      <c r="A10463" s="6" t="str">
        <f>"TIPARP-AS1"</f>
        <v>TIPARP-AS1</v>
      </c>
      <c r="B10463" s="6">
        <v>0.30069930069930001</v>
      </c>
      <c r="C10463" s="6">
        <v>0.48002751784986702</v>
      </c>
    </row>
    <row r="10464" spans="1:3" s="7" customFormat="1" x14ac:dyDescent="0.2">
      <c r="A10464" s="6" t="str">
        <f>"MARS1"</f>
        <v>MARS1</v>
      </c>
      <c r="B10464" s="6">
        <v>0.30069930069930001</v>
      </c>
      <c r="C10464" s="6">
        <v>0.48002751784986702</v>
      </c>
    </row>
    <row r="10465" spans="1:3" s="7" customFormat="1" x14ac:dyDescent="0.2">
      <c r="A10465" s="6" t="str">
        <f>"USP44"</f>
        <v>USP44</v>
      </c>
      <c r="B10465" s="6">
        <v>0.30069930069930001</v>
      </c>
      <c r="C10465" s="6">
        <v>0.48002751784986702</v>
      </c>
    </row>
    <row r="10466" spans="1:3" s="7" customFormat="1" x14ac:dyDescent="0.2">
      <c r="A10466" s="6" t="str">
        <f>"GFOD1"</f>
        <v>GFOD1</v>
      </c>
      <c r="B10466" s="6">
        <v>0.30069930069930001</v>
      </c>
      <c r="C10466" s="6">
        <v>0.48002751784986702</v>
      </c>
    </row>
    <row r="10467" spans="1:3" s="7" customFormat="1" x14ac:dyDescent="0.2">
      <c r="A10467" s="6" t="str">
        <f>"TUBD1"</f>
        <v>TUBD1</v>
      </c>
      <c r="B10467" s="6">
        <v>0.30069930069930001</v>
      </c>
      <c r="C10467" s="6">
        <v>0.48002751784986702</v>
      </c>
    </row>
    <row r="10468" spans="1:3" s="7" customFormat="1" x14ac:dyDescent="0.2">
      <c r="A10468" s="6" t="str">
        <f>"ANKRD65"</f>
        <v>ANKRD65</v>
      </c>
      <c r="B10468" s="6">
        <v>0.30069930069930001</v>
      </c>
      <c r="C10468" s="6">
        <v>0.48002751784986702</v>
      </c>
    </row>
    <row r="10469" spans="1:3" s="7" customFormat="1" x14ac:dyDescent="0.2">
      <c r="A10469" s="6" t="str">
        <f>"LINC00683"</f>
        <v>LINC00683</v>
      </c>
      <c r="B10469" s="6">
        <v>0.30069930069930001</v>
      </c>
      <c r="C10469" s="6">
        <v>0.48002751784986702</v>
      </c>
    </row>
    <row r="10470" spans="1:3" s="7" customFormat="1" x14ac:dyDescent="0.2">
      <c r="A10470" s="6" t="str">
        <f>"AC010186.2"</f>
        <v>AC010186.2</v>
      </c>
      <c r="B10470" s="6">
        <v>0.30069930069930001</v>
      </c>
      <c r="C10470" s="6">
        <v>0.48002751784986702</v>
      </c>
    </row>
    <row r="10471" spans="1:3" s="7" customFormat="1" x14ac:dyDescent="0.2">
      <c r="A10471" s="6" t="str">
        <f>"LINC00926"</f>
        <v>LINC00926</v>
      </c>
      <c r="B10471" s="6">
        <v>0.30069930069930001</v>
      </c>
      <c r="C10471" s="6">
        <v>0.48002751784986702</v>
      </c>
    </row>
    <row r="10472" spans="1:3" s="7" customFormat="1" x14ac:dyDescent="0.2">
      <c r="A10472" s="6" t="str">
        <f>"AL645941.1"</f>
        <v>AL645941.1</v>
      </c>
      <c r="B10472" s="6">
        <v>0.30090270812437298</v>
      </c>
      <c r="C10472" s="6">
        <v>0.48030635694687901</v>
      </c>
    </row>
    <row r="10473" spans="1:3" s="7" customFormat="1" x14ac:dyDescent="0.2">
      <c r="A10473" s="6" t="str">
        <f>"PITPNA"</f>
        <v>PITPNA</v>
      </c>
      <c r="B10473" s="6">
        <v>0.30099999999999999</v>
      </c>
      <c r="C10473" s="6">
        <v>0.48032404048119098</v>
      </c>
    </row>
    <row r="10474" spans="1:3" s="7" customFormat="1" x14ac:dyDescent="0.2">
      <c r="A10474" s="6" t="str">
        <f>"FAM66A"</f>
        <v>FAM66A</v>
      </c>
      <c r="B10474" s="6">
        <v>0.30099999999999999</v>
      </c>
      <c r="C10474" s="6">
        <v>0.48032404048119098</v>
      </c>
    </row>
    <row r="10475" spans="1:3" s="7" customFormat="1" x14ac:dyDescent="0.2">
      <c r="A10475" s="6" t="str">
        <f>"AC010336.5"</f>
        <v>AC010336.5</v>
      </c>
      <c r="B10475" s="6">
        <v>0.30099999999999999</v>
      </c>
      <c r="C10475" s="6">
        <v>0.48032404048119098</v>
      </c>
    </row>
    <row r="10476" spans="1:3" s="7" customFormat="1" x14ac:dyDescent="0.2">
      <c r="A10476" s="6" t="str">
        <f>"KRT8P3"</f>
        <v>KRT8P3</v>
      </c>
      <c r="B10476" s="6">
        <v>0.301149425287356</v>
      </c>
      <c r="C10476" s="6">
        <v>0.48051661042986799</v>
      </c>
    </row>
    <row r="10477" spans="1:3" s="7" customFormat="1" x14ac:dyDescent="0.2">
      <c r="A10477" s="6" t="str">
        <f>"SNRK"</f>
        <v>SNRK</v>
      </c>
      <c r="B10477" s="6">
        <v>0.30169830169830097</v>
      </c>
      <c r="C10477" s="6">
        <v>0.48074987268427999</v>
      </c>
    </row>
    <row r="10478" spans="1:3" s="7" customFormat="1" x14ac:dyDescent="0.2">
      <c r="A10478" s="6" t="str">
        <f>"FAM111A"</f>
        <v>FAM111A</v>
      </c>
      <c r="B10478" s="6">
        <v>0.30169830169830097</v>
      </c>
      <c r="C10478" s="6">
        <v>0.48074987268427999</v>
      </c>
    </row>
    <row r="10479" spans="1:3" s="7" customFormat="1" x14ac:dyDescent="0.2">
      <c r="A10479" s="6" t="str">
        <f>"TEAD1"</f>
        <v>TEAD1</v>
      </c>
      <c r="B10479" s="6">
        <v>0.30169830169830097</v>
      </c>
      <c r="C10479" s="6">
        <v>0.48074987268427999</v>
      </c>
    </row>
    <row r="10480" spans="1:3" s="7" customFormat="1" x14ac:dyDescent="0.2">
      <c r="A10480" s="6" t="str">
        <f>"MAN1A2"</f>
        <v>MAN1A2</v>
      </c>
      <c r="B10480" s="6">
        <v>0.30169830169830097</v>
      </c>
      <c r="C10480" s="6">
        <v>0.48074987268427999</v>
      </c>
    </row>
    <row r="10481" spans="1:3" s="7" customFormat="1" x14ac:dyDescent="0.2">
      <c r="A10481" s="6" t="str">
        <f>"PTAR1"</f>
        <v>PTAR1</v>
      </c>
      <c r="B10481" s="6">
        <v>0.30169830169830097</v>
      </c>
      <c r="C10481" s="6">
        <v>0.48074987268427999</v>
      </c>
    </row>
    <row r="10482" spans="1:3" s="7" customFormat="1" x14ac:dyDescent="0.2">
      <c r="A10482" s="6" t="str">
        <f>"MFGE8"</f>
        <v>MFGE8</v>
      </c>
      <c r="B10482" s="6">
        <v>0.30169830169830097</v>
      </c>
      <c r="C10482" s="6">
        <v>0.48074987268427999</v>
      </c>
    </row>
    <row r="10483" spans="1:3" s="7" customFormat="1" x14ac:dyDescent="0.2">
      <c r="A10483" s="6" t="str">
        <f>"AGT"</f>
        <v>AGT</v>
      </c>
      <c r="B10483" s="6">
        <v>0.30169830169830097</v>
      </c>
      <c r="C10483" s="6">
        <v>0.48074987268427999</v>
      </c>
    </row>
    <row r="10484" spans="1:3" s="7" customFormat="1" x14ac:dyDescent="0.2">
      <c r="A10484" s="6" t="str">
        <f>"KDSR"</f>
        <v>KDSR</v>
      </c>
      <c r="B10484" s="6">
        <v>0.30169830169830097</v>
      </c>
      <c r="C10484" s="6">
        <v>0.48074987268427999</v>
      </c>
    </row>
    <row r="10485" spans="1:3" s="7" customFormat="1" x14ac:dyDescent="0.2">
      <c r="A10485" s="6" t="str">
        <f>"FAM171A1"</f>
        <v>FAM171A1</v>
      </c>
      <c r="B10485" s="6">
        <v>0.30169830169830097</v>
      </c>
      <c r="C10485" s="6">
        <v>0.48074987268427999</v>
      </c>
    </row>
    <row r="10486" spans="1:3" s="7" customFormat="1" x14ac:dyDescent="0.2">
      <c r="A10486" s="6" t="str">
        <f>"TBC1D9B"</f>
        <v>TBC1D9B</v>
      </c>
      <c r="B10486" s="6">
        <v>0.30169830169830097</v>
      </c>
      <c r="C10486" s="6">
        <v>0.48074987268427999</v>
      </c>
    </row>
    <row r="10487" spans="1:3" s="7" customFormat="1" x14ac:dyDescent="0.2">
      <c r="A10487" s="6" t="str">
        <f>"XKR4"</f>
        <v>XKR4</v>
      </c>
      <c r="B10487" s="6">
        <v>0.30169830169830097</v>
      </c>
      <c r="C10487" s="6">
        <v>0.48074987268427999</v>
      </c>
    </row>
    <row r="10488" spans="1:3" s="7" customFormat="1" x14ac:dyDescent="0.2">
      <c r="A10488" s="6" t="str">
        <f>"AC111149.2"</f>
        <v>AC111149.2</v>
      </c>
      <c r="B10488" s="6">
        <v>0.30169830169830097</v>
      </c>
      <c r="C10488" s="6">
        <v>0.48074987268427999</v>
      </c>
    </row>
    <row r="10489" spans="1:3" s="7" customFormat="1" x14ac:dyDescent="0.2">
      <c r="A10489" s="6" t="str">
        <f>"DGLUCY"</f>
        <v>DGLUCY</v>
      </c>
      <c r="B10489" s="6">
        <v>0.30169830169830097</v>
      </c>
      <c r="C10489" s="6">
        <v>0.48074987268427999</v>
      </c>
    </row>
    <row r="10490" spans="1:3" s="7" customFormat="1" x14ac:dyDescent="0.2">
      <c r="A10490" s="6" t="str">
        <f>"TLCD2"</f>
        <v>TLCD2</v>
      </c>
      <c r="B10490" s="6">
        <v>0.30169830169830097</v>
      </c>
      <c r="C10490" s="6">
        <v>0.48074987268427999</v>
      </c>
    </row>
    <row r="10491" spans="1:3" s="7" customFormat="1" x14ac:dyDescent="0.2">
      <c r="A10491" s="6" t="str">
        <f>"MMS19"</f>
        <v>MMS19</v>
      </c>
      <c r="B10491" s="6">
        <v>0.30199999999999999</v>
      </c>
      <c r="C10491" s="6">
        <v>0.481138880945572</v>
      </c>
    </row>
    <row r="10492" spans="1:3" s="7" customFormat="1" x14ac:dyDescent="0.2">
      <c r="A10492" s="6" t="str">
        <f>"RLN3"</f>
        <v>RLN3</v>
      </c>
      <c r="B10492" s="6">
        <v>0.30199999999999999</v>
      </c>
      <c r="C10492" s="6">
        <v>0.481138880945572</v>
      </c>
    </row>
    <row r="10493" spans="1:3" s="7" customFormat="1" x14ac:dyDescent="0.2">
      <c r="A10493" s="6" t="str">
        <f>"AL591030.1"</f>
        <v>AL591030.1</v>
      </c>
      <c r="B10493" s="6">
        <v>0.302231237322515</v>
      </c>
      <c r="C10493" s="6">
        <v>0.48146138968819202</v>
      </c>
    </row>
    <row r="10494" spans="1:3" s="7" customFormat="1" x14ac:dyDescent="0.2">
      <c r="A10494" s="6" t="str">
        <f>"ZDHHC20"</f>
        <v>ZDHHC20</v>
      </c>
      <c r="B10494" s="6">
        <v>0.302697302697302</v>
      </c>
      <c r="C10494" s="6">
        <v>0.48156127139565102</v>
      </c>
    </row>
    <row r="10495" spans="1:3" s="7" customFormat="1" x14ac:dyDescent="0.2">
      <c r="A10495" s="6" t="str">
        <f>"AL161663.1"</f>
        <v>AL161663.1</v>
      </c>
      <c r="B10495" s="6">
        <v>0.302697302697302</v>
      </c>
      <c r="C10495" s="6">
        <v>0.48156127139565102</v>
      </c>
    </row>
    <row r="10496" spans="1:3" s="7" customFormat="1" x14ac:dyDescent="0.2">
      <c r="A10496" s="6" t="str">
        <f>"NBPF20"</f>
        <v>NBPF20</v>
      </c>
      <c r="B10496" s="6">
        <v>0.302697302697302</v>
      </c>
      <c r="C10496" s="6">
        <v>0.48156127139565102</v>
      </c>
    </row>
    <row r="10497" spans="1:3" s="7" customFormat="1" x14ac:dyDescent="0.2">
      <c r="A10497" s="6" t="str">
        <f>"FAM230H"</f>
        <v>FAM230H</v>
      </c>
      <c r="B10497" s="6">
        <v>0.302697302697302</v>
      </c>
      <c r="C10497" s="6">
        <v>0.48156127139565102</v>
      </c>
    </row>
    <row r="10498" spans="1:3" s="7" customFormat="1" x14ac:dyDescent="0.2">
      <c r="A10498" s="6" t="str">
        <f>"SEZ6L2"</f>
        <v>SEZ6L2</v>
      </c>
      <c r="B10498" s="6">
        <v>0.302697302697302</v>
      </c>
      <c r="C10498" s="6">
        <v>0.48156127139565102</v>
      </c>
    </row>
    <row r="10499" spans="1:3" s="7" customFormat="1" x14ac:dyDescent="0.2">
      <c r="A10499" s="6" t="str">
        <f>"AC005229.4"</f>
        <v>AC005229.4</v>
      </c>
      <c r="B10499" s="6">
        <v>0.302697302697302</v>
      </c>
      <c r="C10499" s="6">
        <v>0.48156127139565102</v>
      </c>
    </row>
    <row r="10500" spans="1:3" s="7" customFormat="1" x14ac:dyDescent="0.2">
      <c r="A10500" s="6" t="str">
        <f>"RHOQ"</f>
        <v>RHOQ</v>
      </c>
      <c r="B10500" s="6">
        <v>0.302697302697302</v>
      </c>
      <c r="C10500" s="6">
        <v>0.48156127139565102</v>
      </c>
    </row>
    <row r="10501" spans="1:3" s="7" customFormat="1" x14ac:dyDescent="0.2">
      <c r="A10501" s="6" t="str">
        <f>"OR51B5"</f>
        <v>OR51B5</v>
      </c>
      <c r="B10501" s="6">
        <v>0.302697302697302</v>
      </c>
      <c r="C10501" s="6">
        <v>0.48156127139565102</v>
      </c>
    </row>
    <row r="10502" spans="1:3" s="7" customFormat="1" x14ac:dyDescent="0.2">
      <c r="A10502" s="6" t="str">
        <f>"NHP2"</f>
        <v>NHP2</v>
      </c>
      <c r="B10502" s="6">
        <v>0.302697302697302</v>
      </c>
      <c r="C10502" s="6">
        <v>0.48156127139565102</v>
      </c>
    </row>
    <row r="10503" spans="1:3" s="7" customFormat="1" x14ac:dyDescent="0.2">
      <c r="A10503" s="6" t="str">
        <f>"ZFYVE21"</f>
        <v>ZFYVE21</v>
      </c>
      <c r="B10503" s="6">
        <v>0.302697302697302</v>
      </c>
      <c r="C10503" s="6">
        <v>0.48156127139565102</v>
      </c>
    </row>
    <row r="10504" spans="1:3" s="7" customFormat="1" x14ac:dyDescent="0.2">
      <c r="A10504" s="6" t="str">
        <f>"DLEU1"</f>
        <v>DLEU1</v>
      </c>
      <c r="B10504" s="6">
        <v>0.302697302697302</v>
      </c>
      <c r="C10504" s="6">
        <v>0.48156127139565102</v>
      </c>
    </row>
    <row r="10505" spans="1:3" s="7" customFormat="1" x14ac:dyDescent="0.2">
      <c r="A10505" s="6" t="str">
        <f>"TAPT1-AS1"</f>
        <v>TAPT1-AS1</v>
      </c>
      <c r="B10505" s="6">
        <v>0.302697302697302</v>
      </c>
      <c r="C10505" s="6">
        <v>0.48156127139565102</v>
      </c>
    </row>
    <row r="10506" spans="1:3" s="7" customFormat="1" x14ac:dyDescent="0.2">
      <c r="A10506" s="6" t="str">
        <f>"AC000403.1"</f>
        <v>AC000403.1</v>
      </c>
      <c r="B10506" s="6">
        <v>0.302697302697302</v>
      </c>
      <c r="C10506" s="6">
        <v>0.48156127139565102</v>
      </c>
    </row>
    <row r="10507" spans="1:3" s="7" customFormat="1" x14ac:dyDescent="0.2">
      <c r="A10507" s="6" t="str">
        <f>"BCL7A"</f>
        <v>BCL7A</v>
      </c>
      <c r="B10507" s="6">
        <v>0.302697302697302</v>
      </c>
      <c r="C10507" s="6">
        <v>0.48156127139565102</v>
      </c>
    </row>
    <row r="10508" spans="1:3" s="7" customFormat="1" x14ac:dyDescent="0.2">
      <c r="A10508" s="6" t="str">
        <f>"AL121762.1"</f>
        <v>AL121762.1</v>
      </c>
      <c r="B10508" s="6">
        <v>0.30296827021494299</v>
      </c>
      <c r="C10508" s="6">
        <v>0.48185937202664098</v>
      </c>
    </row>
    <row r="10509" spans="1:3" s="7" customFormat="1" x14ac:dyDescent="0.2">
      <c r="A10509" s="6" t="str">
        <f>"STK24-AS1"</f>
        <v>STK24-AS1</v>
      </c>
      <c r="B10509" s="6">
        <v>0.30299999999999999</v>
      </c>
      <c r="C10509" s="6">
        <v>0.48185937202664098</v>
      </c>
    </row>
    <row r="10510" spans="1:3" s="7" customFormat="1" x14ac:dyDescent="0.2">
      <c r="A10510" s="6" t="str">
        <f>"SH3BGRL2"</f>
        <v>SH3BGRL2</v>
      </c>
      <c r="B10510" s="6">
        <v>0.30299999999999999</v>
      </c>
      <c r="C10510" s="6">
        <v>0.48185937202664098</v>
      </c>
    </row>
    <row r="10511" spans="1:3" s="7" customFormat="1" x14ac:dyDescent="0.2">
      <c r="A10511" s="6" t="str">
        <f>"LINC00672"</f>
        <v>LINC00672</v>
      </c>
      <c r="B10511" s="6">
        <v>0.30299999999999999</v>
      </c>
      <c r="C10511" s="6">
        <v>0.48185937202664098</v>
      </c>
    </row>
    <row r="10512" spans="1:3" s="7" customFormat="1" x14ac:dyDescent="0.2">
      <c r="A10512" s="6" t="str">
        <f>"NAGLU"</f>
        <v>NAGLU</v>
      </c>
      <c r="B10512" s="6">
        <v>0.30369630369630302</v>
      </c>
      <c r="C10512" s="6">
        <v>0.48250760646197899</v>
      </c>
    </row>
    <row r="10513" spans="1:3" s="7" customFormat="1" x14ac:dyDescent="0.2">
      <c r="A10513" s="6" t="str">
        <f>"SLC35E2A"</f>
        <v>SLC35E2A</v>
      </c>
      <c r="B10513" s="6">
        <v>0.30369630369630302</v>
      </c>
      <c r="C10513" s="6">
        <v>0.48250760646197899</v>
      </c>
    </row>
    <row r="10514" spans="1:3" s="7" customFormat="1" x14ac:dyDescent="0.2">
      <c r="A10514" s="6" t="str">
        <f>"ABHD4"</f>
        <v>ABHD4</v>
      </c>
      <c r="B10514" s="6">
        <v>0.30369630369630302</v>
      </c>
      <c r="C10514" s="6">
        <v>0.48250760646197899</v>
      </c>
    </row>
    <row r="10515" spans="1:3" s="7" customFormat="1" x14ac:dyDescent="0.2">
      <c r="A10515" s="6" t="str">
        <f>"DLGAP1-AS1"</f>
        <v>DLGAP1-AS1</v>
      </c>
      <c r="B10515" s="6">
        <v>0.30369630369630302</v>
      </c>
      <c r="C10515" s="6">
        <v>0.48250760646197899</v>
      </c>
    </row>
    <row r="10516" spans="1:3" s="7" customFormat="1" x14ac:dyDescent="0.2">
      <c r="A10516" s="6" t="str">
        <f>"ATR"</f>
        <v>ATR</v>
      </c>
      <c r="B10516" s="6">
        <v>0.30369630369630302</v>
      </c>
      <c r="C10516" s="6">
        <v>0.48250760646197899</v>
      </c>
    </row>
    <row r="10517" spans="1:3" s="7" customFormat="1" x14ac:dyDescent="0.2">
      <c r="A10517" s="6" t="str">
        <f>"AC104071.1"</f>
        <v>AC104071.1</v>
      </c>
      <c r="B10517" s="6">
        <v>0.30369630369630302</v>
      </c>
      <c r="C10517" s="6">
        <v>0.48250760646197899</v>
      </c>
    </row>
    <row r="10518" spans="1:3" s="7" customFormat="1" x14ac:dyDescent="0.2">
      <c r="A10518" s="6" t="str">
        <f>"TOPBP1"</f>
        <v>TOPBP1</v>
      </c>
      <c r="B10518" s="6">
        <v>0.30369630369630302</v>
      </c>
      <c r="C10518" s="6">
        <v>0.48250760646197899</v>
      </c>
    </row>
    <row r="10519" spans="1:3" s="7" customFormat="1" x14ac:dyDescent="0.2">
      <c r="A10519" s="6" t="str">
        <f>"AC008676.1"</f>
        <v>AC008676.1</v>
      </c>
      <c r="B10519" s="6">
        <v>0.30369630369630302</v>
      </c>
      <c r="C10519" s="6">
        <v>0.48250760646197899</v>
      </c>
    </row>
    <row r="10520" spans="1:3" s="7" customFormat="1" x14ac:dyDescent="0.2">
      <c r="A10520" s="6" t="str">
        <f>"NFKBIB"</f>
        <v>NFKBIB</v>
      </c>
      <c r="B10520" s="6">
        <v>0.30369630369630302</v>
      </c>
      <c r="C10520" s="6">
        <v>0.48250760646197899</v>
      </c>
    </row>
    <row r="10521" spans="1:3" s="7" customFormat="1" x14ac:dyDescent="0.2">
      <c r="A10521" s="6" t="str">
        <f>"AL356218.2"</f>
        <v>AL356218.2</v>
      </c>
      <c r="B10521" s="6">
        <v>0.30369630369630302</v>
      </c>
      <c r="C10521" s="6">
        <v>0.48250760646197899</v>
      </c>
    </row>
    <row r="10522" spans="1:3" s="7" customFormat="1" x14ac:dyDescent="0.2">
      <c r="A10522" s="6" t="str">
        <f>"LSG1"</f>
        <v>LSG1</v>
      </c>
      <c r="B10522" s="6">
        <v>0.30469530469530398</v>
      </c>
      <c r="C10522" s="6">
        <v>0.48326791826507098</v>
      </c>
    </row>
    <row r="10523" spans="1:3" s="7" customFormat="1" x14ac:dyDescent="0.2">
      <c r="A10523" s="6" t="str">
        <f>"HEPACAM2"</f>
        <v>HEPACAM2</v>
      </c>
      <c r="B10523" s="6">
        <v>0.30469530469530398</v>
      </c>
      <c r="C10523" s="6">
        <v>0.48326791826507098</v>
      </c>
    </row>
    <row r="10524" spans="1:3" s="7" customFormat="1" x14ac:dyDescent="0.2">
      <c r="A10524" s="6" t="str">
        <f>"HPGDS"</f>
        <v>HPGDS</v>
      </c>
      <c r="B10524" s="6">
        <v>0.30469530469530398</v>
      </c>
      <c r="C10524" s="6">
        <v>0.48326791826507098</v>
      </c>
    </row>
    <row r="10525" spans="1:3" s="7" customFormat="1" x14ac:dyDescent="0.2">
      <c r="A10525" s="6" t="str">
        <f>"AC024257.3"</f>
        <v>AC024257.3</v>
      </c>
      <c r="B10525" s="6">
        <v>0.30469530469530398</v>
      </c>
      <c r="C10525" s="6">
        <v>0.48326791826507098</v>
      </c>
    </row>
    <row r="10526" spans="1:3" s="7" customFormat="1" x14ac:dyDescent="0.2">
      <c r="A10526" s="6" t="str">
        <f>"SDHAP3"</f>
        <v>SDHAP3</v>
      </c>
      <c r="B10526" s="6">
        <v>0.30469530469530398</v>
      </c>
      <c r="C10526" s="6">
        <v>0.48326791826507098</v>
      </c>
    </row>
    <row r="10527" spans="1:3" s="7" customFormat="1" x14ac:dyDescent="0.2">
      <c r="A10527" s="6" t="str">
        <f>"C1orf100"</f>
        <v>C1orf100</v>
      </c>
      <c r="B10527" s="6">
        <v>0.30469530469530398</v>
      </c>
      <c r="C10527" s="6">
        <v>0.48326791826507098</v>
      </c>
    </row>
    <row r="10528" spans="1:3" s="7" customFormat="1" x14ac:dyDescent="0.2">
      <c r="A10528" s="6" t="str">
        <f>"DMAC2"</f>
        <v>DMAC2</v>
      </c>
      <c r="B10528" s="6">
        <v>0.30469530469530398</v>
      </c>
      <c r="C10528" s="6">
        <v>0.48326791826507098</v>
      </c>
    </row>
    <row r="10529" spans="1:3" s="7" customFormat="1" x14ac:dyDescent="0.2">
      <c r="A10529" s="6" t="str">
        <f>"MXRA5"</f>
        <v>MXRA5</v>
      </c>
      <c r="B10529" s="6">
        <v>0.30469530469530398</v>
      </c>
      <c r="C10529" s="6">
        <v>0.48326791826507098</v>
      </c>
    </row>
    <row r="10530" spans="1:3" s="7" customFormat="1" x14ac:dyDescent="0.2">
      <c r="A10530" s="6" t="str">
        <f>"WDFY1"</f>
        <v>WDFY1</v>
      </c>
      <c r="B10530" s="6">
        <v>0.30469530469530398</v>
      </c>
      <c r="C10530" s="6">
        <v>0.48326791826507098</v>
      </c>
    </row>
    <row r="10531" spans="1:3" s="7" customFormat="1" x14ac:dyDescent="0.2">
      <c r="A10531" s="6" t="str">
        <f>"AC008397.1"</f>
        <v>AC008397.1</v>
      </c>
      <c r="B10531" s="6">
        <v>0.30469530469530398</v>
      </c>
      <c r="C10531" s="6">
        <v>0.48326791826507098</v>
      </c>
    </row>
    <row r="10532" spans="1:3" s="7" customFormat="1" x14ac:dyDescent="0.2">
      <c r="A10532" s="6" t="str">
        <f>"ZNF493"</f>
        <v>ZNF493</v>
      </c>
      <c r="B10532" s="6">
        <v>0.30469530469530398</v>
      </c>
      <c r="C10532" s="6">
        <v>0.48326791826507098</v>
      </c>
    </row>
    <row r="10533" spans="1:3" s="7" customFormat="1" x14ac:dyDescent="0.2">
      <c r="A10533" s="6" t="str">
        <f>"LINC01359"</f>
        <v>LINC01359</v>
      </c>
      <c r="B10533" s="6">
        <v>0.30469530469530398</v>
      </c>
      <c r="C10533" s="6">
        <v>0.48326791826507098</v>
      </c>
    </row>
    <row r="10534" spans="1:3" s="7" customFormat="1" x14ac:dyDescent="0.2">
      <c r="A10534" s="6" t="str">
        <f>"PLCG1"</f>
        <v>PLCG1</v>
      </c>
      <c r="B10534" s="6">
        <v>0.30469530469530398</v>
      </c>
      <c r="C10534" s="6">
        <v>0.48326791826507098</v>
      </c>
    </row>
    <row r="10535" spans="1:3" s="7" customFormat="1" x14ac:dyDescent="0.2">
      <c r="A10535" s="6" t="str">
        <f>"FREM1"</f>
        <v>FREM1</v>
      </c>
      <c r="B10535" s="6">
        <v>0.30469530469530398</v>
      </c>
      <c r="C10535" s="6">
        <v>0.48326791826507098</v>
      </c>
    </row>
    <row r="10536" spans="1:3" s="7" customFormat="1" x14ac:dyDescent="0.2">
      <c r="A10536" s="6" t="str">
        <f>"AC011451.4"</f>
        <v>AC011451.4</v>
      </c>
      <c r="B10536" s="6">
        <v>0.30469530469530398</v>
      </c>
      <c r="C10536" s="6">
        <v>0.48326791826507098</v>
      </c>
    </row>
    <row r="10537" spans="1:3" s="7" customFormat="1" x14ac:dyDescent="0.2">
      <c r="A10537" s="6" t="str">
        <f>"IREB2"</f>
        <v>IREB2</v>
      </c>
      <c r="B10537" s="6">
        <v>0.30469530469530398</v>
      </c>
      <c r="C10537" s="6">
        <v>0.48326791826507098</v>
      </c>
    </row>
    <row r="10538" spans="1:3" s="7" customFormat="1" x14ac:dyDescent="0.2">
      <c r="A10538" s="6" t="str">
        <f>"CERKL"</f>
        <v>CERKL</v>
      </c>
      <c r="B10538" s="6">
        <v>0.30469530469530398</v>
      </c>
      <c r="C10538" s="6">
        <v>0.48326791826507098</v>
      </c>
    </row>
    <row r="10539" spans="1:3" s="7" customFormat="1" x14ac:dyDescent="0.2">
      <c r="A10539" s="6" t="str">
        <f>"AC092687.3"</f>
        <v>AC092687.3</v>
      </c>
      <c r="B10539" s="6">
        <v>0.30469530469530398</v>
      </c>
      <c r="C10539" s="6">
        <v>0.48326791826507098</v>
      </c>
    </row>
    <row r="10540" spans="1:3" s="7" customFormat="1" x14ac:dyDescent="0.2">
      <c r="A10540" s="6" t="str">
        <f>"ZKSCAN7-AS1"</f>
        <v>ZKSCAN7-AS1</v>
      </c>
      <c r="B10540" s="6">
        <v>0.30499999999999999</v>
      </c>
      <c r="C10540" s="6">
        <v>0.483613509154729</v>
      </c>
    </row>
    <row r="10541" spans="1:3" s="7" customFormat="1" x14ac:dyDescent="0.2">
      <c r="A10541" s="6" t="str">
        <f>"LINC01876"</f>
        <v>LINC01876</v>
      </c>
      <c r="B10541" s="6">
        <v>0.30499999999999999</v>
      </c>
      <c r="C10541" s="6">
        <v>0.483613509154729</v>
      </c>
    </row>
    <row r="10542" spans="1:3" s="7" customFormat="1" x14ac:dyDescent="0.2">
      <c r="A10542" s="6" t="str">
        <f>"AL033528.2"</f>
        <v>AL033528.2</v>
      </c>
      <c r="B10542" s="6">
        <v>0.30499999999999999</v>
      </c>
      <c r="C10542" s="6">
        <v>0.483613509154729</v>
      </c>
    </row>
    <row r="10543" spans="1:3" s="7" customFormat="1" x14ac:dyDescent="0.2">
      <c r="A10543" s="6" t="str">
        <f>"PRPSAP1"</f>
        <v>PRPSAP1</v>
      </c>
      <c r="B10543" s="6">
        <v>0.305694305694305</v>
      </c>
      <c r="C10543" s="6">
        <v>0.48393394822642699</v>
      </c>
    </row>
    <row r="10544" spans="1:3" s="7" customFormat="1" x14ac:dyDescent="0.2">
      <c r="A10544" s="6" t="str">
        <f>"SLC35A3"</f>
        <v>SLC35A3</v>
      </c>
      <c r="B10544" s="6">
        <v>0.305694305694305</v>
      </c>
      <c r="C10544" s="6">
        <v>0.48393394822642699</v>
      </c>
    </row>
    <row r="10545" spans="1:3" s="7" customFormat="1" x14ac:dyDescent="0.2">
      <c r="A10545" s="6" t="str">
        <f>"CSAD"</f>
        <v>CSAD</v>
      </c>
      <c r="B10545" s="6">
        <v>0.305694305694305</v>
      </c>
      <c r="C10545" s="6">
        <v>0.48393394822642699</v>
      </c>
    </row>
    <row r="10546" spans="1:3" s="7" customFormat="1" x14ac:dyDescent="0.2">
      <c r="A10546" s="6" t="str">
        <f>"ATP2B1"</f>
        <v>ATP2B1</v>
      </c>
      <c r="B10546" s="6">
        <v>0.305694305694305</v>
      </c>
      <c r="C10546" s="6">
        <v>0.48393394822642699</v>
      </c>
    </row>
    <row r="10547" spans="1:3" s="7" customFormat="1" x14ac:dyDescent="0.2">
      <c r="A10547" s="6" t="str">
        <f>"ITSN1"</f>
        <v>ITSN1</v>
      </c>
      <c r="B10547" s="6">
        <v>0.305694305694305</v>
      </c>
      <c r="C10547" s="6">
        <v>0.48393394822642699</v>
      </c>
    </row>
    <row r="10548" spans="1:3" s="7" customFormat="1" x14ac:dyDescent="0.2">
      <c r="A10548" s="6" t="str">
        <f>"ERG"</f>
        <v>ERG</v>
      </c>
      <c r="B10548" s="6">
        <v>0.305694305694305</v>
      </c>
      <c r="C10548" s="6">
        <v>0.48393394822642699</v>
      </c>
    </row>
    <row r="10549" spans="1:3" s="7" customFormat="1" x14ac:dyDescent="0.2">
      <c r="A10549" s="6" t="str">
        <f>"AMTN"</f>
        <v>AMTN</v>
      </c>
      <c r="B10549" s="6">
        <v>0.305694305694305</v>
      </c>
      <c r="C10549" s="6">
        <v>0.48393394822642699</v>
      </c>
    </row>
    <row r="10550" spans="1:3" s="7" customFormat="1" x14ac:dyDescent="0.2">
      <c r="A10550" s="6" t="str">
        <f>"FAM21FP"</f>
        <v>FAM21FP</v>
      </c>
      <c r="B10550" s="6">
        <v>0.305694305694305</v>
      </c>
      <c r="C10550" s="6">
        <v>0.48393394822642699</v>
      </c>
    </row>
    <row r="10551" spans="1:3" s="7" customFormat="1" x14ac:dyDescent="0.2">
      <c r="A10551" s="6" t="str">
        <f>"LAGE3"</f>
        <v>LAGE3</v>
      </c>
      <c r="B10551" s="6">
        <v>0.305694305694305</v>
      </c>
      <c r="C10551" s="6">
        <v>0.48393394822642699</v>
      </c>
    </row>
    <row r="10552" spans="1:3" s="7" customFormat="1" x14ac:dyDescent="0.2">
      <c r="A10552" s="6" t="str">
        <f>"AC069544.1"</f>
        <v>AC069544.1</v>
      </c>
      <c r="B10552" s="6">
        <v>0.30561122244488897</v>
      </c>
      <c r="C10552" s="6">
        <v>0.48393394822642699</v>
      </c>
    </row>
    <row r="10553" spans="1:3" s="7" customFormat="1" x14ac:dyDescent="0.2">
      <c r="A10553" s="6" t="str">
        <f>"PBX3"</f>
        <v>PBX3</v>
      </c>
      <c r="B10553" s="6">
        <v>0.305694305694305</v>
      </c>
      <c r="C10553" s="6">
        <v>0.48393394822642699</v>
      </c>
    </row>
    <row r="10554" spans="1:3" s="7" customFormat="1" x14ac:dyDescent="0.2">
      <c r="A10554" s="6" t="str">
        <f>"ZDHHC4"</f>
        <v>ZDHHC4</v>
      </c>
      <c r="B10554" s="6">
        <v>0.305694305694305</v>
      </c>
      <c r="C10554" s="6">
        <v>0.48393394822642699</v>
      </c>
    </row>
    <row r="10555" spans="1:3" s="7" customFormat="1" x14ac:dyDescent="0.2">
      <c r="A10555" s="6" t="str">
        <f>"RAB12"</f>
        <v>RAB12</v>
      </c>
      <c r="B10555" s="6">
        <v>0.305694305694305</v>
      </c>
      <c r="C10555" s="6">
        <v>0.48393394822642699</v>
      </c>
    </row>
    <row r="10556" spans="1:3" s="7" customFormat="1" x14ac:dyDescent="0.2">
      <c r="A10556" s="6" t="str">
        <f>"TWF1"</f>
        <v>TWF1</v>
      </c>
      <c r="B10556" s="6">
        <v>0.305694305694305</v>
      </c>
      <c r="C10556" s="6">
        <v>0.48393394822642699</v>
      </c>
    </row>
    <row r="10557" spans="1:3" s="7" customFormat="1" x14ac:dyDescent="0.2">
      <c r="A10557" s="6" t="str">
        <f>"DNAH6"</f>
        <v>DNAH6</v>
      </c>
      <c r="B10557" s="6">
        <v>0.305694305694305</v>
      </c>
      <c r="C10557" s="6">
        <v>0.48393394822642699</v>
      </c>
    </row>
    <row r="10558" spans="1:3" s="7" customFormat="1" x14ac:dyDescent="0.2">
      <c r="A10558" s="6" t="str">
        <f>"TMEM33"</f>
        <v>TMEM33</v>
      </c>
      <c r="B10558" s="6">
        <v>0.305694305694305</v>
      </c>
      <c r="C10558" s="6">
        <v>0.48393394822642699</v>
      </c>
    </row>
    <row r="10559" spans="1:3" s="7" customFormat="1" x14ac:dyDescent="0.2">
      <c r="A10559" s="6" t="str">
        <f>"LINC01979"</f>
        <v>LINC01979</v>
      </c>
      <c r="B10559" s="6">
        <v>0.305694305694305</v>
      </c>
      <c r="C10559" s="6">
        <v>0.48393394822642699</v>
      </c>
    </row>
    <row r="10560" spans="1:3" s="7" customFormat="1" x14ac:dyDescent="0.2">
      <c r="A10560" s="6" t="str">
        <f>"IGHV3-30"</f>
        <v>IGHV3-30</v>
      </c>
      <c r="B10560" s="6">
        <v>0.30630630630630601</v>
      </c>
      <c r="C10560" s="6">
        <v>0.48485686178649501</v>
      </c>
    </row>
    <row r="10561" spans="1:3" s="7" customFormat="1" x14ac:dyDescent="0.2">
      <c r="A10561" s="6" t="str">
        <f>"CYSLTR2"</f>
        <v>CYSLTR2</v>
      </c>
      <c r="B10561" s="6">
        <v>0.30669330669330602</v>
      </c>
      <c r="C10561" s="6">
        <v>0.48501011714182302</v>
      </c>
    </row>
    <row r="10562" spans="1:3" s="7" customFormat="1" x14ac:dyDescent="0.2">
      <c r="A10562" s="6" t="str">
        <f>"ZGPAT"</f>
        <v>ZGPAT</v>
      </c>
      <c r="B10562" s="6">
        <v>0.30669330669330602</v>
      </c>
      <c r="C10562" s="6">
        <v>0.48501011714182302</v>
      </c>
    </row>
    <row r="10563" spans="1:3" s="7" customFormat="1" x14ac:dyDescent="0.2">
      <c r="A10563" s="6" t="str">
        <f>"DPYS"</f>
        <v>DPYS</v>
      </c>
      <c r="B10563" s="6">
        <v>0.30669330669330602</v>
      </c>
      <c r="C10563" s="6">
        <v>0.48501011714182302</v>
      </c>
    </row>
    <row r="10564" spans="1:3" s="7" customFormat="1" x14ac:dyDescent="0.2">
      <c r="A10564" s="6" t="str">
        <f>"FUT9"</f>
        <v>FUT9</v>
      </c>
      <c r="B10564" s="6">
        <v>0.30669330669330602</v>
      </c>
      <c r="C10564" s="6">
        <v>0.48501011714182302</v>
      </c>
    </row>
    <row r="10565" spans="1:3" s="7" customFormat="1" x14ac:dyDescent="0.2">
      <c r="A10565" s="6" t="str">
        <f>"SNORC"</f>
        <v>SNORC</v>
      </c>
      <c r="B10565" s="6">
        <v>0.30669330669330602</v>
      </c>
      <c r="C10565" s="6">
        <v>0.48501011714182302</v>
      </c>
    </row>
    <row r="10566" spans="1:3" s="7" customFormat="1" x14ac:dyDescent="0.2">
      <c r="A10566" s="6" t="str">
        <f>"AL355483.1"</f>
        <v>AL355483.1</v>
      </c>
      <c r="B10566" s="6">
        <v>0.30669330669330602</v>
      </c>
      <c r="C10566" s="6">
        <v>0.48501011714182302</v>
      </c>
    </row>
    <row r="10567" spans="1:3" s="7" customFormat="1" x14ac:dyDescent="0.2">
      <c r="A10567" s="6" t="str">
        <f>"CKAP2"</f>
        <v>CKAP2</v>
      </c>
      <c r="B10567" s="6">
        <v>0.30669330669330602</v>
      </c>
      <c r="C10567" s="6">
        <v>0.48501011714182302</v>
      </c>
    </row>
    <row r="10568" spans="1:3" s="7" customFormat="1" x14ac:dyDescent="0.2">
      <c r="A10568" s="6" t="str">
        <f>"SPG21"</f>
        <v>SPG21</v>
      </c>
      <c r="B10568" s="6">
        <v>0.30669330669330602</v>
      </c>
      <c r="C10568" s="6">
        <v>0.48501011714182302</v>
      </c>
    </row>
    <row r="10569" spans="1:3" s="7" customFormat="1" x14ac:dyDescent="0.2">
      <c r="A10569" s="6" t="str">
        <f>"CCDC66"</f>
        <v>CCDC66</v>
      </c>
      <c r="B10569" s="6">
        <v>0.30669330669330602</v>
      </c>
      <c r="C10569" s="6">
        <v>0.48501011714182302</v>
      </c>
    </row>
    <row r="10570" spans="1:3" s="7" customFormat="1" x14ac:dyDescent="0.2">
      <c r="A10570" s="6" t="str">
        <f>"IDO2"</f>
        <v>IDO2</v>
      </c>
      <c r="B10570" s="6">
        <v>0.30669330669330602</v>
      </c>
      <c r="C10570" s="6">
        <v>0.48501011714182302</v>
      </c>
    </row>
    <row r="10571" spans="1:3" s="7" customFormat="1" x14ac:dyDescent="0.2">
      <c r="A10571" s="6" t="str">
        <f>"GTF2IRD1"</f>
        <v>GTF2IRD1</v>
      </c>
      <c r="B10571" s="6">
        <v>0.307</v>
      </c>
      <c r="C10571" s="6">
        <v>0.48535735906167199</v>
      </c>
    </row>
    <row r="10572" spans="1:3" s="7" customFormat="1" x14ac:dyDescent="0.2">
      <c r="A10572" s="6" t="str">
        <f>"CCDC15-DT"</f>
        <v>CCDC15-DT</v>
      </c>
      <c r="B10572" s="6">
        <v>0.307</v>
      </c>
      <c r="C10572" s="6">
        <v>0.48535735906167199</v>
      </c>
    </row>
    <row r="10573" spans="1:3" s="7" customFormat="1" x14ac:dyDescent="0.2">
      <c r="A10573" s="6" t="str">
        <f>"TRIM31-AS1"</f>
        <v>TRIM31-AS1</v>
      </c>
      <c r="B10573" s="6">
        <v>0.307</v>
      </c>
      <c r="C10573" s="6">
        <v>0.48535735906167199</v>
      </c>
    </row>
    <row r="10574" spans="1:3" s="7" customFormat="1" x14ac:dyDescent="0.2">
      <c r="A10574" s="6" t="str">
        <f>"AC078883.1"</f>
        <v>AC078883.1</v>
      </c>
      <c r="B10574" s="6">
        <v>0.30769230769230699</v>
      </c>
      <c r="C10574" s="6">
        <v>0.485625045398416</v>
      </c>
    </row>
    <row r="10575" spans="1:3" s="7" customFormat="1" x14ac:dyDescent="0.2">
      <c r="A10575" s="6" t="str">
        <f>"PAX5"</f>
        <v>PAX5</v>
      </c>
      <c r="B10575" s="6">
        <v>0.30769230769230699</v>
      </c>
      <c r="C10575" s="6">
        <v>0.485625045398416</v>
      </c>
    </row>
    <row r="10576" spans="1:3" s="7" customFormat="1" x14ac:dyDescent="0.2">
      <c r="A10576" s="6" t="str">
        <f>"ATIC"</f>
        <v>ATIC</v>
      </c>
      <c r="B10576" s="6">
        <v>0.30769230769230699</v>
      </c>
      <c r="C10576" s="6">
        <v>0.485625045398416</v>
      </c>
    </row>
    <row r="10577" spans="1:3" s="7" customFormat="1" x14ac:dyDescent="0.2">
      <c r="A10577" s="6" t="str">
        <f>"EPHA7"</f>
        <v>EPHA7</v>
      </c>
      <c r="B10577" s="6">
        <v>0.30769230769230699</v>
      </c>
      <c r="C10577" s="6">
        <v>0.485625045398416</v>
      </c>
    </row>
    <row r="10578" spans="1:3" s="7" customFormat="1" x14ac:dyDescent="0.2">
      <c r="A10578" s="6" t="str">
        <f>"IGHV1-46"</f>
        <v>IGHV1-46</v>
      </c>
      <c r="B10578" s="6">
        <v>0.30769230769230699</v>
      </c>
      <c r="C10578" s="6">
        <v>0.485625045398416</v>
      </c>
    </row>
    <row r="10579" spans="1:3" s="7" customFormat="1" x14ac:dyDescent="0.2">
      <c r="A10579" s="6" t="str">
        <f>"LINC02422"</f>
        <v>LINC02422</v>
      </c>
      <c r="B10579" s="6">
        <v>0.30769230769230699</v>
      </c>
      <c r="C10579" s="6">
        <v>0.485625045398416</v>
      </c>
    </row>
    <row r="10580" spans="1:3" s="7" customFormat="1" x14ac:dyDescent="0.2">
      <c r="A10580" s="6" t="str">
        <f>"FAM66D"</f>
        <v>FAM66D</v>
      </c>
      <c r="B10580" s="6">
        <v>0.30769230769230699</v>
      </c>
      <c r="C10580" s="6">
        <v>0.485625045398416</v>
      </c>
    </row>
    <row r="10581" spans="1:3" s="7" customFormat="1" x14ac:dyDescent="0.2">
      <c r="A10581" s="6" t="str">
        <f>"PIP4K2C"</f>
        <v>PIP4K2C</v>
      </c>
      <c r="B10581" s="6">
        <v>0.30769230769230699</v>
      </c>
      <c r="C10581" s="6">
        <v>0.485625045398416</v>
      </c>
    </row>
    <row r="10582" spans="1:3" s="7" customFormat="1" x14ac:dyDescent="0.2">
      <c r="A10582" s="6" t="str">
        <f>"SIGLEC11"</f>
        <v>SIGLEC11</v>
      </c>
      <c r="B10582" s="6">
        <v>0.30769230769230699</v>
      </c>
      <c r="C10582" s="6">
        <v>0.485625045398416</v>
      </c>
    </row>
    <row r="10583" spans="1:3" s="7" customFormat="1" x14ac:dyDescent="0.2">
      <c r="A10583" s="6" t="str">
        <f>"ERVK3-1"</f>
        <v>ERVK3-1</v>
      </c>
      <c r="B10583" s="6">
        <v>0.30769230769230699</v>
      </c>
      <c r="C10583" s="6">
        <v>0.485625045398416</v>
      </c>
    </row>
    <row r="10584" spans="1:3" s="7" customFormat="1" x14ac:dyDescent="0.2">
      <c r="A10584" s="6" t="str">
        <f>"TRABD"</f>
        <v>TRABD</v>
      </c>
      <c r="B10584" s="6">
        <v>0.30769230769230699</v>
      </c>
      <c r="C10584" s="6">
        <v>0.485625045398416</v>
      </c>
    </row>
    <row r="10585" spans="1:3" s="7" customFormat="1" x14ac:dyDescent="0.2">
      <c r="A10585" s="6" t="str">
        <f>"ATP5MC2"</f>
        <v>ATP5MC2</v>
      </c>
      <c r="B10585" s="6">
        <v>0.30769230769230699</v>
      </c>
      <c r="C10585" s="6">
        <v>0.485625045398416</v>
      </c>
    </row>
    <row r="10586" spans="1:3" s="7" customFormat="1" x14ac:dyDescent="0.2">
      <c r="A10586" s="6" t="str">
        <f>"LINC02539"</f>
        <v>LINC02539</v>
      </c>
      <c r="B10586" s="6">
        <v>0.30769230769230699</v>
      </c>
      <c r="C10586" s="6">
        <v>0.485625045398416</v>
      </c>
    </row>
    <row r="10587" spans="1:3" s="7" customFormat="1" x14ac:dyDescent="0.2">
      <c r="A10587" s="6" t="str">
        <f>"FOXRED2"</f>
        <v>FOXRED2</v>
      </c>
      <c r="B10587" s="6">
        <v>0.30769230769230699</v>
      </c>
      <c r="C10587" s="6">
        <v>0.485625045398416</v>
      </c>
    </row>
    <row r="10588" spans="1:3" s="7" customFormat="1" x14ac:dyDescent="0.2">
      <c r="A10588" s="6" t="str">
        <f>"AC024575.1"</f>
        <v>AC024575.1</v>
      </c>
      <c r="B10588" s="6">
        <v>0.30737704918032699</v>
      </c>
      <c r="C10588" s="6">
        <v>0.485625045398416</v>
      </c>
    </row>
    <row r="10589" spans="1:3" s="7" customFormat="1" x14ac:dyDescent="0.2">
      <c r="A10589" s="6" t="str">
        <f>"C19orf54"</f>
        <v>C19orf54</v>
      </c>
      <c r="B10589" s="6">
        <v>0.30769230769230699</v>
      </c>
      <c r="C10589" s="6">
        <v>0.485625045398416</v>
      </c>
    </row>
    <row r="10590" spans="1:3" s="7" customFormat="1" x14ac:dyDescent="0.2">
      <c r="A10590" s="6" t="str">
        <f>"NAGPA"</f>
        <v>NAGPA</v>
      </c>
      <c r="B10590" s="6">
        <v>0.30769230769230699</v>
      </c>
      <c r="C10590" s="6">
        <v>0.485625045398416</v>
      </c>
    </row>
    <row r="10591" spans="1:3" s="7" customFormat="1" x14ac:dyDescent="0.2">
      <c r="A10591" s="6" t="str">
        <f>"ETS1"</f>
        <v>ETS1</v>
      </c>
      <c r="B10591" s="6">
        <v>0.30769230769230699</v>
      </c>
      <c r="C10591" s="6">
        <v>0.485625045398416</v>
      </c>
    </row>
    <row r="10592" spans="1:3" s="7" customFormat="1" x14ac:dyDescent="0.2">
      <c r="A10592" s="6" t="str">
        <f>"TBXA2R"</f>
        <v>TBXA2R</v>
      </c>
      <c r="B10592" s="6">
        <v>0.30792682926829201</v>
      </c>
      <c r="C10592" s="6">
        <v>0.48594929887548299</v>
      </c>
    </row>
    <row r="10593" spans="1:3" s="7" customFormat="1" x14ac:dyDescent="0.2">
      <c r="A10593" s="6" t="str">
        <f>"AL157813.2"</f>
        <v>AL157813.2</v>
      </c>
      <c r="B10593" s="6">
        <v>0.308</v>
      </c>
      <c r="C10593" s="6">
        <v>0.485973001038421</v>
      </c>
    </row>
    <row r="10594" spans="1:3" s="7" customFormat="1" x14ac:dyDescent="0.2">
      <c r="A10594" s="6" t="str">
        <f>"FBXL13"</f>
        <v>FBXL13</v>
      </c>
      <c r="B10594" s="6">
        <v>0.308</v>
      </c>
      <c r="C10594" s="6">
        <v>0.485973001038421</v>
      </c>
    </row>
    <row r="10595" spans="1:3" s="7" customFormat="1" x14ac:dyDescent="0.2">
      <c r="A10595" s="6" t="str">
        <f>"PSMA2"</f>
        <v>PSMA2</v>
      </c>
      <c r="B10595" s="6">
        <v>0.30869130869130801</v>
      </c>
      <c r="C10595" s="6">
        <v>0.48642090444673602</v>
      </c>
    </row>
    <row r="10596" spans="1:3" s="7" customFormat="1" x14ac:dyDescent="0.2">
      <c r="A10596" s="6" t="str">
        <f>"TOR1AIP1"</f>
        <v>TOR1AIP1</v>
      </c>
      <c r="B10596" s="6">
        <v>0.30869130869130801</v>
      </c>
      <c r="C10596" s="6">
        <v>0.48642090444673602</v>
      </c>
    </row>
    <row r="10597" spans="1:3" s="7" customFormat="1" x14ac:dyDescent="0.2">
      <c r="A10597" s="6" t="str">
        <f>"AP002373.1"</f>
        <v>AP002373.1</v>
      </c>
      <c r="B10597" s="6">
        <v>0.30869130869130801</v>
      </c>
      <c r="C10597" s="6">
        <v>0.48642090444673602</v>
      </c>
    </row>
    <row r="10598" spans="1:3" s="7" customFormat="1" x14ac:dyDescent="0.2">
      <c r="A10598" s="6" t="str">
        <f>"CDC42BPG"</f>
        <v>CDC42BPG</v>
      </c>
      <c r="B10598" s="6">
        <v>0.30869130869130801</v>
      </c>
      <c r="C10598" s="6">
        <v>0.48642090444673602</v>
      </c>
    </row>
    <row r="10599" spans="1:3" s="7" customFormat="1" x14ac:dyDescent="0.2">
      <c r="A10599" s="6" t="str">
        <f>"PDP2"</f>
        <v>PDP2</v>
      </c>
      <c r="B10599" s="6">
        <v>0.30869130869130801</v>
      </c>
      <c r="C10599" s="6">
        <v>0.48642090444673602</v>
      </c>
    </row>
    <row r="10600" spans="1:3" s="7" customFormat="1" x14ac:dyDescent="0.2">
      <c r="A10600" s="6" t="str">
        <f>"RASA4B"</f>
        <v>RASA4B</v>
      </c>
      <c r="B10600" s="6">
        <v>0.30869130869130801</v>
      </c>
      <c r="C10600" s="6">
        <v>0.48642090444673602</v>
      </c>
    </row>
    <row r="10601" spans="1:3" s="7" customFormat="1" x14ac:dyDescent="0.2">
      <c r="A10601" s="6" t="str">
        <f>"PSG8-AS1"</f>
        <v>PSG8-AS1</v>
      </c>
      <c r="B10601" s="6">
        <v>0.30869130869130801</v>
      </c>
      <c r="C10601" s="6">
        <v>0.48642090444673602</v>
      </c>
    </row>
    <row r="10602" spans="1:3" s="7" customFormat="1" x14ac:dyDescent="0.2">
      <c r="A10602" s="6" t="str">
        <f>"IGKV2-30"</f>
        <v>IGKV2-30</v>
      </c>
      <c r="B10602" s="6">
        <v>0.30869130869130801</v>
      </c>
      <c r="C10602" s="6">
        <v>0.48642090444673602</v>
      </c>
    </row>
    <row r="10603" spans="1:3" s="7" customFormat="1" x14ac:dyDescent="0.2">
      <c r="A10603" s="6" t="str">
        <f>"STRADB"</f>
        <v>STRADB</v>
      </c>
      <c r="B10603" s="6">
        <v>0.30869130869130801</v>
      </c>
      <c r="C10603" s="6">
        <v>0.48642090444673602</v>
      </c>
    </row>
    <row r="10604" spans="1:3" s="7" customFormat="1" x14ac:dyDescent="0.2">
      <c r="A10604" s="6" t="str">
        <f>"SEPTIN3"</f>
        <v>SEPTIN3</v>
      </c>
      <c r="B10604" s="6">
        <v>0.30869130869130801</v>
      </c>
      <c r="C10604" s="6">
        <v>0.48642090444673602</v>
      </c>
    </row>
    <row r="10605" spans="1:3" s="7" customFormat="1" x14ac:dyDescent="0.2">
      <c r="A10605" s="6" t="str">
        <f>"PGAM2"</f>
        <v>PGAM2</v>
      </c>
      <c r="B10605" s="6">
        <v>0.30869130869130801</v>
      </c>
      <c r="C10605" s="6">
        <v>0.48642090444673602</v>
      </c>
    </row>
    <row r="10606" spans="1:3" s="7" customFormat="1" x14ac:dyDescent="0.2">
      <c r="A10606" s="6" t="str">
        <f>"RASSF7"</f>
        <v>RASSF7</v>
      </c>
      <c r="B10606" s="6">
        <v>0.30869130869130801</v>
      </c>
      <c r="C10606" s="6">
        <v>0.48642090444673602</v>
      </c>
    </row>
    <row r="10607" spans="1:3" s="7" customFormat="1" x14ac:dyDescent="0.2">
      <c r="A10607" s="6" t="str">
        <f>"AL009177.1"</f>
        <v>AL009177.1</v>
      </c>
      <c r="B10607" s="6">
        <v>0.30869130869130801</v>
      </c>
      <c r="C10607" s="6">
        <v>0.48642090444673602</v>
      </c>
    </row>
    <row r="10608" spans="1:3" s="7" customFormat="1" x14ac:dyDescent="0.2">
      <c r="A10608" s="6" t="str">
        <f>"C9orf78"</f>
        <v>C9orf78</v>
      </c>
      <c r="B10608" s="6">
        <v>0.30869130869130801</v>
      </c>
      <c r="C10608" s="6">
        <v>0.48642090444673602</v>
      </c>
    </row>
    <row r="10609" spans="1:3" s="7" customFormat="1" x14ac:dyDescent="0.2">
      <c r="A10609" s="6" t="str">
        <f>"AC010996.1"</f>
        <v>AC010996.1</v>
      </c>
      <c r="B10609" s="6">
        <v>0.309</v>
      </c>
      <c r="C10609" s="6">
        <v>0.48676965127238397</v>
      </c>
    </row>
    <row r="10610" spans="1:3" s="7" customFormat="1" x14ac:dyDescent="0.2">
      <c r="A10610" s="6" t="str">
        <f>"ST6GALNAC1"</f>
        <v>ST6GALNAC1</v>
      </c>
      <c r="B10610" s="6">
        <v>0.309</v>
      </c>
      <c r="C10610" s="6">
        <v>0.48676965127238397</v>
      </c>
    </row>
    <row r="10611" spans="1:3" s="7" customFormat="1" x14ac:dyDescent="0.2">
      <c r="A10611" s="6" t="str">
        <f>"EFCAB12"</f>
        <v>EFCAB12</v>
      </c>
      <c r="B10611" s="6">
        <v>0.309</v>
      </c>
      <c r="C10611" s="6">
        <v>0.48676965127238397</v>
      </c>
    </row>
    <row r="10612" spans="1:3" s="7" customFormat="1" x14ac:dyDescent="0.2">
      <c r="A10612" s="6" t="str">
        <f>"RUFY1"</f>
        <v>RUFY1</v>
      </c>
      <c r="B10612" s="6">
        <v>0.30969030969030897</v>
      </c>
      <c r="C10612" s="6">
        <v>0.48707667602934301</v>
      </c>
    </row>
    <row r="10613" spans="1:3" s="7" customFormat="1" x14ac:dyDescent="0.2">
      <c r="A10613" s="6" t="str">
        <f>"AL049776.1"</f>
        <v>AL049776.1</v>
      </c>
      <c r="B10613" s="6">
        <v>0.30935251798561098</v>
      </c>
      <c r="C10613" s="6">
        <v>0.48707667602934301</v>
      </c>
    </row>
    <row r="10614" spans="1:3" s="7" customFormat="1" x14ac:dyDescent="0.2">
      <c r="A10614" s="6" t="str">
        <f>"BCAS2"</f>
        <v>BCAS2</v>
      </c>
      <c r="B10614" s="6">
        <v>0.30969030969030897</v>
      </c>
      <c r="C10614" s="6">
        <v>0.48707667602934301</v>
      </c>
    </row>
    <row r="10615" spans="1:3" s="7" customFormat="1" x14ac:dyDescent="0.2">
      <c r="A10615" s="6" t="str">
        <f>"MIEN1"</f>
        <v>MIEN1</v>
      </c>
      <c r="B10615" s="6">
        <v>0.30969030969030897</v>
      </c>
      <c r="C10615" s="6">
        <v>0.48707667602934301</v>
      </c>
    </row>
    <row r="10616" spans="1:3" s="7" customFormat="1" x14ac:dyDescent="0.2">
      <c r="A10616" s="6" t="str">
        <f>"IGKV1-9"</f>
        <v>IGKV1-9</v>
      </c>
      <c r="B10616" s="6">
        <v>0.30969030969030897</v>
      </c>
      <c r="C10616" s="6">
        <v>0.48707667602934301</v>
      </c>
    </row>
    <row r="10617" spans="1:3" s="7" customFormat="1" x14ac:dyDescent="0.2">
      <c r="A10617" s="6" t="str">
        <f>"AL513165.2"</f>
        <v>AL513165.2</v>
      </c>
      <c r="B10617" s="6">
        <v>0.30969030969030897</v>
      </c>
      <c r="C10617" s="6">
        <v>0.48707667602934301</v>
      </c>
    </row>
    <row r="10618" spans="1:3" s="7" customFormat="1" x14ac:dyDescent="0.2">
      <c r="A10618" s="6" t="str">
        <f>"VPS18"</f>
        <v>VPS18</v>
      </c>
      <c r="B10618" s="6">
        <v>0.30969030969030897</v>
      </c>
      <c r="C10618" s="6">
        <v>0.48707667602934301</v>
      </c>
    </row>
    <row r="10619" spans="1:3" s="7" customFormat="1" x14ac:dyDescent="0.2">
      <c r="A10619" s="6" t="str">
        <f>"ADAMTS13"</f>
        <v>ADAMTS13</v>
      </c>
      <c r="B10619" s="6">
        <v>0.30969030969030897</v>
      </c>
      <c r="C10619" s="6">
        <v>0.48707667602934301</v>
      </c>
    </row>
    <row r="10620" spans="1:3" s="7" customFormat="1" x14ac:dyDescent="0.2">
      <c r="A10620" s="6" t="str">
        <f>"EEF2"</f>
        <v>EEF2</v>
      </c>
      <c r="B10620" s="6">
        <v>0.30969030969030897</v>
      </c>
      <c r="C10620" s="6">
        <v>0.48707667602934301</v>
      </c>
    </row>
    <row r="10621" spans="1:3" s="7" customFormat="1" x14ac:dyDescent="0.2">
      <c r="A10621" s="6" t="str">
        <f>"KTN1"</f>
        <v>KTN1</v>
      </c>
      <c r="B10621" s="6">
        <v>0.30969030969030897</v>
      </c>
      <c r="C10621" s="6">
        <v>0.48707667602934301</v>
      </c>
    </row>
    <row r="10622" spans="1:3" s="7" customFormat="1" x14ac:dyDescent="0.2">
      <c r="A10622" s="6" t="str">
        <f>"DCAF6"</f>
        <v>DCAF6</v>
      </c>
      <c r="B10622" s="6">
        <v>0.30969030969030897</v>
      </c>
      <c r="C10622" s="6">
        <v>0.48707667602934301</v>
      </c>
    </row>
    <row r="10623" spans="1:3" s="7" customFormat="1" x14ac:dyDescent="0.2">
      <c r="A10623" s="6" t="str">
        <f>"ZNF663P"</f>
        <v>ZNF663P</v>
      </c>
      <c r="B10623" s="6">
        <v>0.30969030969030897</v>
      </c>
      <c r="C10623" s="6">
        <v>0.48707667602934301</v>
      </c>
    </row>
    <row r="10624" spans="1:3" s="7" customFormat="1" x14ac:dyDescent="0.2">
      <c r="A10624" s="6" t="str">
        <f>"CDC42EP4"</f>
        <v>CDC42EP4</v>
      </c>
      <c r="B10624" s="6">
        <v>0.30969030969030897</v>
      </c>
      <c r="C10624" s="6">
        <v>0.48707667602934301</v>
      </c>
    </row>
    <row r="10625" spans="1:3" s="7" customFormat="1" x14ac:dyDescent="0.2">
      <c r="A10625" s="6" t="str">
        <f>"AL365205.1"</f>
        <v>AL365205.1</v>
      </c>
      <c r="B10625" s="6">
        <v>0.30969030969030897</v>
      </c>
      <c r="C10625" s="6">
        <v>0.48707667602934301</v>
      </c>
    </row>
    <row r="10626" spans="1:3" s="7" customFormat="1" x14ac:dyDescent="0.2">
      <c r="A10626" s="6" t="str">
        <f>"KRT5"</f>
        <v>KRT5</v>
      </c>
      <c r="B10626" s="6">
        <v>0.30969030969030897</v>
      </c>
      <c r="C10626" s="6">
        <v>0.48707667602934301</v>
      </c>
    </row>
    <row r="10627" spans="1:3" s="7" customFormat="1" x14ac:dyDescent="0.2">
      <c r="A10627" s="6" t="str">
        <f>"TRMT6"</f>
        <v>TRMT6</v>
      </c>
      <c r="B10627" s="6">
        <v>0.30969030969030897</v>
      </c>
      <c r="C10627" s="6">
        <v>0.48707667602934301</v>
      </c>
    </row>
    <row r="10628" spans="1:3" s="7" customFormat="1" x14ac:dyDescent="0.2">
      <c r="A10628" s="6" t="str">
        <f>"ZFP64"</f>
        <v>ZFP64</v>
      </c>
      <c r="B10628" s="6">
        <v>0.30969030969030897</v>
      </c>
      <c r="C10628" s="6">
        <v>0.48707667602934301</v>
      </c>
    </row>
    <row r="10629" spans="1:3" s="7" customFormat="1" x14ac:dyDescent="0.2">
      <c r="A10629" s="6" t="str">
        <f>"TLE5"</f>
        <v>TLE5</v>
      </c>
      <c r="B10629" s="6">
        <v>0.31031031031030998</v>
      </c>
      <c r="C10629" s="6">
        <v>0.48800588318841898</v>
      </c>
    </row>
    <row r="10630" spans="1:3" s="7" customFormat="1" x14ac:dyDescent="0.2">
      <c r="A10630" s="6" t="str">
        <f>"TMEM50B"</f>
        <v>TMEM50B</v>
      </c>
      <c r="B10630" s="6">
        <v>0.31068931068930999</v>
      </c>
      <c r="C10630" s="6">
        <v>0.48805085891552002</v>
      </c>
    </row>
    <row r="10631" spans="1:3" s="7" customFormat="1" x14ac:dyDescent="0.2">
      <c r="A10631" s="6" t="str">
        <f>"AC026954.2"</f>
        <v>AC026954.2</v>
      </c>
      <c r="B10631" s="6">
        <v>0.31068931068930999</v>
      </c>
      <c r="C10631" s="6">
        <v>0.48805085891552002</v>
      </c>
    </row>
    <row r="10632" spans="1:3" s="7" customFormat="1" x14ac:dyDescent="0.2">
      <c r="A10632" s="6" t="str">
        <f>"AP001318.2"</f>
        <v>AP001318.2</v>
      </c>
      <c r="B10632" s="6">
        <v>0.31068931068930999</v>
      </c>
      <c r="C10632" s="6">
        <v>0.48805085891552002</v>
      </c>
    </row>
    <row r="10633" spans="1:3" s="7" customFormat="1" x14ac:dyDescent="0.2">
      <c r="A10633" s="6" t="str">
        <f>"EGFL6"</f>
        <v>EGFL6</v>
      </c>
      <c r="B10633" s="6">
        <v>0.31068931068930999</v>
      </c>
      <c r="C10633" s="6">
        <v>0.48805085891552002</v>
      </c>
    </row>
    <row r="10634" spans="1:3" s="7" customFormat="1" x14ac:dyDescent="0.2">
      <c r="A10634" s="6" t="str">
        <f>"TLCD5"</f>
        <v>TLCD5</v>
      </c>
      <c r="B10634" s="6">
        <v>0.31068931068930999</v>
      </c>
      <c r="C10634" s="6">
        <v>0.48805085891552002</v>
      </c>
    </row>
    <row r="10635" spans="1:3" s="7" customFormat="1" x14ac:dyDescent="0.2">
      <c r="A10635" s="6" t="str">
        <f>"AL390726.3"</f>
        <v>AL390726.3</v>
      </c>
      <c r="B10635" s="6">
        <v>0.31068931068930999</v>
      </c>
      <c r="C10635" s="6">
        <v>0.48805085891552002</v>
      </c>
    </row>
    <row r="10636" spans="1:3" s="7" customFormat="1" x14ac:dyDescent="0.2">
      <c r="A10636" s="6" t="str">
        <f>"PAN2"</f>
        <v>PAN2</v>
      </c>
      <c r="B10636" s="6">
        <v>0.31068931068930999</v>
      </c>
      <c r="C10636" s="6">
        <v>0.48805085891552002</v>
      </c>
    </row>
    <row r="10637" spans="1:3" s="7" customFormat="1" x14ac:dyDescent="0.2">
      <c r="A10637" s="6" t="str">
        <f>"JAK2"</f>
        <v>JAK2</v>
      </c>
      <c r="B10637" s="6">
        <v>0.31068931068930999</v>
      </c>
      <c r="C10637" s="6">
        <v>0.48805085891552002</v>
      </c>
    </row>
    <row r="10638" spans="1:3" s="7" customFormat="1" x14ac:dyDescent="0.2">
      <c r="A10638" s="6" t="str">
        <f>"AGAP5"</f>
        <v>AGAP5</v>
      </c>
      <c r="B10638" s="6">
        <v>0.31068931068930999</v>
      </c>
      <c r="C10638" s="6">
        <v>0.48805085891552002</v>
      </c>
    </row>
    <row r="10639" spans="1:3" s="7" customFormat="1" x14ac:dyDescent="0.2">
      <c r="A10639" s="6" t="str">
        <f>"SLC5A5"</f>
        <v>SLC5A5</v>
      </c>
      <c r="B10639" s="6">
        <v>0.31068931068930999</v>
      </c>
      <c r="C10639" s="6">
        <v>0.48805085891552002</v>
      </c>
    </row>
    <row r="10640" spans="1:3" s="7" customFormat="1" x14ac:dyDescent="0.2">
      <c r="A10640" s="6" t="str">
        <f>"STPG3-AS1"</f>
        <v>STPG3-AS1</v>
      </c>
      <c r="B10640" s="6">
        <v>0.31068931068930999</v>
      </c>
      <c r="C10640" s="6">
        <v>0.48805085891552002</v>
      </c>
    </row>
    <row r="10641" spans="1:3" s="7" customFormat="1" x14ac:dyDescent="0.2">
      <c r="A10641" s="6" t="str">
        <f>"FRMD5"</f>
        <v>FRMD5</v>
      </c>
      <c r="B10641" s="6">
        <v>0.31068931068930999</v>
      </c>
      <c r="C10641" s="6">
        <v>0.48805085891552002</v>
      </c>
    </row>
    <row r="10642" spans="1:3" s="7" customFormat="1" x14ac:dyDescent="0.2">
      <c r="A10642" s="6" t="str">
        <f>"RAB3GAP1"</f>
        <v>RAB3GAP1</v>
      </c>
      <c r="B10642" s="6">
        <v>0.311</v>
      </c>
      <c r="C10642" s="6">
        <v>0.48849299877830998</v>
      </c>
    </row>
    <row r="10643" spans="1:3" s="7" customFormat="1" x14ac:dyDescent="0.2">
      <c r="A10643" s="6" t="str">
        <f>"AC008555.2"</f>
        <v>AC008555.2</v>
      </c>
      <c r="B10643" s="6">
        <v>0.31131131131131101</v>
      </c>
      <c r="C10643" s="6">
        <v>0.48893603244289202</v>
      </c>
    </row>
    <row r="10644" spans="1:3" s="7" customFormat="1" x14ac:dyDescent="0.2">
      <c r="A10644" s="6" t="str">
        <f>"TSPYL4"</f>
        <v>TSPYL4</v>
      </c>
      <c r="B10644" s="6">
        <v>0.31168831168831101</v>
      </c>
      <c r="C10644" s="6">
        <v>0.48897676380312</v>
      </c>
    </row>
    <row r="10645" spans="1:3" s="7" customFormat="1" x14ac:dyDescent="0.2">
      <c r="A10645" s="6" t="str">
        <f>"DAZAP2"</f>
        <v>DAZAP2</v>
      </c>
      <c r="B10645" s="6">
        <v>0.31168831168831101</v>
      </c>
      <c r="C10645" s="6">
        <v>0.48897676380312</v>
      </c>
    </row>
    <row r="10646" spans="1:3" s="7" customFormat="1" x14ac:dyDescent="0.2">
      <c r="A10646" s="6" t="str">
        <f>"TMSB15B"</f>
        <v>TMSB15B</v>
      </c>
      <c r="B10646" s="6">
        <v>0.31168831168831101</v>
      </c>
      <c r="C10646" s="6">
        <v>0.48897676380312</v>
      </c>
    </row>
    <row r="10647" spans="1:3" s="7" customFormat="1" x14ac:dyDescent="0.2">
      <c r="A10647" s="6" t="str">
        <f>"LINC02817"</f>
        <v>LINC02817</v>
      </c>
      <c r="B10647" s="6">
        <v>0.31168831168831101</v>
      </c>
      <c r="C10647" s="6">
        <v>0.48897676380312</v>
      </c>
    </row>
    <row r="10648" spans="1:3" s="7" customFormat="1" x14ac:dyDescent="0.2">
      <c r="A10648" s="6" t="str">
        <f>"GOLGA7"</f>
        <v>GOLGA7</v>
      </c>
      <c r="B10648" s="6">
        <v>0.31168831168831101</v>
      </c>
      <c r="C10648" s="6">
        <v>0.48897676380312</v>
      </c>
    </row>
    <row r="10649" spans="1:3" s="7" customFormat="1" x14ac:dyDescent="0.2">
      <c r="A10649" s="6" t="str">
        <f>"HRAS"</f>
        <v>HRAS</v>
      </c>
      <c r="B10649" s="6">
        <v>0.31168831168831101</v>
      </c>
      <c r="C10649" s="6">
        <v>0.48897676380312</v>
      </c>
    </row>
    <row r="10650" spans="1:3" s="7" customFormat="1" x14ac:dyDescent="0.2">
      <c r="A10650" s="6" t="str">
        <f>"LYPD5"</f>
        <v>LYPD5</v>
      </c>
      <c r="B10650" s="6">
        <v>0.31168831168831101</v>
      </c>
      <c r="C10650" s="6">
        <v>0.48897676380312</v>
      </c>
    </row>
    <row r="10651" spans="1:3" s="7" customFormat="1" x14ac:dyDescent="0.2">
      <c r="A10651" s="6" t="str">
        <f>"NRAS"</f>
        <v>NRAS</v>
      </c>
      <c r="B10651" s="6">
        <v>0.31168831168831101</v>
      </c>
      <c r="C10651" s="6">
        <v>0.48897676380312</v>
      </c>
    </row>
    <row r="10652" spans="1:3" s="7" customFormat="1" x14ac:dyDescent="0.2">
      <c r="A10652" s="6" t="str">
        <f>"CSN1S1"</f>
        <v>CSN1S1</v>
      </c>
      <c r="B10652" s="6">
        <v>0.31168831168831101</v>
      </c>
      <c r="C10652" s="6">
        <v>0.48897676380312</v>
      </c>
    </row>
    <row r="10653" spans="1:3" s="7" customFormat="1" x14ac:dyDescent="0.2">
      <c r="A10653" s="6" t="str">
        <f>"ZNF93"</f>
        <v>ZNF93</v>
      </c>
      <c r="B10653" s="6">
        <v>0.31168831168831101</v>
      </c>
      <c r="C10653" s="6">
        <v>0.48897676380312</v>
      </c>
    </row>
    <row r="10654" spans="1:3" s="7" customFormat="1" x14ac:dyDescent="0.2">
      <c r="A10654" s="6" t="str">
        <f>"ANKRD20A5P"</f>
        <v>ANKRD20A5P</v>
      </c>
      <c r="B10654" s="6">
        <v>0.31168831168831101</v>
      </c>
      <c r="C10654" s="6">
        <v>0.48897676380312</v>
      </c>
    </row>
    <row r="10655" spans="1:3" s="7" customFormat="1" x14ac:dyDescent="0.2">
      <c r="A10655" s="6" t="str">
        <f>"DNAJC12"</f>
        <v>DNAJC12</v>
      </c>
      <c r="B10655" s="6">
        <v>0.31168831168831101</v>
      </c>
      <c r="C10655" s="6">
        <v>0.48897676380312</v>
      </c>
    </row>
    <row r="10656" spans="1:3" s="7" customFormat="1" x14ac:dyDescent="0.2">
      <c r="A10656" s="6" t="str">
        <f>"TTC22"</f>
        <v>TTC22</v>
      </c>
      <c r="B10656" s="6">
        <v>0.31268731268731198</v>
      </c>
      <c r="C10656" s="6">
        <v>0.48962485893345897</v>
      </c>
    </row>
    <row r="10657" spans="1:3" s="7" customFormat="1" x14ac:dyDescent="0.2">
      <c r="A10657" s="6" t="str">
        <f>"LINC02822"</f>
        <v>LINC02822</v>
      </c>
      <c r="B10657" s="6">
        <v>0.31268731268731198</v>
      </c>
      <c r="C10657" s="6">
        <v>0.48962485893345897</v>
      </c>
    </row>
    <row r="10658" spans="1:3" s="7" customFormat="1" x14ac:dyDescent="0.2">
      <c r="A10658" s="6" t="str">
        <f>"KIAA0895LP1"</f>
        <v>KIAA0895LP1</v>
      </c>
      <c r="B10658" s="6">
        <v>0.31268731268731198</v>
      </c>
      <c r="C10658" s="6">
        <v>0.48962485893345897</v>
      </c>
    </row>
    <row r="10659" spans="1:3" s="7" customFormat="1" x14ac:dyDescent="0.2">
      <c r="A10659" s="6" t="str">
        <f>"PPP4C"</f>
        <v>PPP4C</v>
      </c>
      <c r="B10659" s="6">
        <v>0.31268731268731198</v>
      </c>
      <c r="C10659" s="6">
        <v>0.48962485893345897</v>
      </c>
    </row>
    <row r="10660" spans="1:3" s="7" customFormat="1" x14ac:dyDescent="0.2">
      <c r="A10660" s="6" t="str">
        <f>"AC005532.1"</f>
        <v>AC005532.1</v>
      </c>
      <c r="B10660" s="6">
        <v>0.31268731268731198</v>
      </c>
      <c r="C10660" s="6">
        <v>0.48962485893345897</v>
      </c>
    </row>
    <row r="10661" spans="1:3" s="7" customFormat="1" x14ac:dyDescent="0.2">
      <c r="A10661" s="6" t="str">
        <f>"FDCSP"</f>
        <v>FDCSP</v>
      </c>
      <c r="B10661" s="6">
        <v>0.31268731268731198</v>
      </c>
      <c r="C10661" s="6">
        <v>0.48962485893345897</v>
      </c>
    </row>
    <row r="10662" spans="1:3" s="7" customFormat="1" x14ac:dyDescent="0.2">
      <c r="A10662" s="6" t="str">
        <f>"ST8SIA6"</f>
        <v>ST8SIA6</v>
      </c>
      <c r="B10662" s="6">
        <v>0.31268731268731198</v>
      </c>
      <c r="C10662" s="6">
        <v>0.48962485893345897</v>
      </c>
    </row>
    <row r="10663" spans="1:3" s="7" customFormat="1" x14ac:dyDescent="0.2">
      <c r="A10663" s="6" t="str">
        <f>"EGLN3"</f>
        <v>EGLN3</v>
      </c>
      <c r="B10663" s="6">
        <v>0.31268731268731198</v>
      </c>
      <c r="C10663" s="6">
        <v>0.48962485893345897</v>
      </c>
    </row>
    <row r="10664" spans="1:3" s="7" customFormat="1" x14ac:dyDescent="0.2">
      <c r="A10664" s="6" t="str">
        <f>"SGPP2"</f>
        <v>SGPP2</v>
      </c>
      <c r="B10664" s="6">
        <v>0.31268731268731198</v>
      </c>
      <c r="C10664" s="6">
        <v>0.48962485893345897</v>
      </c>
    </row>
    <row r="10665" spans="1:3" s="7" customFormat="1" x14ac:dyDescent="0.2">
      <c r="A10665" s="6" t="str">
        <f>"TBILA"</f>
        <v>TBILA</v>
      </c>
      <c r="B10665" s="6">
        <v>0.31268731268731198</v>
      </c>
      <c r="C10665" s="6">
        <v>0.48962485893345897</v>
      </c>
    </row>
    <row r="10666" spans="1:3" s="7" customFormat="1" x14ac:dyDescent="0.2">
      <c r="A10666" s="6" t="str">
        <f>"PCDHGA9"</f>
        <v>PCDHGA9</v>
      </c>
      <c r="B10666" s="6">
        <v>0.31268731268731198</v>
      </c>
      <c r="C10666" s="6">
        <v>0.48962485893345897</v>
      </c>
    </row>
    <row r="10667" spans="1:3" s="7" customFormat="1" x14ac:dyDescent="0.2">
      <c r="A10667" s="6" t="str">
        <f>"AC020656.2"</f>
        <v>AC020656.2</v>
      </c>
      <c r="B10667" s="6">
        <v>0.31262525050100198</v>
      </c>
      <c r="C10667" s="6">
        <v>0.48962485893345897</v>
      </c>
    </row>
    <row r="10668" spans="1:3" s="7" customFormat="1" x14ac:dyDescent="0.2">
      <c r="A10668" s="6" t="str">
        <f>"PRRG2"</f>
        <v>PRRG2</v>
      </c>
      <c r="B10668" s="6">
        <v>0.31268731268731198</v>
      </c>
      <c r="C10668" s="6">
        <v>0.48962485893345897</v>
      </c>
    </row>
    <row r="10669" spans="1:3" s="7" customFormat="1" x14ac:dyDescent="0.2">
      <c r="A10669" s="6" t="str">
        <f>"AC008770.2"</f>
        <v>AC008770.2</v>
      </c>
      <c r="B10669" s="6">
        <v>0.31268731268731198</v>
      </c>
      <c r="C10669" s="6">
        <v>0.48962485893345897</v>
      </c>
    </row>
    <row r="10670" spans="1:3" s="7" customFormat="1" x14ac:dyDescent="0.2">
      <c r="A10670" s="6" t="str">
        <f>"PC"</f>
        <v>PC</v>
      </c>
      <c r="B10670" s="6">
        <v>0.31268731268731198</v>
      </c>
      <c r="C10670" s="6">
        <v>0.48962485893345897</v>
      </c>
    </row>
    <row r="10671" spans="1:3" s="7" customFormat="1" x14ac:dyDescent="0.2">
      <c r="A10671" s="6" t="str">
        <f>"EPHB2"</f>
        <v>EPHB2</v>
      </c>
      <c r="B10671" s="6">
        <v>0.31268731268731198</v>
      </c>
      <c r="C10671" s="6">
        <v>0.48962485893345897</v>
      </c>
    </row>
    <row r="10672" spans="1:3" s="7" customFormat="1" x14ac:dyDescent="0.2">
      <c r="A10672" s="6" t="str">
        <f>"MTMR3"</f>
        <v>MTMR3</v>
      </c>
      <c r="B10672" s="6">
        <v>0.31268731268731198</v>
      </c>
      <c r="C10672" s="6">
        <v>0.48962485893345897</v>
      </c>
    </row>
    <row r="10673" spans="1:3" s="7" customFormat="1" x14ac:dyDescent="0.2">
      <c r="A10673" s="6" t="str">
        <f>"AL080317.1"</f>
        <v>AL080317.1</v>
      </c>
      <c r="B10673" s="6">
        <v>0.31268731268731198</v>
      </c>
      <c r="C10673" s="6">
        <v>0.48962485893345897</v>
      </c>
    </row>
    <row r="10674" spans="1:3" s="7" customFormat="1" x14ac:dyDescent="0.2">
      <c r="A10674" s="6" t="str">
        <f>"AC020661.1"</f>
        <v>AC020661.1</v>
      </c>
      <c r="B10674" s="6">
        <v>0.31268731268731198</v>
      </c>
      <c r="C10674" s="6">
        <v>0.48962485893345897</v>
      </c>
    </row>
    <row r="10675" spans="1:3" s="7" customFormat="1" x14ac:dyDescent="0.2">
      <c r="A10675" s="6" t="str">
        <f>"ZNF416"</f>
        <v>ZNF416</v>
      </c>
      <c r="B10675" s="6">
        <v>0.31268731268731198</v>
      </c>
      <c r="C10675" s="6">
        <v>0.48962485893345897</v>
      </c>
    </row>
    <row r="10676" spans="1:3" s="7" customFormat="1" x14ac:dyDescent="0.2">
      <c r="A10676" s="6" t="str">
        <f>"AL109917.1"</f>
        <v>AL109917.1</v>
      </c>
      <c r="B10676" s="6">
        <v>0.313387423935091</v>
      </c>
      <c r="C10676" s="6">
        <v>0.490453980070444</v>
      </c>
    </row>
    <row r="10677" spans="1:3" s="7" customFormat="1" x14ac:dyDescent="0.2">
      <c r="A10677" s="6" t="str">
        <f>"TXNL4A"</f>
        <v>TXNL4A</v>
      </c>
      <c r="B10677" s="6">
        <v>0.313686313686313</v>
      </c>
      <c r="C10677" s="6">
        <v>0.490453980070444</v>
      </c>
    </row>
    <row r="10678" spans="1:3" s="7" customFormat="1" x14ac:dyDescent="0.2">
      <c r="A10678" s="6" t="str">
        <f>"AC008763.2"</f>
        <v>AC008763.2</v>
      </c>
      <c r="B10678" s="6">
        <v>0.313686313686313</v>
      </c>
      <c r="C10678" s="6">
        <v>0.490453980070444</v>
      </c>
    </row>
    <row r="10679" spans="1:3" s="7" customFormat="1" x14ac:dyDescent="0.2">
      <c r="A10679" s="6" t="str">
        <f>"HINT3"</f>
        <v>HINT3</v>
      </c>
      <c r="B10679" s="6">
        <v>0.313686313686313</v>
      </c>
      <c r="C10679" s="6">
        <v>0.490453980070444</v>
      </c>
    </row>
    <row r="10680" spans="1:3" s="7" customFormat="1" x14ac:dyDescent="0.2">
      <c r="A10680" s="6" t="str">
        <f>"AC090515.4"</f>
        <v>AC090515.4</v>
      </c>
      <c r="B10680" s="6">
        <v>0.313686313686313</v>
      </c>
      <c r="C10680" s="6">
        <v>0.490453980070444</v>
      </c>
    </row>
    <row r="10681" spans="1:3" s="7" customFormat="1" x14ac:dyDescent="0.2">
      <c r="A10681" s="6" t="str">
        <f>"FOXD1"</f>
        <v>FOXD1</v>
      </c>
      <c r="B10681" s="6">
        <v>0.313686313686313</v>
      </c>
      <c r="C10681" s="6">
        <v>0.490453980070444</v>
      </c>
    </row>
    <row r="10682" spans="1:3" s="7" customFormat="1" x14ac:dyDescent="0.2">
      <c r="A10682" s="6" t="str">
        <f>"CBWD1"</f>
        <v>CBWD1</v>
      </c>
      <c r="B10682" s="6">
        <v>0.313686313686313</v>
      </c>
      <c r="C10682" s="6">
        <v>0.490453980070444</v>
      </c>
    </row>
    <row r="10683" spans="1:3" s="7" customFormat="1" x14ac:dyDescent="0.2">
      <c r="A10683" s="6" t="str">
        <f>"MUC2"</f>
        <v>MUC2</v>
      </c>
      <c r="B10683" s="6">
        <v>0.313686313686313</v>
      </c>
      <c r="C10683" s="6">
        <v>0.490453980070444</v>
      </c>
    </row>
    <row r="10684" spans="1:3" s="7" customFormat="1" x14ac:dyDescent="0.2">
      <c r="A10684" s="6" t="str">
        <f>"AGAP4"</f>
        <v>AGAP4</v>
      </c>
      <c r="B10684" s="6">
        <v>0.313686313686313</v>
      </c>
      <c r="C10684" s="6">
        <v>0.490453980070444</v>
      </c>
    </row>
    <row r="10685" spans="1:3" s="7" customFormat="1" x14ac:dyDescent="0.2">
      <c r="A10685" s="6" t="str">
        <f>"EIF2S1"</f>
        <v>EIF2S1</v>
      </c>
      <c r="B10685" s="6">
        <v>0.313686313686313</v>
      </c>
      <c r="C10685" s="6">
        <v>0.490453980070444</v>
      </c>
    </row>
    <row r="10686" spans="1:3" s="7" customFormat="1" x14ac:dyDescent="0.2">
      <c r="A10686" s="6" t="str">
        <f>"HLA-F-AS1"</f>
        <v>HLA-F-AS1</v>
      </c>
      <c r="B10686" s="6">
        <v>0.313686313686313</v>
      </c>
      <c r="C10686" s="6">
        <v>0.490453980070444</v>
      </c>
    </row>
    <row r="10687" spans="1:3" s="7" customFormat="1" x14ac:dyDescent="0.2">
      <c r="A10687" s="6" t="str">
        <f>"NSD2"</f>
        <v>NSD2</v>
      </c>
      <c r="B10687" s="6">
        <v>0.313686313686313</v>
      </c>
      <c r="C10687" s="6">
        <v>0.490453980070444</v>
      </c>
    </row>
    <row r="10688" spans="1:3" s="7" customFormat="1" x14ac:dyDescent="0.2">
      <c r="A10688" s="6" t="str">
        <f>"EGLN1"</f>
        <v>EGLN1</v>
      </c>
      <c r="B10688" s="6">
        <v>0.313686313686313</v>
      </c>
      <c r="C10688" s="6">
        <v>0.490453980070444</v>
      </c>
    </row>
    <row r="10689" spans="1:3" s="7" customFormat="1" x14ac:dyDescent="0.2">
      <c r="A10689" s="6" t="str">
        <f>"KCNQ1OT1"</f>
        <v>KCNQ1OT1</v>
      </c>
      <c r="B10689" s="6">
        <v>0.313686313686313</v>
      </c>
      <c r="C10689" s="6">
        <v>0.490453980070444</v>
      </c>
    </row>
    <row r="10690" spans="1:3" s="7" customFormat="1" x14ac:dyDescent="0.2">
      <c r="A10690" s="6" t="str">
        <f>"COMMD9"</f>
        <v>COMMD9</v>
      </c>
      <c r="B10690" s="6">
        <v>0.313686313686313</v>
      </c>
      <c r="C10690" s="6">
        <v>0.490453980070444</v>
      </c>
    </row>
    <row r="10691" spans="1:3" s="7" customFormat="1" x14ac:dyDescent="0.2">
      <c r="A10691" s="6" t="str">
        <f>"ACE"</f>
        <v>ACE</v>
      </c>
      <c r="B10691" s="6">
        <v>0.313686313686313</v>
      </c>
      <c r="C10691" s="6">
        <v>0.490453980070444</v>
      </c>
    </row>
    <row r="10692" spans="1:3" s="7" customFormat="1" x14ac:dyDescent="0.2">
      <c r="A10692" s="6" t="str">
        <f>"AL034550.2"</f>
        <v>AL034550.2</v>
      </c>
      <c r="B10692" s="6">
        <v>0.31410256410256399</v>
      </c>
      <c r="C10692" s="6">
        <v>0.491058858517468</v>
      </c>
    </row>
    <row r="10693" spans="1:3" s="7" customFormat="1" x14ac:dyDescent="0.2">
      <c r="A10693" s="6" t="str">
        <f>"FUBP1"</f>
        <v>FUBP1</v>
      </c>
      <c r="B10693" s="6">
        <v>0.31468531468531402</v>
      </c>
      <c r="C10693" s="6">
        <v>0.49132651561423102</v>
      </c>
    </row>
    <row r="10694" spans="1:3" s="7" customFormat="1" x14ac:dyDescent="0.2">
      <c r="A10694" s="6" t="str">
        <f>"FBXO9"</f>
        <v>FBXO9</v>
      </c>
      <c r="B10694" s="6">
        <v>0.31468531468531402</v>
      </c>
      <c r="C10694" s="6">
        <v>0.49132651561423102</v>
      </c>
    </row>
    <row r="10695" spans="1:3" s="7" customFormat="1" x14ac:dyDescent="0.2">
      <c r="A10695" s="6" t="str">
        <f>"KNOP1"</f>
        <v>KNOP1</v>
      </c>
      <c r="B10695" s="6">
        <v>0.31468531468531402</v>
      </c>
      <c r="C10695" s="6">
        <v>0.49132651561423102</v>
      </c>
    </row>
    <row r="10696" spans="1:3" s="7" customFormat="1" x14ac:dyDescent="0.2">
      <c r="A10696" s="6" t="str">
        <f>"SBF2-AS1"</f>
        <v>SBF2-AS1</v>
      </c>
      <c r="B10696" s="6">
        <v>0.31468531468531402</v>
      </c>
      <c r="C10696" s="6">
        <v>0.49132651561423102</v>
      </c>
    </row>
    <row r="10697" spans="1:3" s="7" customFormat="1" x14ac:dyDescent="0.2">
      <c r="A10697" s="6" t="str">
        <f>"C6orf223"</f>
        <v>C6orf223</v>
      </c>
      <c r="B10697" s="6">
        <v>0.31468531468531402</v>
      </c>
      <c r="C10697" s="6">
        <v>0.49132651561423102</v>
      </c>
    </row>
    <row r="10698" spans="1:3" s="7" customFormat="1" x14ac:dyDescent="0.2">
      <c r="A10698" s="6" t="str">
        <f>"NT5DC2"</f>
        <v>NT5DC2</v>
      </c>
      <c r="B10698" s="6">
        <v>0.31468531468531402</v>
      </c>
      <c r="C10698" s="6">
        <v>0.49132651561423102</v>
      </c>
    </row>
    <row r="10699" spans="1:3" s="7" customFormat="1" x14ac:dyDescent="0.2">
      <c r="A10699" s="6" t="str">
        <f>"UNC13C"</f>
        <v>UNC13C</v>
      </c>
      <c r="B10699" s="6">
        <v>0.31468531468531402</v>
      </c>
      <c r="C10699" s="6">
        <v>0.49132651561423102</v>
      </c>
    </row>
    <row r="10700" spans="1:3" s="7" customFormat="1" x14ac:dyDescent="0.2">
      <c r="A10700" s="6" t="str">
        <f>"FAM122A"</f>
        <v>FAM122A</v>
      </c>
      <c r="B10700" s="6">
        <v>0.31468531468531402</v>
      </c>
      <c r="C10700" s="6">
        <v>0.49132651561423102</v>
      </c>
    </row>
    <row r="10701" spans="1:3" s="7" customFormat="1" x14ac:dyDescent="0.2">
      <c r="A10701" s="6" t="str">
        <f>"AC008798.2"</f>
        <v>AC008798.2</v>
      </c>
      <c r="B10701" s="6">
        <v>0.31466395112016199</v>
      </c>
      <c r="C10701" s="6">
        <v>0.49132651561423102</v>
      </c>
    </row>
    <row r="10702" spans="1:3" s="7" customFormat="1" x14ac:dyDescent="0.2">
      <c r="A10702" s="6" t="str">
        <f>"PATJ"</f>
        <v>PATJ</v>
      </c>
      <c r="B10702" s="6">
        <v>0.31468531468531402</v>
      </c>
      <c r="C10702" s="6">
        <v>0.49132651561423102</v>
      </c>
    </row>
    <row r="10703" spans="1:3" s="7" customFormat="1" x14ac:dyDescent="0.2">
      <c r="A10703" s="6" t="str">
        <f>"NUDT3"</f>
        <v>NUDT3</v>
      </c>
      <c r="B10703" s="6">
        <v>0.31468531468531402</v>
      </c>
      <c r="C10703" s="6">
        <v>0.49132651561423102</v>
      </c>
    </row>
    <row r="10704" spans="1:3" s="7" customFormat="1" x14ac:dyDescent="0.2">
      <c r="A10704" s="6" t="str">
        <f>"FBXL19-AS1"</f>
        <v>FBXL19-AS1</v>
      </c>
      <c r="B10704" s="6">
        <v>0.31468531468531402</v>
      </c>
      <c r="C10704" s="6">
        <v>0.49132651561423102</v>
      </c>
    </row>
    <row r="10705" spans="1:3" s="7" customFormat="1" x14ac:dyDescent="0.2">
      <c r="A10705" s="6" t="str">
        <f>"HS6ST1"</f>
        <v>HS6ST1</v>
      </c>
      <c r="B10705" s="6">
        <v>0.31468531468531402</v>
      </c>
      <c r="C10705" s="6">
        <v>0.49132651561423102</v>
      </c>
    </row>
    <row r="10706" spans="1:3" s="7" customFormat="1" x14ac:dyDescent="0.2">
      <c r="A10706" s="6" t="str">
        <f>"FZD10"</f>
        <v>FZD10</v>
      </c>
      <c r="B10706" s="6">
        <v>0.31468531468531402</v>
      </c>
      <c r="C10706" s="6">
        <v>0.49132651561423102</v>
      </c>
    </row>
    <row r="10707" spans="1:3" s="7" customFormat="1" x14ac:dyDescent="0.2">
      <c r="A10707" s="6" t="str">
        <f>"SLC3A1"</f>
        <v>SLC3A1</v>
      </c>
      <c r="B10707" s="6">
        <v>0.315</v>
      </c>
      <c r="C10707" s="6">
        <v>0.49177190360545397</v>
      </c>
    </row>
    <row r="10708" spans="1:3" s="7" customFormat="1" x14ac:dyDescent="0.2">
      <c r="A10708" s="6" t="str">
        <f>"SRSF6"</f>
        <v>SRSF6</v>
      </c>
      <c r="B10708" s="6">
        <v>0.31568431568431499</v>
      </c>
      <c r="C10708" s="6">
        <v>0.49215069978058501</v>
      </c>
    </row>
    <row r="10709" spans="1:3" s="7" customFormat="1" x14ac:dyDescent="0.2">
      <c r="A10709" s="6" t="str">
        <f>"ACOXL-AS1"</f>
        <v>ACOXL-AS1</v>
      </c>
      <c r="B10709" s="6">
        <v>0.31568431568431499</v>
      </c>
      <c r="C10709" s="6">
        <v>0.49215069978058501</v>
      </c>
    </row>
    <row r="10710" spans="1:3" s="7" customFormat="1" x14ac:dyDescent="0.2">
      <c r="A10710" s="6" t="str">
        <f>"CD40LG"</f>
        <v>CD40LG</v>
      </c>
      <c r="B10710" s="6">
        <v>0.31568431568431499</v>
      </c>
      <c r="C10710" s="6">
        <v>0.49215069978058501</v>
      </c>
    </row>
    <row r="10711" spans="1:3" s="7" customFormat="1" x14ac:dyDescent="0.2">
      <c r="A10711" s="6" t="str">
        <f>"AC009065.4"</f>
        <v>AC009065.4</v>
      </c>
      <c r="B10711" s="6">
        <v>0.31568431568431499</v>
      </c>
      <c r="C10711" s="6">
        <v>0.49215069978058501</v>
      </c>
    </row>
    <row r="10712" spans="1:3" s="7" customFormat="1" x14ac:dyDescent="0.2">
      <c r="A10712" s="6" t="str">
        <f>"PYGO1"</f>
        <v>PYGO1</v>
      </c>
      <c r="B10712" s="6">
        <v>0.31568431568431499</v>
      </c>
      <c r="C10712" s="6">
        <v>0.49215069978058501</v>
      </c>
    </row>
    <row r="10713" spans="1:3" s="7" customFormat="1" x14ac:dyDescent="0.2">
      <c r="A10713" s="6" t="str">
        <f>"PBDC1"</f>
        <v>PBDC1</v>
      </c>
      <c r="B10713" s="6">
        <v>0.31568431568431499</v>
      </c>
      <c r="C10713" s="6">
        <v>0.49215069978058501</v>
      </c>
    </row>
    <row r="10714" spans="1:3" s="7" customFormat="1" x14ac:dyDescent="0.2">
      <c r="A10714" s="6" t="str">
        <f>"PIGP"</f>
        <v>PIGP</v>
      </c>
      <c r="B10714" s="6">
        <v>0.31568431568431499</v>
      </c>
      <c r="C10714" s="6">
        <v>0.49215069978058501</v>
      </c>
    </row>
    <row r="10715" spans="1:3" s="7" customFormat="1" x14ac:dyDescent="0.2">
      <c r="A10715" s="6" t="str">
        <f>"RRP12"</f>
        <v>RRP12</v>
      </c>
      <c r="B10715" s="6">
        <v>0.31568431568431499</v>
      </c>
      <c r="C10715" s="6">
        <v>0.49215069978058501</v>
      </c>
    </row>
    <row r="10716" spans="1:3" s="7" customFormat="1" x14ac:dyDescent="0.2">
      <c r="A10716" s="6" t="str">
        <f>"HSPA1L"</f>
        <v>HSPA1L</v>
      </c>
      <c r="B10716" s="6">
        <v>0.31568431568431499</v>
      </c>
      <c r="C10716" s="6">
        <v>0.49215069978058501</v>
      </c>
    </row>
    <row r="10717" spans="1:3" s="7" customFormat="1" x14ac:dyDescent="0.2">
      <c r="A10717" s="6" t="str">
        <f>"Z93943.1"</f>
        <v>Z93943.1</v>
      </c>
      <c r="B10717" s="6">
        <v>0.31568431568431499</v>
      </c>
      <c r="C10717" s="6">
        <v>0.49215069978058501</v>
      </c>
    </row>
    <row r="10718" spans="1:3" s="7" customFormat="1" x14ac:dyDescent="0.2">
      <c r="A10718" s="6" t="str">
        <f>"PLAG1"</f>
        <v>PLAG1</v>
      </c>
      <c r="B10718" s="6">
        <v>0.31568431568431499</v>
      </c>
      <c r="C10718" s="6">
        <v>0.49215069978058501</v>
      </c>
    </row>
    <row r="10719" spans="1:3" s="7" customFormat="1" x14ac:dyDescent="0.2">
      <c r="A10719" s="6" t="str">
        <f>"C13orf46"</f>
        <v>C13orf46</v>
      </c>
      <c r="B10719" s="6">
        <v>0.31568431568431499</v>
      </c>
      <c r="C10719" s="6">
        <v>0.49215069978058501</v>
      </c>
    </row>
    <row r="10720" spans="1:3" s="7" customFormat="1" x14ac:dyDescent="0.2">
      <c r="A10720" s="6" t="str">
        <f>"GGTLC5P"</f>
        <v>GGTLC5P</v>
      </c>
      <c r="B10720" s="6">
        <v>0.31531531531531498</v>
      </c>
      <c r="C10720" s="6">
        <v>0.49215069978058501</v>
      </c>
    </row>
    <row r="10721" spans="1:3" s="7" customFormat="1" x14ac:dyDescent="0.2">
      <c r="A10721" s="6" t="str">
        <f>"AC104791.2"</f>
        <v>AC104791.2</v>
      </c>
      <c r="B10721" s="6">
        <v>0.31568431568431499</v>
      </c>
      <c r="C10721" s="6">
        <v>0.49215069978058501</v>
      </c>
    </row>
    <row r="10722" spans="1:3" s="7" customFormat="1" x14ac:dyDescent="0.2">
      <c r="A10722" s="6" t="str">
        <f>"HMGA1P4"</f>
        <v>HMGA1P4</v>
      </c>
      <c r="B10722" s="6">
        <v>0.31568431568431499</v>
      </c>
      <c r="C10722" s="6">
        <v>0.49215069978058501</v>
      </c>
    </row>
    <row r="10723" spans="1:3" s="7" customFormat="1" x14ac:dyDescent="0.2">
      <c r="A10723" s="6" t="str">
        <f>"LINC01967"</f>
        <v>LINC01967</v>
      </c>
      <c r="B10723" s="6">
        <v>0.316</v>
      </c>
      <c r="C10723" s="6">
        <v>0.49259690356276797</v>
      </c>
    </row>
    <row r="10724" spans="1:3" s="7" customFormat="1" x14ac:dyDescent="0.2">
      <c r="A10724" s="6" t="str">
        <f>"RIOX2"</f>
        <v>RIOX2</v>
      </c>
      <c r="B10724" s="6">
        <v>0.31668331668331601</v>
      </c>
      <c r="C10724" s="6">
        <v>0.49297242759103599</v>
      </c>
    </row>
    <row r="10725" spans="1:3" s="7" customFormat="1" x14ac:dyDescent="0.2">
      <c r="A10725" s="6" t="str">
        <f>"CEP43"</f>
        <v>CEP43</v>
      </c>
      <c r="B10725" s="6">
        <v>0.31668331668331601</v>
      </c>
      <c r="C10725" s="6">
        <v>0.49297242759103599</v>
      </c>
    </row>
    <row r="10726" spans="1:3" s="7" customFormat="1" x14ac:dyDescent="0.2">
      <c r="A10726" s="6" t="str">
        <f>"Z95114.3"</f>
        <v>Z95114.3</v>
      </c>
      <c r="B10726" s="6">
        <v>0.31668331668331601</v>
      </c>
      <c r="C10726" s="6">
        <v>0.49297242759103599</v>
      </c>
    </row>
    <row r="10727" spans="1:3" s="7" customFormat="1" x14ac:dyDescent="0.2">
      <c r="A10727" s="6" t="str">
        <f>"AC109326.1"</f>
        <v>AC109326.1</v>
      </c>
      <c r="B10727" s="6">
        <v>0.31668331668331601</v>
      </c>
      <c r="C10727" s="6">
        <v>0.49297242759103599</v>
      </c>
    </row>
    <row r="10728" spans="1:3" s="7" customFormat="1" x14ac:dyDescent="0.2">
      <c r="A10728" s="6" t="str">
        <f>"LINC01320"</f>
        <v>LINC01320</v>
      </c>
      <c r="B10728" s="6">
        <v>0.31668331668331601</v>
      </c>
      <c r="C10728" s="6">
        <v>0.49297242759103599</v>
      </c>
    </row>
    <row r="10729" spans="1:3" s="7" customFormat="1" x14ac:dyDescent="0.2">
      <c r="A10729" s="6" t="str">
        <f>"TMEM42"</f>
        <v>TMEM42</v>
      </c>
      <c r="B10729" s="6">
        <v>0.31668331668331601</v>
      </c>
      <c r="C10729" s="6">
        <v>0.49297242759103599</v>
      </c>
    </row>
    <row r="10730" spans="1:3" s="7" customFormat="1" x14ac:dyDescent="0.2">
      <c r="A10730" s="6" t="str">
        <f>"ZBED9"</f>
        <v>ZBED9</v>
      </c>
      <c r="B10730" s="6">
        <v>0.31668331668331601</v>
      </c>
      <c r="C10730" s="6">
        <v>0.49297242759103599</v>
      </c>
    </row>
    <row r="10731" spans="1:3" s="7" customFormat="1" x14ac:dyDescent="0.2">
      <c r="A10731" s="6" t="str">
        <f>"C11orf72"</f>
        <v>C11orf72</v>
      </c>
      <c r="B10731" s="6">
        <v>0.31668331668331601</v>
      </c>
      <c r="C10731" s="6">
        <v>0.49297242759103599</v>
      </c>
    </row>
    <row r="10732" spans="1:3" s="7" customFormat="1" x14ac:dyDescent="0.2">
      <c r="A10732" s="6" t="str">
        <f>"ABHD14B"</f>
        <v>ABHD14B</v>
      </c>
      <c r="B10732" s="6">
        <v>0.31668331668331601</v>
      </c>
      <c r="C10732" s="6">
        <v>0.49297242759103599</v>
      </c>
    </row>
    <row r="10733" spans="1:3" s="7" customFormat="1" x14ac:dyDescent="0.2">
      <c r="A10733" s="6" t="str">
        <f>"PPP4R3A"</f>
        <v>PPP4R3A</v>
      </c>
      <c r="B10733" s="6">
        <v>0.31668331668331601</v>
      </c>
      <c r="C10733" s="6">
        <v>0.49297242759103599</v>
      </c>
    </row>
    <row r="10734" spans="1:3" s="7" customFormat="1" x14ac:dyDescent="0.2">
      <c r="A10734" s="6" t="str">
        <f>"C5orf51"</f>
        <v>C5orf51</v>
      </c>
      <c r="B10734" s="6">
        <v>0.31668331668331601</v>
      </c>
      <c r="C10734" s="6">
        <v>0.49297242759103599</v>
      </c>
    </row>
    <row r="10735" spans="1:3" s="7" customFormat="1" x14ac:dyDescent="0.2">
      <c r="A10735" s="6" t="str">
        <f>"SAT2"</f>
        <v>SAT2</v>
      </c>
      <c r="B10735" s="6">
        <v>0.31668331668331601</v>
      </c>
      <c r="C10735" s="6">
        <v>0.49297242759103599</v>
      </c>
    </row>
    <row r="10736" spans="1:3" s="7" customFormat="1" x14ac:dyDescent="0.2">
      <c r="A10736" s="6" t="str">
        <f>"YAE1"</f>
        <v>YAE1</v>
      </c>
      <c r="B10736" s="6">
        <v>0.31668331668331601</v>
      </c>
      <c r="C10736" s="6">
        <v>0.49297242759103599</v>
      </c>
    </row>
    <row r="10737" spans="1:3" s="7" customFormat="1" x14ac:dyDescent="0.2">
      <c r="A10737" s="6" t="str">
        <f>"AF165147.1"</f>
        <v>AF165147.1</v>
      </c>
      <c r="B10737" s="6">
        <v>0.31668331668331601</v>
      </c>
      <c r="C10737" s="6">
        <v>0.49297242759103599</v>
      </c>
    </row>
    <row r="10738" spans="1:3" s="7" customFormat="1" x14ac:dyDescent="0.2">
      <c r="A10738" s="6" t="str">
        <f>"PLP1"</f>
        <v>PLP1</v>
      </c>
      <c r="B10738" s="6">
        <v>0.31668331668331601</v>
      </c>
      <c r="C10738" s="6">
        <v>0.49297242759103599</v>
      </c>
    </row>
    <row r="10739" spans="1:3" s="7" customFormat="1" x14ac:dyDescent="0.2">
      <c r="A10739" s="6" t="str">
        <f>"SETX"</f>
        <v>SETX</v>
      </c>
      <c r="B10739" s="6">
        <v>0.317</v>
      </c>
      <c r="C10739" s="6">
        <v>0.49332756052141502</v>
      </c>
    </row>
    <row r="10740" spans="1:3" s="7" customFormat="1" x14ac:dyDescent="0.2">
      <c r="A10740" s="6" t="str">
        <f>"GSK3B"</f>
        <v>GSK3B</v>
      </c>
      <c r="B10740" s="6">
        <v>0.317</v>
      </c>
      <c r="C10740" s="6">
        <v>0.49332756052141502</v>
      </c>
    </row>
    <row r="10741" spans="1:3" s="7" customFormat="1" x14ac:dyDescent="0.2">
      <c r="A10741" s="6" t="str">
        <f>"KANSL1L-AS1"</f>
        <v>KANSL1L-AS1</v>
      </c>
      <c r="B10741" s="6">
        <v>0.317</v>
      </c>
      <c r="C10741" s="6">
        <v>0.49332756052141502</v>
      </c>
    </row>
    <row r="10742" spans="1:3" s="7" customFormat="1" x14ac:dyDescent="0.2">
      <c r="A10742" s="6" t="str">
        <f>"RBP7"</f>
        <v>RBP7</v>
      </c>
      <c r="B10742" s="6">
        <v>0.31768231768231697</v>
      </c>
      <c r="C10742" s="6">
        <v>0.49374579298328602</v>
      </c>
    </row>
    <row r="10743" spans="1:3" s="7" customFormat="1" x14ac:dyDescent="0.2">
      <c r="A10743" s="6" t="str">
        <f>"AL138720.1"</f>
        <v>AL138720.1</v>
      </c>
      <c r="B10743" s="6">
        <v>0.31731731731731699</v>
      </c>
      <c r="C10743" s="6">
        <v>0.49374579298328602</v>
      </c>
    </row>
    <row r="10744" spans="1:3" s="7" customFormat="1" x14ac:dyDescent="0.2">
      <c r="A10744" s="6" t="str">
        <f>"PSORS1C1"</f>
        <v>PSORS1C1</v>
      </c>
      <c r="B10744" s="6">
        <v>0.31768231768231697</v>
      </c>
      <c r="C10744" s="6">
        <v>0.49374579298328602</v>
      </c>
    </row>
    <row r="10745" spans="1:3" s="7" customFormat="1" x14ac:dyDescent="0.2">
      <c r="A10745" s="6" t="str">
        <f>"ZNF503-AS2"</f>
        <v>ZNF503-AS2</v>
      </c>
      <c r="B10745" s="6">
        <v>0.31768231768231697</v>
      </c>
      <c r="C10745" s="6">
        <v>0.49374579298328602</v>
      </c>
    </row>
    <row r="10746" spans="1:3" s="7" customFormat="1" x14ac:dyDescent="0.2">
      <c r="A10746" s="6" t="str">
        <f>"AC114744.2"</f>
        <v>AC114744.2</v>
      </c>
      <c r="B10746" s="6">
        <v>0.31768231768231697</v>
      </c>
      <c r="C10746" s="6">
        <v>0.49374579298328602</v>
      </c>
    </row>
    <row r="10747" spans="1:3" s="7" customFormat="1" x14ac:dyDescent="0.2">
      <c r="A10747" s="6" t="str">
        <f>"AC073429.2"</f>
        <v>AC073429.2</v>
      </c>
      <c r="B10747" s="6">
        <v>0.31768231768231697</v>
      </c>
      <c r="C10747" s="6">
        <v>0.49374579298328602</v>
      </c>
    </row>
    <row r="10748" spans="1:3" s="7" customFormat="1" x14ac:dyDescent="0.2">
      <c r="A10748" s="6" t="str">
        <f>"AC115618.1"</f>
        <v>AC115618.1</v>
      </c>
      <c r="B10748" s="6">
        <v>0.31734317343173402</v>
      </c>
      <c r="C10748" s="6">
        <v>0.49374579298328602</v>
      </c>
    </row>
    <row r="10749" spans="1:3" s="7" customFormat="1" x14ac:dyDescent="0.2">
      <c r="A10749" s="6" t="str">
        <f>"RN7SL834P"</f>
        <v>RN7SL834P</v>
      </c>
      <c r="B10749" s="6">
        <v>0.31768231768231697</v>
      </c>
      <c r="C10749" s="6">
        <v>0.49374579298328602</v>
      </c>
    </row>
    <row r="10750" spans="1:3" s="7" customFormat="1" x14ac:dyDescent="0.2">
      <c r="A10750" s="6" t="str">
        <f>"HS3ST2"</f>
        <v>HS3ST2</v>
      </c>
      <c r="B10750" s="6">
        <v>0.31768231768231697</v>
      </c>
      <c r="C10750" s="6">
        <v>0.49374579298328602</v>
      </c>
    </row>
    <row r="10751" spans="1:3" s="7" customFormat="1" x14ac:dyDescent="0.2">
      <c r="A10751" s="6" t="str">
        <f>"GOLGA6B"</f>
        <v>GOLGA6B</v>
      </c>
      <c r="B10751" s="6">
        <v>0.31768231768231697</v>
      </c>
      <c r="C10751" s="6">
        <v>0.49374579298328602</v>
      </c>
    </row>
    <row r="10752" spans="1:3" s="7" customFormat="1" x14ac:dyDescent="0.2">
      <c r="A10752" s="6" t="str">
        <f>"TDP1"</f>
        <v>TDP1</v>
      </c>
      <c r="B10752" s="6">
        <v>0.31768231768231697</v>
      </c>
      <c r="C10752" s="6">
        <v>0.49374579298328602</v>
      </c>
    </row>
    <row r="10753" spans="1:3" s="7" customFormat="1" x14ac:dyDescent="0.2">
      <c r="A10753" s="6" t="str">
        <f>"MAT1A"</f>
        <v>MAT1A</v>
      </c>
      <c r="B10753" s="6">
        <v>0.31768231768231697</v>
      </c>
      <c r="C10753" s="6">
        <v>0.49374579298328602</v>
      </c>
    </row>
    <row r="10754" spans="1:3" s="7" customFormat="1" x14ac:dyDescent="0.2">
      <c r="A10754" s="6" t="str">
        <f>"AC034236.2"</f>
        <v>AC034236.2</v>
      </c>
      <c r="B10754" s="6">
        <v>0.31768231768231697</v>
      </c>
      <c r="C10754" s="6">
        <v>0.49374579298328602</v>
      </c>
    </row>
    <row r="10755" spans="1:3" s="7" customFormat="1" x14ac:dyDescent="0.2">
      <c r="A10755" s="6" t="str">
        <f>"DNAJB5"</f>
        <v>DNAJB5</v>
      </c>
      <c r="B10755" s="6">
        <v>0.31768231768231697</v>
      </c>
      <c r="C10755" s="6">
        <v>0.49374579298328602</v>
      </c>
    </row>
    <row r="10756" spans="1:3" s="7" customFormat="1" x14ac:dyDescent="0.2">
      <c r="A10756" s="6" t="str">
        <f>"DLX3"</f>
        <v>DLX3</v>
      </c>
      <c r="B10756" s="6">
        <v>0.31868131868131799</v>
      </c>
      <c r="C10756" s="6">
        <v>0.49456263328129602</v>
      </c>
    </row>
    <row r="10757" spans="1:3" s="7" customFormat="1" x14ac:dyDescent="0.2">
      <c r="A10757" s="6" t="str">
        <f>"NIPAL3"</f>
        <v>NIPAL3</v>
      </c>
      <c r="B10757" s="6">
        <v>0.31868131868131799</v>
      </c>
      <c r="C10757" s="6">
        <v>0.49456263328129602</v>
      </c>
    </row>
    <row r="10758" spans="1:3" s="7" customFormat="1" x14ac:dyDescent="0.2">
      <c r="A10758" s="6" t="str">
        <f>"SART1"</f>
        <v>SART1</v>
      </c>
      <c r="B10758" s="6">
        <v>0.31868131868131799</v>
      </c>
      <c r="C10758" s="6">
        <v>0.49456263328129602</v>
      </c>
    </row>
    <row r="10759" spans="1:3" s="7" customFormat="1" x14ac:dyDescent="0.2">
      <c r="A10759" s="6" t="str">
        <f>"NUDT22"</f>
        <v>NUDT22</v>
      </c>
      <c r="B10759" s="6">
        <v>0.31868131868131799</v>
      </c>
      <c r="C10759" s="6">
        <v>0.49456263328129602</v>
      </c>
    </row>
    <row r="10760" spans="1:3" s="7" customFormat="1" x14ac:dyDescent="0.2">
      <c r="A10760" s="6" t="str">
        <f>"AL390195.2"</f>
        <v>AL390195.2</v>
      </c>
      <c r="B10760" s="6">
        <v>0.31868131868131799</v>
      </c>
      <c r="C10760" s="6">
        <v>0.49456263328129602</v>
      </c>
    </row>
    <row r="10761" spans="1:3" s="7" customFormat="1" x14ac:dyDescent="0.2">
      <c r="A10761" s="6" t="str">
        <f>"ZFHX4"</f>
        <v>ZFHX4</v>
      </c>
      <c r="B10761" s="6">
        <v>0.31868131868131799</v>
      </c>
      <c r="C10761" s="6">
        <v>0.49456263328129602</v>
      </c>
    </row>
    <row r="10762" spans="1:3" s="7" customFormat="1" x14ac:dyDescent="0.2">
      <c r="A10762" s="6" t="str">
        <f>"CENPO"</f>
        <v>CENPO</v>
      </c>
      <c r="B10762" s="6">
        <v>0.31868131868131799</v>
      </c>
      <c r="C10762" s="6">
        <v>0.49456263328129602</v>
      </c>
    </row>
    <row r="10763" spans="1:3" s="7" customFormat="1" x14ac:dyDescent="0.2">
      <c r="A10763" s="6" t="str">
        <f>"AC016134.1"</f>
        <v>AC016134.1</v>
      </c>
      <c r="B10763" s="6">
        <v>0.31868131868131799</v>
      </c>
      <c r="C10763" s="6">
        <v>0.49456263328129602</v>
      </c>
    </row>
    <row r="10764" spans="1:3" s="7" customFormat="1" x14ac:dyDescent="0.2">
      <c r="A10764" s="6" t="str">
        <f>"JMJD7-PLA2G4B"</f>
        <v>JMJD7-PLA2G4B</v>
      </c>
      <c r="B10764" s="6">
        <v>0.31868131868131799</v>
      </c>
      <c r="C10764" s="6">
        <v>0.49456263328129602</v>
      </c>
    </row>
    <row r="10765" spans="1:3" s="7" customFormat="1" x14ac:dyDescent="0.2">
      <c r="A10765" s="6" t="str">
        <f>"XCR1"</f>
        <v>XCR1</v>
      </c>
      <c r="B10765" s="6">
        <v>0.31868131868131799</v>
      </c>
      <c r="C10765" s="6">
        <v>0.49456263328129602</v>
      </c>
    </row>
    <row r="10766" spans="1:3" s="7" customFormat="1" x14ac:dyDescent="0.2">
      <c r="A10766" s="6" t="str">
        <f>"AL137783.1"</f>
        <v>AL137783.1</v>
      </c>
      <c r="B10766" s="6">
        <v>0.31868131868131799</v>
      </c>
      <c r="C10766" s="6">
        <v>0.49456263328129602</v>
      </c>
    </row>
    <row r="10767" spans="1:3" s="7" customFormat="1" x14ac:dyDescent="0.2">
      <c r="A10767" s="6" t="str">
        <f>"AKAP9"</f>
        <v>AKAP9</v>
      </c>
      <c r="B10767" s="6">
        <v>0.31868131868131799</v>
      </c>
      <c r="C10767" s="6">
        <v>0.49456263328129602</v>
      </c>
    </row>
    <row r="10768" spans="1:3" s="7" customFormat="1" x14ac:dyDescent="0.2">
      <c r="A10768" s="6" t="str">
        <f>"SAR1B"</f>
        <v>SAR1B</v>
      </c>
      <c r="B10768" s="6">
        <v>0.31868131868131799</v>
      </c>
      <c r="C10768" s="6">
        <v>0.49456263328129602</v>
      </c>
    </row>
    <row r="10769" spans="1:3" s="7" customFormat="1" x14ac:dyDescent="0.2">
      <c r="A10769" s="6" t="str">
        <f>"NHSL1"</f>
        <v>NHSL1</v>
      </c>
      <c r="B10769" s="6">
        <v>0.31868131868131799</v>
      </c>
      <c r="C10769" s="6">
        <v>0.49456263328129602</v>
      </c>
    </row>
    <row r="10770" spans="1:3" s="7" customFormat="1" x14ac:dyDescent="0.2">
      <c r="A10770" s="6" t="str">
        <f>"KANK3"</f>
        <v>KANK3</v>
      </c>
      <c r="B10770" s="6">
        <v>0.31868131868131799</v>
      </c>
      <c r="C10770" s="6">
        <v>0.49456263328129602</v>
      </c>
    </row>
    <row r="10771" spans="1:3" s="7" customFormat="1" x14ac:dyDescent="0.2">
      <c r="A10771" s="6" t="str">
        <f>"PCDHGB7"</f>
        <v>PCDHGB7</v>
      </c>
      <c r="B10771" s="6">
        <v>0.31868131868131799</v>
      </c>
      <c r="C10771" s="6">
        <v>0.49456263328129602</v>
      </c>
    </row>
    <row r="10772" spans="1:3" s="7" customFormat="1" x14ac:dyDescent="0.2">
      <c r="A10772" s="6" t="str">
        <f>"RN7SL605P"</f>
        <v>RN7SL605P</v>
      </c>
      <c r="B10772" s="6">
        <v>0.31895687061183498</v>
      </c>
      <c r="C10772" s="6">
        <v>0.49494430743721202</v>
      </c>
    </row>
    <row r="10773" spans="1:3" s="7" customFormat="1" x14ac:dyDescent="0.2">
      <c r="A10773" s="6" t="str">
        <f>"SUMO3"</f>
        <v>SUMO3</v>
      </c>
      <c r="B10773" s="6">
        <v>0.31900000000000001</v>
      </c>
      <c r="C10773" s="6">
        <v>0.49496528035647902</v>
      </c>
    </row>
    <row r="10774" spans="1:3" s="7" customFormat="1" x14ac:dyDescent="0.2">
      <c r="A10774" s="6" t="str">
        <f>"PNPLA8"</f>
        <v>PNPLA8</v>
      </c>
      <c r="B10774" s="6">
        <v>0.31968031968031901</v>
      </c>
      <c r="C10774" s="6">
        <v>0.49537705017029998</v>
      </c>
    </row>
    <row r="10775" spans="1:3" s="7" customFormat="1" x14ac:dyDescent="0.2">
      <c r="A10775" s="6" t="str">
        <f>"LINC02767"</f>
        <v>LINC02767</v>
      </c>
      <c r="B10775" s="6">
        <v>0.31968031968031901</v>
      </c>
      <c r="C10775" s="6">
        <v>0.49537705017029998</v>
      </c>
    </row>
    <row r="10776" spans="1:3" s="7" customFormat="1" x14ac:dyDescent="0.2">
      <c r="A10776" s="6" t="str">
        <f>"PDLIM5"</f>
        <v>PDLIM5</v>
      </c>
      <c r="B10776" s="6">
        <v>0.31968031968031901</v>
      </c>
      <c r="C10776" s="6">
        <v>0.49537705017029998</v>
      </c>
    </row>
    <row r="10777" spans="1:3" s="7" customFormat="1" x14ac:dyDescent="0.2">
      <c r="A10777" s="6" t="str">
        <f>"ZFAND3"</f>
        <v>ZFAND3</v>
      </c>
      <c r="B10777" s="6">
        <v>0.31968031968031901</v>
      </c>
      <c r="C10777" s="6">
        <v>0.49537705017029998</v>
      </c>
    </row>
    <row r="10778" spans="1:3" s="7" customFormat="1" x14ac:dyDescent="0.2">
      <c r="A10778" s="6" t="str">
        <f>"EEF2KMT"</f>
        <v>EEF2KMT</v>
      </c>
      <c r="B10778" s="6">
        <v>0.31968031968031901</v>
      </c>
      <c r="C10778" s="6">
        <v>0.49537705017029998</v>
      </c>
    </row>
    <row r="10779" spans="1:3" s="7" customFormat="1" x14ac:dyDescent="0.2">
      <c r="A10779" s="6" t="str">
        <f>"GYG1"</f>
        <v>GYG1</v>
      </c>
      <c r="B10779" s="6">
        <v>0.31968031968031901</v>
      </c>
      <c r="C10779" s="6">
        <v>0.49537705017029998</v>
      </c>
    </row>
    <row r="10780" spans="1:3" s="7" customFormat="1" x14ac:dyDescent="0.2">
      <c r="A10780" s="6" t="str">
        <f>"HELLS"</f>
        <v>HELLS</v>
      </c>
      <c r="B10780" s="6">
        <v>0.31968031968031901</v>
      </c>
      <c r="C10780" s="6">
        <v>0.49537705017029998</v>
      </c>
    </row>
    <row r="10781" spans="1:3" s="7" customFormat="1" x14ac:dyDescent="0.2">
      <c r="A10781" s="6" t="str">
        <f>"AL109659.2"</f>
        <v>AL109659.2</v>
      </c>
      <c r="B10781" s="6">
        <v>0.31968031968031901</v>
      </c>
      <c r="C10781" s="6">
        <v>0.49537705017029998</v>
      </c>
    </row>
    <row r="10782" spans="1:3" s="7" customFormat="1" x14ac:dyDescent="0.2">
      <c r="A10782" s="6" t="str">
        <f>"ZNF397"</f>
        <v>ZNF397</v>
      </c>
      <c r="B10782" s="6">
        <v>0.31968031968031901</v>
      </c>
      <c r="C10782" s="6">
        <v>0.49537705017029998</v>
      </c>
    </row>
    <row r="10783" spans="1:3" s="7" customFormat="1" x14ac:dyDescent="0.2">
      <c r="A10783" s="6" t="str">
        <f>"NFXL1"</f>
        <v>NFXL1</v>
      </c>
      <c r="B10783" s="6">
        <v>0.31968031968031901</v>
      </c>
      <c r="C10783" s="6">
        <v>0.49537705017029998</v>
      </c>
    </row>
    <row r="10784" spans="1:3" s="7" customFormat="1" x14ac:dyDescent="0.2">
      <c r="A10784" s="6" t="str">
        <f>"SERPINB8"</f>
        <v>SERPINB8</v>
      </c>
      <c r="B10784" s="6">
        <v>0.31968031968031901</v>
      </c>
      <c r="C10784" s="6">
        <v>0.49537705017029998</v>
      </c>
    </row>
    <row r="10785" spans="1:3" s="7" customFormat="1" x14ac:dyDescent="0.2">
      <c r="A10785" s="6" t="str">
        <f>"OR4D9"</f>
        <v>OR4D9</v>
      </c>
      <c r="B10785" s="6">
        <v>0.31968031968031901</v>
      </c>
      <c r="C10785" s="6">
        <v>0.49537705017029998</v>
      </c>
    </row>
    <row r="10786" spans="1:3" s="7" customFormat="1" x14ac:dyDescent="0.2">
      <c r="A10786" s="6" t="str">
        <f>"MRLN"</f>
        <v>MRLN</v>
      </c>
      <c r="B10786" s="6">
        <v>0.31968031968031901</v>
      </c>
      <c r="C10786" s="6">
        <v>0.49537705017029998</v>
      </c>
    </row>
    <row r="10787" spans="1:3" s="7" customFormat="1" x14ac:dyDescent="0.2">
      <c r="A10787" s="6" t="str">
        <f>"GGH"</f>
        <v>GGH</v>
      </c>
      <c r="B10787" s="6">
        <v>0.31968031968031901</v>
      </c>
      <c r="C10787" s="6">
        <v>0.49537705017029998</v>
      </c>
    </row>
    <row r="10788" spans="1:3" s="7" customFormat="1" x14ac:dyDescent="0.2">
      <c r="A10788" s="6" t="str">
        <f>"DYNC2I2"</f>
        <v>DYNC2I2</v>
      </c>
      <c r="B10788" s="6">
        <v>0.32</v>
      </c>
      <c r="C10788" s="6">
        <v>0.49582645777324502</v>
      </c>
    </row>
    <row r="10789" spans="1:3" s="7" customFormat="1" x14ac:dyDescent="0.2">
      <c r="A10789" s="6" t="str">
        <f>"AL139147.1"</f>
        <v>AL139147.1</v>
      </c>
      <c r="B10789" s="6">
        <v>0.32029598308668</v>
      </c>
      <c r="C10789" s="6">
        <v>0.49623906760389103</v>
      </c>
    </row>
    <row r="10790" spans="1:3" s="7" customFormat="1" x14ac:dyDescent="0.2">
      <c r="A10790" s="6" t="str">
        <f>"ERMN"</f>
        <v>ERMN</v>
      </c>
      <c r="B10790" s="6">
        <v>0.32067932067931998</v>
      </c>
      <c r="C10790" s="6">
        <v>0.49628094128094102</v>
      </c>
    </row>
    <row r="10791" spans="1:3" s="7" customFormat="1" x14ac:dyDescent="0.2">
      <c r="A10791" s="6" t="str">
        <f>"JAKMIP3"</f>
        <v>JAKMIP3</v>
      </c>
      <c r="B10791" s="6">
        <v>0.32067932067931998</v>
      </c>
      <c r="C10791" s="6">
        <v>0.49628094128094102</v>
      </c>
    </row>
    <row r="10792" spans="1:3" s="7" customFormat="1" x14ac:dyDescent="0.2">
      <c r="A10792" s="6" t="str">
        <f>"IRAIN"</f>
        <v>IRAIN</v>
      </c>
      <c r="B10792" s="6">
        <v>0.32067932067931998</v>
      </c>
      <c r="C10792" s="6">
        <v>0.49628094128094102</v>
      </c>
    </row>
    <row r="10793" spans="1:3" s="7" customFormat="1" x14ac:dyDescent="0.2">
      <c r="A10793" s="6" t="str">
        <f>"AACS"</f>
        <v>AACS</v>
      </c>
      <c r="B10793" s="6">
        <v>0.32067932067931998</v>
      </c>
      <c r="C10793" s="6">
        <v>0.49628094128094102</v>
      </c>
    </row>
    <row r="10794" spans="1:3" s="7" customFormat="1" x14ac:dyDescent="0.2">
      <c r="A10794" s="6" t="str">
        <f>"MOCS3"</f>
        <v>MOCS3</v>
      </c>
      <c r="B10794" s="6">
        <v>0.32067932067931998</v>
      </c>
      <c r="C10794" s="6">
        <v>0.49628094128094102</v>
      </c>
    </row>
    <row r="10795" spans="1:3" s="7" customFormat="1" x14ac:dyDescent="0.2">
      <c r="A10795" s="6" t="str">
        <f>"SARS2"</f>
        <v>SARS2</v>
      </c>
      <c r="B10795" s="6">
        <v>0.32067932067931998</v>
      </c>
      <c r="C10795" s="6">
        <v>0.49628094128094102</v>
      </c>
    </row>
    <row r="10796" spans="1:3" s="7" customFormat="1" x14ac:dyDescent="0.2">
      <c r="A10796" s="6" t="str">
        <f>"PIR"</f>
        <v>PIR</v>
      </c>
      <c r="B10796" s="6">
        <v>0.32067932067931998</v>
      </c>
      <c r="C10796" s="6">
        <v>0.49628094128094102</v>
      </c>
    </row>
    <row r="10797" spans="1:3" s="7" customFormat="1" x14ac:dyDescent="0.2">
      <c r="A10797" s="6" t="str">
        <f>"AKR1C7P"</f>
        <v>AKR1C7P</v>
      </c>
      <c r="B10797" s="6">
        <v>0.32067932067931998</v>
      </c>
      <c r="C10797" s="6">
        <v>0.49628094128094102</v>
      </c>
    </row>
    <row r="10798" spans="1:3" s="7" customFormat="1" x14ac:dyDescent="0.2">
      <c r="A10798" s="6" t="str">
        <f>"CES2"</f>
        <v>CES2</v>
      </c>
      <c r="B10798" s="6">
        <v>0.32067932067931998</v>
      </c>
      <c r="C10798" s="6">
        <v>0.49628094128094102</v>
      </c>
    </row>
    <row r="10799" spans="1:3" s="7" customFormat="1" x14ac:dyDescent="0.2">
      <c r="A10799" s="6" t="str">
        <f>"ZNF480"</f>
        <v>ZNF480</v>
      </c>
      <c r="B10799" s="6">
        <v>0.32067932067931998</v>
      </c>
      <c r="C10799" s="6">
        <v>0.49628094128094102</v>
      </c>
    </row>
    <row r="10800" spans="1:3" s="7" customFormat="1" x14ac:dyDescent="0.2">
      <c r="A10800" s="6" t="str">
        <f>"LINC01725"</f>
        <v>LINC01725</v>
      </c>
      <c r="B10800" s="6">
        <v>0.32067932067931998</v>
      </c>
      <c r="C10800" s="6">
        <v>0.49628094128094102</v>
      </c>
    </row>
    <row r="10801" spans="1:3" s="7" customFormat="1" x14ac:dyDescent="0.2">
      <c r="A10801" s="6" t="str">
        <f>"PARD6G-AS1"</f>
        <v>PARD6G-AS1</v>
      </c>
      <c r="B10801" s="6">
        <v>0.32067932067931998</v>
      </c>
      <c r="C10801" s="6">
        <v>0.49628094128094102</v>
      </c>
    </row>
    <row r="10802" spans="1:3" s="7" customFormat="1" x14ac:dyDescent="0.2">
      <c r="A10802" s="6" t="str">
        <f>"RCC2P6"</f>
        <v>RCC2P6</v>
      </c>
      <c r="B10802" s="6">
        <v>0.32100000000000001</v>
      </c>
      <c r="C10802" s="6">
        <v>0.49673122858994501</v>
      </c>
    </row>
    <row r="10803" spans="1:3" s="7" customFormat="1" x14ac:dyDescent="0.2">
      <c r="A10803" s="6" t="str">
        <f>"AC024560.5"</f>
        <v>AC024560.5</v>
      </c>
      <c r="B10803" s="6">
        <v>0.32128099173553698</v>
      </c>
      <c r="C10803" s="6">
        <v>0.49712002368707298</v>
      </c>
    </row>
    <row r="10804" spans="1:3" s="7" customFormat="1" x14ac:dyDescent="0.2">
      <c r="A10804" s="6" t="str">
        <f>"AC073174.1"</f>
        <v>AC073174.1</v>
      </c>
      <c r="B10804" s="6">
        <v>0.32132132132132102</v>
      </c>
      <c r="C10804" s="6">
        <v>0.49713640327358699</v>
      </c>
    </row>
    <row r="10805" spans="1:3" s="7" customFormat="1" x14ac:dyDescent="0.2">
      <c r="A10805" s="6" t="str">
        <f>"RNF207-AS1"</f>
        <v>RNF207-AS1</v>
      </c>
      <c r="B10805" s="6">
        <v>0.321678321678321</v>
      </c>
      <c r="C10805" s="6">
        <v>0.49736646332390999</v>
      </c>
    </row>
    <row r="10806" spans="1:3" s="7" customFormat="1" x14ac:dyDescent="0.2">
      <c r="A10806" s="6" t="str">
        <f>"CORO7-PAM16"</f>
        <v>CORO7-PAM16</v>
      </c>
      <c r="B10806" s="6">
        <v>0.321678321678321</v>
      </c>
      <c r="C10806" s="6">
        <v>0.49736646332390999</v>
      </c>
    </row>
    <row r="10807" spans="1:3" s="7" customFormat="1" x14ac:dyDescent="0.2">
      <c r="A10807" s="6" t="str">
        <f>"PPIL2"</f>
        <v>PPIL2</v>
      </c>
      <c r="B10807" s="6">
        <v>0.321678321678321</v>
      </c>
      <c r="C10807" s="6">
        <v>0.49736646332390999</v>
      </c>
    </row>
    <row r="10808" spans="1:3" s="7" customFormat="1" x14ac:dyDescent="0.2">
      <c r="A10808" s="6" t="str">
        <f>"PPIH"</f>
        <v>PPIH</v>
      </c>
      <c r="B10808" s="6">
        <v>0.321678321678321</v>
      </c>
      <c r="C10808" s="6">
        <v>0.49736646332390999</v>
      </c>
    </row>
    <row r="10809" spans="1:3" s="7" customFormat="1" x14ac:dyDescent="0.2">
      <c r="A10809" s="6" t="str">
        <f>"POLR3G"</f>
        <v>POLR3G</v>
      </c>
      <c r="B10809" s="6">
        <v>0.321678321678321</v>
      </c>
      <c r="C10809" s="6">
        <v>0.49736646332390999</v>
      </c>
    </row>
    <row r="10810" spans="1:3" s="7" customFormat="1" x14ac:dyDescent="0.2">
      <c r="A10810" s="6" t="str">
        <f>"ARHGEF19"</f>
        <v>ARHGEF19</v>
      </c>
      <c r="B10810" s="6">
        <v>0.321678321678321</v>
      </c>
      <c r="C10810" s="6">
        <v>0.49736646332390999</v>
      </c>
    </row>
    <row r="10811" spans="1:3" s="7" customFormat="1" x14ac:dyDescent="0.2">
      <c r="A10811" s="6" t="str">
        <f>"STMP1"</f>
        <v>STMP1</v>
      </c>
      <c r="B10811" s="6">
        <v>0.321678321678321</v>
      </c>
      <c r="C10811" s="6">
        <v>0.49736646332390999</v>
      </c>
    </row>
    <row r="10812" spans="1:3" s="7" customFormat="1" x14ac:dyDescent="0.2">
      <c r="A10812" s="6" t="str">
        <f>"AL357079.1"</f>
        <v>AL357079.1</v>
      </c>
      <c r="B10812" s="6">
        <v>0.32181425485961102</v>
      </c>
      <c r="C10812" s="6">
        <v>0.49753061286870198</v>
      </c>
    </row>
    <row r="10813" spans="1:3" s="7" customFormat="1" x14ac:dyDescent="0.2">
      <c r="A10813" s="6" t="str">
        <f>"ORMDL3"</f>
        <v>ORMDL3</v>
      </c>
      <c r="B10813" s="6">
        <v>0.32200000000000001</v>
      </c>
      <c r="C10813" s="6">
        <v>0.49763365695792799</v>
      </c>
    </row>
    <row r="10814" spans="1:3" s="7" customFormat="1" x14ac:dyDescent="0.2">
      <c r="A10814" s="6" t="str">
        <f>"RUBCN"</f>
        <v>RUBCN</v>
      </c>
      <c r="B10814" s="6">
        <v>0.32200000000000001</v>
      </c>
      <c r="C10814" s="6">
        <v>0.49763365695792799</v>
      </c>
    </row>
    <row r="10815" spans="1:3" s="7" customFormat="1" x14ac:dyDescent="0.2">
      <c r="A10815" s="6" t="str">
        <f>"PIK3C2G"</f>
        <v>PIK3C2G</v>
      </c>
      <c r="B10815" s="6">
        <v>0.32200000000000001</v>
      </c>
      <c r="C10815" s="6">
        <v>0.49763365695792799</v>
      </c>
    </row>
    <row r="10816" spans="1:3" s="7" customFormat="1" x14ac:dyDescent="0.2">
      <c r="A10816" s="6" t="str">
        <f>"TP53I11"</f>
        <v>TP53I11</v>
      </c>
      <c r="B10816" s="6">
        <v>0.32200000000000001</v>
      </c>
      <c r="C10816" s="6">
        <v>0.49763365695792799</v>
      </c>
    </row>
    <row r="10817" spans="1:3" s="7" customFormat="1" x14ac:dyDescent="0.2">
      <c r="A10817" s="6" t="str">
        <f>"AC027644.4"</f>
        <v>AC027644.4</v>
      </c>
      <c r="B10817" s="6">
        <v>0.32267732267732202</v>
      </c>
      <c r="C10817" s="6">
        <v>0.49808171141750701</v>
      </c>
    </row>
    <row r="10818" spans="1:3" s="7" customFormat="1" x14ac:dyDescent="0.2">
      <c r="A10818" s="6" t="str">
        <f>"YPEL5"</f>
        <v>YPEL5</v>
      </c>
      <c r="B10818" s="6">
        <v>0.32267732267732202</v>
      </c>
      <c r="C10818" s="6">
        <v>0.49808171141750701</v>
      </c>
    </row>
    <row r="10819" spans="1:3" s="7" customFormat="1" x14ac:dyDescent="0.2">
      <c r="A10819" s="6" t="str">
        <f>"AC005070.3"</f>
        <v>AC005070.3</v>
      </c>
      <c r="B10819" s="6">
        <v>0.32264529058116198</v>
      </c>
      <c r="C10819" s="6">
        <v>0.49808171141750701</v>
      </c>
    </row>
    <row r="10820" spans="1:3" s="7" customFormat="1" x14ac:dyDescent="0.2">
      <c r="A10820" s="6" t="str">
        <f>"ADAMTS10"</f>
        <v>ADAMTS10</v>
      </c>
      <c r="B10820" s="6">
        <v>0.32267732267732202</v>
      </c>
      <c r="C10820" s="6">
        <v>0.49808171141750701</v>
      </c>
    </row>
    <row r="10821" spans="1:3" s="7" customFormat="1" x14ac:dyDescent="0.2">
      <c r="A10821" s="6" t="str">
        <f>"AC016229.2"</f>
        <v>AC016229.2</v>
      </c>
      <c r="B10821" s="6">
        <v>0.32264529058116198</v>
      </c>
      <c r="C10821" s="6">
        <v>0.49808171141750701</v>
      </c>
    </row>
    <row r="10822" spans="1:3" s="7" customFormat="1" x14ac:dyDescent="0.2">
      <c r="A10822" s="6" t="str">
        <f>"RGL2"</f>
        <v>RGL2</v>
      </c>
      <c r="B10822" s="6">
        <v>0.32267732267732202</v>
      </c>
      <c r="C10822" s="6">
        <v>0.49808171141750701</v>
      </c>
    </row>
    <row r="10823" spans="1:3" s="7" customFormat="1" x14ac:dyDescent="0.2">
      <c r="A10823" s="6" t="str">
        <f>"HSPE1"</f>
        <v>HSPE1</v>
      </c>
      <c r="B10823" s="6">
        <v>0.32267732267732202</v>
      </c>
      <c r="C10823" s="6">
        <v>0.49808171141750701</v>
      </c>
    </row>
    <row r="10824" spans="1:3" s="7" customFormat="1" x14ac:dyDescent="0.2">
      <c r="A10824" s="6" t="str">
        <f>"ABCD3"</f>
        <v>ABCD3</v>
      </c>
      <c r="B10824" s="6">
        <v>0.32267732267732202</v>
      </c>
      <c r="C10824" s="6">
        <v>0.49808171141750701</v>
      </c>
    </row>
    <row r="10825" spans="1:3" s="7" customFormat="1" x14ac:dyDescent="0.2">
      <c r="A10825" s="6" t="str">
        <f>"PARP14"</f>
        <v>PARP14</v>
      </c>
      <c r="B10825" s="6">
        <v>0.32267732267732202</v>
      </c>
      <c r="C10825" s="6">
        <v>0.49808171141750701</v>
      </c>
    </row>
    <row r="10826" spans="1:3" s="7" customFormat="1" x14ac:dyDescent="0.2">
      <c r="A10826" s="6" t="str">
        <f>"ZDHHC3"</f>
        <v>ZDHHC3</v>
      </c>
      <c r="B10826" s="6">
        <v>0.32267732267732202</v>
      </c>
      <c r="C10826" s="6">
        <v>0.49808171141750701</v>
      </c>
    </row>
    <row r="10827" spans="1:3" s="7" customFormat="1" x14ac:dyDescent="0.2">
      <c r="A10827" s="6" t="str">
        <f>"AC112229.1"</f>
        <v>AC112229.1</v>
      </c>
      <c r="B10827" s="6">
        <v>0.322348094747682</v>
      </c>
      <c r="C10827" s="6">
        <v>0.49808171141750701</v>
      </c>
    </row>
    <row r="10828" spans="1:3" s="7" customFormat="1" x14ac:dyDescent="0.2">
      <c r="A10828" s="6" t="str">
        <f>"SYT10"</f>
        <v>SYT10</v>
      </c>
      <c r="B10828" s="6">
        <v>0.32267732267732202</v>
      </c>
      <c r="C10828" s="6">
        <v>0.49808171141750701</v>
      </c>
    </row>
    <row r="10829" spans="1:3" s="7" customFormat="1" x14ac:dyDescent="0.2">
      <c r="A10829" s="6" t="str">
        <f>"AADACP1"</f>
        <v>AADACP1</v>
      </c>
      <c r="B10829" s="6">
        <v>0.32267732267732202</v>
      </c>
      <c r="C10829" s="6">
        <v>0.49808171141750701</v>
      </c>
    </row>
    <row r="10830" spans="1:3" s="7" customFormat="1" x14ac:dyDescent="0.2">
      <c r="A10830" s="6" t="str">
        <f>"AC122129.1"</f>
        <v>AC122129.1</v>
      </c>
      <c r="B10830" s="6">
        <v>0.322937625754527</v>
      </c>
      <c r="C10830" s="6">
        <v>0.49843748054863402</v>
      </c>
    </row>
    <row r="10831" spans="1:3" s="7" customFormat="1" x14ac:dyDescent="0.2">
      <c r="A10831" s="6" t="str">
        <f>"AC079741.2"</f>
        <v>AC079741.2</v>
      </c>
      <c r="B10831" s="6">
        <v>0.32300000000000001</v>
      </c>
      <c r="C10831" s="6">
        <v>0.49848771929824498</v>
      </c>
    </row>
    <row r="10832" spans="1:3" s="7" customFormat="1" x14ac:dyDescent="0.2">
      <c r="A10832" s="6" t="str">
        <f>"ATP1B4"</f>
        <v>ATP1B4</v>
      </c>
      <c r="B10832" s="6">
        <v>0.32307692307692298</v>
      </c>
      <c r="C10832" s="6">
        <v>0.498560399991477</v>
      </c>
    </row>
    <row r="10833" spans="1:3" s="7" customFormat="1" x14ac:dyDescent="0.2">
      <c r="A10833" s="6" t="str">
        <f>"FBXW2"</f>
        <v>FBXW2</v>
      </c>
      <c r="B10833" s="6">
        <v>0.32367632367632299</v>
      </c>
      <c r="C10833" s="6">
        <v>0.49897860855248699</v>
      </c>
    </row>
    <row r="10834" spans="1:3" s="7" customFormat="1" x14ac:dyDescent="0.2">
      <c r="A10834" s="6" t="str">
        <f>"ETFB"</f>
        <v>ETFB</v>
      </c>
      <c r="B10834" s="6">
        <v>0.32367632367632299</v>
      </c>
      <c r="C10834" s="6">
        <v>0.49897860855248699</v>
      </c>
    </row>
    <row r="10835" spans="1:3" s="7" customFormat="1" x14ac:dyDescent="0.2">
      <c r="A10835" s="6" t="str">
        <f>"SEC11C"</f>
        <v>SEC11C</v>
      </c>
      <c r="B10835" s="6">
        <v>0.32367632367632299</v>
      </c>
      <c r="C10835" s="6">
        <v>0.49897860855248699</v>
      </c>
    </row>
    <row r="10836" spans="1:3" s="7" customFormat="1" x14ac:dyDescent="0.2">
      <c r="A10836" s="6" t="str">
        <f>"ZNF776"</f>
        <v>ZNF776</v>
      </c>
      <c r="B10836" s="6">
        <v>0.32367632367632299</v>
      </c>
      <c r="C10836" s="6">
        <v>0.49897860855248699</v>
      </c>
    </row>
    <row r="10837" spans="1:3" s="7" customFormat="1" x14ac:dyDescent="0.2">
      <c r="A10837" s="6" t="str">
        <f>"ANKHD1-EIF4EBP3"</f>
        <v>ANKHD1-EIF4EBP3</v>
      </c>
      <c r="B10837" s="6">
        <v>0.32367632367632299</v>
      </c>
      <c r="C10837" s="6">
        <v>0.49897860855248699</v>
      </c>
    </row>
    <row r="10838" spans="1:3" s="7" customFormat="1" x14ac:dyDescent="0.2">
      <c r="A10838" s="6" t="str">
        <f>"TOMM70"</f>
        <v>TOMM70</v>
      </c>
      <c r="B10838" s="6">
        <v>0.32367632367632299</v>
      </c>
      <c r="C10838" s="6">
        <v>0.49897860855248699</v>
      </c>
    </row>
    <row r="10839" spans="1:3" s="7" customFormat="1" x14ac:dyDescent="0.2">
      <c r="A10839" s="6" t="str">
        <f>"AC023905.1"</f>
        <v>AC023905.1</v>
      </c>
      <c r="B10839" s="6">
        <v>0.32367632367632299</v>
      </c>
      <c r="C10839" s="6">
        <v>0.49897860855248699</v>
      </c>
    </row>
    <row r="10840" spans="1:3" s="7" customFormat="1" x14ac:dyDescent="0.2">
      <c r="A10840" s="6" t="str">
        <f>"RPL17P50"</f>
        <v>RPL17P50</v>
      </c>
      <c r="B10840" s="6">
        <v>0.32364729458917801</v>
      </c>
      <c r="C10840" s="6">
        <v>0.49897860855248699</v>
      </c>
    </row>
    <row r="10841" spans="1:3" s="7" customFormat="1" x14ac:dyDescent="0.2">
      <c r="A10841" s="6" t="str">
        <f>"AC124248.1"</f>
        <v>AC124248.1</v>
      </c>
      <c r="B10841" s="6">
        <v>0.32367632367632299</v>
      </c>
      <c r="C10841" s="6">
        <v>0.49897860855248699</v>
      </c>
    </row>
    <row r="10842" spans="1:3" s="7" customFormat="1" x14ac:dyDescent="0.2">
      <c r="A10842" s="6" t="str">
        <f>"RPL27"</f>
        <v>RPL27</v>
      </c>
      <c r="B10842" s="6">
        <v>0.32367632367632299</v>
      </c>
      <c r="C10842" s="6">
        <v>0.49897860855248699</v>
      </c>
    </row>
    <row r="10843" spans="1:3" s="7" customFormat="1" x14ac:dyDescent="0.2">
      <c r="A10843" s="6" t="str">
        <f>"SLC22A18"</f>
        <v>SLC22A18</v>
      </c>
      <c r="B10843" s="6">
        <v>0.32367632367632299</v>
      </c>
      <c r="C10843" s="6">
        <v>0.49897860855248699</v>
      </c>
    </row>
    <row r="10844" spans="1:3" s="7" customFormat="1" x14ac:dyDescent="0.2">
      <c r="A10844" s="6" t="str">
        <f>"THSD8"</f>
        <v>THSD8</v>
      </c>
      <c r="B10844" s="6">
        <v>0.32432432432432401</v>
      </c>
      <c r="C10844" s="6">
        <v>0.49993145409542999</v>
      </c>
    </row>
    <row r="10845" spans="1:3" s="7" customFormat="1" x14ac:dyDescent="0.2">
      <c r="A10845" s="6" t="str">
        <f>"EIF1"</f>
        <v>EIF1</v>
      </c>
      <c r="B10845" s="6">
        <v>0.32467532467532401</v>
      </c>
      <c r="C10845" s="6">
        <v>0.50005744347801095</v>
      </c>
    </row>
    <row r="10846" spans="1:3" s="7" customFormat="1" x14ac:dyDescent="0.2">
      <c r="A10846" s="6" t="str">
        <f>"PRR13"</f>
        <v>PRR13</v>
      </c>
      <c r="B10846" s="6">
        <v>0.32467532467532401</v>
      </c>
      <c r="C10846" s="6">
        <v>0.50005744347801095</v>
      </c>
    </row>
    <row r="10847" spans="1:3" s="7" customFormat="1" x14ac:dyDescent="0.2">
      <c r="A10847" s="6" t="str">
        <f>"STARD3NL"</f>
        <v>STARD3NL</v>
      </c>
      <c r="B10847" s="6">
        <v>0.32467532467532401</v>
      </c>
      <c r="C10847" s="6">
        <v>0.50005744347801095</v>
      </c>
    </row>
    <row r="10848" spans="1:3" s="7" customFormat="1" x14ac:dyDescent="0.2">
      <c r="A10848" s="6" t="str">
        <f>"FOSL2"</f>
        <v>FOSL2</v>
      </c>
      <c r="B10848" s="6">
        <v>0.32467532467532401</v>
      </c>
      <c r="C10848" s="6">
        <v>0.50005744347801095</v>
      </c>
    </row>
    <row r="10849" spans="1:3" s="7" customFormat="1" x14ac:dyDescent="0.2">
      <c r="A10849" s="6" t="str">
        <f>"MMP10"</f>
        <v>MMP10</v>
      </c>
      <c r="B10849" s="6">
        <v>0.32467532467532401</v>
      </c>
      <c r="C10849" s="6">
        <v>0.50005744347801095</v>
      </c>
    </row>
    <row r="10850" spans="1:3" s="7" customFormat="1" x14ac:dyDescent="0.2">
      <c r="A10850" s="6" t="str">
        <f>"NAA38"</f>
        <v>NAA38</v>
      </c>
      <c r="B10850" s="6">
        <v>0.32467532467532401</v>
      </c>
      <c r="C10850" s="6">
        <v>0.50005744347801095</v>
      </c>
    </row>
    <row r="10851" spans="1:3" s="7" customFormat="1" x14ac:dyDescent="0.2">
      <c r="A10851" s="6" t="str">
        <f>"TPST1"</f>
        <v>TPST1</v>
      </c>
      <c r="B10851" s="6">
        <v>0.32467532467532401</v>
      </c>
      <c r="C10851" s="6">
        <v>0.50005744347801095</v>
      </c>
    </row>
    <row r="10852" spans="1:3" s="7" customFormat="1" x14ac:dyDescent="0.2">
      <c r="A10852" s="6" t="str">
        <f>"GGCT"</f>
        <v>GGCT</v>
      </c>
      <c r="B10852" s="6">
        <v>0.32467532467532401</v>
      </c>
      <c r="C10852" s="6">
        <v>0.50005744347801095</v>
      </c>
    </row>
    <row r="10853" spans="1:3" s="7" customFormat="1" x14ac:dyDescent="0.2">
      <c r="A10853" s="6" t="str">
        <f>"OTUD4"</f>
        <v>OTUD4</v>
      </c>
      <c r="B10853" s="6">
        <v>0.32467532467532401</v>
      </c>
      <c r="C10853" s="6">
        <v>0.50005744347801095</v>
      </c>
    </row>
    <row r="10854" spans="1:3" s="7" customFormat="1" x14ac:dyDescent="0.2">
      <c r="A10854" s="6" t="str">
        <f>"PAN3-AS1"</f>
        <v>PAN3-AS1</v>
      </c>
      <c r="B10854" s="6">
        <v>0.32500000000000001</v>
      </c>
      <c r="C10854" s="6">
        <v>0.50041916167664602</v>
      </c>
    </row>
    <row r="10855" spans="1:3" s="7" customFormat="1" x14ac:dyDescent="0.2">
      <c r="A10855" s="6" t="str">
        <f>"AL136419.1"</f>
        <v>AL136419.1</v>
      </c>
      <c r="B10855" s="6">
        <v>0.32500000000000001</v>
      </c>
      <c r="C10855" s="6">
        <v>0.50041916167664602</v>
      </c>
    </row>
    <row r="10856" spans="1:3" s="7" customFormat="1" x14ac:dyDescent="0.2">
      <c r="A10856" s="6" t="str">
        <f>"AC008962.1"</f>
        <v>AC008962.1</v>
      </c>
      <c r="B10856" s="6">
        <v>0.32500000000000001</v>
      </c>
      <c r="C10856" s="6">
        <v>0.50041916167664602</v>
      </c>
    </row>
    <row r="10857" spans="1:3" s="7" customFormat="1" x14ac:dyDescent="0.2">
      <c r="A10857" s="6" t="str">
        <f>"AC007996.1"</f>
        <v>AC007996.1</v>
      </c>
      <c r="B10857" s="6">
        <v>0.32567432567432503</v>
      </c>
      <c r="C10857" s="6">
        <v>0.50067335166672899</v>
      </c>
    </row>
    <row r="10858" spans="1:3" s="7" customFormat="1" x14ac:dyDescent="0.2">
      <c r="A10858" s="6" t="str">
        <f>"LRRC8B"</f>
        <v>LRRC8B</v>
      </c>
      <c r="B10858" s="6">
        <v>0.32567432567432503</v>
      </c>
      <c r="C10858" s="6">
        <v>0.50067335166672899</v>
      </c>
    </row>
    <row r="10859" spans="1:3" s="7" customFormat="1" x14ac:dyDescent="0.2">
      <c r="A10859" s="6" t="str">
        <f>"FOXK1"</f>
        <v>FOXK1</v>
      </c>
      <c r="B10859" s="6">
        <v>0.32567432567432503</v>
      </c>
      <c r="C10859" s="6">
        <v>0.50067335166672899</v>
      </c>
    </row>
    <row r="10860" spans="1:3" s="7" customFormat="1" x14ac:dyDescent="0.2">
      <c r="A10860" s="6" t="str">
        <f>"TMEM191A"</f>
        <v>TMEM191A</v>
      </c>
      <c r="B10860" s="6">
        <v>0.32567432567432503</v>
      </c>
      <c r="C10860" s="6">
        <v>0.50067335166672899</v>
      </c>
    </row>
    <row r="10861" spans="1:3" s="7" customFormat="1" x14ac:dyDescent="0.2">
      <c r="A10861" s="6" t="str">
        <f>"AC026347.1"</f>
        <v>AC026347.1</v>
      </c>
      <c r="B10861" s="6">
        <v>0.32565130260521002</v>
      </c>
      <c r="C10861" s="6">
        <v>0.50067335166672899</v>
      </c>
    </row>
    <row r="10862" spans="1:3" s="7" customFormat="1" x14ac:dyDescent="0.2">
      <c r="A10862" s="6" t="str">
        <f>"TIAL1"</f>
        <v>TIAL1</v>
      </c>
      <c r="B10862" s="6">
        <v>0.32567432567432503</v>
      </c>
      <c r="C10862" s="6">
        <v>0.50067335166672899</v>
      </c>
    </row>
    <row r="10863" spans="1:3" s="7" customFormat="1" x14ac:dyDescent="0.2">
      <c r="A10863" s="6" t="str">
        <f>"MREG"</f>
        <v>MREG</v>
      </c>
      <c r="B10863" s="6">
        <v>0.32567432567432503</v>
      </c>
      <c r="C10863" s="6">
        <v>0.50067335166672899</v>
      </c>
    </row>
    <row r="10864" spans="1:3" s="7" customFormat="1" x14ac:dyDescent="0.2">
      <c r="A10864" s="6" t="str">
        <f>"CLCC1"</f>
        <v>CLCC1</v>
      </c>
      <c r="B10864" s="6">
        <v>0.32567432567432503</v>
      </c>
      <c r="C10864" s="6">
        <v>0.50067335166672899</v>
      </c>
    </row>
    <row r="10865" spans="1:3" s="7" customFormat="1" x14ac:dyDescent="0.2">
      <c r="A10865" s="6" t="str">
        <f>"LRRN2"</f>
        <v>LRRN2</v>
      </c>
      <c r="B10865" s="6">
        <v>0.32567432567432503</v>
      </c>
      <c r="C10865" s="6">
        <v>0.50067335166672899</v>
      </c>
    </row>
    <row r="10866" spans="1:3" s="7" customFormat="1" x14ac:dyDescent="0.2">
      <c r="A10866" s="6" t="str">
        <f>"PRKAA1"</f>
        <v>PRKAA1</v>
      </c>
      <c r="B10866" s="6">
        <v>0.32567432567432503</v>
      </c>
      <c r="C10866" s="6">
        <v>0.50067335166672899</v>
      </c>
    </row>
    <row r="10867" spans="1:3" s="7" customFormat="1" x14ac:dyDescent="0.2">
      <c r="A10867" s="6" t="str">
        <f>"AL020996.1"</f>
        <v>AL020996.1</v>
      </c>
      <c r="B10867" s="6">
        <v>0.32567432567432503</v>
      </c>
      <c r="C10867" s="6">
        <v>0.50067335166672899</v>
      </c>
    </row>
    <row r="10868" spans="1:3" s="7" customFormat="1" x14ac:dyDescent="0.2">
      <c r="A10868" s="6" t="str">
        <f>"PDGFA"</f>
        <v>PDGFA</v>
      </c>
      <c r="B10868" s="6">
        <v>0.32567432567432503</v>
      </c>
      <c r="C10868" s="6">
        <v>0.50067335166672899</v>
      </c>
    </row>
    <row r="10869" spans="1:3" s="7" customFormat="1" x14ac:dyDescent="0.2">
      <c r="A10869" s="6" t="str">
        <f>"PDP1"</f>
        <v>PDP1</v>
      </c>
      <c r="B10869" s="6">
        <v>0.32567432567432503</v>
      </c>
      <c r="C10869" s="6">
        <v>0.50067335166672899</v>
      </c>
    </row>
    <row r="10870" spans="1:3" s="7" customFormat="1" x14ac:dyDescent="0.2">
      <c r="A10870" s="6" t="str">
        <f>"UIMC1"</f>
        <v>UIMC1</v>
      </c>
      <c r="B10870" s="6">
        <v>0.32567432567432503</v>
      </c>
      <c r="C10870" s="6">
        <v>0.50067335166672899</v>
      </c>
    </row>
    <row r="10871" spans="1:3" s="7" customFormat="1" x14ac:dyDescent="0.2">
      <c r="A10871" s="6" t="str">
        <f>"AC092683.1"</f>
        <v>AC092683.1</v>
      </c>
      <c r="B10871" s="6">
        <v>0.32567432567432503</v>
      </c>
      <c r="C10871" s="6">
        <v>0.50067335166672899</v>
      </c>
    </row>
    <row r="10872" spans="1:3" s="7" customFormat="1" x14ac:dyDescent="0.2">
      <c r="A10872" s="6" t="str">
        <f>"IRS2"</f>
        <v>IRS2</v>
      </c>
      <c r="B10872" s="6">
        <v>0.32567432567432503</v>
      </c>
      <c r="C10872" s="6">
        <v>0.50067335166672899</v>
      </c>
    </row>
    <row r="10873" spans="1:3" s="7" customFormat="1" x14ac:dyDescent="0.2">
      <c r="A10873" s="6" t="str">
        <f>"KANK4"</f>
        <v>KANK4</v>
      </c>
      <c r="B10873" s="6">
        <v>0.32567432567432503</v>
      </c>
      <c r="C10873" s="6">
        <v>0.50067335166672899</v>
      </c>
    </row>
    <row r="10874" spans="1:3" s="7" customFormat="1" x14ac:dyDescent="0.2">
      <c r="A10874" s="6" t="str">
        <f>"PSMB2"</f>
        <v>PSMB2</v>
      </c>
      <c r="B10874" s="6">
        <v>0.32600000000000001</v>
      </c>
      <c r="C10874" s="6">
        <v>0.50112793157362201</v>
      </c>
    </row>
    <row r="10875" spans="1:3" s="7" customFormat="1" x14ac:dyDescent="0.2">
      <c r="A10875" s="6" t="str">
        <f>"ATP6V1D"</f>
        <v>ATP6V1D</v>
      </c>
      <c r="B10875" s="6">
        <v>0.32667332667332599</v>
      </c>
      <c r="C10875" s="6">
        <v>0.50137906170963997</v>
      </c>
    </row>
    <row r="10876" spans="1:3" s="7" customFormat="1" x14ac:dyDescent="0.2">
      <c r="A10876" s="6" t="str">
        <f>"SLC35C2"</f>
        <v>SLC35C2</v>
      </c>
      <c r="B10876" s="6">
        <v>0.32667332667332599</v>
      </c>
      <c r="C10876" s="6">
        <v>0.50137906170963997</v>
      </c>
    </row>
    <row r="10877" spans="1:3" s="7" customFormat="1" x14ac:dyDescent="0.2">
      <c r="A10877" s="6" t="str">
        <f>"UTP3"</f>
        <v>UTP3</v>
      </c>
      <c r="B10877" s="6">
        <v>0.32667332667332599</v>
      </c>
      <c r="C10877" s="6">
        <v>0.50137906170963997</v>
      </c>
    </row>
    <row r="10878" spans="1:3" s="7" customFormat="1" x14ac:dyDescent="0.2">
      <c r="A10878" s="6" t="str">
        <f>"CLDN23"</f>
        <v>CLDN23</v>
      </c>
      <c r="B10878" s="6">
        <v>0.32667332667332599</v>
      </c>
      <c r="C10878" s="6">
        <v>0.50137906170963997</v>
      </c>
    </row>
    <row r="10879" spans="1:3" s="7" customFormat="1" x14ac:dyDescent="0.2">
      <c r="A10879" s="6" t="str">
        <f>"NCKAP5L"</f>
        <v>NCKAP5L</v>
      </c>
      <c r="B10879" s="6">
        <v>0.32667332667332599</v>
      </c>
      <c r="C10879" s="6">
        <v>0.50137906170963997</v>
      </c>
    </row>
    <row r="10880" spans="1:3" s="7" customFormat="1" x14ac:dyDescent="0.2">
      <c r="A10880" s="6" t="str">
        <f>"EIF2AK4"</f>
        <v>EIF2AK4</v>
      </c>
      <c r="B10880" s="6">
        <v>0.32667332667332599</v>
      </c>
      <c r="C10880" s="6">
        <v>0.50137906170963997</v>
      </c>
    </row>
    <row r="10881" spans="1:3" s="7" customFormat="1" x14ac:dyDescent="0.2">
      <c r="A10881" s="6" t="str">
        <f>"CCDC144NL-AS1"</f>
        <v>CCDC144NL-AS1</v>
      </c>
      <c r="B10881" s="6">
        <v>0.32667332667332599</v>
      </c>
      <c r="C10881" s="6">
        <v>0.50137906170963997</v>
      </c>
    </row>
    <row r="10882" spans="1:3" s="7" customFormat="1" x14ac:dyDescent="0.2">
      <c r="A10882" s="6" t="str">
        <f>"KRT16P3"</f>
        <v>KRT16P3</v>
      </c>
      <c r="B10882" s="6">
        <v>0.32667332667332599</v>
      </c>
      <c r="C10882" s="6">
        <v>0.50137906170963997</v>
      </c>
    </row>
    <row r="10883" spans="1:3" s="7" customFormat="1" x14ac:dyDescent="0.2">
      <c r="A10883" s="6" t="str">
        <f>"ACOT9"</f>
        <v>ACOT9</v>
      </c>
      <c r="B10883" s="6">
        <v>0.32667332667332599</v>
      </c>
      <c r="C10883" s="6">
        <v>0.50137906170963997</v>
      </c>
    </row>
    <row r="10884" spans="1:3" s="7" customFormat="1" x14ac:dyDescent="0.2">
      <c r="A10884" s="6" t="str">
        <f>"PKN2"</f>
        <v>PKN2</v>
      </c>
      <c r="B10884" s="6">
        <v>0.32667332667332599</v>
      </c>
      <c r="C10884" s="6">
        <v>0.50137906170963997</v>
      </c>
    </row>
    <row r="10885" spans="1:3" s="7" customFormat="1" x14ac:dyDescent="0.2">
      <c r="A10885" s="6" t="str">
        <f>"LINC01269"</f>
        <v>LINC01269</v>
      </c>
      <c r="B10885" s="6">
        <v>0.32667332667332599</v>
      </c>
      <c r="C10885" s="6">
        <v>0.50137906170963997</v>
      </c>
    </row>
    <row r="10886" spans="1:3" s="7" customFormat="1" x14ac:dyDescent="0.2">
      <c r="A10886" s="6" t="str">
        <f>"AP002852.1"</f>
        <v>AP002852.1</v>
      </c>
      <c r="B10886" s="6">
        <v>0.32667332667332599</v>
      </c>
      <c r="C10886" s="6">
        <v>0.50137906170963997</v>
      </c>
    </row>
    <row r="10887" spans="1:3" s="7" customFormat="1" x14ac:dyDescent="0.2">
      <c r="A10887" s="6" t="str">
        <f>"SIRT7"</f>
        <v>SIRT7</v>
      </c>
      <c r="B10887" s="6">
        <v>0.32667332667332599</v>
      </c>
      <c r="C10887" s="6">
        <v>0.50137906170963997</v>
      </c>
    </row>
    <row r="10888" spans="1:3" s="7" customFormat="1" x14ac:dyDescent="0.2">
      <c r="A10888" s="6" t="str">
        <f>"UMODL1"</f>
        <v>UMODL1</v>
      </c>
      <c r="B10888" s="6">
        <v>0.32667332667332599</v>
      </c>
      <c r="C10888" s="6">
        <v>0.50137906170963997</v>
      </c>
    </row>
    <row r="10889" spans="1:3" s="7" customFormat="1" x14ac:dyDescent="0.2">
      <c r="A10889" s="6" t="str">
        <f>"AC104819.3"</f>
        <v>AC104819.3</v>
      </c>
      <c r="B10889" s="6">
        <v>0.32630522088353398</v>
      </c>
      <c r="C10889" s="6">
        <v>0.50137906170963997</v>
      </c>
    </row>
    <row r="10890" spans="1:3" s="7" customFormat="1" x14ac:dyDescent="0.2">
      <c r="A10890" s="6" t="str">
        <f>"L3HYPDH"</f>
        <v>L3HYPDH</v>
      </c>
      <c r="B10890" s="6">
        <v>0.32667332667332599</v>
      </c>
      <c r="C10890" s="6">
        <v>0.50137906170963997</v>
      </c>
    </row>
    <row r="10891" spans="1:3" s="7" customFormat="1" x14ac:dyDescent="0.2">
      <c r="A10891" s="6" t="str">
        <f>"MARCHF6"</f>
        <v>MARCHF6</v>
      </c>
      <c r="B10891" s="6">
        <v>0.32667332667332599</v>
      </c>
      <c r="C10891" s="6">
        <v>0.50137906170963997</v>
      </c>
    </row>
    <row r="10892" spans="1:3" s="7" customFormat="1" x14ac:dyDescent="0.2">
      <c r="A10892" s="6" t="str">
        <f>"FRMD8"</f>
        <v>FRMD8</v>
      </c>
      <c r="B10892" s="6">
        <v>0.32700000000000001</v>
      </c>
      <c r="C10892" s="6">
        <v>0.50183435864475201</v>
      </c>
    </row>
    <row r="10893" spans="1:3" s="7" customFormat="1" x14ac:dyDescent="0.2">
      <c r="A10893" s="6" t="str">
        <f>"UBAC2-AS1"</f>
        <v>UBAC2-AS1</v>
      </c>
      <c r="B10893" s="6">
        <v>0.32767232767232701</v>
      </c>
      <c r="C10893" s="6">
        <v>0.50222056714491303</v>
      </c>
    </row>
    <row r="10894" spans="1:3" s="7" customFormat="1" x14ac:dyDescent="0.2">
      <c r="A10894" s="6" t="str">
        <f>"TSTD3"</f>
        <v>TSTD3</v>
      </c>
      <c r="B10894" s="6">
        <v>0.32767232767232701</v>
      </c>
      <c r="C10894" s="6">
        <v>0.50222056714491303</v>
      </c>
    </row>
    <row r="10895" spans="1:3" s="7" customFormat="1" x14ac:dyDescent="0.2">
      <c r="A10895" s="6" t="str">
        <f>"SDR42E1"</f>
        <v>SDR42E1</v>
      </c>
      <c r="B10895" s="6">
        <v>0.32767232767232701</v>
      </c>
      <c r="C10895" s="6">
        <v>0.50222056714491303</v>
      </c>
    </row>
    <row r="10896" spans="1:3" s="7" customFormat="1" x14ac:dyDescent="0.2">
      <c r="A10896" s="6" t="str">
        <f>"EGFR"</f>
        <v>EGFR</v>
      </c>
      <c r="B10896" s="6">
        <v>0.32767232767232701</v>
      </c>
      <c r="C10896" s="6">
        <v>0.50222056714491303</v>
      </c>
    </row>
    <row r="10897" spans="1:3" s="7" customFormat="1" x14ac:dyDescent="0.2">
      <c r="A10897" s="6" t="str">
        <f>"ZDHHC15"</f>
        <v>ZDHHC15</v>
      </c>
      <c r="B10897" s="6">
        <v>0.32767232767232701</v>
      </c>
      <c r="C10897" s="6">
        <v>0.50222056714491303</v>
      </c>
    </row>
    <row r="10898" spans="1:3" s="7" customFormat="1" x14ac:dyDescent="0.2">
      <c r="A10898" s="6" t="str">
        <f>"BCS1L"</f>
        <v>BCS1L</v>
      </c>
      <c r="B10898" s="6">
        <v>0.32767232767232701</v>
      </c>
      <c r="C10898" s="6">
        <v>0.50222056714491303</v>
      </c>
    </row>
    <row r="10899" spans="1:3" s="7" customFormat="1" x14ac:dyDescent="0.2">
      <c r="A10899" s="6" t="str">
        <f>"AC005332.1"</f>
        <v>AC005332.1</v>
      </c>
      <c r="B10899" s="6">
        <v>0.32760364004044401</v>
      </c>
      <c r="C10899" s="6">
        <v>0.50222056714491303</v>
      </c>
    </row>
    <row r="10900" spans="1:3" s="7" customFormat="1" x14ac:dyDescent="0.2">
      <c r="A10900" s="6" t="str">
        <f>"CA9"</f>
        <v>CA9</v>
      </c>
      <c r="B10900" s="6">
        <v>0.32767232767232701</v>
      </c>
      <c r="C10900" s="6">
        <v>0.50222056714491303</v>
      </c>
    </row>
    <row r="10901" spans="1:3" s="7" customFormat="1" x14ac:dyDescent="0.2">
      <c r="A10901" s="6" t="str">
        <f>"GYG2P1"</f>
        <v>GYG2P1</v>
      </c>
      <c r="B10901" s="6">
        <v>0.32747933884297498</v>
      </c>
      <c r="C10901" s="6">
        <v>0.50222056714491303</v>
      </c>
    </row>
    <row r="10902" spans="1:3" s="7" customFormat="1" x14ac:dyDescent="0.2">
      <c r="A10902" s="6" t="str">
        <f>"GALNTL6"</f>
        <v>GALNTL6</v>
      </c>
      <c r="B10902" s="6">
        <v>0.32752992383024998</v>
      </c>
      <c r="C10902" s="6">
        <v>0.50222056714491303</v>
      </c>
    </row>
    <row r="10903" spans="1:3" s="7" customFormat="1" x14ac:dyDescent="0.2">
      <c r="A10903" s="6" t="str">
        <f>"AC092724.1"</f>
        <v>AC092724.1</v>
      </c>
      <c r="B10903" s="6">
        <v>0.32767232767232701</v>
      </c>
      <c r="C10903" s="6">
        <v>0.50222056714491303</v>
      </c>
    </row>
    <row r="10904" spans="1:3" s="7" customFormat="1" x14ac:dyDescent="0.2">
      <c r="A10904" s="6" t="str">
        <f>"ARHGAP40"</f>
        <v>ARHGAP40</v>
      </c>
      <c r="B10904" s="6">
        <v>0.32767232767232701</v>
      </c>
      <c r="C10904" s="6">
        <v>0.50222056714491303</v>
      </c>
    </row>
    <row r="10905" spans="1:3" s="7" customFormat="1" x14ac:dyDescent="0.2">
      <c r="A10905" s="6" t="str">
        <f>"CFAP92"</f>
        <v>CFAP92</v>
      </c>
      <c r="B10905" s="6">
        <v>0.32767232767232701</v>
      </c>
      <c r="C10905" s="6">
        <v>0.50222056714491303</v>
      </c>
    </row>
    <row r="10906" spans="1:3" s="7" customFormat="1" x14ac:dyDescent="0.2">
      <c r="A10906" s="6" t="str">
        <f>"AC211476.5"</f>
        <v>AC211476.5</v>
      </c>
      <c r="B10906" s="6">
        <v>0.32767232767232701</v>
      </c>
      <c r="C10906" s="6">
        <v>0.50222056714491303</v>
      </c>
    </row>
    <row r="10907" spans="1:3" s="7" customFormat="1" x14ac:dyDescent="0.2">
      <c r="A10907" s="6" t="str">
        <f>"AL008727.1"</f>
        <v>AL008727.1</v>
      </c>
      <c r="B10907" s="6">
        <v>0.32800000000000001</v>
      </c>
      <c r="C10907" s="6">
        <v>0.50267669172932306</v>
      </c>
    </row>
    <row r="10908" spans="1:3" s="7" customFormat="1" x14ac:dyDescent="0.2">
      <c r="A10908" s="6" t="str">
        <f>"HINT1"</f>
        <v>HINT1</v>
      </c>
      <c r="B10908" s="6">
        <v>0.32867132867132798</v>
      </c>
      <c r="C10908" s="6">
        <v>0.50296764213629197</v>
      </c>
    </row>
    <row r="10909" spans="1:3" s="7" customFormat="1" x14ac:dyDescent="0.2">
      <c r="A10909" s="6" t="str">
        <f>"SSH3"</f>
        <v>SSH3</v>
      </c>
      <c r="B10909" s="6">
        <v>0.32867132867132798</v>
      </c>
      <c r="C10909" s="6">
        <v>0.50296764213629197</v>
      </c>
    </row>
    <row r="10910" spans="1:3" s="7" customFormat="1" x14ac:dyDescent="0.2">
      <c r="A10910" s="6" t="str">
        <f>"AC025048.4"</f>
        <v>AC025048.4</v>
      </c>
      <c r="B10910" s="6">
        <v>0.32864321608040198</v>
      </c>
      <c r="C10910" s="6">
        <v>0.50296764213629197</v>
      </c>
    </row>
    <row r="10911" spans="1:3" s="7" customFormat="1" x14ac:dyDescent="0.2">
      <c r="A10911" s="6" t="str">
        <f>"SCFD1"</f>
        <v>SCFD1</v>
      </c>
      <c r="B10911" s="6">
        <v>0.32867132867132798</v>
      </c>
      <c r="C10911" s="6">
        <v>0.50296764213629197</v>
      </c>
    </row>
    <row r="10912" spans="1:3" s="7" customFormat="1" x14ac:dyDescent="0.2">
      <c r="A10912" s="6" t="str">
        <f>"SKIV2L"</f>
        <v>SKIV2L</v>
      </c>
      <c r="B10912" s="6">
        <v>0.32867132867132798</v>
      </c>
      <c r="C10912" s="6">
        <v>0.50296764213629197</v>
      </c>
    </row>
    <row r="10913" spans="1:3" s="7" customFormat="1" x14ac:dyDescent="0.2">
      <c r="A10913" s="6" t="str">
        <f>"DBNL"</f>
        <v>DBNL</v>
      </c>
      <c r="B10913" s="6">
        <v>0.32867132867132798</v>
      </c>
      <c r="C10913" s="6">
        <v>0.50296764213629197</v>
      </c>
    </row>
    <row r="10914" spans="1:3" s="7" customFormat="1" x14ac:dyDescent="0.2">
      <c r="A10914" s="6" t="str">
        <f>"LRRC39"</f>
        <v>LRRC39</v>
      </c>
      <c r="B10914" s="6">
        <v>0.32867132867132798</v>
      </c>
      <c r="C10914" s="6">
        <v>0.50296764213629197</v>
      </c>
    </row>
    <row r="10915" spans="1:3" s="7" customFormat="1" x14ac:dyDescent="0.2">
      <c r="A10915" s="6" t="str">
        <f>"RPS14"</f>
        <v>RPS14</v>
      </c>
      <c r="B10915" s="6">
        <v>0.32867132867132798</v>
      </c>
      <c r="C10915" s="6">
        <v>0.50296764213629197</v>
      </c>
    </row>
    <row r="10916" spans="1:3" s="7" customFormat="1" x14ac:dyDescent="0.2">
      <c r="A10916" s="6" t="str">
        <f>"CSKMT"</f>
        <v>CSKMT</v>
      </c>
      <c r="B10916" s="6">
        <v>0.32867132867132798</v>
      </c>
      <c r="C10916" s="6">
        <v>0.50296764213629197</v>
      </c>
    </row>
    <row r="10917" spans="1:3" s="7" customFormat="1" x14ac:dyDescent="0.2">
      <c r="A10917" s="6" t="str">
        <f>"GALNT7"</f>
        <v>GALNT7</v>
      </c>
      <c r="B10917" s="6">
        <v>0.32867132867132798</v>
      </c>
      <c r="C10917" s="6">
        <v>0.50296764213629197</v>
      </c>
    </row>
    <row r="10918" spans="1:3" s="7" customFormat="1" x14ac:dyDescent="0.2">
      <c r="A10918" s="6" t="str">
        <f>"AC099548.2"</f>
        <v>AC099548.2</v>
      </c>
      <c r="B10918" s="6">
        <v>0.32867132867132798</v>
      </c>
      <c r="C10918" s="6">
        <v>0.50296764213629197</v>
      </c>
    </row>
    <row r="10919" spans="1:3" s="7" customFormat="1" x14ac:dyDescent="0.2">
      <c r="A10919" s="6" t="str">
        <f>"AC138649.1"</f>
        <v>AC138649.1</v>
      </c>
      <c r="B10919" s="6">
        <v>0.32867132867132798</v>
      </c>
      <c r="C10919" s="6">
        <v>0.50296764213629197</v>
      </c>
    </row>
    <row r="10920" spans="1:3" s="7" customFormat="1" x14ac:dyDescent="0.2">
      <c r="A10920" s="6" t="str">
        <f>"ACOX1"</f>
        <v>ACOX1</v>
      </c>
      <c r="B10920" s="6">
        <v>0.32867132867132798</v>
      </c>
      <c r="C10920" s="6">
        <v>0.50296764213629197</v>
      </c>
    </row>
    <row r="10921" spans="1:3" s="7" customFormat="1" x14ac:dyDescent="0.2">
      <c r="A10921" s="6" t="str">
        <f>"CBY1"</f>
        <v>CBY1</v>
      </c>
      <c r="B10921" s="6">
        <v>0.32867132867132798</v>
      </c>
      <c r="C10921" s="6">
        <v>0.50296764213629197</v>
      </c>
    </row>
    <row r="10922" spans="1:3" s="7" customFormat="1" x14ac:dyDescent="0.2">
      <c r="A10922" s="6" t="str">
        <f>"SLC25A13"</f>
        <v>SLC25A13</v>
      </c>
      <c r="B10922" s="6">
        <v>0.32867132867132798</v>
      </c>
      <c r="C10922" s="6">
        <v>0.50296764213629197</v>
      </c>
    </row>
    <row r="10923" spans="1:3" s="7" customFormat="1" x14ac:dyDescent="0.2">
      <c r="A10923" s="6" t="str">
        <f>"MIR1302-9HG"</f>
        <v>MIR1302-9HG</v>
      </c>
      <c r="B10923" s="6">
        <v>0.32867132867132798</v>
      </c>
      <c r="C10923" s="6">
        <v>0.50296764213629197</v>
      </c>
    </row>
    <row r="10924" spans="1:3" s="7" customFormat="1" x14ac:dyDescent="0.2">
      <c r="A10924" s="6" t="str">
        <f>"MMD"</f>
        <v>MMD</v>
      </c>
      <c r="B10924" s="6">
        <v>0.329670329670329</v>
      </c>
      <c r="C10924" s="6">
        <v>0.50403493323361503</v>
      </c>
    </row>
    <row r="10925" spans="1:3" s="7" customFormat="1" x14ac:dyDescent="0.2">
      <c r="A10925" s="6" t="str">
        <f>"SBDS"</f>
        <v>SBDS</v>
      </c>
      <c r="B10925" s="6">
        <v>0.329670329670329</v>
      </c>
      <c r="C10925" s="6">
        <v>0.50403493323361503</v>
      </c>
    </row>
    <row r="10926" spans="1:3" s="7" customFormat="1" x14ac:dyDescent="0.2">
      <c r="A10926" s="6" t="str">
        <f>"C6orf201"</f>
        <v>C6orf201</v>
      </c>
      <c r="B10926" s="6">
        <v>0.329670329670329</v>
      </c>
      <c r="C10926" s="6">
        <v>0.50403493323361503</v>
      </c>
    </row>
    <row r="10927" spans="1:3" s="7" customFormat="1" x14ac:dyDescent="0.2">
      <c r="A10927" s="6" t="str">
        <f>"ABAT"</f>
        <v>ABAT</v>
      </c>
      <c r="B10927" s="6">
        <v>0.329670329670329</v>
      </c>
      <c r="C10927" s="6">
        <v>0.50403493323361503</v>
      </c>
    </row>
    <row r="10928" spans="1:3" s="7" customFormat="1" x14ac:dyDescent="0.2">
      <c r="A10928" s="6" t="str">
        <f>"AC019257.1"</f>
        <v>AC019257.1</v>
      </c>
      <c r="B10928" s="6">
        <v>0.329670329670329</v>
      </c>
      <c r="C10928" s="6">
        <v>0.50403493323361503</v>
      </c>
    </row>
    <row r="10929" spans="1:3" s="7" customFormat="1" x14ac:dyDescent="0.2">
      <c r="A10929" s="6" t="str">
        <f>"AC005785.1"</f>
        <v>AC005785.1</v>
      </c>
      <c r="B10929" s="6">
        <v>0.329670329670329</v>
      </c>
      <c r="C10929" s="6">
        <v>0.50403493323361503</v>
      </c>
    </row>
    <row r="10930" spans="1:3" s="7" customFormat="1" x14ac:dyDescent="0.2">
      <c r="A10930" s="6" t="str">
        <f>"AC090425.3"</f>
        <v>AC090425.3</v>
      </c>
      <c r="B10930" s="6">
        <v>0.32950990615224102</v>
      </c>
      <c r="C10930" s="6">
        <v>0.50403493323361503</v>
      </c>
    </row>
    <row r="10931" spans="1:3" s="7" customFormat="1" x14ac:dyDescent="0.2">
      <c r="A10931" s="6" t="str">
        <f>"AC010336.2"</f>
        <v>AC010336.2</v>
      </c>
      <c r="B10931" s="6">
        <v>0.329670329670329</v>
      </c>
      <c r="C10931" s="6">
        <v>0.50403493323361503</v>
      </c>
    </row>
    <row r="10932" spans="1:3" s="7" customFormat="1" x14ac:dyDescent="0.2">
      <c r="A10932" s="6" t="str">
        <f>"SPINK1"</f>
        <v>SPINK1</v>
      </c>
      <c r="B10932" s="6">
        <v>0.329670329670329</v>
      </c>
      <c r="C10932" s="6">
        <v>0.50403493323361503</v>
      </c>
    </row>
    <row r="10933" spans="1:3" s="7" customFormat="1" x14ac:dyDescent="0.2">
      <c r="A10933" s="6" t="str">
        <f>"PCARE"</f>
        <v>PCARE</v>
      </c>
      <c r="B10933" s="6">
        <v>0.329670329670329</v>
      </c>
      <c r="C10933" s="6">
        <v>0.50403493323361503</v>
      </c>
    </row>
    <row r="10934" spans="1:3" s="7" customFormat="1" x14ac:dyDescent="0.2">
      <c r="A10934" s="6" t="str">
        <f>"AC007731.4"</f>
        <v>AC007731.4</v>
      </c>
      <c r="B10934" s="6">
        <v>0.33</v>
      </c>
      <c r="C10934" s="6">
        <v>0.50444668008048299</v>
      </c>
    </row>
    <row r="10935" spans="1:3" s="7" customFormat="1" x14ac:dyDescent="0.2">
      <c r="A10935" s="6" t="str">
        <f>"TRIM72"</f>
        <v>TRIM72</v>
      </c>
      <c r="B10935" s="6">
        <v>0.33</v>
      </c>
      <c r="C10935" s="6">
        <v>0.50444668008048299</v>
      </c>
    </row>
    <row r="10936" spans="1:3" s="7" customFormat="1" x14ac:dyDescent="0.2">
      <c r="A10936" s="6" t="str">
        <f>"SNX17"</f>
        <v>SNX17</v>
      </c>
      <c r="B10936" s="6">
        <v>0.33066933066933002</v>
      </c>
      <c r="C10936" s="6">
        <v>0.50463907896340299</v>
      </c>
    </row>
    <row r="10937" spans="1:3" s="7" customFormat="1" x14ac:dyDescent="0.2">
      <c r="A10937" s="6" t="str">
        <f>"SYTL4"</f>
        <v>SYTL4</v>
      </c>
      <c r="B10937" s="6">
        <v>0.33066933066933002</v>
      </c>
      <c r="C10937" s="6">
        <v>0.50463907896340299</v>
      </c>
    </row>
    <row r="10938" spans="1:3" s="7" customFormat="1" x14ac:dyDescent="0.2">
      <c r="A10938" s="6" t="str">
        <f>"BNIP3L"</f>
        <v>BNIP3L</v>
      </c>
      <c r="B10938" s="6">
        <v>0.33066933066933002</v>
      </c>
      <c r="C10938" s="6">
        <v>0.50463907896340299</v>
      </c>
    </row>
    <row r="10939" spans="1:3" s="7" customFormat="1" x14ac:dyDescent="0.2">
      <c r="A10939" s="6" t="str">
        <f>"AL590822.3"</f>
        <v>AL590822.3</v>
      </c>
      <c r="B10939" s="6">
        <v>0.33026584867075598</v>
      </c>
      <c r="C10939" s="6">
        <v>0.50463907896340299</v>
      </c>
    </row>
    <row r="10940" spans="1:3" s="7" customFormat="1" x14ac:dyDescent="0.2">
      <c r="A10940" s="6" t="str">
        <f>"SPINK5"</f>
        <v>SPINK5</v>
      </c>
      <c r="B10940" s="6">
        <v>0.33066933066933002</v>
      </c>
      <c r="C10940" s="6">
        <v>0.50463907896340299</v>
      </c>
    </row>
    <row r="10941" spans="1:3" s="7" customFormat="1" x14ac:dyDescent="0.2">
      <c r="A10941" s="6" t="str">
        <f>"GDF9"</f>
        <v>GDF9</v>
      </c>
      <c r="B10941" s="6">
        <v>0.33066933066933002</v>
      </c>
      <c r="C10941" s="6">
        <v>0.50463907896340299</v>
      </c>
    </row>
    <row r="10942" spans="1:3" s="7" customFormat="1" x14ac:dyDescent="0.2">
      <c r="A10942" s="6" t="str">
        <f>"OR7E28P"</f>
        <v>OR7E28P</v>
      </c>
      <c r="B10942" s="6">
        <v>0.33066933066933002</v>
      </c>
      <c r="C10942" s="6">
        <v>0.50463907896340299</v>
      </c>
    </row>
    <row r="10943" spans="1:3" s="7" customFormat="1" x14ac:dyDescent="0.2">
      <c r="A10943" s="6" t="str">
        <f>"DNAH10OS"</f>
        <v>DNAH10OS</v>
      </c>
      <c r="B10943" s="6">
        <v>0.33066933066933002</v>
      </c>
      <c r="C10943" s="6">
        <v>0.50463907896340299</v>
      </c>
    </row>
    <row r="10944" spans="1:3" s="7" customFormat="1" x14ac:dyDescent="0.2">
      <c r="A10944" s="6" t="str">
        <f>"PRSS30P"</f>
        <v>PRSS30P</v>
      </c>
      <c r="B10944" s="6">
        <v>0.33066933066933002</v>
      </c>
      <c r="C10944" s="6">
        <v>0.50463907896340299</v>
      </c>
    </row>
    <row r="10945" spans="1:3" s="7" customFormat="1" x14ac:dyDescent="0.2">
      <c r="A10945" s="6" t="str">
        <f>"BX664615.2"</f>
        <v>BX664615.2</v>
      </c>
      <c r="B10945" s="6">
        <v>0.33066933066933002</v>
      </c>
      <c r="C10945" s="6">
        <v>0.50463907896340299</v>
      </c>
    </row>
    <row r="10946" spans="1:3" s="7" customFormat="1" x14ac:dyDescent="0.2">
      <c r="A10946" s="6" t="str">
        <f>"PIM3"</f>
        <v>PIM3</v>
      </c>
      <c r="B10946" s="6">
        <v>0.33066933066933002</v>
      </c>
      <c r="C10946" s="6">
        <v>0.50463907896340299</v>
      </c>
    </row>
    <row r="10947" spans="1:3" s="7" customFormat="1" x14ac:dyDescent="0.2">
      <c r="A10947" s="6" t="str">
        <f>"ABCF2-H2BE1"</f>
        <v>ABCF2-H2BE1</v>
      </c>
      <c r="B10947" s="6">
        <v>0.33066933066933002</v>
      </c>
      <c r="C10947" s="6">
        <v>0.50463907896340299</v>
      </c>
    </row>
    <row r="10948" spans="1:3" s="7" customFormat="1" x14ac:dyDescent="0.2">
      <c r="A10948" s="6" t="str">
        <f>"RBM48"</f>
        <v>RBM48</v>
      </c>
      <c r="B10948" s="6">
        <v>0.33066933066933002</v>
      </c>
      <c r="C10948" s="6">
        <v>0.50463907896340299</v>
      </c>
    </row>
    <row r="10949" spans="1:3" s="7" customFormat="1" x14ac:dyDescent="0.2">
      <c r="A10949" s="6" t="str">
        <f>"FAM225A"</f>
        <v>FAM225A</v>
      </c>
      <c r="B10949" s="6">
        <v>0.33033033033032999</v>
      </c>
      <c r="C10949" s="6">
        <v>0.50463907896340299</v>
      </c>
    </row>
    <row r="10950" spans="1:3" s="7" customFormat="1" x14ac:dyDescent="0.2">
      <c r="A10950" s="6" t="str">
        <f>"ATP6V1E1"</f>
        <v>ATP6V1E1</v>
      </c>
      <c r="B10950" s="6">
        <v>0.33066933066933002</v>
      </c>
      <c r="C10950" s="6">
        <v>0.50463907896340299</v>
      </c>
    </row>
    <row r="10951" spans="1:3" s="7" customFormat="1" x14ac:dyDescent="0.2">
      <c r="A10951" s="6" t="str">
        <f>"ZNF345"</f>
        <v>ZNF345</v>
      </c>
      <c r="B10951" s="6">
        <v>0.33066933066933002</v>
      </c>
      <c r="C10951" s="6">
        <v>0.50463907896340299</v>
      </c>
    </row>
    <row r="10952" spans="1:3" s="7" customFormat="1" x14ac:dyDescent="0.2">
      <c r="A10952" s="6" t="str">
        <f>"MYH6"</f>
        <v>MYH6</v>
      </c>
      <c r="B10952" s="6">
        <v>0.33066933066933002</v>
      </c>
      <c r="C10952" s="6">
        <v>0.50463907896340299</v>
      </c>
    </row>
    <row r="10953" spans="1:3" s="7" customFormat="1" x14ac:dyDescent="0.2">
      <c r="A10953" s="6" t="str">
        <f>"LINC00900"</f>
        <v>LINC00900</v>
      </c>
      <c r="B10953" s="6">
        <v>0.33066933066933002</v>
      </c>
      <c r="C10953" s="6">
        <v>0.50463907896340299</v>
      </c>
    </row>
    <row r="10954" spans="1:3" s="7" customFormat="1" x14ac:dyDescent="0.2">
      <c r="A10954" s="6" t="str">
        <f>"AC113410.5"</f>
        <v>AC113410.5</v>
      </c>
      <c r="B10954" s="6">
        <v>0.33100000000000002</v>
      </c>
      <c r="C10954" s="6">
        <v>0.50500538566864395</v>
      </c>
    </row>
    <row r="10955" spans="1:3" s="7" customFormat="1" x14ac:dyDescent="0.2">
      <c r="A10955" s="6" t="str">
        <f>"AL079307.1"</f>
        <v>AL079307.1</v>
      </c>
      <c r="B10955" s="6">
        <v>0.33100000000000002</v>
      </c>
      <c r="C10955" s="6">
        <v>0.50500538566864395</v>
      </c>
    </row>
    <row r="10956" spans="1:3" s="7" customFormat="1" x14ac:dyDescent="0.2">
      <c r="A10956" s="6" t="str">
        <f>"DCBLD2"</f>
        <v>DCBLD2</v>
      </c>
      <c r="B10956" s="6">
        <v>0.33100000000000002</v>
      </c>
      <c r="C10956" s="6">
        <v>0.50500538566864395</v>
      </c>
    </row>
    <row r="10957" spans="1:3" s="7" customFormat="1" x14ac:dyDescent="0.2">
      <c r="A10957" s="6" t="str">
        <f>"DLGAP1-AS5"</f>
        <v>DLGAP1-AS5</v>
      </c>
      <c r="B10957" s="6">
        <v>0.33166833166833098</v>
      </c>
      <c r="C10957" s="6">
        <v>0.50528707460618805</v>
      </c>
    </row>
    <row r="10958" spans="1:3" s="7" customFormat="1" x14ac:dyDescent="0.2">
      <c r="A10958" s="6" t="str">
        <f>"ATP2B3"</f>
        <v>ATP2B3</v>
      </c>
      <c r="B10958" s="6">
        <v>0.33166833166833098</v>
      </c>
      <c r="C10958" s="6">
        <v>0.50528707460618805</v>
      </c>
    </row>
    <row r="10959" spans="1:3" s="7" customFormat="1" x14ac:dyDescent="0.2">
      <c r="A10959" s="6" t="str">
        <f>"PIWIL3"</f>
        <v>PIWIL3</v>
      </c>
      <c r="B10959" s="6">
        <v>0.331663326653306</v>
      </c>
      <c r="C10959" s="6">
        <v>0.50528707460618805</v>
      </c>
    </row>
    <row r="10960" spans="1:3" s="7" customFormat="1" x14ac:dyDescent="0.2">
      <c r="A10960" s="6" t="str">
        <f>"ST3GAL5-AS1"</f>
        <v>ST3GAL5-AS1</v>
      </c>
      <c r="B10960" s="6">
        <v>0.33166833166833098</v>
      </c>
      <c r="C10960" s="6">
        <v>0.50528707460618805</v>
      </c>
    </row>
    <row r="10961" spans="1:3" s="7" customFormat="1" x14ac:dyDescent="0.2">
      <c r="A10961" s="6" t="str">
        <f>"GPAA1P2"</f>
        <v>GPAA1P2</v>
      </c>
      <c r="B10961" s="6">
        <v>0.33166833166833098</v>
      </c>
      <c r="C10961" s="6">
        <v>0.50528707460618805</v>
      </c>
    </row>
    <row r="10962" spans="1:3" s="7" customFormat="1" x14ac:dyDescent="0.2">
      <c r="A10962" s="6" t="str">
        <f>"GSTT2B"</f>
        <v>GSTT2B</v>
      </c>
      <c r="B10962" s="6">
        <v>0.33166833166833098</v>
      </c>
      <c r="C10962" s="6">
        <v>0.50528707460618805</v>
      </c>
    </row>
    <row r="10963" spans="1:3" s="7" customFormat="1" x14ac:dyDescent="0.2">
      <c r="A10963" s="6" t="str">
        <f>"SMR3A"</f>
        <v>SMR3A</v>
      </c>
      <c r="B10963" s="6">
        <v>0.33166833166833098</v>
      </c>
      <c r="C10963" s="6">
        <v>0.50528707460618805</v>
      </c>
    </row>
    <row r="10964" spans="1:3" s="7" customFormat="1" x14ac:dyDescent="0.2">
      <c r="A10964" s="6" t="str">
        <f>"SLC30A9"</f>
        <v>SLC30A9</v>
      </c>
      <c r="B10964" s="6">
        <v>0.33166833166833098</v>
      </c>
      <c r="C10964" s="6">
        <v>0.50528707460618805</v>
      </c>
    </row>
    <row r="10965" spans="1:3" s="7" customFormat="1" x14ac:dyDescent="0.2">
      <c r="A10965" s="6" t="str">
        <f>"ARMCX2"</f>
        <v>ARMCX2</v>
      </c>
      <c r="B10965" s="6">
        <v>0.33166833166833098</v>
      </c>
      <c r="C10965" s="6">
        <v>0.50528707460618805</v>
      </c>
    </row>
    <row r="10966" spans="1:3" s="7" customFormat="1" x14ac:dyDescent="0.2">
      <c r="A10966" s="6" t="str">
        <f>"PRAG1"</f>
        <v>PRAG1</v>
      </c>
      <c r="B10966" s="6">
        <v>0.33166833166833098</v>
      </c>
      <c r="C10966" s="6">
        <v>0.50528707460618805</v>
      </c>
    </row>
    <row r="10967" spans="1:3" s="7" customFormat="1" x14ac:dyDescent="0.2">
      <c r="A10967" s="6" t="str">
        <f>"ATM"</f>
        <v>ATM</v>
      </c>
      <c r="B10967" s="6">
        <v>0.33166833166833098</v>
      </c>
      <c r="C10967" s="6">
        <v>0.50528707460618805</v>
      </c>
    </row>
    <row r="10968" spans="1:3" s="7" customFormat="1" x14ac:dyDescent="0.2">
      <c r="A10968" s="6" t="str">
        <f>"PRR5-ARHGAP8"</f>
        <v>PRR5-ARHGAP8</v>
      </c>
      <c r="B10968" s="6">
        <v>0.33166833166833098</v>
      </c>
      <c r="C10968" s="6">
        <v>0.50528707460618805</v>
      </c>
    </row>
    <row r="10969" spans="1:3" s="7" customFormat="1" x14ac:dyDescent="0.2">
      <c r="A10969" s="6" t="str">
        <f>"XIST"</f>
        <v>XIST</v>
      </c>
      <c r="B10969" s="6">
        <v>0.331589958158995</v>
      </c>
      <c r="C10969" s="6">
        <v>0.50528707460618805</v>
      </c>
    </row>
    <row r="10970" spans="1:3" s="7" customFormat="1" x14ac:dyDescent="0.2">
      <c r="A10970" s="6" t="str">
        <f>"SGSH"</f>
        <v>SGSH</v>
      </c>
      <c r="B10970" s="6">
        <v>0.33166833166833098</v>
      </c>
      <c r="C10970" s="6">
        <v>0.50528707460618805</v>
      </c>
    </row>
    <row r="10971" spans="1:3" s="7" customFormat="1" x14ac:dyDescent="0.2">
      <c r="A10971" s="6" t="str">
        <f>"COX7A1"</f>
        <v>COX7A1</v>
      </c>
      <c r="B10971" s="6">
        <v>0.33166833166833098</v>
      </c>
      <c r="C10971" s="6">
        <v>0.50528707460618805</v>
      </c>
    </row>
    <row r="10972" spans="1:3" s="7" customFormat="1" x14ac:dyDescent="0.2">
      <c r="A10972" s="6" t="str">
        <f>"PAIP2"</f>
        <v>PAIP2</v>
      </c>
      <c r="B10972" s="6">
        <v>0.33166833166833098</v>
      </c>
      <c r="C10972" s="6">
        <v>0.50528707460618805</v>
      </c>
    </row>
    <row r="10973" spans="1:3" s="7" customFormat="1" x14ac:dyDescent="0.2">
      <c r="A10973" s="6" t="str">
        <f>"AL606500.1"</f>
        <v>AL606500.1</v>
      </c>
      <c r="B10973" s="6">
        <v>0.33183856502242098</v>
      </c>
      <c r="C10973" s="6">
        <v>0.50550034412912404</v>
      </c>
    </row>
    <row r="10974" spans="1:3" s="7" customFormat="1" x14ac:dyDescent="0.2">
      <c r="A10974" s="6" t="str">
        <f>"WDR55"</f>
        <v>WDR55</v>
      </c>
      <c r="B10974" s="6">
        <v>0.33200000000000002</v>
      </c>
      <c r="C10974" s="6">
        <v>0.50560801822323398</v>
      </c>
    </row>
    <row r="10975" spans="1:3" s="7" customFormat="1" x14ac:dyDescent="0.2">
      <c r="A10975" s="6" t="str">
        <f>"AL603839.3"</f>
        <v>AL603839.3</v>
      </c>
      <c r="B10975" s="6">
        <v>0.33199598796389101</v>
      </c>
      <c r="C10975" s="6">
        <v>0.50560801822323398</v>
      </c>
    </row>
    <row r="10976" spans="1:3" s="7" customFormat="1" x14ac:dyDescent="0.2">
      <c r="A10976" s="6" t="str">
        <f>"FOXN3"</f>
        <v>FOXN3</v>
      </c>
      <c r="B10976" s="6">
        <v>0.33200000000000002</v>
      </c>
      <c r="C10976" s="6">
        <v>0.50560801822323398</v>
      </c>
    </row>
    <row r="10977" spans="1:3" s="7" customFormat="1" x14ac:dyDescent="0.2">
      <c r="A10977" s="6" t="str">
        <f>"TAF1A"</f>
        <v>TAF1A</v>
      </c>
      <c r="B10977" s="6">
        <v>0.33266733266733201</v>
      </c>
      <c r="C10977" s="6">
        <v>0.50593282968169195</v>
      </c>
    </row>
    <row r="10978" spans="1:3" s="7" customFormat="1" x14ac:dyDescent="0.2">
      <c r="A10978" s="6" t="str">
        <f>"MAP3K2"</f>
        <v>MAP3K2</v>
      </c>
      <c r="B10978" s="6">
        <v>0.33266733266733201</v>
      </c>
      <c r="C10978" s="6">
        <v>0.50593282968169195</v>
      </c>
    </row>
    <row r="10979" spans="1:3" s="7" customFormat="1" x14ac:dyDescent="0.2">
      <c r="A10979" s="6" t="str">
        <f>"SERPINE2"</f>
        <v>SERPINE2</v>
      </c>
      <c r="B10979" s="6">
        <v>0.33266733266733201</v>
      </c>
      <c r="C10979" s="6">
        <v>0.50593282968169195</v>
      </c>
    </row>
    <row r="10980" spans="1:3" s="7" customFormat="1" x14ac:dyDescent="0.2">
      <c r="A10980" s="6" t="str">
        <f>"RBPMS2"</f>
        <v>RBPMS2</v>
      </c>
      <c r="B10980" s="6">
        <v>0.332332332332332</v>
      </c>
      <c r="C10980" s="6">
        <v>0.50593282968169195</v>
      </c>
    </row>
    <row r="10981" spans="1:3" s="7" customFormat="1" x14ac:dyDescent="0.2">
      <c r="A10981" s="6" t="str">
        <f>"LAMA2"</f>
        <v>LAMA2</v>
      </c>
      <c r="B10981" s="6">
        <v>0.33266733266733201</v>
      </c>
      <c r="C10981" s="6">
        <v>0.50593282968169195</v>
      </c>
    </row>
    <row r="10982" spans="1:3" s="7" customFormat="1" x14ac:dyDescent="0.2">
      <c r="A10982" s="6" t="str">
        <f>"HULC"</f>
        <v>HULC</v>
      </c>
      <c r="B10982" s="6">
        <v>0.33266733266733201</v>
      </c>
      <c r="C10982" s="6">
        <v>0.50593282968169195</v>
      </c>
    </row>
    <row r="10983" spans="1:3" s="7" customFormat="1" x14ac:dyDescent="0.2">
      <c r="A10983" s="6" t="str">
        <f>"CSTF2"</f>
        <v>CSTF2</v>
      </c>
      <c r="B10983" s="6">
        <v>0.33266733266733201</v>
      </c>
      <c r="C10983" s="6">
        <v>0.50593282968169195</v>
      </c>
    </row>
    <row r="10984" spans="1:3" s="7" customFormat="1" x14ac:dyDescent="0.2">
      <c r="A10984" s="6" t="str">
        <f>"TMF1"</f>
        <v>TMF1</v>
      </c>
      <c r="B10984" s="6">
        <v>0.33266733266733201</v>
      </c>
      <c r="C10984" s="6">
        <v>0.50593282968169195</v>
      </c>
    </row>
    <row r="10985" spans="1:3" s="7" customFormat="1" x14ac:dyDescent="0.2">
      <c r="A10985" s="6" t="str">
        <f>"TPTE2P6"</f>
        <v>TPTE2P6</v>
      </c>
      <c r="B10985" s="6">
        <v>0.33266733266733201</v>
      </c>
      <c r="C10985" s="6">
        <v>0.50593282968169195</v>
      </c>
    </row>
    <row r="10986" spans="1:3" s="7" customFormat="1" x14ac:dyDescent="0.2">
      <c r="A10986" s="6" t="str">
        <f>"ABCC5"</f>
        <v>ABCC5</v>
      </c>
      <c r="B10986" s="6">
        <v>0.33266733266733201</v>
      </c>
      <c r="C10986" s="6">
        <v>0.50593282968169195</v>
      </c>
    </row>
    <row r="10987" spans="1:3" s="7" customFormat="1" x14ac:dyDescent="0.2">
      <c r="A10987" s="6" t="str">
        <f>"ZDHHC8"</f>
        <v>ZDHHC8</v>
      </c>
      <c r="B10987" s="6">
        <v>0.33266733266733201</v>
      </c>
      <c r="C10987" s="6">
        <v>0.50593282968169195</v>
      </c>
    </row>
    <row r="10988" spans="1:3" s="7" customFormat="1" x14ac:dyDescent="0.2">
      <c r="A10988" s="6" t="str">
        <f>"PNPLA7"</f>
        <v>PNPLA7</v>
      </c>
      <c r="B10988" s="6">
        <v>0.33266733266733201</v>
      </c>
      <c r="C10988" s="6">
        <v>0.50593282968169195</v>
      </c>
    </row>
    <row r="10989" spans="1:3" s="7" customFormat="1" x14ac:dyDescent="0.2">
      <c r="A10989" s="6" t="str">
        <f>"DRD2"</f>
        <v>DRD2</v>
      </c>
      <c r="B10989" s="6">
        <v>0.33266733266733201</v>
      </c>
      <c r="C10989" s="6">
        <v>0.50593282968169195</v>
      </c>
    </row>
    <row r="10990" spans="1:3" s="7" customFormat="1" x14ac:dyDescent="0.2">
      <c r="A10990" s="6" t="str">
        <f>"HPS3"</f>
        <v>HPS3</v>
      </c>
      <c r="B10990" s="6">
        <v>0.33266733266733201</v>
      </c>
      <c r="C10990" s="6">
        <v>0.50593282968169195</v>
      </c>
    </row>
    <row r="10991" spans="1:3" s="7" customFormat="1" x14ac:dyDescent="0.2">
      <c r="A10991" s="6" t="str">
        <f>"PCED1B"</f>
        <v>PCED1B</v>
      </c>
      <c r="B10991" s="6">
        <v>0.33266733266733201</v>
      </c>
      <c r="C10991" s="6">
        <v>0.50593282968169195</v>
      </c>
    </row>
    <row r="10992" spans="1:3" s="7" customFormat="1" x14ac:dyDescent="0.2">
      <c r="A10992" s="6" t="str">
        <f>"AL139260.1"</f>
        <v>AL139260.1</v>
      </c>
      <c r="B10992" s="6">
        <v>0.332995951417004</v>
      </c>
      <c r="C10992" s="6">
        <v>0.50625450245588499</v>
      </c>
    </row>
    <row r="10993" spans="1:3" s="7" customFormat="1" x14ac:dyDescent="0.2">
      <c r="A10993" s="6" t="str">
        <f>"AL137186.2"</f>
        <v>AL137186.2</v>
      </c>
      <c r="B10993" s="6">
        <v>0.33300000000000002</v>
      </c>
      <c r="C10993" s="6">
        <v>0.50625450245588499</v>
      </c>
    </row>
    <row r="10994" spans="1:3" s="7" customFormat="1" x14ac:dyDescent="0.2">
      <c r="A10994" s="6" t="str">
        <f>"AC090018.2"</f>
        <v>AC090018.2</v>
      </c>
      <c r="B10994" s="6">
        <v>0.33300000000000002</v>
      </c>
      <c r="C10994" s="6">
        <v>0.50625450245588499</v>
      </c>
    </row>
    <row r="10995" spans="1:3" s="7" customFormat="1" x14ac:dyDescent="0.2">
      <c r="A10995" s="6" t="str">
        <f>"AL359232.1"</f>
        <v>AL359232.1</v>
      </c>
      <c r="B10995" s="6">
        <v>0.332994923857868</v>
      </c>
      <c r="C10995" s="6">
        <v>0.50625450245588499</v>
      </c>
    </row>
    <row r="10996" spans="1:3" s="7" customFormat="1" x14ac:dyDescent="0.2">
      <c r="A10996" s="6" t="str">
        <f>"RAB31"</f>
        <v>RAB31</v>
      </c>
      <c r="B10996" s="6">
        <v>0.33366633366633303</v>
      </c>
      <c r="C10996" s="6">
        <v>0.50648434301145195</v>
      </c>
    </row>
    <row r="10997" spans="1:3" s="7" customFormat="1" x14ac:dyDescent="0.2">
      <c r="A10997" s="6" t="str">
        <f>"GZF1"</f>
        <v>GZF1</v>
      </c>
      <c r="B10997" s="6">
        <v>0.33366633366633303</v>
      </c>
      <c r="C10997" s="6">
        <v>0.50648434301145195</v>
      </c>
    </row>
    <row r="10998" spans="1:3" s="7" customFormat="1" x14ac:dyDescent="0.2">
      <c r="A10998" s="6" t="str">
        <f>"NGEF"</f>
        <v>NGEF</v>
      </c>
      <c r="B10998" s="6">
        <v>0.33366633366633303</v>
      </c>
      <c r="C10998" s="6">
        <v>0.50648434301145195</v>
      </c>
    </row>
    <row r="10999" spans="1:3" s="7" customFormat="1" x14ac:dyDescent="0.2">
      <c r="A10999" s="6" t="str">
        <f>"LTK"</f>
        <v>LTK</v>
      </c>
      <c r="B10999" s="6">
        <v>0.33366633366633303</v>
      </c>
      <c r="C10999" s="6">
        <v>0.50648434301145195</v>
      </c>
    </row>
    <row r="11000" spans="1:3" s="7" customFormat="1" x14ac:dyDescent="0.2">
      <c r="A11000" s="6" t="str">
        <f>"ATP13A3"</f>
        <v>ATP13A3</v>
      </c>
      <c r="B11000" s="6">
        <v>0.33366633366633303</v>
      </c>
      <c r="C11000" s="6">
        <v>0.50648434301145195</v>
      </c>
    </row>
    <row r="11001" spans="1:3" s="7" customFormat="1" x14ac:dyDescent="0.2">
      <c r="A11001" s="6" t="str">
        <f>"STMN3"</f>
        <v>STMN3</v>
      </c>
      <c r="B11001" s="6">
        <v>0.33366633366633303</v>
      </c>
      <c r="C11001" s="6">
        <v>0.50648434301145195</v>
      </c>
    </row>
    <row r="11002" spans="1:3" s="7" customFormat="1" x14ac:dyDescent="0.2">
      <c r="A11002" s="6" t="str">
        <f>"AL136982.6"</f>
        <v>AL136982.6</v>
      </c>
      <c r="B11002" s="6">
        <v>0.33366633366633303</v>
      </c>
      <c r="C11002" s="6">
        <v>0.50648434301145195</v>
      </c>
    </row>
    <row r="11003" spans="1:3" s="7" customFormat="1" x14ac:dyDescent="0.2">
      <c r="A11003" s="6" t="str">
        <f>"CACFD1"</f>
        <v>CACFD1</v>
      </c>
      <c r="B11003" s="6">
        <v>0.33366633366633303</v>
      </c>
      <c r="C11003" s="6">
        <v>0.50648434301145195</v>
      </c>
    </row>
    <row r="11004" spans="1:3" s="7" customFormat="1" x14ac:dyDescent="0.2">
      <c r="A11004" s="6" t="str">
        <f>"CTDP1"</f>
        <v>CTDP1</v>
      </c>
      <c r="B11004" s="6">
        <v>0.33366633366633303</v>
      </c>
      <c r="C11004" s="6">
        <v>0.50648434301145195</v>
      </c>
    </row>
    <row r="11005" spans="1:3" s="7" customFormat="1" x14ac:dyDescent="0.2">
      <c r="A11005" s="6" t="str">
        <f>"ANKRD16"</f>
        <v>ANKRD16</v>
      </c>
      <c r="B11005" s="6">
        <v>0.33366633366633303</v>
      </c>
      <c r="C11005" s="6">
        <v>0.50648434301145195</v>
      </c>
    </row>
    <row r="11006" spans="1:3" s="7" customFormat="1" x14ac:dyDescent="0.2">
      <c r="A11006" s="6" t="str">
        <f>"QSER1"</f>
        <v>QSER1</v>
      </c>
      <c r="B11006" s="6">
        <v>0.33366633366633303</v>
      </c>
      <c r="C11006" s="6">
        <v>0.50648434301145195</v>
      </c>
    </row>
    <row r="11007" spans="1:3" s="7" customFormat="1" x14ac:dyDescent="0.2">
      <c r="A11007" s="6" t="str">
        <f>"USP32P2"</f>
        <v>USP32P2</v>
      </c>
      <c r="B11007" s="6">
        <v>0.33366633366633303</v>
      </c>
      <c r="C11007" s="6">
        <v>0.50648434301145195</v>
      </c>
    </row>
    <row r="11008" spans="1:3" s="7" customFormat="1" x14ac:dyDescent="0.2">
      <c r="A11008" s="6" t="str">
        <f>"ERBB2"</f>
        <v>ERBB2</v>
      </c>
      <c r="B11008" s="6">
        <v>0.33366633366633303</v>
      </c>
      <c r="C11008" s="6">
        <v>0.50648434301145195</v>
      </c>
    </row>
    <row r="11009" spans="1:3" s="7" customFormat="1" x14ac:dyDescent="0.2">
      <c r="A11009" s="6" t="str">
        <f>"NR4A1AS"</f>
        <v>NR4A1AS</v>
      </c>
      <c r="B11009" s="6">
        <v>0.33366633366633303</v>
      </c>
      <c r="C11009" s="6">
        <v>0.50648434301145195</v>
      </c>
    </row>
    <row r="11010" spans="1:3" s="7" customFormat="1" x14ac:dyDescent="0.2">
      <c r="A11010" s="6" t="str">
        <f>"FSTL3"</f>
        <v>FSTL3</v>
      </c>
      <c r="B11010" s="6">
        <v>0.33366633366633303</v>
      </c>
      <c r="C11010" s="6">
        <v>0.50648434301145195</v>
      </c>
    </row>
    <row r="11011" spans="1:3" s="7" customFormat="1" x14ac:dyDescent="0.2">
      <c r="A11011" s="6" t="str">
        <f>"FIG4"</f>
        <v>FIG4</v>
      </c>
      <c r="B11011" s="6">
        <v>0.33366633366633303</v>
      </c>
      <c r="C11011" s="6">
        <v>0.50648434301145195</v>
      </c>
    </row>
    <row r="11012" spans="1:3" s="7" customFormat="1" x14ac:dyDescent="0.2">
      <c r="A11012" s="6" t="str">
        <f>"PCGF5"</f>
        <v>PCGF5</v>
      </c>
      <c r="B11012" s="6">
        <v>0.33366633366633303</v>
      </c>
      <c r="C11012" s="6">
        <v>0.50648434301145195</v>
      </c>
    </row>
    <row r="11013" spans="1:3" s="7" customFormat="1" x14ac:dyDescent="0.2">
      <c r="A11013" s="6" t="str">
        <f>"AC010422.6"</f>
        <v>AC010422.6</v>
      </c>
      <c r="B11013" s="6">
        <v>0.33400000000000002</v>
      </c>
      <c r="C11013" s="6">
        <v>0.50689875601561796</v>
      </c>
    </row>
    <row r="11014" spans="1:3" s="7" customFormat="1" x14ac:dyDescent="0.2">
      <c r="A11014" s="6" t="str">
        <f>"COL5A2"</f>
        <v>COL5A2</v>
      </c>
      <c r="B11014" s="6">
        <v>0.33400000000000002</v>
      </c>
      <c r="C11014" s="6">
        <v>0.50689875601561796</v>
      </c>
    </row>
    <row r="11015" spans="1:3" s="7" customFormat="1" x14ac:dyDescent="0.2">
      <c r="A11015" s="6" t="str">
        <f>"LRRC45"</f>
        <v>LRRC45</v>
      </c>
      <c r="B11015" s="6">
        <v>0.33466533466533399</v>
      </c>
      <c r="C11015" s="6">
        <v>0.50717167500194005</v>
      </c>
    </row>
    <row r="11016" spans="1:3" s="7" customFormat="1" x14ac:dyDescent="0.2">
      <c r="A11016" s="6" t="str">
        <f>"AL050403.2"</f>
        <v>AL050403.2</v>
      </c>
      <c r="B11016" s="6">
        <v>0.33466533466533399</v>
      </c>
      <c r="C11016" s="6">
        <v>0.50717167500194005</v>
      </c>
    </row>
    <row r="11017" spans="1:3" s="7" customFormat="1" x14ac:dyDescent="0.2">
      <c r="A11017" s="6" t="str">
        <f>"TJAP1"</f>
        <v>TJAP1</v>
      </c>
      <c r="B11017" s="6">
        <v>0.33466533466533399</v>
      </c>
      <c r="C11017" s="6">
        <v>0.50717167500194005</v>
      </c>
    </row>
    <row r="11018" spans="1:3" s="7" customFormat="1" x14ac:dyDescent="0.2">
      <c r="A11018" s="6" t="str">
        <f>"FRMD4B"</f>
        <v>FRMD4B</v>
      </c>
      <c r="B11018" s="6">
        <v>0.33466533466533399</v>
      </c>
      <c r="C11018" s="6">
        <v>0.50717167500194005</v>
      </c>
    </row>
    <row r="11019" spans="1:3" s="7" customFormat="1" x14ac:dyDescent="0.2">
      <c r="A11019" s="6" t="str">
        <f>"NLGN2"</f>
        <v>NLGN2</v>
      </c>
      <c r="B11019" s="6">
        <v>0.33466533466533399</v>
      </c>
      <c r="C11019" s="6">
        <v>0.50717167500194005</v>
      </c>
    </row>
    <row r="11020" spans="1:3" s="7" customFormat="1" x14ac:dyDescent="0.2">
      <c r="A11020" s="6" t="str">
        <f>"AC068831.6"</f>
        <v>AC068831.6</v>
      </c>
      <c r="B11020" s="6">
        <v>0.33466533466533399</v>
      </c>
      <c r="C11020" s="6">
        <v>0.50717167500194005</v>
      </c>
    </row>
    <row r="11021" spans="1:3" s="7" customFormat="1" x14ac:dyDescent="0.2">
      <c r="A11021" s="6" t="str">
        <f>"TMEM211"</f>
        <v>TMEM211</v>
      </c>
      <c r="B11021" s="6">
        <v>0.33466533466533399</v>
      </c>
      <c r="C11021" s="6">
        <v>0.50717167500194005</v>
      </c>
    </row>
    <row r="11022" spans="1:3" s="7" customFormat="1" x14ac:dyDescent="0.2">
      <c r="A11022" s="6" t="str">
        <f>"GDF7"</f>
        <v>GDF7</v>
      </c>
      <c r="B11022" s="6">
        <v>0.33466533466533399</v>
      </c>
      <c r="C11022" s="6">
        <v>0.50717167500194005</v>
      </c>
    </row>
    <row r="11023" spans="1:3" s="7" customFormat="1" x14ac:dyDescent="0.2">
      <c r="A11023" s="6" t="str">
        <f>"SNHG19"</f>
        <v>SNHG19</v>
      </c>
      <c r="B11023" s="6">
        <v>0.33466533466533399</v>
      </c>
      <c r="C11023" s="6">
        <v>0.50717167500194005</v>
      </c>
    </row>
    <row r="11024" spans="1:3" s="7" customFormat="1" x14ac:dyDescent="0.2">
      <c r="A11024" s="6" t="str">
        <f>"C5"</f>
        <v>C5</v>
      </c>
      <c r="B11024" s="6">
        <v>0.33466533466533399</v>
      </c>
      <c r="C11024" s="6">
        <v>0.50717167500194005</v>
      </c>
    </row>
    <row r="11025" spans="1:3" s="7" customFormat="1" x14ac:dyDescent="0.2">
      <c r="A11025" s="6" t="str">
        <f>"FGFR2"</f>
        <v>FGFR2</v>
      </c>
      <c r="B11025" s="6">
        <v>0.33466533466533399</v>
      </c>
      <c r="C11025" s="6">
        <v>0.50717167500194005</v>
      </c>
    </row>
    <row r="11026" spans="1:3" s="7" customFormat="1" x14ac:dyDescent="0.2">
      <c r="A11026" s="6" t="str">
        <f>"SWAP70"</f>
        <v>SWAP70</v>
      </c>
      <c r="B11026" s="6">
        <v>0.33466533466533399</v>
      </c>
      <c r="C11026" s="6">
        <v>0.50717167500194005</v>
      </c>
    </row>
    <row r="11027" spans="1:3" s="7" customFormat="1" x14ac:dyDescent="0.2">
      <c r="A11027" s="6" t="str">
        <f>"PGP"</f>
        <v>PGP</v>
      </c>
      <c r="B11027" s="6">
        <v>0.33466533466533399</v>
      </c>
      <c r="C11027" s="6">
        <v>0.50717167500194005</v>
      </c>
    </row>
    <row r="11028" spans="1:3" s="7" customFormat="1" x14ac:dyDescent="0.2">
      <c r="A11028" s="6" t="str">
        <f>"ETFA"</f>
        <v>ETFA</v>
      </c>
      <c r="B11028" s="6">
        <v>0.33466533466533399</v>
      </c>
      <c r="C11028" s="6">
        <v>0.50717167500194005</v>
      </c>
    </row>
    <row r="11029" spans="1:3" s="7" customFormat="1" x14ac:dyDescent="0.2">
      <c r="A11029" s="6" t="str">
        <f>"AC019069.1"</f>
        <v>AC019069.1</v>
      </c>
      <c r="B11029" s="6">
        <v>0.33466533466533399</v>
      </c>
      <c r="C11029" s="6">
        <v>0.50717167500194005</v>
      </c>
    </row>
    <row r="11030" spans="1:3" s="7" customFormat="1" x14ac:dyDescent="0.2">
      <c r="A11030" s="6" t="str">
        <f>"NOD2"</f>
        <v>NOD2</v>
      </c>
      <c r="B11030" s="6">
        <v>0.33466533466533399</v>
      </c>
      <c r="C11030" s="6">
        <v>0.50717167500194005</v>
      </c>
    </row>
    <row r="11031" spans="1:3" s="7" customFormat="1" x14ac:dyDescent="0.2">
      <c r="A11031" s="6" t="str">
        <f>"DNAH9"</f>
        <v>DNAH9</v>
      </c>
      <c r="B11031" s="6">
        <v>0.33500000000000002</v>
      </c>
      <c r="C11031" s="6">
        <v>0.50763281958295503</v>
      </c>
    </row>
    <row r="11032" spans="1:3" s="7" customFormat="1" x14ac:dyDescent="0.2">
      <c r="A11032" s="6" t="str">
        <f>"QPRT"</f>
        <v>QPRT</v>
      </c>
      <c r="B11032" s="6">
        <v>0.33566433566433501</v>
      </c>
      <c r="C11032" s="6">
        <v>0.50785676711267302</v>
      </c>
    </row>
    <row r="11033" spans="1:3" s="7" customFormat="1" x14ac:dyDescent="0.2">
      <c r="A11033" s="6" t="str">
        <f>"RBM41"</f>
        <v>RBM41</v>
      </c>
      <c r="B11033" s="6">
        <v>0.33566433566433501</v>
      </c>
      <c r="C11033" s="6">
        <v>0.50785676711267302</v>
      </c>
    </row>
    <row r="11034" spans="1:3" s="7" customFormat="1" x14ac:dyDescent="0.2">
      <c r="A11034" s="6" t="str">
        <f>"GOLGA3"</f>
        <v>GOLGA3</v>
      </c>
      <c r="B11034" s="6">
        <v>0.33566433566433501</v>
      </c>
      <c r="C11034" s="6">
        <v>0.50785676711267302</v>
      </c>
    </row>
    <row r="11035" spans="1:3" s="7" customFormat="1" x14ac:dyDescent="0.2">
      <c r="A11035" s="6" t="str">
        <f>"MTTP"</f>
        <v>MTTP</v>
      </c>
      <c r="B11035" s="6">
        <v>0.33566433566433501</v>
      </c>
      <c r="C11035" s="6">
        <v>0.50785676711267302</v>
      </c>
    </row>
    <row r="11036" spans="1:3" s="7" customFormat="1" x14ac:dyDescent="0.2">
      <c r="A11036" s="6" t="str">
        <f>"RSL1D1"</f>
        <v>RSL1D1</v>
      </c>
      <c r="B11036" s="6">
        <v>0.33566433566433501</v>
      </c>
      <c r="C11036" s="6">
        <v>0.50785676711267302</v>
      </c>
    </row>
    <row r="11037" spans="1:3" s="7" customFormat="1" x14ac:dyDescent="0.2">
      <c r="A11037" s="6" t="str">
        <f>"GEMIN7-AS1"</f>
        <v>GEMIN7-AS1</v>
      </c>
      <c r="B11037" s="6">
        <v>0.33566433566433501</v>
      </c>
      <c r="C11037" s="6">
        <v>0.50785676711267302</v>
      </c>
    </row>
    <row r="11038" spans="1:3" s="7" customFormat="1" x14ac:dyDescent="0.2">
      <c r="A11038" s="6" t="str">
        <f>"SETDB1"</f>
        <v>SETDB1</v>
      </c>
      <c r="B11038" s="6">
        <v>0.33566433566433501</v>
      </c>
      <c r="C11038" s="6">
        <v>0.50785676711267302</v>
      </c>
    </row>
    <row r="11039" spans="1:3" s="7" customFormat="1" x14ac:dyDescent="0.2">
      <c r="A11039" s="6" t="str">
        <f>"DHCR24"</f>
        <v>DHCR24</v>
      </c>
      <c r="B11039" s="6">
        <v>0.33566433566433501</v>
      </c>
      <c r="C11039" s="6">
        <v>0.50785676711267302</v>
      </c>
    </row>
    <row r="11040" spans="1:3" s="7" customFormat="1" x14ac:dyDescent="0.2">
      <c r="A11040" s="6" t="str">
        <f>"TUBB4B"</f>
        <v>TUBB4B</v>
      </c>
      <c r="B11040" s="6">
        <v>0.33566433566433501</v>
      </c>
      <c r="C11040" s="6">
        <v>0.50785676711267302</v>
      </c>
    </row>
    <row r="11041" spans="1:3" s="7" customFormat="1" x14ac:dyDescent="0.2">
      <c r="A11041" s="6" t="str">
        <f>"GSPT1"</f>
        <v>GSPT1</v>
      </c>
      <c r="B11041" s="6">
        <v>0.33566433566433501</v>
      </c>
      <c r="C11041" s="6">
        <v>0.50785676711267302</v>
      </c>
    </row>
    <row r="11042" spans="1:3" s="7" customFormat="1" x14ac:dyDescent="0.2">
      <c r="A11042" s="6" t="str">
        <f>"AL157893.1"</f>
        <v>AL157893.1</v>
      </c>
      <c r="B11042" s="6">
        <v>0.33566433566433501</v>
      </c>
      <c r="C11042" s="6">
        <v>0.50785676711267302</v>
      </c>
    </row>
    <row r="11043" spans="1:3" s="7" customFormat="1" x14ac:dyDescent="0.2">
      <c r="A11043" s="6" t="str">
        <f>"TMEM248"</f>
        <v>TMEM248</v>
      </c>
      <c r="B11043" s="6">
        <v>0.33566433566433501</v>
      </c>
      <c r="C11043" s="6">
        <v>0.50785676711267302</v>
      </c>
    </row>
    <row r="11044" spans="1:3" s="7" customFormat="1" x14ac:dyDescent="0.2">
      <c r="A11044" s="6" t="str">
        <f>"AL359764.1"</f>
        <v>AL359764.1</v>
      </c>
      <c r="B11044" s="6">
        <v>0.33534136546184701</v>
      </c>
      <c r="C11044" s="6">
        <v>0.50785676711267302</v>
      </c>
    </row>
    <row r="11045" spans="1:3" s="7" customFormat="1" x14ac:dyDescent="0.2">
      <c r="A11045" s="6" t="str">
        <f>"RIPOR3-AS1"</f>
        <v>RIPOR3-AS1</v>
      </c>
      <c r="B11045" s="6">
        <v>0.33566433566433501</v>
      </c>
      <c r="C11045" s="6">
        <v>0.50785676711267302</v>
      </c>
    </row>
    <row r="11046" spans="1:3" s="7" customFormat="1" x14ac:dyDescent="0.2">
      <c r="A11046" s="6" t="str">
        <f>"AP003472.1"</f>
        <v>AP003472.1</v>
      </c>
      <c r="B11046" s="6">
        <v>0.33566433566433501</v>
      </c>
      <c r="C11046" s="6">
        <v>0.50785676711267302</v>
      </c>
    </row>
    <row r="11047" spans="1:3" s="7" customFormat="1" x14ac:dyDescent="0.2">
      <c r="A11047" s="6" t="str">
        <f>"RBBP6"</f>
        <v>RBBP6</v>
      </c>
      <c r="B11047" s="6">
        <v>0.33566433566433501</v>
      </c>
      <c r="C11047" s="6">
        <v>0.50785676711267302</v>
      </c>
    </row>
    <row r="11048" spans="1:3" s="7" customFormat="1" x14ac:dyDescent="0.2">
      <c r="A11048" s="6" t="str">
        <f>"WDR31"</f>
        <v>WDR31</v>
      </c>
      <c r="B11048" s="6">
        <v>0.33566433566433501</v>
      </c>
      <c r="C11048" s="6">
        <v>0.50785676711267302</v>
      </c>
    </row>
    <row r="11049" spans="1:3" s="7" customFormat="1" x14ac:dyDescent="0.2">
      <c r="A11049" s="6" t="str">
        <f>"AC015909.5"</f>
        <v>AC015909.5</v>
      </c>
      <c r="B11049" s="6">
        <v>0.3359375</v>
      </c>
      <c r="C11049" s="6">
        <v>0.508224056390296</v>
      </c>
    </row>
    <row r="11050" spans="1:3" s="7" customFormat="1" x14ac:dyDescent="0.2">
      <c r="A11050" s="6" t="str">
        <f>"UBE2K"</f>
        <v>UBE2K</v>
      </c>
      <c r="B11050" s="6">
        <v>0.33600000000000002</v>
      </c>
      <c r="C11050" s="6">
        <v>0.50827260385555195</v>
      </c>
    </row>
    <row r="11051" spans="1:3" s="7" customFormat="1" x14ac:dyDescent="0.2">
      <c r="A11051" s="6" t="str">
        <f>"AL356095.2"</f>
        <v>AL356095.2</v>
      </c>
      <c r="B11051" s="6">
        <v>0.33604060913705502</v>
      </c>
      <c r="C11051" s="6">
        <v>0.50828803087029395</v>
      </c>
    </row>
    <row r="11052" spans="1:3" s="7" customFormat="1" x14ac:dyDescent="0.2">
      <c r="A11052" s="6" t="str">
        <f>"LINC02680"</f>
        <v>LINC02680</v>
      </c>
      <c r="B11052" s="6">
        <v>0.33636363636363598</v>
      </c>
      <c r="C11052" s="6">
        <v>0.50863854321738999</v>
      </c>
    </row>
    <row r="11053" spans="1:3" s="7" customFormat="1" x14ac:dyDescent="0.2">
      <c r="A11053" s="6" t="str">
        <f>"TUBAL3"</f>
        <v>TUBAL3</v>
      </c>
      <c r="B11053" s="6">
        <v>0.33633633633633597</v>
      </c>
      <c r="C11053" s="6">
        <v>0.50863854321738999</v>
      </c>
    </row>
    <row r="11054" spans="1:3" s="7" customFormat="1" x14ac:dyDescent="0.2">
      <c r="A11054" s="6" t="str">
        <f>"SUMO2P17"</f>
        <v>SUMO2P17</v>
      </c>
      <c r="B11054" s="6">
        <v>0.33633633633633597</v>
      </c>
      <c r="C11054" s="6">
        <v>0.50863854321738999</v>
      </c>
    </row>
    <row r="11055" spans="1:3" s="7" customFormat="1" x14ac:dyDescent="0.2">
      <c r="A11055" s="6" t="str">
        <f>"FCGRT"</f>
        <v>FCGRT</v>
      </c>
      <c r="B11055" s="6">
        <v>0.33666333666333598</v>
      </c>
      <c r="C11055" s="6">
        <v>0.50876953065018105</v>
      </c>
    </row>
    <row r="11056" spans="1:3" s="7" customFormat="1" x14ac:dyDescent="0.2">
      <c r="A11056" s="6" t="str">
        <f>"NUDT10"</f>
        <v>NUDT10</v>
      </c>
      <c r="B11056" s="6">
        <v>0.33666333666333598</v>
      </c>
      <c r="C11056" s="6">
        <v>0.50876953065018105</v>
      </c>
    </row>
    <row r="11057" spans="1:3" s="7" customFormat="1" x14ac:dyDescent="0.2">
      <c r="A11057" s="6" t="str">
        <f>"CCDC127"</f>
        <v>CCDC127</v>
      </c>
      <c r="B11057" s="6">
        <v>0.33666333666333598</v>
      </c>
      <c r="C11057" s="6">
        <v>0.50876953065018105</v>
      </c>
    </row>
    <row r="11058" spans="1:3" s="7" customFormat="1" x14ac:dyDescent="0.2">
      <c r="A11058" s="6" t="str">
        <f>"PWWP2B"</f>
        <v>PWWP2B</v>
      </c>
      <c r="B11058" s="6">
        <v>0.33666333666333598</v>
      </c>
      <c r="C11058" s="6">
        <v>0.50876953065018105</v>
      </c>
    </row>
    <row r="11059" spans="1:3" s="7" customFormat="1" x14ac:dyDescent="0.2">
      <c r="A11059" s="6" t="str">
        <f>"ANO3"</f>
        <v>ANO3</v>
      </c>
      <c r="B11059" s="6">
        <v>0.33666333666333598</v>
      </c>
      <c r="C11059" s="6">
        <v>0.50876953065018105</v>
      </c>
    </row>
    <row r="11060" spans="1:3" s="7" customFormat="1" x14ac:dyDescent="0.2">
      <c r="A11060" s="6" t="str">
        <f>"AC104257.1"</f>
        <v>AC104257.1</v>
      </c>
      <c r="B11060" s="6">
        <v>0.33666333666333598</v>
      </c>
      <c r="C11060" s="6">
        <v>0.50876953065018105</v>
      </c>
    </row>
    <row r="11061" spans="1:3" s="7" customFormat="1" x14ac:dyDescent="0.2">
      <c r="A11061" s="6" t="str">
        <f>"OGA"</f>
        <v>OGA</v>
      </c>
      <c r="B11061" s="6">
        <v>0.33666333666333598</v>
      </c>
      <c r="C11061" s="6">
        <v>0.50876953065018105</v>
      </c>
    </row>
    <row r="11062" spans="1:3" s="7" customFormat="1" x14ac:dyDescent="0.2">
      <c r="A11062" s="6" t="str">
        <f>"PIGT"</f>
        <v>PIGT</v>
      </c>
      <c r="B11062" s="6">
        <v>0.337662337662337</v>
      </c>
      <c r="C11062" s="6">
        <v>0.50954210109139597</v>
      </c>
    </row>
    <row r="11063" spans="1:3" s="7" customFormat="1" x14ac:dyDescent="0.2">
      <c r="A11063" s="6" t="str">
        <f>"NFE2L2"</f>
        <v>NFE2L2</v>
      </c>
      <c r="B11063" s="6">
        <v>0.337662337662337</v>
      </c>
      <c r="C11063" s="6">
        <v>0.50954210109139597</v>
      </c>
    </row>
    <row r="11064" spans="1:3" s="7" customFormat="1" x14ac:dyDescent="0.2">
      <c r="A11064" s="6" t="str">
        <f>"MMADHC"</f>
        <v>MMADHC</v>
      </c>
      <c r="B11064" s="6">
        <v>0.337662337662337</v>
      </c>
      <c r="C11064" s="6">
        <v>0.50954210109139597</v>
      </c>
    </row>
    <row r="11065" spans="1:3" s="7" customFormat="1" x14ac:dyDescent="0.2">
      <c r="A11065" s="6" t="str">
        <f>"EIF5"</f>
        <v>EIF5</v>
      </c>
      <c r="B11065" s="6">
        <v>0.337662337662337</v>
      </c>
      <c r="C11065" s="6">
        <v>0.50954210109139597</v>
      </c>
    </row>
    <row r="11066" spans="1:3" s="7" customFormat="1" x14ac:dyDescent="0.2">
      <c r="A11066" s="6" t="str">
        <f>"TCP10L"</f>
        <v>TCP10L</v>
      </c>
      <c r="B11066" s="6">
        <v>0.337662337662337</v>
      </c>
      <c r="C11066" s="6">
        <v>0.50954210109139597</v>
      </c>
    </row>
    <row r="11067" spans="1:3" s="7" customFormat="1" x14ac:dyDescent="0.2">
      <c r="A11067" s="6" t="str">
        <f>"COL6A6"</f>
        <v>COL6A6</v>
      </c>
      <c r="B11067" s="6">
        <v>0.337662337662337</v>
      </c>
      <c r="C11067" s="6">
        <v>0.50954210109139597</v>
      </c>
    </row>
    <row r="11068" spans="1:3" s="7" customFormat="1" x14ac:dyDescent="0.2">
      <c r="A11068" s="6" t="str">
        <f>"ZNF441"</f>
        <v>ZNF441</v>
      </c>
      <c r="B11068" s="6">
        <v>0.337662337662337</v>
      </c>
      <c r="C11068" s="6">
        <v>0.50954210109139597</v>
      </c>
    </row>
    <row r="11069" spans="1:3" s="7" customFormat="1" x14ac:dyDescent="0.2">
      <c r="A11069" s="6" t="str">
        <f>"EFCAB8"</f>
        <v>EFCAB8</v>
      </c>
      <c r="B11069" s="6">
        <v>0.337662337662337</v>
      </c>
      <c r="C11069" s="6">
        <v>0.50954210109139597</v>
      </c>
    </row>
    <row r="11070" spans="1:3" s="7" customFormat="1" x14ac:dyDescent="0.2">
      <c r="A11070" s="6" t="str">
        <f>"ROMO1"</f>
        <v>ROMO1</v>
      </c>
      <c r="B11070" s="6">
        <v>0.337662337662337</v>
      </c>
      <c r="C11070" s="6">
        <v>0.50954210109139597</v>
      </c>
    </row>
    <row r="11071" spans="1:3" s="7" customFormat="1" x14ac:dyDescent="0.2">
      <c r="A11071" s="6" t="str">
        <f>"MPZL3"</f>
        <v>MPZL3</v>
      </c>
      <c r="B11071" s="6">
        <v>0.337662337662337</v>
      </c>
      <c r="C11071" s="6">
        <v>0.50954210109139597</v>
      </c>
    </row>
    <row r="11072" spans="1:3" s="7" customFormat="1" x14ac:dyDescent="0.2">
      <c r="A11072" s="6" t="str">
        <f>"SMPD1"</f>
        <v>SMPD1</v>
      </c>
      <c r="B11072" s="6">
        <v>0.337662337662337</v>
      </c>
      <c r="C11072" s="6">
        <v>0.50954210109139597</v>
      </c>
    </row>
    <row r="11073" spans="1:3" s="7" customFormat="1" x14ac:dyDescent="0.2">
      <c r="A11073" s="6" t="str">
        <f>"ANKDD1A"</f>
        <v>ANKDD1A</v>
      </c>
      <c r="B11073" s="6">
        <v>0.337662337662337</v>
      </c>
      <c r="C11073" s="6">
        <v>0.50954210109139597</v>
      </c>
    </row>
    <row r="11074" spans="1:3" s="7" customFormat="1" x14ac:dyDescent="0.2">
      <c r="A11074" s="6" t="str">
        <f>"AC139491.5"</f>
        <v>AC139491.5</v>
      </c>
      <c r="B11074" s="6">
        <v>0.337662337662337</v>
      </c>
      <c r="C11074" s="6">
        <v>0.50954210109139597</v>
      </c>
    </row>
    <row r="11075" spans="1:3" s="7" customFormat="1" x14ac:dyDescent="0.2">
      <c r="A11075" s="6" t="str">
        <f>"PYGO2"</f>
        <v>PYGO2</v>
      </c>
      <c r="B11075" s="6">
        <v>0.337662337662337</v>
      </c>
      <c r="C11075" s="6">
        <v>0.50954210109139597</v>
      </c>
    </row>
    <row r="11076" spans="1:3" s="7" customFormat="1" x14ac:dyDescent="0.2">
      <c r="A11076" s="6" t="str">
        <f>"TMEM41B"</f>
        <v>TMEM41B</v>
      </c>
      <c r="B11076" s="6">
        <v>0.337662337662337</v>
      </c>
      <c r="C11076" s="6">
        <v>0.50954210109139597</v>
      </c>
    </row>
    <row r="11077" spans="1:3" s="7" customFormat="1" x14ac:dyDescent="0.2">
      <c r="A11077" s="6" t="str">
        <f>"DNAJB12"</f>
        <v>DNAJB12</v>
      </c>
      <c r="B11077" s="6">
        <v>0.337662337662337</v>
      </c>
      <c r="C11077" s="6">
        <v>0.50954210109139597</v>
      </c>
    </row>
    <row r="11078" spans="1:3" s="7" customFormat="1" x14ac:dyDescent="0.2">
      <c r="A11078" s="6" t="str">
        <f>"AL161665.2"</f>
        <v>AL161665.2</v>
      </c>
      <c r="B11078" s="6">
        <v>0.33800000000000002</v>
      </c>
      <c r="C11078" s="6">
        <v>0.51000559718335203</v>
      </c>
    </row>
    <row r="11079" spans="1:3" s="7" customFormat="1" x14ac:dyDescent="0.2">
      <c r="A11079" s="6" t="str">
        <f>"AL359711.2"</f>
        <v>AL359711.2</v>
      </c>
      <c r="B11079" s="6">
        <v>0.33805668016194301</v>
      </c>
      <c r="C11079" s="6">
        <v>0.51004507602696503</v>
      </c>
    </row>
    <row r="11080" spans="1:3" s="7" customFormat="1" x14ac:dyDescent="0.2">
      <c r="A11080" s="6" t="str">
        <f>"LINC00648"</f>
        <v>LINC00648</v>
      </c>
      <c r="B11080" s="6">
        <v>0.33835341365461802</v>
      </c>
      <c r="C11080" s="6">
        <v>0.51044669697836298</v>
      </c>
    </row>
    <row r="11081" spans="1:3" s="7" customFormat="1" x14ac:dyDescent="0.2">
      <c r="A11081" s="6" t="str">
        <f>"ARHGAP1"</f>
        <v>ARHGAP1</v>
      </c>
      <c r="B11081" s="6">
        <v>0.33866133866133802</v>
      </c>
      <c r="C11081" s="6">
        <v>0.51047464213303495</v>
      </c>
    </row>
    <row r="11082" spans="1:3" s="7" customFormat="1" x14ac:dyDescent="0.2">
      <c r="A11082" s="6" t="str">
        <f>"KRR1"</f>
        <v>KRR1</v>
      </c>
      <c r="B11082" s="6">
        <v>0.33866133866133802</v>
      </c>
      <c r="C11082" s="6">
        <v>0.51047464213303495</v>
      </c>
    </row>
    <row r="11083" spans="1:3" s="7" customFormat="1" x14ac:dyDescent="0.2">
      <c r="A11083" s="6" t="str">
        <f>"SH3GLB1"</f>
        <v>SH3GLB1</v>
      </c>
      <c r="B11083" s="6">
        <v>0.33866133866133802</v>
      </c>
      <c r="C11083" s="6">
        <v>0.51047464213303495</v>
      </c>
    </row>
    <row r="11084" spans="1:3" s="7" customFormat="1" x14ac:dyDescent="0.2">
      <c r="A11084" s="6" t="str">
        <f>"BVES"</f>
        <v>BVES</v>
      </c>
      <c r="B11084" s="6">
        <v>0.33867735470941801</v>
      </c>
      <c r="C11084" s="6">
        <v>0.51047464213303495</v>
      </c>
    </row>
    <row r="11085" spans="1:3" s="7" customFormat="1" x14ac:dyDescent="0.2">
      <c r="A11085" s="6" t="str">
        <f>"CCDC138"</f>
        <v>CCDC138</v>
      </c>
      <c r="B11085" s="6">
        <v>0.33866133866133802</v>
      </c>
      <c r="C11085" s="6">
        <v>0.51047464213303495</v>
      </c>
    </row>
    <row r="11086" spans="1:3" s="7" customFormat="1" x14ac:dyDescent="0.2">
      <c r="A11086" s="6" t="str">
        <f>"HSPB7"</f>
        <v>HSPB7</v>
      </c>
      <c r="B11086" s="6">
        <v>0.33866133866133802</v>
      </c>
      <c r="C11086" s="6">
        <v>0.51047464213303495</v>
      </c>
    </row>
    <row r="11087" spans="1:3" s="7" customFormat="1" x14ac:dyDescent="0.2">
      <c r="A11087" s="6" t="str">
        <f>"C11orf71"</f>
        <v>C11orf71</v>
      </c>
      <c r="B11087" s="6">
        <v>0.33866133866133802</v>
      </c>
      <c r="C11087" s="6">
        <v>0.51047464213303495</v>
      </c>
    </row>
    <row r="11088" spans="1:3" s="7" customFormat="1" x14ac:dyDescent="0.2">
      <c r="A11088" s="6" t="str">
        <f>"CU634019.5"</f>
        <v>CU634019.5</v>
      </c>
      <c r="B11088" s="6">
        <v>0.33866133866133802</v>
      </c>
      <c r="C11088" s="6">
        <v>0.51047464213303495</v>
      </c>
    </row>
    <row r="11089" spans="1:3" s="7" customFormat="1" x14ac:dyDescent="0.2">
      <c r="A11089" s="6" t="str">
        <f>"CCDC174"</f>
        <v>CCDC174</v>
      </c>
      <c r="B11089" s="6">
        <v>0.33866133866133802</v>
      </c>
      <c r="C11089" s="6">
        <v>0.51047464213303495</v>
      </c>
    </row>
    <row r="11090" spans="1:3" s="7" customFormat="1" x14ac:dyDescent="0.2">
      <c r="A11090" s="6" t="str">
        <f>"ZNF37A"</f>
        <v>ZNF37A</v>
      </c>
      <c r="B11090" s="6">
        <v>0.33866133866133802</v>
      </c>
      <c r="C11090" s="6">
        <v>0.51047464213303495</v>
      </c>
    </row>
    <row r="11091" spans="1:3" s="7" customFormat="1" x14ac:dyDescent="0.2">
      <c r="A11091" s="6" t="str">
        <f>"FAM160A2"</f>
        <v>FAM160A2</v>
      </c>
      <c r="B11091" s="6">
        <v>0.33966033966033898</v>
      </c>
      <c r="C11091" s="6">
        <v>0.51147754969398196</v>
      </c>
    </row>
    <row r="11092" spans="1:3" s="7" customFormat="1" x14ac:dyDescent="0.2">
      <c r="A11092" s="6" t="str">
        <f>"AC008507.3"</f>
        <v>AC008507.3</v>
      </c>
      <c r="B11092" s="6">
        <v>0.33967935871743399</v>
      </c>
      <c r="C11092" s="6">
        <v>0.51147754969398196</v>
      </c>
    </row>
    <row r="11093" spans="1:3" s="7" customFormat="1" x14ac:dyDescent="0.2">
      <c r="A11093" s="6" t="str">
        <f>"ZNF691"</f>
        <v>ZNF691</v>
      </c>
      <c r="B11093" s="6">
        <v>0.33966033966033898</v>
      </c>
      <c r="C11093" s="6">
        <v>0.51147754969398196</v>
      </c>
    </row>
    <row r="11094" spans="1:3" s="7" customFormat="1" x14ac:dyDescent="0.2">
      <c r="A11094" s="6" t="str">
        <f>"TMC7"</f>
        <v>TMC7</v>
      </c>
      <c r="B11094" s="6">
        <v>0.33966033966033898</v>
      </c>
      <c r="C11094" s="6">
        <v>0.51147754969398196</v>
      </c>
    </row>
    <row r="11095" spans="1:3" s="7" customFormat="1" x14ac:dyDescent="0.2">
      <c r="A11095" s="6" t="str">
        <f>"TPRG1"</f>
        <v>TPRG1</v>
      </c>
      <c r="B11095" s="6">
        <v>0.33966033966033898</v>
      </c>
      <c r="C11095" s="6">
        <v>0.51147754969398196</v>
      </c>
    </row>
    <row r="11096" spans="1:3" s="7" customFormat="1" x14ac:dyDescent="0.2">
      <c r="A11096" s="6" t="str">
        <f>"PAPOLA"</f>
        <v>PAPOLA</v>
      </c>
      <c r="B11096" s="6">
        <v>0.33966033966033898</v>
      </c>
      <c r="C11096" s="6">
        <v>0.51147754969398196</v>
      </c>
    </row>
    <row r="11097" spans="1:3" s="7" customFormat="1" x14ac:dyDescent="0.2">
      <c r="A11097" s="6" t="str">
        <f>"AC092656.1"</f>
        <v>AC092656.1</v>
      </c>
      <c r="B11097" s="6">
        <v>0.33966033966033898</v>
      </c>
      <c r="C11097" s="6">
        <v>0.51147754969398196</v>
      </c>
    </row>
    <row r="11098" spans="1:3" s="7" customFormat="1" x14ac:dyDescent="0.2">
      <c r="A11098" s="6" t="str">
        <f>"LAMB2"</f>
        <v>LAMB2</v>
      </c>
      <c r="B11098" s="6">
        <v>0.33966033966033898</v>
      </c>
      <c r="C11098" s="6">
        <v>0.51147754969398196</v>
      </c>
    </row>
    <row r="11099" spans="1:3" s="7" customFormat="1" x14ac:dyDescent="0.2">
      <c r="A11099" s="6" t="str">
        <f>"AC027796.3"</f>
        <v>AC027796.3</v>
      </c>
      <c r="B11099" s="6">
        <v>0.33966033966033898</v>
      </c>
      <c r="C11099" s="6">
        <v>0.51147754969398196</v>
      </c>
    </row>
    <row r="11100" spans="1:3" s="7" customFormat="1" x14ac:dyDescent="0.2">
      <c r="A11100" s="6" t="str">
        <f>"TEN1-CDK3"</f>
        <v>TEN1-CDK3</v>
      </c>
      <c r="B11100" s="6">
        <v>0.33966033966033898</v>
      </c>
      <c r="C11100" s="6">
        <v>0.51147754969398196</v>
      </c>
    </row>
    <row r="11101" spans="1:3" s="7" customFormat="1" x14ac:dyDescent="0.2">
      <c r="A11101" s="6" t="str">
        <f>"RCN2"</f>
        <v>RCN2</v>
      </c>
      <c r="B11101" s="6">
        <v>0.33966033966033898</v>
      </c>
      <c r="C11101" s="6">
        <v>0.51147754969398196</v>
      </c>
    </row>
    <row r="11102" spans="1:3" s="7" customFormat="1" x14ac:dyDescent="0.2">
      <c r="A11102" s="6" t="str">
        <f>"ATXN1-AS1"</f>
        <v>ATXN1-AS1</v>
      </c>
      <c r="B11102" s="6">
        <v>0.33973710819009101</v>
      </c>
      <c r="C11102" s="6">
        <v>0.511518424131986</v>
      </c>
    </row>
    <row r="11103" spans="1:3" s="7" customFormat="1" x14ac:dyDescent="0.2">
      <c r="A11103" s="6" t="str">
        <f>"AP001790.1"</f>
        <v>AP001790.1</v>
      </c>
      <c r="B11103" s="6">
        <v>0.34</v>
      </c>
      <c r="C11103" s="6">
        <v>0.51186813186813096</v>
      </c>
    </row>
    <row r="11104" spans="1:3" s="7" customFormat="1" x14ac:dyDescent="0.2">
      <c r="A11104" s="6" t="str">
        <f>"AC006001.4"</f>
        <v>AC006001.4</v>
      </c>
      <c r="B11104" s="6">
        <v>0.34006054490413701</v>
      </c>
      <c r="C11104" s="6">
        <v>0.51191317189297902</v>
      </c>
    </row>
    <row r="11105" spans="1:3" s="7" customFormat="1" x14ac:dyDescent="0.2">
      <c r="A11105" s="6" t="str">
        <f>"AL161457.2"</f>
        <v>AL161457.2</v>
      </c>
      <c r="B11105" s="6">
        <v>0.34065934065934</v>
      </c>
      <c r="C11105" s="6">
        <v>0.51221484524830996</v>
      </c>
    </row>
    <row r="11106" spans="1:3" s="7" customFormat="1" x14ac:dyDescent="0.2">
      <c r="A11106" s="6" t="str">
        <f>"GRM1"</f>
        <v>GRM1</v>
      </c>
      <c r="B11106" s="6">
        <v>0.34065934065934</v>
      </c>
      <c r="C11106" s="6">
        <v>0.51221484524830996</v>
      </c>
    </row>
    <row r="11107" spans="1:3" s="7" customFormat="1" x14ac:dyDescent="0.2">
      <c r="A11107" s="6" t="str">
        <f>"XBP1"</f>
        <v>XBP1</v>
      </c>
      <c r="B11107" s="6">
        <v>0.34065934065934</v>
      </c>
      <c r="C11107" s="6">
        <v>0.51221484524830996</v>
      </c>
    </row>
    <row r="11108" spans="1:3" s="7" customFormat="1" x14ac:dyDescent="0.2">
      <c r="A11108" s="6" t="str">
        <f>"LINC00824"</f>
        <v>LINC00824</v>
      </c>
      <c r="B11108" s="6">
        <v>0.34034034034034</v>
      </c>
      <c r="C11108" s="6">
        <v>0.51221484524830996</v>
      </c>
    </row>
    <row r="11109" spans="1:3" s="7" customFormat="1" x14ac:dyDescent="0.2">
      <c r="A11109" s="6" t="str">
        <f>"SFXN5"</f>
        <v>SFXN5</v>
      </c>
      <c r="B11109" s="6">
        <v>0.34065934065934</v>
      </c>
      <c r="C11109" s="6">
        <v>0.51221484524830996</v>
      </c>
    </row>
    <row r="11110" spans="1:3" s="7" customFormat="1" x14ac:dyDescent="0.2">
      <c r="A11110" s="6" t="str">
        <f>"KCNQ3"</f>
        <v>KCNQ3</v>
      </c>
      <c r="B11110" s="6">
        <v>0.34065934065934</v>
      </c>
      <c r="C11110" s="6">
        <v>0.51221484524830996</v>
      </c>
    </row>
    <row r="11111" spans="1:3" s="7" customFormat="1" x14ac:dyDescent="0.2">
      <c r="A11111" s="6" t="str">
        <f>"RGS5-AS1"</f>
        <v>RGS5-AS1</v>
      </c>
      <c r="B11111" s="6">
        <v>0.34065934065934</v>
      </c>
      <c r="C11111" s="6">
        <v>0.51221484524830996</v>
      </c>
    </row>
    <row r="11112" spans="1:3" s="7" customFormat="1" x14ac:dyDescent="0.2">
      <c r="A11112" s="6" t="str">
        <f>"SLC30A8"</f>
        <v>SLC30A8</v>
      </c>
      <c r="B11112" s="6">
        <v>0.34065934065934</v>
      </c>
      <c r="C11112" s="6">
        <v>0.51221484524830996</v>
      </c>
    </row>
    <row r="11113" spans="1:3" s="7" customFormat="1" x14ac:dyDescent="0.2">
      <c r="A11113" s="6" t="str">
        <f>"MROH8"</f>
        <v>MROH8</v>
      </c>
      <c r="B11113" s="6">
        <v>0.34065934065934</v>
      </c>
      <c r="C11113" s="6">
        <v>0.51221484524830996</v>
      </c>
    </row>
    <row r="11114" spans="1:3" s="7" customFormat="1" x14ac:dyDescent="0.2">
      <c r="A11114" s="6" t="str">
        <f>"STEAP4"</f>
        <v>STEAP4</v>
      </c>
      <c r="B11114" s="6">
        <v>0.34065934065934</v>
      </c>
      <c r="C11114" s="6">
        <v>0.51221484524830996</v>
      </c>
    </row>
    <row r="11115" spans="1:3" s="7" customFormat="1" x14ac:dyDescent="0.2">
      <c r="A11115" s="6" t="str">
        <f>"YIPF2"</f>
        <v>YIPF2</v>
      </c>
      <c r="B11115" s="6">
        <v>0.34065934065934</v>
      </c>
      <c r="C11115" s="6">
        <v>0.51221484524830996</v>
      </c>
    </row>
    <row r="11116" spans="1:3" s="7" customFormat="1" x14ac:dyDescent="0.2">
      <c r="A11116" s="6" t="str">
        <f>"EXOC1L"</f>
        <v>EXOC1L</v>
      </c>
      <c r="B11116" s="6">
        <v>0.34065934065934</v>
      </c>
      <c r="C11116" s="6">
        <v>0.51221484524830996</v>
      </c>
    </row>
    <row r="11117" spans="1:3" s="7" customFormat="1" x14ac:dyDescent="0.2">
      <c r="A11117" s="6" t="str">
        <f>"NOL11"</f>
        <v>NOL11</v>
      </c>
      <c r="B11117" s="6">
        <v>0.34065934065934</v>
      </c>
      <c r="C11117" s="6">
        <v>0.51221484524830996</v>
      </c>
    </row>
    <row r="11118" spans="1:3" s="7" customFormat="1" x14ac:dyDescent="0.2">
      <c r="A11118" s="6" t="str">
        <f>"AL360270.2"</f>
        <v>AL360270.2</v>
      </c>
      <c r="B11118" s="6">
        <v>0.34072580645161199</v>
      </c>
      <c r="C11118" s="6">
        <v>0.51226869920232598</v>
      </c>
    </row>
    <row r="11119" spans="1:3" s="7" customFormat="1" x14ac:dyDescent="0.2">
      <c r="A11119" s="6" t="str">
        <f>"AL356740.3"</f>
        <v>AL356740.3</v>
      </c>
      <c r="B11119" s="6">
        <v>0.34100000000000003</v>
      </c>
      <c r="C11119" s="6">
        <v>0.51258872200737404</v>
      </c>
    </row>
    <row r="11120" spans="1:3" s="7" customFormat="1" x14ac:dyDescent="0.2">
      <c r="A11120" s="6" t="str">
        <f>"MRFAP1L1"</f>
        <v>MRFAP1L1</v>
      </c>
      <c r="B11120" s="6">
        <v>0.34100000000000003</v>
      </c>
      <c r="C11120" s="6">
        <v>0.51258872200737404</v>
      </c>
    </row>
    <row r="11121" spans="1:3" s="7" customFormat="1" x14ac:dyDescent="0.2">
      <c r="A11121" s="6" t="str">
        <f>"NQO1"</f>
        <v>NQO1</v>
      </c>
      <c r="B11121" s="6">
        <v>0.34165834165834102</v>
      </c>
      <c r="C11121" s="6">
        <v>0.51261019052760504</v>
      </c>
    </row>
    <row r="11122" spans="1:3" s="7" customFormat="1" x14ac:dyDescent="0.2">
      <c r="A11122" s="6" t="str">
        <f>"MB21D2"</f>
        <v>MB21D2</v>
      </c>
      <c r="B11122" s="6">
        <v>0.34165834165834102</v>
      </c>
      <c r="C11122" s="6">
        <v>0.51261019052760504</v>
      </c>
    </row>
    <row r="11123" spans="1:3" s="7" customFormat="1" x14ac:dyDescent="0.2">
      <c r="A11123" s="6" t="str">
        <f>"SLC9B1"</f>
        <v>SLC9B1</v>
      </c>
      <c r="B11123" s="6">
        <v>0.34165834165834102</v>
      </c>
      <c r="C11123" s="6">
        <v>0.51261019052760504</v>
      </c>
    </row>
    <row r="11124" spans="1:3" s="7" customFormat="1" x14ac:dyDescent="0.2">
      <c r="A11124" s="6" t="str">
        <f>"DCLRE1B"</f>
        <v>DCLRE1B</v>
      </c>
      <c r="B11124" s="6">
        <v>0.34165834165834102</v>
      </c>
      <c r="C11124" s="6">
        <v>0.51261019052760504</v>
      </c>
    </row>
    <row r="11125" spans="1:3" s="7" customFormat="1" x14ac:dyDescent="0.2">
      <c r="A11125" s="6" t="str">
        <f>"AC079163.2"</f>
        <v>AC079163.2</v>
      </c>
      <c r="B11125" s="6">
        <v>0.34165834165834102</v>
      </c>
      <c r="C11125" s="6">
        <v>0.51261019052760504</v>
      </c>
    </row>
    <row r="11126" spans="1:3" s="7" customFormat="1" x14ac:dyDescent="0.2">
      <c r="A11126" s="6" t="str">
        <f>"USP4"</f>
        <v>USP4</v>
      </c>
      <c r="B11126" s="6">
        <v>0.34165834165834102</v>
      </c>
      <c r="C11126" s="6">
        <v>0.51261019052760504</v>
      </c>
    </row>
    <row r="11127" spans="1:3" s="7" customFormat="1" x14ac:dyDescent="0.2">
      <c r="A11127" s="6" t="str">
        <f>"NCSTN"</f>
        <v>NCSTN</v>
      </c>
      <c r="B11127" s="6">
        <v>0.34165834165834102</v>
      </c>
      <c r="C11127" s="6">
        <v>0.51261019052760504</v>
      </c>
    </row>
    <row r="11128" spans="1:3" s="7" customFormat="1" x14ac:dyDescent="0.2">
      <c r="A11128" s="6" t="str">
        <f>"AC073046.4"</f>
        <v>AC073046.4</v>
      </c>
      <c r="B11128" s="6">
        <v>0.34165834165834102</v>
      </c>
      <c r="C11128" s="6">
        <v>0.51261019052760504</v>
      </c>
    </row>
    <row r="11129" spans="1:3" s="7" customFormat="1" x14ac:dyDescent="0.2">
      <c r="A11129" s="6" t="str">
        <f>"MSRB3"</f>
        <v>MSRB3</v>
      </c>
      <c r="B11129" s="6">
        <v>0.34165834165834102</v>
      </c>
      <c r="C11129" s="6">
        <v>0.51261019052760504</v>
      </c>
    </row>
    <row r="11130" spans="1:3" s="7" customFormat="1" x14ac:dyDescent="0.2">
      <c r="A11130" s="6" t="str">
        <f>"MBD3"</f>
        <v>MBD3</v>
      </c>
      <c r="B11130" s="6">
        <v>0.34165834165834102</v>
      </c>
      <c r="C11130" s="6">
        <v>0.51261019052760504</v>
      </c>
    </row>
    <row r="11131" spans="1:3" s="7" customFormat="1" x14ac:dyDescent="0.2">
      <c r="A11131" s="6" t="str">
        <f>"PCDHB16"</f>
        <v>PCDHB16</v>
      </c>
      <c r="B11131" s="6">
        <v>0.34165834165834102</v>
      </c>
      <c r="C11131" s="6">
        <v>0.51261019052760504</v>
      </c>
    </row>
    <row r="11132" spans="1:3" s="7" customFormat="1" x14ac:dyDescent="0.2">
      <c r="A11132" s="6" t="str">
        <f>"CALR"</f>
        <v>CALR</v>
      </c>
      <c r="B11132" s="6">
        <v>0.34165834165834102</v>
      </c>
      <c r="C11132" s="6">
        <v>0.51261019052760504</v>
      </c>
    </row>
    <row r="11133" spans="1:3" s="7" customFormat="1" x14ac:dyDescent="0.2">
      <c r="A11133" s="6" t="str">
        <f>"MYC"</f>
        <v>MYC</v>
      </c>
      <c r="B11133" s="6">
        <v>0.34165834165834102</v>
      </c>
      <c r="C11133" s="6">
        <v>0.51261019052760504</v>
      </c>
    </row>
    <row r="11134" spans="1:3" s="7" customFormat="1" x14ac:dyDescent="0.2">
      <c r="A11134" s="6" t="str">
        <f>"STRCP1"</f>
        <v>STRCP1</v>
      </c>
      <c r="B11134" s="6">
        <v>0.34165834165834102</v>
      </c>
      <c r="C11134" s="6">
        <v>0.51261019052760504</v>
      </c>
    </row>
    <row r="11135" spans="1:3" s="7" customFormat="1" x14ac:dyDescent="0.2">
      <c r="A11135" s="6" t="str">
        <f>"SMG6"</f>
        <v>SMG6</v>
      </c>
      <c r="B11135" s="6">
        <v>0.34165834165834102</v>
      </c>
      <c r="C11135" s="6">
        <v>0.51261019052760504</v>
      </c>
    </row>
    <row r="11136" spans="1:3" s="7" customFormat="1" x14ac:dyDescent="0.2">
      <c r="A11136" s="6" t="str">
        <f>"AP001636.3"</f>
        <v>AP001636.3</v>
      </c>
      <c r="B11136" s="6">
        <v>0.34165834165834102</v>
      </c>
      <c r="C11136" s="6">
        <v>0.51261019052760504</v>
      </c>
    </row>
    <row r="11137" spans="1:3" s="7" customFormat="1" x14ac:dyDescent="0.2">
      <c r="A11137" s="6" t="str">
        <f>"PSPHP1"</f>
        <v>PSPHP1</v>
      </c>
      <c r="B11137" s="6">
        <v>0.34121122599704501</v>
      </c>
      <c r="C11137" s="6">
        <v>0.51261019052760504</v>
      </c>
    </row>
    <row r="11138" spans="1:3" s="7" customFormat="1" x14ac:dyDescent="0.2">
      <c r="A11138" s="6" t="str">
        <f>"TPK1"</f>
        <v>TPK1</v>
      </c>
      <c r="B11138" s="6">
        <v>0.34165834165834102</v>
      </c>
      <c r="C11138" s="6">
        <v>0.51261019052760504</v>
      </c>
    </row>
    <row r="11139" spans="1:3" s="7" customFormat="1" x14ac:dyDescent="0.2">
      <c r="A11139" s="6" t="str">
        <f>"TMCO1-AS1"</f>
        <v>TMCO1-AS1</v>
      </c>
      <c r="B11139" s="6">
        <v>0.34143870314083002</v>
      </c>
      <c r="C11139" s="6">
        <v>0.51261019052760504</v>
      </c>
    </row>
    <row r="11140" spans="1:3" s="7" customFormat="1" x14ac:dyDescent="0.2">
      <c r="A11140" s="6" t="str">
        <f>"MRPL2"</f>
        <v>MRPL2</v>
      </c>
      <c r="B11140" s="6">
        <v>0.34165834165834102</v>
      </c>
      <c r="C11140" s="6">
        <v>0.51261019052760504</v>
      </c>
    </row>
    <row r="11141" spans="1:3" s="7" customFormat="1" x14ac:dyDescent="0.2">
      <c r="A11141" s="6" t="str">
        <f>"OVCH2"</f>
        <v>OVCH2</v>
      </c>
      <c r="B11141" s="6">
        <v>0.34165834165834102</v>
      </c>
      <c r="C11141" s="6">
        <v>0.51261019052760504</v>
      </c>
    </row>
    <row r="11142" spans="1:3" s="7" customFormat="1" x14ac:dyDescent="0.2">
      <c r="A11142" s="6" t="str">
        <f>"LINC01994"</f>
        <v>LINC01994</v>
      </c>
      <c r="B11142" s="6">
        <v>0.34200000000000003</v>
      </c>
      <c r="C11142" s="6">
        <v>0.51307674355982402</v>
      </c>
    </row>
    <row r="11143" spans="1:3" s="7" customFormat="1" x14ac:dyDescent="0.2">
      <c r="A11143" s="6" t="str">
        <f>"ANP32A"</f>
        <v>ANP32A</v>
      </c>
      <c r="B11143" s="6">
        <v>0.34265734265734199</v>
      </c>
      <c r="C11143" s="6">
        <v>0.51332569912833403</v>
      </c>
    </row>
    <row r="11144" spans="1:3" s="7" customFormat="1" x14ac:dyDescent="0.2">
      <c r="A11144" s="6" t="str">
        <f>"WASH3P"</f>
        <v>WASH3P</v>
      </c>
      <c r="B11144" s="6">
        <v>0.34265734265734199</v>
      </c>
      <c r="C11144" s="6">
        <v>0.51332569912833403</v>
      </c>
    </row>
    <row r="11145" spans="1:3" s="7" customFormat="1" x14ac:dyDescent="0.2">
      <c r="A11145" s="6" t="str">
        <f>"AC008163.1"</f>
        <v>AC008163.1</v>
      </c>
      <c r="B11145" s="6">
        <v>0.34265734265734199</v>
      </c>
      <c r="C11145" s="6">
        <v>0.51332569912833403</v>
      </c>
    </row>
    <row r="11146" spans="1:3" s="7" customFormat="1" x14ac:dyDescent="0.2">
      <c r="A11146" s="6" t="str">
        <f>"SLCO1B7"</f>
        <v>SLCO1B7</v>
      </c>
      <c r="B11146" s="6">
        <v>0.34265734265734199</v>
      </c>
      <c r="C11146" s="6">
        <v>0.51332569912833403</v>
      </c>
    </row>
    <row r="11147" spans="1:3" s="7" customFormat="1" x14ac:dyDescent="0.2">
      <c r="A11147" s="6" t="str">
        <f>"HTR1D"</f>
        <v>HTR1D</v>
      </c>
      <c r="B11147" s="6">
        <v>0.34265734265734199</v>
      </c>
      <c r="C11147" s="6">
        <v>0.51332569912833403</v>
      </c>
    </row>
    <row r="11148" spans="1:3" s="7" customFormat="1" x14ac:dyDescent="0.2">
      <c r="A11148" s="6" t="str">
        <f>"USE1"</f>
        <v>USE1</v>
      </c>
      <c r="B11148" s="6">
        <v>0.34265734265734199</v>
      </c>
      <c r="C11148" s="6">
        <v>0.51332569912833403</v>
      </c>
    </row>
    <row r="11149" spans="1:3" s="7" customFormat="1" x14ac:dyDescent="0.2">
      <c r="A11149" s="6" t="str">
        <f>"CYTH1"</f>
        <v>CYTH1</v>
      </c>
      <c r="B11149" s="6">
        <v>0.34265734265734199</v>
      </c>
      <c r="C11149" s="6">
        <v>0.51332569912833403</v>
      </c>
    </row>
    <row r="11150" spans="1:3" s="7" customFormat="1" x14ac:dyDescent="0.2">
      <c r="A11150" s="6" t="str">
        <f>"AL121845.3"</f>
        <v>AL121845.3</v>
      </c>
      <c r="B11150" s="6">
        <v>0.34265734265734199</v>
      </c>
      <c r="C11150" s="6">
        <v>0.51332569912833403</v>
      </c>
    </row>
    <row r="11151" spans="1:3" s="7" customFormat="1" x14ac:dyDescent="0.2">
      <c r="A11151" s="6" t="str">
        <f>"TPM1-AS"</f>
        <v>TPM1-AS</v>
      </c>
      <c r="B11151" s="6">
        <v>0.34265734265734199</v>
      </c>
      <c r="C11151" s="6">
        <v>0.51332569912833403</v>
      </c>
    </row>
    <row r="11152" spans="1:3" s="7" customFormat="1" x14ac:dyDescent="0.2">
      <c r="A11152" s="6" t="str">
        <f>"PLRG1"</f>
        <v>PLRG1</v>
      </c>
      <c r="B11152" s="6">
        <v>0.34265734265734199</v>
      </c>
      <c r="C11152" s="6">
        <v>0.51332569912833403</v>
      </c>
    </row>
    <row r="11153" spans="1:3" s="7" customFormat="1" x14ac:dyDescent="0.2">
      <c r="A11153" s="6" t="str">
        <f>"LMBR1"</f>
        <v>LMBR1</v>
      </c>
      <c r="B11153" s="6">
        <v>0.34265734265734199</v>
      </c>
      <c r="C11153" s="6">
        <v>0.51332569912833403</v>
      </c>
    </row>
    <row r="11154" spans="1:3" s="7" customFormat="1" x14ac:dyDescent="0.2">
      <c r="A11154" s="6" t="str">
        <f>"ZMYM4"</f>
        <v>ZMYM4</v>
      </c>
      <c r="B11154" s="6">
        <v>0.34265734265734199</v>
      </c>
      <c r="C11154" s="6">
        <v>0.51332569912833403</v>
      </c>
    </row>
    <row r="11155" spans="1:3" s="7" customFormat="1" x14ac:dyDescent="0.2">
      <c r="A11155" s="6" t="str">
        <f>"NPM1P7"</f>
        <v>NPM1P7</v>
      </c>
      <c r="B11155" s="6">
        <v>0.34265734265734199</v>
      </c>
      <c r="C11155" s="6">
        <v>0.51332569912833403</v>
      </c>
    </row>
    <row r="11156" spans="1:3" s="7" customFormat="1" x14ac:dyDescent="0.2">
      <c r="A11156" s="6" t="str">
        <f>"MFSD13A"</f>
        <v>MFSD13A</v>
      </c>
      <c r="B11156" s="6">
        <v>0.34265734265734199</v>
      </c>
      <c r="C11156" s="6">
        <v>0.51332569912833403</v>
      </c>
    </row>
    <row r="11157" spans="1:3" s="7" customFormat="1" x14ac:dyDescent="0.2">
      <c r="A11157" s="6" t="str">
        <f>"ZNF471"</f>
        <v>ZNF471</v>
      </c>
      <c r="B11157" s="6">
        <v>0.34265734265734199</v>
      </c>
      <c r="C11157" s="6">
        <v>0.51332569912833403</v>
      </c>
    </row>
    <row r="11158" spans="1:3" s="7" customFormat="1" x14ac:dyDescent="0.2">
      <c r="A11158" s="6" t="str">
        <f>"NIFKP4"</f>
        <v>NIFKP4</v>
      </c>
      <c r="B11158" s="6">
        <v>0.34265734265734199</v>
      </c>
      <c r="C11158" s="6">
        <v>0.51332569912833403</v>
      </c>
    </row>
    <row r="11159" spans="1:3" s="7" customFormat="1" x14ac:dyDescent="0.2">
      <c r="A11159" s="6" t="str">
        <f>"PDK1"</f>
        <v>PDK1</v>
      </c>
      <c r="B11159" s="6">
        <v>0.34300000000000003</v>
      </c>
      <c r="C11159" s="6">
        <v>0.51370089605734703</v>
      </c>
    </row>
    <row r="11160" spans="1:3" s="7" customFormat="1" x14ac:dyDescent="0.2">
      <c r="A11160" s="6" t="str">
        <f>"CD9"</f>
        <v>CD9</v>
      </c>
      <c r="B11160" s="6">
        <v>0.34300000000000003</v>
      </c>
      <c r="C11160" s="6">
        <v>0.51370089605734703</v>
      </c>
    </row>
    <row r="11161" spans="1:3" s="7" customFormat="1" x14ac:dyDescent="0.2">
      <c r="A11161" s="6" t="str">
        <f>"PKD1L3"</f>
        <v>PKD1L3</v>
      </c>
      <c r="B11161" s="6">
        <v>0.34300000000000003</v>
      </c>
      <c r="C11161" s="6">
        <v>0.51370089605734703</v>
      </c>
    </row>
    <row r="11162" spans="1:3" s="7" customFormat="1" x14ac:dyDescent="0.2">
      <c r="A11162" s="6" t="str">
        <f>"AC026748.7"</f>
        <v>AC026748.7</v>
      </c>
      <c r="B11162" s="6">
        <v>0.34365634365634301</v>
      </c>
      <c r="C11162" s="6">
        <v>0.51426914924094602</v>
      </c>
    </row>
    <row r="11163" spans="1:3" s="7" customFormat="1" x14ac:dyDescent="0.2">
      <c r="A11163" s="6" t="str">
        <f>"TSR3"</f>
        <v>TSR3</v>
      </c>
      <c r="B11163" s="6">
        <v>0.34365634365634301</v>
      </c>
      <c r="C11163" s="6">
        <v>0.51426914924094602</v>
      </c>
    </row>
    <row r="11164" spans="1:3" s="7" customFormat="1" x14ac:dyDescent="0.2">
      <c r="A11164" s="6" t="str">
        <f>"AC007881.3"</f>
        <v>AC007881.3</v>
      </c>
      <c r="B11164" s="6">
        <v>0.34355828220858797</v>
      </c>
      <c r="C11164" s="6">
        <v>0.51426914924094602</v>
      </c>
    </row>
    <row r="11165" spans="1:3" s="7" customFormat="1" x14ac:dyDescent="0.2">
      <c r="A11165" s="6" t="str">
        <f>"PDIA3P1"</f>
        <v>PDIA3P1</v>
      </c>
      <c r="B11165" s="6">
        <v>0.34365634365634301</v>
      </c>
      <c r="C11165" s="6">
        <v>0.51426914924094602</v>
      </c>
    </row>
    <row r="11166" spans="1:3" s="7" customFormat="1" x14ac:dyDescent="0.2">
      <c r="A11166" s="6" t="str">
        <f>"VPS51"</f>
        <v>VPS51</v>
      </c>
      <c r="B11166" s="6">
        <v>0.34365634365634301</v>
      </c>
      <c r="C11166" s="6">
        <v>0.51426914924094602</v>
      </c>
    </row>
    <row r="11167" spans="1:3" s="7" customFormat="1" x14ac:dyDescent="0.2">
      <c r="A11167" s="6" t="str">
        <f>"CSTF2T"</f>
        <v>CSTF2T</v>
      </c>
      <c r="B11167" s="6">
        <v>0.34365634365634301</v>
      </c>
      <c r="C11167" s="6">
        <v>0.51426914924094602</v>
      </c>
    </row>
    <row r="11168" spans="1:3" s="7" customFormat="1" x14ac:dyDescent="0.2">
      <c r="A11168" s="6" t="str">
        <f>"BX537318.1"</f>
        <v>BX537318.1</v>
      </c>
      <c r="B11168" s="6">
        <v>0.34365634365634301</v>
      </c>
      <c r="C11168" s="6">
        <v>0.51426914924094602</v>
      </c>
    </row>
    <row r="11169" spans="1:3" s="7" customFormat="1" x14ac:dyDescent="0.2">
      <c r="A11169" s="6" t="str">
        <f>"SLCO6A1"</f>
        <v>SLCO6A1</v>
      </c>
      <c r="B11169" s="6">
        <v>0.34365634365634301</v>
      </c>
      <c r="C11169" s="6">
        <v>0.51426914924094602</v>
      </c>
    </row>
    <row r="11170" spans="1:3" s="7" customFormat="1" x14ac:dyDescent="0.2">
      <c r="A11170" s="6" t="str">
        <f>"COPRS"</f>
        <v>COPRS</v>
      </c>
      <c r="B11170" s="6">
        <v>0.34365634365634301</v>
      </c>
      <c r="C11170" s="6">
        <v>0.51426914924094602</v>
      </c>
    </row>
    <row r="11171" spans="1:3" s="7" customFormat="1" x14ac:dyDescent="0.2">
      <c r="A11171" s="6" t="str">
        <f>"AC092171.5"</f>
        <v>AC092171.5</v>
      </c>
      <c r="B11171" s="6">
        <v>0.34465534465534398</v>
      </c>
      <c r="C11171" s="6">
        <v>0.51525665747490401</v>
      </c>
    </row>
    <row r="11172" spans="1:3" s="7" customFormat="1" x14ac:dyDescent="0.2">
      <c r="A11172" s="6" t="str">
        <f>"LRRK2-DT"</f>
        <v>LRRK2-DT</v>
      </c>
      <c r="B11172" s="6">
        <v>0.34465534465534398</v>
      </c>
      <c r="C11172" s="6">
        <v>0.51525665747490401</v>
      </c>
    </row>
    <row r="11173" spans="1:3" s="7" customFormat="1" x14ac:dyDescent="0.2">
      <c r="A11173" s="6" t="str">
        <f>"MRPL14"</f>
        <v>MRPL14</v>
      </c>
      <c r="B11173" s="6">
        <v>0.34465534465534398</v>
      </c>
      <c r="C11173" s="6">
        <v>0.51525665747490401</v>
      </c>
    </row>
    <row r="11174" spans="1:3" s="7" customFormat="1" x14ac:dyDescent="0.2">
      <c r="A11174" s="6" t="str">
        <f>"FGF5"</f>
        <v>FGF5</v>
      </c>
      <c r="B11174" s="6">
        <v>0.34465534465534398</v>
      </c>
      <c r="C11174" s="6">
        <v>0.51525665747490401</v>
      </c>
    </row>
    <row r="11175" spans="1:3" s="7" customFormat="1" x14ac:dyDescent="0.2">
      <c r="A11175" s="6" t="str">
        <f>"ZNF488"</f>
        <v>ZNF488</v>
      </c>
      <c r="B11175" s="6">
        <v>0.34465534465534398</v>
      </c>
      <c r="C11175" s="6">
        <v>0.51525665747490401</v>
      </c>
    </row>
    <row r="11176" spans="1:3" s="7" customFormat="1" x14ac:dyDescent="0.2">
      <c r="A11176" s="6" t="str">
        <f>"YIPF5"</f>
        <v>YIPF5</v>
      </c>
      <c r="B11176" s="6">
        <v>0.34465534465534398</v>
      </c>
      <c r="C11176" s="6">
        <v>0.51525665747490401</v>
      </c>
    </row>
    <row r="11177" spans="1:3" s="7" customFormat="1" x14ac:dyDescent="0.2">
      <c r="A11177" s="6" t="str">
        <f>"HOOK3"</f>
        <v>HOOK3</v>
      </c>
      <c r="B11177" s="6">
        <v>0.34465534465534398</v>
      </c>
      <c r="C11177" s="6">
        <v>0.51525665747490401</v>
      </c>
    </row>
    <row r="11178" spans="1:3" s="7" customFormat="1" x14ac:dyDescent="0.2">
      <c r="A11178" s="6" t="str">
        <f>"SUOX"</f>
        <v>SUOX</v>
      </c>
      <c r="B11178" s="6">
        <v>0.34465534465534398</v>
      </c>
      <c r="C11178" s="6">
        <v>0.51525665747490401</v>
      </c>
    </row>
    <row r="11179" spans="1:3" s="7" customFormat="1" x14ac:dyDescent="0.2">
      <c r="A11179" s="6" t="str">
        <f>"C8orf44-SGK3"</f>
        <v>C8orf44-SGK3</v>
      </c>
      <c r="B11179" s="6">
        <v>0.34465534465534398</v>
      </c>
      <c r="C11179" s="6">
        <v>0.51525665747490401</v>
      </c>
    </row>
    <row r="11180" spans="1:3" s="7" customFormat="1" x14ac:dyDescent="0.2">
      <c r="A11180" s="6" t="str">
        <f>"MCC"</f>
        <v>MCC</v>
      </c>
      <c r="B11180" s="6">
        <v>0.34465534465534398</v>
      </c>
      <c r="C11180" s="6">
        <v>0.51525665747490401</v>
      </c>
    </row>
    <row r="11181" spans="1:3" s="7" customFormat="1" x14ac:dyDescent="0.2">
      <c r="A11181" s="6" t="str">
        <f>"EIF2AK1"</f>
        <v>EIF2AK1</v>
      </c>
      <c r="B11181" s="6">
        <v>0.34465534465534398</v>
      </c>
      <c r="C11181" s="6">
        <v>0.51525665747490401</v>
      </c>
    </row>
    <row r="11182" spans="1:3" s="7" customFormat="1" x14ac:dyDescent="0.2">
      <c r="A11182" s="6" t="str">
        <f>"DNAH11"</f>
        <v>DNAH11</v>
      </c>
      <c r="B11182" s="6">
        <v>0.34499999999999997</v>
      </c>
      <c r="C11182" s="6">
        <v>0.51572578481352205</v>
      </c>
    </row>
    <row r="11183" spans="1:3" s="7" customFormat="1" x14ac:dyDescent="0.2">
      <c r="A11183" s="6" t="str">
        <f>"WBP2"</f>
        <v>WBP2</v>
      </c>
      <c r="B11183" s="6">
        <v>0.345654345654345</v>
      </c>
      <c r="C11183" s="6">
        <v>0.516196098397671</v>
      </c>
    </row>
    <row r="11184" spans="1:3" s="7" customFormat="1" x14ac:dyDescent="0.2">
      <c r="A11184" s="6" t="str">
        <f>"SPP1"</f>
        <v>SPP1</v>
      </c>
      <c r="B11184" s="6">
        <v>0.345654345654345</v>
      </c>
      <c r="C11184" s="6">
        <v>0.516196098397671</v>
      </c>
    </row>
    <row r="11185" spans="1:3" s="7" customFormat="1" x14ac:dyDescent="0.2">
      <c r="A11185" s="6" t="str">
        <f>"HDAC5"</f>
        <v>HDAC5</v>
      </c>
      <c r="B11185" s="6">
        <v>0.345654345654345</v>
      </c>
      <c r="C11185" s="6">
        <v>0.516196098397671</v>
      </c>
    </row>
    <row r="11186" spans="1:3" s="7" customFormat="1" x14ac:dyDescent="0.2">
      <c r="A11186" s="6" t="str">
        <f>"ZNF169"</f>
        <v>ZNF169</v>
      </c>
      <c r="B11186" s="6">
        <v>0.345654345654345</v>
      </c>
      <c r="C11186" s="6">
        <v>0.516196098397671</v>
      </c>
    </row>
    <row r="11187" spans="1:3" s="7" customFormat="1" x14ac:dyDescent="0.2">
      <c r="A11187" s="6" t="str">
        <f>"TUBA8"</f>
        <v>TUBA8</v>
      </c>
      <c r="B11187" s="6">
        <v>0.345654345654345</v>
      </c>
      <c r="C11187" s="6">
        <v>0.516196098397671</v>
      </c>
    </row>
    <row r="11188" spans="1:3" s="7" customFormat="1" x14ac:dyDescent="0.2">
      <c r="A11188" s="6" t="str">
        <f>"TINAGL1"</f>
        <v>TINAGL1</v>
      </c>
      <c r="B11188" s="6">
        <v>0.345654345654345</v>
      </c>
      <c r="C11188" s="6">
        <v>0.516196098397671</v>
      </c>
    </row>
    <row r="11189" spans="1:3" s="7" customFormat="1" x14ac:dyDescent="0.2">
      <c r="A11189" s="6" t="str">
        <f>"KRT8P12"</f>
        <v>KRT8P12</v>
      </c>
      <c r="B11189" s="6">
        <v>0.345654345654345</v>
      </c>
      <c r="C11189" s="6">
        <v>0.516196098397671</v>
      </c>
    </row>
    <row r="11190" spans="1:3" s="7" customFormat="1" x14ac:dyDescent="0.2">
      <c r="A11190" s="6" t="str">
        <f>"R3HCC1L"</f>
        <v>R3HCC1L</v>
      </c>
      <c r="B11190" s="6">
        <v>0.345654345654345</v>
      </c>
      <c r="C11190" s="6">
        <v>0.516196098397671</v>
      </c>
    </row>
    <row r="11191" spans="1:3" s="7" customFormat="1" x14ac:dyDescent="0.2">
      <c r="A11191" s="6" t="str">
        <f>"CALML3"</f>
        <v>CALML3</v>
      </c>
      <c r="B11191" s="6">
        <v>0.345654345654345</v>
      </c>
      <c r="C11191" s="6">
        <v>0.516196098397671</v>
      </c>
    </row>
    <row r="11192" spans="1:3" s="7" customFormat="1" x14ac:dyDescent="0.2">
      <c r="A11192" s="6" t="str">
        <f>"AP001350.2"</f>
        <v>AP001350.2</v>
      </c>
      <c r="B11192" s="6">
        <v>0.345654345654345</v>
      </c>
      <c r="C11192" s="6">
        <v>0.516196098397671</v>
      </c>
    </row>
    <row r="11193" spans="1:3" s="7" customFormat="1" x14ac:dyDescent="0.2">
      <c r="A11193" s="6" t="str">
        <f>"MYEOV"</f>
        <v>MYEOV</v>
      </c>
      <c r="B11193" s="6">
        <v>0.345654345654345</v>
      </c>
      <c r="C11193" s="6">
        <v>0.516196098397671</v>
      </c>
    </row>
    <row r="11194" spans="1:3" s="7" customFormat="1" x14ac:dyDescent="0.2">
      <c r="A11194" s="6" t="str">
        <f>"AL138831.1"</f>
        <v>AL138831.1</v>
      </c>
      <c r="B11194" s="6">
        <v>0.34572864321607999</v>
      </c>
      <c r="C11194" s="6">
        <v>0.51626092582091998</v>
      </c>
    </row>
    <row r="11195" spans="1:3" s="7" customFormat="1" x14ac:dyDescent="0.2">
      <c r="A11195" s="6" t="str">
        <f>"AC068888.2"</f>
        <v>AC068888.2</v>
      </c>
      <c r="B11195" s="6">
        <v>0.34599999999999997</v>
      </c>
      <c r="C11195" s="6">
        <v>0.51661997498659895</v>
      </c>
    </row>
    <row r="11196" spans="1:3" s="7" customFormat="1" x14ac:dyDescent="0.2">
      <c r="A11196" s="6" t="str">
        <f>"PDE6A"</f>
        <v>PDE6A</v>
      </c>
      <c r="B11196" s="6">
        <v>0.34665334665334602</v>
      </c>
      <c r="C11196" s="6">
        <v>0.51704123112297296</v>
      </c>
    </row>
    <row r="11197" spans="1:3" s="7" customFormat="1" x14ac:dyDescent="0.2">
      <c r="A11197" s="6" t="str">
        <f>"CDC123"</f>
        <v>CDC123</v>
      </c>
      <c r="B11197" s="6">
        <v>0.34665334665334602</v>
      </c>
      <c r="C11197" s="6">
        <v>0.51704123112297296</v>
      </c>
    </row>
    <row r="11198" spans="1:3" s="7" customFormat="1" x14ac:dyDescent="0.2">
      <c r="A11198" s="6" t="str">
        <f>"TMEM186"</f>
        <v>TMEM186</v>
      </c>
      <c r="B11198" s="6">
        <v>0.34665334665334602</v>
      </c>
      <c r="C11198" s="6">
        <v>0.51704123112297296</v>
      </c>
    </row>
    <row r="11199" spans="1:3" s="7" customFormat="1" x14ac:dyDescent="0.2">
      <c r="A11199" s="6" t="str">
        <f>"PIP5KL1"</f>
        <v>PIP5KL1</v>
      </c>
      <c r="B11199" s="6">
        <v>0.34665334665334602</v>
      </c>
      <c r="C11199" s="6">
        <v>0.51704123112297296</v>
      </c>
    </row>
    <row r="11200" spans="1:3" s="7" customFormat="1" x14ac:dyDescent="0.2">
      <c r="A11200" s="6" t="str">
        <f>"GBGT1"</f>
        <v>GBGT1</v>
      </c>
      <c r="B11200" s="6">
        <v>0.34665334665334602</v>
      </c>
      <c r="C11200" s="6">
        <v>0.51704123112297296</v>
      </c>
    </row>
    <row r="11201" spans="1:3" s="7" customFormat="1" x14ac:dyDescent="0.2">
      <c r="A11201" s="6" t="str">
        <f>"AC079804.1"</f>
        <v>AC079804.1</v>
      </c>
      <c r="B11201" s="6">
        <v>0.34665334665334602</v>
      </c>
      <c r="C11201" s="6">
        <v>0.51704123112297296</v>
      </c>
    </row>
    <row r="11202" spans="1:3" s="7" customFormat="1" x14ac:dyDescent="0.2">
      <c r="A11202" s="6" t="str">
        <f>"SKOR1"</f>
        <v>SKOR1</v>
      </c>
      <c r="B11202" s="6">
        <v>0.34665334665334602</v>
      </c>
      <c r="C11202" s="6">
        <v>0.51704123112297296</v>
      </c>
    </row>
    <row r="11203" spans="1:3" s="7" customFormat="1" x14ac:dyDescent="0.2">
      <c r="A11203" s="6" t="str">
        <f>"FAM160B2"</f>
        <v>FAM160B2</v>
      </c>
      <c r="B11203" s="6">
        <v>0.34665334665334602</v>
      </c>
      <c r="C11203" s="6">
        <v>0.51704123112297296</v>
      </c>
    </row>
    <row r="11204" spans="1:3" s="7" customFormat="1" x14ac:dyDescent="0.2">
      <c r="A11204" s="6" t="str">
        <f>"ACTR1B"</f>
        <v>ACTR1B</v>
      </c>
      <c r="B11204" s="6">
        <v>0.34665334665334602</v>
      </c>
      <c r="C11204" s="6">
        <v>0.51704123112297296</v>
      </c>
    </row>
    <row r="11205" spans="1:3" s="7" customFormat="1" x14ac:dyDescent="0.2">
      <c r="A11205" s="6" t="str">
        <f>"LINC02562"</f>
        <v>LINC02562</v>
      </c>
      <c r="B11205" s="6">
        <v>0.34665334665334602</v>
      </c>
      <c r="C11205" s="6">
        <v>0.51704123112297296</v>
      </c>
    </row>
    <row r="11206" spans="1:3" s="7" customFormat="1" x14ac:dyDescent="0.2">
      <c r="A11206" s="6" t="str">
        <f>"CST3"</f>
        <v>CST3</v>
      </c>
      <c r="B11206" s="6">
        <v>0.34665334665334602</v>
      </c>
      <c r="C11206" s="6">
        <v>0.51704123112297296</v>
      </c>
    </row>
    <row r="11207" spans="1:3" s="7" customFormat="1" x14ac:dyDescent="0.2">
      <c r="A11207" s="6" t="str">
        <f>"SLC13A5"</f>
        <v>SLC13A5</v>
      </c>
      <c r="B11207" s="6">
        <v>0.34665334665334602</v>
      </c>
      <c r="C11207" s="6">
        <v>0.51704123112297296</v>
      </c>
    </row>
    <row r="11208" spans="1:3" s="7" customFormat="1" x14ac:dyDescent="0.2">
      <c r="A11208" s="6" t="str">
        <f>"DDX39B"</f>
        <v>DDX39B</v>
      </c>
      <c r="B11208" s="6">
        <v>0.34765234765234698</v>
      </c>
      <c r="C11208" s="6">
        <v>0.51830000344851801</v>
      </c>
    </row>
    <row r="11209" spans="1:3" s="7" customFormat="1" x14ac:dyDescent="0.2">
      <c r="A11209" s="6" t="str">
        <f>"MUC6"</f>
        <v>MUC6</v>
      </c>
      <c r="B11209" s="6">
        <v>0.34765234765234698</v>
      </c>
      <c r="C11209" s="6">
        <v>0.51830000344851801</v>
      </c>
    </row>
    <row r="11210" spans="1:3" s="7" customFormat="1" x14ac:dyDescent="0.2">
      <c r="A11210" s="6" t="str">
        <f>"BNIP3P5"</f>
        <v>BNIP3P5</v>
      </c>
      <c r="B11210" s="6">
        <v>0.34765234765234698</v>
      </c>
      <c r="C11210" s="6">
        <v>0.51830000344851801</v>
      </c>
    </row>
    <row r="11211" spans="1:3" s="7" customFormat="1" x14ac:dyDescent="0.2">
      <c r="A11211" s="6" t="str">
        <f>"IL6ST"</f>
        <v>IL6ST</v>
      </c>
      <c r="B11211" s="6">
        <v>0.34765234765234698</v>
      </c>
      <c r="C11211" s="6">
        <v>0.51830000344851801</v>
      </c>
    </row>
    <row r="11212" spans="1:3" s="7" customFormat="1" x14ac:dyDescent="0.2">
      <c r="A11212" s="6" t="str">
        <f>"FAM149A"</f>
        <v>FAM149A</v>
      </c>
      <c r="B11212" s="6">
        <v>0.34765234765234698</v>
      </c>
      <c r="C11212" s="6">
        <v>0.51830000344851801</v>
      </c>
    </row>
    <row r="11213" spans="1:3" s="7" customFormat="1" x14ac:dyDescent="0.2">
      <c r="A11213" s="6" t="str">
        <f>"AC008608.2"</f>
        <v>AC008608.2</v>
      </c>
      <c r="B11213" s="6">
        <v>0.34813319878910098</v>
      </c>
      <c r="C11213" s="6">
        <v>0.51897059262941903</v>
      </c>
    </row>
    <row r="11214" spans="1:3" s="7" customFormat="1" x14ac:dyDescent="0.2">
      <c r="A11214" s="6" t="str">
        <f>"EIF3C"</f>
        <v>EIF3C</v>
      </c>
      <c r="B11214" s="6">
        <v>0.348651348651348</v>
      </c>
      <c r="C11214" s="6">
        <v>0.51937242792857696</v>
      </c>
    </row>
    <row r="11215" spans="1:3" s="7" customFormat="1" x14ac:dyDescent="0.2">
      <c r="A11215" s="6" t="str">
        <f>"RAB27B"</f>
        <v>RAB27B</v>
      </c>
      <c r="B11215" s="6">
        <v>0.348651348651348</v>
      </c>
      <c r="C11215" s="6">
        <v>0.51937242792857696</v>
      </c>
    </row>
    <row r="11216" spans="1:3" s="7" customFormat="1" x14ac:dyDescent="0.2">
      <c r="A11216" s="6" t="str">
        <f>"LINC01517"</f>
        <v>LINC01517</v>
      </c>
      <c r="B11216" s="6">
        <v>0.348651348651348</v>
      </c>
      <c r="C11216" s="6">
        <v>0.51937242792857696</v>
      </c>
    </row>
    <row r="11217" spans="1:3" s="7" customFormat="1" x14ac:dyDescent="0.2">
      <c r="A11217" s="6" t="str">
        <f>"FBN2"</f>
        <v>FBN2</v>
      </c>
      <c r="B11217" s="6">
        <v>0.348651348651348</v>
      </c>
      <c r="C11217" s="6">
        <v>0.51937242792857696</v>
      </c>
    </row>
    <row r="11218" spans="1:3" s="7" customFormat="1" x14ac:dyDescent="0.2">
      <c r="A11218" s="6" t="str">
        <f>"DDX39A"</f>
        <v>DDX39A</v>
      </c>
      <c r="B11218" s="6">
        <v>0.348651348651348</v>
      </c>
      <c r="C11218" s="6">
        <v>0.51937242792857696</v>
      </c>
    </row>
    <row r="11219" spans="1:3" s="7" customFormat="1" x14ac:dyDescent="0.2">
      <c r="A11219" s="6" t="str">
        <f>"DAP3"</f>
        <v>DAP3</v>
      </c>
      <c r="B11219" s="6">
        <v>0.348651348651348</v>
      </c>
      <c r="C11219" s="6">
        <v>0.51937242792857696</v>
      </c>
    </row>
    <row r="11220" spans="1:3" s="7" customFormat="1" x14ac:dyDescent="0.2">
      <c r="A11220" s="6" t="str">
        <f>"CSRP3"</f>
        <v>CSRP3</v>
      </c>
      <c r="B11220" s="6">
        <v>0.348651348651348</v>
      </c>
      <c r="C11220" s="6">
        <v>0.51937242792857696</v>
      </c>
    </row>
    <row r="11221" spans="1:3" s="7" customFormat="1" x14ac:dyDescent="0.2">
      <c r="A11221" s="6" t="str">
        <f>"TVP23B"</f>
        <v>TVP23B</v>
      </c>
      <c r="B11221" s="6">
        <v>0.348651348651348</v>
      </c>
      <c r="C11221" s="6">
        <v>0.51937242792857696</v>
      </c>
    </row>
    <row r="11222" spans="1:3" s="7" customFormat="1" x14ac:dyDescent="0.2">
      <c r="A11222" s="6" t="str">
        <f>"AL034405.1"</f>
        <v>AL034405.1</v>
      </c>
      <c r="B11222" s="6">
        <v>0.34899999999999998</v>
      </c>
      <c r="C11222" s="6">
        <v>0.51984546831833101</v>
      </c>
    </row>
    <row r="11223" spans="1:3" s="7" customFormat="1" x14ac:dyDescent="0.2">
      <c r="A11223" s="6" t="str">
        <f>"GSN-AS1"</f>
        <v>GSN-AS1</v>
      </c>
      <c r="B11223" s="6">
        <v>0.34969939879759498</v>
      </c>
      <c r="C11223" s="6">
        <v>0.52033078888124296</v>
      </c>
    </row>
    <row r="11224" spans="1:3" s="7" customFormat="1" x14ac:dyDescent="0.2">
      <c r="A11224" s="6" t="str">
        <f>"GUCY2D"</f>
        <v>GUCY2D</v>
      </c>
      <c r="B11224" s="6">
        <v>0.34965034965034902</v>
      </c>
      <c r="C11224" s="6">
        <v>0.52033078888124296</v>
      </c>
    </row>
    <row r="11225" spans="1:3" s="7" customFormat="1" x14ac:dyDescent="0.2">
      <c r="A11225" s="6" t="str">
        <f>"AC005943.1"</f>
        <v>AC005943.1</v>
      </c>
      <c r="B11225" s="6">
        <v>0.34965034965034902</v>
      </c>
      <c r="C11225" s="6">
        <v>0.52033078888124296</v>
      </c>
    </row>
    <row r="11226" spans="1:3" s="7" customFormat="1" x14ac:dyDescent="0.2">
      <c r="A11226" s="6" t="str">
        <f>"SLC30A5"</f>
        <v>SLC30A5</v>
      </c>
      <c r="B11226" s="6">
        <v>0.34965034965034902</v>
      </c>
      <c r="C11226" s="6">
        <v>0.52033078888124296</v>
      </c>
    </row>
    <row r="11227" spans="1:3" s="7" customFormat="1" x14ac:dyDescent="0.2">
      <c r="A11227" s="6" t="str">
        <f>"POLR2B"</f>
        <v>POLR2B</v>
      </c>
      <c r="B11227" s="6">
        <v>0.34965034965034902</v>
      </c>
      <c r="C11227" s="6">
        <v>0.52033078888124296</v>
      </c>
    </row>
    <row r="11228" spans="1:3" s="7" customFormat="1" x14ac:dyDescent="0.2">
      <c r="A11228" s="6" t="str">
        <f>"AC100830.1"</f>
        <v>AC100830.1</v>
      </c>
      <c r="B11228" s="6">
        <v>0.34969325153374198</v>
      </c>
      <c r="C11228" s="6">
        <v>0.52033078888124296</v>
      </c>
    </row>
    <row r="11229" spans="1:3" s="7" customFormat="1" x14ac:dyDescent="0.2">
      <c r="A11229" s="6" t="str">
        <f>"LINC01252"</f>
        <v>LINC01252</v>
      </c>
      <c r="B11229" s="6">
        <v>0.34965034965034902</v>
      </c>
      <c r="C11229" s="6">
        <v>0.52033078888124296</v>
      </c>
    </row>
    <row r="11230" spans="1:3" s="7" customFormat="1" x14ac:dyDescent="0.2">
      <c r="A11230" s="6" t="str">
        <f>"SLC1A1"</f>
        <v>SLC1A1</v>
      </c>
      <c r="B11230" s="6">
        <v>0.34965034965034902</v>
      </c>
      <c r="C11230" s="6">
        <v>0.52033078888124296</v>
      </c>
    </row>
    <row r="11231" spans="1:3" s="7" customFormat="1" x14ac:dyDescent="0.2">
      <c r="A11231" s="6" t="str">
        <f>"SIRPG"</f>
        <v>SIRPG</v>
      </c>
      <c r="B11231" s="6">
        <v>0.34965034965034902</v>
      </c>
      <c r="C11231" s="6">
        <v>0.52033078888124296</v>
      </c>
    </row>
    <row r="11232" spans="1:3" s="7" customFormat="1" x14ac:dyDescent="0.2">
      <c r="A11232" s="6" t="str">
        <f>"WDR27"</f>
        <v>WDR27</v>
      </c>
      <c r="B11232" s="6">
        <v>0.34965034965034902</v>
      </c>
      <c r="C11232" s="6">
        <v>0.52033078888124296</v>
      </c>
    </row>
    <row r="11233" spans="1:3" s="7" customFormat="1" x14ac:dyDescent="0.2">
      <c r="A11233" s="6" t="str">
        <f>"PUSL1"</f>
        <v>PUSL1</v>
      </c>
      <c r="B11233" s="6">
        <v>0.34965034965034902</v>
      </c>
      <c r="C11233" s="6">
        <v>0.52033078888124296</v>
      </c>
    </row>
    <row r="11234" spans="1:3" s="7" customFormat="1" x14ac:dyDescent="0.2">
      <c r="A11234" s="6" t="str">
        <f>"E2F8"</f>
        <v>E2F8</v>
      </c>
      <c r="B11234" s="6">
        <v>0.34965034965034902</v>
      </c>
      <c r="C11234" s="6">
        <v>0.52033078888124296</v>
      </c>
    </row>
    <row r="11235" spans="1:3" s="7" customFormat="1" x14ac:dyDescent="0.2">
      <c r="A11235" s="6" t="str">
        <f>"RPS4Y1"</f>
        <v>RPS4Y1</v>
      </c>
      <c r="B11235" s="6">
        <v>0.34992887624466501</v>
      </c>
      <c r="C11235" s="6">
        <v>0.52062588904694096</v>
      </c>
    </row>
    <row r="11236" spans="1:3" s="7" customFormat="1" x14ac:dyDescent="0.2">
      <c r="A11236" s="6" t="str">
        <f>"AC008763.1"</f>
        <v>AC008763.1</v>
      </c>
      <c r="B11236" s="6">
        <v>0.35</v>
      </c>
      <c r="C11236" s="6">
        <v>0.52068535825545104</v>
      </c>
    </row>
    <row r="11237" spans="1:3" s="7" customFormat="1" x14ac:dyDescent="0.2">
      <c r="A11237" s="6" t="str">
        <f>"QPCTL"</f>
        <v>QPCTL</v>
      </c>
      <c r="B11237" s="6">
        <v>0.35064935064934999</v>
      </c>
      <c r="C11237" s="6">
        <v>0.52090954108552501</v>
      </c>
    </row>
    <row r="11238" spans="1:3" s="7" customFormat="1" x14ac:dyDescent="0.2">
      <c r="A11238" s="6" t="str">
        <f>"LINC00637"</f>
        <v>LINC00637</v>
      </c>
      <c r="B11238" s="6">
        <v>0.35064935064934999</v>
      </c>
      <c r="C11238" s="6">
        <v>0.52090954108552501</v>
      </c>
    </row>
    <row r="11239" spans="1:3" s="7" customFormat="1" x14ac:dyDescent="0.2">
      <c r="A11239" s="6" t="str">
        <f>"AC090260.1"</f>
        <v>AC090260.1</v>
      </c>
      <c r="B11239" s="6">
        <v>0.35050505050504999</v>
      </c>
      <c r="C11239" s="6">
        <v>0.52090954108552501</v>
      </c>
    </row>
    <row r="11240" spans="1:3" s="7" customFormat="1" x14ac:dyDescent="0.2">
      <c r="A11240" s="6" t="str">
        <f>"DBR1"</f>
        <v>DBR1</v>
      </c>
      <c r="B11240" s="6">
        <v>0.35064935064934999</v>
      </c>
      <c r="C11240" s="6">
        <v>0.52090954108552501</v>
      </c>
    </row>
    <row r="11241" spans="1:3" s="7" customFormat="1" x14ac:dyDescent="0.2">
      <c r="A11241" s="6" t="str">
        <f>"DCAF15"</f>
        <v>DCAF15</v>
      </c>
      <c r="B11241" s="6">
        <v>0.35064935064934999</v>
      </c>
      <c r="C11241" s="6">
        <v>0.52090954108552501</v>
      </c>
    </row>
    <row r="11242" spans="1:3" s="7" customFormat="1" x14ac:dyDescent="0.2">
      <c r="A11242" s="6" t="str">
        <f>"EIF5B"</f>
        <v>EIF5B</v>
      </c>
      <c r="B11242" s="6">
        <v>0.35064935064934999</v>
      </c>
      <c r="C11242" s="6">
        <v>0.52090954108552501</v>
      </c>
    </row>
    <row r="11243" spans="1:3" s="7" customFormat="1" x14ac:dyDescent="0.2">
      <c r="A11243" s="6" t="str">
        <f>"SMC6"</f>
        <v>SMC6</v>
      </c>
      <c r="B11243" s="6">
        <v>0.35064935064934999</v>
      </c>
      <c r="C11243" s="6">
        <v>0.52090954108552501</v>
      </c>
    </row>
    <row r="11244" spans="1:3" s="7" customFormat="1" x14ac:dyDescent="0.2">
      <c r="A11244" s="6" t="str">
        <f>"AP005901.1"</f>
        <v>AP005901.1</v>
      </c>
      <c r="B11244" s="6">
        <v>0.35064935064934999</v>
      </c>
      <c r="C11244" s="6">
        <v>0.52090954108552501</v>
      </c>
    </row>
    <row r="11245" spans="1:3" s="7" customFormat="1" x14ac:dyDescent="0.2">
      <c r="A11245" s="6" t="str">
        <f>"AC008629.1"</f>
        <v>AC008629.1</v>
      </c>
      <c r="B11245" s="6">
        <v>0.35064935064934999</v>
      </c>
      <c r="C11245" s="6">
        <v>0.52090954108552501</v>
      </c>
    </row>
    <row r="11246" spans="1:3" s="7" customFormat="1" x14ac:dyDescent="0.2">
      <c r="A11246" s="6" t="str">
        <f>"PTCD3"</f>
        <v>PTCD3</v>
      </c>
      <c r="B11246" s="6">
        <v>0.35064935064934999</v>
      </c>
      <c r="C11246" s="6">
        <v>0.52090954108552501</v>
      </c>
    </row>
    <row r="11247" spans="1:3" s="7" customFormat="1" x14ac:dyDescent="0.2">
      <c r="A11247" s="6" t="str">
        <f>"VPS35"</f>
        <v>VPS35</v>
      </c>
      <c r="B11247" s="6">
        <v>0.35064935064934999</v>
      </c>
      <c r="C11247" s="6">
        <v>0.52090954108552501</v>
      </c>
    </row>
    <row r="11248" spans="1:3" s="7" customFormat="1" x14ac:dyDescent="0.2">
      <c r="A11248" s="6" t="str">
        <f>"TXNDC11"</f>
        <v>TXNDC11</v>
      </c>
      <c r="B11248" s="6">
        <v>0.35064935064934999</v>
      </c>
      <c r="C11248" s="6">
        <v>0.52090954108552501</v>
      </c>
    </row>
    <row r="11249" spans="1:3" s="7" customFormat="1" x14ac:dyDescent="0.2">
      <c r="A11249" s="6" t="str">
        <f>"TAF11"</f>
        <v>TAF11</v>
      </c>
      <c r="B11249" s="6">
        <v>0.35064935064934999</v>
      </c>
      <c r="C11249" s="6">
        <v>0.52090954108552501</v>
      </c>
    </row>
    <row r="11250" spans="1:3" s="7" customFormat="1" x14ac:dyDescent="0.2">
      <c r="A11250" s="6" t="str">
        <f>"SIT1"</f>
        <v>SIT1</v>
      </c>
      <c r="B11250" s="6">
        <v>0.35064935064934999</v>
      </c>
      <c r="C11250" s="6">
        <v>0.52090954108552501</v>
      </c>
    </row>
    <row r="11251" spans="1:3" s="7" customFormat="1" x14ac:dyDescent="0.2">
      <c r="A11251" s="6" t="str">
        <f>"KLC3"</f>
        <v>KLC3</v>
      </c>
      <c r="B11251" s="6">
        <v>0.35064935064934999</v>
      </c>
      <c r="C11251" s="6">
        <v>0.52090954108552501</v>
      </c>
    </row>
    <row r="11252" spans="1:3" s="7" customFormat="1" x14ac:dyDescent="0.2">
      <c r="A11252" s="6" t="str">
        <f>"MLYCD"</f>
        <v>MLYCD</v>
      </c>
      <c r="B11252" s="6">
        <v>0.35064935064934999</v>
      </c>
      <c r="C11252" s="6">
        <v>0.52090954108552501</v>
      </c>
    </row>
    <row r="11253" spans="1:3" s="7" customFormat="1" x14ac:dyDescent="0.2">
      <c r="A11253" s="6" t="str">
        <f>"NFYC-AS1"</f>
        <v>NFYC-AS1</v>
      </c>
      <c r="B11253" s="6">
        <v>0.35098650051920999</v>
      </c>
      <c r="C11253" s="6">
        <v>0.52133777659290803</v>
      </c>
    </row>
    <row r="11254" spans="1:3" s="7" customFormat="1" x14ac:dyDescent="0.2">
      <c r="A11254" s="6" t="str">
        <f>"RPS28"</f>
        <v>RPS28</v>
      </c>
      <c r="B11254" s="6">
        <v>0.35099999999999998</v>
      </c>
      <c r="C11254" s="6">
        <v>0.52133777659290803</v>
      </c>
    </row>
    <row r="11255" spans="1:3" s="7" customFormat="1" x14ac:dyDescent="0.2">
      <c r="A11255" s="6" t="str">
        <f>"PCDHA3"</f>
        <v>PCDHA3</v>
      </c>
      <c r="B11255" s="6">
        <v>0.35164835164835101</v>
      </c>
      <c r="C11255" s="6">
        <v>0.52197607011106095</v>
      </c>
    </row>
    <row r="11256" spans="1:3" s="7" customFormat="1" x14ac:dyDescent="0.2">
      <c r="A11256" s="6" t="str">
        <f>"PGM5P3-AS1"</f>
        <v>PGM5P3-AS1</v>
      </c>
      <c r="B11256" s="6">
        <v>0.35164835164835101</v>
      </c>
      <c r="C11256" s="6">
        <v>0.52197607011106095</v>
      </c>
    </row>
    <row r="11257" spans="1:3" s="7" customFormat="1" x14ac:dyDescent="0.2">
      <c r="A11257" s="6" t="str">
        <f>"KCTD2"</f>
        <v>KCTD2</v>
      </c>
      <c r="B11257" s="6">
        <v>0.35164835164835101</v>
      </c>
      <c r="C11257" s="6">
        <v>0.52197607011106095</v>
      </c>
    </row>
    <row r="11258" spans="1:3" s="7" customFormat="1" x14ac:dyDescent="0.2">
      <c r="A11258" s="6" t="str">
        <f>"VWA5B1"</f>
        <v>VWA5B1</v>
      </c>
      <c r="B11258" s="6">
        <v>0.35164835164835101</v>
      </c>
      <c r="C11258" s="6">
        <v>0.52197607011106095</v>
      </c>
    </row>
    <row r="11259" spans="1:3" s="7" customFormat="1" x14ac:dyDescent="0.2">
      <c r="A11259" s="6" t="str">
        <f>"PRPF4B"</f>
        <v>PRPF4B</v>
      </c>
      <c r="B11259" s="6">
        <v>0.35164835164835101</v>
      </c>
      <c r="C11259" s="6">
        <v>0.52197607011106095</v>
      </c>
    </row>
    <row r="11260" spans="1:3" s="7" customFormat="1" x14ac:dyDescent="0.2">
      <c r="A11260" s="6" t="str">
        <f>"SUSD3"</f>
        <v>SUSD3</v>
      </c>
      <c r="B11260" s="6">
        <v>0.35164835164835101</v>
      </c>
      <c r="C11260" s="6">
        <v>0.52197607011106095</v>
      </c>
    </row>
    <row r="11261" spans="1:3" s="7" customFormat="1" x14ac:dyDescent="0.2">
      <c r="A11261" s="6" t="str">
        <f>"NEU1"</f>
        <v>NEU1</v>
      </c>
      <c r="B11261" s="6">
        <v>0.35164835164835101</v>
      </c>
      <c r="C11261" s="6">
        <v>0.52197607011106095</v>
      </c>
    </row>
    <row r="11262" spans="1:3" s="7" customFormat="1" x14ac:dyDescent="0.2">
      <c r="A11262" s="6" t="str">
        <f>"AC138028.2"</f>
        <v>AC138028.2</v>
      </c>
      <c r="B11262" s="6">
        <v>0.35199999999999998</v>
      </c>
      <c r="C11262" s="6">
        <v>0.52235887418982496</v>
      </c>
    </row>
    <row r="11263" spans="1:3" s="7" customFormat="1" x14ac:dyDescent="0.2">
      <c r="A11263" s="6" t="str">
        <f>"AL606469.1"</f>
        <v>AL606469.1</v>
      </c>
      <c r="B11263" s="6">
        <v>0.35199999999999998</v>
      </c>
      <c r="C11263" s="6">
        <v>0.52235887418982496</v>
      </c>
    </row>
    <row r="11264" spans="1:3" s="7" customFormat="1" x14ac:dyDescent="0.2">
      <c r="A11264" s="6" t="str">
        <f>"ZNF559-ZNF177"</f>
        <v>ZNF559-ZNF177</v>
      </c>
      <c r="B11264" s="6">
        <v>0.35199999999999998</v>
      </c>
      <c r="C11264" s="6">
        <v>0.52235887418982496</v>
      </c>
    </row>
    <row r="11265" spans="1:3" s="7" customFormat="1" x14ac:dyDescent="0.2">
      <c r="A11265" s="6" t="str">
        <f>"NCOA1"</f>
        <v>NCOA1</v>
      </c>
      <c r="B11265" s="6">
        <v>0.35264735264735197</v>
      </c>
      <c r="C11265" s="6">
        <v>0.52285530490090004</v>
      </c>
    </row>
    <row r="11266" spans="1:3" s="7" customFormat="1" x14ac:dyDescent="0.2">
      <c r="A11266" s="6" t="str">
        <f>"KIFAP3"</f>
        <v>KIFAP3</v>
      </c>
      <c r="B11266" s="6">
        <v>0.35264735264735197</v>
      </c>
      <c r="C11266" s="6">
        <v>0.52285530490090004</v>
      </c>
    </row>
    <row r="11267" spans="1:3" s="7" customFormat="1" x14ac:dyDescent="0.2">
      <c r="A11267" s="6" t="str">
        <f>"NAIPP4"</f>
        <v>NAIPP4</v>
      </c>
      <c r="B11267" s="6">
        <v>0.35264735264735197</v>
      </c>
      <c r="C11267" s="6">
        <v>0.52285530490090004</v>
      </c>
    </row>
    <row r="11268" spans="1:3" s="7" customFormat="1" x14ac:dyDescent="0.2">
      <c r="A11268" s="6" t="str">
        <f>"HIF1AN"</f>
        <v>HIF1AN</v>
      </c>
      <c r="B11268" s="6">
        <v>0.35264735264735197</v>
      </c>
      <c r="C11268" s="6">
        <v>0.52285530490090004</v>
      </c>
    </row>
    <row r="11269" spans="1:3" s="7" customFormat="1" x14ac:dyDescent="0.2">
      <c r="A11269" s="6" t="str">
        <f>"TUBB2A"</f>
        <v>TUBB2A</v>
      </c>
      <c r="B11269" s="6">
        <v>0.35264735264735197</v>
      </c>
      <c r="C11269" s="6">
        <v>0.52285530490090004</v>
      </c>
    </row>
    <row r="11270" spans="1:3" s="7" customFormat="1" x14ac:dyDescent="0.2">
      <c r="A11270" s="6" t="str">
        <f>"GBP3"</f>
        <v>GBP3</v>
      </c>
      <c r="B11270" s="6">
        <v>0.35264735264735197</v>
      </c>
      <c r="C11270" s="6">
        <v>0.52285530490090004</v>
      </c>
    </row>
    <row r="11271" spans="1:3" s="7" customFormat="1" x14ac:dyDescent="0.2">
      <c r="A11271" s="6" t="str">
        <f>"SNAI3-AS1"</f>
        <v>SNAI3-AS1</v>
      </c>
      <c r="B11271" s="6">
        <v>0.35264735264735197</v>
      </c>
      <c r="C11271" s="6">
        <v>0.52285530490090004</v>
      </c>
    </row>
    <row r="11272" spans="1:3" s="7" customFormat="1" x14ac:dyDescent="0.2">
      <c r="A11272" s="6" t="str">
        <f>"NBPF8"</f>
        <v>NBPF8</v>
      </c>
      <c r="B11272" s="6">
        <v>0.35264735264735197</v>
      </c>
      <c r="C11272" s="6">
        <v>0.52285530490090004</v>
      </c>
    </row>
    <row r="11273" spans="1:3" s="7" customFormat="1" x14ac:dyDescent="0.2">
      <c r="A11273" s="6" t="str">
        <f>"MRI1"</f>
        <v>MRI1</v>
      </c>
      <c r="B11273" s="6">
        <v>0.35264735264735197</v>
      </c>
      <c r="C11273" s="6">
        <v>0.52285530490090004</v>
      </c>
    </row>
    <row r="11274" spans="1:3" s="7" customFormat="1" x14ac:dyDescent="0.2">
      <c r="A11274" s="6" t="str">
        <f>"LCMT1-AS1"</f>
        <v>LCMT1-AS1</v>
      </c>
      <c r="B11274" s="6">
        <v>0.35264735264735197</v>
      </c>
      <c r="C11274" s="6">
        <v>0.52285530490090004</v>
      </c>
    </row>
    <row r="11275" spans="1:3" s="7" customFormat="1" x14ac:dyDescent="0.2">
      <c r="A11275" s="6" t="str">
        <f>"AC010719.1"</f>
        <v>AC010719.1</v>
      </c>
      <c r="B11275" s="6">
        <v>0.35299999999999998</v>
      </c>
      <c r="C11275" s="6">
        <v>0.52328532150775997</v>
      </c>
    </row>
    <row r="11276" spans="1:3" s="7" customFormat="1" x14ac:dyDescent="0.2">
      <c r="A11276" s="6" t="str">
        <f>"AC079466.1"</f>
        <v>AC079466.1</v>
      </c>
      <c r="B11276" s="6">
        <v>0.35299999999999998</v>
      </c>
      <c r="C11276" s="6">
        <v>0.52328532150775997</v>
      </c>
    </row>
    <row r="11277" spans="1:3" s="7" customFormat="1" x14ac:dyDescent="0.2">
      <c r="A11277" s="6" t="str">
        <f>"AC092338.3"</f>
        <v>AC092338.3</v>
      </c>
      <c r="B11277" s="6">
        <v>0.353646353646353</v>
      </c>
      <c r="C11277" s="6">
        <v>0.52373251416313604</v>
      </c>
    </row>
    <row r="11278" spans="1:3" s="7" customFormat="1" x14ac:dyDescent="0.2">
      <c r="A11278" s="6" t="str">
        <f>"IMMP2L"</f>
        <v>IMMP2L</v>
      </c>
      <c r="B11278" s="6">
        <v>0.353646353646353</v>
      </c>
      <c r="C11278" s="6">
        <v>0.52373251416313604</v>
      </c>
    </row>
    <row r="11279" spans="1:3" s="7" customFormat="1" x14ac:dyDescent="0.2">
      <c r="A11279" s="6" t="str">
        <f>"LIPT2"</f>
        <v>LIPT2</v>
      </c>
      <c r="B11279" s="6">
        <v>0.353646353646353</v>
      </c>
      <c r="C11279" s="6">
        <v>0.52373251416313604</v>
      </c>
    </row>
    <row r="11280" spans="1:3" s="7" customFormat="1" x14ac:dyDescent="0.2">
      <c r="A11280" s="6" t="str">
        <f>"AL356124.1"</f>
        <v>AL356124.1</v>
      </c>
      <c r="B11280" s="6">
        <v>0.353646353646353</v>
      </c>
      <c r="C11280" s="6">
        <v>0.52373251416313604</v>
      </c>
    </row>
    <row r="11281" spans="1:3" s="7" customFormat="1" x14ac:dyDescent="0.2">
      <c r="A11281" s="6" t="str">
        <f>"AL590627.1"</f>
        <v>AL590627.1</v>
      </c>
      <c r="B11281" s="6">
        <v>0.353646353646353</v>
      </c>
      <c r="C11281" s="6">
        <v>0.52373251416313604</v>
      </c>
    </row>
    <row r="11282" spans="1:3" s="7" customFormat="1" x14ac:dyDescent="0.2">
      <c r="A11282" s="6" t="str">
        <f>"NME6"</f>
        <v>NME6</v>
      </c>
      <c r="B11282" s="6">
        <v>0.353646353646353</v>
      </c>
      <c r="C11282" s="6">
        <v>0.52373251416313604</v>
      </c>
    </row>
    <row r="11283" spans="1:3" s="7" customFormat="1" x14ac:dyDescent="0.2">
      <c r="A11283" s="6" t="str">
        <f>"EPHB6"</f>
        <v>EPHB6</v>
      </c>
      <c r="B11283" s="6">
        <v>0.353646353646353</v>
      </c>
      <c r="C11283" s="6">
        <v>0.52373251416313604</v>
      </c>
    </row>
    <row r="11284" spans="1:3" s="7" customFormat="1" x14ac:dyDescent="0.2">
      <c r="A11284" s="6" t="str">
        <f>"KIF19"</f>
        <v>KIF19</v>
      </c>
      <c r="B11284" s="6">
        <v>0.353646353646353</v>
      </c>
      <c r="C11284" s="6">
        <v>0.52373251416313604</v>
      </c>
    </row>
    <row r="11285" spans="1:3" s="7" customFormat="1" x14ac:dyDescent="0.2">
      <c r="A11285" s="6" t="str">
        <f>"CSMD2"</f>
        <v>CSMD2</v>
      </c>
      <c r="B11285" s="6">
        <v>0.353646353646353</v>
      </c>
      <c r="C11285" s="6">
        <v>0.52373251416313604</v>
      </c>
    </row>
    <row r="11286" spans="1:3" s="7" customFormat="1" x14ac:dyDescent="0.2">
      <c r="A11286" s="6" t="str">
        <f>"LMNTD2"</f>
        <v>LMNTD2</v>
      </c>
      <c r="B11286" s="6">
        <v>0.353646353646353</v>
      </c>
      <c r="C11286" s="6">
        <v>0.52373251416313604</v>
      </c>
    </row>
    <row r="11287" spans="1:3" s="7" customFormat="1" x14ac:dyDescent="0.2">
      <c r="A11287" s="6" t="str">
        <f>"MRPL54"</f>
        <v>MRPL54</v>
      </c>
      <c r="B11287" s="6">
        <v>0.353646353646353</v>
      </c>
      <c r="C11287" s="6">
        <v>0.52373251416313604</v>
      </c>
    </row>
    <row r="11288" spans="1:3" s="7" customFormat="1" x14ac:dyDescent="0.2">
      <c r="A11288" s="6" t="str">
        <f>"PHAX"</f>
        <v>PHAX</v>
      </c>
      <c r="B11288" s="6">
        <v>0.35399999999999998</v>
      </c>
      <c r="C11288" s="6">
        <v>0.52420979888367103</v>
      </c>
    </row>
    <row r="11289" spans="1:3" s="7" customFormat="1" x14ac:dyDescent="0.2">
      <c r="A11289" s="6" t="str">
        <f>"AL035411.3"</f>
        <v>AL035411.3</v>
      </c>
      <c r="B11289" s="6">
        <v>0.35435435435435397</v>
      </c>
      <c r="C11289" s="6">
        <v>0.52459509997153897</v>
      </c>
    </row>
    <row r="11290" spans="1:3" s="7" customFormat="1" x14ac:dyDescent="0.2">
      <c r="A11290" s="6" t="str">
        <f>"OR6Y1"</f>
        <v>OR6Y1</v>
      </c>
      <c r="B11290" s="6">
        <v>0.354297693920335</v>
      </c>
      <c r="C11290" s="6">
        <v>0.52459509997153897</v>
      </c>
    </row>
    <row r="11291" spans="1:3" s="7" customFormat="1" x14ac:dyDescent="0.2">
      <c r="A11291" s="6" t="str">
        <f>"ABCC10"</f>
        <v>ABCC10</v>
      </c>
      <c r="B11291" s="6">
        <v>0.35435435435435397</v>
      </c>
      <c r="C11291" s="6">
        <v>0.52459509997153897</v>
      </c>
    </row>
    <row r="11292" spans="1:3" s="7" customFormat="1" x14ac:dyDescent="0.2">
      <c r="A11292" s="6" t="str">
        <f>"DDAH2"</f>
        <v>DDAH2</v>
      </c>
      <c r="B11292" s="6">
        <v>0.35464535464535402</v>
      </c>
      <c r="C11292" s="6">
        <v>0.52474703058980599</v>
      </c>
    </row>
    <row r="11293" spans="1:3" s="7" customFormat="1" x14ac:dyDescent="0.2">
      <c r="A11293" s="6" t="str">
        <f>"GPR137C"</f>
        <v>GPR137C</v>
      </c>
      <c r="B11293" s="6">
        <v>0.35464535464535402</v>
      </c>
      <c r="C11293" s="6">
        <v>0.52474703058980599</v>
      </c>
    </row>
    <row r="11294" spans="1:3" s="7" customFormat="1" x14ac:dyDescent="0.2">
      <c r="A11294" s="6" t="str">
        <f>"ZNF329"</f>
        <v>ZNF329</v>
      </c>
      <c r="B11294" s="6">
        <v>0.35464535464535402</v>
      </c>
      <c r="C11294" s="6">
        <v>0.52474703058980599</v>
      </c>
    </row>
    <row r="11295" spans="1:3" s="7" customFormat="1" x14ac:dyDescent="0.2">
      <c r="A11295" s="6" t="str">
        <f>"C17orf99"</f>
        <v>C17orf99</v>
      </c>
      <c r="B11295" s="6">
        <v>0.35464535464535402</v>
      </c>
      <c r="C11295" s="6">
        <v>0.52474703058980599</v>
      </c>
    </row>
    <row r="11296" spans="1:3" s="7" customFormat="1" x14ac:dyDescent="0.2">
      <c r="A11296" s="6" t="str">
        <f>"ANK3"</f>
        <v>ANK3</v>
      </c>
      <c r="B11296" s="6">
        <v>0.35464535464535402</v>
      </c>
      <c r="C11296" s="6">
        <v>0.52474703058980599</v>
      </c>
    </row>
    <row r="11297" spans="1:3" s="7" customFormat="1" x14ac:dyDescent="0.2">
      <c r="A11297" s="6" t="str">
        <f>"M1AP"</f>
        <v>M1AP</v>
      </c>
      <c r="B11297" s="6">
        <v>0.35464535464535402</v>
      </c>
      <c r="C11297" s="6">
        <v>0.52474703058980599</v>
      </c>
    </row>
    <row r="11298" spans="1:3" s="7" customFormat="1" x14ac:dyDescent="0.2">
      <c r="A11298" s="6" t="str">
        <f>"AC099518.6"</f>
        <v>AC099518.6</v>
      </c>
      <c r="B11298" s="6">
        <v>0.35490394337714798</v>
      </c>
      <c r="C11298" s="6">
        <v>0.52508316452205495</v>
      </c>
    </row>
    <row r="11299" spans="1:3" s="7" customFormat="1" x14ac:dyDescent="0.2">
      <c r="A11299" s="6" t="str">
        <f>"ARHGAP17"</f>
        <v>ARHGAP17</v>
      </c>
      <c r="B11299" s="6">
        <v>0.35564435564435498</v>
      </c>
      <c r="C11299" s="6">
        <v>0.52543443474231</v>
      </c>
    </row>
    <row r="11300" spans="1:3" s="7" customFormat="1" x14ac:dyDescent="0.2">
      <c r="A11300" s="6" t="str">
        <f>"AGTRAP"</f>
        <v>AGTRAP</v>
      </c>
      <c r="B11300" s="6">
        <v>0.35564435564435498</v>
      </c>
      <c r="C11300" s="6">
        <v>0.52543443474231</v>
      </c>
    </row>
    <row r="11301" spans="1:3" s="7" customFormat="1" x14ac:dyDescent="0.2">
      <c r="A11301" s="6" t="str">
        <f>"TMCO4"</f>
        <v>TMCO4</v>
      </c>
      <c r="B11301" s="6">
        <v>0.35564435564435498</v>
      </c>
      <c r="C11301" s="6">
        <v>0.52543443474231</v>
      </c>
    </row>
    <row r="11302" spans="1:3" s="7" customFormat="1" x14ac:dyDescent="0.2">
      <c r="A11302" s="6" t="str">
        <f>"ZP3"</f>
        <v>ZP3</v>
      </c>
      <c r="B11302" s="6">
        <v>0.35564435564435498</v>
      </c>
      <c r="C11302" s="6">
        <v>0.52543443474231</v>
      </c>
    </row>
    <row r="11303" spans="1:3" s="7" customFormat="1" x14ac:dyDescent="0.2">
      <c r="A11303" s="6" t="str">
        <f>"IGLV1-51"</f>
        <v>IGLV1-51</v>
      </c>
      <c r="B11303" s="6">
        <v>0.35564435564435498</v>
      </c>
      <c r="C11303" s="6">
        <v>0.52543443474231</v>
      </c>
    </row>
    <row r="11304" spans="1:3" s="7" customFormat="1" x14ac:dyDescent="0.2">
      <c r="A11304" s="6" t="str">
        <f>"PIK3R4"</f>
        <v>PIK3R4</v>
      </c>
      <c r="B11304" s="6">
        <v>0.35564435564435498</v>
      </c>
      <c r="C11304" s="6">
        <v>0.52543443474231</v>
      </c>
    </row>
    <row r="11305" spans="1:3" s="7" customFormat="1" x14ac:dyDescent="0.2">
      <c r="A11305" s="6" t="str">
        <f>"KRT17"</f>
        <v>KRT17</v>
      </c>
      <c r="B11305" s="6">
        <v>0.35564435564435498</v>
      </c>
      <c r="C11305" s="6">
        <v>0.52543443474231</v>
      </c>
    </row>
    <row r="11306" spans="1:3" s="7" customFormat="1" x14ac:dyDescent="0.2">
      <c r="A11306" s="6" t="str">
        <f>"PPP1R15B"</f>
        <v>PPP1R15B</v>
      </c>
      <c r="B11306" s="6">
        <v>0.35564435564435498</v>
      </c>
      <c r="C11306" s="6">
        <v>0.52543443474231</v>
      </c>
    </row>
    <row r="11307" spans="1:3" s="7" customFormat="1" x14ac:dyDescent="0.2">
      <c r="A11307" s="6" t="str">
        <f>"ACOX2"</f>
        <v>ACOX2</v>
      </c>
      <c r="B11307" s="6">
        <v>0.35564435564435498</v>
      </c>
      <c r="C11307" s="6">
        <v>0.52543443474231</v>
      </c>
    </row>
    <row r="11308" spans="1:3" s="7" customFormat="1" x14ac:dyDescent="0.2">
      <c r="A11308" s="6" t="str">
        <f>"LINC01761"</f>
        <v>LINC01761</v>
      </c>
      <c r="B11308" s="6">
        <v>0.35535535535535501</v>
      </c>
      <c r="C11308" s="6">
        <v>0.52543443474231</v>
      </c>
    </row>
    <row r="11309" spans="1:3" s="7" customFormat="1" x14ac:dyDescent="0.2">
      <c r="A11309" s="6" t="str">
        <f>"SCAND2P"</f>
        <v>SCAND2P</v>
      </c>
      <c r="B11309" s="6">
        <v>0.35564435564435498</v>
      </c>
      <c r="C11309" s="6">
        <v>0.52543443474231</v>
      </c>
    </row>
    <row r="11310" spans="1:3" s="7" customFormat="1" x14ac:dyDescent="0.2">
      <c r="A11310" s="6" t="str">
        <f>"RBMS3-AS3"</f>
        <v>RBMS3-AS3</v>
      </c>
      <c r="B11310" s="6">
        <v>0.35564435564435498</v>
      </c>
      <c r="C11310" s="6">
        <v>0.52543443474231</v>
      </c>
    </row>
    <row r="11311" spans="1:3" s="7" customFormat="1" x14ac:dyDescent="0.2">
      <c r="A11311" s="6" t="str">
        <f>"ZNF561"</f>
        <v>ZNF561</v>
      </c>
      <c r="B11311" s="6">
        <v>0.35564435564435498</v>
      </c>
      <c r="C11311" s="6">
        <v>0.52543443474231</v>
      </c>
    </row>
    <row r="11312" spans="1:3" s="7" customFormat="1" x14ac:dyDescent="0.2">
      <c r="A11312" s="6" t="str">
        <f>"C18orf21"</f>
        <v>C18orf21</v>
      </c>
      <c r="B11312" s="6">
        <v>0.35564435564435498</v>
      </c>
      <c r="C11312" s="6">
        <v>0.52543443474231</v>
      </c>
    </row>
    <row r="11313" spans="1:3" s="7" customFormat="1" x14ac:dyDescent="0.2">
      <c r="A11313" s="6" t="str">
        <f>"KIAA0513"</f>
        <v>KIAA0513</v>
      </c>
      <c r="B11313" s="6">
        <v>0.35564435564435498</v>
      </c>
      <c r="C11313" s="6">
        <v>0.52543443474231</v>
      </c>
    </row>
    <row r="11314" spans="1:3" s="7" customFormat="1" x14ac:dyDescent="0.2">
      <c r="A11314" s="6" t="str">
        <f>"PSMC1P1"</f>
        <v>PSMC1P1</v>
      </c>
      <c r="B11314" s="6">
        <v>0.35564435564435498</v>
      </c>
      <c r="C11314" s="6">
        <v>0.52543443474231</v>
      </c>
    </row>
    <row r="11315" spans="1:3" s="7" customFormat="1" x14ac:dyDescent="0.2">
      <c r="A11315" s="6" t="str">
        <f>"THBS3"</f>
        <v>THBS3</v>
      </c>
      <c r="B11315" s="6">
        <v>0.356643356643356</v>
      </c>
      <c r="C11315" s="6">
        <v>0.52649152649152597</v>
      </c>
    </row>
    <row r="11316" spans="1:3" s="7" customFormat="1" x14ac:dyDescent="0.2">
      <c r="A11316" s="6" t="str">
        <f>"ZNF566"</f>
        <v>ZNF566</v>
      </c>
      <c r="B11316" s="6">
        <v>0.356643356643356</v>
      </c>
      <c r="C11316" s="6">
        <v>0.52649152649152597</v>
      </c>
    </row>
    <row r="11317" spans="1:3" s="7" customFormat="1" x14ac:dyDescent="0.2">
      <c r="A11317" s="6" t="str">
        <f>"TRPM1"</f>
        <v>TRPM1</v>
      </c>
      <c r="B11317" s="6">
        <v>0.356643356643356</v>
      </c>
      <c r="C11317" s="6">
        <v>0.52649152649152597</v>
      </c>
    </row>
    <row r="11318" spans="1:3" s="7" customFormat="1" x14ac:dyDescent="0.2">
      <c r="A11318" s="6" t="str">
        <f>"AVPR1A"</f>
        <v>AVPR1A</v>
      </c>
      <c r="B11318" s="6">
        <v>0.356643356643356</v>
      </c>
      <c r="C11318" s="6">
        <v>0.52649152649152597</v>
      </c>
    </row>
    <row r="11319" spans="1:3" s="7" customFormat="1" x14ac:dyDescent="0.2">
      <c r="A11319" s="6" t="str">
        <f>"BNIP5"</f>
        <v>BNIP5</v>
      </c>
      <c r="B11319" s="6">
        <v>0.356643356643356</v>
      </c>
      <c r="C11319" s="6">
        <v>0.52649152649152597</v>
      </c>
    </row>
    <row r="11320" spans="1:3" s="7" customFormat="1" x14ac:dyDescent="0.2">
      <c r="A11320" s="6" t="str">
        <f>"AC016876.1"</f>
        <v>AC016876.1</v>
      </c>
      <c r="B11320" s="6">
        <v>0.356643356643356</v>
      </c>
      <c r="C11320" s="6">
        <v>0.52649152649152597</v>
      </c>
    </row>
    <row r="11321" spans="1:3" s="7" customFormat="1" x14ac:dyDescent="0.2">
      <c r="A11321" s="6" t="str">
        <f>"DDX24"</f>
        <v>DDX24</v>
      </c>
      <c r="B11321" s="6">
        <v>0.356643356643356</v>
      </c>
      <c r="C11321" s="6">
        <v>0.52649152649152597</v>
      </c>
    </row>
    <row r="11322" spans="1:3" s="7" customFormat="1" x14ac:dyDescent="0.2">
      <c r="A11322" s="6" t="str">
        <f>"ARL1"</f>
        <v>ARL1</v>
      </c>
      <c r="B11322" s="6">
        <v>0.356643356643356</v>
      </c>
      <c r="C11322" s="6">
        <v>0.52649152649152597</v>
      </c>
    </row>
    <row r="11323" spans="1:3" s="7" customFormat="1" x14ac:dyDescent="0.2">
      <c r="A11323" s="6" t="str">
        <f>"CD300C"</f>
        <v>CD300C</v>
      </c>
      <c r="B11323" s="6">
        <v>0.356643356643356</v>
      </c>
      <c r="C11323" s="6">
        <v>0.52649152649152597</v>
      </c>
    </row>
    <row r="11324" spans="1:3" s="7" customFormat="1" x14ac:dyDescent="0.2">
      <c r="A11324" s="6" t="str">
        <f>"RABEP1"</f>
        <v>RABEP1</v>
      </c>
      <c r="B11324" s="6">
        <v>0.35764235764235702</v>
      </c>
      <c r="C11324" s="6">
        <v>0.52764007111257505</v>
      </c>
    </row>
    <row r="11325" spans="1:3" s="7" customFormat="1" x14ac:dyDescent="0.2">
      <c r="A11325" s="6" t="str">
        <f>"IL6R-AS1"</f>
        <v>IL6R-AS1</v>
      </c>
      <c r="B11325" s="6">
        <v>0.35752979414951203</v>
      </c>
      <c r="C11325" s="6">
        <v>0.52764007111257505</v>
      </c>
    </row>
    <row r="11326" spans="1:3" s="7" customFormat="1" x14ac:dyDescent="0.2">
      <c r="A11326" s="6" t="str">
        <f>"SLC17A5"</f>
        <v>SLC17A5</v>
      </c>
      <c r="B11326" s="6">
        <v>0.35764235764235702</v>
      </c>
      <c r="C11326" s="6">
        <v>0.52764007111257505</v>
      </c>
    </row>
    <row r="11327" spans="1:3" s="7" customFormat="1" x14ac:dyDescent="0.2">
      <c r="A11327" s="6" t="str">
        <f>"NCK2"</f>
        <v>NCK2</v>
      </c>
      <c r="B11327" s="6">
        <v>0.35764235764235702</v>
      </c>
      <c r="C11327" s="6">
        <v>0.52764007111257505</v>
      </c>
    </row>
    <row r="11328" spans="1:3" s="7" customFormat="1" x14ac:dyDescent="0.2">
      <c r="A11328" s="6" t="str">
        <f>"TUBA1C"</f>
        <v>TUBA1C</v>
      </c>
      <c r="B11328" s="6">
        <v>0.35764235764235702</v>
      </c>
      <c r="C11328" s="6">
        <v>0.52764007111257505</v>
      </c>
    </row>
    <row r="11329" spans="1:3" s="7" customFormat="1" x14ac:dyDescent="0.2">
      <c r="A11329" s="6" t="str">
        <f>"RBM8A"</f>
        <v>RBM8A</v>
      </c>
      <c r="B11329" s="6">
        <v>0.35764235764235702</v>
      </c>
      <c r="C11329" s="6">
        <v>0.52764007111257505</v>
      </c>
    </row>
    <row r="11330" spans="1:3" s="7" customFormat="1" x14ac:dyDescent="0.2">
      <c r="A11330" s="6" t="str">
        <f>"PSMD5"</f>
        <v>PSMD5</v>
      </c>
      <c r="B11330" s="6">
        <v>0.35764235764235702</v>
      </c>
      <c r="C11330" s="6">
        <v>0.52764007111257505</v>
      </c>
    </row>
    <row r="11331" spans="1:3" s="7" customFormat="1" x14ac:dyDescent="0.2">
      <c r="A11331" s="6" t="str">
        <f>"SEPHS2"</f>
        <v>SEPHS2</v>
      </c>
      <c r="B11331" s="6">
        <v>0.35799999999999998</v>
      </c>
      <c r="C11331" s="6">
        <v>0.52812109443954103</v>
      </c>
    </row>
    <row r="11332" spans="1:3" s="7" customFormat="1" x14ac:dyDescent="0.2">
      <c r="A11332" s="6" t="str">
        <f>"GAS5"</f>
        <v>GAS5</v>
      </c>
      <c r="B11332" s="6">
        <v>0.35864135864135799</v>
      </c>
      <c r="C11332" s="6">
        <v>0.52864729414689704</v>
      </c>
    </row>
    <row r="11333" spans="1:3" s="7" customFormat="1" x14ac:dyDescent="0.2">
      <c r="A11333" s="6" t="str">
        <f>"ATP5PD"</f>
        <v>ATP5PD</v>
      </c>
      <c r="B11333" s="6">
        <v>0.35864135864135799</v>
      </c>
      <c r="C11333" s="6">
        <v>0.52864729414689704</v>
      </c>
    </row>
    <row r="11334" spans="1:3" s="7" customFormat="1" x14ac:dyDescent="0.2">
      <c r="A11334" s="6" t="str">
        <f>"SMIM20"</f>
        <v>SMIM20</v>
      </c>
      <c r="B11334" s="6">
        <v>0.35864135864135799</v>
      </c>
      <c r="C11334" s="6">
        <v>0.52864729414689704</v>
      </c>
    </row>
    <row r="11335" spans="1:3" s="7" customFormat="1" x14ac:dyDescent="0.2">
      <c r="A11335" s="6" t="str">
        <f>"AC018523.2"</f>
        <v>AC018523.2</v>
      </c>
      <c r="B11335" s="6">
        <v>0.35864135864135799</v>
      </c>
      <c r="C11335" s="6">
        <v>0.52864729414689704</v>
      </c>
    </row>
    <row r="11336" spans="1:3" s="7" customFormat="1" x14ac:dyDescent="0.2">
      <c r="A11336" s="6" t="str">
        <f>"TMC3-AS1"</f>
        <v>TMC3-AS1</v>
      </c>
      <c r="B11336" s="6">
        <v>0.35864135864135799</v>
      </c>
      <c r="C11336" s="6">
        <v>0.52864729414689704</v>
      </c>
    </row>
    <row r="11337" spans="1:3" s="7" customFormat="1" x14ac:dyDescent="0.2">
      <c r="A11337" s="6" t="str">
        <f>"CYP4F29P"</f>
        <v>CYP4F29P</v>
      </c>
      <c r="B11337" s="6">
        <v>0.35864135864135799</v>
      </c>
      <c r="C11337" s="6">
        <v>0.52864729414689704</v>
      </c>
    </row>
    <row r="11338" spans="1:3" s="7" customFormat="1" x14ac:dyDescent="0.2">
      <c r="A11338" s="6" t="str">
        <f>"MPP3"</f>
        <v>MPP3</v>
      </c>
      <c r="B11338" s="6">
        <v>0.35864135864135799</v>
      </c>
      <c r="C11338" s="6">
        <v>0.52864729414689704</v>
      </c>
    </row>
    <row r="11339" spans="1:3" s="7" customFormat="1" x14ac:dyDescent="0.2">
      <c r="A11339" s="6" t="str">
        <f>"DOCK8-AS1"</f>
        <v>DOCK8-AS1</v>
      </c>
      <c r="B11339" s="6">
        <v>0.35864135864135799</v>
      </c>
      <c r="C11339" s="6">
        <v>0.52864729414689704</v>
      </c>
    </row>
    <row r="11340" spans="1:3" s="7" customFormat="1" x14ac:dyDescent="0.2">
      <c r="A11340" s="6" t="str">
        <f>"GSTP1"</f>
        <v>GSTP1</v>
      </c>
      <c r="B11340" s="6">
        <v>0.35864135864135799</v>
      </c>
      <c r="C11340" s="6">
        <v>0.52864729414689704</v>
      </c>
    </row>
    <row r="11341" spans="1:3" s="7" customFormat="1" x14ac:dyDescent="0.2">
      <c r="A11341" s="6" t="str">
        <f>"TAOK1"</f>
        <v>TAOK1</v>
      </c>
      <c r="B11341" s="6">
        <v>0.35899999999999999</v>
      </c>
      <c r="C11341" s="6">
        <v>0.52912927689594302</v>
      </c>
    </row>
    <row r="11342" spans="1:3" s="7" customFormat="1" x14ac:dyDescent="0.2">
      <c r="A11342" s="6" t="str">
        <f>"AP001505.1"</f>
        <v>AP001505.1</v>
      </c>
      <c r="B11342" s="6">
        <v>0.35964035964035901</v>
      </c>
      <c r="C11342" s="6">
        <v>0.52965274218248004</v>
      </c>
    </row>
    <row r="11343" spans="1:3" s="7" customFormat="1" x14ac:dyDescent="0.2">
      <c r="A11343" s="6" t="str">
        <f>"MTCH2"</f>
        <v>MTCH2</v>
      </c>
      <c r="B11343" s="6">
        <v>0.35964035964035901</v>
      </c>
      <c r="C11343" s="6">
        <v>0.52965274218248004</v>
      </c>
    </row>
    <row r="11344" spans="1:3" s="7" customFormat="1" x14ac:dyDescent="0.2">
      <c r="A11344" s="6" t="str">
        <f>"TMPRSS2"</f>
        <v>TMPRSS2</v>
      </c>
      <c r="B11344" s="6">
        <v>0.35964035964035901</v>
      </c>
      <c r="C11344" s="6">
        <v>0.52965274218248004</v>
      </c>
    </row>
    <row r="11345" spans="1:3" s="7" customFormat="1" x14ac:dyDescent="0.2">
      <c r="A11345" s="6" t="str">
        <f>"UBL5"</f>
        <v>UBL5</v>
      </c>
      <c r="B11345" s="6">
        <v>0.35964035964035901</v>
      </c>
      <c r="C11345" s="6">
        <v>0.52965274218248004</v>
      </c>
    </row>
    <row r="11346" spans="1:3" s="7" customFormat="1" x14ac:dyDescent="0.2">
      <c r="A11346" s="6" t="str">
        <f>"FBXO21"</f>
        <v>FBXO21</v>
      </c>
      <c r="B11346" s="6">
        <v>0.35964035964035901</v>
      </c>
      <c r="C11346" s="6">
        <v>0.52965274218248004</v>
      </c>
    </row>
    <row r="11347" spans="1:3" s="7" customFormat="1" x14ac:dyDescent="0.2">
      <c r="A11347" s="6" t="str">
        <f>"ZNF683"</f>
        <v>ZNF683</v>
      </c>
      <c r="B11347" s="6">
        <v>0.35964035964035901</v>
      </c>
      <c r="C11347" s="6">
        <v>0.52965274218248004</v>
      </c>
    </row>
    <row r="11348" spans="1:3" s="7" customFormat="1" x14ac:dyDescent="0.2">
      <c r="A11348" s="6" t="str">
        <f>"CLEC12B"</f>
        <v>CLEC12B</v>
      </c>
      <c r="B11348" s="6">
        <v>0.35964035964035901</v>
      </c>
      <c r="C11348" s="6">
        <v>0.52965274218248004</v>
      </c>
    </row>
    <row r="11349" spans="1:3" s="7" customFormat="1" x14ac:dyDescent="0.2">
      <c r="A11349" s="6" t="str">
        <f>"PRR26"</f>
        <v>PRR26</v>
      </c>
      <c r="B11349" s="6">
        <v>0.35964035964035901</v>
      </c>
      <c r="C11349" s="6">
        <v>0.52965274218248004</v>
      </c>
    </row>
    <row r="11350" spans="1:3" s="7" customFormat="1" x14ac:dyDescent="0.2">
      <c r="A11350" s="6" t="str">
        <f>"TMEM217"</f>
        <v>TMEM217</v>
      </c>
      <c r="B11350" s="6">
        <v>0.35964035964035901</v>
      </c>
      <c r="C11350" s="6">
        <v>0.52965274218248004</v>
      </c>
    </row>
    <row r="11351" spans="1:3" s="7" customFormat="1" x14ac:dyDescent="0.2">
      <c r="A11351" s="6" t="str">
        <f>"KIR3DX1"</f>
        <v>KIR3DX1</v>
      </c>
      <c r="B11351" s="6">
        <v>0.36016096579476797</v>
      </c>
      <c r="C11351" s="6">
        <v>0.53037272090693899</v>
      </c>
    </row>
    <row r="11352" spans="1:3" s="7" customFormat="1" x14ac:dyDescent="0.2">
      <c r="A11352" s="6" t="str">
        <f>"SLC45A4"</f>
        <v>SLC45A4</v>
      </c>
      <c r="B11352" s="6">
        <v>0.36063936063935997</v>
      </c>
      <c r="C11352" s="6">
        <v>0.53056300270453904</v>
      </c>
    </row>
    <row r="11353" spans="1:3" s="7" customFormat="1" x14ac:dyDescent="0.2">
      <c r="A11353" s="6" t="str">
        <f>"HELB"</f>
        <v>HELB</v>
      </c>
      <c r="B11353" s="6">
        <v>0.36063936063935997</v>
      </c>
      <c r="C11353" s="6">
        <v>0.53056300270453904</v>
      </c>
    </row>
    <row r="11354" spans="1:3" s="7" customFormat="1" x14ac:dyDescent="0.2">
      <c r="A11354" s="6" t="str">
        <f>"VARS2"</f>
        <v>VARS2</v>
      </c>
      <c r="B11354" s="6">
        <v>0.36063936063935997</v>
      </c>
      <c r="C11354" s="6">
        <v>0.53056300270453904</v>
      </c>
    </row>
    <row r="11355" spans="1:3" s="7" customFormat="1" x14ac:dyDescent="0.2">
      <c r="A11355" s="6" t="str">
        <f>"MMP7"</f>
        <v>MMP7</v>
      </c>
      <c r="B11355" s="6">
        <v>0.36063936063935997</v>
      </c>
      <c r="C11355" s="6">
        <v>0.53056300270453904</v>
      </c>
    </row>
    <row r="11356" spans="1:3" s="7" customFormat="1" x14ac:dyDescent="0.2">
      <c r="A11356" s="6" t="str">
        <f>"RSPRY1"</f>
        <v>RSPRY1</v>
      </c>
      <c r="B11356" s="6">
        <v>0.36063936063935997</v>
      </c>
      <c r="C11356" s="6">
        <v>0.53056300270453904</v>
      </c>
    </row>
    <row r="11357" spans="1:3" s="7" customFormat="1" x14ac:dyDescent="0.2">
      <c r="A11357" s="6" t="str">
        <f>"ZBTB37"</f>
        <v>ZBTB37</v>
      </c>
      <c r="B11357" s="6">
        <v>0.36063936063935997</v>
      </c>
      <c r="C11357" s="6">
        <v>0.53056300270453904</v>
      </c>
    </row>
    <row r="11358" spans="1:3" s="7" customFormat="1" x14ac:dyDescent="0.2">
      <c r="A11358" s="6" t="str">
        <f>"LINC00519"</f>
        <v>LINC00519</v>
      </c>
      <c r="B11358" s="6">
        <v>0.36063936063935997</v>
      </c>
      <c r="C11358" s="6">
        <v>0.53056300270453904</v>
      </c>
    </row>
    <row r="11359" spans="1:3" s="7" customFormat="1" x14ac:dyDescent="0.2">
      <c r="A11359" s="6" t="str">
        <f>"TEX15"</f>
        <v>TEX15</v>
      </c>
      <c r="B11359" s="6">
        <v>0.36063936063935997</v>
      </c>
      <c r="C11359" s="6">
        <v>0.53056300270453904</v>
      </c>
    </row>
    <row r="11360" spans="1:3" s="7" customFormat="1" x14ac:dyDescent="0.2">
      <c r="A11360" s="6" t="str">
        <f>"GGTLC2"</f>
        <v>GGTLC2</v>
      </c>
      <c r="B11360" s="6">
        <v>0.36063936063935997</v>
      </c>
      <c r="C11360" s="6">
        <v>0.53056300270453904</v>
      </c>
    </row>
    <row r="11361" spans="1:3" s="7" customFormat="1" x14ac:dyDescent="0.2">
      <c r="A11361" s="6" t="str">
        <f>"DDIT4"</f>
        <v>DDIT4</v>
      </c>
      <c r="B11361" s="6">
        <v>0.36063936063935997</v>
      </c>
      <c r="C11361" s="6">
        <v>0.53056300270453904</v>
      </c>
    </row>
    <row r="11362" spans="1:3" s="7" customFormat="1" x14ac:dyDescent="0.2">
      <c r="A11362" s="6" t="str">
        <f>"BCLAF3"</f>
        <v>BCLAF3</v>
      </c>
      <c r="B11362" s="6">
        <v>0.36063936063935997</v>
      </c>
      <c r="C11362" s="6">
        <v>0.53056300270453904</v>
      </c>
    </row>
    <row r="11363" spans="1:3" s="7" customFormat="1" x14ac:dyDescent="0.2">
      <c r="A11363" s="6" t="str">
        <f>"AC005041.5"</f>
        <v>AC005041.5</v>
      </c>
      <c r="B11363" s="6">
        <v>0.36108324974924699</v>
      </c>
      <c r="C11363" s="6">
        <v>0.53116928677247999</v>
      </c>
    </row>
    <row r="11364" spans="1:3" s="7" customFormat="1" x14ac:dyDescent="0.2">
      <c r="A11364" s="6" t="str">
        <f>"LTA"</f>
        <v>LTA</v>
      </c>
      <c r="B11364" s="6">
        <v>0.36163836163836099</v>
      </c>
      <c r="C11364" s="6">
        <v>0.53123779015851402</v>
      </c>
    </row>
    <row r="11365" spans="1:3" s="7" customFormat="1" x14ac:dyDescent="0.2">
      <c r="A11365" s="6" t="str">
        <f>"RABGAP1L"</f>
        <v>RABGAP1L</v>
      </c>
      <c r="B11365" s="6">
        <v>0.36163836163836099</v>
      </c>
      <c r="C11365" s="6">
        <v>0.53123779015851402</v>
      </c>
    </row>
    <row r="11366" spans="1:3" s="7" customFormat="1" x14ac:dyDescent="0.2">
      <c r="A11366" s="6" t="str">
        <f>"UPRT"</f>
        <v>UPRT</v>
      </c>
      <c r="B11366" s="6">
        <v>0.36163836163836099</v>
      </c>
      <c r="C11366" s="6">
        <v>0.53123779015851402</v>
      </c>
    </row>
    <row r="11367" spans="1:3" s="7" customFormat="1" x14ac:dyDescent="0.2">
      <c r="A11367" s="6" t="str">
        <f>"CPNE6"</f>
        <v>CPNE6</v>
      </c>
      <c r="B11367" s="6">
        <v>0.36163836163836099</v>
      </c>
      <c r="C11367" s="6">
        <v>0.53123779015851402</v>
      </c>
    </row>
    <row r="11368" spans="1:3" s="7" customFormat="1" x14ac:dyDescent="0.2">
      <c r="A11368" s="6" t="str">
        <f>"AC142472.1"</f>
        <v>AC142472.1</v>
      </c>
      <c r="B11368" s="6">
        <v>0.36163836163836099</v>
      </c>
      <c r="C11368" s="6">
        <v>0.53123779015851402</v>
      </c>
    </row>
    <row r="11369" spans="1:3" s="7" customFormat="1" x14ac:dyDescent="0.2">
      <c r="A11369" s="6" t="str">
        <f>"BLNK"</f>
        <v>BLNK</v>
      </c>
      <c r="B11369" s="6">
        <v>0.36163836163836099</v>
      </c>
      <c r="C11369" s="6">
        <v>0.53123779015851402</v>
      </c>
    </row>
    <row r="11370" spans="1:3" s="7" customFormat="1" x14ac:dyDescent="0.2">
      <c r="A11370" s="6" t="str">
        <f>"AC005332.5"</f>
        <v>AC005332.5</v>
      </c>
      <c r="B11370" s="6">
        <v>0.36163836163836099</v>
      </c>
      <c r="C11370" s="6">
        <v>0.53123779015851402</v>
      </c>
    </row>
    <row r="11371" spans="1:3" s="7" customFormat="1" x14ac:dyDescent="0.2">
      <c r="A11371" s="6" t="str">
        <f>"UBE4A"</f>
        <v>UBE4A</v>
      </c>
      <c r="B11371" s="6">
        <v>0.36163836163836099</v>
      </c>
      <c r="C11371" s="6">
        <v>0.53123779015851402</v>
      </c>
    </row>
    <row r="11372" spans="1:3" s="7" customFormat="1" x14ac:dyDescent="0.2">
      <c r="A11372" s="6" t="str">
        <f>"NME1-NME2"</f>
        <v>NME1-NME2</v>
      </c>
      <c r="B11372" s="6">
        <v>0.36163836163836099</v>
      </c>
      <c r="C11372" s="6">
        <v>0.53123779015851402</v>
      </c>
    </row>
    <row r="11373" spans="1:3" s="7" customFormat="1" x14ac:dyDescent="0.2">
      <c r="A11373" s="6" t="str">
        <f>"USP16"</f>
        <v>USP16</v>
      </c>
      <c r="B11373" s="6">
        <v>0.36163836163836099</v>
      </c>
      <c r="C11373" s="6">
        <v>0.53123779015851402</v>
      </c>
    </row>
    <row r="11374" spans="1:3" s="7" customFormat="1" x14ac:dyDescent="0.2">
      <c r="A11374" s="6" t="str">
        <f>"AC020779.1"</f>
        <v>AC020779.1</v>
      </c>
      <c r="B11374" s="6">
        <v>0.36116700201207202</v>
      </c>
      <c r="C11374" s="6">
        <v>0.53123779015851402</v>
      </c>
    </row>
    <row r="11375" spans="1:3" s="7" customFormat="1" x14ac:dyDescent="0.2">
      <c r="A11375" s="6" t="str">
        <f>"LINC00543"</f>
        <v>LINC00543</v>
      </c>
      <c r="B11375" s="6">
        <v>0.36163836163836099</v>
      </c>
      <c r="C11375" s="6">
        <v>0.53123779015851402</v>
      </c>
    </row>
    <row r="11376" spans="1:3" s="7" customFormat="1" x14ac:dyDescent="0.2">
      <c r="A11376" s="6" t="str">
        <f>"TPGS1"</f>
        <v>TPGS1</v>
      </c>
      <c r="B11376" s="6">
        <v>0.36163836163836099</v>
      </c>
      <c r="C11376" s="6">
        <v>0.53123779015851402</v>
      </c>
    </row>
    <row r="11377" spans="1:3" s="7" customFormat="1" x14ac:dyDescent="0.2">
      <c r="A11377" s="6" t="str">
        <f>"MT1X"</f>
        <v>MT1X</v>
      </c>
      <c r="B11377" s="6">
        <v>0.36163836163836099</v>
      </c>
      <c r="C11377" s="6">
        <v>0.53123779015851402</v>
      </c>
    </row>
    <row r="11378" spans="1:3" s="7" customFormat="1" x14ac:dyDescent="0.2">
      <c r="A11378" s="6" t="str">
        <f>"ZNF180"</f>
        <v>ZNF180</v>
      </c>
      <c r="B11378" s="6">
        <v>0.36163836163836099</v>
      </c>
      <c r="C11378" s="6">
        <v>0.53123779015851402</v>
      </c>
    </row>
    <row r="11379" spans="1:3" s="7" customFormat="1" x14ac:dyDescent="0.2">
      <c r="A11379" s="6" t="str">
        <f>"ZFYVE16"</f>
        <v>ZFYVE16</v>
      </c>
      <c r="B11379" s="6">
        <v>0.36163836163836099</v>
      </c>
      <c r="C11379" s="6">
        <v>0.53123779015851402</v>
      </c>
    </row>
    <row r="11380" spans="1:3" s="7" customFormat="1" x14ac:dyDescent="0.2">
      <c r="A11380" s="6" t="str">
        <f>"AC011592.1"</f>
        <v>AC011592.1</v>
      </c>
      <c r="B11380" s="6">
        <v>0.36172344689378699</v>
      </c>
      <c r="C11380" s="6">
        <v>0.53131608149949505</v>
      </c>
    </row>
    <row r="11381" spans="1:3" s="7" customFormat="1" x14ac:dyDescent="0.2">
      <c r="A11381" s="6" t="str">
        <f>"AL355488.1"</f>
        <v>AL355488.1</v>
      </c>
      <c r="B11381" s="6">
        <v>0.36199999999999999</v>
      </c>
      <c r="C11381" s="6">
        <v>0.53158214725004305</v>
      </c>
    </row>
    <row r="11382" spans="1:3" s="7" customFormat="1" x14ac:dyDescent="0.2">
      <c r="A11382" s="6" t="str">
        <f>"AC090246.1"</f>
        <v>AC090246.1</v>
      </c>
      <c r="B11382" s="6">
        <v>0.36199999999999999</v>
      </c>
      <c r="C11382" s="6">
        <v>0.53158214725004305</v>
      </c>
    </row>
    <row r="11383" spans="1:3" s="7" customFormat="1" x14ac:dyDescent="0.2">
      <c r="A11383" s="6" t="str">
        <f>"ADAM17"</f>
        <v>ADAM17</v>
      </c>
      <c r="B11383" s="6">
        <v>0.36199999999999999</v>
      </c>
      <c r="C11383" s="6">
        <v>0.53158214725004305</v>
      </c>
    </row>
    <row r="11384" spans="1:3" s="7" customFormat="1" x14ac:dyDescent="0.2">
      <c r="A11384" s="6" t="str">
        <f>"EPRS1"</f>
        <v>EPRS1</v>
      </c>
      <c r="B11384" s="6">
        <v>0.36263736263736202</v>
      </c>
      <c r="C11384" s="6">
        <v>0.53186388900674597</v>
      </c>
    </row>
    <row r="11385" spans="1:3" s="7" customFormat="1" x14ac:dyDescent="0.2">
      <c r="A11385" s="6" t="str">
        <f>"PCDHGA10"</f>
        <v>PCDHGA10</v>
      </c>
      <c r="B11385" s="6">
        <v>0.36263736263736202</v>
      </c>
      <c r="C11385" s="6">
        <v>0.53186388900674597</v>
      </c>
    </row>
    <row r="11386" spans="1:3" s="7" customFormat="1" x14ac:dyDescent="0.2">
      <c r="A11386" s="6" t="str">
        <f>"AL589843.1"</f>
        <v>AL589843.1</v>
      </c>
      <c r="B11386" s="6">
        <v>0.36233367451381698</v>
      </c>
      <c r="C11386" s="6">
        <v>0.53186388900674597</v>
      </c>
    </row>
    <row r="11387" spans="1:3" s="7" customFormat="1" x14ac:dyDescent="0.2">
      <c r="A11387" s="6" t="str">
        <f>"PSD2"</f>
        <v>PSD2</v>
      </c>
      <c r="B11387" s="6">
        <v>0.36263736263736202</v>
      </c>
      <c r="C11387" s="6">
        <v>0.53186388900674597</v>
      </c>
    </row>
    <row r="11388" spans="1:3" s="7" customFormat="1" x14ac:dyDescent="0.2">
      <c r="A11388" s="6" t="str">
        <f>"MPHOSPH9"</f>
        <v>MPHOSPH9</v>
      </c>
      <c r="B11388" s="6">
        <v>0.36263736263736202</v>
      </c>
      <c r="C11388" s="6">
        <v>0.53186388900674597</v>
      </c>
    </row>
    <row r="11389" spans="1:3" s="7" customFormat="1" x14ac:dyDescent="0.2">
      <c r="A11389" s="6" t="str">
        <f>"EFR3A"</f>
        <v>EFR3A</v>
      </c>
      <c r="B11389" s="6">
        <v>0.36263736263736202</v>
      </c>
      <c r="C11389" s="6">
        <v>0.53186388900674597</v>
      </c>
    </row>
    <row r="11390" spans="1:3" s="7" customFormat="1" x14ac:dyDescent="0.2">
      <c r="A11390" s="6" t="str">
        <f>"OTOP3"</f>
        <v>OTOP3</v>
      </c>
      <c r="B11390" s="6">
        <v>0.36263736263736202</v>
      </c>
      <c r="C11390" s="6">
        <v>0.53186388900674597</v>
      </c>
    </row>
    <row r="11391" spans="1:3" s="7" customFormat="1" x14ac:dyDescent="0.2">
      <c r="A11391" s="6" t="str">
        <f>"PEX10"</f>
        <v>PEX10</v>
      </c>
      <c r="B11391" s="6">
        <v>0.36263736263736202</v>
      </c>
      <c r="C11391" s="6">
        <v>0.53186388900674597</v>
      </c>
    </row>
    <row r="11392" spans="1:3" s="7" customFormat="1" x14ac:dyDescent="0.2">
      <c r="A11392" s="6" t="str">
        <f>"DMWD"</f>
        <v>DMWD</v>
      </c>
      <c r="B11392" s="6">
        <v>0.36263736263736202</v>
      </c>
      <c r="C11392" s="6">
        <v>0.53186388900674597</v>
      </c>
    </row>
    <row r="11393" spans="1:3" s="7" customFormat="1" x14ac:dyDescent="0.2">
      <c r="A11393" s="6" t="str">
        <f>"PLOD2"</f>
        <v>PLOD2</v>
      </c>
      <c r="B11393" s="6">
        <v>0.36263736263736202</v>
      </c>
      <c r="C11393" s="6">
        <v>0.53186388900674597</v>
      </c>
    </row>
    <row r="11394" spans="1:3" s="7" customFormat="1" x14ac:dyDescent="0.2">
      <c r="A11394" s="6" t="str">
        <f>"AC092718.2"</f>
        <v>AC092718.2</v>
      </c>
      <c r="B11394" s="6">
        <v>0.36263736263736202</v>
      </c>
      <c r="C11394" s="6">
        <v>0.53186388900674597</v>
      </c>
    </row>
    <row r="11395" spans="1:3" s="7" customFormat="1" x14ac:dyDescent="0.2">
      <c r="A11395" s="6" t="str">
        <f>"GINS3"</f>
        <v>GINS3</v>
      </c>
      <c r="B11395" s="6">
        <v>0.36263736263736202</v>
      </c>
      <c r="C11395" s="6">
        <v>0.53186388900674597</v>
      </c>
    </row>
    <row r="11396" spans="1:3" s="7" customFormat="1" x14ac:dyDescent="0.2">
      <c r="A11396" s="6" t="str">
        <f>"EXO5"</f>
        <v>EXO5</v>
      </c>
      <c r="B11396" s="6">
        <v>0.36263736263736202</v>
      </c>
      <c r="C11396" s="6">
        <v>0.53186388900674597</v>
      </c>
    </row>
    <row r="11397" spans="1:3" s="7" customFormat="1" x14ac:dyDescent="0.2">
      <c r="A11397" s="6" t="str">
        <f>"MCM3AP"</f>
        <v>MCM3AP</v>
      </c>
      <c r="B11397" s="6">
        <v>0.36236236236236202</v>
      </c>
      <c r="C11397" s="6">
        <v>0.53186388900674597</v>
      </c>
    </row>
    <row r="11398" spans="1:3" s="7" customFormat="1" x14ac:dyDescent="0.2">
      <c r="A11398" s="6" t="str">
        <f>"TUBGCP2"</f>
        <v>TUBGCP2</v>
      </c>
      <c r="B11398" s="6">
        <v>0.36363636363636298</v>
      </c>
      <c r="C11398" s="6">
        <v>0.53272137626594596</v>
      </c>
    </row>
    <row r="11399" spans="1:3" s="7" customFormat="1" x14ac:dyDescent="0.2">
      <c r="A11399" s="6" t="str">
        <f>"MTM1"</f>
        <v>MTM1</v>
      </c>
      <c r="B11399" s="6">
        <v>0.36363636363636298</v>
      </c>
      <c r="C11399" s="6">
        <v>0.53272137626594596</v>
      </c>
    </row>
    <row r="11400" spans="1:3" s="7" customFormat="1" x14ac:dyDescent="0.2">
      <c r="A11400" s="6" t="str">
        <f>"CPSF6"</f>
        <v>CPSF6</v>
      </c>
      <c r="B11400" s="6">
        <v>0.36363636363636298</v>
      </c>
      <c r="C11400" s="6">
        <v>0.53272137626594596</v>
      </c>
    </row>
    <row r="11401" spans="1:3" s="7" customFormat="1" x14ac:dyDescent="0.2">
      <c r="A11401" s="6" t="str">
        <f>"AC005614.1"</f>
        <v>AC005614.1</v>
      </c>
      <c r="B11401" s="6">
        <v>0.36338028169013997</v>
      </c>
      <c r="C11401" s="6">
        <v>0.53272137626594596</v>
      </c>
    </row>
    <row r="11402" spans="1:3" s="7" customFormat="1" x14ac:dyDescent="0.2">
      <c r="A11402" s="6" t="str">
        <f>"CSPG4P11"</f>
        <v>CSPG4P11</v>
      </c>
      <c r="B11402" s="6">
        <v>0.36363636363636298</v>
      </c>
      <c r="C11402" s="6">
        <v>0.53272137626594596</v>
      </c>
    </row>
    <row r="11403" spans="1:3" s="7" customFormat="1" x14ac:dyDescent="0.2">
      <c r="A11403" s="6" t="str">
        <f>"SSR4"</f>
        <v>SSR4</v>
      </c>
      <c r="B11403" s="6">
        <v>0.36363636363636298</v>
      </c>
      <c r="C11403" s="6">
        <v>0.53272137626594596</v>
      </c>
    </row>
    <row r="11404" spans="1:3" s="7" customFormat="1" x14ac:dyDescent="0.2">
      <c r="A11404" s="6" t="str">
        <f>"ACIN1"</f>
        <v>ACIN1</v>
      </c>
      <c r="B11404" s="6">
        <v>0.36363636363636298</v>
      </c>
      <c r="C11404" s="6">
        <v>0.53272137626594596</v>
      </c>
    </row>
    <row r="11405" spans="1:3" s="7" customFormat="1" x14ac:dyDescent="0.2">
      <c r="A11405" s="6" t="str">
        <f>"AC005324.3"</f>
        <v>AC005324.3</v>
      </c>
      <c r="B11405" s="6">
        <v>0.36363636363636298</v>
      </c>
      <c r="C11405" s="6">
        <v>0.53272137626594596</v>
      </c>
    </row>
    <row r="11406" spans="1:3" s="7" customFormat="1" x14ac:dyDescent="0.2">
      <c r="A11406" s="6" t="str">
        <f>"ROBO4"</f>
        <v>ROBO4</v>
      </c>
      <c r="B11406" s="6">
        <v>0.36363636363636298</v>
      </c>
      <c r="C11406" s="6">
        <v>0.53272137626594596</v>
      </c>
    </row>
    <row r="11407" spans="1:3" s="7" customFormat="1" x14ac:dyDescent="0.2">
      <c r="A11407" s="6" t="str">
        <f>"PPM1B"</f>
        <v>PPM1B</v>
      </c>
      <c r="B11407" s="6">
        <v>0.36363636363636298</v>
      </c>
      <c r="C11407" s="6">
        <v>0.53272137626594596</v>
      </c>
    </row>
    <row r="11408" spans="1:3" s="7" customFormat="1" x14ac:dyDescent="0.2">
      <c r="A11408" s="6" t="str">
        <f>"RBBP5"</f>
        <v>RBBP5</v>
      </c>
      <c r="B11408" s="6">
        <v>0.36363636363636298</v>
      </c>
      <c r="C11408" s="6">
        <v>0.53272137626594596</v>
      </c>
    </row>
    <row r="11409" spans="1:3" s="7" customFormat="1" x14ac:dyDescent="0.2">
      <c r="A11409" s="6" t="str">
        <f>"TIGD3"</f>
        <v>TIGD3</v>
      </c>
      <c r="B11409" s="6">
        <v>0.36363636363636298</v>
      </c>
      <c r="C11409" s="6">
        <v>0.53272137626594596</v>
      </c>
    </row>
    <row r="11410" spans="1:3" s="7" customFormat="1" x14ac:dyDescent="0.2">
      <c r="A11410" s="6" t="str">
        <f>"LMOD1"</f>
        <v>LMOD1</v>
      </c>
      <c r="B11410" s="6">
        <v>0.36363636363636298</v>
      </c>
      <c r="C11410" s="6">
        <v>0.53272137626594596</v>
      </c>
    </row>
    <row r="11411" spans="1:3" s="7" customFormat="1" x14ac:dyDescent="0.2">
      <c r="A11411" s="6" t="str">
        <f>"AFG3L2"</f>
        <v>AFG3L2</v>
      </c>
      <c r="B11411" s="6">
        <v>0.36399999999999999</v>
      </c>
      <c r="C11411" s="6">
        <v>0.53316063447550599</v>
      </c>
    </row>
    <row r="11412" spans="1:3" s="7" customFormat="1" x14ac:dyDescent="0.2">
      <c r="A11412" s="6" t="str">
        <f>"CA3-AS1"</f>
        <v>CA3-AS1</v>
      </c>
      <c r="B11412" s="6">
        <v>0.36399999999999999</v>
      </c>
      <c r="C11412" s="6">
        <v>0.53316063447550599</v>
      </c>
    </row>
    <row r="11413" spans="1:3" s="7" customFormat="1" x14ac:dyDescent="0.2">
      <c r="A11413" s="6" t="str">
        <f>"GSR"</f>
        <v>GSR</v>
      </c>
      <c r="B11413" s="6">
        <v>0.364635364635364</v>
      </c>
      <c r="C11413" s="6">
        <v>0.53329676973359097</v>
      </c>
    </row>
    <row r="11414" spans="1:3" s="7" customFormat="1" x14ac:dyDescent="0.2">
      <c r="A11414" s="6" t="str">
        <f>"PGS1"</f>
        <v>PGS1</v>
      </c>
      <c r="B11414" s="6">
        <v>0.364635364635364</v>
      </c>
      <c r="C11414" s="6">
        <v>0.53329676973359097</v>
      </c>
    </row>
    <row r="11415" spans="1:3" s="7" customFormat="1" x14ac:dyDescent="0.2">
      <c r="A11415" s="6" t="str">
        <f>"ABHD16A"</f>
        <v>ABHD16A</v>
      </c>
      <c r="B11415" s="6">
        <v>0.364635364635364</v>
      </c>
      <c r="C11415" s="6">
        <v>0.53329676973359097</v>
      </c>
    </row>
    <row r="11416" spans="1:3" s="7" customFormat="1" x14ac:dyDescent="0.2">
      <c r="A11416" s="6" t="str">
        <f>"AC124016.1"</f>
        <v>AC124016.1</v>
      </c>
      <c r="B11416" s="6">
        <v>0.36436436436436398</v>
      </c>
      <c r="C11416" s="6">
        <v>0.53329676973359097</v>
      </c>
    </row>
    <row r="11417" spans="1:3" s="7" customFormat="1" x14ac:dyDescent="0.2">
      <c r="A11417" s="6" t="str">
        <f>"MAPK11"</f>
        <v>MAPK11</v>
      </c>
      <c r="B11417" s="6">
        <v>0.364635364635364</v>
      </c>
      <c r="C11417" s="6">
        <v>0.53329676973359097</v>
      </c>
    </row>
    <row r="11418" spans="1:3" s="7" customFormat="1" x14ac:dyDescent="0.2">
      <c r="A11418" s="6" t="str">
        <f>"ZNF574"</f>
        <v>ZNF574</v>
      </c>
      <c r="B11418" s="6">
        <v>0.364635364635364</v>
      </c>
      <c r="C11418" s="6">
        <v>0.53329676973359097</v>
      </c>
    </row>
    <row r="11419" spans="1:3" s="7" customFormat="1" x14ac:dyDescent="0.2">
      <c r="A11419" s="6" t="str">
        <f>"MAP3K14-AS1"</f>
        <v>MAP3K14-AS1</v>
      </c>
      <c r="B11419" s="6">
        <v>0.364635364635364</v>
      </c>
      <c r="C11419" s="6">
        <v>0.53329676973359097</v>
      </c>
    </row>
    <row r="11420" spans="1:3" s="7" customFormat="1" x14ac:dyDescent="0.2">
      <c r="A11420" s="6" t="str">
        <f>"DSEL"</f>
        <v>DSEL</v>
      </c>
      <c r="B11420" s="6">
        <v>0.364635364635364</v>
      </c>
      <c r="C11420" s="6">
        <v>0.53329676973359097</v>
      </c>
    </row>
    <row r="11421" spans="1:3" s="7" customFormat="1" x14ac:dyDescent="0.2">
      <c r="A11421" s="6" t="str">
        <f>"ZNF544"</f>
        <v>ZNF544</v>
      </c>
      <c r="B11421" s="6">
        <v>0.364635364635364</v>
      </c>
      <c r="C11421" s="6">
        <v>0.53329676973359097</v>
      </c>
    </row>
    <row r="11422" spans="1:3" s="7" customFormat="1" x14ac:dyDescent="0.2">
      <c r="A11422" s="6" t="str">
        <f>"FOXO4"</f>
        <v>FOXO4</v>
      </c>
      <c r="B11422" s="6">
        <v>0.364635364635364</v>
      </c>
      <c r="C11422" s="6">
        <v>0.53329676973359097</v>
      </c>
    </row>
    <row r="11423" spans="1:3" s="7" customFormat="1" x14ac:dyDescent="0.2">
      <c r="A11423" s="6" t="str">
        <f>"UTP15"</f>
        <v>UTP15</v>
      </c>
      <c r="B11423" s="6">
        <v>0.364635364635364</v>
      </c>
      <c r="C11423" s="6">
        <v>0.53329676973359097</v>
      </c>
    </row>
    <row r="11424" spans="1:3" s="7" customFormat="1" x14ac:dyDescent="0.2">
      <c r="A11424" s="6" t="str">
        <f>"ITM2C"</f>
        <v>ITM2C</v>
      </c>
      <c r="B11424" s="6">
        <v>0.364635364635364</v>
      </c>
      <c r="C11424" s="6">
        <v>0.53329676973359097</v>
      </c>
    </row>
    <row r="11425" spans="1:3" s="7" customFormat="1" x14ac:dyDescent="0.2">
      <c r="A11425" s="6" t="str">
        <f>"TTC28-AS1"</f>
        <v>TTC28-AS1</v>
      </c>
      <c r="B11425" s="6">
        <v>0.364635364635364</v>
      </c>
      <c r="C11425" s="6">
        <v>0.53329676973359097</v>
      </c>
    </row>
    <row r="11426" spans="1:3" s="7" customFormat="1" x14ac:dyDescent="0.2">
      <c r="A11426" s="6" t="str">
        <f>"ARHGAP6"</f>
        <v>ARHGAP6</v>
      </c>
      <c r="B11426" s="6">
        <v>0.364635364635364</v>
      </c>
      <c r="C11426" s="6">
        <v>0.53329676973359097</v>
      </c>
    </row>
    <row r="11427" spans="1:3" s="7" customFormat="1" x14ac:dyDescent="0.2">
      <c r="A11427" s="6" t="str">
        <f>"PITHD1"</f>
        <v>PITHD1</v>
      </c>
      <c r="B11427" s="6">
        <v>0.364635364635364</v>
      </c>
      <c r="C11427" s="6">
        <v>0.53329676973359097</v>
      </c>
    </row>
    <row r="11428" spans="1:3" s="7" customFormat="1" x14ac:dyDescent="0.2">
      <c r="A11428" s="6" t="str">
        <f>"FHIT"</f>
        <v>FHIT</v>
      </c>
      <c r="B11428" s="6">
        <v>0.364635364635364</v>
      </c>
      <c r="C11428" s="6">
        <v>0.53329676973359097</v>
      </c>
    </row>
    <row r="11429" spans="1:3" s="7" customFormat="1" x14ac:dyDescent="0.2">
      <c r="A11429" s="6" t="str">
        <f>"DIS3"</f>
        <v>DIS3</v>
      </c>
      <c r="B11429" s="6">
        <v>0.364635364635364</v>
      </c>
      <c r="C11429" s="6">
        <v>0.53329676973359097</v>
      </c>
    </row>
    <row r="11430" spans="1:3" s="7" customFormat="1" x14ac:dyDescent="0.2">
      <c r="A11430" s="6" t="str">
        <f>"DHDDS"</f>
        <v>DHDDS</v>
      </c>
      <c r="B11430" s="6">
        <v>0.36563436563436502</v>
      </c>
      <c r="C11430" s="6">
        <v>0.53410354721314302</v>
      </c>
    </row>
    <row r="11431" spans="1:3" s="7" customFormat="1" x14ac:dyDescent="0.2">
      <c r="A11431" s="6" t="str">
        <f>"AGAP7P"</f>
        <v>AGAP7P</v>
      </c>
      <c r="B11431" s="6">
        <v>0.36563436563436502</v>
      </c>
      <c r="C11431" s="6">
        <v>0.53410354721314302</v>
      </c>
    </row>
    <row r="11432" spans="1:3" s="7" customFormat="1" x14ac:dyDescent="0.2">
      <c r="A11432" s="6" t="str">
        <f>"CLN8"</f>
        <v>CLN8</v>
      </c>
      <c r="B11432" s="6">
        <v>0.36563436563436502</v>
      </c>
      <c r="C11432" s="6">
        <v>0.53410354721314302</v>
      </c>
    </row>
    <row r="11433" spans="1:3" s="7" customFormat="1" x14ac:dyDescent="0.2">
      <c r="A11433" s="6" t="str">
        <f>"TAF15"</f>
        <v>TAF15</v>
      </c>
      <c r="B11433" s="6">
        <v>0.36563436563436502</v>
      </c>
      <c r="C11433" s="6">
        <v>0.53410354721314302</v>
      </c>
    </row>
    <row r="11434" spans="1:3" s="7" customFormat="1" x14ac:dyDescent="0.2">
      <c r="A11434" s="6" t="str">
        <f>"COPG2"</f>
        <v>COPG2</v>
      </c>
      <c r="B11434" s="6">
        <v>0.36563436563436502</v>
      </c>
      <c r="C11434" s="6">
        <v>0.53410354721314302</v>
      </c>
    </row>
    <row r="11435" spans="1:3" s="7" customFormat="1" x14ac:dyDescent="0.2">
      <c r="A11435" s="6" t="str">
        <f>"BNC1"</f>
        <v>BNC1</v>
      </c>
      <c r="B11435" s="6">
        <v>0.36563436563436502</v>
      </c>
      <c r="C11435" s="6">
        <v>0.53410354721314302</v>
      </c>
    </row>
    <row r="11436" spans="1:3" s="7" customFormat="1" x14ac:dyDescent="0.2">
      <c r="A11436" s="6" t="str">
        <f>"DUSP9"</f>
        <v>DUSP9</v>
      </c>
      <c r="B11436" s="6">
        <v>0.36563436563436502</v>
      </c>
      <c r="C11436" s="6">
        <v>0.53410354721314302</v>
      </c>
    </row>
    <row r="11437" spans="1:3" s="7" customFormat="1" x14ac:dyDescent="0.2">
      <c r="A11437" s="6" t="str">
        <f>"SNHG25"</f>
        <v>SNHG25</v>
      </c>
      <c r="B11437" s="6">
        <v>0.36563436563436502</v>
      </c>
      <c r="C11437" s="6">
        <v>0.53410354721314302</v>
      </c>
    </row>
    <row r="11438" spans="1:3" s="7" customFormat="1" x14ac:dyDescent="0.2">
      <c r="A11438" s="6" t="str">
        <f>"AC010197.2"</f>
        <v>AC010197.2</v>
      </c>
      <c r="B11438" s="6">
        <v>0.36563436563436502</v>
      </c>
      <c r="C11438" s="6">
        <v>0.53410354721314302</v>
      </c>
    </row>
    <row r="11439" spans="1:3" s="7" customFormat="1" x14ac:dyDescent="0.2">
      <c r="A11439" s="6" t="str">
        <f>"PTBP3"</f>
        <v>PTBP3</v>
      </c>
      <c r="B11439" s="6">
        <v>0.36563436563436502</v>
      </c>
      <c r="C11439" s="6">
        <v>0.53410354721314302</v>
      </c>
    </row>
    <row r="11440" spans="1:3" s="7" customFormat="1" x14ac:dyDescent="0.2">
      <c r="A11440" s="6" t="str">
        <f>"EPHA4"</f>
        <v>EPHA4</v>
      </c>
      <c r="B11440" s="6">
        <v>0.36563436563436502</v>
      </c>
      <c r="C11440" s="6">
        <v>0.53410354721314302</v>
      </c>
    </row>
    <row r="11441" spans="1:3" s="7" customFormat="1" x14ac:dyDescent="0.2">
      <c r="A11441" s="6" t="str">
        <f>"TXLNB"</f>
        <v>TXLNB</v>
      </c>
      <c r="B11441" s="6">
        <v>0.36563436563436502</v>
      </c>
      <c r="C11441" s="6">
        <v>0.53410354721314302</v>
      </c>
    </row>
    <row r="11442" spans="1:3" s="7" customFormat="1" x14ac:dyDescent="0.2">
      <c r="A11442" s="6" t="str">
        <f>"CEP83"</f>
        <v>CEP83</v>
      </c>
      <c r="B11442" s="6">
        <v>0.36563436563436502</v>
      </c>
      <c r="C11442" s="6">
        <v>0.53410354721314302</v>
      </c>
    </row>
    <row r="11443" spans="1:3" s="7" customFormat="1" x14ac:dyDescent="0.2">
      <c r="A11443" s="6" t="str">
        <f>"LZTS2"</f>
        <v>LZTS2</v>
      </c>
      <c r="B11443" s="6">
        <v>0.36563436563436502</v>
      </c>
      <c r="C11443" s="6">
        <v>0.53410354721314302</v>
      </c>
    </row>
    <row r="11444" spans="1:3" s="7" customFormat="1" x14ac:dyDescent="0.2">
      <c r="A11444" s="6" t="str">
        <f>"MIPEPP3"</f>
        <v>MIPEPP3</v>
      </c>
      <c r="B11444" s="6">
        <v>0.36599999999999999</v>
      </c>
      <c r="C11444" s="6">
        <v>0.53459092895219695</v>
      </c>
    </row>
    <row r="11445" spans="1:3" s="7" customFormat="1" x14ac:dyDescent="0.2">
      <c r="A11445" s="6" t="str">
        <f>"SLC9A3R2"</f>
        <v>SLC9A3R2</v>
      </c>
      <c r="B11445" s="6">
        <v>0.36663336663336599</v>
      </c>
      <c r="C11445" s="6">
        <v>0.53486166447674699</v>
      </c>
    </row>
    <row r="11446" spans="1:3" s="7" customFormat="1" x14ac:dyDescent="0.2">
      <c r="A11446" s="6" t="str">
        <f>"ZNF486"</f>
        <v>ZNF486</v>
      </c>
      <c r="B11446" s="6">
        <v>0.36663336663336599</v>
      </c>
      <c r="C11446" s="6">
        <v>0.53486166447674699</v>
      </c>
    </row>
    <row r="11447" spans="1:3" s="7" customFormat="1" x14ac:dyDescent="0.2">
      <c r="A11447" s="6" t="str">
        <f>"C4orf19"</f>
        <v>C4orf19</v>
      </c>
      <c r="B11447" s="6">
        <v>0.36663336663336599</v>
      </c>
      <c r="C11447" s="6">
        <v>0.53486166447674699</v>
      </c>
    </row>
    <row r="11448" spans="1:3" s="7" customFormat="1" x14ac:dyDescent="0.2">
      <c r="A11448" s="6" t="str">
        <f>"BCAP29"</f>
        <v>BCAP29</v>
      </c>
      <c r="B11448" s="6">
        <v>0.36663336663336599</v>
      </c>
      <c r="C11448" s="6">
        <v>0.53486166447674699</v>
      </c>
    </row>
    <row r="11449" spans="1:3" s="7" customFormat="1" x14ac:dyDescent="0.2">
      <c r="A11449" s="6" t="str">
        <f>"FAM41C"</f>
        <v>FAM41C</v>
      </c>
      <c r="B11449" s="6">
        <v>0.36663336663336599</v>
      </c>
      <c r="C11449" s="6">
        <v>0.53486166447674699</v>
      </c>
    </row>
    <row r="11450" spans="1:3" s="7" customFormat="1" x14ac:dyDescent="0.2">
      <c r="A11450" s="6" t="str">
        <f>"SUPT3H"</f>
        <v>SUPT3H</v>
      </c>
      <c r="B11450" s="6">
        <v>0.36663336663336599</v>
      </c>
      <c r="C11450" s="6">
        <v>0.53486166447674699</v>
      </c>
    </row>
    <row r="11451" spans="1:3" s="7" customFormat="1" x14ac:dyDescent="0.2">
      <c r="A11451" s="6" t="str">
        <f>"CLOCK"</f>
        <v>CLOCK</v>
      </c>
      <c r="B11451" s="6">
        <v>0.36663336663336599</v>
      </c>
      <c r="C11451" s="6">
        <v>0.53486166447674699</v>
      </c>
    </row>
    <row r="11452" spans="1:3" s="7" customFormat="1" x14ac:dyDescent="0.2">
      <c r="A11452" s="6" t="str">
        <f>"PGAM5"</f>
        <v>PGAM5</v>
      </c>
      <c r="B11452" s="6">
        <v>0.36663336663336599</v>
      </c>
      <c r="C11452" s="6">
        <v>0.53486166447674699</v>
      </c>
    </row>
    <row r="11453" spans="1:3" s="7" customFormat="1" x14ac:dyDescent="0.2">
      <c r="A11453" s="6" t="str">
        <f>"NCKAP1"</f>
        <v>NCKAP1</v>
      </c>
      <c r="B11453" s="6">
        <v>0.36663336663336599</v>
      </c>
      <c r="C11453" s="6">
        <v>0.53486166447674699</v>
      </c>
    </row>
    <row r="11454" spans="1:3" s="7" customFormat="1" x14ac:dyDescent="0.2">
      <c r="A11454" s="6" t="str">
        <f>"AC092119.2"</f>
        <v>AC092119.2</v>
      </c>
      <c r="B11454" s="6">
        <v>0.36622583926754798</v>
      </c>
      <c r="C11454" s="6">
        <v>0.53486166447674699</v>
      </c>
    </row>
    <row r="11455" spans="1:3" s="7" customFormat="1" x14ac:dyDescent="0.2">
      <c r="A11455" s="6" t="str">
        <f>"RLN1"</f>
        <v>RLN1</v>
      </c>
      <c r="B11455" s="6">
        <v>0.366296670030272</v>
      </c>
      <c r="C11455" s="6">
        <v>0.53486166447674699</v>
      </c>
    </row>
    <row r="11456" spans="1:3" s="7" customFormat="1" x14ac:dyDescent="0.2">
      <c r="A11456" s="6" t="str">
        <f>"AC073107.1"</f>
        <v>AC073107.1</v>
      </c>
      <c r="B11456" s="6">
        <v>0.36663336663336599</v>
      </c>
      <c r="C11456" s="6">
        <v>0.53486166447674699</v>
      </c>
    </row>
    <row r="11457" spans="1:3" s="7" customFormat="1" x14ac:dyDescent="0.2">
      <c r="A11457" s="6" t="str">
        <f>"CLIC5"</f>
        <v>CLIC5</v>
      </c>
      <c r="B11457" s="6">
        <v>0.36663336663336599</v>
      </c>
      <c r="C11457" s="6">
        <v>0.53486166447674699</v>
      </c>
    </row>
    <row r="11458" spans="1:3" s="7" customFormat="1" x14ac:dyDescent="0.2">
      <c r="A11458" s="6" t="str">
        <f>"AC134312.5"</f>
        <v>AC134312.5</v>
      </c>
      <c r="B11458" s="6">
        <v>0.36663336663336599</v>
      </c>
      <c r="C11458" s="6">
        <v>0.53486166447674699</v>
      </c>
    </row>
    <row r="11459" spans="1:3" s="7" customFormat="1" x14ac:dyDescent="0.2">
      <c r="A11459" s="6" t="str">
        <f>"RRAGA"</f>
        <v>RRAGA</v>
      </c>
      <c r="B11459" s="6">
        <v>0.36699999999999999</v>
      </c>
      <c r="C11459" s="6">
        <v>0.53534979926688697</v>
      </c>
    </row>
    <row r="11460" spans="1:3" s="7" customFormat="1" x14ac:dyDescent="0.2">
      <c r="A11460" s="6" t="str">
        <f>"GEMIN8"</f>
        <v>GEMIN8</v>
      </c>
      <c r="B11460" s="6">
        <v>0.36763236763236701</v>
      </c>
      <c r="C11460" s="6">
        <v>0.53557111414689995</v>
      </c>
    </row>
    <row r="11461" spans="1:3" s="7" customFormat="1" x14ac:dyDescent="0.2">
      <c r="A11461" s="6" t="str">
        <f>"ZNF552"</f>
        <v>ZNF552</v>
      </c>
      <c r="B11461" s="6">
        <v>0.36763236763236701</v>
      </c>
      <c r="C11461" s="6">
        <v>0.53557111414689995</v>
      </c>
    </row>
    <row r="11462" spans="1:3" s="7" customFormat="1" x14ac:dyDescent="0.2">
      <c r="A11462" s="6" t="str">
        <f>"CA5BP1"</f>
        <v>CA5BP1</v>
      </c>
      <c r="B11462" s="6">
        <v>0.36763236763236701</v>
      </c>
      <c r="C11462" s="6">
        <v>0.53557111414689995</v>
      </c>
    </row>
    <row r="11463" spans="1:3" s="7" customFormat="1" x14ac:dyDescent="0.2">
      <c r="A11463" s="6" t="str">
        <f>"RPS6KA1"</f>
        <v>RPS6KA1</v>
      </c>
      <c r="B11463" s="6">
        <v>0.36763236763236701</v>
      </c>
      <c r="C11463" s="6">
        <v>0.53557111414689995</v>
      </c>
    </row>
    <row r="11464" spans="1:3" s="7" customFormat="1" x14ac:dyDescent="0.2">
      <c r="A11464" s="6" t="str">
        <f>"NSA2"</f>
        <v>NSA2</v>
      </c>
      <c r="B11464" s="6">
        <v>0.36763236763236701</v>
      </c>
      <c r="C11464" s="6">
        <v>0.53557111414689995</v>
      </c>
    </row>
    <row r="11465" spans="1:3" s="7" customFormat="1" x14ac:dyDescent="0.2">
      <c r="A11465" s="6" t="str">
        <f>"SKP2"</f>
        <v>SKP2</v>
      </c>
      <c r="B11465" s="6">
        <v>0.36763236763236701</v>
      </c>
      <c r="C11465" s="6">
        <v>0.53557111414689995</v>
      </c>
    </row>
    <row r="11466" spans="1:3" s="7" customFormat="1" x14ac:dyDescent="0.2">
      <c r="A11466" s="6" t="str">
        <f>"ANO4"</f>
        <v>ANO4</v>
      </c>
      <c r="B11466" s="6">
        <v>0.36763236763236701</v>
      </c>
      <c r="C11466" s="6">
        <v>0.53557111414689995</v>
      </c>
    </row>
    <row r="11467" spans="1:3" s="7" customFormat="1" x14ac:dyDescent="0.2">
      <c r="A11467" s="6" t="str">
        <f>"AC020917.3"</f>
        <v>AC020917.3</v>
      </c>
      <c r="B11467" s="6">
        <v>0.36736736736736703</v>
      </c>
      <c r="C11467" s="6">
        <v>0.53557111414689995</v>
      </c>
    </row>
    <row r="11468" spans="1:3" s="7" customFormat="1" x14ac:dyDescent="0.2">
      <c r="A11468" s="6" t="str">
        <f>"DUOX2"</f>
        <v>DUOX2</v>
      </c>
      <c r="B11468" s="6">
        <v>0.36763236763236701</v>
      </c>
      <c r="C11468" s="6">
        <v>0.53557111414689995</v>
      </c>
    </row>
    <row r="11469" spans="1:3" s="7" customFormat="1" x14ac:dyDescent="0.2">
      <c r="A11469" s="6" t="str">
        <f>"AC073257.1"</f>
        <v>AC073257.1</v>
      </c>
      <c r="B11469" s="6">
        <v>0.36763236763236701</v>
      </c>
      <c r="C11469" s="6">
        <v>0.53557111414689995</v>
      </c>
    </row>
    <row r="11470" spans="1:3" s="7" customFormat="1" x14ac:dyDescent="0.2">
      <c r="A11470" s="6" t="str">
        <f>"ROBO2"</f>
        <v>ROBO2</v>
      </c>
      <c r="B11470" s="6">
        <v>0.36763236763236701</v>
      </c>
      <c r="C11470" s="6">
        <v>0.53557111414689995</v>
      </c>
    </row>
    <row r="11471" spans="1:3" s="7" customFormat="1" x14ac:dyDescent="0.2">
      <c r="A11471" s="6" t="str">
        <f>"RPGR"</f>
        <v>RPGR</v>
      </c>
      <c r="B11471" s="6">
        <v>0.36763236763236701</v>
      </c>
      <c r="C11471" s="6">
        <v>0.53557111414689995</v>
      </c>
    </row>
    <row r="11472" spans="1:3" s="7" customFormat="1" x14ac:dyDescent="0.2">
      <c r="A11472" s="6" t="str">
        <f>"AL157834.1"</f>
        <v>AL157834.1</v>
      </c>
      <c r="B11472" s="6">
        <v>0.36736736736736703</v>
      </c>
      <c r="C11472" s="6">
        <v>0.53557111414689995</v>
      </c>
    </row>
    <row r="11473" spans="1:3" s="7" customFormat="1" x14ac:dyDescent="0.2">
      <c r="A11473" s="6" t="str">
        <f>"SMC1A"</f>
        <v>SMC1A</v>
      </c>
      <c r="B11473" s="6">
        <v>0.36763236763236701</v>
      </c>
      <c r="C11473" s="6">
        <v>0.53557111414689995</v>
      </c>
    </row>
    <row r="11474" spans="1:3" s="7" customFormat="1" x14ac:dyDescent="0.2">
      <c r="A11474" s="6" t="str">
        <f>"ELOB"</f>
        <v>ELOB</v>
      </c>
      <c r="B11474" s="6">
        <v>0.36763236763236701</v>
      </c>
      <c r="C11474" s="6">
        <v>0.53557111414689995</v>
      </c>
    </row>
    <row r="11475" spans="1:3" s="7" customFormat="1" x14ac:dyDescent="0.2">
      <c r="A11475" s="6" t="str">
        <f>"AC027088.5"</f>
        <v>AC027088.5</v>
      </c>
      <c r="B11475" s="6">
        <v>0.36810431293881601</v>
      </c>
      <c r="C11475" s="6">
        <v>0.53621191271216395</v>
      </c>
    </row>
    <row r="11476" spans="1:3" s="7" customFormat="1" x14ac:dyDescent="0.2">
      <c r="A11476" s="6" t="str">
        <f>"SGTB"</f>
        <v>SGTB</v>
      </c>
      <c r="B11476" s="6">
        <v>0.36863136863136797</v>
      </c>
      <c r="C11476" s="6">
        <v>0.53669901527044295</v>
      </c>
    </row>
    <row r="11477" spans="1:3" s="7" customFormat="1" x14ac:dyDescent="0.2">
      <c r="A11477" s="6" t="str">
        <f>"PGM1"</f>
        <v>PGM1</v>
      </c>
      <c r="B11477" s="6">
        <v>0.36863136863136797</v>
      </c>
      <c r="C11477" s="6">
        <v>0.53669901527044295</v>
      </c>
    </row>
    <row r="11478" spans="1:3" s="7" customFormat="1" x14ac:dyDescent="0.2">
      <c r="A11478" s="6" t="str">
        <f>"CBY2"</f>
        <v>CBY2</v>
      </c>
      <c r="B11478" s="6">
        <v>0.36863136863136797</v>
      </c>
      <c r="C11478" s="6">
        <v>0.53669901527044295</v>
      </c>
    </row>
    <row r="11479" spans="1:3" s="7" customFormat="1" x14ac:dyDescent="0.2">
      <c r="A11479" s="6" t="str">
        <f>"PIGN"</f>
        <v>PIGN</v>
      </c>
      <c r="B11479" s="6">
        <v>0.36863136863136797</v>
      </c>
      <c r="C11479" s="6">
        <v>0.53669901527044295</v>
      </c>
    </row>
    <row r="11480" spans="1:3" s="7" customFormat="1" x14ac:dyDescent="0.2">
      <c r="A11480" s="6" t="str">
        <f>"EGOT"</f>
        <v>EGOT</v>
      </c>
      <c r="B11480" s="6">
        <v>0.36863136863136797</v>
      </c>
      <c r="C11480" s="6">
        <v>0.53669901527044295</v>
      </c>
    </row>
    <row r="11481" spans="1:3" s="7" customFormat="1" x14ac:dyDescent="0.2">
      <c r="A11481" s="6" t="str">
        <f>"AMT"</f>
        <v>AMT</v>
      </c>
      <c r="B11481" s="6">
        <v>0.36863136863136797</v>
      </c>
      <c r="C11481" s="6">
        <v>0.53669901527044295</v>
      </c>
    </row>
    <row r="11482" spans="1:3" s="7" customFormat="1" x14ac:dyDescent="0.2">
      <c r="A11482" s="6" t="str">
        <f>"MYBPC1"</f>
        <v>MYBPC1</v>
      </c>
      <c r="B11482" s="6">
        <v>0.36963036963036899</v>
      </c>
      <c r="C11482" s="6">
        <v>0.53749799878214699</v>
      </c>
    </row>
    <row r="11483" spans="1:3" s="7" customFormat="1" x14ac:dyDescent="0.2">
      <c r="A11483" s="6" t="str">
        <f>"SEC22B4P"</f>
        <v>SEC22B4P</v>
      </c>
      <c r="B11483" s="6">
        <v>0.36930455635491599</v>
      </c>
      <c r="C11483" s="6">
        <v>0.53749799878214699</v>
      </c>
    </row>
    <row r="11484" spans="1:3" s="7" customFormat="1" x14ac:dyDescent="0.2">
      <c r="A11484" s="6" t="str">
        <f>"HTR3A"</f>
        <v>HTR3A</v>
      </c>
      <c r="B11484" s="6">
        <v>0.36963036963036899</v>
      </c>
      <c r="C11484" s="6">
        <v>0.53749799878214699</v>
      </c>
    </row>
    <row r="11485" spans="1:3" s="7" customFormat="1" x14ac:dyDescent="0.2">
      <c r="A11485" s="6" t="str">
        <f>"RASAL2"</f>
        <v>RASAL2</v>
      </c>
      <c r="B11485" s="6">
        <v>0.36963036963036899</v>
      </c>
      <c r="C11485" s="6">
        <v>0.53749799878214699</v>
      </c>
    </row>
    <row r="11486" spans="1:3" s="7" customFormat="1" x14ac:dyDescent="0.2">
      <c r="A11486" s="6" t="str">
        <f>"PTPRS"</f>
        <v>PTPRS</v>
      </c>
      <c r="B11486" s="6">
        <v>0.36963036963036899</v>
      </c>
      <c r="C11486" s="6">
        <v>0.53749799878214699</v>
      </c>
    </row>
    <row r="11487" spans="1:3" s="7" customFormat="1" x14ac:dyDescent="0.2">
      <c r="A11487" s="6" t="str">
        <f>"CTSW"</f>
        <v>CTSW</v>
      </c>
      <c r="B11487" s="6">
        <v>0.36963036963036899</v>
      </c>
      <c r="C11487" s="6">
        <v>0.53749799878214699</v>
      </c>
    </row>
    <row r="11488" spans="1:3" s="7" customFormat="1" x14ac:dyDescent="0.2">
      <c r="A11488" s="6" t="str">
        <f>"XKRX"</f>
        <v>XKRX</v>
      </c>
      <c r="B11488" s="6">
        <v>0.36963036963036899</v>
      </c>
      <c r="C11488" s="6">
        <v>0.53749799878214699</v>
      </c>
    </row>
    <row r="11489" spans="1:3" s="7" customFormat="1" x14ac:dyDescent="0.2">
      <c r="A11489" s="6" t="str">
        <f>"PODN"</f>
        <v>PODN</v>
      </c>
      <c r="B11489" s="6">
        <v>0.36963036963036899</v>
      </c>
      <c r="C11489" s="6">
        <v>0.53749799878214699</v>
      </c>
    </row>
    <row r="11490" spans="1:3" s="7" customFormat="1" x14ac:dyDescent="0.2">
      <c r="A11490" s="6" t="str">
        <f>"UBAP2"</f>
        <v>UBAP2</v>
      </c>
      <c r="B11490" s="6">
        <v>0.36963036963036899</v>
      </c>
      <c r="C11490" s="6">
        <v>0.53749799878214699</v>
      </c>
    </row>
    <row r="11491" spans="1:3" s="7" customFormat="1" x14ac:dyDescent="0.2">
      <c r="A11491" s="6" t="str">
        <f>"AC109460.3"</f>
        <v>AC109460.3</v>
      </c>
      <c r="B11491" s="6">
        <v>0.36963036963036899</v>
      </c>
      <c r="C11491" s="6">
        <v>0.53749799878214699</v>
      </c>
    </row>
    <row r="11492" spans="1:3" s="7" customFormat="1" x14ac:dyDescent="0.2">
      <c r="A11492" s="6" t="str">
        <f>"ANKLE2"</f>
        <v>ANKLE2</v>
      </c>
      <c r="B11492" s="6">
        <v>0.36963036963036899</v>
      </c>
      <c r="C11492" s="6">
        <v>0.53749799878214699</v>
      </c>
    </row>
    <row r="11493" spans="1:3" s="7" customFormat="1" x14ac:dyDescent="0.2">
      <c r="A11493" s="6" t="str">
        <f>"TUBB8P8"</f>
        <v>TUBB8P8</v>
      </c>
      <c r="B11493" s="6">
        <v>0.36963036963036899</v>
      </c>
      <c r="C11493" s="6">
        <v>0.53749799878214699</v>
      </c>
    </row>
    <row r="11494" spans="1:3" s="7" customFormat="1" x14ac:dyDescent="0.2">
      <c r="A11494" s="6" t="str">
        <f>"CKB"</f>
        <v>CKB</v>
      </c>
      <c r="B11494" s="6">
        <v>0.36963036963036899</v>
      </c>
      <c r="C11494" s="6">
        <v>0.53749799878214699</v>
      </c>
    </row>
    <row r="11495" spans="1:3" s="7" customFormat="1" x14ac:dyDescent="0.2">
      <c r="A11495" s="6" t="str">
        <f>"HMGB1P1"</f>
        <v>HMGB1P1</v>
      </c>
      <c r="B11495" s="6">
        <v>0.36963036963036899</v>
      </c>
      <c r="C11495" s="6">
        <v>0.53749799878214699</v>
      </c>
    </row>
    <row r="11496" spans="1:3" s="7" customFormat="1" x14ac:dyDescent="0.2">
      <c r="A11496" s="6" t="str">
        <f>"AC002059.1"</f>
        <v>AC002059.1</v>
      </c>
      <c r="B11496" s="6">
        <v>0.37</v>
      </c>
      <c r="C11496" s="6">
        <v>0.53794189283228899</v>
      </c>
    </row>
    <row r="11497" spans="1:3" s="7" customFormat="1" x14ac:dyDescent="0.2">
      <c r="A11497" s="6" t="str">
        <f>"AC005258.1"</f>
        <v>AC005258.1</v>
      </c>
      <c r="B11497" s="6">
        <v>0.37</v>
      </c>
      <c r="C11497" s="6">
        <v>0.53794189283228899</v>
      </c>
    </row>
    <row r="11498" spans="1:3" s="7" customFormat="1" x14ac:dyDescent="0.2">
      <c r="A11498" s="6" t="str">
        <f>"TRPS1"</f>
        <v>TRPS1</v>
      </c>
      <c r="B11498" s="6">
        <v>0.37062937062937001</v>
      </c>
      <c r="C11498" s="6">
        <v>0.538295038295038</v>
      </c>
    </row>
    <row r="11499" spans="1:3" s="7" customFormat="1" x14ac:dyDescent="0.2">
      <c r="A11499" s="6" t="str">
        <f>"IGLV1-44"</f>
        <v>IGLV1-44</v>
      </c>
      <c r="B11499" s="6">
        <v>0.37062937062937001</v>
      </c>
      <c r="C11499" s="6">
        <v>0.538295038295038</v>
      </c>
    </row>
    <row r="11500" spans="1:3" s="7" customFormat="1" x14ac:dyDescent="0.2">
      <c r="A11500" s="6" t="str">
        <f>"ITGA3"</f>
        <v>ITGA3</v>
      </c>
      <c r="B11500" s="6">
        <v>0.37062937062937001</v>
      </c>
      <c r="C11500" s="6">
        <v>0.538295038295038</v>
      </c>
    </row>
    <row r="11501" spans="1:3" s="7" customFormat="1" x14ac:dyDescent="0.2">
      <c r="A11501" s="6" t="str">
        <f>"ELMO3"</f>
        <v>ELMO3</v>
      </c>
      <c r="B11501" s="6">
        <v>0.37062937062937001</v>
      </c>
      <c r="C11501" s="6">
        <v>0.538295038295038</v>
      </c>
    </row>
    <row r="11502" spans="1:3" s="7" customFormat="1" x14ac:dyDescent="0.2">
      <c r="A11502" s="6" t="str">
        <f>"LASTR"</f>
        <v>LASTR</v>
      </c>
      <c r="B11502" s="6">
        <v>0.37062937062937001</v>
      </c>
      <c r="C11502" s="6">
        <v>0.538295038295038</v>
      </c>
    </row>
    <row r="11503" spans="1:3" s="7" customFormat="1" x14ac:dyDescent="0.2">
      <c r="A11503" s="6" t="str">
        <f>"CD36"</f>
        <v>CD36</v>
      </c>
      <c r="B11503" s="6">
        <v>0.37062937062937001</v>
      </c>
      <c r="C11503" s="6">
        <v>0.538295038295038</v>
      </c>
    </row>
    <row r="11504" spans="1:3" s="7" customFormat="1" x14ac:dyDescent="0.2">
      <c r="A11504" s="6" t="str">
        <f>"MAP4K1"</f>
        <v>MAP4K1</v>
      </c>
      <c r="B11504" s="6">
        <v>0.37062937062937001</v>
      </c>
      <c r="C11504" s="6">
        <v>0.538295038295038</v>
      </c>
    </row>
    <row r="11505" spans="1:3" s="7" customFormat="1" x14ac:dyDescent="0.2">
      <c r="A11505" s="6" t="str">
        <f>"CCDC112"</f>
        <v>CCDC112</v>
      </c>
      <c r="B11505" s="6">
        <v>0.37062937062937001</v>
      </c>
      <c r="C11505" s="6">
        <v>0.538295038295038</v>
      </c>
    </row>
    <row r="11506" spans="1:3" s="7" customFormat="1" x14ac:dyDescent="0.2">
      <c r="A11506" s="6" t="str">
        <f>"KRT8P45"</f>
        <v>KRT8P45</v>
      </c>
      <c r="B11506" s="6">
        <v>0.37033195020746801</v>
      </c>
      <c r="C11506" s="6">
        <v>0.538295038295038</v>
      </c>
    </row>
    <row r="11507" spans="1:3" s="7" customFormat="1" x14ac:dyDescent="0.2">
      <c r="A11507" s="6" t="str">
        <f>"ADAMTS9-AS2"</f>
        <v>ADAMTS9-AS2</v>
      </c>
      <c r="B11507" s="6">
        <v>0.37062937062937001</v>
      </c>
      <c r="C11507" s="6">
        <v>0.538295038295038</v>
      </c>
    </row>
    <row r="11508" spans="1:3" s="7" customFormat="1" x14ac:dyDescent="0.2">
      <c r="A11508" s="6" t="str">
        <f>"TCEAL9"</f>
        <v>TCEAL9</v>
      </c>
      <c r="B11508" s="6">
        <v>0.37062937062937001</v>
      </c>
      <c r="C11508" s="6">
        <v>0.538295038295038</v>
      </c>
    </row>
    <row r="11509" spans="1:3" s="7" customFormat="1" x14ac:dyDescent="0.2">
      <c r="A11509" s="6" t="str">
        <f>"LYSMD1"</f>
        <v>LYSMD1</v>
      </c>
      <c r="B11509" s="6">
        <v>0.37062937062937001</v>
      </c>
      <c r="C11509" s="6">
        <v>0.538295038295038</v>
      </c>
    </row>
    <row r="11510" spans="1:3" s="7" customFormat="1" x14ac:dyDescent="0.2">
      <c r="A11510" s="6" t="str">
        <f>"CFLAR-AS1"</f>
        <v>CFLAR-AS1</v>
      </c>
      <c r="B11510" s="6">
        <v>0.371</v>
      </c>
      <c r="C11510" s="6">
        <v>0.53878651490138096</v>
      </c>
    </row>
    <row r="11511" spans="1:3" s="7" customFormat="1" x14ac:dyDescent="0.2">
      <c r="A11511" s="6" t="str">
        <f>"CBX2"</f>
        <v>CBX2</v>
      </c>
      <c r="B11511" s="6">
        <v>0.37162837162837098</v>
      </c>
      <c r="C11511" s="6">
        <v>0.53890305425963902</v>
      </c>
    </row>
    <row r="11512" spans="1:3" s="7" customFormat="1" x14ac:dyDescent="0.2">
      <c r="A11512" s="6" t="str">
        <f>"GTF3C3"</f>
        <v>GTF3C3</v>
      </c>
      <c r="B11512" s="6">
        <v>0.37162837162837098</v>
      </c>
      <c r="C11512" s="6">
        <v>0.53890305425963902</v>
      </c>
    </row>
    <row r="11513" spans="1:3" s="7" customFormat="1" x14ac:dyDescent="0.2">
      <c r="A11513" s="6" t="str">
        <f>"NEXMIF"</f>
        <v>NEXMIF</v>
      </c>
      <c r="B11513" s="6">
        <v>0.37162837162837098</v>
      </c>
      <c r="C11513" s="6">
        <v>0.53890305425963902</v>
      </c>
    </row>
    <row r="11514" spans="1:3" s="7" customFormat="1" x14ac:dyDescent="0.2">
      <c r="A11514" s="6" t="str">
        <f>"AC073115.2"</f>
        <v>AC073115.2</v>
      </c>
      <c r="B11514" s="6">
        <v>0.37131230925737502</v>
      </c>
      <c r="C11514" s="6">
        <v>0.53890305425963902</v>
      </c>
    </row>
    <row r="11515" spans="1:3" s="7" customFormat="1" x14ac:dyDescent="0.2">
      <c r="A11515" s="6" t="str">
        <f>"OPA1"</f>
        <v>OPA1</v>
      </c>
      <c r="B11515" s="6">
        <v>0.37162837162837098</v>
      </c>
      <c r="C11515" s="6">
        <v>0.53890305425963902</v>
      </c>
    </row>
    <row r="11516" spans="1:3" s="7" customFormat="1" x14ac:dyDescent="0.2">
      <c r="A11516" s="6" t="str">
        <f>"SDF2L1"</f>
        <v>SDF2L1</v>
      </c>
      <c r="B11516" s="6">
        <v>0.37162837162837098</v>
      </c>
      <c r="C11516" s="6">
        <v>0.53890305425963902</v>
      </c>
    </row>
    <row r="11517" spans="1:3" s="7" customFormat="1" x14ac:dyDescent="0.2">
      <c r="A11517" s="6" t="str">
        <f>"AC090921.1"</f>
        <v>AC090921.1</v>
      </c>
      <c r="B11517" s="6">
        <v>0.37162837162837098</v>
      </c>
      <c r="C11517" s="6">
        <v>0.53890305425963902</v>
      </c>
    </row>
    <row r="11518" spans="1:3" s="7" customFormat="1" x14ac:dyDescent="0.2">
      <c r="A11518" s="6" t="str">
        <f>"SLC5A6"</f>
        <v>SLC5A6</v>
      </c>
      <c r="B11518" s="6">
        <v>0.37162837162837098</v>
      </c>
      <c r="C11518" s="6">
        <v>0.53890305425963902</v>
      </c>
    </row>
    <row r="11519" spans="1:3" s="7" customFormat="1" x14ac:dyDescent="0.2">
      <c r="A11519" s="6" t="str">
        <f>"AC016924.1"</f>
        <v>AC016924.1</v>
      </c>
      <c r="B11519" s="6">
        <v>0.371371371371371</v>
      </c>
      <c r="C11519" s="6">
        <v>0.53890305425963902</v>
      </c>
    </row>
    <row r="11520" spans="1:3" s="7" customFormat="1" x14ac:dyDescent="0.2">
      <c r="A11520" s="6" t="str">
        <f>"MEG8"</f>
        <v>MEG8</v>
      </c>
      <c r="B11520" s="6">
        <v>0.37162837162837098</v>
      </c>
      <c r="C11520" s="6">
        <v>0.53890305425963902</v>
      </c>
    </row>
    <row r="11521" spans="1:3" s="7" customFormat="1" x14ac:dyDescent="0.2">
      <c r="A11521" s="6" t="str">
        <f>"AC091151.1"</f>
        <v>AC091151.1</v>
      </c>
      <c r="B11521" s="6">
        <v>0.371371371371371</v>
      </c>
      <c r="C11521" s="6">
        <v>0.53890305425963902</v>
      </c>
    </row>
    <row r="11522" spans="1:3" s="7" customFormat="1" x14ac:dyDescent="0.2">
      <c r="A11522" s="6" t="str">
        <f>"USP11"</f>
        <v>USP11</v>
      </c>
      <c r="B11522" s="6">
        <v>0.37162837162837098</v>
      </c>
      <c r="C11522" s="6">
        <v>0.53890305425963902</v>
      </c>
    </row>
    <row r="11523" spans="1:3" s="7" customFormat="1" x14ac:dyDescent="0.2">
      <c r="A11523" s="6" t="str">
        <f>"AC104758.2"</f>
        <v>AC104758.2</v>
      </c>
      <c r="B11523" s="6">
        <v>0.37148594377510002</v>
      </c>
      <c r="C11523" s="6">
        <v>0.53890305425963902</v>
      </c>
    </row>
    <row r="11524" spans="1:3" s="7" customFormat="1" x14ac:dyDescent="0.2">
      <c r="A11524" s="6" t="str">
        <f>"XRN1"</f>
        <v>XRN1</v>
      </c>
      <c r="B11524" s="6">
        <v>0.37162837162837098</v>
      </c>
      <c r="C11524" s="6">
        <v>0.53890305425963902</v>
      </c>
    </row>
    <row r="11525" spans="1:3" s="7" customFormat="1" x14ac:dyDescent="0.2">
      <c r="A11525" s="6" t="str">
        <f>"AC139099.2"</f>
        <v>AC139099.2</v>
      </c>
      <c r="B11525" s="6">
        <v>0.37162837162837098</v>
      </c>
      <c r="C11525" s="6">
        <v>0.53890305425963902</v>
      </c>
    </row>
    <row r="11526" spans="1:3" s="7" customFormat="1" x14ac:dyDescent="0.2">
      <c r="A11526" s="6" t="str">
        <f>"ELOCP19"</f>
        <v>ELOCP19</v>
      </c>
      <c r="B11526" s="6">
        <v>0.371371371371371</v>
      </c>
      <c r="C11526" s="6">
        <v>0.53890305425963902</v>
      </c>
    </row>
    <row r="11527" spans="1:3" s="7" customFormat="1" x14ac:dyDescent="0.2">
      <c r="A11527" s="6" t="str">
        <f>"H4C11"</f>
        <v>H4C11</v>
      </c>
      <c r="B11527" s="6">
        <v>0.37162837162837098</v>
      </c>
      <c r="C11527" s="6">
        <v>0.53890305425963902</v>
      </c>
    </row>
    <row r="11528" spans="1:3" s="7" customFormat="1" x14ac:dyDescent="0.2">
      <c r="A11528" s="6" t="str">
        <f>"RN7SL181P"</f>
        <v>RN7SL181P</v>
      </c>
      <c r="B11528" s="6">
        <v>0.372</v>
      </c>
      <c r="C11528" s="6">
        <v>0.53934836918806295</v>
      </c>
    </row>
    <row r="11529" spans="1:3" s="7" customFormat="1" x14ac:dyDescent="0.2">
      <c r="A11529" s="6" t="str">
        <f>"PDZD8"</f>
        <v>PDZD8</v>
      </c>
      <c r="B11529" s="6">
        <v>0.372</v>
      </c>
      <c r="C11529" s="6">
        <v>0.53934836918806295</v>
      </c>
    </row>
    <row r="11530" spans="1:3" s="7" customFormat="1" x14ac:dyDescent="0.2">
      <c r="A11530" s="6" t="str">
        <f>"BEND3P1"</f>
        <v>BEND3P1</v>
      </c>
      <c r="B11530" s="6">
        <v>0.37211634904714103</v>
      </c>
      <c r="C11530" s="6">
        <v>0.53947026263977105</v>
      </c>
    </row>
    <row r="11531" spans="1:3" s="7" customFormat="1" x14ac:dyDescent="0.2">
      <c r="A11531" s="6" t="str">
        <f>"SEPTIN9"</f>
        <v>SEPTIN9</v>
      </c>
      <c r="B11531" s="6">
        <v>0.372627372627372</v>
      </c>
      <c r="C11531" s="6">
        <v>0.53993011756340703</v>
      </c>
    </row>
    <row r="11532" spans="1:3" s="7" customFormat="1" x14ac:dyDescent="0.2">
      <c r="A11532" s="6" t="str">
        <f>"JMJD8"</f>
        <v>JMJD8</v>
      </c>
      <c r="B11532" s="6">
        <v>0.372627372627372</v>
      </c>
      <c r="C11532" s="6">
        <v>0.53993011756340703</v>
      </c>
    </row>
    <row r="11533" spans="1:3" s="7" customFormat="1" x14ac:dyDescent="0.2">
      <c r="A11533" s="6" t="str">
        <f>"ATP2C1"</f>
        <v>ATP2C1</v>
      </c>
      <c r="B11533" s="6">
        <v>0.372627372627372</v>
      </c>
      <c r="C11533" s="6">
        <v>0.53993011756340703</v>
      </c>
    </row>
    <row r="11534" spans="1:3" s="7" customFormat="1" x14ac:dyDescent="0.2">
      <c r="A11534" s="6" t="str">
        <f>"VPS13A"</f>
        <v>VPS13A</v>
      </c>
      <c r="B11534" s="6">
        <v>0.372627372627372</v>
      </c>
      <c r="C11534" s="6">
        <v>0.53993011756340703</v>
      </c>
    </row>
    <row r="11535" spans="1:3" s="7" customFormat="1" x14ac:dyDescent="0.2">
      <c r="A11535" s="6" t="str">
        <f>"CCDC81"</f>
        <v>CCDC81</v>
      </c>
      <c r="B11535" s="6">
        <v>0.372627372627372</v>
      </c>
      <c r="C11535" s="6">
        <v>0.53993011756340703</v>
      </c>
    </row>
    <row r="11536" spans="1:3" s="7" customFormat="1" x14ac:dyDescent="0.2">
      <c r="A11536" s="6" t="str">
        <f>"RASA4CP"</f>
        <v>RASA4CP</v>
      </c>
      <c r="B11536" s="6">
        <v>0.372627372627372</v>
      </c>
      <c r="C11536" s="6">
        <v>0.53993011756340703</v>
      </c>
    </row>
    <row r="11537" spans="1:3" s="7" customFormat="1" x14ac:dyDescent="0.2">
      <c r="A11537" s="6" t="str">
        <f>"AL662907.2"</f>
        <v>AL662907.2</v>
      </c>
      <c r="B11537" s="6">
        <v>0.37274549098196302</v>
      </c>
      <c r="C11537" s="6">
        <v>0.54005445009297304</v>
      </c>
    </row>
    <row r="11538" spans="1:3" s="7" customFormat="1" x14ac:dyDescent="0.2">
      <c r="A11538" s="6" t="str">
        <f>"ANKRD34A"</f>
        <v>ANKRD34A</v>
      </c>
      <c r="B11538" s="6">
        <v>0.373</v>
      </c>
      <c r="C11538" s="6">
        <v>0.54032951984746003</v>
      </c>
    </row>
    <row r="11539" spans="1:3" s="7" customFormat="1" x14ac:dyDescent="0.2">
      <c r="A11539" s="6" t="str">
        <f>"AL117344.2"</f>
        <v>AL117344.2</v>
      </c>
      <c r="B11539" s="6">
        <v>0.37298387096774099</v>
      </c>
      <c r="C11539" s="6">
        <v>0.54032951984746003</v>
      </c>
    </row>
    <row r="11540" spans="1:3" s="7" customFormat="1" x14ac:dyDescent="0.2">
      <c r="A11540" s="6" t="str">
        <f>"CCT6B"</f>
        <v>CCT6B</v>
      </c>
      <c r="B11540" s="6">
        <v>0.37362637362637302</v>
      </c>
      <c r="C11540" s="6">
        <v>0.54072137923553598</v>
      </c>
    </row>
    <row r="11541" spans="1:3" s="7" customFormat="1" x14ac:dyDescent="0.2">
      <c r="A11541" s="6" t="str">
        <f>"TNK2-AS1"</f>
        <v>TNK2-AS1</v>
      </c>
      <c r="B11541" s="6">
        <v>0.37362637362637302</v>
      </c>
      <c r="C11541" s="6">
        <v>0.54072137923553598</v>
      </c>
    </row>
    <row r="11542" spans="1:3" s="7" customFormat="1" x14ac:dyDescent="0.2">
      <c r="A11542" s="6" t="str">
        <f>"GTF2H1"</f>
        <v>GTF2H1</v>
      </c>
      <c r="B11542" s="6">
        <v>0.37362637362637302</v>
      </c>
      <c r="C11542" s="6">
        <v>0.54072137923553598</v>
      </c>
    </row>
    <row r="11543" spans="1:3" s="7" customFormat="1" x14ac:dyDescent="0.2">
      <c r="A11543" s="6" t="str">
        <f>"CAMK2N2"</f>
        <v>CAMK2N2</v>
      </c>
      <c r="B11543" s="6">
        <v>0.37362637362637302</v>
      </c>
      <c r="C11543" s="6">
        <v>0.54072137923553598</v>
      </c>
    </row>
    <row r="11544" spans="1:3" s="7" customFormat="1" x14ac:dyDescent="0.2">
      <c r="A11544" s="6" t="str">
        <f>"VPS41"</f>
        <v>VPS41</v>
      </c>
      <c r="B11544" s="6">
        <v>0.37362637362637302</v>
      </c>
      <c r="C11544" s="6">
        <v>0.54072137923553598</v>
      </c>
    </row>
    <row r="11545" spans="1:3" s="7" customFormat="1" x14ac:dyDescent="0.2">
      <c r="A11545" s="6" t="str">
        <f>"AC010655.3"</f>
        <v>AC010655.3</v>
      </c>
      <c r="B11545" s="6">
        <v>0.37362637362637302</v>
      </c>
      <c r="C11545" s="6">
        <v>0.54072137923553598</v>
      </c>
    </row>
    <row r="11546" spans="1:3" s="7" customFormat="1" x14ac:dyDescent="0.2">
      <c r="A11546" s="6" t="str">
        <f>"ULK4"</f>
        <v>ULK4</v>
      </c>
      <c r="B11546" s="6">
        <v>0.37362637362637302</v>
      </c>
      <c r="C11546" s="6">
        <v>0.54072137923553598</v>
      </c>
    </row>
    <row r="11547" spans="1:3" s="7" customFormat="1" x14ac:dyDescent="0.2">
      <c r="A11547" s="6" t="str">
        <f>"ACTR10"</f>
        <v>ACTR10</v>
      </c>
      <c r="B11547" s="6">
        <v>0.37362637362637302</v>
      </c>
      <c r="C11547" s="6">
        <v>0.54072137923553598</v>
      </c>
    </row>
    <row r="11548" spans="1:3" s="7" customFormat="1" x14ac:dyDescent="0.2">
      <c r="A11548" s="6" t="str">
        <f>"SNRPA1"</f>
        <v>SNRPA1</v>
      </c>
      <c r="B11548" s="6">
        <v>0.37362637362637302</v>
      </c>
      <c r="C11548" s="6">
        <v>0.54072137923553598</v>
      </c>
    </row>
    <row r="11549" spans="1:3" s="7" customFormat="1" x14ac:dyDescent="0.2">
      <c r="A11549" s="6" t="str">
        <f>"TRMT2A"</f>
        <v>TRMT2A</v>
      </c>
      <c r="B11549" s="6">
        <v>0.37362637362637302</v>
      </c>
      <c r="C11549" s="6">
        <v>0.54072137923553598</v>
      </c>
    </row>
    <row r="11550" spans="1:3" s="7" customFormat="1" x14ac:dyDescent="0.2">
      <c r="A11550" s="6" t="str">
        <f>"AK4"</f>
        <v>AK4</v>
      </c>
      <c r="B11550" s="6">
        <v>0.37362637362637302</v>
      </c>
      <c r="C11550" s="6">
        <v>0.54072137923553598</v>
      </c>
    </row>
    <row r="11551" spans="1:3" s="7" customFormat="1" x14ac:dyDescent="0.2">
      <c r="A11551" s="6" t="str">
        <f>"PCBP1"</f>
        <v>PCBP1</v>
      </c>
      <c r="B11551" s="6">
        <v>0.37462537462537399</v>
      </c>
      <c r="C11551" s="6">
        <v>0.541463897569051</v>
      </c>
    </row>
    <row r="11552" spans="1:3" s="7" customFormat="1" x14ac:dyDescent="0.2">
      <c r="A11552" s="6" t="str">
        <f>"MMUT"</f>
        <v>MMUT</v>
      </c>
      <c r="B11552" s="6">
        <v>0.37462537462537399</v>
      </c>
      <c r="C11552" s="6">
        <v>0.541463897569051</v>
      </c>
    </row>
    <row r="11553" spans="1:3" s="7" customFormat="1" x14ac:dyDescent="0.2">
      <c r="A11553" s="6" t="str">
        <f>"TLE6"</f>
        <v>TLE6</v>
      </c>
      <c r="B11553" s="6">
        <v>0.37462537462537399</v>
      </c>
      <c r="C11553" s="6">
        <v>0.541463897569051</v>
      </c>
    </row>
    <row r="11554" spans="1:3" s="7" customFormat="1" x14ac:dyDescent="0.2">
      <c r="A11554" s="6" t="str">
        <f>"TMEM74B"</f>
        <v>TMEM74B</v>
      </c>
      <c r="B11554" s="6">
        <v>0.37462537462537399</v>
      </c>
      <c r="C11554" s="6">
        <v>0.541463897569051</v>
      </c>
    </row>
    <row r="11555" spans="1:3" s="7" customFormat="1" x14ac:dyDescent="0.2">
      <c r="A11555" s="6" t="str">
        <f>"LINC00482"</f>
        <v>LINC00482</v>
      </c>
      <c r="B11555" s="6">
        <v>0.37462537462537399</v>
      </c>
      <c r="C11555" s="6">
        <v>0.541463897569051</v>
      </c>
    </row>
    <row r="11556" spans="1:3" s="7" customFormat="1" x14ac:dyDescent="0.2">
      <c r="A11556" s="6" t="str">
        <f>"LINCR-0003"</f>
        <v>LINCR-0003</v>
      </c>
      <c r="B11556" s="6">
        <v>0.37462537462537399</v>
      </c>
      <c r="C11556" s="6">
        <v>0.541463897569051</v>
      </c>
    </row>
    <row r="11557" spans="1:3" s="7" customFormat="1" x14ac:dyDescent="0.2">
      <c r="A11557" s="6" t="str">
        <f>"AC091564.2"</f>
        <v>AC091564.2</v>
      </c>
      <c r="B11557" s="6">
        <v>0.37437437437437399</v>
      </c>
      <c r="C11557" s="6">
        <v>0.541463897569051</v>
      </c>
    </row>
    <row r="11558" spans="1:3" s="7" customFormat="1" x14ac:dyDescent="0.2">
      <c r="A11558" s="6" t="str">
        <f>"SERHL2"</f>
        <v>SERHL2</v>
      </c>
      <c r="B11558" s="6">
        <v>0.37462537462537399</v>
      </c>
      <c r="C11558" s="6">
        <v>0.541463897569051</v>
      </c>
    </row>
    <row r="11559" spans="1:3" s="7" customFormat="1" x14ac:dyDescent="0.2">
      <c r="A11559" s="6" t="str">
        <f>"RPL31P30"</f>
        <v>RPL31P30</v>
      </c>
      <c r="B11559" s="6">
        <v>0.37462537462537399</v>
      </c>
      <c r="C11559" s="6">
        <v>0.541463897569051</v>
      </c>
    </row>
    <row r="11560" spans="1:3" s="7" customFormat="1" x14ac:dyDescent="0.2">
      <c r="A11560" s="6" t="str">
        <f>"FBXL14"</f>
        <v>FBXL14</v>
      </c>
      <c r="B11560" s="6">
        <v>0.37462537462537399</v>
      </c>
      <c r="C11560" s="6">
        <v>0.541463897569051</v>
      </c>
    </row>
    <row r="11561" spans="1:3" s="7" customFormat="1" x14ac:dyDescent="0.2">
      <c r="A11561" s="6" t="str">
        <f>"DSPP"</f>
        <v>DSPP</v>
      </c>
      <c r="B11561" s="6">
        <v>0.37462537462537399</v>
      </c>
      <c r="C11561" s="6">
        <v>0.541463897569051</v>
      </c>
    </row>
    <row r="11562" spans="1:3" s="7" customFormat="1" x14ac:dyDescent="0.2">
      <c r="A11562" s="6" t="str">
        <f>"LINC00426"</f>
        <v>LINC00426</v>
      </c>
      <c r="B11562" s="6">
        <v>0.37462537462537399</v>
      </c>
      <c r="C11562" s="6">
        <v>0.541463897569051</v>
      </c>
    </row>
    <row r="11563" spans="1:3" s="7" customFormat="1" x14ac:dyDescent="0.2">
      <c r="A11563" s="6" t="str">
        <f>"DUSP3"</f>
        <v>DUSP3</v>
      </c>
      <c r="B11563" s="6">
        <v>0.37462537462537399</v>
      </c>
      <c r="C11563" s="6">
        <v>0.541463897569051</v>
      </c>
    </row>
    <row r="11564" spans="1:3" s="7" customFormat="1" x14ac:dyDescent="0.2">
      <c r="A11564" s="6" t="str">
        <f>"PAX8"</f>
        <v>PAX8</v>
      </c>
      <c r="B11564" s="6">
        <v>0.37462537462537399</v>
      </c>
      <c r="C11564" s="6">
        <v>0.541463897569051</v>
      </c>
    </row>
    <row r="11565" spans="1:3" s="7" customFormat="1" x14ac:dyDescent="0.2">
      <c r="A11565" s="6" t="str">
        <f>"PLA1A"</f>
        <v>PLA1A</v>
      </c>
      <c r="B11565" s="6">
        <v>0.37462537462537399</v>
      </c>
      <c r="C11565" s="6">
        <v>0.541463897569051</v>
      </c>
    </row>
    <row r="11566" spans="1:3" s="7" customFormat="1" x14ac:dyDescent="0.2">
      <c r="A11566" s="6" t="str">
        <f>"UQCRHL"</f>
        <v>UQCRHL</v>
      </c>
      <c r="B11566" s="6">
        <v>0.37537537537537502</v>
      </c>
      <c r="C11566" s="6">
        <v>0.54243872595349996</v>
      </c>
    </row>
    <row r="11567" spans="1:3" s="7" customFormat="1" x14ac:dyDescent="0.2">
      <c r="A11567" s="6" t="str">
        <f>"AC011330.1"</f>
        <v>AC011330.1</v>
      </c>
      <c r="B11567" s="6">
        <v>0.37562437562437501</v>
      </c>
      <c r="C11567" s="6">
        <v>0.54243872595349996</v>
      </c>
    </row>
    <row r="11568" spans="1:3" s="7" customFormat="1" x14ac:dyDescent="0.2">
      <c r="A11568" s="6" t="str">
        <f>"GCSHP3"</f>
        <v>GCSHP3</v>
      </c>
      <c r="B11568" s="6">
        <v>0.37562437562437501</v>
      </c>
      <c r="C11568" s="6">
        <v>0.54243872595349996</v>
      </c>
    </row>
    <row r="11569" spans="1:3" s="7" customFormat="1" x14ac:dyDescent="0.2">
      <c r="A11569" s="6" t="str">
        <f>"ZNF350-AS1"</f>
        <v>ZNF350-AS1</v>
      </c>
      <c r="B11569" s="6">
        <v>0.37562437562437501</v>
      </c>
      <c r="C11569" s="6">
        <v>0.54243872595349996</v>
      </c>
    </row>
    <row r="11570" spans="1:3" s="7" customFormat="1" x14ac:dyDescent="0.2">
      <c r="A11570" s="6" t="str">
        <f>"PAPPA"</f>
        <v>PAPPA</v>
      </c>
      <c r="B11570" s="6">
        <v>0.37562437562437501</v>
      </c>
      <c r="C11570" s="6">
        <v>0.54243872595349996</v>
      </c>
    </row>
    <row r="11571" spans="1:3" s="7" customFormat="1" x14ac:dyDescent="0.2">
      <c r="A11571" s="6" t="str">
        <f>"RN7SL689P"</f>
        <v>RN7SL689P</v>
      </c>
      <c r="B11571" s="6">
        <v>0.37562437562437501</v>
      </c>
      <c r="C11571" s="6">
        <v>0.54243872595349996</v>
      </c>
    </row>
    <row r="11572" spans="1:3" s="7" customFormat="1" x14ac:dyDescent="0.2">
      <c r="A11572" s="6" t="str">
        <f>"DOLK"</f>
        <v>DOLK</v>
      </c>
      <c r="B11572" s="6">
        <v>0.37562437562437501</v>
      </c>
      <c r="C11572" s="6">
        <v>0.54243872595349996</v>
      </c>
    </row>
    <row r="11573" spans="1:3" s="7" customFormat="1" x14ac:dyDescent="0.2">
      <c r="A11573" s="6" t="str">
        <f>"PSMA1"</f>
        <v>PSMA1</v>
      </c>
      <c r="B11573" s="6">
        <v>0.37562437562437501</v>
      </c>
      <c r="C11573" s="6">
        <v>0.54243872595349996</v>
      </c>
    </row>
    <row r="11574" spans="1:3" s="7" customFormat="1" x14ac:dyDescent="0.2">
      <c r="A11574" s="6" t="str">
        <f>"RPS21"</f>
        <v>RPS21</v>
      </c>
      <c r="B11574" s="6">
        <v>0.37562437562437501</v>
      </c>
      <c r="C11574" s="6">
        <v>0.54243872595349996</v>
      </c>
    </row>
    <row r="11575" spans="1:3" s="7" customFormat="1" x14ac:dyDescent="0.2">
      <c r="A11575" s="6" t="str">
        <f>"NUDT8"</f>
        <v>NUDT8</v>
      </c>
      <c r="B11575" s="6">
        <v>0.37562437562437501</v>
      </c>
      <c r="C11575" s="6">
        <v>0.54243872595349996</v>
      </c>
    </row>
    <row r="11576" spans="1:3" s="7" customFormat="1" x14ac:dyDescent="0.2">
      <c r="A11576" s="6" t="str">
        <f>"AC005519.1"</f>
        <v>AC005519.1</v>
      </c>
      <c r="B11576" s="6">
        <v>0.376</v>
      </c>
      <c r="C11576" s="6">
        <v>0.542934254859611</v>
      </c>
    </row>
    <row r="11577" spans="1:3" s="7" customFormat="1" x14ac:dyDescent="0.2">
      <c r="A11577" s="6" t="str">
        <f>"PRANCR"</f>
        <v>PRANCR</v>
      </c>
      <c r="B11577" s="6">
        <v>0.37662337662337603</v>
      </c>
      <c r="C11577" s="6">
        <v>0.54336496477195595</v>
      </c>
    </row>
    <row r="11578" spans="1:3" s="7" customFormat="1" x14ac:dyDescent="0.2">
      <c r="A11578" s="6" t="str">
        <f>"COX19"</f>
        <v>COX19</v>
      </c>
      <c r="B11578" s="6">
        <v>0.37662337662337603</v>
      </c>
      <c r="C11578" s="6">
        <v>0.54336496477195595</v>
      </c>
    </row>
    <row r="11579" spans="1:3" s="7" customFormat="1" x14ac:dyDescent="0.2">
      <c r="A11579" s="6" t="str">
        <f>"BX890604.1"</f>
        <v>BX890604.1</v>
      </c>
      <c r="B11579" s="6">
        <v>0.37662337662337603</v>
      </c>
      <c r="C11579" s="6">
        <v>0.54336496477195595</v>
      </c>
    </row>
    <row r="11580" spans="1:3" s="7" customFormat="1" x14ac:dyDescent="0.2">
      <c r="A11580" s="6" t="str">
        <f>"PRIMA1"</f>
        <v>PRIMA1</v>
      </c>
      <c r="B11580" s="6">
        <v>0.37662337662337603</v>
      </c>
      <c r="C11580" s="6">
        <v>0.54336496477195595</v>
      </c>
    </row>
    <row r="11581" spans="1:3" s="7" customFormat="1" x14ac:dyDescent="0.2">
      <c r="A11581" s="6" t="str">
        <f>"LINC01597"</f>
        <v>LINC01597</v>
      </c>
      <c r="B11581" s="6">
        <v>0.37662337662337603</v>
      </c>
      <c r="C11581" s="6">
        <v>0.54336496477195595</v>
      </c>
    </row>
    <row r="11582" spans="1:3" s="7" customFormat="1" x14ac:dyDescent="0.2">
      <c r="A11582" s="6" t="str">
        <f>"ZACN"</f>
        <v>ZACN</v>
      </c>
      <c r="B11582" s="6">
        <v>0.37662337662337603</v>
      </c>
      <c r="C11582" s="6">
        <v>0.54336496477195595</v>
      </c>
    </row>
    <row r="11583" spans="1:3" s="7" customFormat="1" x14ac:dyDescent="0.2">
      <c r="A11583" s="6" t="str">
        <f>"SCYL1"</f>
        <v>SCYL1</v>
      </c>
      <c r="B11583" s="6">
        <v>0.37662337662337603</v>
      </c>
      <c r="C11583" s="6">
        <v>0.54336496477195595</v>
      </c>
    </row>
    <row r="11584" spans="1:3" s="7" customFormat="1" x14ac:dyDescent="0.2">
      <c r="A11584" s="6" t="str">
        <f>"FCGBP"</f>
        <v>FCGBP</v>
      </c>
      <c r="B11584" s="6">
        <v>0.37662337662337603</v>
      </c>
      <c r="C11584" s="6">
        <v>0.54336496477195595</v>
      </c>
    </row>
    <row r="11585" spans="1:3" s="7" customFormat="1" x14ac:dyDescent="0.2">
      <c r="A11585" s="6" t="str">
        <f>"AL139274.2"</f>
        <v>AL139274.2</v>
      </c>
      <c r="B11585" s="6">
        <v>0.376376376376376</v>
      </c>
      <c r="C11585" s="6">
        <v>0.54336496477195595</v>
      </c>
    </row>
    <row r="11586" spans="1:3" s="7" customFormat="1" x14ac:dyDescent="0.2">
      <c r="A11586" s="6" t="str">
        <f>"SCML2"</f>
        <v>SCML2</v>
      </c>
      <c r="B11586" s="6">
        <v>0.37662337662337603</v>
      </c>
      <c r="C11586" s="6">
        <v>0.54336496477195595</v>
      </c>
    </row>
    <row r="11587" spans="1:3" s="7" customFormat="1" x14ac:dyDescent="0.2">
      <c r="A11587" s="6" t="str">
        <f>"LINC02878"</f>
        <v>LINC02878</v>
      </c>
      <c r="B11587" s="6">
        <v>0.37672090112640799</v>
      </c>
      <c r="C11587" s="6">
        <v>0.54345875551758804</v>
      </c>
    </row>
    <row r="11588" spans="1:3" s="7" customFormat="1" x14ac:dyDescent="0.2">
      <c r="A11588" s="6" t="str">
        <f>"ITGA7"</f>
        <v>ITGA7</v>
      </c>
      <c r="B11588" s="6">
        <v>0.37762237762237699</v>
      </c>
      <c r="C11588" s="6">
        <v>0.54391420368669596</v>
      </c>
    </row>
    <row r="11589" spans="1:3" s="7" customFormat="1" x14ac:dyDescent="0.2">
      <c r="A11589" s="6" t="str">
        <f>"TESPA1"</f>
        <v>TESPA1</v>
      </c>
      <c r="B11589" s="6">
        <v>0.37762237762237699</v>
      </c>
      <c r="C11589" s="6">
        <v>0.54391420368669596</v>
      </c>
    </row>
    <row r="11590" spans="1:3" s="7" customFormat="1" x14ac:dyDescent="0.2">
      <c r="A11590" s="6" t="str">
        <f>"NKAPL"</f>
        <v>NKAPL</v>
      </c>
      <c r="B11590" s="6">
        <v>0.37762237762237699</v>
      </c>
      <c r="C11590" s="6">
        <v>0.54391420368669596</v>
      </c>
    </row>
    <row r="11591" spans="1:3" s="7" customFormat="1" x14ac:dyDescent="0.2">
      <c r="A11591" s="6" t="str">
        <f>"FGD2"</f>
        <v>FGD2</v>
      </c>
      <c r="B11591" s="6">
        <v>0.37762237762237699</v>
      </c>
      <c r="C11591" s="6">
        <v>0.54391420368669596</v>
      </c>
    </row>
    <row r="11592" spans="1:3" s="7" customFormat="1" x14ac:dyDescent="0.2">
      <c r="A11592" s="6" t="str">
        <f>"BMP3"</f>
        <v>BMP3</v>
      </c>
      <c r="B11592" s="6">
        <v>0.37762237762237699</v>
      </c>
      <c r="C11592" s="6">
        <v>0.54391420368669596</v>
      </c>
    </row>
    <row r="11593" spans="1:3" s="7" customFormat="1" x14ac:dyDescent="0.2">
      <c r="A11593" s="6" t="str">
        <f>"AC005531.1"</f>
        <v>AC005531.1</v>
      </c>
      <c r="B11593" s="6">
        <v>0.37737737737737698</v>
      </c>
      <c r="C11593" s="6">
        <v>0.54391420368669596</v>
      </c>
    </row>
    <row r="11594" spans="1:3" s="7" customFormat="1" x14ac:dyDescent="0.2">
      <c r="A11594" s="6" t="str">
        <f>"SPTLC2"</f>
        <v>SPTLC2</v>
      </c>
      <c r="B11594" s="6">
        <v>0.37762237762237699</v>
      </c>
      <c r="C11594" s="6">
        <v>0.54391420368669596</v>
      </c>
    </row>
    <row r="11595" spans="1:3" s="7" customFormat="1" x14ac:dyDescent="0.2">
      <c r="A11595" s="6" t="str">
        <f>"LINC01914"</f>
        <v>LINC01914</v>
      </c>
      <c r="B11595" s="6">
        <v>0.37762237762237699</v>
      </c>
      <c r="C11595" s="6">
        <v>0.54391420368669596</v>
      </c>
    </row>
    <row r="11596" spans="1:3" s="7" customFormat="1" x14ac:dyDescent="0.2">
      <c r="A11596" s="6" t="str">
        <f>"RBM22P2"</f>
        <v>RBM22P2</v>
      </c>
      <c r="B11596" s="6">
        <v>0.37762237762237699</v>
      </c>
      <c r="C11596" s="6">
        <v>0.54391420368669596</v>
      </c>
    </row>
    <row r="11597" spans="1:3" s="7" customFormat="1" x14ac:dyDescent="0.2">
      <c r="A11597" s="6" t="str">
        <f>"ABCC6"</f>
        <v>ABCC6</v>
      </c>
      <c r="B11597" s="6">
        <v>0.37762237762237699</v>
      </c>
      <c r="C11597" s="6">
        <v>0.54391420368669596</v>
      </c>
    </row>
    <row r="11598" spans="1:3" s="7" customFormat="1" x14ac:dyDescent="0.2">
      <c r="A11598" s="6" t="str">
        <f>"CD3D"</f>
        <v>CD3D</v>
      </c>
      <c r="B11598" s="6">
        <v>0.37762237762237699</v>
      </c>
      <c r="C11598" s="6">
        <v>0.54391420368669596</v>
      </c>
    </row>
    <row r="11599" spans="1:3" s="7" customFormat="1" x14ac:dyDescent="0.2">
      <c r="A11599" s="6" t="str">
        <f>"RACGAP1"</f>
        <v>RACGAP1</v>
      </c>
      <c r="B11599" s="6">
        <v>0.37762237762237699</v>
      </c>
      <c r="C11599" s="6">
        <v>0.54391420368669596</v>
      </c>
    </row>
    <row r="11600" spans="1:3" s="7" customFormat="1" x14ac:dyDescent="0.2">
      <c r="A11600" s="6" t="str">
        <f>"THY1"</f>
        <v>THY1</v>
      </c>
      <c r="B11600" s="6">
        <v>0.37762237762237699</v>
      </c>
      <c r="C11600" s="6">
        <v>0.54391420368669596</v>
      </c>
    </row>
    <row r="11601" spans="1:3" s="7" customFormat="1" x14ac:dyDescent="0.2">
      <c r="A11601" s="6" t="str">
        <f>"WFDC1"</f>
        <v>WFDC1</v>
      </c>
      <c r="B11601" s="6">
        <v>0.37762237762237699</v>
      </c>
      <c r="C11601" s="6">
        <v>0.54391420368669596</v>
      </c>
    </row>
    <row r="11602" spans="1:3" s="7" customFormat="1" x14ac:dyDescent="0.2">
      <c r="A11602" s="6" t="str">
        <f>"SLC7A14-AS1"</f>
        <v>SLC7A14-AS1</v>
      </c>
      <c r="B11602" s="6">
        <v>0.37762237762237699</v>
      </c>
      <c r="C11602" s="6">
        <v>0.54391420368669596</v>
      </c>
    </row>
    <row r="11603" spans="1:3" s="7" customFormat="1" x14ac:dyDescent="0.2">
      <c r="A11603" s="6" t="str">
        <f>"AC144450.1"</f>
        <v>AC144450.1</v>
      </c>
      <c r="B11603" s="6">
        <v>0.37751004016064199</v>
      </c>
      <c r="C11603" s="6">
        <v>0.54391420368669596</v>
      </c>
    </row>
    <row r="11604" spans="1:3" s="7" customFormat="1" x14ac:dyDescent="0.2">
      <c r="A11604" s="6" t="str">
        <f>"TCERG1L"</f>
        <v>TCERG1L</v>
      </c>
      <c r="B11604" s="6">
        <v>0.37762237762237699</v>
      </c>
      <c r="C11604" s="6">
        <v>0.54391420368669596</v>
      </c>
    </row>
    <row r="11605" spans="1:3" s="7" customFormat="1" x14ac:dyDescent="0.2">
      <c r="A11605" s="6" t="str">
        <f>"RPS26P47"</f>
        <v>RPS26P47</v>
      </c>
      <c r="B11605" s="6">
        <v>0.37762237762237699</v>
      </c>
      <c r="C11605" s="6">
        <v>0.54391420368669596</v>
      </c>
    </row>
    <row r="11606" spans="1:3" s="7" customFormat="1" x14ac:dyDescent="0.2">
      <c r="A11606" s="6" t="str">
        <f>"AC096992.2"</f>
        <v>AC096992.2</v>
      </c>
      <c r="B11606" s="6">
        <v>0.378</v>
      </c>
      <c r="C11606" s="6">
        <v>0.54436429433051803</v>
      </c>
    </row>
    <row r="11607" spans="1:3" s="7" customFormat="1" x14ac:dyDescent="0.2">
      <c r="A11607" s="6" t="str">
        <f>"LRWD1"</f>
        <v>LRWD1</v>
      </c>
      <c r="B11607" s="6">
        <v>0.378</v>
      </c>
      <c r="C11607" s="6">
        <v>0.54436429433051803</v>
      </c>
    </row>
    <row r="11608" spans="1:3" s="7" customFormat="1" x14ac:dyDescent="0.2">
      <c r="A11608" s="6" t="str">
        <f>"AL161729.3"</f>
        <v>AL161729.3</v>
      </c>
      <c r="B11608" s="6">
        <v>0.37826961770623702</v>
      </c>
      <c r="C11608" s="6">
        <v>0.54470564231429697</v>
      </c>
    </row>
    <row r="11609" spans="1:3" s="7" customFormat="1" x14ac:dyDescent="0.2">
      <c r="A11609" s="6" t="str">
        <f>"MTIF2"</f>
        <v>MTIF2</v>
      </c>
      <c r="B11609" s="6">
        <v>0.37862137862137801</v>
      </c>
      <c r="C11609" s="6">
        <v>0.54478974881867404</v>
      </c>
    </row>
    <row r="11610" spans="1:3" s="7" customFormat="1" x14ac:dyDescent="0.2">
      <c r="A11610" s="6" t="str">
        <f>"LBX2"</f>
        <v>LBX2</v>
      </c>
      <c r="B11610" s="6">
        <v>0.37862137862137801</v>
      </c>
      <c r="C11610" s="6">
        <v>0.54478974881867404</v>
      </c>
    </row>
    <row r="11611" spans="1:3" s="7" customFormat="1" x14ac:dyDescent="0.2">
      <c r="A11611" s="6" t="str">
        <f>"LTV1"</f>
        <v>LTV1</v>
      </c>
      <c r="B11611" s="6">
        <v>0.37862137862137801</v>
      </c>
      <c r="C11611" s="6">
        <v>0.54478974881867404</v>
      </c>
    </row>
    <row r="11612" spans="1:3" s="7" customFormat="1" x14ac:dyDescent="0.2">
      <c r="A11612" s="6" t="str">
        <f>"AC138932.1"</f>
        <v>AC138932.1</v>
      </c>
      <c r="B11612" s="6">
        <v>0.37862137862137801</v>
      </c>
      <c r="C11612" s="6">
        <v>0.54478974881867404</v>
      </c>
    </row>
    <row r="11613" spans="1:3" s="7" customFormat="1" x14ac:dyDescent="0.2">
      <c r="A11613" s="6" t="str">
        <f>"C5orf66-AS1"</f>
        <v>C5orf66-AS1</v>
      </c>
      <c r="B11613" s="6">
        <v>0.37862137862137801</v>
      </c>
      <c r="C11613" s="6">
        <v>0.54478974881867404</v>
      </c>
    </row>
    <row r="11614" spans="1:3" s="7" customFormat="1" x14ac:dyDescent="0.2">
      <c r="A11614" s="6" t="str">
        <f>"TRAIP"</f>
        <v>TRAIP</v>
      </c>
      <c r="B11614" s="6">
        <v>0.37862137862137801</v>
      </c>
      <c r="C11614" s="6">
        <v>0.54478974881867404</v>
      </c>
    </row>
    <row r="11615" spans="1:3" s="7" customFormat="1" x14ac:dyDescent="0.2">
      <c r="A11615" s="6" t="str">
        <f>"LINC00626"</f>
        <v>LINC00626</v>
      </c>
      <c r="B11615" s="6">
        <v>0.37862137862137801</v>
      </c>
      <c r="C11615" s="6">
        <v>0.54478974881867404</v>
      </c>
    </row>
    <row r="11616" spans="1:3" s="7" customFormat="1" x14ac:dyDescent="0.2">
      <c r="A11616" s="6" t="str">
        <f>"AP003419.1"</f>
        <v>AP003419.1</v>
      </c>
      <c r="B11616" s="6">
        <v>0.37862137862137801</v>
      </c>
      <c r="C11616" s="6">
        <v>0.54478974881867404</v>
      </c>
    </row>
    <row r="11617" spans="1:3" s="7" customFormat="1" x14ac:dyDescent="0.2">
      <c r="A11617" s="6" t="str">
        <f>"ZNF506"</f>
        <v>ZNF506</v>
      </c>
      <c r="B11617" s="6">
        <v>0.37862137862137801</v>
      </c>
      <c r="C11617" s="6">
        <v>0.54478974881867404</v>
      </c>
    </row>
    <row r="11618" spans="1:3" s="7" customFormat="1" x14ac:dyDescent="0.2">
      <c r="A11618" s="6" t="str">
        <f>"SPAG16-DT"</f>
        <v>SPAG16-DT</v>
      </c>
      <c r="B11618" s="6">
        <v>0.379</v>
      </c>
      <c r="C11618" s="6">
        <v>0.54524066104320801</v>
      </c>
    </row>
    <row r="11619" spans="1:3" s="7" customFormat="1" x14ac:dyDescent="0.2">
      <c r="A11619" s="6" t="str">
        <f>"OSBPL3"</f>
        <v>OSBPL3</v>
      </c>
      <c r="B11619" s="6">
        <v>0.379</v>
      </c>
      <c r="C11619" s="6">
        <v>0.54524066104320801</v>
      </c>
    </row>
    <row r="11620" spans="1:3" s="7" customFormat="1" x14ac:dyDescent="0.2">
      <c r="A11620" s="6" t="str">
        <f>"RPL35A"</f>
        <v>RPL35A</v>
      </c>
      <c r="B11620" s="6">
        <v>0.37962037962037898</v>
      </c>
      <c r="C11620" s="6">
        <v>0.54552274309818805</v>
      </c>
    </row>
    <row r="11621" spans="1:3" s="7" customFormat="1" x14ac:dyDescent="0.2">
      <c r="A11621" s="6" t="str">
        <f>"RAP2C-AS1"</f>
        <v>RAP2C-AS1</v>
      </c>
      <c r="B11621" s="6">
        <v>0.37962037962037898</v>
      </c>
      <c r="C11621" s="6">
        <v>0.54552274309818805</v>
      </c>
    </row>
    <row r="11622" spans="1:3" s="7" customFormat="1" x14ac:dyDescent="0.2">
      <c r="A11622" s="6" t="str">
        <f>"AC012073.1"</f>
        <v>AC012073.1</v>
      </c>
      <c r="B11622" s="6">
        <v>0.37937937937937899</v>
      </c>
      <c r="C11622" s="6">
        <v>0.54552274309818805</v>
      </c>
    </row>
    <row r="11623" spans="1:3" s="7" customFormat="1" x14ac:dyDescent="0.2">
      <c r="A11623" s="6" t="str">
        <f>"AC121758.2"</f>
        <v>AC121758.2</v>
      </c>
      <c r="B11623" s="6">
        <v>0.37945945945945903</v>
      </c>
      <c r="C11623" s="6">
        <v>0.54552274309818805</v>
      </c>
    </row>
    <row r="11624" spans="1:3" s="7" customFormat="1" x14ac:dyDescent="0.2">
      <c r="A11624" s="6" t="str">
        <f>"TP53BP2"</f>
        <v>TP53BP2</v>
      </c>
      <c r="B11624" s="6">
        <v>0.37962037962037898</v>
      </c>
      <c r="C11624" s="6">
        <v>0.54552274309818805</v>
      </c>
    </row>
    <row r="11625" spans="1:3" s="7" customFormat="1" x14ac:dyDescent="0.2">
      <c r="A11625" s="6" t="str">
        <f>"TRMT1L"</f>
        <v>TRMT1L</v>
      </c>
      <c r="B11625" s="6">
        <v>0.37962037962037898</v>
      </c>
      <c r="C11625" s="6">
        <v>0.54552274309818805</v>
      </c>
    </row>
    <row r="11626" spans="1:3" s="7" customFormat="1" x14ac:dyDescent="0.2">
      <c r="A11626" s="6" t="str">
        <f>"RGS9"</f>
        <v>RGS9</v>
      </c>
      <c r="B11626" s="6">
        <v>0.37962037962037898</v>
      </c>
      <c r="C11626" s="6">
        <v>0.54552274309818805</v>
      </c>
    </row>
    <row r="11627" spans="1:3" s="7" customFormat="1" x14ac:dyDescent="0.2">
      <c r="A11627" s="6" t="str">
        <f>"OR5BA1P"</f>
        <v>OR5BA1P</v>
      </c>
      <c r="B11627" s="6">
        <v>0.37962037962037898</v>
      </c>
      <c r="C11627" s="6">
        <v>0.54552274309818805</v>
      </c>
    </row>
    <row r="11628" spans="1:3" s="7" customFormat="1" x14ac:dyDescent="0.2">
      <c r="A11628" s="6" t="str">
        <f>"AC024909.1"</f>
        <v>AC024909.1</v>
      </c>
      <c r="B11628" s="6">
        <v>0.37962037962037898</v>
      </c>
      <c r="C11628" s="6">
        <v>0.54552274309818805</v>
      </c>
    </row>
    <row r="11629" spans="1:3" s="7" customFormat="1" x14ac:dyDescent="0.2">
      <c r="A11629" s="6" t="str">
        <f>"AC138230.1"</f>
        <v>AC138230.1</v>
      </c>
      <c r="B11629" s="6">
        <v>0.37941473259334002</v>
      </c>
      <c r="C11629" s="6">
        <v>0.54552274309818805</v>
      </c>
    </row>
    <row r="11630" spans="1:3" s="7" customFormat="1" x14ac:dyDescent="0.2">
      <c r="A11630" s="6" t="str">
        <f>"KDELR3"</f>
        <v>KDELR3</v>
      </c>
      <c r="B11630" s="6">
        <v>0.37962037962037898</v>
      </c>
      <c r="C11630" s="6">
        <v>0.54552274309818805</v>
      </c>
    </row>
    <row r="11631" spans="1:3" s="7" customFormat="1" x14ac:dyDescent="0.2">
      <c r="A11631" s="6" t="str">
        <f>"RHOBTB1"</f>
        <v>RHOBTB1</v>
      </c>
      <c r="B11631" s="6">
        <v>0.37962037962037898</v>
      </c>
      <c r="C11631" s="6">
        <v>0.54552274309818805</v>
      </c>
    </row>
    <row r="11632" spans="1:3" s="7" customFormat="1" x14ac:dyDescent="0.2">
      <c r="A11632" s="6" t="str">
        <f>"AL356488.3"</f>
        <v>AL356488.3</v>
      </c>
      <c r="B11632" s="6">
        <v>0.37962037962037898</v>
      </c>
      <c r="C11632" s="6">
        <v>0.54552274309818805</v>
      </c>
    </row>
    <row r="11633" spans="1:3" s="7" customFormat="1" x14ac:dyDescent="0.2">
      <c r="A11633" s="6" t="str">
        <f>"AC135050.3"</f>
        <v>AC135050.3</v>
      </c>
      <c r="B11633" s="6">
        <v>0.38061938061938</v>
      </c>
      <c r="C11633" s="6">
        <v>0.54634767499762305</v>
      </c>
    </row>
    <row r="11634" spans="1:3" s="7" customFormat="1" x14ac:dyDescent="0.2">
      <c r="A11634" s="6" t="str">
        <f>"FBXO7"</f>
        <v>FBXO7</v>
      </c>
      <c r="B11634" s="6">
        <v>0.38061938061938</v>
      </c>
      <c r="C11634" s="6">
        <v>0.54634767499762305</v>
      </c>
    </row>
    <row r="11635" spans="1:3" s="7" customFormat="1" x14ac:dyDescent="0.2">
      <c r="A11635" s="6" t="str">
        <f>"NDFIP2"</f>
        <v>NDFIP2</v>
      </c>
      <c r="B11635" s="6">
        <v>0.38061938061938</v>
      </c>
      <c r="C11635" s="6">
        <v>0.54634767499762305</v>
      </c>
    </row>
    <row r="11636" spans="1:3" s="7" customFormat="1" x14ac:dyDescent="0.2">
      <c r="A11636" s="6" t="str">
        <f>"PRDM6"</f>
        <v>PRDM6</v>
      </c>
      <c r="B11636" s="6">
        <v>0.38061938061938</v>
      </c>
      <c r="C11636" s="6">
        <v>0.54634767499762305</v>
      </c>
    </row>
    <row r="11637" spans="1:3" s="7" customFormat="1" x14ac:dyDescent="0.2">
      <c r="A11637" s="6" t="str">
        <f>"RN7SL718P"</f>
        <v>RN7SL718P</v>
      </c>
      <c r="B11637" s="6">
        <v>0.38061938061938</v>
      </c>
      <c r="C11637" s="6">
        <v>0.54634767499762305</v>
      </c>
    </row>
    <row r="11638" spans="1:3" s="7" customFormat="1" x14ac:dyDescent="0.2">
      <c r="A11638" s="6" t="str">
        <f>"AP001922.5"</f>
        <v>AP001922.5</v>
      </c>
      <c r="B11638" s="6">
        <v>0.38038038038038002</v>
      </c>
      <c r="C11638" s="6">
        <v>0.54634767499762305</v>
      </c>
    </row>
    <row r="11639" spans="1:3" s="7" customFormat="1" x14ac:dyDescent="0.2">
      <c r="A11639" s="6" t="str">
        <f>"SSBP1"</f>
        <v>SSBP1</v>
      </c>
      <c r="B11639" s="6">
        <v>0.38061938061938</v>
      </c>
      <c r="C11639" s="6">
        <v>0.54634767499762305</v>
      </c>
    </row>
    <row r="11640" spans="1:3" s="7" customFormat="1" x14ac:dyDescent="0.2">
      <c r="A11640" s="6" t="str">
        <f>"LINC01354"</f>
        <v>LINC01354</v>
      </c>
      <c r="B11640" s="6">
        <v>0.38061938061938</v>
      </c>
      <c r="C11640" s="6">
        <v>0.54634767499762305</v>
      </c>
    </row>
    <row r="11641" spans="1:3" s="7" customFormat="1" x14ac:dyDescent="0.2">
      <c r="A11641" s="6" t="str">
        <f>"SULT1A4"</f>
        <v>SULT1A4</v>
      </c>
      <c r="B11641" s="6">
        <v>0.38061938061938</v>
      </c>
      <c r="C11641" s="6">
        <v>0.54634767499762305</v>
      </c>
    </row>
    <row r="11642" spans="1:3" s="7" customFormat="1" x14ac:dyDescent="0.2">
      <c r="A11642" s="6" t="str">
        <f>"ABHD17AP6"</f>
        <v>ABHD17AP6</v>
      </c>
      <c r="B11642" s="6">
        <v>0.38061938061938</v>
      </c>
      <c r="C11642" s="6">
        <v>0.54634767499762305</v>
      </c>
    </row>
    <row r="11643" spans="1:3" s="7" customFormat="1" x14ac:dyDescent="0.2">
      <c r="A11643" s="6" t="str">
        <f>"AL049844.3"</f>
        <v>AL049844.3</v>
      </c>
      <c r="B11643" s="6">
        <v>0.38061938061938</v>
      </c>
      <c r="C11643" s="6">
        <v>0.54634767499762305</v>
      </c>
    </row>
    <row r="11644" spans="1:3" s="7" customFormat="1" x14ac:dyDescent="0.2">
      <c r="A11644" s="6" t="str">
        <f>"TMCO3"</f>
        <v>TMCO3</v>
      </c>
      <c r="B11644" s="6">
        <v>0.38061938061938</v>
      </c>
      <c r="C11644" s="6">
        <v>0.54634767499762305</v>
      </c>
    </row>
    <row r="11645" spans="1:3" s="7" customFormat="1" x14ac:dyDescent="0.2">
      <c r="A11645" s="6" t="str">
        <f>"PIWIL2"</f>
        <v>PIWIL2</v>
      </c>
      <c r="B11645" s="6">
        <v>0.38061938061938</v>
      </c>
      <c r="C11645" s="6">
        <v>0.54634767499762305</v>
      </c>
    </row>
    <row r="11646" spans="1:3" s="7" customFormat="1" x14ac:dyDescent="0.2">
      <c r="A11646" s="6" t="str">
        <f>"LINC02495"</f>
        <v>LINC02495</v>
      </c>
      <c r="B11646" s="6">
        <v>0.38076152304609201</v>
      </c>
      <c r="C11646" s="6">
        <v>0.54650477425439103</v>
      </c>
    </row>
    <row r="11647" spans="1:3" s="7" customFormat="1" x14ac:dyDescent="0.2">
      <c r="A11647" s="6" t="str">
        <f>"KIF5C"</f>
        <v>KIF5C</v>
      </c>
      <c r="B11647" s="6">
        <v>0.38100000000000001</v>
      </c>
      <c r="C11647" s="6">
        <v>0.54680010303966997</v>
      </c>
    </row>
    <row r="11648" spans="1:3" s="7" customFormat="1" x14ac:dyDescent="0.2">
      <c r="A11648" s="6" t="str">
        <f>"USP14"</f>
        <v>USP14</v>
      </c>
      <c r="B11648" s="6">
        <v>0.38161838161838102</v>
      </c>
      <c r="C11648" s="6">
        <v>0.54702998545194004</v>
      </c>
    </row>
    <row r="11649" spans="1:3" s="7" customFormat="1" x14ac:dyDescent="0.2">
      <c r="A11649" s="6" t="str">
        <f>"CD99P1"</f>
        <v>CD99P1</v>
      </c>
      <c r="B11649" s="6">
        <v>0.38161838161838102</v>
      </c>
      <c r="C11649" s="6">
        <v>0.54702998545194004</v>
      </c>
    </row>
    <row r="11650" spans="1:3" s="7" customFormat="1" x14ac:dyDescent="0.2">
      <c r="A11650" s="6" t="str">
        <f>"AC110619.1"</f>
        <v>AC110619.1</v>
      </c>
      <c r="B11650" s="6">
        <v>0.38161838161838102</v>
      </c>
      <c r="C11650" s="6">
        <v>0.54702998545194004</v>
      </c>
    </row>
    <row r="11651" spans="1:3" s="7" customFormat="1" x14ac:dyDescent="0.2">
      <c r="A11651" s="6" t="str">
        <f>"JPH3"</f>
        <v>JPH3</v>
      </c>
      <c r="B11651" s="6">
        <v>0.38161838161838102</v>
      </c>
      <c r="C11651" s="6">
        <v>0.54702998545194004</v>
      </c>
    </row>
    <row r="11652" spans="1:3" s="7" customFormat="1" x14ac:dyDescent="0.2">
      <c r="A11652" s="6" t="str">
        <f>"AC002456.1"</f>
        <v>AC002456.1</v>
      </c>
      <c r="B11652" s="6">
        <v>0.38161838161838102</v>
      </c>
      <c r="C11652" s="6">
        <v>0.54702998545194004</v>
      </c>
    </row>
    <row r="11653" spans="1:3" s="7" customFormat="1" x14ac:dyDescent="0.2">
      <c r="A11653" s="6" t="str">
        <f>"PITX2"</f>
        <v>PITX2</v>
      </c>
      <c r="B11653" s="6">
        <v>0.38161838161838102</v>
      </c>
      <c r="C11653" s="6">
        <v>0.54702998545194004</v>
      </c>
    </row>
    <row r="11654" spans="1:3" s="7" customFormat="1" x14ac:dyDescent="0.2">
      <c r="A11654" s="6" t="str">
        <f>"AC002310.1"</f>
        <v>AC002310.1</v>
      </c>
      <c r="B11654" s="6">
        <v>0.381381381381381</v>
      </c>
      <c r="C11654" s="6">
        <v>0.54702998545194004</v>
      </c>
    </row>
    <row r="11655" spans="1:3" s="7" customFormat="1" x14ac:dyDescent="0.2">
      <c r="A11655" s="6" t="str">
        <f>"METAP1D"</f>
        <v>METAP1D</v>
      </c>
      <c r="B11655" s="6">
        <v>0.38161838161838102</v>
      </c>
      <c r="C11655" s="6">
        <v>0.54702998545194004</v>
      </c>
    </row>
    <row r="11656" spans="1:3" s="7" customFormat="1" x14ac:dyDescent="0.2">
      <c r="A11656" s="6" t="str">
        <f>"FAM3D"</f>
        <v>FAM3D</v>
      </c>
      <c r="B11656" s="6">
        <v>0.38161838161838102</v>
      </c>
      <c r="C11656" s="6">
        <v>0.54702998545194004</v>
      </c>
    </row>
    <row r="11657" spans="1:3" s="7" customFormat="1" x14ac:dyDescent="0.2">
      <c r="A11657" s="6" t="str">
        <f>"AC023590.1"</f>
        <v>AC023590.1</v>
      </c>
      <c r="B11657" s="6">
        <v>0.38161838161838102</v>
      </c>
      <c r="C11657" s="6">
        <v>0.54702998545194004</v>
      </c>
    </row>
    <row r="11658" spans="1:3" s="7" customFormat="1" x14ac:dyDescent="0.2">
      <c r="A11658" s="6" t="str">
        <f>"AC026412.1"</f>
        <v>AC026412.1</v>
      </c>
      <c r="B11658" s="6">
        <v>0.38161838161838102</v>
      </c>
      <c r="C11658" s="6">
        <v>0.54702998545194004</v>
      </c>
    </row>
    <row r="11659" spans="1:3" s="7" customFormat="1" x14ac:dyDescent="0.2">
      <c r="A11659" s="6" t="str">
        <f>"RIIAD1"</f>
        <v>RIIAD1</v>
      </c>
      <c r="B11659" s="6">
        <v>0.38161838161838102</v>
      </c>
      <c r="C11659" s="6">
        <v>0.54702998545194004</v>
      </c>
    </row>
    <row r="11660" spans="1:3" s="7" customFormat="1" x14ac:dyDescent="0.2">
      <c r="A11660" s="6" t="str">
        <f>"ABCC6P2"</f>
        <v>ABCC6P2</v>
      </c>
      <c r="B11660" s="6">
        <v>0.38161838161838102</v>
      </c>
      <c r="C11660" s="6">
        <v>0.54702998545194004</v>
      </c>
    </row>
    <row r="11661" spans="1:3" s="7" customFormat="1" x14ac:dyDescent="0.2">
      <c r="A11661" s="6" t="str">
        <f>"DLX4"</f>
        <v>DLX4</v>
      </c>
      <c r="B11661" s="6">
        <v>0.38161838161838102</v>
      </c>
      <c r="C11661" s="6">
        <v>0.54702998545194004</v>
      </c>
    </row>
    <row r="11662" spans="1:3" s="7" customFormat="1" x14ac:dyDescent="0.2">
      <c r="A11662" s="6" t="str">
        <f>"AP003500.1"</f>
        <v>AP003500.1</v>
      </c>
      <c r="B11662" s="6">
        <v>0.38200000000000001</v>
      </c>
      <c r="C11662" s="6">
        <v>0.54743616565206199</v>
      </c>
    </row>
    <row r="11663" spans="1:3" s="7" customFormat="1" x14ac:dyDescent="0.2">
      <c r="A11663" s="6" t="str">
        <f>"AC092053.4"</f>
        <v>AC092053.4</v>
      </c>
      <c r="B11663" s="6">
        <v>0.38200000000000001</v>
      </c>
      <c r="C11663" s="6">
        <v>0.54743616565206199</v>
      </c>
    </row>
    <row r="11664" spans="1:3" s="7" customFormat="1" x14ac:dyDescent="0.2">
      <c r="A11664" s="6" t="str">
        <f>"PLA2G2C"</f>
        <v>PLA2G2C</v>
      </c>
      <c r="B11664" s="6">
        <v>0.38200000000000001</v>
      </c>
      <c r="C11664" s="6">
        <v>0.54743616565206199</v>
      </c>
    </row>
    <row r="11665" spans="1:3" s="7" customFormat="1" x14ac:dyDescent="0.2">
      <c r="A11665" s="6" t="str">
        <f>"PAQR9-AS1"</f>
        <v>PAQR9-AS1</v>
      </c>
      <c r="B11665" s="6">
        <v>0.38211382113821102</v>
      </c>
      <c r="C11665" s="6">
        <v>0.54755233251920998</v>
      </c>
    </row>
    <row r="11666" spans="1:3" s="7" customFormat="1" x14ac:dyDescent="0.2">
      <c r="A11666" s="6" t="str">
        <f>"YBX1"</f>
        <v>YBX1</v>
      </c>
      <c r="B11666" s="6">
        <v>0.38261738261738198</v>
      </c>
      <c r="C11666" s="6">
        <v>0.54780426015649497</v>
      </c>
    </row>
    <row r="11667" spans="1:3" s="7" customFormat="1" x14ac:dyDescent="0.2">
      <c r="A11667" s="6" t="str">
        <f>"GOLGA1"</f>
        <v>GOLGA1</v>
      </c>
      <c r="B11667" s="6">
        <v>0.38261738261738198</v>
      </c>
      <c r="C11667" s="6">
        <v>0.54780426015649497</v>
      </c>
    </row>
    <row r="11668" spans="1:3" s="7" customFormat="1" x14ac:dyDescent="0.2">
      <c r="A11668" s="6" t="str">
        <f>"AL512791.2"</f>
        <v>AL512791.2</v>
      </c>
      <c r="B11668" s="6">
        <v>0.38261738261738198</v>
      </c>
      <c r="C11668" s="6">
        <v>0.54780426015649497</v>
      </c>
    </row>
    <row r="11669" spans="1:3" s="7" customFormat="1" x14ac:dyDescent="0.2">
      <c r="A11669" s="6" t="str">
        <f>"MIAT"</f>
        <v>MIAT</v>
      </c>
      <c r="B11669" s="6">
        <v>0.38261738261738198</v>
      </c>
      <c r="C11669" s="6">
        <v>0.54780426015649497</v>
      </c>
    </row>
    <row r="11670" spans="1:3" s="7" customFormat="1" x14ac:dyDescent="0.2">
      <c r="A11670" s="6" t="str">
        <f>"NCEH1"</f>
        <v>NCEH1</v>
      </c>
      <c r="B11670" s="6">
        <v>0.38261738261738198</v>
      </c>
      <c r="C11670" s="6">
        <v>0.54780426015649497</v>
      </c>
    </row>
    <row r="11671" spans="1:3" s="7" customFormat="1" x14ac:dyDescent="0.2">
      <c r="A11671" s="6" t="str">
        <f>"AC099535.2"</f>
        <v>AC099535.2</v>
      </c>
      <c r="B11671" s="6">
        <v>0.38261738261738198</v>
      </c>
      <c r="C11671" s="6">
        <v>0.54780426015649497</v>
      </c>
    </row>
    <row r="11672" spans="1:3" s="7" customFormat="1" x14ac:dyDescent="0.2">
      <c r="A11672" s="6" t="str">
        <f>"XCL2"</f>
        <v>XCL2</v>
      </c>
      <c r="B11672" s="6">
        <v>0.38261738261738198</v>
      </c>
      <c r="C11672" s="6">
        <v>0.54780426015649497</v>
      </c>
    </row>
    <row r="11673" spans="1:3" s="7" customFormat="1" x14ac:dyDescent="0.2">
      <c r="A11673" s="6" t="str">
        <f>"AP001977.1"</f>
        <v>AP001977.1</v>
      </c>
      <c r="B11673" s="6">
        <v>0.38261738261738198</v>
      </c>
      <c r="C11673" s="6">
        <v>0.54780426015649497</v>
      </c>
    </row>
    <row r="11674" spans="1:3" s="7" customFormat="1" x14ac:dyDescent="0.2">
      <c r="A11674" s="6" t="str">
        <f>"LINC00205"</f>
        <v>LINC00205</v>
      </c>
      <c r="B11674" s="6">
        <v>0.38261738261738198</v>
      </c>
      <c r="C11674" s="6">
        <v>0.54780426015649497</v>
      </c>
    </row>
    <row r="11675" spans="1:3" s="7" customFormat="1" x14ac:dyDescent="0.2">
      <c r="A11675" s="6" t="str">
        <f>"LZTS3"</f>
        <v>LZTS3</v>
      </c>
      <c r="B11675" s="6">
        <v>0.38261738261738198</v>
      </c>
      <c r="C11675" s="6">
        <v>0.54780426015649497</v>
      </c>
    </row>
    <row r="11676" spans="1:3" s="7" customFormat="1" x14ac:dyDescent="0.2">
      <c r="A11676" s="6" t="str">
        <f>"AC110809.1"</f>
        <v>AC110809.1</v>
      </c>
      <c r="B11676" s="6">
        <v>0.38300000000000001</v>
      </c>
      <c r="C11676" s="6">
        <v>0.54825813634806397</v>
      </c>
    </row>
    <row r="11677" spans="1:3" s="7" customFormat="1" x14ac:dyDescent="0.2">
      <c r="A11677" s="6" t="str">
        <f>"AC073370.1"</f>
        <v>AC073370.1</v>
      </c>
      <c r="B11677" s="6">
        <v>0.38300000000000001</v>
      </c>
      <c r="C11677" s="6">
        <v>0.54825813634806397</v>
      </c>
    </row>
    <row r="11678" spans="1:3" s="7" customFormat="1" x14ac:dyDescent="0.2">
      <c r="A11678" s="6" t="str">
        <f>"STAT6"</f>
        <v>STAT6</v>
      </c>
      <c r="B11678" s="6">
        <v>0.38338338338338301</v>
      </c>
      <c r="C11678" s="6">
        <v>0.54875994432387298</v>
      </c>
    </row>
    <row r="11679" spans="1:3" s="7" customFormat="1" x14ac:dyDescent="0.2">
      <c r="A11679" s="6" t="str">
        <f>"LINC02334"</f>
        <v>LINC02334</v>
      </c>
      <c r="B11679" s="6">
        <v>0.38356164383561597</v>
      </c>
      <c r="C11679" s="6">
        <v>0.54881145559909505</v>
      </c>
    </row>
    <row r="11680" spans="1:3" s="7" customFormat="1" x14ac:dyDescent="0.2">
      <c r="A11680" s="6" t="str">
        <f>"AL137802.3"</f>
        <v>AL137802.3</v>
      </c>
      <c r="B11680" s="6">
        <v>0.38361638361638301</v>
      </c>
      <c r="C11680" s="6">
        <v>0.54881145559909505</v>
      </c>
    </row>
    <row r="11681" spans="1:3" s="7" customFormat="1" x14ac:dyDescent="0.2">
      <c r="A11681" s="6" t="str">
        <f>"TMEM269"</f>
        <v>TMEM269</v>
      </c>
      <c r="B11681" s="6">
        <v>0.38361638361638301</v>
      </c>
      <c r="C11681" s="6">
        <v>0.54881145559909505</v>
      </c>
    </row>
    <row r="11682" spans="1:3" s="7" customFormat="1" x14ac:dyDescent="0.2">
      <c r="A11682" s="6" t="str">
        <f>"XIAP"</f>
        <v>XIAP</v>
      </c>
      <c r="B11682" s="6">
        <v>0.38361638361638301</v>
      </c>
      <c r="C11682" s="6">
        <v>0.54881145559909505</v>
      </c>
    </row>
    <row r="11683" spans="1:3" s="7" customFormat="1" x14ac:dyDescent="0.2">
      <c r="A11683" s="6" t="str">
        <f>"BISPR"</f>
        <v>BISPR</v>
      </c>
      <c r="B11683" s="6">
        <v>0.38361638361638301</v>
      </c>
      <c r="C11683" s="6">
        <v>0.54881145559909505</v>
      </c>
    </row>
    <row r="11684" spans="1:3" s="7" customFormat="1" x14ac:dyDescent="0.2">
      <c r="A11684" s="6" t="str">
        <f>"CDC34"</f>
        <v>CDC34</v>
      </c>
      <c r="B11684" s="6">
        <v>0.38361638361638301</v>
      </c>
      <c r="C11684" s="6">
        <v>0.54881145559909505</v>
      </c>
    </row>
    <row r="11685" spans="1:3" s="7" customFormat="1" x14ac:dyDescent="0.2">
      <c r="A11685" s="6" t="str">
        <f>"SMURF2"</f>
        <v>SMURF2</v>
      </c>
      <c r="B11685" s="6">
        <v>0.38461538461538403</v>
      </c>
      <c r="C11685" s="6">
        <v>0.54995821186256599</v>
      </c>
    </row>
    <row r="11686" spans="1:3" s="7" customFormat="1" x14ac:dyDescent="0.2">
      <c r="A11686" s="6" t="str">
        <f>"TMEM234"</f>
        <v>TMEM234</v>
      </c>
      <c r="B11686" s="6">
        <v>0.38461538461538403</v>
      </c>
      <c r="C11686" s="6">
        <v>0.54995821186256599</v>
      </c>
    </row>
    <row r="11687" spans="1:3" s="7" customFormat="1" x14ac:dyDescent="0.2">
      <c r="A11687" s="6" t="str">
        <f>"FBXO16"</f>
        <v>FBXO16</v>
      </c>
      <c r="B11687" s="6">
        <v>0.38461538461538403</v>
      </c>
      <c r="C11687" s="6">
        <v>0.54995821186256599</v>
      </c>
    </row>
    <row r="11688" spans="1:3" s="7" customFormat="1" x14ac:dyDescent="0.2">
      <c r="A11688" s="6" t="str">
        <f>"PECR"</f>
        <v>PECR</v>
      </c>
      <c r="B11688" s="6">
        <v>0.38461538461538403</v>
      </c>
      <c r="C11688" s="6">
        <v>0.54995821186256599</v>
      </c>
    </row>
    <row r="11689" spans="1:3" s="7" customFormat="1" x14ac:dyDescent="0.2">
      <c r="A11689" s="6" t="str">
        <f>"SDC4"</f>
        <v>SDC4</v>
      </c>
      <c r="B11689" s="6">
        <v>0.38461538461538403</v>
      </c>
      <c r="C11689" s="6">
        <v>0.54995821186256599</v>
      </c>
    </row>
    <row r="11690" spans="1:3" s="7" customFormat="1" x14ac:dyDescent="0.2">
      <c r="A11690" s="6" t="str">
        <f>"ATP5F1D"</f>
        <v>ATP5F1D</v>
      </c>
      <c r="B11690" s="6">
        <v>0.38461538461538403</v>
      </c>
      <c r="C11690" s="6">
        <v>0.54995821186256599</v>
      </c>
    </row>
    <row r="11691" spans="1:3" s="7" customFormat="1" x14ac:dyDescent="0.2">
      <c r="A11691" s="6" t="str">
        <f>"CALCOCO2"</f>
        <v>CALCOCO2</v>
      </c>
      <c r="B11691" s="6">
        <v>0.38500000000000001</v>
      </c>
      <c r="C11691" s="6">
        <v>0.55046107784431098</v>
      </c>
    </row>
    <row r="11692" spans="1:3" s="7" customFormat="1" x14ac:dyDescent="0.2">
      <c r="A11692" s="6" t="str">
        <f>"FCHSD2"</f>
        <v>FCHSD2</v>
      </c>
      <c r="B11692" s="6">
        <v>0.38561438561438499</v>
      </c>
      <c r="C11692" s="6">
        <v>0.550774127598602</v>
      </c>
    </row>
    <row r="11693" spans="1:3" s="7" customFormat="1" x14ac:dyDescent="0.2">
      <c r="A11693" s="6" t="str">
        <f>"ZNF823"</f>
        <v>ZNF823</v>
      </c>
      <c r="B11693" s="6">
        <v>0.38561438561438499</v>
      </c>
      <c r="C11693" s="6">
        <v>0.550774127598602</v>
      </c>
    </row>
    <row r="11694" spans="1:3" s="7" customFormat="1" x14ac:dyDescent="0.2">
      <c r="A11694" s="6" t="str">
        <f>"AC036214.2"</f>
        <v>AC036214.2</v>
      </c>
      <c r="B11694" s="6">
        <v>0.38561438561438499</v>
      </c>
      <c r="C11694" s="6">
        <v>0.550774127598602</v>
      </c>
    </row>
    <row r="11695" spans="1:3" s="7" customFormat="1" x14ac:dyDescent="0.2">
      <c r="A11695" s="6" t="str">
        <f>"AC005083.1"</f>
        <v>AC005083.1</v>
      </c>
      <c r="B11695" s="6">
        <v>0.38561438561438499</v>
      </c>
      <c r="C11695" s="6">
        <v>0.550774127598602</v>
      </c>
    </row>
    <row r="11696" spans="1:3" s="7" customFormat="1" x14ac:dyDescent="0.2">
      <c r="A11696" s="6" t="str">
        <f>"SPEN"</f>
        <v>SPEN</v>
      </c>
      <c r="B11696" s="6">
        <v>0.38561438561438499</v>
      </c>
      <c r="C11696" s="6">
        <v>0.550774127598602</v>
      </c>
    </row>
    <row r="11697" spans="1:3" s="7" customFormat="1" x14ac:dyDescent="0.2">
      <c r="A11697" s="6" t="str">
        <f>"SLC32A1"</f>
        <v>SLC32A1</v>
      </c>
      <c r="B11697" s="6">
        <v>0.38561438561438499</v>
      </c>
      <c r="C11697" s="6">
        <v>0.550774127598602</v>
      </c>
    </row>
    <row r="11698" spans="1:3" s="7" customFormat="1" x14ac:dyDescent="0.2">
      <c r="A11698" s="6" t="str">
        <f>"RPS6KB2"</f>
        <v>RPS6KB2</v>
      </c>
      <c r="B11698" s="6">
        <v>0.38561438561438499</v>
      </c>
      <c r="C11698" s="6">
        <v>0.550774127598602</v>
      </c>
    </row>
    <row r="11699" spans="1:3" s="7" customFormat="1" x14ac:dyDescent="0.2">
      <c r="A11699" s="6" t="str">
        <f>"PGAP2"</f>
        <v>PGAP2</v>
      </c>
      <c r="B11699" s="6">
        <v>0.38561438561438499</v>
      </c>
      <c r="C11699" s="6">
        <v>0.550774127598602</v>
      </c>
    </row>
    <row r="11700" spans="1:3" s="7" customFormat="1" x14ac:dyDescent="0.2">
      <c r="A11700" s="6" t="str">
        <f>"GUSB"</f>
        <v>GUSB</v>
      </c>
      <c r="B11700" s="6">
        <v>0.38561438561438499</v>
      </c>
      <c r="C11700" s="6">
        <v>0.550774127598602</v>
      </c>
    </row>
    <row r="11701" spans="1:3" s="7" customFormat="1" x14ac:dyDescent="0.2">
      <c r="A11701" s="6" t="str">
        <f>"FAM210B"</f>
        <v>FAM210B</v>
      </c>
      <c r="B11701" s="6">
        <v>0.38561438561438499</v>
      </c>
      <c r="C11701" s="6">
        <v>0.550774127598602</v>
      </c>
    </row>
    <row r="11702" spans="1:3" s="7" customFormat="1" x14ac:dyDescent="0.2">
      <c r="A11702" s="6" t="str">
        <f>"NKAPD1"</f>
        <v>NKAPD1</v>
      </c>
      <c r="B11702" s="6">
        <v>0.38561438561438499</v>
      </c>
      <c r="C11702" s="6">
        <v>0.550774127598602</v>
      </c>
    </row>
    <row r="11703" spans="1:3" s="7" customFormat="1" x14ac:dyDescent="0.2">
      <c r="A11703" s="6" t="str">
        <f>"AL645929.2"</f>
        <v>AL645929.2</v>
      </c>
      <c r="B11703" s="6">
        <v>0.38561438561438499</v>
      </c>
      <c r="C11703" s="6">
        <v>0.550774127598602</v>
      </c>
    </row>
    <row r="11704" spans="1:3" s="7" customFormat="1" x14ac:dyDescent="0.2">
      <c r="A11704" s="6" t="str">
        <f>"PSORS1C3"</f>
        <v>PSORS1C3</v>
      </c>
      <c r="B11704" s="6">
        <v>0.38569989929506499</v>
      </c>
      <c r="C11704" s="6">
        <v>0.550849193951783</v>
      </c>
    </row>
    <row r="11705" spans="1:3" s="7" customFormat="1" x14ac:dyDescent="0.2">
      <c r="A11705" s="6" t="str">
        <f>"AC141586.5"</f>
        <v>AC141586.5</v>
      </c>
      <c r="B11705" s="6">
        <v>0.386386386386386</v>
      </c>
      <c r="C11705" s="6">
        <v>0.55178247283510395</v>
      </c>
    </row>
    <row r="11706" spans="1:3" s="7" customFormat="1" x14ac:dyDescent="0.2">
      <c r="A11706" s="6" t="str">
        <f>"MT1E"</f>
        <v>MT1E</v>
      </c>
      <c r="B11706" s="6">
        <v>0.38661338661338601</v>
      </c>
      <c r="C11706" s="6">
        <v>0.55182375267772299</v>
      </c>
    </row>
    <row r="11707" spans="1:3" s="7" customFormat="1" x14ac:dyDescent="0.2">
      <c r="A11707" s="6" t="str">
        <f>"PPP2R5E"</f>
        <v>PPP2R5E</v>
      </c>
      <c r="B11707" s="6">
        <v>0.38661338661338601</v>
      </c>
      <c r="C11707" s="6">
        <v>0.55182375267772299</v>
      </c>
    </row>
    <row r="11708" spans="1:3" s="7" customFormat="1" x14ac:dyDescent="0.2">
      <c r="A11708" s="6" t="str">
        <f>"MRC1"</f>
        <v>MRC1</v>
      </c>
      <c r="B11708" s="6">
        <v>0.38661338661338601</v>
      </c>
      <c r="C11708" s="6">
        <v>0.55182375267772299</v>
      </c>
    </row>
    <row r="11709" spans="1:3" s="7" customFormat="1" x14ac:dyDescent="0.2">
      <c r="A11709" s="6" t="str">
        <f>"ZDHHC24"</f>
        <v>ZDHHC24</v>
      </c>
      <c r="B11709" s="6">
        <v>0.38661338661338601</v>
      </c>
      <c r="C11709" s="6">
        <v>0.55182375267772299</v>
      </c>
    </row>
    <row r="11710" spans="1:3" s="7" customFormat="1" x14ac:dyDescent="0.2">
      <c r="A11710" s="6" t="str">
        <f>"USF2"</f>
        <v>USF2</v>
      </c>
      <c r="B11710" s="6">
        <v>0.38661338661338601</v>
      </c>
      <c r="C11710" s="6">
        <v>0.55182375267772299</v>
      </c>
    </row>
    <row r="11711" spans="1:3" s="7" customFormat="1" x14ac:dyDescent="0.2">
      <c r="A11711" s="6" t="str">
        <f>"DMAC1"</f>
        <v>DMAC1</v>
      </c>
      <c r="B11711" s="6">
        <v>0.38661338661338601</v>
      </c>
      <c r="C11711" s="6">
        <v>0.55182375267772299</v>
      </c>
    </row>
    <row r="11712" spans="1:3" s="7" customFormat="1" x14ac:dyDescent="0.2">
      <c r="A11712" s="6" t="str">
        <f>"DPPA4"</f>
        <v>DPPA4</v>
      </c>
      <c r="B11712" s="6">
        <v>0.38693467336683401</v>
      </c>
      <c r="C11712" s="6">
        <v>0.55223517467793204</v>
      </c>
    </row>
    <row r="11713" spans="1:3" s="7" customFormat="1" x14ac:dyDescent="0.2">
      <c r="A11713" s="6" t="str">
        <f>"SERHL"</f>
        <v>SERHL</v>
      </c>
      <c r="B11713" s="6">
        <v>0.38700000000000001</v>
      </c>
      <c r="C11713" s="6">
        <v>0.55228124999999995</v>
      </c>
    </row>
    <row r="11714" spans="1:3" s="7" customFormat="1" x14ac:dyDescent="0.2">
      <c r="A11714" s="6" t="str">
        <f>"DCPS"</f>
        <v>DCPS</v>
      </c>
      <c r="B11714" s="6">
        <v>0.38761238761238698</v>
      </c>
      <c r="C11714" s="6">
        <v>0.55263613806648804</v>
      </c>
    </row>
    <row r="11715" spans="1:3" s="7" customFormat="1" x14ac:dyDescent="0.2">
      <c r="A11715" s="6" t="str">
        <f>"TRAM2-AS1"</f>
        <v>TRAM2-AS1</v>
      </c>
      <c r="B11715" s="6">
        <v>0.38761238761238698</v>
      </c>
      <c r="C11715" s="6">
        <v>0.55263613806648804</v>
      </c>
    </row>
    <row r="11716" spans="1:3" s="7" customFormat="1" x14ac:dyDescent="0.2">
      <c r="A11716" s="6" t="str">
        <f>"AC105020.1"</f>
        <v>AC105020.1</v>
      </c>
      <c r="B11716" s="6">
        <v>0.38761238761238698</v>
      </c>
      <c r="C11716" s="6">
        <v>0.55263613806648804</v>
      </c>
    </row>
    <row r="11717" spans="1:3" s="7" customFormat="1" x14ac:dyDescent="0.2">
      <c r="A11717" s="6" t="str">
        <f>"KCNMA1"</f>
        <v>KCNMA1</v>
      </c>
      <c r="B11717" s="6">
        <v>0.38761238761238698</v>
      </c>
      <c r="C11717" s="6">
        <v>0.55263613806648804</v>
      </c>
    </row>
    <row r="11718" spans="1:3" s="7" customFormat="1" x14ac:dyDescent="0.2">
      <c r="A11718" s="6" t="str">
        <f>"STAU2-AS1"</f>
        <v>STAU2-AS1</v>
      </c>
      <c r="B11718" s="6">
        <v>0.38761238761238698</v>
      </c>
      <c r="C11718" s="6">
        <v>0.55263613806648804</v>
      </c>
    </row>
    <row r="11719" spans="1:3" s="7" customFormat="1" x14ac:dyDescent="0.2">
      <c r="A11719" s="6" t="str">
        <f>"PMPCB"</f>
        <v>PMPCB</v>
      </c>
      <c r="B11719" s="6">
        <v>0.38761238761238698</v>
      </c>
      <c r="C11719" s="6">
        <v>0.55263613806648804</v>
      </c>
    </row>
    <row r="11720" spans="1:3" s="7" customFormat="1" x14ac:dyDescent="0.2">
      <c r="A11720" s="6" t="str">
        <f>"NUDT16"</f>
        <v>NUDT16</v>
      </c>
      <c r="B11720" s="6">
        <v>0.38761238761238698</v>
      </c>
      <c r="C11720" s="6">
        <v>0.55263613806648804</v>
      </c>
    </row>
    <row r="11721" spans="1:3" s="7" customFormat="1" x14ac:dyDescent="0.2">
      <c r="A11721" s="6" t="str">
        <f>"ELN"</f>
        <v>ELN</v>
      </c>
      <c r="B11721" s="6">
        <v>0.38761238761238698</v>
      </c>
      <c r="C11721" s="6">
        <v>0.55263613806648804</v>
      </c>
    </row>
    <row r="11722" spans="1:3" s="7" customFormat="1" x14ac:dyDescent="0.2">
      <c r="A11722" s="6" t="str">
        <f>"AC005280.1"</f>
        <v>AC005280.1</v>
      </c>
      <c r="B11722" s="6">
        <v>0.38761238761238698</v>
      </c>
      <c r="C11722" s="6">
        <v>0.55263613806648804</v>
      </c>
    </row>
    <row r="11723" spans="1:3" s="7" customFormat="1" x14ac:dyDescent="0.2">
      <c r="A11723" s="6" t="str">
        <f>"TENM4"</f>
        <v>TENM4</v>
      </c>
      <c r="B11723" s="6">
        <v>0.38761238761238698</v>
      </c>
      <c r="C11723" s="6">
        <v>0.55263613806648804</v>
      </c>
    </row>
    <row r="11724" spans="1:3" s="7" customFormat="1" x14ac:dyDescent="0.2">
      <c r="A11724" s="6" t="str">
        <f>"AL109615.4"</f>
        <v>AL109615.4</v>
      </c>
      <c r="B11724" s="6">
        <v>0.38761238761238698</v>
      </c>
      <c r="C11724" s="6">
        <v>0.55263613806648804</v>
      </c>
    </row>
    <row r="11725" spans="1:3" s="7" customFormat="1" x14ac:dyDescent="0.2">
      <c r="A11725" s="6" t="str">
        <f>"AL121917.1"</f>
        <v>AL121917.1</v>
      </c>
      <c r="B11725" s="6">
        <v>0.38810483870967699</v>
      </c>
      <c r="C11725" s="6">
        <v>0.55325391026883497</v>
      </c>
    </row>
    <row r="11726" spans="1:3" s="7" customFormat="1" x14ac:dyDescent="0.2">
      <c r="A11726" s="6" t="str">
        <f>"AC098484.4"</f>
        <v>AC098484.4</v>
      </c>
      <c r="B11726" s="6">
        <v>0.38811188811188801</v>
      </c>
      <c r="C11726" s="6">
        <v>0.55325391026883497</v>
      </c>
    </row>
    <row r="11727" spans="1:3" s="7" customFormat="1" x14ac:dyDescent="0.2">
      <c r="A11727" s="6" t="str">
        <f>"SPATA5L1"</f>
        <v>SPATA5L1</v>
      </c>
      <c r="B11727" s="6">
        <v>0.388611388611388</v>
      </c>
      <c r="C11727" s="6">
        <v>0.55330528573564597</v>
      </c>
    </row>
    <row r="11728" spans="1:3" s="7" customFormat="1" x14ac:dyDescent="0.2">
      <c r="A11728" s="6" t="str">
        <f>"ZNF736"</f>
        <v>ZNF736</v>
      </c>
      <c r="B11728" s="6">
        <v>0.388611388611388</v>
      </c>
      <c r="C11728" s="6">
        <v>0.55330528573564597</v>
      </c>
    </row>
    <row r="11729" spans="1:3" s="7" customFormat="1" x14ac:dyDescent="0.2">
      <c r="A11729" s="6" t="str">
        <f>"AL355987.3"</f>
        <v>AL355987.3</v>
      </c>
      <c r="B11729" s="6">
        <v>0.388611388611388</v>
      </c>
      <c r="C11729" s="6">
        <v>0.55330528573564597</v>
      </c>
    </row>
    <row r="11730" spans="1:3" s="7" customFormat="1" x14ac:dyDescent="0.2">
      <c r="A11730" s="6" t="str">
        <f>"AC116158.1"</f>
        <v>AC116158.1</v>
      </c>
      <c r="B11730" s="6">
        <v>0.388611388611388</v>
      </c>
      <c r="C11730" s="6">
        <v>0.55330528573564597</v>
      </c>
    </row>
    <row r="11731" spans="1:3" s="7" customFormat="1" x14ac:dyDescent="0.2">
      <c r="A11731" s="6" t="str">
        <f>"LAMC2"</f>
        <v>LAMC2</v>
      </c>
      <c r="B11731" s="6">
        <v>0.388611388611388</v>
      </c>
      <c r="C11731" s="6">
        <v>0.55330528573564597</v>
      </c>
    </row>
    <row r="11732" spans="1:3" s="7" customFormat="1" x14ac:dyDescent="0.2">
      <c r="A11732" s="6" t="str">
        <f>"PNPT1"</f>
        <v>PNPT1</v>
      </c>
      <c r="B11732" s="6">
        <v>0.388611388611388</v>
      </c>
      <c r="C11732" s="6">
        <v>0.55330528573564597</v>
      </c>
    </row>
    <row r="11733" spans="1:3" s="7" customFormat="1" x14ac:dyDescent="0.2">
      <c r="A11733" s="6" t="str">
        <f>"WWP1"</f>
        <v>WWP1</v>
      </c>
      <c r="B11733" s="6">
        <v>0.388611388611388</v>
      </c>
      <c r="C11733" s="6">
        <v>0.55330528573564597</v>
      </c>
    </row>
    <row r="11734" spans="1:3" s="7" customFormat="1" x14ac:dyDescent="0.2">
      <c r="A11734" s="6" t="str">
        <f>"RPL32"</f>
        <v>RPL32</v>
      </c>
      <c r="B11734" s="6">
        <v>0.388611388611388</v>
      </c>
      <c r="C11734" s="6">
        <v>0.55330528573564597</v>
      </c>
    </row>
    <row r="11735" spans="1:3" s="7" customFormat="1" x14ac:dyDescent="0.2">
      <c r="A11735" s="6" t="str">
        <f>"ESPNL"</f>
        <v>ESPNL</v>
      </c>
      <c r="B11735" s="6">
        <v>0.388611388611388</v>
      </c>
      <c r="C11735" s="6">
        <v>0.55330528573564597</v>
      </c>
    </row>
    <row r="11736" spans="1:3" s="7" customFormat="1" x14ac:dyDescent="0.2">
      <c r="A11736" s="6" t="str">
        <f>"TAF4B"</f>
        <v>TAF4B</v>
      </c>
      <c r="B11736" s="6">
        <v>0.388611388611388</v>
      </c>
      <c r="C11736" s="6">
        <v>0.55330528573564597</v>
      </c>
    </row>
    <row r="11737" spans="1:3" s="7" customFormat="1" x14ac:dyDescent="0.2">
      <c r="A11737" s="6" t="str">
        <f>"SNHG28"</f>
        <v>SNHG28</v>
      </c>
      <c r="B11737" s="6">
        <v>0.388611388611388</v>
      </c>
      <c r="C11737" s="6">
        <v>0.55330528573564597</v>
      </c>
    </row>
    <row r="11738" spans="1:3" s="7" customFormat="1" x14ac:dyDescent="0.2">
      <c r="A11738" s="6" t="str">
        <f>"ATG5"</f>
        <v>ATG5</v>
      </c>
      <c r="B11738" s="6">
        <v>0.388611388611388</v>
      </c>
      <c r="C11738" s="6">
        <v>0.55330528573564597</v>
      </c>
    </row>
    <row r="11739" spans="1:3" s="7" customFormat="1" x14ac:dyDescent="0.2">
      <c r="A11739" s="6" t="str">
        <f>"OR52N4"</f>
        <v>OR52N4</v>
      </c>
      <c r="B11739" s="6">
        <v>0.388611388611388</v>
      </c>
      <c r="C11739" s="6">
        <v>0.55330528573564597</v>
      </c>
    </row>
    <row r="11740" spans="1:3" s="7" customFormat="1" x14ac:dyDescent="0.2">
      <c r="A11740" s="6" t="str">
        <f>"PALM2AKAP2"</f>
        <v>PALM2AKAP2</v>
      </c>
      <c r="B11740" s="6">
        <v>0.388611388611388</v>
      </c>
      <c r="C11740" s="6">
        <v>0.55330528573564597</v>
      </c>
    </row>
    <row r="11741" spans="1:3" s="7" customFormat="1" x14ac:dyDescent="0.2">
      <c r="A11741" s="6" t="str">
        <f>"OR11G2"</f>
        <v>OR11G2</v>
      </c>
      <c r="B11741" s="6">
        <v>0.38961038961038902</v>
      </c>
      <c r="C11741" s="6">
        <v>0.55411402756535499</v>
      </c>
    </row>
    <row r="11742" spans="1:3" s="7" customFormat="1" x14ac:dyDescent="0.2">
      <c r="A11742" s="6" t="str">
        <f>"IRX2"</f>
        <v>IRX2</v>
      </c>
      <c r="B11742" s="6">
        <v>0.38961038961038902</v>
      </c>
      <c r="C11742" s="6">
        <v>0.55411402756535499</v>
      </c>
    </row>
    <row r="11743" spans="1:3" s="7" customFormat="1" x14ac:dyDescent="0.2">
      <c r="A11743" s="6" t="str">
        <f>"TIMM17A"</f>
        <v>TIMM17A</v>
      </c>
      <c r="B11743" s="6">
        <v>0.38961038961038902</v>
      </c>
      <c r="C11743" s="6">
        <v>0.55411402756535499</v>
      </c>
    </row>
    <row r="11744" spans="1:3" s="7" customFormat="1" x14ac:dyDescent="0.2">
      <c r="A11744" s="6" t="str">
        <f>"ADAMTS12"</f>
        <v>ADAMTS12</v>
      </c>
      <c r="B11744" s="6">
        <v>0.38961038961038902</v>
      </c>
      <c r="C11744" s="6">
        <v>0.55411402756535499</v>
      </c>
    </row>
    <row r="11745" spans="1:3" s="7" customFormat="1" x14ac:dyDescent="0.2">
      <c r="A11745" s="6" t="str">
        <f>"IL21R"</f>
        <v>IL21R</v>
      </c>
      <c r="B11745" s="6">
        <v>0.38961038961038902</v>
      </c>
      <c r="C11745" s="6">
        <v>0.55411402756535499</v>
      </c>
    </row>
    <row r="11746" spans="1:3" s="7" customFormat="1" x14ac:dyDescent="0.2">
      <c r="A11746" s="6" t="str">
        <f>"ADAMTSL5"</f>
        <v>ADAMTSL5</v>
      </c>
      <c r="B11746" s="6">
        <v>0.38961038961038902</v>
      </c>
      <c r="C11746" s="6">
        <v>0.55411402756535499</v>
      </c>
    </row>
    <row r="11747" spans="1:3" s="7" customFormat="1" x14ac:dyDescent="0.2">
      <c r="A11747" s="6" t="str">
        <f>"NIM1K"</f>
        <v>NIM1K</v>
      </c>
      <c r="B11747" s="6">
        <v>0.38961038961038902</v>
      </c>
      <c r="C11747" s="6">
        <v>0.55411402756535499</v>
      </c>
    </row>
    <row r="11748" spans="1:3" s="7" customFormat="1" x14ac:dyDescent="0.2">
      <c r="A11748" s="6" t="str">
        <f>"HOOK2"</f>
        <v>HOOK2</v>
      </c>
      <c r="B11748" s="6">
        <v>0.38961038961038902</v>
      </c>
      <c r="C11748" s="6">
        <v>0.55411402756535499</v>
      </c>
    </row>
    <row r="11749" spans="1:3" s="7" customFormat="1" x14ac:dyDescent="0.2">
      <c r="A11749" s="6" t="str">
        <f>"FAM110D"</f>
        <v>FAM110D</v>
      </c>
      <c r="B11749" s="6">
        <v>0.38961038961038902</v>
      </c>
      <c r="C11749" s="6">
        <v>0.55411402756535499</v>
      </c>
    </row>
    <row r="11750" spans="1:3" s="7" customFormat="1" x14ac:dyDescent="0.2">
      <c r="A11750" s="6" t="str">
        <f>"RPS2P7"</f>
        <v>RPS2P7</v>
      </c>
      <c r="B11750" s="6">
        <v>0.38961038961038902</v>
      </c>
      <c r="C11750" s="6">
        <v>0.55411402756535499</v>
      </c>
    </row>
    <row r="11751" spans="1:3" s="7" customFormat="1" x14ac:dyDescent="0.2">
      <c r="A11751" s="6" t="str">
        <f>"RPL37"</f>
        <v>RPL37</v>
      </c>
      <c r="B11751" s="6">
        <v>0.38961038961038902</v>
      </c>
      <c r="C11751" s="6">
        <v>0.55411402756535499</v>
      </c>
    </row>
    <row r="11752" spans="1:3" s="7" customFormat="1" x14ac:dyDescent="0.2">
      <c r="A11752" s="6" t="str">
        <f>"FAM131B"</f>
        <v>FAM131B</v>
      </c>
      <c r="B11752" s="6">
        <v>0.38961038961038902</v>
      </c>
      <c r="C11752" s="6">
        <v>0.55411402756535499</v>
      </c>
    </row>
    <row r="11753" spans="1:3" s="7" customFormat="1" x14ac:dyDescent="0.2">
      <c r="A11753" s="6" t="str">
        <f>"FAM217B"</f>
        <v>FAM217B</v>
      </c>
      <c r="B11753" s="6">
        <v>0.38961038961038902</v>
      </c>
      <c r="C11753" s="6">
        <v>0.55411402756535499</v>
      </c>
    </row>
    <row r="11754" spans="1:3" s="7" customFormat="1" x14ac:dyDescent="0.2">
      <c r="A11754" s="6" t="str">
        <f>"ACSL5"</f>
        <v>ACSL5</v>
      </c>
      <c r="B11754" s="6">
        <v>0.39</v>
      </c>
      <c r="C11754" s="6">
        <v>0.55462094784310301</v>
      </c>
    </row>
    <row r="11755" spans="1:3" s="7" customFormat="1" x14ac:dyDescent="0.2">
      <c r="A11755" s="6" t="str">
        <f>"AC098591.2"</f>
        <v>AC098591.2</v>
      </c>
      <c r="B11755" s="6">
        <v>0.39017051153460303</v>
      </c>
      <c r="C11755" s="6">
        <v>0.55481622679848197</v>
      </c>
    </row>
    <row r="11756" spans="1:3" s="7" customFormat="1" x14ac:dyDescent="0.2">
      <c r="A11756" s="6" t="str">
        <f>"KCNMB3"</f>
        <v>KCNMB3</v>
      </c>
      <c r="B11756" s="6">
        <v>0.39060939060938998</v>
      </c>
      <c r="C11756" s="6">
        <v>0.55487381902476196</v>
      </c>
    </row>
    <row r="11757" spans="1:3" s="7" customFormat="1" x14ac:dyDescent="0.2">
      <c r="A11757" s="6" t="str">
        <f>"ZNF880"</f>
        <v>ZNF880</v>
      </c>
      <c r="B11757" s="6">
        <v>0.39060939060938998</v>
      </c>
      <c r="C11757" s="6">
        <v>0.55487381902476196</v>
      </c>
    </row>
    <row r="11758" spans="1:3" s="7" customFormat="1" x14ac:dyDescent="0.2">
      <c r="A11758" s="6" t="str">
        <f>"COL4A4"</f>
        <v>COL4A4</v>
      </c>
      <c r="B11758" s="6">
        <v>0.39060939060938998</v>
      </c>
      <c r="C11758" s="6">
        <v>0.55487381902476196</v>
      </c>
    </row>
    <row r="11759" spans="1:3" s="7" customFormat="1" x14ac:dyDescent="0.2">
      <c r="A11759" s="6" t="str">
        <f>"METTL6"</f>
        <v>METTL6</v>
      </c>
      <c r="B11759" s="6">
        <v>0.39060939060938998</v>
      </c>
      <c r="C11759" s="6">
        <v>0.55487381902476196</v>
      </c>
    </row>
    <row r="11760" spans="1:3" s="7" customFormat="1" x14ac:dyDescent="0.2">
      <c r="A11760" s="6" t="str">
        <f>"ANAPC2"</f>
        <v>ANAPC2</v>
      </c>
      <c r="B11760" s="6">
        <v>0.39060939060938998</v>
      </c>
      <c r="C11760" s="6">
        <v>0.55487381902476196</v>
      </c>
    </row>
    <row r="11761" spans="1:3" s="7" customFormat="1" x14ac:dyDescent="0.2">
      <c r="A11761" s="6" t="str">
        <f>"ARHGAP8"</f>
        <v>ARHGAP8</v>
      </c>
      <c r="B11761" s="6">
        <v>0.39060939060938998</v>
      </c>
      <c r="C11761" s="6">
        <v>0.55487381902476196</v>
      </c>
    </row>
    <row r="11762" spans="1:3" s="7" customFormat="1" x14ac:dyDescent="0.2">
      <c r="A11762" s="6" t="str">
        <f>"BYSL"</f>
        <v>BYSL</v>
      </c>
      <c r="B11762" s="6">
        <v>0.39060939060938998</v>
      </c>
      <c r="C11762" s="6">
        <v>0.55487381902476196</v>
      </c>
    </row>
    <row r="11763" spans="1:3" s="7" customFormat="1" x14ac:dyDescent="0.2">
      <c r="A11763" s="6" t="str">
        <f>"POLD4"</f>
        <v>POLD4</v>
      </c>
      <c r="B11763" s="6">
        <v>0.39060939060938998</v>
      </c>
      <c r="C11763" s="6">
        <v>0.55487381902476196</v>
      </c>
    </row>
    <row r="11764" spans="1:3" s="7" customFormat="1" x14ac:dyDescent="0.2">
      <c r="A11764" s="6" t="str">
        <f>"IZUMO2"</f>
        <v>IZUMO2</v>
      </c>
      <c r="B11764" s="6">
        <v>0.39060939060938998</v>
      </c>
      <c r="C11764" s="6">
        <v>0.55487381902476196</v>
      </c>
    </row>
    <row r="11765" spans="1:3" s="7" customFormat="1" x14ac:dyDescent="0.2">
      <c r="A11765" s="6" t="str">
        <f>"VSIG8"</f>
        <v>VSIG8</v>
      </c>
      <c r="B11765" s="6">
        <v>0.39060939060938998</v>
      </c>
      <c r="C11765" s="6">
        <v>0.55487381902476196</v>
      </c>
    </row>
    <row r="11766" spans="1:3" s="7" customFormat="1" x14ac:dyDescent="0.2">
      <c r="A11766" s="6" t="str">
        <f>"GAS2L2"</f>
        <v>GAS2L2</v>
      </c>
      <c r="B11766" s="6">
        <v>0.39060939060938998</v>
      </c>
      <c r="C11766" s="6">
        <v>0.55487381902476196</v>
      </c>
    </row>
    <row r="11767" spans="1:3" s="7" customFormat="1" x14ac:dyDescent="0.2">
      <c r="A11767" s="6" t="str">
        <f>"POLR2L"</f>
        <v>POLR2L</v>
      </c>
      <c r="B11767" s="6">
        <v>0.39060939060938998</v>
      </c>
      <c r="C11767" s="6">
        <v>0.55487381902476196</v>
      </c>
    </row>
    <row r="11768" spans="1:3" s="7" customFormat="1" x14ac:dyDescent="0.2">
      <c r="A11768" s="6" t="str">
        <f>"IMPDH1P10"</f>
        <v>IMPDH1P10</v>
      </c>
      <c r="B11768" s="6">
        <v>0.39100000000000001</v>
      </c>
      <c r="C11768" s="6">
        <v>0.55538149060933095</v>
      </c>
    </row>
    <row r="11769" spans="1:3" s="7" customFormat="1" x14ac:dyDescent="0.2">
      <c r="A11769" s="6" t="str">
        <f>"AP003175.1"</f>
        <v>AP003175.1</v>
      </c>
      <c r="B11769" s="6">
        <v>0.39110604332953203</v>
      </c>
      <c r="C11769" s="6">
        <v>0.55548490892333402</v>
      </c>
    </row>
    <row r="11770" spans="1:3" s="7" customFormat="1" x14ac:dyDescent="0.2">
      <c r="A11770" s="6" t="str">
        <f>"NRN1"</f>
        <v>NRN1</v>
      </c>
      <c r="B11770" s="6">
        <v>0.391608391608391</v>
      </c>
      <c r="C11770" s="6">
        <v>0.55558464114613804</v>
      </c>
    </row>
    <row r="11771" spans="1:3" s="7" customFormat="1" x14ac:dyDescent="0.2">
      <c r="A11771" s="6" t="str">
        <f>"AC008496.3"</f>
        <v>AC008496.3</v>
      </c>
      <c r="B11771" s="6">
        <v>0.391608391608391</v>
      </c>
      <c r="C11771" s="6">
        <v>0.55558464114613804</v>
      </c>
    </row>
    <row r="11772" spans="1:3" s="7" customFormat="1" x14ac:dyDescent="0.2">
      <c r="A11772" s="6" t="str">
        <f>"GCSAM"</f>
        <v>GCSAM</v>
      </c>
      <c r="B11772" s="6">
        <v>0.391608391608391</v>
      </c>
      <c r="C11772" s="6">
        <v>0.55558464114613804</v>
      </c>
    </row>
    <row r="11773" spans="1:3" s="7" customFormat="1" x14ac:dyDescent="0.2">
      <c r="A11773" s="6" t="str">
        <f>"PLA2G4E"</f>
        <v>PLA2G4E</v>
      </c>
      <c r="B11773" s="6">
        <v>0.391608391608391</v>
      </c>
      <c r="C11773" s="6">
        <v>0.55558464114613804</v>
      </c>
    </row>
    <row r="11774" spans="1:3" s="7" customFormat="1" x14ac:dyDescent="0.2">
      <c r="A11774" s="6" t="str">
        <f>"LINC01670"</f>
        <v>LINC01670</v>
      </c>
      <c r="B11774" s="6">
        <v>0.391608391608391</v>
      </c>
      <c r="C11774" s="6">
        <v>0.55558464114613804</v>
      </c>
    </row>
    <row r="11775" spans="1:3" s="7" customFormat="1" x14ac:dyDescent="0.2">
      <c r="A11775" s="6" t="str">
        <f>"SP6"</f>
        <v>SP6</v>
      </c>
      <c r="B11775" s="6">
        <v>0.391608391608391</v>
      </c>
      <c r="C11775" s="6">
        <v>0.55558464114613804</v>
      </c>
    </row>
    <row r="11776" spans="1:3" s="7" customFormat="1" x14ac:dyDescent="0.2">
      <c r="A11776" s="6" t="str">
        <f>"LIPK"</f>
        <v>LIPK</v>
      </c>
      <c r="B11776" s="6">
        <v>0.391608391608391</v>
      </c>
      <c r="C11776" s="6">
        <v>0.55558464114613804</v>
      </c>
    </row>
    <row r="11777" spans="1:3" s="7" customFormat="1" x14ac:dyDescent="0.2">
      <c r="A11777" s="6" t="str">
        <f>"AC005790.1"</f>
        <v>AC005790.1</v>
      </c>
      <c r="B11777" s="6">
        <v>0.391608391608391</v>
      </c>
      <c r="C11777" s="6">
        <v>0.55558464114613804</v>
      </c>
    </row>
    <row r="11778" spans="1:3" s="7" customFormat="1" x14ac:dyDescent="0.2">
      <c r="A11778" s="6" t="str">
        <f>"LINC02832"</f>
        <v>LINC02832</v>
      </c>
      <c r="B11778" s="6">
        <v>0.391608391608391</v>
      </c>
      <c r="C11778" s="6">
        <v>0.55558464114613804</v>
      </c>
    </row>
    <row r="11779" spans="1:3" s="7" customFormat="1" x14ac:dyDescent="0.2">
      <c r="A11779" s="6" t="str">
        <f>"SDSL"</f>
        <v>SDSL</v>
      </c>
      <c r="B11779" s="6">
        <v>0.391608391608391</v>
      </c>
      <c r="C11779" s="6">
        <v>0.55558464114613804</v>
      </c>
    </row>
    <row r="11780" spans="1:3" s="7" customFormat="1" x14ac:dyDescent="0.2">
      <c r="A11780" s="6" t="str">
        <f>"LINC00327"</f>
        <v>LINC00327</v>
      </c>
      <c r="B11780" s="6">
        <v>0.391608391608391</v>
      </c>
      <c r="C11780" s="6">
        <v>0.55558464114613804</v>
      </c>
    </row>
    <row r="11781" spans="1:3" s="7" customFormat="1" x14ac:dyDescent="0.2">
      <c r="A11781" s="6" t="str">
        <f>"RPL18AP3"</f>
        <v>RPL18AP3</v>
      </c>
      <c r="B11781" s="6">
        <v>0.391608391608391</v>
      </c>
      <c r="C11781" s="6">
        <v>0.55558464114613804</v>
      </c>
    </row>
    <row r="11782" spans="1:3" s="7" customFormat="1" x14ac:dyDescent="0.2">
      <c r="A11782" s="6" t="str">
        <f>"LDB1"</f>
        <v>LDB1</v>
      </c>
      <c r="B11782" s="6">
        <v>0.391608391608391</v>
      </c>
      <c r="C11782" s="6">
        <v>0.55558464114613804</v>
      </c>
    </row>
    <row r="11783" spans="1:3" s="7" customFormat="1" x14ac:dyDescent="0.2">
      <c r="A11783" s="6" t="str">
        <f>"AC020912.1"</f>
        <v>AC020912.1</v>
      </c>
      <c r="B11783" s="6">
        <v>0.39217652958876598</v>
      </c>
      <c r="C11783" s="6">
        <v>0.556343448951505</v>
      </c>
    </row>
    <row r="11784" spans="1:3" s="7" customFormat="1" x14ac:dyDescent="0.2">
      <c r="A11784" s="6" t="str">
        <f>"OR4K17"</f>
        <v>OR4K17</v>
      </c>
      <c r="B11784" s="6">
        <v>0.39223697650663902</v>
      </c>
      <c r="C11784" s="6">
        <v>0.55638197618025698</v>
      </c>
    </row>
    <row r="11785" spans="1:3" s="7" customFormat="1" x14ac:dyDescent="0.2">
      <c r="A11785" s="6" t="str">
        <f>"TANGO2"</f>
        <v>TANGO2</v>
      </c>
      <c r="B11785" s="6">
        <v>0.39260739260739203</v>
      </c>
      <c r="C11785" s="6">
        <v>0.55638799050703402</v>
      </c>
    </row>
    <row r="11786" spans="1:3" s="7" customFormat="1" x14ac:dyDescent="0.2">
      <c r="A11786" s="6" t="str">
        <f>"MBD5"</f>
        <v>MBD5</v>
      </c>
      <c r="B11786" s="6">
        <v>0.39260739260739203</v>
      </c>
      <c r="C11786" s="6">
        <v>0.55638799050703402</v>
      </c>
    </row>
    <row r="11787" spans="1:3" s="7" customFormat="1" x14ac:dyDescent="0.2">
      <c r="A11787" s="6" t="str">
        <f>"ZNF667"</f>
        <v>ZNF667</v>
      </c>
      <c r="B11787" s="6">
        <v>0.39260739260739203</v>
      </c>
      <c r="C11787" s="6">
        <v>0.55638799050703402</v>
      </c>
    </row>
    <row r="11788" spans="1:3" s="7" customFormat="1" x14ac:dyDescent="0.2">
      <c r="A11788" s="6" t="str">
        <f>"PRDM7"</f>
        <v>PRDM7</v>
      </c>
      <c r="B11788" s="6">
        <v>0.39260739260739203</v>
      </c>
      <c r="C11788" s="6">
        <v>0.55638799050703402</v>
      </c>
    </row>
    <row r="11789" spans="1:3" s="7" customFormat="1" x14ac:dyDescent="0.2">
      <c r="A11789" s="6" t="str">
        <f>"LINC01770"</f>
        <v>LINC01770</v>
      </c>
      <c r="B11789" s="6">
        <v>0.39260739260739203</v>
      </c>
      <c r="C11789" s="6">
        <v>0.55638799050703402</v>
      </c>
    </row>
    <row r="11790" spans="1:3" s="7" customFormat="1" x14ac:dyDescent="0.2">
      <c r="A11790" s="6" t="str">
        <f>"C6"</f>
        <v>C6</v>
      </c>
      <c r="B11790" s="6">
        <v>0.39260739260739203</v>
      </c>
      <c r="C11790" s="6">
        <v>0.55638799050703402</v>
      </c>
    </row>
    <row r="11791" spans="1:3" s="7" customFormat="1" x14ac:dyDescent="0.2">
      <c r="A11791" s="6" t="str">
        <f>"OTOA"</f>
        <v>OTOA</v>
      </c>
      <c r="B11791" s="6">
        <v>0.39260739260739203</v>
      </c>
      <c r="C11791" s="6">
        <v>0.55638799050703402</v>
      </c>
    </row>
    <row r="11792" spans="1:3" s="7" customFormat="1" x14ac:dyDescent="0.2">
      <c r="A11792" s="6" t="str">
        <f>"MRPL27"</f>
        <v>MRPL27</v>
      </c>
      <c r="B11792" s="6">
        <v>0.39260739260739203</v>
      </c>
      <c r="C11792" s="6">
        <v>0.55638799050703402</v>
      </c>
    </row>
    <row r="11793" spans="1:3" s="7" customFormat="1" x14ac:dyDescent="0.2">
      <c r="A11793" s="6" t="str">
        <f>"ETV5"</f>
        <v>ETV5</v>
      </c>
      <c r="B11793" s="6">
        <v>0.39260739260739203</v>
      </c>
      <c r="C11793" s="6">
        <v>0.55638799050703402</v>
      </c>
    </row>
    <row r="11794" spans="1:3" s="7" customFormat="1" x14ac:dyDescent="0.2">
      <c r="A11794" s="6" t="str">
        <f>"ARIH2OS"</f>
        <v>ARIH2OS</v>
      </c>
      <c r="B11794" s="6">
        <v>0.39260739260739203</v>
      </c>
      <c r="C11794" s="6">
        <v>0.55638799050703402</v>
      </c>
    </row>
    <row r="11795" spans="1:3" s="7" customFormat="1" x14ac:dyDescent="0.2">
      <c r="A11795" s="6" t="str">
        <f>"SF3B1"</f>
        <v>SF3B1</v>
      </c>
      <c r="B11795" s="6">
        <v>0.39260739260739203</v>
      </c>
      <c r="C11795" s="6">
        <v>0.55638799050703402</v>
      </c>
    </row>
    <row r="11796" spans="1:3" s="7" customFormat="1" x14ac:dyDescent="0.2">
      <c r="A11796" s="6" t="str">
        <f>"AACSP1"</f>
        <v>AACSP1</v>
      </c>
      <c r="B11796" s="6">
        <v>0.39300000000000002</v>
      </c>
      <c r="C11796" s="6">
        <v>0.55689715981347998</v>
      </c>
    </row>
    <row r="11797" spans="1:3" s="7" customFormat="1" x14ac:dyDescent="0.2">
      <c r="A11797" s="6" t="str">
        <f>"FP671120.6"</f>
        <v>FP671120.6</v>
      </c>
      <c r="B11797" s="6">
        <v>0.39360639360639299</v>
      </c>
      <c r="C11797" s="6">
        <v>0.55728396973632</v>
      </c>
    </row>
    <row r="11798" spans="1:3" s="7" customFormat="1" x14ac:dyDescent="0.2">
      <c r="A11798" s="6" t="str">
        <f>"OSER1"</f>
        <v>OSER1</v>
      </c>
      <c r="B11798" s="6">
        <v>0.39360639360639299</v>
      </c>
      <c r="C11798" s="6">
        <v>0.55728396973632</v>
      </c>
    </row>
    <row r="11799" spans="1:3" s="7" customFormat="1" x14ac:dyDescent="0.2">
      <c r="A11799" s="6" t="str">
        <f>"ARNILA"</f>
        <v>ARNILA</v>
      </c>
      <c r="B11799" s="6">
        <v>0.39339339339339302</v>
      </c>
      <c r="C11799" s="6">
        <v>0.55728396973632</v>
      </c>
    </row>
    <row r="11800" spans="1:3" s="7" customFormat="1" x14ac:dyDescent="0.2">
      <c r="A11800" s="6" t="str">
        <f>"LINC00653"</f>
        <v>LINC00653</v>
      </c>
      <c r="B11800" s="6">
        <v>0.39360639360639299</v>
      </c>
      <c r="C11800" s="6">
        <v>0.55728396973632</v>
      </c>
    </row>
    <row r="11801" spans="1:3" s="7" customFormat="1" x14ac:dyDescent="0.2">
      <c r="A11801" s="6" t="str">
        <f>"ZNF747"</f>
        <v>ZNF747</v>
      </c>
      <c r="B11801" s="6">
        <v>0.39360639360639299</v>
      </c>
      <c r="C11801" s="6">
        <v>0.55728396973632</v>
      </c>
    </row>
    <row r="11802" spans="1:3" s="7" customFormat="1" x14ac:dyDescent="0.2">
      <c r="A11802" s="6" t="str">
        <f>"AFMID"</f>
        <v>AFMID</v>
      </c>
      <c r="B11802" s="6">
        <v>0.39360639360639299</v>
      </c>
      <c r="C11802" s="6">
        <v>0.55728396973632</v>
      </c>
    </row>
    <row r="11803" spans="1:3" s="7" customFormat="1" x14ac:dyDescent="0.2">
      <c r="A11803" s="6" t="str">
        <f>"AL355512.1"</f>
        <v>AL355512.1</v>
      </c>
      <c r="B11803" s="6">
        <v>0.39360639360639299</v>
      </c>
      <c r="C11803" s="6">
        <v>0.55728396973632</v>
      </c>
    </row>
    <row r="11804" spans="1:3" s="7" customFormat="1" x14ac:dyDescent="0.2">
      <c r="A11804" s="6" t="str">
        <f>"OGFOD3"</f>
        <v>OGFOD3</v>
      </c>
      <c r="B11804" s="6">
        <v>0.39360639360639299</v>
      </c>
      <c r="C11804" s="6">
        <v>0.55728396973632</v>
      </c>
    </row>
    <row r="11805" spans="1:3" s="7" customFormat="1" x14ac:dyDescent="0.2">
      <c r="A11805" s="6" t="str">
        <f>"ADAMTS14"</f>
        <v>ADAMTS14</v>
      </c>
      <c r="B11805" s="6">
        <v>0.39360639360639299</v>
      </c>
      <c r="C11805" s="6">
        <v>0.55728396973632</v>
      </c>
    </row>
    <row r="11806" spans="1:3" s="7" customFormat="1" x14ac:dyDescent="0.2">
      <c r="A11806" s="6" t="str">
        <f>"DTX4"</f>
        <v>DTX4</v>
      </c>
      <c r="B11806" s="6">
        <v>0.39360639360639299</v>
      </c>
      <c r="C11806" s="6">
        <v>0.55728396973632</v>
      </c>
    </row>
    <row r="11807" spans="1:3" s="7" customFormat="1" x14ac:dyDescent="0.2">
      <c r="A11807" s="6" t="str">
        <f>"ZNF200"</f>
        <v>ZNF200</v>
      </c>
      <c r="B11807" s="6">
        <v>0.39400000000000002</v>
      </c>
      <c r="C11807" s="6">
        <v>0.55769952574525705</v>
      </c>
    </row>
    <row r="11808" spans="1:3" s="7" customFormat="1" x14ac:dyDescent="0.2">
      <c r="A11808" s="6" t="str">
        <f>"VPS9D1-AS1"</f>
        <v>VPS9D1-AS1</v>
      </c>
      <c r="B11808" s="6">
        <v>0.39400000000000002</v>
      </c>
      <c r="C11808" s="6">
        <v>0.55769952574525705</v>
      </c>
    </row>
    <row r="11809" spans="1:3" s="7" customFormat="1" x14ac:dyDescent="0.2">
      <c r="A11809" s="6" t="str">
        <f>"AP001160.2"</f>
        <v>AP001160.2</v>
      </c>
      <c r="B11809" s="6">
        <v>0.39400000000000002</v>
      </c>
      <c r="C11809" s="6">
        <v>0.55769952574525705</v>
      </c>
    </row>
    <row r="11810" spans="1:3" s="7" customFormat="1" x14ac:dyDescent="0.2">
      <c r="A11810" s="6" t="str">
        <f>"ILRUN"</f>
        <v>ILRUN</v>
      </c>
      <c r="B11810" s="6">
        <v>0.39460539460539401</v>
      </c>
      <c r="C11810" s="6">
        <v>0.55808381836474497</v>
      </c>
    </row>
    <row r="11811" spans="1:3" s="7" customFormat="1" x14ac:dyDescent="0.2">
      <c r="A11811" s="6" t="str">
        <f>"AL008730.1"</f>
        <v>AL008730.1</v>
      </c>
      <c r="B11811" s="6">
        <v>0.39460539460539401</v>
      </c>
      <c r="C11811" s="6">
        <v>0.55808381836474497</v>
      </c>
    </row>
    <row r="11812" spans="1:3" s="7" customFormat="1" x14ac:dyDescent="0.2">
      <c r="A11812" s="6" t="str">
        <f>"URGCP"</f>
        <v>URGCP</v>
      </c>
      <c r="B11812" s="6">
        <v>0.39460539460539401</v>
      </c>
      <c r="C11812" s="6">
        <v>0.55808381836474497</v>
      </c>
    </row>
    <row r="11813" spans="1:3" s="7" customFormat="1" x14ac:dyDescent="0.2">
      <c r="A11813" s="6" t="str">
        <f>"DHX30"</f>
        <v>DHX30</v>
      </c>
      <c r="B11813" s="6">
        <v>0.39460539460539401</v>
      </c>
      <c r="C11813" s="6">
        <v>0.55808381836474497</v>
      </c>
    </row>
    <row r="11814" spans="1:3" s="7" customFormat="1" x14ac:dyDescent="0.2">
      <c r="A11814" s="6" t="str">
        <f>"NEXN"</f>
        <v>NEXN</v>
      </c>
      <c r="B11814" s="6">
        <v>0.39460539460539401</v>
      </c>
      <c r="C11814" s="6">
        <v>0.55808381836474497</v>
      </c>
    </row>
    <row r="11815" spans="1:3" s="7" customFormat="1" x14ac:dyDescent="0.2">
      <c r="A11815" s="6" t="str">
        <f>"ZNF780A"</f>
        <v>ZNF780A</v>
      </c>
      <c r="B11815" s="6">
        <v>0.39460539460539401</v>
      </c>
      <c r="C11815" s="6">
        <v>0.55808381836474497</v>
      </c>
    </row>
    <row r="11816" spans="1:3" s="7" customFormat="1" x14ac:dyDescent="0.2">
      <c r="A11816" s="6" t="str">
        <f>"HIGD1AP4"</f>
        <v>HIGD1AP4</v>
      </c>
      <c r="B11816" s="6">
        <v>0.39460539460539401</v>
      </c>
      <c r="C11816" s="6">
        <v>0.55808381836474497</v>
      </c>
    </row>
    <row r="11817" spans="1:3" s="7" customFormat="1" x14ac:dyDescent="0.2">
      <c r="A11817" s="6" t="str">
        <f>"SNRPB2"</f>
        <v>SNRPB2</v>
      </c>
      <c r="B11817" s="6">
        <v>0.39460539460539401</v>
      </c>
      <c r="C11817" s="6">
        <v>0.55808381836474497</v>
      </c>
    </row>
    <row r="11818" spans="1:3" s="7" customFormat="1" x14ac:dyDescent="0.2">
      <c r="A11818" s="6" t="str">
        <f>"C9orf40"</f>
        <v>C9orf40</v>
      </c>
      <c r="B11818" s="6">
        <v>0.39460539460539401</v>
      </c>
      <c r="C11818" s="6">
        <v>0.55808381836474497</v>
      </c>
    </row>
    <row r="11819" spans="1:3" s="7" customFormat="1" x14ac:dyDescent="0.2">
      <c r="A11819" s="6" t="str">
        <f>"ROCK1"</f>
        <v>ROCK1</v>
      </c>
      <c r="B11819" s="6">
        <v>0.39460539460539401</v>
      </c>
      <c r="C11819" s="6">
        <v>0.55808381836474497</v>
      </c>
    </row>
    <row r="11820" spans="1:3" s="7" customFormat="1" x14ac:dyDescent="0.2">
      <c r="A11820" s="6" t="str">
        <f>"AL117332.1"</f>
        <v>AL117332.1</v>
      </c>
      <c r="B11820" s="6">
        <v>0.39493136219640901</v>
      </c>
      <c r="C11820" s="6">
        <v>0.55849757067017403</v>
      </c>
    </row>
    <row r="11821" spans="1:3" s="7" customFormat="1" x14ac:dyDescent="0.2">
      <c r="A11821" s="6" t="str">
        <f>"SIPA1L1"</f>
        <v>SIPA1L1</v>
      </c>
      <c r="B11821" s="6">
        <v>0.39560439560439498</v>
      </c>
      <c r="C11821" s="6">
        <v>0.55907092822625004</v>
      </c>
    </row>
    <row r="11822" spans="1:3" s="7" customFormat="1" x14ac:dyDescent="0.2">
      <c r="A11822" s="6" t="str">
        <f>"ROPN1"</f>
        <v>ROPN1</v>
      </c>
      <c r="B11822" s="6">
        <v>0.39560439560439498</v>
      </c>
      <c r="C11822" s="6">
        <v>0.55907092822625004</v>
      </c>
    </row>
    <row r="11823" spans="1:3" s="7" customFormat="1" x14ac:dyDescent="0.2">
      <c r="A11823" s="6" t="str">
        <f>"LINC00842"</f>
        <v>LINC00842</v>
      </c>
      <c r="B11823" s="6">
        <v>0.39560439560439498</v>
      </c>
      <c r="C11823" s="6">
        <v>0.55907092822625004</v>
      </c>
    </row>
    <row r="11824" spans="1:3" s="7" customFormat="1" x14ac:dyDescent="0.2">
      <c r="A11824" s="6" t="str">
        <f>"NAA20"</f>
        <v>NAA20</v>
      </c>
      <c r="B11824" s="6">
        <v>0.39560439560439498</v>
      </c>
      <c r="C11824" s="6">
        <v>0.55907092822625004</v>
      </c>
    </row>
    <row r="11825" spans="1:3" s="7" customFormat="1" x14ac:dyDescent="0.2">
      <c r="A11825" s="6" t="str">
        <f>"GAS2L3"</f>
        <v>GAS2L3</v>
      </c>
      <c r="B11825" s="6">
        <v>0.39560439560439498</v>
      </c>
      <c r="C11825" s="6">
        <v>0.55907092822625004</v>
      </c>
    </row>
    <row r="11826" spans="1:3" s="7" customFormat="1" x14ac:dyDescent="0.2">
      <c r="A11826" s="6" t="str">
        <f>"RBL2"</f>
        <v>RBL2</v>
      </c>
      <c r="B11826" s="6">
        <v>0.39560439560439498</v>
      </c>
      <c r="C11826" s="6">
        <v>0.55907092822625004</v>
      </c>
    </row>
    <row r="11827" spans="1:3" s="7" customFormat="1" x14ac:dyDescent="0.2">
      <c r="A11827" s="6" t="str">
        <f>"AC026691.1"</f>
        <v>AC026691.1</v>
      </c>
      <c r="B11827" s="6">
        <v>0.39560439560439498</v>
      </c>
      <c r="C11827" s="6">
        <v>0.55907092822625004</v>
      </c>
    </row>
    <row r="11828" spans="1:3" s="7" customFormat="1" x14ac:dyDescent="0.2">
      <c r="A11828" s="6" t="str">
        <f>"SLC4A1AP"</f>
        <v>SLC4A1AP</v>
      </c>
      <c r="B11828" s="6">
        <v>0.39560439560439498</v>
      </c>
      <c r="C11828" s="6">
        <v>0.55907092822625004</v>
      </c>
    </row>
    <row r="11829" spans="1:3" s="7" customFormat="1" x14ac:dyDescent="0.2">
      <c r="A11829" s="6" t="str">
        <f>"AC124303.1"</f>
        <v>AC124303.1</v>
      </c>
      <c r="B11829" s="6">
        <v>0.39577039274924403</v>
      </c>
      <c r="C11829" s="6">
        <v>0.55925822999753705</v>
      </c>
    </row>
    <row r="11830" spans="1:3" s="7" customFormat="1" x14ac:dyDescent="0.2">
      <c r="A11830" s="6" t="str">
        <f>"SPSB3"</f>
        <v>SPSB3</v>
      </c>
      <c r="B11830" s="6">
        <v>0.39600000000000002</v>
      </c>
      <c r="C11830" s="6">
        <v>0.55953537915292895</v>
      </c>
    </row>
    <row r="11831" spans="1:3" s="7" customFormat="1" x14ac:dyDescent="0.2">
      <c r="A11831" s="6" t="str">
        <f>"AL355816.2"</f>
        <v>AL355816.2</v>
      </c>
      <c r="B11831" s="6">
        <v>0.39614994934143799</v>
      </c>
      <c r="C11831" s="6">
        <v>0.55969993688020303</v>
      </c>
    </row>
    <row r="11832" spans="1:3" s="7" customFormat="1" x14ac:dyDescent="0.2">
      <c r="A11832" s="6" t="str">
        <f>"COL6A2"</f>
        <v>COL6A2</v>
      </c>
      <c r="B11832" s="6">
        <v>0.396603396603396</v>
      </c>
      <c r="C11832" s="6">
        <v>0.560056536906824</v>
      </c>
    </row>
    <row r="11833" spans="1:3" s="7" customFormat="1" x14ac:dyDescent="0.2">
      <c r="A11833" s="6" t="str">
        <f>"CITED4"</f>
        <v>CITED4</v>
      </c>
      <c r="B11833" s="6">
        <v>0.396603396603396</v>
      </c>
      <c r="C11833" s="6">
        <v>0.560056536906824</v>
      </c>
    </row>
    <row r="11834" spans="1:3" s="7" customFormat="1" x14ac:dyDescent="0.2">
      <c r="A11834" s="6" t="str">
        <f>"AL592211.1"</f>
        <v>AL592211.1</v>
      </c>
      <c r="B11834" s="6">
        <v>0.396603396603396</v>
      </c>
      <c r="C11834" s="6">
        <v>0.560056536906824</v>
      </c>
    </row>
    <row r="11835" spans="1:3" s="7" customFormat="1" x14ac:dyDescent="0.2">
      <c r="A11835" s="6" t="str">
        <f>"ZBED3"</f>
        <v>ZBED3</v>
      </c>
      <c r="B11835" s="6">
        <v>0.396603396603396</v>
      </c>
      <c r="C11835" s="6">
        <v>0.560056536906824</v>
      </c>
    </row>
    <row r="11836" spans="1:3" s="7" customFormat="1" x14ac:dyDescent="0.2">
      <c r="A11836" s="6" t="str">
        <f>"AC092071.1"</f>
        <v>AC092071.1</v>
      </c>
      <c r="B11836" s="6">
        <v>0.396603396603396</v>
      </c>
      <c r="C11836" s="6">
        <v>0.560056536906824</v>
      </c>
    </row>
    <row r="11837" spans="1:3" s="7" customFormat="1" x14ac:dyDescent="0.2">
      <c r="A11837" s="6" t="str">
        <f>"MRGBP"</f>
        <v>MRGBP</v>
      </c>
      <c r="B11837" s="6">
        <v>0.396603396603396</v>
      </c>
      <c r="C11837" s="6">
        <v>0.560056536906824</v>
      </c>
    </row>
    <row r="11838" spans="1:3" s="7" customFormat="1" x14ac:dyDescent="0.2">
      <c r="A11838" s="6" t="str">
        <f>"AC072052.1"</f>
        <v>AC072052.1</v>
      </c>
      <c r="B11838" s="6">
        <v>0.39717741935483802</v>
      </c>
      <c r="C11838" s="6">
        <v>0.56081975053618005</v>
      </c>
    </row>
    <row r="11839" spans="1:3" s="7" customFormat="1" x14ac:dyDescent="0.2">
      <c r="A11839" s="6" t="str">
        <f>"NAPA"</f>
        <v>NAPA</v>
      </c>
      <c r="B11839" s="6">
        <v>0.39760239760239702</v>
      </c>
      <c r="C11839" s="6">
        <v>0.56123017258056496</v>
      </c>
    </row>
    <row r="11840" spans="1:3" s="7" customFormat="1" x14ac:dyDescent="0.2">
      <c r="A11840" s="6" t="str">
        <f>"GFER"</f>
        <v>GFER</v>
      </c>
      <c r="B11840" s="6">
        <v>0.39760239760239702</v>
      </c>
      <c r="C11840" s="6">
        <v>0.56123017258056496</v>
      </c>
    </row>
    <row r="11841" spans="1:3" s="7" customFormat="1" x14ac:dyDescent="0.2">
      <c r="A11841" s="6" t="str">
        <f>"MAP3K19"</f>
        <v>MAP3K19</v>
      </c>
      <c r="B11841" s="6">
        <v>0.39760239760239702</v>
      </c>
      <c r="C11841" s="6">
        <v>0.56123017258056496</v>
      </c>
    </row>
    <row r="11842" spans="1:3" s="7" customFormat="1" x14ac:dyDescent="0.2">
      <c r="A11842" s="6" t="str">
        <f>"ABHD2"</f>
        <v>ABHD2</v>
      </c>
      <c r="B11842" s="6">
        <v>0.39760239760239702</v>
      </c>
      <c r="C11842" s="6">
        <v>0.56123017258056496</v>
      </c>
    </row>
    <row r="11843" spans="1:3" s="7" customFormat="1" x14ac:dyDescent="0.2">
      <c r="A11843" s="6" t="str">
        <f>"AC110769.2"</f>
        <v>AC110769.2</v>
      </c>
      <c r="B11843" s="6">
        <v>0.39798994974874302</v>
      </c>
      <c r="C11843" s="6">
        <v>0.56160168847615</v>
      </c>
    </row>
    <row r="11844" spans="1:3" s="7" customFormat="1" x14ac:dyDescent="0.2">
      <c r="A11844" s="6" t="str">
        <f>"AC120053.1"</f>
        <v>AC120053.1</v>
      </c>
      <c r="B11844" s="6">
        <v>0.39800000000000002</v>
      </c>
      <c r="C11844" s="6">
        <v>0.56160168847615</v>
      </c>
    </row>
    <row r="11845" spans="1:3" s="7" customFormat="1" x14ac:dyDescent="0.2">
      <c r="A11845" s="6" t="str">
        <f>"LINC02389"</f>
        <v>LINC02389</v>
      </c>
      <c r="B11845" s="6">
        <v>0.39800000000000002</v>
      </c>
      <c r="C11845" s="6">
        <v>0.56160168847615</v>
      </c>
    </row>
    <row r="11846" spans="1:3" s="7" customFormat="1" x14ac:dyDescent="0.2">
      <c r="A11846" s="6" t="str">
        <f>"LINC02014"</f>
        <v>LINC02014</v>
      </c>
      <c r="B11846" s="6">
        <v>0.39798994974874302</v>
      </c>
      <c r="C11846" s="6">
        <v>0.56160168847615</v>
      </c>
    </row>
    <row r="11847" spans="1:3" s="7" customFormat="1" x14ac:dyDescent="0.2">
      <c r="A11847" s="6" t="str">
        <f>"RAB20"</f>
        <v>RAB20</v>
      </c>
      <c r="B11847" s="6">
        <v>0.39860139860139798</v>
      </c>
      <c r="C11847" s="6">
        <v>0.56207068052170495</v>
      </c>
    </row>
    <row r="11848" spans="1:3" s="7" customFormat="1" x14ac:dyDescent="0.2">
      <c r="A11848" s="6" t="str">
        <f>"LINC00491"</f>
        <v>LINC00491</v>
      </c>
      <c r="B11848" s="6">
        <v>0.39860139860139798</v>
      </c>
      <c r="C11848" s="6">
        <v>0.56207068052170495</v>
      </c>
    </row>
    <row r="11849" spans="1:3" s="7" customFormat="1" x14ac:dyDescent="0.2">
      <c r="A11849" s="6" t="str">
        <f>"RNF5"</f>
        <v>RNF5</v>
      </c>
      <c r="B11849" s="6">
        <v>0.39860139860139798</v>
      </c>
      <c r="C11849" s="6">
        <v>0.56207068052170495</v>
      </c>
    </row>
    <row r="11850" spans="1:3" s="7" customFormat="1" x14ac:dyDescent="0.2">
      <c r="A11850" s="6" t="str">
        <f>"NSMCE2"</f>
        <v>NSMCE2</v>
      </c>
      <c r="B11850" s="6">
        <v>0.39860139860139798</v>
      </c>
      <c r="C11850" s="6">
        <v>0.56207068052170495</v>
      </c>
    </row>
    <row r="11851" spans="1:3" s="7" customFormat="1" x14ac:dyDescent="0.2">
      <c r="A11851" s="6" t="str">
        <f>"FBXO42"</f>
        <v>FBXO42</v>
      </c>
      <c r="B11851" s="6">
        <v>0.39860139860139798</v>
      </c>
      <c r="C11851" s="6">
        <v>0.56207068052170495</v>
      </c>
    </row>
    <row r="11852" spans="1:3" s="7" customFormat="1" x14ac:dyDescent="0.2">
      <c r="A11852" s="6" t="str">
        <f>"RILP"</f>
        <v>RILP</v>
      </c>
      <c r="B11852" s="6">
        <v>0.39860139860139798</v>
      </c>
      <c r="C11852" s="6">
        <v>0.56207068052170495</v>
      </c>
    </row>
    <row r="11853" spans="1:3" s="7" customFormat="1" x14ac:dyDescent="0.2">
      <c r="A11853" s="6" t="str">
        <f>"FGF18"</f>
        <v>FGF18</v>
      </c>
      <c r="B11853" s="6">
        <v>0.39860139860139798</v>
      </c>
      <c r="C11853" s="6">
        <v>0.56207068052170495</v>
      </c>
    </row>
    <row r="11854" spans="1:3" s="7" customFormat="1" x14ac:dyDescent="0.2">
      <c r="A11854" s="6" t="str">
        <f>"RCBTB2"</f>
        <v>RCBTB2</v>
      </c>
      <c r="B11854" s="6">
        <v>0.39860139860139798</v>
      </c>
      <c r="C11854" s="6">
        <v>0.56207068052170495</v>
      </c>
    </row>
    <row r="11855" spans="1:3" s="7" customFormat="1" x14ac:dyDescent="0.2">
      <c r="A11855" s="6" t="str">
        <f>"FCRLB"</f>
        <v>FCRLB</v>
      </c>
      <c r="B11855" s="6">
        <v>0.39900000000000002</v>
      </c>
      <c r="C11855" s="6">
        <v>0.56258528766660998</v>
      </c>
    </row>
    <row r="11856" spans="1:3" s="7" customFormat="1" x14ac:dyDescent="0.2">
      <c r="A11856" s="6" t="str">
        <f>"AL513166.1"</f>
        <v>AL513166.1</v>
      </c>
      <c r="B11856" s="6">
        <v>0.39909808342728298</v>
      </c>
      <c r="C11856" s="6">
        <v>0.56267611694674002</v>
      </c>
    </row>
    <row r="11857" spans="1:3" s="7" customFormat="1" x14ac:dyDescent="0.2">
      <c r="A11857" s="6" t="str">
        <f>"WDR17"</f>
        <v>WDR17</v>
      </c>
      <c r="B11857" s="6">
        <v>0.399600399600399</v>
      </c>
      <c r="C11857" s="6">
        <v>0.56295693517541101</v>
      </c>
    </row>
    <row r="11858" spans="1:3" s="7" customFormat="1" x14ac:dyDescent="0.2">
      <c r="A11858" s="6" t="str">
        <f>"AC008567.3"</f>
        <v>AC008567.3</v>
      </c>
      <c r="B11858" s="6">
        <v>0.39939637826961699</v>
      </c>
      <c r="C11858" s="6">
        <v>0.56295693517541101</v>
      </c>
    </row>
    <row r="11859" spans="1:3" s="7" customFormat="1" x14ac:dyDescent="0.2">
      <c r="A11859" s="6" t="str">
        <f>"C1GALT1C1"</f>
        <v>C1GALT1C1</v>
      </c>
      <c r="B11859" s="6">
        <v>0.399600399600399</v>
      </c>
      <c r="C11859" s="6">
        <v>0.56295693517541101</v>
      </c>
    </row>
    <row r="11860" spans="1:3" s="7" customFormat="1" x14ac:dyDescent="0.2">
      <c r="A11860" s="6" t="str">
        <f>"UQCRH"</f>
        <v>UQCRH</v>
      </c>
      <c r="B11860" s="6">
        <v>0.399600399600399</v>
      </c>
      <c r="C11860" s="6">
        <v>0.56295693517541101</v>
      </c>
    </row>
    <row r="11861" spans="1:3" s="7" customFormat="1" x14ac:dyDescent="0.2">
      <c r="A11861" s="6" t="str">
        <f>"MRPL23"</f>
        <v>MRPL23</v>
      </c>
      <c r="B11861" s="6">
        <v>0.399600399600399</v>
      </c>
      <c r="C11861" s="6">
        <v>0.56295693517541101</v>
      </c>
    </row>
    <row r="11862" spans="1:3" s="7" customFormat="1" x14ac:dyDescent="0.2">
      <c r="A11862" s="6" t="str">
        <f>"ZNF777"</f>
        <v>ZNF777</v>
      </c>
      <c r="B11862" s="6">
        <v>0.399600399600399</v>
      </c>
      <c r="C11862" s="6">
        <v>0.56295693517541101</v>
      </c>
    </row>
    <row r="11863" spans="1:3" s="7" customFormat="1" x14ac:dyDescent="0.2">
      <c r="A11863" s="6" t="str">
        <f>"MRPL30"</f>
        <v>MRPL30</v>
      </c>
      <c r="B11863" s="6">
        <v>0.399600399600399</v>
      </c>
      <c r="C11863" s="6">
        <v>0.56295693517541101</v>
      </c>
    </row>
    <row r="11864" spans="1:3" s="7" customFormat="1" x14ac:dyDescent="0.2">
      <c r="A11864" s="6" t="str">
        <f>"PGBD2"</f>
        <v>PGBD2</v>
      </c>
      <c r="B11864" s="6">
        <v>0.399600399600399</v>
      </c>
      <c r="C11864" s="6">
        <v>0.56295693517541101</v>
      </c>
    </row>
    <row r="11865" spans="1:3" s="7" customFormat="1" x14ac:dyDescent="0.2">
      <c r="A11865" s="6" t="str">
        <f>"NOLC1"</f>
        <v>NOLC1</v>
      </c>
      <c r="B11865" s="6">
        <v>0.399600399600399</v>
      </c>
      <c r="C11865" s="6">
        <v>0.56295693517541101</v>
      </c>
    </row>
    <row r="11866" spans="1:3" s="7" customFormat="1" x14ac:dyDescent="0.2">
      <c r="A11866" s="6" t="str">
        <f>"NRTN"</f>
        <v>NRTN</v>
      </c>
      <c r="B11866" s="6">
        <v>0.4</v>
      </c>
      <c r="C11866" s="6">
        <v>0.56347239780868097</v>
      </c>
    </row>
    <row r="11867" spans="1:3" s="7" customFormat="1" x14ac:dyDescent="0.2">
      <c r="A11867" s="6" t="str">
        <f>"SKIL"</f>
        <v>SKIL</v>
      </c>
      <c r="B11867" s="6">
        <v>0.40059940059940002</v>
      </c>
      <c r="C11867" s="6">
        <v>0.56384154792575802</v>
      </c>
    </row>
    <row r="11868" spans="1:3" s="7" customFormat="1" x14ac:dyDescent="0.2">
      <c r="A11868" s="6" t="str">
        <f>"AC005520.5"</f>
        <v>AC005520.5</v>
      </c>
      <c r="B11868" s="6">
        <v>0.40059940059940002</v>
      </c>
      <c r="C11868" s="6">
        <v>0.56384154792575802</v>
      </c>
    </row>
    <row r="11869" spans="1:3" s="7" customFormat="1" x14ac:dyDescent="0.2">
      <c r="A11869" s="6" t="str">
        <f>"NCMAP"</f>
        <v>NCMAP</v>
      </c>
      <c r="B11869" s="6">
        <v>0.40059940059940002</v>
      </c>
      <c r="C11869" s="6">
        <v>0.56384154792575802</v>
      </c>
    </row>
    <row r="11870" spans="1:3" s="7" customFormat="1" x14ac:dyDescent="0.2">
      <c r="A11870" s="6" t="str">
        <f>"FAM32A"</f>
        <v>FAM32A</v>
      </c>
      <c r="B11870" s="6">
        <v>0.40059940059940002</v>
      </c>
      <c r="C11870" s="6">
        <v>0.56384154792575802</v>
      </c>
    </row>
    <row r="11871" spans="1:3" s="7" customFormat="1" x14ac:dyDescent="0.2">
      <c r="A11871" s="6" t="str">
        <f>"PRR22"</f>
        <v>PRR22</v>
      </c>
      <c r="B11871" s="6">
        <v>0.40059940059940002</v>
      </c>
      <c r="C11871" s="6">
        <v>0.56384154792575802</v>
      </c>
    </row>
    <row r="11872" spans="1:3" s="7" customFormat="1" x14ac:dyDescent="0.2">
      <c r="A11872" s="6" t="str">
        <f>"EPHA2"</f>
        <v>EPHA2</v>
      </c>
      <c r="B11872" s="6">
        <v>0.40059940059940002</v>
      </c>
      <c r="C11872" s="6">
        <v>0.56384154792575802</v>
      </c>
    </row>
    <row r="11873" spans="1:3" s="7" customFormat="1" x14ac:dyDescent="0.2">
      <c r="A11873" s="6" t="str">
        <f>"RRAD"</f>
        <v>RRAD</v>
      </c>
      <c r="B11873" s="6">
        <v>0.40059940059940002</v>
      </c>
      <c r="C11873" s="6">
        <v>0.56384154792575802</v>
      </c>
    </row>
    <row r="11874" spans="1:3" s="7" customFormat="1" x14ac:dyDescent="0.2">
      <c r="A11874" s="6" t="str">
        <f>"NACA"</f>
        <v>NACA</v>
      </c>
      <c r="B11874" s="6">
        <v>0.40059940059940002</v>
      </c>
      <c r="C11874" s="6">
        <v>0.56384154792575802</v>
      </c>
    </row>
    <row r="11875" spans="1:3" s="7" customFormat="1" x14ac:dyDescent="0.2">
      <c r="A11875" s="6" t="str">
        <f>"KHNYN"</f>
        <v>KHNYN</v>
      </c>
      <c r="B11875" s="6">
        <v>0.40059940059940002</v>
      </c>
      <c r="C11875" s="6">
        <v>0.56384154792575802</v>
      </c>
    </row>
    <row r="11876" spans="1:3" s="7" customFormat="1" x14ac:dyDescent="0.2">
      <c r="A11876" s="6" t="str">
        <f>"SURF1"</f>
        <v>SURF1</v>
      </c>
      <c r="B11876" s="6">
        <v>0.40059940059940002</v>
      </c>
      <c r="C11876" s="6">
        <v>0.56384154792575802</v>
      </c>
    </row>
    <row r="11877" spans="1:3" s="7" customFormat="1" x14ac:dyDescent="0.2">
      <c r="A11877" s="6" t="str">
        <f>"NUDT5"</f>
        <v>NUDT5</v>
      </c>
      <c r="B11877" s="6">
        <v>0.40100000000000002</v>
      </c>
      <c r="C11877" s="6">
        <v>0.56431034773090805</v>
      </c>
    </row>
    <row r="11878" spans="1:3" s="7" customFormat="1" x14ac:dyDescent="0.2">
      <c r="A11878" s="6" t="str">
        <f>"CUEDC1"</f>
        <v>CUEDC1</v>
      </c>
      <c r="B11878" s="6">
        <v>0.40100000000000002</v>
      </c>
      <c r="C11878" s="6">
        <v>0.56431034773090805</v>
      </c>
    </row>
    <row r="11879" spans="1:3" s="7" customFormat="1" x14ac:dyDescent="0.2">
      <c r="A11879" s="6" t="str">
        <f>"UTS2B"</f>
        <v>UTS2B</v>
      </c>
      <c r="B11879" s="6">
        <v>0.40106951871657698</v>
      </c>
      <c r="C11879" s="6">
        <v>0.56436066137639895</v>
      </c>
    </row>
    <row r="11880" spans="1:3" s="7" customFormat="1" x14ac:dyDescent="0.2">
      <c r="A11880" s="6" t="str">
        <f>"TRIM47"</f>
        <v>TRIM47</v>
      </c>
      <c r="B11880" s="6">
        <v>0.40159840159840099</v>
      </c>
      <c r="C11880" s="6">
        <v>0.56462951584082099</v>
      </c>
    </row>
    <row r="11881" spans="1:3" s="7" customFormat="1" x14ac:dyDescent="0.2">
      <c r="A11881" s="6" t="str">
        <f>"RAB5B"</f>
        <v>RAB5B</v>
      </c>
      <c r="B11881" s="6">
        <v>0.40159840159840099</v>
      </c>
      <c r="C11881" s="6">
        <v>0.56462951584082099</v>
      </c>
    </row>
    <row r="11882" spans="1:3" s="7" customFormat="1" x14ac:dyDescent="0.2">
      <c r="A11882" s="6" t="str">
        <f>"AC019127.1"</f>
        <v>AC019127.1</v>
      </c>
      <c r="B11882" s="6">
        <v>0.40159840159840099</v>
      </c>
      <c r="C11882" s="6">
        <v>0.56462951584082099</v>
      </c>
    </row>
    <row r="11883" spans="1:3" s="7" customFormat="1" x14ac:dyDescent="0.2">
      <c r="A11883" s="6" t="str">
        <f>"FFAR4"</f>
        <v>FFAR4</v>
      </c>
      <c r="B11883" s="6">
        <v>0.40159840159840099</v>
      </c>
      <c r="C11883" s="6">
        <v>0.56462951584082099</v>
      </c>
    </row>
    <row r="11884" spans="1:3" s="7" customFormat="1" x14ac:dyDescent="0.2">
      <c r="A11884" s="6" t="str">
        <f>"ARL17B"</f>
        <v>ARL17B</v>
      </c>
      <c r="B11884" s="6">
        <v>0.40159840159840099</v>
      </c>
      <c r="C11884" s="6">
        <v>0.56462951584082099</v>
      </c>
    </row>
    <row r="11885" spans="1:3" s="7" customFormat="1" x14ac:dyDescent="0.2">
      <c r="A11885" s="6" t="str">
        <f>"COL6A4P2"</f>
        <v>COL6A4P2</v>
      </c>
      <c r="B11885" s="6">
        <v>0.40159840159840099</v>
      </c>
      <c r="C11885" s="6">
        <v>0.56462951584082099</v>
      </c>
    </row>
    <row r="11886" spans="1:3" s="7" customFormat="1" x14ac:dyDescent="0.2">
      <c r="A11886" s="6" t="str">
        <f>"OR1D2"</f>
        <v>OR1D2</v>
      </c>
      <c r="B11886" s="6">
        <v>0.40155945419103301</v>
      </c>
      <c r="C11886" s="6">
        <v>0.56462951584082099</v>
      </c>
    </row>
    <row r="11887" spans="1:3" s="7" customFormat="1" x14ac:dyDescent="0.2">
      <c r="A11887" s="6" t="str">
        <f>"SP2-AS1"</f>
        <v>SP2-AS1</v>
      </c>
      <c r="B11887" s="6">
        <v>0.40159840159840099</v>
      </c>
      <c r="C11887" s="6">
        <v>0.56462951584082099</v>
      </c>
    </row>
    <row r="11888" spans="1:3" s="7" customFormat="1" x14ac:dyDescent="0.2">
      <c r="A11888" s="6" t="str">
        <f>"TNRC6B"</f>
        <v>TNRC6B</v>
      </c>
      <c r="B11888" s="6">
        <v>0.40159840159840099</v>
      </c>
      <c r="C11888" s="6">
        <v>0.56462951584082099</v>
      </c>
    </row>
    <row r="11889" spans="1:3" s="7" customFormat="1" x14ac:dyDescent="0.2">
      <c r="A11889" s="6" t="str">
        <f>"MRPL9"</f>
        <v>MRPL9</v>
      </c>
      <c r="B11889" s="6">
        <v>0.40159840159840099</v>
      </c>
      <c r="C11889" s="6">
        <v>0.56462951584082099</v>
      </c>
    </row>
    <row r="11890" spans="1:3" s="7" customFormat="1" x14ac:dyDescent="0.2">
      <c r="A11890" s="6" t="str">
        <f>"AC010864.1"</f>
        <v>AC010864.1</v>
      </c>
      <c r="B11890" s="6">
        <v>0.40180360721442798</v>
      </c>
      <c r="C11890" s="6">
        <v>0.56487050979745601</v>
      </c>
    </row>
    <row r="11891" spans="1:3" s="7" customFormat="1" x14ac:dyDescent="0.2">
      <c r="A11891" s="6" t="str">
        <f>"DDX59-AS1"</f>
        <v>DDX59-AS1</v>
      </c>
      <c r="B11891" s="6">
        <v>0.40200000000000002</v>
      </c>
      <c r="C11891" s="6">
        <v>0.56509907485281696</v>
      </c>
    </row>
    <row r="11892" spans="1:3" s="7" customFormat="1" x14ac:dyDescent="0.2">
      <c r="A11892" s="6" t="str">
        <f>"RAP1B"</f>
        <v>RAP1B</v>
      </c>
      <c r="B11892" s="6">
        <v>0.40259740259740201</v>
      </c>
      <c r="C11892" s="6">
        <v>0.56560586593367901</v>
      </c>
    </row>
    <row r="11893" spans="1:3" s="7" customFormat="1" x14ac:dyDescent="0.2">
      <c r="A11893" s="6" t="str">
        <f>"FMO9P"</f>
        <v>FMO9P</v>
      </c>
      <c r="B11893" s="6">
        <v>0.40259740259740201</v>
      </c>
      <c r="C11893" s="6">
        <v>0.56560586593367901</v>
      </c>
    </row>
    <row r="11894" spans="1:3" s="7" customFormat="1" x14ac:dyDescent="0.2">
      <c r="A11894" s="6" t="str">
        <f>"PAM16"</f>
        <v>PAM16</v>
      </c>
      <c r="B11894" s="6">
        <v>0.40259740259740201</v>
      </c>
      <c r="C11894" s="6">
        <v>0.56560586593367901</v>
      </c>
    </row>
    <row r="11895" spans="1:3" s="7" customFormat="1" x14ac:dyDescent="0.2">
      <c r="A11895" s="6" t="str">
        <f>"AMMECR1L"</f>
        <v>AMMECR1L</v>
      </c>
      <c r="B11895" s="6">
        <v>0.40259740259740201</v>
      </c>
      <c r="C11895" s="6">
        <v>0.56560586593367901</v>
      </c>
    </row>
    <row r="11896" spans="1:3" s="7" customFormat="1" x14ac:dyDescent="0.2">
      <c r="A11896" s="6" t="str">
        <f>"COQ10B"</f>
        <v>COQ10B</v>
      </c>
      <c r="B11896" s="6">
        <v>0.40259740259740201</v>
      </c>
      <c r="C11896" s="6">
        <v>0.56560586593367901</v>
      </c>
    </row>
    <row r="11897" spans="1:3" s="7" customFormat="1" x14ac:dyDescent="0.2">
      <c r="A11897" s="6" t="str">
        <f>"MND1"</f>
        <v>MND1</v>
      </c>
      <c r="B11897" s="6">
        <v>0.40259740259740201</v>
      </c>
      <c r="C11897" s="6">
        <v>0.56560586593367901</v>
      </c>
    </row>
    <row r="11898" spans="1:3" s="7" customFormat="1" x14ac:dyDescent="0.2">
      <c r="A11898" s="6" t="str">
        <f>"LINC00930"</f>
        <v>LINC00930</v>
      </c>
      <c r="B11898" s="6">
        <v>0.40259740259740201</v>
      </c>
      <c r="C11898" s="6">
        <v>0.56560586593367901</v>
      </c>
    </row>
    <row r="11899" spans="1:3" s="7" customFormat="1" x14ac:dyDescent="0.2">
      <c r="A11899" s="6" t="str">
        <f>"AGAP1-IT1"</f>
        <v>AGAP1-IT1</v>
      </c>
      <c r="B11899" s="6">
        <v>0.40303030303030302</v>
      </c>
      <c r="C11899" s="6">
        <v>0.56607130124777105</v>
      </c>
    </row>
    <row r="11900" spans="1:3" s="7" customFormat="1" x14ac:dyDescent="0.2">
      <c r="A11900" s="6" t="str">
        <f>"AC079414.3"</f>
        <v>AC079414.3</v>
      </c>
      <c r="B11900" s="6">
        <v>0.40301507537688402</v>
      </c>
      <c r="C11900" s="6">
        <v>0.56607130124777105</v>
      </c>
    </row>
    <row r="11901" spans="1:3" s="7" customFormat="1" x14ac:dyDescent="0.2">
      <c r="A11901" s="6" t="str">
        <f>"AL356534.1"</f>
        <v>AL356534.1</v>
      </c>
      <c r="B11901" s="6">
        <v>0.40300000000000002</v>
      </c>
      <c r="C11901" s="6">
        <v>0.56607130124777105</v>
      </c>
    </row>
    <row r="11902" spans="1:3" s="7" customFormat="1" x14ac:dyDescent="0.2">
      <c r="A11902" s="6" t="str">
        <f>"DCAF7"</f>
        <v>DCAF7</v>
      </c>
      <c r="B11902" s="6">
        <v>0.40359640359640298</v>
      </c>
      <c r="C11902" s="6">
        <v>0.56643801240324798</v>
      </c>
    </row>
    <row r="11903" spans="1:3" s="7" customFormat="1" x14ac:dyDescent="0.2">
      <c r="A11903" s="6" t="str">
        <f>"CPEB4"</f>
        <v>CPEB4</v>
      </c>
      <c r="B11903" s="6">
        <v>0.40359640359640298</v>
      </c>
      <c r="C11903" s="6">
        <v>0.56643801240324798</v>
      </c>
    </row>
    <row r="11904" spans="1:3" s="7" customFormat="1" x14ac:dyDescent="0.2">
      <c r="A11904" s="6" t="str">
        <f>"GAS7"</f>
        <v>GAS7</v>
      </c>
      <c r="B11904" s="6">
        <v>0.40359640359640298</v>
      </c>
      <c r="C11904" s="6">
        <v>0.56643801240324798</v>
      </c>
    </row>
    <row r="11905" spans="1:3" s="7" customFormat="1" x14ac:dyDescent="0.2">
      <c r="A11905" s="6" t="str">
        <f>"DDT"</f>
        <v>DDT</v>
      </c>
      <c r="B11905" s="6">
        <v>0.40359640359640298</v>
      </c>
      <c r="C11905" s="6">
        <v>0.56643801240324798</v>
      </c>
    </row>
    <row r="11906" spans="1:3" s="7" customFormat="1" x14ac:dyDescent="0.2">
      <c r="A11906" s="6" t="str">
        <f>"ST6GAL1"</f>
        <v>ST6GAL1</v>
      </c>
      <c r="B11906" s="6">
        <v>0.40359640359640298</v>
      </c>
      <c r="C11906" s="6">
        <v>0.56643801240324798</v>
      </c>
    </row>
    <row r="11907" spans="1:3" s="7" customFormat="1" x14ac:dyDescent="0.2">
      <c r="A11907" s="6" t="str">
        <f>"KPNA3"</f>
        <v>KPNA3</v>
      </c>
      <c r="B11907" s="6">
        <v>0.40359640359640298</v>
      </c>
      <c r="C11907" s="6">
        <v>0.56643801240324798</v>
      </c>
    </row>
    <row r="11908" spans="1:3" s="7" customFormat="1" x14ac:dyDescent="0.2">
      <c r="A11908" s="6" t="str">
        <f>"ANKRD40"</f>
        <v>ANKRD40</v>
      </c>
      <c r="B11908" s="6">
        <v>0.40359640359640298</v>
      </c>
      <c r="C11908" s="6">
        <v>0.56643801240324798</v>
      </c>
    </row>
    <row r="11909" spans="1:3" s="7" customFormat="1" x14ac:dyDescent="0.2">
      <c r="A11909" s="6" t="str">
        <f>"GNB3"</f>
        <v>GNB3</v>
      </c>
      <c r="B11909" s="6">
        <v>0.40359640359640298</v>
      </c>
      <c r="C11909" s="6">
        <v>0.56643801240324798</v>
      </c>
    </row>
    <row r="11910" spans="1:3" s="7" customFormat="1" x14ac:dyDescent="0.2">
      <c r="A11910" s="6" t="str">
        <f>"USP6NL"</f>
        <v>USP6NL</v>
      </c>
      <c r="B11910" s="6">
        <v>0.40359640359640298</v>
      </c>
      <c r="C11910" s="6">
        <v>0.56643801240324798</v>
      </c>
    </row>
    <row r="11911" spans="1:3" s="7" customFormat="1" x14ac:dyDescent="0.2">
      <c r="A11911" s="6" t="str">
        <f>"AC034238.2"</f>
        <v>AC034238.2</v>
      </c>
      <c r="B11911" s="6">
        <v>0.40384615384615302</v>
      </c>
      <c r="C11911" s="6">
        <v>0.566693360371473</v>
      </c>
    </row>
    <row r="11912" spans="1:3" s="7" customFormat="1" x14ac:dyDescent="0.2">
      <c r="A11912" s="6" t="str">
        <f>"CIRBP-AS1"</f>
        <v>CIRBP-AS1</v>
      </c>
      <c r="B11912" s="6">
        <v>0.40382678751258799</v>
      </c>
      <c r="C11912" s="6">
        <v>0.566693360371473</v>
      </c>
    </row>
    <row r="11913" spans="1:3" s="7" customFormat="1" x14ac:dyDescent="0.2">
      <c r="A11913" s="6" t="str">
        <f>"LINC00431"</f>
        <v>LINC00431</v>
      </c>
      <c r="B11913" s="6">
        <v>0.40400000000000003</v>
      </c>
      <c r="C11913" s="6">
        <v>0.56681406866448403</v>
      </c>
    </row>
    <row r="11914" spans="1:3" s="7" customFormat="1" x14ac:dyDescent="0.2">
      <c r="A11914" s="6" t="str">
        <f>"RTEL1P1"</f>
        <v>RTEL1P1</v>
      </c>
      <c r="B11914" s="6">
        <v>0.40400000000000003</v>
      </c>
      <c r="C11914" s="6">
        <v>0.56681406866448403</v>
      </c>
    </row>
    <row r="11915" spans="1:3" s="7" customFormat="1" x14ac:dyDescent="0.2">
      <c r="A11915" s="6" t="str">
        <f>"OSBPL2"</f>
        <v>OSBPL2</v>
      </c>
      <c r="B11915" s="6">
        <v>0.404595404595404</v>
      </c>
      <c r="C11915" s="6">
        <v>0.56698311330658102</v>
      </c>
    </row>
    <row r="11916" spans="1:3" s="7" customFormat="1" x14ac:dyDescent="0.2">
      <c r="A11916" s="6" t="str">
        <f>"RAB17"</f>
        <v>RAB17</v>
      </c>
      <c r="B11916" s="6">
        <v>0.404595404595404</v>
      </c>
      <c r="C11916" s="6">
        <v>0.56698311330658102</v>
      </c>
    </row>
    <row r="11917" spans="1:3" s="7" customFormat="1" x14ac:dyDescent="0.2">
      <c r="A11917" s="6" t="str">
        <f>"UBA52P6"</f>
        <v>UBA52P6</v>
      </c>
      <c r="B11917" s="6">
        <v>0.404595404595404</v>
      </c>
      <c r="C11917" s="6">
        <v>0.56698311330658102</v>
      </c>
    </row>
    <row r="11918" spans="1:3" s="7" customFormat="1" x14ac:dyDescent="0.2">
      <c r="A11918" s="6" t="str">
        <f>"AC145285.5"</f>
        <v>AC145285.5</v>
      </c>
      <c r="B11918" s="6">
        <v>0.40456431535269699</v>
      </c>
      <c r="C11918" s="6">
        <v>0.56698311330658102</v>
      </c>
    </row>
    <row r="11919" spans="1:3" s="7" customFormat="1" x14ac:dyDescent="0.2">
      <c r="A11919" s="6" t="str">
        <f>"KRT16P2"</f>
        <v>KRT16P2</v>
      </c>
      <c r="B11919" s="6">
        <v>0.404595404595404</v>
      </c>
      <c r="C11919" s="6">
        <v>0.56698311330658102</v>
      </c>
    </row>
    <row r="11920" spans="1:3" s="7" customFormat="1" x14ac:dyDescent="0.2">
      <c r="A11920" s="6" t="str">
        <f>"WWOX-AS1"</f>
        <v>WWOX-AS1</v>
      </c>
      <c r="B11920" s="6">
        <v>0.404595404595404</v>
      </c>
      <c r="C11920" s="6">
        <v>0.56698311330658102</v>
      </c>
    </row>
    <row r="11921" spans="1:3" s="7" customFormat="1" x14ac:dyDescent="0.2">
      <c r="A11921" s="6" t="str">
        <f>"LINC01852"</f>
        <v>LINC01852</v>
      </c>
      <c r="B11921" s="6">
        <v>0.404595404595404</v>
      </c>
      <c r="C11921" s="6">
        <v>0.56698311330658102</v>
      </c>
    </row>
    <row r="11922" spans="1:3" s="7" customFormat="1" x14ac:dyDescent="0.2">
      <c r="A11922" s="6" t="str">
        <f>"TMEM204"</f>
        <v>TMEM204</v>
      </c>
      <c r="B11922" s="6">
        <v>0.404595404595404</v>
      </c>
      <c r="C11922" s="6">
        <v>0.56698311330658102</v>
      </c>
    </row>
    <row r="11923" spans="1:3" s="7" customFormat="1" x14ac:dyDescent="0.2">
      <c r="A11923" s="6" t="str">
        <f>"AL596202.1"</f>
        <v>AL596202.1</v>
      </c>
      <c r="B11923" s="6">
        <v>0.40442655935613597</v>
      </c>
      <c r="C11923" s="6">
        <v>0.56698311330658102</v>
      </c>
    </row>
    <row r="11924" spans="1:3" s="7" customFormat="1" x14ac:dyDescent="0.2">
      <c r="A11924" s="6" t="str">
        <f>"COL26A1"</f>
        <v>COL26A1</v>
      </c>
      <c r="B11924" s="6">
        <v>0.404595404595404</v>
      </c>
      <c r="C11924" s="6">
        <v>0.56698311330658102</v>
      </c>
    </row>
    <row r="11925" spans="1:3" s="7" customFormat="1" x14ac:dyDescent="0.2">
      <c r="A11925" s="6" t="str">
        <f>"AC005632.3"</f>
        <v>AC005632.3</v>
      </c>
      <c r="B11925" s="6">
        <v>0.404595404595404</v>
      </c>
      <c r="C11925" s="6">
        <v>0.56698311330658102</v>
      </c>
    </row>
    <row r="11926" spans="1:3" s="7" customFormat="1" x14ac:dyDescent="0.2">
      <c r="A11926" s="6" t="str">
        <f>"PPOX"</f>
        <v>PPOX</v>
      </c>
      <c r="B11926" s="6">
        <v>0.404595404595404</v>
      </c>
      <c r="C11926" s="6">
        <v>0.56698311330658102</v>
      </c>
    </row>
    <row r="11927" spans="1:3" s="7" customFormat="1" x14ac:dyDescent="0.2">
      <c r="A11927" s="6" t="str">
        <f>"USP3"</f>
        <v>USP3</v>
      </c>
      <c r="B11927" s="6">
        <v>0.404595404595404</v>
      </c>
      <c r="C11927" s="6">
        <v>0.56698311330658102</v>
      </c>
    </row>
    <row r="11928" spans="1:3" s="7" customFormat="1" x14ac:dyDescent="0.2">
      <c r="A11928" s="6" t="str">
        <f>"AUXG01000058.1"</f>
        <v>AUXG01000058.1</v>
      </c>
      <c r="B11928" s="6">
        <v>0.404595404595404</v>
      </c>
      <c r="C11928" s="6">
        <v>0.56698311330658102</v>
      </c>
    </row>
    <row r="11929" spans="1:3" s="7" customFormat="1" x14ac:dyDescent="0.2">
      <c r="A11929" s="6" t="str">
        <f>"LINC02548"</f>
        <v>LINC02548</v>
      </c>
      <c r="B11929" s="6">
        <v>0.40506329113924</v>
      </c>
      <c r="C11929" s="6">
        <v>0.56759120121573303</v>
      </c>
    </row>
    <row r="11930" spans="1:3" s="7" customFormat="1" x14ac:dyDescent="0.2">
      <c r="A11930" s="6" t="str">
        <f>"VAMP2"</f>
        <v>VAMP2</v>
      </c>
      <c r="B11930" s="6">
        <v>0.40559440559440502</v>
      </c>
      <c r="C11930" s="6">
        <v>0.56804968117185295</v>
      </c>
    </row>
    <row r="11931" spans="1:3" s="7" customFormat="1" x14ac:dyDescent="0.2">
      <c r="A11931" s="6" t="str">
        <f>"FOXO3B"</f>
        <v>FOXO3B</v>
      </c>
      <c r="B11931" s="6">
        <v>0.40559440559440502</v>
      </c>
      <c r="C11931" s="6">
        <v>0.56804968117185295</v>
      </c>
    </row>
    <row r="11932" spans="1:3" s="7" customFormat="1" x14ac:dyDescent="0.2">
      <c r="A11932" s="6" t="str">
        <f>"ITGA8"</f>
        <v>ITGA8</v>
      </c>
      <c r="B11932" s="6">
        <v>0.40559440559440502</v>
      </c>
      <c r="C11932" s="6">
        <v>0.56804968117185295</v>
      </c>
    </row>
    <row r="11933" spans="1:3" s="7" customFormat="1" x14ac:dyDescent="0.2">
      <c r="A11933" s="6" t="str">
        <f>"DOK5"</f>
        <v>DOK5</v>
      </c>
      <c r="B11933" s="6">
        <v>0.40559440559440502</v>
      </c>
      <c r="C11933" s="6">
        <v>0.56804968117185295</v>
      </c>
    </row>
    <row r="11934" spans="1:3" s="7" customFormat="1" x14ac:dyDescent="0.2">
      <c r="A11934" s="6" t="str">
        <f>"AL139287.1"</f>
        <v>AL139287.1</v>
      </c>
      <c r="B11934" s="6">
        <v>0.40559440559440502</v>
      </c>
      <c r="C11934" s="6">
        <v>0.56804968117185295</v>
      </c>
    </row>
    <row r="11935" spans="1:3" s="7" customFormat="1" x14ac:dyDescent="0.2">
      <c r="A11935" s="6" t="str">
        <f>"SCGB1A1"</f>
        <v>SCGB1A1</v>
      </c>
      <c r="B11935" s="6">
        <v>0.40559440559440502</v>
      </c>
      <c r="C11935" s="6">
        <v>0.56804968117185295</v>
      </c>
    </row>
    <row r="11936" spans="1:3" s="7" customFormat="1" x14ac:dyDescent="0.2">
      <c r="A11936" s="6" t="str">
        <f>"DDR1"</f>
        <v>DDR1</v>
      </c>
      <c r="B11936" s="6">
        <v>0.40600000000000003</v>
      </c>
      <c r="C11936" s="6">
        <v>0.56847482617072898</v>
      </c>
    </row>
    <row r="11937" spans="1:3" s="7" customFormat="1" x14ac:dyDescent="0.2">
      <c r="A11937" s="6" t="str">
        <f>"AC092115.3"</f>
        <v>AC092115.3</v>
      </c>
      <c r="B11937" s="6">
        <v>0.40600000000000003</v>
      </c>
      <c r="C11937" s="6">
        <v>0.56847482617072898</v>
      </c>
    </row>
    <row r="11938" spans="1:3" s="7" customFormat="1" x14ac:dyDescent="0.2">
      <c r="A11938" s="6" t="str">
        <f>"DNAJA1"</f>
        <v>DNAJA1</v>
      </c>
      <c r="B11938" s="6">
        <v>0.40600000000000003</v>
      </c>
      <c r="C11938" s="6">
        <v>0.56847482617072898</v>
      </c>
    </row>
    <row r="11939" spans="1:3" s="7" customFormat="1" x14ac:dyDescent="0.2">
      <c r="A11939" s="6" t="str">
        <f>"AL583859.3"</f>
        <v>AL583859.3</v>
      </c>
      <c r="B11939" s="6">
        <v>0.40628166160080997</v>
      </c>
      <c r="C11939" s="6">
        <v>0.56882155235348797</v>
      </c>
    </row>
    <row r="11940" spans="1:3" s="7" customFormat="1" x14ac:dyDescent="0.2">
      <c r="A11940" s="6" t="str">
        <f>"SCARB1"</f>
        <v>SCARB1</v>
      </c>
      <c r="B11940" s="6">
        <v>0.40659340659340598</v>
      </c>
      <c r="C11940" s="6">
        <v>0.56897205272958695</v>
      </c>
    </row>
    <row r="11941" spans="1:3" s="7" customFormat="1" x14ac:dyDescent="0.2">
      <c r="A11941" s="6" t="str">
        <f>"DOP1B"</f>
        <v>DOP1B</v>
      </c>
      <c r="B11941" s="6">
        <v>0.40659340659340598</v>
      </c>
      <c r="C11941" s="6">
        <v>0.56897205272958695</v>
      </c>
    </row>
    <row r="11942" spans="1:3" s="7" customFormat="1" x14ac:dyDescent="0.2">
      <c r="A11942" s="6" t="str">
        <f>"GSDME"</f>
        <v>GSDME</v>
      </c>
      <c r="B11942" s="6">
        <v>0.40659340659340598</v>
      </c>
      <c r="C11942" s="6">
        <v>0.56897205272958695</v>
      </c>
    </row>
    <row r="11943" spans="1:3" s="7" customFormat="1" x14ac:dyDescent="0.2">
      <c r="A11943" s="6" t="str">
        <f>"ITCH"</f>
        <v>ITCH</v>
      </c>
      <c r="B11943" s="6">
        <v>0.40659340659340598</v>
      </c>
      <c r="C11943" s="6">
        <v>0.56897205272958695</v>
      </c>
    </row>
    <row r="11944" spans="1:3" s="7" customFormat="1" x14ac:dyDescent="0.2">
      <c r="A11944" s="6" t="str">
        <f>"RFX1"</f>
        <v>RFX1</v>
      </c>
      <c r="B11944" s="6">
        <v>0.40659340659340598</v>
      </c>
      <c r="C11944" s="6">
        <v>0.56897205272958695</v>
      </c>
    </row>
    <row r="11945" spans="1:3" s="7" customFormat="1" x14ac:dyDescent="0.2">
      <c r="A11945" s="6" t="str">
        <f>"AP002358.1"</f>
        <v>AP002358.1</v>
      </c>
      <c r="B11945" s="6">
        <v>0.40659340659340598</v>
      </c>
      <c r="C11945" s="6">
        <v>0.56897205272958695</v>
      </c>
    </row>
    <row r="11946" spans="1:3" s="7" customFormat="1" x14ac:dyDescent="0.2">
      <c r="A11946" s="6" t="str">
        <f>"AL136441.1"</f>
        <v>AL136441.1</v>
      </c>
      <c r="B11946" s="6">
        <v>0.407407407407407</v>
      </c>
      <c r="C11946" s="6">
        <v>0.57006340790350796</v>
      </c>
    </row>
    <row r="11947" spans="1:3" s="7" customFormat="1" x14ac:dyDescent="0.2">
      <c r="A11947" s="6" t="str">
        <f>"ADAR"</f>
        <v>ADAR</v>
      </c>
      <c r="B11947" s="6">
        <v>0.407592407592407</v>
      </c>
      <c r="C11947" s="6">
        <v>0.57008364020916302</v>
      </c>
    </row>
    <row r="11948" spans="1:3" s="7" customFormat="1" x14ac:dyDescent="0.2">
      <c r="A11948" s="6" t="str">
        <f>"DNAAF5"</f>
        <v>DNAAF5</v>
      </c>
      <c r="B11948" s="6">
        <v>0.407592407592407</v>
      </c>
      <c r="C11948" s="6">
        <v>0.57008364020916302</v>
      </c>
    </row>
    <row r="11949" spans="1:3" s="7" customFormat="1" x14ac:dyDescent="0.2">
      <c r="A11949" s="6" t="str">
        <f>"ESS2"</f>
        <v>ESS2</v>
      </c>
      <c r="B11949" s="6">
        <v>0.407592407592407</v>
      </c>
      <c r="C11949" s="6">
        <v>0.57008364020916302</v>
      </c>
    </row>
    <row r="11950" spans="1:3" s="7" customFormat="1" x14ac:dyDescent="0.2">
      <c r="A11950" s="6" t="str">
        <f>"CBLB"</f>
        <v>CBLB</v>
      </c>
      <c r="B11950" s="6">
        <v>0.407592407592407</v>
      </c>
      <c r="C11950" s="6">
        <v>0.57008364020916302</v>
      </c>
    </row>
    <row r="11951" spans="1:3" s="7" customFormat="1" x14ac:dyDescent="0.2">
      <c r="A11951" s="6" t="str">
        <f>"CLDN10"</f>
        <v>CLDN10</v>
      </c>
      <c r="B11951" s="6">
        <v>0.407592407592407</v>
      </c>
      <c r="C11951" s="6">
        <v>0.57008364020916302</v>
      </c>
    </row>
    <row r="11952" spans="1:3" s="7" customFormat="1" x14ac:dyDescent="0.2">
      <c r="A11952" s="6" t="str">
        <f>"AC115284.4"</f>
        <v>AC115284.4</v>
      </c>
      <c r="B11952" s="6">
        <v>0.40766902119071602</v>
      </c>
      <c r="C11952" s="6">
        <v>0.57014308594942897</v>
      </c>
    </row>
    <row r="11953" spans="1:3" s="7" customFormat="1" x14ac:dyDescent="0.2">
      <c r="A11953" s="6" t="str">
        <f>"NANP"</f>
        <v>NANP</v>
      </c>
      <c r="B11953" s="6">
        <v>0.40799999999999997</v>
      </c>
      <c r="C11953" s="6">
        <v>0.57055823293172603</v>
      </c>
    </row>
    <row r="11954" spans="1:3" s="7" customFormat="1" x14ac:dyDescent="0.2">
      <c r="A11954" s="6" t="str">
        <f>"RCCD1"</f>
        <v>RCCD1</v>
      </c>
      <c r="B11954" s="6">
        <v>0.40859140859140802</v>
      </c>
      <c r="C11954" s="6">
        <v>0.57109857862491997</v>
      </c>
    </row>
    <row r="11955" spans="1:3" s="7" customFormat="1" x14ac:dyDescent="0.2">
      <c r="A11955" s="6" t="str">
        <f>"ATP6V0A2"</f>
        <v>ATP6V0A2</v>
      </c>
      <c r="B11955" s="6">
        <v>0.40859140859140802</v>
      </c>
      <c r="C11955" s="6">
        <v>0.57109857862491997</v>
      </c>
    </row>
    <row r="11956" spans="1:3" s="7" customFormat="1" x14ac:dyDescent="0.2">
      <c r="A11956" s="6" t="str">
        <f>"AC109466.1"</f>
        <v>AC109466.1</v>
      </c>
      <c r="B11956" s="6">
        <v>0.40859140859140802</v>
      </c>
      <c r="C11956" s="6">
        <v>0.57109857862491997</v>
      </c>
    </row>
    <row r="11957" spans="1:3" s="7" customFormat="1" x14ac:dyDescent="0.2">
      <c r="A11957" s="6" t="str">
        <f>"PLCE1"</f>
        <v>PLCE1</v>
      </c>
      <c r="B11957" s="6">
        <v>0.40859140859140802</v>
      </c>
      <c r="C11957" s="6">
        <v>0.57109857862491997</v>
      </c>
    </row>
    <row r="11958" spans="1:3" s="7" customFormat="1" x14ac:dyDescent="0.2">
      <c r="A11958" s="6" t="str">
        <f>"GS1-124K5.4"</f>
        <v>GS1-124K5.4</v>
      </c>
      <c r="B11958" s="6">
        <v>0.40859140859140802</v>
      </c>
      <c r="C11958" s="6">
        <v>0.57109857862491997</v>
      </c>
    </row>
    <row r="11959" spans="1:3" s="7" customFormat="1" x14ac:dyDescent="0.2">
      <c r="A11959" s="6" t="str">
        <f>"KIAA1109"</f>
        <v>KIAA1109</v>
      </c>
      <c r="B11959" s="6">
        <v>0.40859140859140802</v>
      </c>
      <c r="C11959" s="6">
        <v>0.57109857862491997</v>
      </c>
    </row>
    <row r="11960" spans="1:3" s="7" customFormat="1" x14ac:dyDescent="0.2">
      <c r="A11960" s="6" t="str">
        <f>"CHADL"</f>
        <v>CHADL</v>
      </c>
      <c r="B11960" s="6">
        <v>0.40959040959040899</v>
      </c>
      <c r="C11960" s="6">
        <v>0.572303469812247</v>
      </c>
    </row>
    <row r="11961" spans="1:3" s="7" customFormat="1" x14ac:dyDescent="0.2">
      <c r="A11961" s="6" t="str">
        <f>"TADA2B"</f>
        <v>TADA2B</v>
      </c>
      <c r="B11961" s="6">
        <v>0.40959040959040899</v>
      </c>
      <c r="C11961" s="6">
        <v>0.572303469812247</v>
      </c>
    </row>
    <row r="11962" spans="1:3" s="7" customFormat="1" x14ac:dyDescent="0.2">
      <c r="A11962" s="6" t="str">
        <f>"SLC30A7"</f>
        <v>SLC30A7</v>
      </c>
      <c r="B11962" s="6">
        <v>0.40959040959040899</v>
      </c>
      <c r="C11962" s="6">
        <v>0.572303469812247</v>
      </c>
    </row>
    <row r="11963" spans="1:3" s="7" customFormat="1" x14ac:dyDescent="0.2">
      <c r="A11963" s="6" t="str">
        <f>"FXYD3"</f>
        <v>FXYD3</v>
      </c>
      <c r="B11963" s="6">
        <v>0.40959040959040899</v>
      </c>
      <c r="C11963" s="6">
        <v>0.572303469812247</v>
      </c>
    </row>
    <row r="11964" spans="1:3" s="7" customFormat="1" x14ac:dyDescent="0.2">
      <c r="A11964" s="6" t="str">
        <f>"AC112907.3"</f>
        <v>AC112907.3</v>
      </c>
      <c r="B11964" s="6">
        <v>0.409869083585095</v>
      </c>
      <c r="C11964" s="6">
        <v>0.57264497726667896</v>
      </c>
    </row>
    <row r="11965" spans="1:3" s="7" customFormat="1" x14ac:dyDescent="0.2">
      <c r="A11965" s="6" t="str">
        <f>"RPL12P38"</f>
        <v>RPL12P38</v>
      </c>
      <c r="B11965" s="6">
        <v>0.41010101010101002</v>
      </c>
      <c r="C11965" s="6">
        <v>0.57292112026314601</v>
      </c>
    </row>
    <row r="11966" spans="1:3" s="7" customFormat="1" x14ac:dyDescent="0.2">
      <c r="A11966" s="6" t="str">
        <f>"UBE2B"</f>
        <v>UBE2B</v>
      </c>
      <c r="B11966" s="6">
        <v>0.41058941058941001</v>
      </c>
      <c r="C11966" s="6">
        <v>0.57302867473208097</v>
      </c>
    </row>
    <row r="11967" spans="1:3" s="7" customFormat="1" x14ac:dyDescent="0.2">
      <c r="A11967" s="6" t="str">
        <f>"DYNC1LI2"</f>
        <v>DYNC1LI2</v>
      </c>
      <c r="B11967" s="6">
        <v>0.41058941058941001</v>
      </c>
      <c r="C11967" s="6">
        <v>0.57302867473208097</v>
      </c>
    </row>
    <row r="11968" spans="1:3" s="7" customFormat="1" x14ac:dyDescent="0.2">
      <c r="A11968" s="6" t="str">
        <f>"SLC6A3"</f>
        <v>SLC6A3</v>
      </c>
      <c r="B11968" s="6">
        <v>0.41058941058941001</v>
      </c>
      <c r="C11968" s="6">
        <v>0.57302867473208097</v>
      </c>
    </row>
    <row r="11969" spans="1:3" s="7" customFormat="1" x14ac:dyDescent="0.2">
      <c r="A11969" s="6" t="str">
        <f>"FOXN2"</f>
        <v>FOXN2</v>
      </c>
      <c r="B11969" s="6">
        <v>0.41058941058941001</v>
      </c>
      <c r="C11969" s="6">
        <v>0.57302867473208097</v>
      </c>
    </row>
    <row r="11970" spans="1:3" s="7" customFormat="1" x14ac:dyDescent="0.2">
      <c r="A11970" s="6" t="str">
        <f>"LAMTOR5-AS1"</f>
        <v>LAMTOR5-AS1</v>
      </c>
      <c r="B11970" s="6">
        <v>0.41058941058941001</v>
      </c>
      <c r="C11970" s="6">
        <v>0.57302867473208097</v>
      </c>
    </row>
    <row r="11971" spans="1:3" s="7" customFormat="1" x14ac:dyDescent="0.2">
      <c r="A11971" s="6" t="str">
        <f>"SRSF10"</f>
        <v>SRSF10</v>
      </c>
      <c r="B11971" s="6">
        <v>0.41058941058941001</v>
      </c>
      <c r="C11971" s="6">
        <v>0.57302867473208097</v>
      </c>
    </row>
    <row r="11972" spans="1:3" s="7" customFormat="1" x14ac:dyDescent="0.2">
      <c r="A11972" s="6" t="str">
        <f>"RPE"</f>
        <v>RPE</v>
      </c>
      <c r="B11972" s="6">
        <v>0.41058941058941001</v>
      </c>
      <c r="C11972" s="6">
        <v>0.57302867473208097</v>
      </c>
    </row>
    <row r="11973" spans="1:3" s="7" customFormat="1" x14ac:dyDescent="0.2">
      <c r="A11973" s="6" t="str">
        <f>"AL358613.3"</f>
        <v>AL358613.3</v>
      </c>
      <c r="B11973" s="6">
        <v>0.41058941058941001</v>
      </c>
      <c r="C11973" s="6">
        <v>0.57302867473208097</v>
      </c>
    </row>
    <row r="11974" spans="1:3" s="7" customFormat="1" x14ac:dyDescent="0.2">
      <c r="A11974" s="6" t="str">
        <f>"AL513548.1"</f>
        <v>AL513548.1</v>
      </c>
      <c r="B11974" s="6">
        <v>0.41058941058941001</v>
      </c>
      <c r="C11974" s="6">
        <v>0.57302867473208097</v>
      </c>
    </row>
    <row r="11975" spans="1:3" s="7" customFormat="1" x14ac:dyDescent="0.2">
      <c r="A11975" s="6" t="str">
        <f>"PLXNA1"</f>
        <v>PLXNA1</v>
      </c>
      <c r="B11975" s="6">
        <v>0.41058941058941001</v>
      </c>
      <c r="C11975" s="6">
        <v>0.57302867473208097</v>
      </c>
    </row>
    <row r="11976" spans="1:3" s="7" customFormat="1" x14ac:dyDescent="0.2">
      <c r="A11976" s="6" t="str">
        <f>"KNTC1"</f>
        <v>KNTC1</v>
      </c>
      <c r="B11976" s="6">
        <v>0.41058941058941001</v>
      </c>
      <c r="C11976" s="6">
        <v>0.57302867473208097</v>
      </c>
    </row>
    <row r="11977" spans="1:3" s="7" customFormat="1" x14ac:dyDescent="0.2">
      <c r="A11977" s="6" t="str">
        <f>"RPL18A"</f>
        <v>RPL18A</v>
      </c>
      <c r="B11977" s="6">
        <v>0.41058941058941001</v>
      </c>
      <c r="C11977" s="6">
        <v>0.57302867473208097</v>
      </c>
    </row>
    <row r="11978" spans="1:3" s="7" customFormat="1" x14ac:dyDescent="0.2">
      <c r="A11978" s="6" t="str">
        <f>"AC077690.1"</f>
        <v>AC077690.1</v>
      </c>
      <c r="B11978" s="6">
        <v>0.410696266397578</v>
      </c>
      <c r="C11978" s="6">
        <v>0.57312994878259305</v>
      </c>
    </row>
    <row r="11979" spans="1:3" s="7" customFormat="1" x14ac:dyDescent="0.2">
      <c r="A11979" s="6" t="str">
        <f>"NUB1"</f>
        <v>NUB1</v>
      </c>
      <c r="B11979" s="6">
        <v>0.41099999999999998</v>
      </c>
      <c r="C11979" s="6">
        <v>0.57350592753381202</v>
      </c>
    </row>
    <row r="11980" spans="1:3" s="7" customFormat="1" x14ac:dyDescent="0.2">
      <c r="A11980" s="6" t="str">
        <f>"SND1"</f>
        <v>SND1</v>
      </c>
      <c r="B11980" s="6">
        <v>0.41158841158841097</v>
      </c>
      <c r="C11980" s="6">
        <v>0.57389577970206895</v>
      </c>
    </row>
    <row r="11981" spans="1:3" s="7" customFormat="1" x14ac:dyDescent="0.2">
      <c r="A11981" s="6" t="str">
        <f>"VAMP3"</f>
        <v>VAMP3</v>
      </c>
      <c r="B11981" s="6">
        <v>0.41158841158841097</v>
      </c>
      <c r="C11981" s="6">
        <v>0.57389577970206895</v>
      </c>
    </row>
    <row r="11982" spans="1:3" s="7" customFormat="1" x14ac:dyDescent="0.2">
      <c r="A11982" s="6" t="str">
        <f>"LINC00472"</f>
        <v>LINC00472</v>
      </c>
      <c r="B11982" s="6">
        <v>0.41158841158841097</v>
      </c>
      <c r="C11982" s="6">
        <v>0.57389577970206895</v>
      </c>
    </row>
    <row r="11983" spans="1:3" s="7" customFormat="1" x14ac:dyDescent="0.2">
      <c r="A11983" s="6" t="str">
        <f>"UPF3AP3"</f>
        <v>UPF3AP3</v>
      </c>
      <c r="B11983" s="6">
        <v>0.41158841158841097</v>
      </c>
      <c r="C11983" s="6">
        <v>0.57389577970206895</v>
      </c>
    </row>
    <row r="11984" spans="1:3" s="7" customFormat="1" x14ac:dyDescent="0.2">
      <c r="A11984" s="6" t="str">
        <f>"STRAP"</f>
        <v>STRAP</v>
      </c>
      <c r="B11984" s="6">
        <v>0.41158841158841097</v>
      </c>
      <c r="C11984" s="6">
        <v>0.57389577970206895</v>
      </c>
    </row>
    <row r="11985" spans="1:3" s="7" customFormat="1" x14ac:dyDescent="0.2">
      <c r="A11985" s="6" t="str">
        <f>"AC113414.1"</f>
        <v>AC113414.1</v>
      </c>
      <c r="B11985" s="6">
        <v>0.41158841158841097</v>
      </c>
      <c r="C11985" s="6">
        <v>0.57389577970206895</v>
      </c>
    </row>
    <row r="11986" spans="1:3" s="7" customFormat="1" x14ac:dyDescent="0.2">
      <c r="A11986" s="6" t="str">
        <f>"TUBAP9"</f>
        <v>TUBAP9</v>
      </c>
      <c r="B11986" s="6">
        <v>0.41158841158841097</v>
      </c>
      <c r="C11986" s="6">
        <v>0.57389577970206895</v>
      </c>
    </row>
    <row r="11987" spans="1:3" s="7" customFormat="1" x14ac:dyDescent="0.2">
      <c r="A11987" s="6" t="str">
        <f>"SYNE1"</f>
        <v>SYNE1</v>
      </c>
      <c r="B11987" s="6">
        <v>0.41158841158841097</v>
      </c>
      <c r="C11987" s="6">
        <v>0.57389577970206895</v>
      </c>
    </row>
    <row r="11988" spans="1:3" s="7" customFormat="1" x14ac:dyDescent="0.2">
      <c r="A11988" s="6" t="str">
        <f>"FGFR3"</f>
        <v>FGFR3</v>
      </c>
      <c r="B11988" s="6">
        <v>0.41158841158841097</v>
      </c>
      <c r="C11988" s="6">
        <v>0.57389577970206895</v>
      </c>
    </row>
    <row r="11989" spans="1:3" s="7" customFormat="1" x14ac:dyDescent="0.2">
      <c r="A11989" s="6" t="str">
        <f>"LDB3"</f>
        <v>LDB3</v>
      </c>
      <c r="B11989" s="6">
        <v>0.41199999999999998</v>
      </c>
      <c r="C11989" s="6">
        <v>0.57442175508842097</v>
      </c>
    </row>
    <row r="11990" spans="1:3" s="7" customFormat="1" x14ac:dyDescent="0.2">
      <c r="A11990" s="6" t="str">
        <f>"ROR1-AS1"</f>
        <v>ROR1-AS1</v>
      </c>
      <c r="B11990" s="6">
        <v>0.41206030150753697</v>
      </c>
      <c r="C11990" s="6">
        <v>0.57445790970030697</v>
      </c>
    </row>
    <row r="11991" spans="1:3" s="7" customFormat="1" x14ac:dyDescent="0.2">
      <c r="A11991" s="6" t="str">
        <f>"NAGA"</f>
        <v>NAGA</v>
      </c>
      <c r="B11991" s="6">
        <v>0.41258741258741199</v>
      </c>
      <c r="C11991" s="6">
        <v>0.57452187069782601</v>
      </c>
    </row>
    <row r="11992" spans="1:3" s="7" customFormat="1" x14ac:dyDescent="0.2">
      <c r="A11992" s="6" t="str">
        <f>"AC133644.2"</f>
        <v>AC133644.2</v>
      </c>
      <c r="B11992" s="6">
        <v>0.41258741258741199</v>
      </c>
      <c r="C11992" s="6">
        <v>0.57452187069782601</v>
      </c>
    </row>
    <row r="11993" spans="1:3" s="7" customFormat="1" x14ac:dyDescent="0.2">
      <c r="A11993" s="6" t="str">
        <f>"MAST2"</f>
        <v>MAST2</v>
      </c>
      <c r="B11993" s="6">
        <v>0.41258741258741199</v>
      </c>
      <c r="C11993" s="6">
        <v>0.57452187069782601</v>
      </c>
    </row>
    <row r="11994" spans="1:3" s="7" customFormat="1" x14ac:dyDescent="0.2">
      <c r="A11994" s="6" t="str">
        <f>"CAD"</f>
        <v>CAD</v>
      </c>
      <c r="B11994" s="6">
        <v>0.41258741258741199</v>
      </c>
      <c r="C11994" s="6">
        <v>0.57452187069782601</v>
      </c>
    </row>
    <row r="11995" spans="1:3" s="7" customFormat="1" x14ac:dyDescent="0.2">
      <c r="A11995" s="6" t="str">
        <f>"TPRG1LP1"</f>
        <v>TPRG1LP1</v>
      </c>
      <c r="B11995" s="6">
        <v>0.412412412412412</v>
      </c>
      <c r="C11995" s="6">
        <v>0.57452187069782601</v>
      </c>
    </row>
    <row r="11996" spans="1:3" s="7" customFormat="1" x14ac:dyDescent="0.2">
      <c r="A11996" s="6" t="str">
        <f>"ZNF461"</f>
        <v>ZNF461</v>
      </c>
      <c r="B11996" s="6">
        <v>0.41258741258741199</v>
      </c>
      <c r="C11996" s="6">
        <v>0.57452187069782601</v>
      </c>
    </row>
    <row r="11997" spans="1:3" s="7" customFormat="1" x14ac:dyDescent="0.2">
      <c r="A11997" s="6" t="str">
        <f>"TARBP1"</f>
        <v>TARBP1</v>
      </c>
      <c r="B11997" s="6">
        <v>0.41258741258741199</v>
      </c>
      <c r="C11997" s="6">
        <v>0.57452187069782601</v>
      </c>
    </row>
    <row r="11998" spans="1:3" s="7" customFormat="1" x14ac:dyDescent="0.2">
      <c r="A11998" s="6" t="str">
        <f>"QSOX2"</f>
        <v>QSOX2</v>
      </c>
      <c r="B11998" s="6">
        <v>0.41258741258741199</v>
      </c>
      <c r="C11998" s="6">
        <v>0.57452187069782601</v>
      </c>
    </row>
    <row r="11999" spans="1:3" s="7" customFormat="1" x14ac:dyDescent="0.2">
      <c r="A11999" s="6" t="str">
        <f>"CLCF1"</f>
        <v>CLCF1</v>
      </c>
      <c r="B11999" s="6">
        <v>0.41258741258741199</v>
      </c>
      <c r="C11999" s="6">
        <v>0.57452187069782601</v>
      </c>
    </row>
    <row r="12000" spans="1:3" s="7" customFormat="1" x14ac:dyDescent="0.2">
      <c r="A12000" s="6" t="str">
        <f>"PPP1R1B"</f>
        <v>PPP1R1B</v>
      </c>
      <c r="B12000" s="6">
        <v>0.41258741258741199</v>
      </c>
      <c r="C12000" s="6">
        <v>0.57452187069782601</v>
      </c>
    </row>
    <row r="12001" spans="1:3" s="7" customFormat="1" x14ac:dyDescent="0.2">
      <c r="A12001" s="6" t="str">
        <f>"AC005753.1"</f>
        <v>AC005753.1</v>
      </c>
      <c r="B12001" s="6">
        <v>0.41258741258741199</v>
      </c>
      <c r="C12001" s="6">
        <v>0.57452187069782601</v>
      </c>
    </row>
    <row r="12002" spans="1:3" s="7" customFormat="1" x14ac:dyDescent="0.2">
      <c r="A12002" s="6" t="str">
        <f>"AC010478.1"</f>
        <v>AC010478.1</v>
      </c>
      <c r="B12002" s="6">
        <v>0.41258741258741199</v>
      </c>
      <c r="C12002" s="6">
        <v>0.57452187069782601</v>
      </c>
    </row>
    <row r="12003" spans="1:3" s="7" customFormat="1" x14ac:dyDescent="0.2">
      <c r="A12003" s="6" t="str">
        <f>"CAMK1D"</f>
        <v>CAMK1D</v>
      </c>
      <c r="B12003" s="6">
        <v>0.41258741258741199</v>
      </c>
      <c r="C12003" s="6">
        <v>0.57452187069782601</v>
      </c>
    </row>
    <row r="12004" spans="1:3" s="7" customFormat="1" x14ac:dyDescent="0.2">
      <c r="A12004" s="6" t="str">
        <f>"LIG3"</f>
        <v>LIG3</v>
      </c>
      <c r="B12004" s="6">
        <v>0.41258741258741199</v>
      </c>
      <c r="C12004" s="6">
        <v>0.57452187069782601</v>
      </c>
    </row>
    <row r="12005" spans="1:3" s="7" customFormat="1" x14ac:dyDescent="0.2">
      <c r="A12005" s="6" t="str">
        <f>"AL138966.2"</f>
        <v>AL138966.2</v>
      </c>
      <c r="B12005" s="6">
        <v>0.41265060240963802</v>
      </c>
      <c r="C12005" s="6">
        <v>0.57456199339176095</v>
      </c>
    </row>
    <row r="12006" spans="1:3" s="7" customFormat="1" x14ac:dyDescent="0.2">
      <c r="A12006" s="6" t="str">
        <f>"LINC00881"</f>
        <v>LINC00881</v>
      </c>
      <c r="B12006" s="6">
        <v>0.41358641358641302</v>
      </c>
      <c r="C12006" s="6">
        <v>0.57548146159534697</v>
      </c>
    </row>
    <row r="12007" spans="1:3" s="7" customFormat="1" x14ac:dyDescent="0.2">
      <c r="A12007" s="6" t="str">
        <f>"IL20"</f>
        <v>IL20</v>
      </c>
      <c r="B12007" s="6">
        <v>0.41358641358641302</v>
      </c>
      <c r="C12007" s="6">
        <v>0.57548146159534697</v>
      </c>
    </row>
    <row r="12008" spans="1:3" s="7" customFormat="1" x14ac:dyDescent="0.2">
      <c r="A12008" s="6" t="str">
        <f>"TMCC1-AS1"</f>
        <v>TMCC1-AS1</v>
      </c>
      <c r="B12008" s="6">
        <v>0.41358641358641302</v>
      </c>
      <c r="C12008" s="6">
        <v>0.57548146159534697</v>
      </c>
    </row>
    <row r="12009" spans="1:3" s="7" customFormat="1" x14ac:dyDescent="0.2">
      <c r="A12009" s="6" t="str">
        <f>"LINC00174"</f>
        <v>LINC00174</v>
      </c>
      <c r="B12009" s="6">
        <v>0.41358641358641302</v>
      </c>
      <c r="C12009" s="6">
        <v>0.57548146159534697</v>
      </c>
    </row>
    <row r="12010" spans="1:3" s="7" customFormat="1" x14ac:dyDescent="0.2">
      <c r="A12010" s="6" t="str">
        <f>"PMF1-BGLAP"</f>
        <v>PMF1-BGLAP</v>
      </c>
      <c r="B12010" s="6">
        <v>0.41358641358641302</v>
      </c>
      <c r="C12010" s="6">
        <v>0.57548146159534697</v>
      </c>
    </row>
    <row r="12011" spans="1:3" s="7" customFormat="1" x14ac:dyDescent="0.2">
      <c r="A12011" s="6" t="str">
        <f>"PDE6B-AS1"</f>
        <v>PDE6B-AS1</v>
      </c>
      <c r="B12011" s="6">
        <v>0.41358641358641302</v>
      </c>
      <c r="C12011" s="6">
        <v>0.57548146159534697</v>
      </c>
    </row>
    <row r="12012" spans="1:3" s="7" customFormat="1" x14ac:dyDescent="0.2">
      <c r="A12012" s="6" t="str">
        <f>"GUCY1A2"</f>
        <v>GUCY1A2</v>
      </c>
      <c r="B12012" s="6">
        <v>0.41358641358641302</v>
      </c>
      <c r="C12012" s="6">
        <v>0.57548146159534697</v>
      </c>
    </row>
    <row r="12013" spans="1:3" s="7" customFormat="1" x14ac:dyDescent="0.2">
      <c r="A12013" s="6" t="str">
        <f>"WDR24"</f>
        <v>WDR24</v>
      </c>
      <c r="B12013" s="6">
        <v>0.41358641358641302</v>
      </c>
      <c r="C12013" s="6">
        <v>0.57548146159534697</v>
      </c>
    </row>
    <row r="12014" spans="1:3" s="7" customFormat="1" x14ac:dyDescent="0.2">
      <c r="A12014" s="6" t="str">
        <f>"RPGRIP1L"</f>
        <v>RPGRIP1L</v>
      </c>
      <c r="B12014" s="6">
        <v>0.41399999999999998</v>
      </c>
      <c r="C12014" s="6">
        <v>0.57600899026055097</v>
      </c>
    </row>
    <row r="12015" spans="1:3" s="7" customFormat="1" x14ac:dyDescent="0.2">
      <c r="A12015" s="6" t="str">
        <f>"NAT10"</f>
        <v>NAT10</v>
      </c>
      <c r="B12015" s="6">
        <v>0.41458541458541398</v>
      </c>
      <c r="C12015" s="6">
        <v>0.57643961562104795</v>
      </c>
    </row>
    <row r="12016" spans="1:3" s="7" customFormat="1" x14ac:dyDescent="0.2">
      <c r="A12016" s="6" t="str">
        <f>"SLC7A14"</f>
        <v>SLC7A14</v>
      </c>
      <c r="B12016" s="6">
        <v>0.41458541458541398</v>
      </c>
      <c r="C12016" s="6">
        <v>0.57643961562104795</v>
      </c>
    </row>
    <row r="12017" spans="1:3" s="7" customFormat="1" x14ac:dyDescent="0.2">
      <c r="A12017" s="6" t="str">
        <f>"ATP6V1B1"</f>
        <v>ATP6V1B1</v>
      </c>
      <c r="B12017" s="6">
        <v>0.41458541458541398</v>
      </c>
      <c r="C12017" s="6">
        <v>0.57643961562104795</v>
      </c>
    </row>
    <row r="12018" spans="1:3" s="7" customFormat="1" x14ac:dyDescent="0.2">
      <c r="A12018" s="6" t="str">
        <f>"LINC02861"</f>
        <v>LINC02861</v>
      </c>
      <c r="B12018" s="6">
        <v>0.414560161779575</v>
      </c>
      <c r="C12018" s="6">
        <v>0.57643961562104795</v>
      </c>
    </row>
    <row r="12019" spans="1:3" s="7" customFormat="1" x14ac:dyDescent="0.2">
      <c r="A12019" s="6" t="str">
        <f>"TMEM203"</f>
        <v>TMEM203</v>
      </c>
      <c r="B12019" s="6">
        <v>0.41458541458541398</v>
      </c>
      <c r="C12019" s="6">
        <v>0.57643961562104795</v>
      </c>
    </row>
    <row r="12020" spans="1:3" s="7" customFormat="1" x14ac:dyDescent="0.2">
      <c r="A12020" s="6" t="str">
        <f>"LINC02710"</f>
        <v>LINC02710</v>
      </c>
      <c r="B12020" s="6">
        <v>0.41458541458541398</v>
      </c>
      <c r="C12020" s="6">
        <v>0.57643961562104795</v>
      </c>
    </row>
    <row r="12021" spans="1:3" s="7" customFormat="1" x14ac:dyDescent="0.2">
      <c r="A12021" s="6" t="str">
        <f>"AC092428.1"</f>
        <v>AC092428.1</v>
      </c>
      <c r="B12021" s="6">
        <v>0.41458541458541398</v>
      </c>
      <c r="C12021" s="6">
        <v>0.57643961562104795</v>
      </c>
    </row>
    <row r="12022" spans="1:3" s="7" customFormat="1" x14ac:dyDescent="0.2">
      <c r="A12022" s="6" t="str">
        <f>"DDX43"</f>
        <v>DDX43</v>
      </c>
      <c r="B12022" s="6">
        <v>0.41458541458541398</v>
      </c>
      <c r="C12022" s="6">
        <v>0.57643961562104795</v>
      </c>
    </row>
    <row r="12023" spans="1:3" s="7" customFormat="1" x14ac:dyDescent="0.2">
      <c r="A12023" s="6" t="str">
        <f>"FGF13"</f>
        <v>FGF13</v>
      </c>
      <c r="B12023" s="6">
        <v>0.415584415584415</v>
      </c>
      <c r="C12023" s="6">
        <v>0.57758838533825996</v>
      </c>
    </row>
    <row r="12024" spans="1:3" s="7" customFormat="1" x14ac:dyDescent="0.2">
      <c r="A12024" s="6" t="str">
        <f>"DDRGK1"</f>
        <v>DDRGK1</v>
      </c>
      <c r="B12024" s="6">
        <v>0.415584415584415</v>
      </c>
      <c r="C12024" s="6">
        <v>0.57758838533825996</v>
      </c>
    </row>
    <row r="12025" spans="1:3" s="7" customFormat="1" x14ac:dyDescent="0.2">
      <c r="A12025" s="6" t="str">
        <f>"PEBP1"</f>
        <v>PEBP1</v>
      </c>
      <c r="B12025" s="6">
        <v>0.415584415584415</v>
      </c>
      <c r="C12025" s="6">
        <v>0.57758838533825996</v>
      </c>
    </row>
    <row r="12026" spans="1:3" s="7" customFormat="1" x14ac:dyDescent="0.2">
      <c r="A12026" s="6" t="str">
        <f>"SNX14"</f>
        <v>SNX14</v>
      </c>
      <c r="B12026" s="6">
        <v>0.415584415584415</v>
      </c>
      <c r="C12026" s="6">
        <v>0.57758838533825996</v>
      </c>
    </row>
    <row r="12027" spans="1:3" s="7" customFormat="1" x14ac:dyDescent="0.2">
      <c r="A12027" s="6" t="str">
        <f>"PFDN6"</f>
        <v>PFDN6</v>
      </c>
      <c r="B12027" s="6">
        <v>0.415584415584415</v>
      </c>
      <c r="C12027" s="6">
        <v>0.57758838533825996</v>
      </c>
    </row>
    <row r="12028" spans="1:3" s="7" customFormat="1" x14ac:dyDescent="0.2">
      <c r="A12028" s="6" t="str">
        <f>"ZNF106"</f>
        <v>ZNF106</v>
      </c>
      <c r="B12028" s="6">
        <v>0.41599999999999998</v>
      </c>
      <c r="C12028" s="6">
        <v>0.57811790138854202</v>
      </c>
    </row>
    <row r="12029" spans="1:3" s="7" customFormat="1" x14ac:dyDescent="0.2">
      <c r="A12029" s="6" t="str">
        <f>"TIMM23B-AGAP6"</f>
        <v>TIMM23B-AGAP6</v>
      </c>
      <c r="B12029" s="6">
        <v>0.41658341658341602</v>
      </c>
      <c r="C12029" s="6">
        <v>0.57835162594694101</v>
      </c>
    </row>
    <row r="12030" spans="1:3" s="7" customFormat="1" x14ac:dyDescent="0.2">
      <c r="A12030" s="6" t="str">
        <f>"UQCRFS1"</f>
        <v>UQCRFS1</v>
      </c>
      <c r="B12030" s="6">
        <v>0.41658341658341602</v>
      </c>
      <c r="C12030" s="6">
        <v>0.57835162594694101</v>
      </c>
    </row>
    <row r="12031" spans="1:3" s="7" customFormat="1" x14ac:dyDescent="0.2">
      <c r="A12031" s="6" t="str">
        <f>"ADA2"</f>
        <v>ADA2</v>
      </c>
      <c r="B12031" s="6">
        <v>0.41658341658341602</v>
      </c>
      <c r="C12031" s="6">
        <v>0.57835162594694101</v>
      </c>
    </row>
    <row r="12032" spans="1:3" s="7" customFormat="1" x14ac:dyDescent="0.2">
      <c r="A12032" s="6" t="str">
        <f>"AC079848.2"</f>
        <v>AC079848.2</v>
      </c>
      <c r="B12032" s="6">
        <v>0.41658341658341602</v>
      </c>
      <c r="C12032" s="6">
        <v>0.57835162594694101</v>
      </c>
    </row>
    <row r="12033" spans="1:3" s="7" customFormat="1" x14ac:dyDescent="0.2">
      <c r="A12033" s="6" t="str">
        <f>"AC005336.1"</f>
        <v>AC005336.1</v>
      </c>
      <c r="B12033" s="6">
        <v>0.41658341658341602</v>
      </c>
      <c r="C12033" s="6">
        <v>0.57835162594694101</v>
      </c>
    </row>
    <row r="12034" spans="1:3" s="7" customFormat="1" x14ac:dyDescent="0.2">
      <c r="A12034" s="6" t="str">
        <f>"DROSHA"</f>
        <v>DROSHA</v>
      </c>
      <c r="B12034" s="6">
        <v>0.41658341658341602</v>
      </c>
      <c r="C12034" s="6">
        <v>0.57835162594694101</v>
      </c>
    </row>
    <row r="12035" spans="1:3" s="7" customFormat="1" x14ac:dyDescent="0.2">
      <c r="A12035" s="6" t="str">
        <f>"USP34"</f>
        <v>USP34</v>
      </c>
      <c r="B12035" s="6">
        <v>0.41658341658341602</v>
      </c>
      <c r="C12035" s="6">
        <v>0.57835162594694101</v>
      </c>
    </row>
    <row r="12036" spans="1:3" s="7" customFormat="1" x14ac:dyDescent="0.2">
      <c r="A12036" s="6" t="str">
        <f>"KIAA0753"</f>
        <v>KIAA0753</v>
      </c>
      <c r="B12036" s="6">
        <v>0.41658341658341602</v>
      </c>
      <c r="C12036" s="6">
        <v>0.57835162594694101</v>
      </c>
    </row>
    <row r="12037" spans="1:3" s="7" customFormat="1" x14ac:dyDescent="0.2">
      <c r="A12037" s="6" t="str">
        <f>"GSAP"</f>
        <v>GSAP</v>
      </c>
      <c r="B12037" s="6">
        <v>0.41658341658341602</v>
      </c>
      <c r="C12037" s="6">
        <v>0.57835162594694101</v>
      </c>
    </row>
    <row r="12038" spans="1:3" s="7" customFormat="1" x14ac:dyDescent="0.2">
      <c r="A12038" s="6" t="str">
        <f>"SPTBN1-AS1"</f>
        <v>SPTBN1-AS1</v>
      </c>
      <c r="B12038" s="6">
        <v>0.41658341658341602</v>
      </c>
      <c r="C12038" s="6">
        <v>0.57835162594694101</v>
      </c>
    </row>
    <row r="12039" spans="1:3" s="7" customFormat="1" x14ac:dyDescent="0.2">
      <c r="A12039" s="6" t="str">
        <f>"CBWD4P"</f>
        <v>CBWD4P</v>
      </c>
      <c r="B12039" s="6">
        <v>0.41658341658341602</v>
      </c>
      <c r="C12039" s="6">
        <v>0.57835162594694101</v>
      </c>
    </row>
    <row r="12040" spans="1:3" s="7" customFormat="1" x14ac:dyDescent="0.2">
      <c r="A12040" s="6" t="str">
        <f>"JKAMP"</f>
        <v>JKAMP</v>
      </c>
      <c r="B12040" s="6">
        <v>0.41658341658341602</v>
      </c>
      <c r="C12040" s="6">
        <v>0.57835162594694101</v>
      </c>
    </row>
    <row r="12041" spans="1:3" s="7" customFormat="1" x14ac:dyDescent="0.2">
      <c r="A12041" s="6" t="str">
        <f>"DLGAP3"</f>
        <v>DLGAP3</v>
      </c>
      <c r="B12041" s="6">
        <v>0.41683366733466898</v>
      </c>
      <c r="C12041" s="6">
        <v>0.578650989687015</v>
      </c>
    </row>
    <row r="12042" spans="1:3" s="7" customFormat="1" x14ac:dyDescent="0.2">
      <c r="A12042" s="6" t="str">
        <f>"SNRPD1"</f>
        <v>SNRPD1</v>
      </c>
      <c r="B12042" s="6">
        <v>0.41699999999999998</v>
      </c>
      <c r="C12042" s="6">
        <v>0.57883381778922005</v>
      </c>
    </row>
    <row r="12043" spans="1:3" s="7" customFormat="1" x14ac:dyDescent="0.2">
      <c r="A12043" s="6" t="str">
        <f>"KCNN2"</f>
        <v>KCNN2</v>
      </c>
      <c r="B12043" s="6">
        <v>0.417417417417417</v>
      </c>
      <c r="C12043" s="6">
        <v>0.57936511499042598</v>
      </c>
    </row>
    <row r="12044" spans="1:3" s="7" customFormat="1" x14ac:dyDescent="0.2">
      <c r="A12044" s="6" t="str">
        <f>"RNU1-1"</f>
        <v>RNU1-1</v>
      </c>
      <c r="B12044" s="6">
        <v>0.41758241758241699</v>
      </c>
      <c r="C12044" s="6">
        <v>0.57944977397032105</v>
      </c>
    </row>
    <row r="12045" spans="1:3" s="7" customFormat="1" x14ac:dyDescent="0.2">
      <c r="A12045" s="6" t="str">
        <f>"ESYT3"</f>
        <v>ESYT3</v>
      </c>
      <c r="B12045" s="6">
        <v>0.41758241758241699</v>
      </c>
      <c r="C12045" s="6">
        <v>0.57944977397032105</v>
      </c>
    </row>
    <row r="12046" spans="1:3" s="7" customFormat="1" x14ac:dyDescent="0.2">
      <c r="A12046" s="6" t="str">
        <f>"PARP2"</f>
        <v>PARP2</v>
      </c>
      <c r="B12046" s="6">
        <v>0.41758241758241699</v>
      </c>
      <c r="C12046" s="6">
        <v>0.57944977397032105</v>
      </c>
    </row>
    <row r="12047" spans="1:3" s="7" customFormat="1" x14ac:dyDescent="0.2">
      <c r="A12047" s="6" t="str">
        <f>"CPQ"</f>
        <v>CPQ</v>
      </c>
      <c r="B12047" s="6">
        <v>0.41858141858141801</v>
      </c>
      <c r="C12047" s="6">
        <v>0.58035419578347802</v>
      </c>
    </row>
    <row r="12048" spans="1:3" s="7" customFormat="1" x14ac:dyDescent="0.2">
      <c r="A12048" s="6" t="str">
        <f>"SLC30A4"</f>
        <v>SLC30A4</v>
      </c>
      <c r="B12048" s="6">
        <v>0.41858141858141801</v>
      </c>
      <c r="C12048" s="6">
        <v>0.58035419578347802</v>
      </c>
    </row>
    <row r="12049" spans="1:3" s="7" customFormat="1" x14ac:dyDescent="0.2">
      <c r="A12049" s="6" t="str">
        <f>"AL139393.1"</f>
        <v>AL139393.1</v>
      </c>
      <c r="B12049" s="6">
        <v>0.41858141858141801</v>
      </c>
      <c r="C12049" s="6">
        <v>0.58035419578347802</v>
      </c>
    </row>
    <row r="12050" spans="1:3" s="7" customFormat="1" x14ac:dyDescent="0.2">
      <c r="A12050" s="6" t="str">
        <f>"DHX15"</f>
        <v>DHX15</v>
      </c>
      <c r="B12050" s="6">
        <v>0.41858141858141801</v>
      </c>
      <c r="C12050" s="6">
        <v>0.58035419578347802</v>
      </c>
    </row>
    <row r="12051" spans="1:3" s="7" customFormat="1" x14ac:dyDescent="0.2">
      <c r="A12051" s="6" t="str">
        <f>"GOLGA4"</f>
        <v>GOLGA4</v>
      </c>
      <c r="B12051" s="6">
        <v>0.41858141858141801</v>
      </c>
      <c r="C12051" s="6">
        <v>0.58035419578347802</v>
      </c>
    </row>
    <row r="12052" spans="1:3" s="7" customFormat="1" x14ac:dyDescent="0.2">
      <c r="A12052" s="6" t="str">
        <f>"Z84485.1"</f>
        <v>Z84485.1</v>
      </c>
      <c r="B12052" s="6">
        <v>0.41841841841841798</v>
      </c>
      <c r="C12052" s="6">
        <v>0.58035419578347802</v>
      </c>
    </row>
    <row r="12053" spans="1:3" s="7" customFormat="1" x14ac:dyDescent="0.2">
      <c r="A12053" s="6" t="str">
        <f>"AL513534.2"</f>
        <v>AL513534.2</v>
      </c>
      <c r="B12053" s="6">
        <v>0.41858141858141801</v>
      </c>
      <c r="C12053" s="6">
        <v>0.58035419578347802</v>
      </c>
    </row>
    <row r="12054" spans="1:3" s="7" customFormat="1" x14ac:dyDescent="0.2">
      <c r="A12054" s="6" t="str">
        <f>"AL590399.1"</f>
        <v>AL590399.1</v>
      </c>
      <c r="B12054" s="6">
        <v>0.41858141858141801</v>
      </c>
      <c r="C12054" s="6">
        <v>0.58035419578347802</v>
      </c>
    </row>
    <row r="12055" spans="1:3" s="7" customFormat="1" x14ac:dyDescent="0.2">
      <c r="A12055" s="6" t="str">
        <f>"CDHR2"</f>
        <v>CDHR2</v>
      </c>
      <c r="B12055" s="6">
        <v>0.41858141858141801</v>
      </c>
      <c r="C12055" s="6">
        <v>0.58035419578347802</v>
      </c>
    </row>
    <row r="12056" spans="1:3" s="7" customFormat="1" x14ac:dyDescent="0.2">
      <c r="A12056" s="6" t="str">
        <f>"JTB"</f>
        <v>JTB</v>
      </c>
      <c r="B12056" s="6">
        <v>0.41858141858141801</v>
      </c>
      <c r="C12056" s="6">
        <v>0.58035419578347802</v>
      </c>
    </row>
    <row r="12057" spans="1:3" s="7" customFormat="1" x14ac:dyDescent="0.2">
      <c r="A12057" s="6" t="str">
        <f>"KRT8P36"</f>
        <v>KRT8P36</v>
      </c>
      <c r="B12057" s="6">
        <v>0.41958041958041897</v>
      </c>
      <c r="C12057" s="6">
        <v>0.58116078005031302</v>
      </c>
    </row>
    <row r="12058" spans="1:3" s="7" customFormat="1" x14ac:dyDescent="0.2">
      <c r="A12058" s="6" t="str">
        <f>"LIPT1"</f>
        <v>LIPT1</v>
      </c>
      <c r="B12058" s="6">
        <v>0.41958041958041897</v>
      </c>
      <c r="C12058" s="6">
        <v>0.58116078005031302</v>
      </c>
    </row>
    <row r="12059" spans="1:3" s="7" customFormat="1" x14ac:dyDescent="0.2">
      <c r="A12059" s="6" t="str">
        <f>"HTR7P1"</f>
        <v>HTR7P1</v>
      </c>
      <c r="B12059" s="6">
        <v>0.41958041958041897</v>
      </c>
      <c r="C12059" s="6">
        <v>0.58116078005031302</v>
      </c>
    </row>
    <row r="12060" spans="1:3" s="7" customFormat="1" x14ac:dyDescent="0.2">
      <c r="A12060" s="6" t="str">
        <f>"SPIRE2"</f>
        <v>SPIRE2</v>
      </c>
      <c r="B12060" s="6">
        <v>0.41958041958041897</v>
      </c>
      <c r="C12060" s="6">
        <v>0.58116078005031302</v>
      </c>
    </row>
    <row r="12061" spans="1:3" s="7" customFormat="1" x14ac:dyDescent="0.2">
      <c r="A12061" s="6" t="str">
        <f>"PFN4"</f>
        <v>PFN4</v>
      </c>
      <c r="B12061" s="6">
        <v>0.41958041958041897</v>
      </c>
      <c r="C12061" s="6">
        <v>0.58116078005031302</v>
      </c>
    </row>
    <row r="12062" spans="1:3" s="7" customFormat="1" x14ac:dyDescent="0.2">
      <c r="A12062" s="6" t="str">
        <f>"NRN1L"</f>
        <v>NRN1L</v>
      </c>
      <c r="B12062" s="6">
        <v>0.41958041958041897</v>
      </c>
      <c r="C12062" s="6">
        <v>0.58116078005031302</v>
      </c>
    </row>
    <row r="12063" spans="1:3" s="7" customFormat="1" x14ac:dyDescent="0.2">
      <c r="A12063" s="6" t="str">
        <f>"LINC00649"</f>
        <v>LINC00649</v>
      </c>
      <c r="B12063" s="6">
        <v>0.41958041958041897</v>
      </c>
      <c r="C12063" s="6">
        <v>0.58116078005031302</v>
      </c>
    </row>
    <row r="12064" spans="1:3" s="7" customFormat="1" x14ac:dyDescent="0.2">
      <c r="A12064" s="6" t="str">
        <f>"TAF13"</f>
        <v>TAF13</v>
      </c>
      <c r="B12064" s="6">
        <v>0.41958041958041897</v>
      </c>
      <c r="C12064" s="6">
        <v>0.58116078005031302</v>
      </c>
    </row>
    <row r="12065" spans="1:3" s="7" customFormat="1" x14ac:dyDescent="0.2">
      <c r="A12065" s="6" t="str">
        <f>"VPS11"</f>
        <v>VPS11</v>
      </c>
      <c r="B12065" s="6">
        <v>0.41958041958041897</v>
      </c>
      <c r="C12065" s="6">
        <v>0.58116078005031302</v>
      </c>
    </row>
    <row r="12066" spans="1:3" s="7" customFormat="1" x14ac:dyDescent="0.2">
      <c r="A12066" s="6" t="str">
        <f>"TUBGCP6"</f>
        <v>TUBGCP6</v>
      </c>
      <c r="B12066" s="6">
        <v>0.41958041958041897</v>
      </c>
      <c r="C12066" s="6">
        <v>0.58116078005031302</v>
      </c>
    </row>
    <row r="12067" spans="1:3" s="7" customFormat="1" x14ac:dyDescent="0.2">
      <c r="A12067" s="6" t="str">
        <f>"LZTS1"</f>
        <v>LZTS1</v>
      </c>
      <c r="B12067" s="6">
        <v>0.41958041958041897</v>
      </c>
      <c r="C12067" s="6">
        <v>0.58116078005031302</v>
      </c>
    </row>
    <row r="12068" spans="1:3" s="7" customFormat="1" x14ac:dyDescent="0.2">
      <c r="A12068" s="6" t="str">
        <f>"MRPL47"</f>
        <v>MRPL47</v>
      </c>
      <c r="B12068" s="6">
        <v>0.41958041958041897</v>
      </c>
      <c r="C12068" s="6">
        <v>0.58116078005031302</v>
      </c>
    </row>
    <row r="12069" spans="1:3" s="7" customFormat="1" x14ac:dyDescent="0.2">
      <c r="A12069" s="6" t="str">
        <f>"BLOC1S6P1"</f>
        <v>BLOC1S6P1</v>
      </c>
      <c r="B12069" s="6">
        <v>0.42</v>
      </c>
      <c r="C12069" s="6">
        <v>0.581549167426062</v>
      </c>
    </row>
    <row r="12070" spans="1:3" s="7" customFormat="1" x14ac:dyDescent="0.2">
      <c r="A12070" s="6" t="str">
        <f>"AC017104.3"</f>
        <v>AC017104.3</v>
      </c>
      <c r="B12070" s="6">
        <v>0.42</v>
      </c>
      <c r="C12070" s="6">
        <v>0.581549167426062</v>
      </c>
    </row>
    <row r="12071" spans="1:3" s="7" customFormat="1" x14ac:dyDescent="0.2">
      <c r="A12071" s="6" t="str">
        <f>"RPS12P26"</f>
        <v>RPS12P26</v>
      </c>
      <c r="B12071" s="6">
        <v>0.42</v>
      </c>
      <c r="C12071" s="6">
        <v>0.581549167426062</v>
      </c>
    </row>
    <row r="12072" spans="1:3" s="7" customFormat="1" x14ac:dyDescent="0.2">
      <c r="A12072" s="6" t="str">
        <f>"AC104162.1"</f>
        <v>AC104162.1</v>
      </c>
      <c r="B12072" s="6">
        <v>0.42</v>
      </c>
      <c r="C12072" s="6">
        <v>0.581549167426062</v>
      </c>
    </row>
    <row r="12073" spans="1:3" s="7" customFormat="1" x14ac:dyDescent="0.2">
      <c r="A12073" s="6" t="str">
        <f>"TARS2"</f>
        <v>TARS2</v>
      </c>
      <c r="B12073" s="6">
        <v>0.42057942057941999</v>
      </c>
      <c r="C12073" s="6">
        <v>0.58167682545009802</v>
      </c>
    </row>
    <row r="12074" spans="1:3" s="7" customFormat="1" x14ac:dyDescent="0.2">
      <c r="A12074" s="6" t="str">
        <f>"ANGEL1"</f>
        <v>ANGEL1</v>
      </c>
      <c r="B12074" s="6">
        <v>0.42057942057941999</v>
      </c>
      <c r="C12074" s="6">
        <v>0.58167682545009802</v>
      </c>
    </row>
    <row r="12075" spans="1:3" s="7" customFormat="1" x14ac:dyDescent="0.2">
      <c r="A12075" s="6" t="str">
        <f>"PER1"</f>
        <v>PER1</v>
      </c>
      <c r="B12075" s="6">
        <v>0.42057942057941999</v>
      </c>
      <c r="C12075" s="6">
        <v>0.58167682545009802</v>
      </c>
    </row>
    <row r="12076" spans="1:3" s="7" customFormat="1" x14ac:dyDescent="0.2">
      <c r="A12076" s="6" t="str">
        <f>"LAMA3"</f>
        <v>LAMA3</v>
      </c>
      <c r="B12076" s="6">
        <v>0.42057942057941999</v>
      </c>
      <c r="C12076" s="6">
        <v>0.58167682545009802</v>
      </c>
    </row>
    <row r="12077" spans="1:3" s="7" customFormat="1" x14ac:dyDescent="0.2">
      <c r="A12077" s="6" t="str">
        <f>"THBS4-AS1"</f>
        <v>THBS4-AS1</v>
      </c>
      <c r="B12077" s="6">
        <v>0.42057942057941999</v>
      </c>
      <c r="C12077" s="6">
        <v>0.58167682545009802</v>
      </c>
    </row>
    <row r="12078" spans="1:3" s="7" customFormat="1" x14ac:dyDescent="0.2">
      <c r="A12078" s="6" t="str">
        <f>"BBS7"</f>
        <v>BBS7</v>
      </c>
      <c r="B12078" s="6">
        <v>0.42057942057941999</v>
      </c>
      <c r="C12078" s="6">
        <v>0.58167682545009802</v>
      </c>
    </row>
    <row r="12079" spans="1:3" s="7" customFormat="1" x14ac:dyDescent="0.2">
      <c r="A12079" s="6" t="str">
        <f>"LINC02428"</f>
        <v>LINC02428</v>
      </c>
      <c r="B12079" s="6">
        <v>0.42042042042041999</v>
      </c>
      <c r="C12079" s="6">
        <v>0.58167682545009802</v>
      </c>
    </row>
    <row r="12080" spans="1:3" s="7" customFormat="1" x14ac:dyDescent="0.2">
      <c r="A12080" s="6" t="str">
        <f>"HK1"</f>
        <v>HK1</v>
      </c>
      <c r="B12080" s="6">
        <v>0.42057942057941999</v>
      </c>
      <c r="C12080" s="6">
        <v>0.58167682545009802</v>
      </c>
    </row>
    <row r="12081" spans="1:3" s="7" customFormat="1" x14ac:dyDescent="0.2">
      <c r="A12081" s="6" t="str">
        <f>"QTRT1"</f>
        <v>QTRT1</v>
      </c>
      <c r="B12081" s="6">
        <v>0.42057942057941999</v>
      </c>
      <c r="C12081" s="6">
        <v>0.58167682545009802</v>
      </c>
    </row>
    <row r="12082" spans="1:3" s="7" customFormat="1" x14ac:dyDescent="0.2">
      <c r="A12082" s="6" t="str">
        <f>"ITGB6"</f>
        <v>ITGB6</v>
      </c>
      <c r="B12082" s="6">
        <v>0.42057942057941999</v>
      </c>
      <c r="C12082" s="6">
        <v>0.58167682545009802</v>
      </c>
    </row>
    <row r="12083" spans="1:3" s="7" customFormat="1" x14ac:dyDescent="0.2">
      <c r="A12083" s="6" t="str">
        <f>"NRCAM"</f>
        <v>NRCAM</v>
      </c>
      <c r="B12083" s="6">
        <v>0.42057942057941999</v>
      </c>
      <c r="C12083" s="6">
        <v>0.58167682545009802</v>
      </c>
    </row>
    <row r="12084" spans="1:3" s="7" customFormat="1" x14ac:dyDescent="0.2">
      <c r="A12084" s="6" t="str">
        <f>"EPHX4"</f>
        <v>EPHX4</v>
      </c>
      <c r="B12084" s="6">
        <v>0.42057942057941999</v>
      </c>
      <c r="C12084" s="6">
        <v>0.58167682545009802</v>
      </c>
    </row>
    <row r="12085" spans="1:3" s="7" customFormat="1" x14ac:dyDescent="0.2">
      <c r="A12085" s="6" t="str">
        <f>"LINC02006"</f>
        <v>LINC02006</v>
      </c>
      <c r="B12085" s="6">
        <v>0.42057942057941999</v>
      </c>
      <c r="C12085" s="6">
        <v>0.58167682545009802</v>
      </c>
    </row>
    <row r="12086" spans="1:3" s="7" customFormat="1" x14ac:dyDescent="0.2">
      <c r="A12086" s="6" t="str">
        <f>"MCFD2"</f>
        <v>MCFD2</v>
      </c>
      <c r="B12086" s="6">
        <v>0.42057942057941999</v>
      </c>
      <c r="C12086" s="6">
        <v>0.58167682545009802</v>
      </c>
    </row>
    <row r="12087" spans="1:3" s="7" customFormat="1" x14ac:dyDescent="0.2">
      <c r="A12087" s="6" t="str">
        <f>"TMEM236"</f>
        <v>TMEM236</v>
      </c>
      <c r="B12087" s="6">
        <v>0.42094240837696301</v>
      </c>
      <c r="C12087" s="6">
        <v>0.58213068125207301</v>
      </c>
    </row>
    <row r="12088" spans="1:3" s="7" customFormat="1" x14ac:dyDescent="0.2">
      <c r="A12088" s="6" t="str">
        <f>"FOXCUT"</f>
        <v>FOXCUT</v>
      </c>
      <c r="B12088" s="6">
        <v>0.42157842157842101</v>
      </c>
      <c r="C12088" s="6">
        <v>0.58262458560126795</v>
      </c>
    </row>
    <row r="12089" spans="1:3" s="7" customFormat="1" x14ac:dyDescent="0.2">
      <c r="A12089" s="6" t="str">
        <f>"ZNF137P"</f>
        <v>ZNF137P</v>
      </c>
      <c r="B12089" s="6">
        <v>0.42157842157842101</v>
      </c>
      <c r="C12089" s="6">
        <v>0.58262458560126795</v>
      </c>
    </row>
    <row r="12090" spans="1:3" s="7" customFormat="1" x14ac:dyDescent="0.2">
      <c r="A12090" s="6" t="str">
        <f>"MAP2K2"</f>
        <v>MAP2K2</v>
      </c>
      <c r="B12090" s="6">
        <v>0.42157842157842101</v>
      </c>
      <c r="C12090" s="6">
        <v>0.58262458560126795</v>
      </c>
    </row>
    <row r="12091" spans="1:3" s="7" customFormat="1" x14ac:dyDescent="0.2">
      <c r="A12091" s="6" t="str">
        <f>"AC104024.2"</f>
        <v>AC104024.2</v>
      </c>
      <c r="B12091" s="6">
        <v>0.42157842157842101</v>
      </c>
      <c r="C12091" s="6">
        <v>0.58262458560126795</v>
      </c>
    </row>
    <row r="12092" spans="1:3" s="7" customFormat="1" x14ac:dyDescent="0.2">
      <c r="A12092" s="6" t="str">
        <f>"ADAM11"</f>
        <v>ADAM11</v>
      </c>
      <c r="B12092" s="6">
        <v>0.42157842157842101</v>
      </c>
      <c r="C12092" s="6">
        <v>0.58262458560126795</v>
      </c>
    </row>
    <row r="12093" spans="1:3" s="7" customFormat="1" x14ac:dyDescent="0.2">
      <c r="A12093" s="6" t="str">
        <f>"CST4"</f>
        <v>CST4</v>
      </c>
      <c r="B12093" s="6">
        <v>0.42157842157842101</v>
      </c>
      <c r="C12093" s="6">
        <v>0.58262458560126795</v>
      </c>
    </row>
    <row r="12094" spans="1:3" s="7" customFormat="1" x14ac:dyDescent="0.2">
      <c r="A12094" s="6" t="str">
        <f>"AC099518.4"</f>
        <v>AC099518.4</v>
      </c>
      <c r="B12094" s="6">
        <v>0.42157842157842101</v>
      </c>
      <c r="C12094" s="6">
        <v>0.58262458560126795</v>
      </c>
    </row>
    <row r="12095" spans="1:3" s="7" customFormat="1" x14ac:dyDescent="0.2">
      <c r="A12095" s="6" t="str">
        <f>"SSC4D"</f>
        <v>SSC4D</v>
      </c>
      <c r="B12095" s="6">
        <v>0.42157842157842101</v>
      </c>
      <c r="C12095" s="6">
        <v>0.58262458560126795</v>
      </c>
    </row>
    <row r="12096" spans="1:3" s="7" customFormat="1" x14ac:dyDescent="0.2">
      <c r="A12096" s="6" t="str">
        <f>"LINC02435"</f>
        <v>LINC02435</v>
      </c>
      <c r="B12096" s="6">
        <v>0.42257742257742198</v>
      </c>
      <c r="C12096" s="6">
        <v>0.58390865087293597</v>
      </c>
    </row>
    <row r="12097" spans="1:3" s="7" customFormat="1" x14ac:dyDescent="0.2">
      <c r="A12097" s="6" t="str">
        <f>"LINC02340"</f>
        <v>LINC02340</v>
      </c>
      <c r="B12097" s="6">
        <v>0.42257742257742198</v>
      </c>
      <c r="C12097" s="6">
        <v>0.58390865087293597</v>
      </c>
    </row>
    <row r="12098" spans="1:3" s="7" customFormat="1" x14ac:dyDescent="0.2">
      <c r="A12098" s="6" t="str">
        <f>"SERTAD4"</f>
        <v>SERTAD4</v>
      </c>
      <c r="B12098" s="6">
        <v>0.423576423576423</v>
      </c>
      <c r="C12098" s="6">
        <v>0.58446762516769901</v>
      </c>
    </row>
    <row r="12099" spans="1:3" s="7" customFormat="1" x14ac:dyDescent="0.2">
      <c r="A12099" s="6" t="str">
        <f>"FOXD2"</f>
        <v>FOXD2</v>
      </c>
      <c r="B12099" s="6">
        <v>0.423576423576423</v>
      </c>
      <c r="C12099" s="6">
        <v>0.58446762516769901</v>
      </c>
    </row>
    <row r="12100" spans="1:3" s="7" customFormat="1" x14ac:dyDescent="0.2">
      <c r="A12100" s="6" t="str">
        <f>"TSC22D2"</f>
        <v>TSC22D2</v>
      </c>
      <c r="B12100" s="6">
        <v>0.423576423576423</v>
      </c>
      <c r="C12100" s="6">
        <v>0.58446762516769901</v>
      </c>
    </row>
    <row r="12101" spans="1:3" s="7" customFormat="1" x14ac:dyDescent="0.2">
      <c r="A12101" s="6" t="str">
        <f>"GPR108"</f>
        <v>GPR108</v>
      </c>
      <c r="B12101" s="6">
        <v>0.423576423576423</v>
      </c>
      <c r="C12101" s="6">
        <v>0.58446762516769901</v>
      </c>
    </row>
    <row r="12102" spans="1:3" s="7" customFormat="1" x14ac:dyDescent="0.2">
      <c r="A12102" s="6" t="str">
        <f>"CXCL11"</f>
        <v>CXCL11</v>
      </c>
      <c r="B12102" s="6">
        <v>0.423576423576423</v>
      </c>
      <c r="C12102" s="6">
        <v>0.58446762516769901</v>
      </c>
    </row>
    <row r="12103" spans="1:3" s="7" customFormat="1" x14ac:dyDescent="0.2">
      <c r="A12103" s="6" t="str">
        <f>"NFATC3"</f>
        <v>NFATC3</v>
      </c>
      <c r="B12103" s="6">
        <v>0.423576423576423</v>
      </c>
      <c r="C12103" s="6">
        <v>0.58446762516769901</v>
      </c>
    </row>
    <row r="12104" spans="1:3" s="7" customFormat="1" x14ac:dyDescent="0.2">
      <c r="A12104" s="6" t="str">
        <f>"SLC9A5"</f>
        <v>SLC9A5</v>
      </c>
      <c r="B12104" s="6">
        <v>0.423576423576423</v>
      </c>
      <c r="C12104" s="6">
        <v>0.58446762516769901</v>
      </c>
    </row>
    <row r="12105" spans="1:3" s="7" customFormat="1" x14ac:dyDescent="0.2">
      <c r="A12105" s="6" t="str">
        <f>"TENT5A"</f>
        <v>TENT5A</v>
      </c>
      <c r="B12105" s="6">
        <v>0.423576423576423</v>
      </c>
      <c r="C12105" s="6">
        <v>0.58446762516769901</v>
      </c>
    </row>
    <row r="12106" spans="1:3" s="7" customFormat="1" x14ac:dyDescent="0.2">
      <c r="A12106" s="6" t="str">
        <f>"CEP295"</f>
        <v>CEP295</v>
      </c>
      <c r="B12106" s="6">
        <v>0.423576423576423</v>
      </c>
      <c r="C12106" s="6">
        <v>0.58446762516769901</v>
      </c>
    </row>
    <row r="12107" spans="1:3" s="7" customFormat="1" x14ac:dyDescent="0.2">
      <c r="A12107" s="6" t="str">
        <f>"SNRNP25"</f>
        <v>SNRNP25</v>
      </c>
      <c r="B12107" s="6">
        <v>0.423576423576423</v>
      </c>
      <c r="C12107" s="6">
        <v>0.58446762516769901</v>
      </c>
    </row>
    <row r="12108" spans="1:3" s="7" customFormat="1" x14ac:dyDescent="0.2">
      <c r="A12108" s="6" t="str">
        <f>"LYPD2"</f>
        <v>LYPD2</v>
      </c>
      <c r="B12108" s="6">
        <v>0.423576423576423</v>
      </c>
      <c r="C12108" s="6">
        <v>0.58446762516769901</v>
      </c>
    </row>
    <row r="12109" spans="1:3" s="7" customFormat="1" x14ac:dyDescent="0.2">
      <c r="A12109" s="6" t="str">
        <f>"LIX1L-AS1"</f>
        <v>LIX1L-AS1</v>
      </c>
      <c r="B12109" s="6">
        <v>0.423576423576423</v>
      </c>
      <c r="C12109" s="6">
        <v>0.58446762516769901</v>
      </c>
    </row>
    <row r="12110" spans="1:3" s="7" customFormat="1" x14ac:dyDescent="0.2">
      <c r="A12110" s="6" t="str">
        <f>"FDPS"</f>
        <v>FDPS</v>
      </c>
      <c r="B12110" s="6">
        <v>0.423576423576423</v>
      </c>
      <c r="C12110" s="6">
        <v>0.58446762516769901</v>
      </c>
    </row>
    <row r="12111" spans="1:3" s="7" customFormat="1" x14ac:dyDescent="0.2">
      <c r="A12111" s="6" t="str">
        <f>"AL034397.1"</f>
        <v>AL034397.1</v>
      </c>
      <c r="B12111" s="6">
        <v>0.42342342342342298</v>
      </c>
      <c r="C12111" s="6">
        <v>0.58446762516769901</v>
      </c>
    </row>
    <row r="12112" spans="1:3" s="7" customFormat="1" x14ac:dyDescent="0.2">
      <c r="A12112" s="6" t="str">
        <f>"SP3"</f>
        <v>SP3</v>
      </c>
      <c r="B12112" s="6">
        <v>0.423576423576423</v>
      </c>
      <c r="C12112" s="6">
        <v>0.58446762516769901</v>
      </c>
    </row>
    <row r="12113" spans="1:3" s="7" customFormat="1" x14ac:dyDescent="0.2">
      <c r="A12113" s="6" t="str">
        <f>"CORT"</f>
        <v>CORT</v>
      </c>
      <c r="B12113" s="6">
        <v>0.423576423576423</v>
      </c>
      <c r="C12113" s="6">
        <v>0.58446762516769901</v>
      </c>
    </row>
    <row r="12114" spans="1:3" s="7" customFormat="1" x14ac:dyDescent="0.2">
      <c r="A12114" s="6" t="str">
        <f>"ELOVL6"</f>
        <v>ELOVL6</v>
      </c>
      <c r="B12114" s="6">
        <v>0.423576423576423</v>
      </c>
      <c r="C12114" s="6">
        <v>0.58446762516769901</v>
      </c>
    </row>
    <row r="12115" spans="1:3" s="7" customFormat="1" x14ac:dyDescent="0.2">
      <c r="A12115" s="6" t="str">
        <f>"AC092171.4"</f>
        <v>AC092171.4</v>
      </c>
      <c r="B12115" s="6">
        <v>0.42384769539078099</v>
      </c>
      <c r="C12115" s="6">
        <v>0.584793658639716</v>
      </c>
    </row>
    <row r="12116" spans="1:3" s="7" customFormat="1" x14ac:dyDescent="0.2">
      <c r="A12116" s="6" t="str">
        <f>"AL355304.1"</f>
        <v>AL355304.1</v>
      </c>
      <c r="B12116" s="6">
        <v>0.42457542457542402</v>
      </c>
      <c r="C12116" s="6">
        <v>0.58536283480604201</v>
      </c>
    </row>
    <row r="12117" spans="1:3" s="7" customFormat="1" x14ac:dyDescent="0.2">
      <c r="A12117" s="6" t="str">
        <f>"ICOS"</f>
        <v>ICOS</v>
      </c>
      <c r="B12117" s="6">
        <v>0.42457542457542402</v>
      </c>
      <c r="C12117" s="6">
        <v>0.58536283480604201</v>
      </c>
    </row>
    <row r="12118" spans="1:3" s="7" customFormat="1" x14ac:dyDescent="0.2">
      <c r="A12118" s="6" t="str">
        <f>"MUSK"</f>
        <v>MUSK</v>
      </c>
      <c r="B12118" s="6">
        <v>0.42457542457542402</v>
      </c>
      <c r="C12118" s="6">
        <v>0.58536283480604201</v>
      </c>
    </row>
    <row r="12119" spans="1:3" s="7" customFormat="1" x14ac:dyDescent="0.2">
      <c r="A12119" s="6" t="str">
        <f>"AC124312.3"</f>
        <v>AC124312.3</v>
      </c>
      <c r="B12119" s="6">
        <v>0.42457542457542402</v>
      </c>
      <c r="C12119" s="6">
        <v>0.58536283480604201</v>
      </c>
    </row>
    <row r="12120" spans="1:3" s="7" customFormat="1" x14ac:dyDescent="0.2">
      <c r="A12120" s="6" t="str">
        <f>"SGPL1"</f>
        <v>SGPL1</v>
      </c>
      <c r="B12120" s="6">
        <v>0.42457542457542402</v>
      </c>
      <c r="C12120" s="6">
        <v>0.58536283480604201</v>
      </c>
    </row>
    <row r="12121" spans="1:3" s="7" customFormat="1" x14ac:dyDescent="0.2">
      <c r="A12121" s="6" t="str">
        <f>"ARFGAP1"</f>
        <v>ARFGAP1</v>
      </c>
      <c r="B12121" s="6">
        <v>0.42457542457542402</v>
      </c>
      <c r="C12121" s="6">
        <v>0.58536283480604201</v>
      </c>
    </row>
    <row r="12122" spans="1:3" s="7" customFormat="1" x14ac:dyDescent="0.2">
      <c r="A12122" s="6" t="str">
        <f>"NUBP2"</f>
        <v>NUBP2</v>
      </c>
      <c r="B12122" s="6">
        <v>0.42457542457542402</v>
      </c>
      <c r="C12122" s="6">
        <v>0.58536283480604201</v>
      </c>
    </row>
    <row r="12123" spans="1:3" s="7" customFormat="1" x14ac:dyDescent="0.2">
      <c r="A12123" s="6" t="str">
        <f>"ZFPL1"</f>
        <v>ZFPL1</v>
      </c>
      <c r="B12123" s="6">
        <v>0.42457542457542402</v>
      </c>
      <c r="C12123" s="6">
        <v>0.58536283480604201</v>
      </c>
    </row>
    <row r="12124" spans="1:3" s="7" customFormat="1" x14ac:dyDescent="0.2">
      <c r="A12124" s="6" t="str">
        <f>"TACR2"</f>
        <v>TACR2</v>
      </c>
      <c r="B12124" s="6">
        <v>0.42457542457542402</v>
      </c>
      <c r="C12124" s="6">
        <v>0.58536283480604201</v>
      </c>
    </row>
    <row r="12125" spans="1:3" s="7" customFormat="1" x14ac:dyDescent="0.2">
      <c r="A12125" s="6" t="str">
        <f>"MTRNR2L8"</f>
        <v>MTRNR2L8</v>
      </c>
      <c r="B12125" s="6">
        <v>0.42499999999999999</v>
      </c>
      <c r="C12125" s="6">
        <v>0.58589986803035299</v>
      </c>
    </row>
    <row r="12126" spans="1:3" s="7" customFormat="1" x14ac:dyDescent="0.2">
      <c r="A12126" s="6" t="str">
        <f>"PALLD"</f>
        <v>PALLD</v>
      </c>
      <c r="B12126" s="6">
        <v>0.42557442557442499</v>
      </c>
      <c r="C12126" s="6">
        <v>0.58620825358916595</v>
      </c>
    </row>
    <row r="12127" spans="1:3" s="7" customFormat="1" x14ac:dyDescent="0.2">
      <c r="A12127" s="6" t="str">
        <f>"EPC1"</f>
        <v>EPC1</v>
      </c>
      <c r="B12127" s="6">
        <v>0.42557442557442499</v>
      </c>
      <c r="C12127" s="6">
        <v>0.58620825358916595</v>
      </c>
    </row>
    <row r="12128" spans="1:3" s="7" customFormat="1" x14ac:dyDescent="0.2">
      <c r="A12128" s="6" t="str">
        <f>"IGLV3-25"</f>
        <v>IGLV3-25</v>
      </c>
      <c r="B12128" s="6">
        <v>0.42557442557442499</v>
      </c>
      <c r="C12128" s="6">
        <v>0.58620825358916595</v>
      </c>
    </row>
    <row r="12129" spans="1:3" s="7" customFormat="1" x14ac:dyDescent="0.2">
      <c r="A12129" s="6" t="str">
        <f>"TMED9"</f>
        <v>TMED9</v>
      </c>
      <c r="B12129" s="6">
        <v>0.42557442557442499</v>
      </c>
      <c r="C12129" s="6">
        <v>0.58620825358916595</v>
      </c>
    </row>
    <row r="12130" spans="1:3" s="7" customFormat="1" x14ac:dyDescent="0.2">
      <c r="A12130" s="6" t="str">
        <f>"AC040160.1"</f>
        <v>AC040160.1</v>
      </c>
      <c r="B12130" s="6">
        <v>0.42557442557442499</v>
      </c>
      <c r="C12130" s="6">
        <v>0.58620825358916595</v>
      </c>
    </row>
    <row r="12131" spans="1:3" s="7" customFormat="1" x14ac:dyDescent="0.2">
      <c r="A12131" s="6" t="str">
        <f>"ARID4A"</f>
        <v>ARID4A</v>
      </c>
      <c r="B12131" s="6">
        <v>0.42557442557442499</v>
      </c>
      <c r="C12131" s="6">
        <v>0.58620825358916595</v>
      </c>
    </row>
    <row r="12132" spans="1:3" s="7" customFormat="1" x14ac:dyDescent="0.2">
      <c r="A12132" s="6" t="str">
        <f>"SLC16A6"</f>
        <v>SLC16A6</v>
      </c>
      <c r="B12132" s="6">
        <v>0.42557442557442499</v>
      </c>
      <c r="C12132" s="6">
        <v>0.58620825358916595</v>
      </c>
    </row>
    <row r="12133" spans="1:3" s="7" customFormat="1" x14ac:dyDescent="0.2">
      <c r="A12133" s="6" t="str">
        <f>"RAB39A"</f>
        <v>RAB39A</v>
      </c>
      <c r="B12133" s="6">
        <v>0.42557442557442499</v>
      </c>
      <c r="C12133" s="6">
        <v>0.58620825358916595</v>
      </c>
    </row>
    <row r="12134" spans="1:3" s="7" customFormat="1" x14ac:dyDescent="0.2">
      <c r="A12134" s="6" t="str">
        <f>"AC099521.3"</f>
        <v>AC099521.3</v>
      </c>
      <c r="B12134" s="6">
        <v>0.42557442557442499</v>
      </c>
      <c r="C12134" s="6">
        <v>0.58620825358916595</v>
      </c>
    </row>
    <row r="12135" spans="1:3" s="7" customFormat="1" x14ac:dyDescent="0.2">
      <c r="A12135" s="6" t="str">
        <f>"MCM2"</f>
        <v>MCM2</v>
      </c>
      <c r="B12135" s="6">
        <v>0.42557442557442499</v>
      </c>
      <c r="C12135" s="6">
        <v>0.58620825358916595</v>
      </c>
    </row>
    <row r="12136" spans="1:3" s="7" customFormat="1" x14ac:dyDescent="0.2">
      <c r="A12136" s="6" t="str">
        <f>"LINC01619"</f>
        <v>LINC01619</v>
      </c>
      <c r="B12136" s="6">
        <v>0.42599999999999999</v>
      </c>
      <c r="C12136" s="6">
        <v>0.58669775873434404</v>
      </c>
    </row>
    <row r="12137" spans="1:3" s="7" customFormat="1" x14ac:dyDescent="0.2">
      <c r="A12137" s="6" t="str">
        <f>"ZFP69B"</f>
        <v>ZFP69B</v>
      </c>
      <c r="B12137" s="6">
        <v>0.42599999999999999</v>
      </c>
      <c r="C12137" s="6">
        <v>0.58669775873434404</v>
      </c>
    </row>
    <row r="12138" spans="1:3" s="7" customFormat="1" x14ac:dyDescent="0.2">
      <c r="A12138" s="6" t="str">
        <f>"AC091132.4"</f>
        <v>AC091132.4</v>
      </c>
      <c r="B12138" s="6">
        <v>0.42657342657342601</v>
      </c>
      <c r="C12138" s="6">
        <v>0.58676226250911401</v>
      </c>
    </row>
    <row r="12139" spans="1:3" s="7" customFormat="1" x14ac:dyDescent="0.2">
      <c r="A12139" s="6" t="str">
        <f>"AC117464.1"</f>
        <v>AC117464.1</v>
      </c>
      <c r="B12139" s="6">
        <v>0.42657342657342601</v>
      </c>
      <c r="C12139" s="6">
        <v>0.58676226250911401</v>
      </c>
    </row>
    <row r="12140" spans="1:3" s="7" customFormat="1" x14ac:dyDescent="0.2">
      <c r="A12140" s="6" t="str">
        <f>"AC087883.2"</f>
        <v>AC087883.2</v>
      </c>
      <c r="B12140" s="6">
        <v>0.42631578947368398</v>
      </c>
      <c r="C12140" s="6">
        <v>0.58676226250911401</v>
      </c>
    </row>
    <row r="12141" spans="1:3" s="7" customFormat="1" x14ac:dyDescent="0.2">
      <c r="A12141" s="6" t="str">
        <f>"CACNA2D1"</f>
        <v>CACNA2D1</v>
      </c>
      <c r="B12141" s="6">
        <v>0.42657342657342601</v>
      </c>
      <c r="C12141" s="6">
        <v>0.58676226250911401</v>
      </c>
    </row>
    <row r="12142" spans="1:3" s="7" customFormat="1" x14ac:dyDescent="0.2">
      <c r="A12142" s="6" t="str">
        <f>"CKM"</f>
        <v>CKM</v>
      </c>
      <c r="B12142" s="6">
        <v>0.42657342657342601</v>
      </c>
      <c r="C12142" s="6">
        <v>0.58676226250911401</v>
      </c>
    </row>
    <row r="12143" spans="1:3" s="7" customFormat="1" x14ac:dyDescent="0.2">
      <c r="A12143" s="6" t="str">
        <f>"SVEP1"</f>
        <v>SVEP1</v>
      </c>
      <c r="B12143" s="6">
        <v>0.42642642642642598</v>
      </c>
      <c r="C12143" s="6">
        <v>0.58676226250911401</v>
      </c>
    </row>
    <row r="12144" spans="1:3" s="7" customFormat="1" x14ac:dyDescent="0.2">
      <c r="A12144" s="6" t="str">
        <f>"MOB2"</f>
        <v>MOB2</v>
      </c>
      <c r="B12144" s="6">
        <v>0.42657342657342601</v>
      </c>
      <c r="C12144" s="6">
        <v>0.58676226250911401</v>
      </c>
    </row>
    <row r="12145" spans="1:3" s="7" customFormat="1" x14ac:dyDescent="0.2">
      <c r="A12145" s="6" t="str">
        <f>"AMH"</f>
        <v>AMH</v>
      </c>
      <c r="B12145" s="6">
        <v>0.42657342657342601</v>
      </c>
      <c r="C12145" s="6">
        <v>0.58676226250911401</v>
      </c>
    </row>
    <row r="12146" spans="1:3" s="7" customFormat="1" x14ac:dyDescent="0.2">
      <c r="A12146" s="6" t="str">
        <f>"GDF15"</f>
        <v>GDF15</v>
      </c>
      <c r="B12146" s="6">
        <v>0.42657342657342601</v>
      </c>
      <c r="C12146" s="6">
        <v>0.58676226250911401</v>
      </c>
    </row>
    <row r="12147" spans="1:3" s="7" customFormat="1" x14ac:dyDescent="0.2">
      <c r="A12147" s="6" t="str">
        <f>"PDRG1"</f>
        <v>PDRG1</v>
      </c>
      <c r="B12147" s="6">
        <v>0.42657342657342601</v>
      </c>
      <c r="C12147" s="6">
        <v>0.58676226250911401</v>
      </c>
    </row>
    <row r="12148" spans="1:3" s="7" customFormat="1" x14ac:dyDescent="0.2">
      <c r="A12148" s="6" t="str">
        <f>"AC104653.1"</f>
        <v>AC104653.1</v>
      </c>
      <c r="B12148" s="6">
        <v>0.42657342657342601</v>
      </c>
      <c r="C12148" s="6">
        <v>0.58676226250911401</v>
      </c>
    </row>
    <row r="12149" spans="1:3" s="7" customFormat="1" x14ac:dyDescent="0.2">
      <c r="A12149" s="6" t="str">
        <f>"AL606491.1"</f>
        <v>AL606491.1</v>
      </c>
      <c r="B12149" s="6">
        <v>0.42657342657342601</v>
      </c>
      <c r="C12149" s="6">
        <v>0.58676226250911401</v>
      </c>
    </row>
    <row r="12150" spans="1:3" s="7" customFormat="1" x14ac:dyDescent="0.2">
      <c r="A12150" s="6" t="str">
        <f>"ABHD3"</f>
        <v>ABHD3</v>
      </c>
      <c r="B12150" s="6">
        <v>0.42657342657342601</v>
      </c>
      <c r="C12150" s="6">
        <v>0.58676226250911401</v>
      </c>
    </row>
    <row r="12151" spans="1:3" s="7" customFormat="1" x14ac:dyDescent="0.2">
      <c r="A12151" s="6" t="str">
        <f>"PWWP3A"</f>
        <v>PWWP3A</v>
      </c>
      <c r="B12151" s="6">
        <v>0.42657342657342601</v>
      </c>
      <c r="C12151" s="6">
        <v>0.58676226250911401</v>
      </c>
    </row>
    <row r="12152" spans="1:3" s="7" customFormat="1" x14ac:dyDescent="0.2">
      <c r="A12152" s="6" t="str">
        <f>"NDUFAB1"</f>
        <v>NDUFAB1</v>
      </c>
      <c r="B12152" s="6">
        <v>0.42657342657342601</v>
      </c>
      <c r="C12152" s="6">
        <v>0.58676226250911401</v>
      </c>
    </row>
    <row r="12153" spans="1:3" s="7" customFormat="1" x14ac:dyDescent="0.2">
      <c r="A12153" s="6" t="str">
        <f>"SDHAP2"</f>
        <v>SDHAP2</v>
      </c>
      <c r="B12153" s="6">
        <v>0.426693629929221</v>
      </c>
      <c r="C12153" s="6">
        <v>0.58687930633944996</v>
      </c>
    </row>
    <row r="12154" spans="1:3" s="7" customFormat="1" x14ac:dyDescent="0.2">
      <c r="A12154" s="6" t="str">
        <f>"ZKSCAN2-DT"</f>
        <v>ZKSCAN2-DT</v>
      </c>
      <c r="B12154" s="6">
        <v>0.42685370741482898</v>
      </c>
      <c r="C12154" s="6">
        <v>0.58705116973022797</v>
      </c>
    </row>
    <row r="12155" spans="1:3" s="7" customFormat="1" x14ac:dyDescent="0.2">
      <c r="A12155" s="6" t="str">
        <f>"ZNF331"</f>
        <v>ZNF331</v>
      </c>
      <c r="B12155" s="6">
        <v>0.42757242757242703</v>
      </c>
      <c r="C12155" s="6">
        <v>0.58750785551180096</v>
      </c>
    </row>
    <row r="12156" spans="1:3" s="7" customFormat="1" x14ac:dyDescent="0.2">
      <c r="A12156" s="6" t="str">
        <f>"SPATA20P1"</f>
        <v>SPATA20P1</v>
      </c>
      <c r="B12156" s="6">
        <v>0.42757242757242703</v>
      </c>
      <c r="C12156" s="6">
        <v>0.58750785551180096</v>
      </c>
    </row>
    <row r="12157" spans="1:3" s="7" customFormat="1" x14ac:dyDescent="0.2">
      <c r="A12157" s="6" t="str">
        <f>"FCF1P2"</f>
        <v>FCF1P2</v>
      </c>
      <c r="B12157" s="6">
        <v>0.42757242757242703</v>
      </c>
      <c r="C12157" s="6">
        <v>0.58750785551180096</v>
      </c>
    </row>
    <row r="12158" spans="1:3" s="7" customFormat="1" x14ac:dyDescent="0.2">
      <c r="A12158" s="6" t="str">
        <f>"TEX35"</f>
        <v>TEX35</v>
      </c>
      <c r="B12158" s="6">
        <v>0.42757242757242703</v>
      </c>
      <c r="C12158" s="6">
        <v>0.58750785551180096</v>
      </c>
    </row>
    <row r="12159" spans="1:3" s="7" customFormat="1" x14ac:dyDescent="0.2">
      <c r="A12159" s="6" t="str">
        <f>"AC008079.1"</f>
        <v>AC008079.1</v>
      </c>
      <c r="B12159" s="6">
        <v>0.42757242757242703</v>
      </c>
      <c r="C12159" s="6">
        <v>0.58750785551180096</v>
      </c>
    </row>
    <row r="12160" spans="1:3" s="7" customFormat="1" x14ac:dyDescent="0.2">
      <c r="A12160" s="6" t="str">
        <f>"STAR"</f>
        <v>STAR</v>
      </c>
      <c r="B12160" s="6">
        <v>0.42757242757242703</v>
      </c>
      <c r="C12160" s="6">
        <v>0.58750785551180096</v>
      </c>
    </row>
    <row r="12161" spans="1:3" s="7" customFormat="1" x14ac:dyDescent="0.2">
      <c r="A12161" s="6" t="str">
        <f>"ATMIN"</f>
        <v>ATMIN</v>
      </c>
      <c r="B12161" s="6">
        <v>0.42757242757242703</v>
      </c>
      <c r="C12161" s="6">
        <v>0.58750785551180096</v>
      </c>
    </row>
    <row r="12162" spans="1:3" s="7" customFormat="1" x14ac:dyDescent="0.2">
      <c r="A12162" s="6" t="str">
        <f>"CD28"</f>
        <v>CD28</v>
      </c>
      <c r="B12162" s="6">
        <v>0.42757242757242703</v>
      </c>
      <c r="C12162" s="6">
        <v>0.58750785551180096</v>
      </c>
    </row>
    <row r="12163" spans="1:3" s="7" customFormat="1" x14ac:dyDescent="0.2">
      <c r="A12163" s="6" t="str">
        <f>"RPS17"</f>
        <v>RPS17</v>
      </c>
      <c r="B12163" s="6">
        <v>0.42757242757242703</v>
      </c>
      <c r="C12163" s="6">
        <v>0.58750785551180096</v>
      </c>
    </row>
    <row r="12164" spans="1:3" s="7" customFormat="1" x14ac:dyDescent="0.2">
      <c r="A12164" s="6" t="str">
        <f>"LUC7L3"</f>
        <v>LUC7L3</v>
      </c>
      <c r="B12164" s="6">
        <v>0.42757242757242703</v>
      </c>
      <c r="C12164" s="6">
        <v>0.58750785551180096</v>
      </c>
    </row>
    <row r="12165" spans="1:3" s="7" customFormat="1" x14ac:dyDescent="0.2">
      <c r="A12165" s="6" t="str">
        <f>"TPPP"</f>
        <v>TPPP</v>
      </c>
      <c r="B12165" s="6">
        <v>0.42757242757242703</v>
      </c>
      <c r="C12165" s="6">
        <v>0.58750785551180096</v>
      </c>
    </row>
    <row r="12166" spans="1:3" s="7" customFormat="1" x14ac:dyDescent="0.2">
      <c r="A12166" s="6" t="str">
        <f>"AC025614.2"</f>
        <v>AC025614.2</v>
      </c>
      <c r="B12166" s="6">
        <v>0.42763873775843297</v>
      </c>
      <c r="C12166" s="6">
        <v>0.58755066690459901</v>
      </c>
    </row>
    <row r="12167" spans="1:3" s="7" customFormat="1" x14ac:dyDescent="0.2">
      <c r="A12167" s="6" t="str">
        <f>"HDHD5-AS1"</f>
        <v>HDHD5-AS1</v>
      </c>
      <c r="B12167" s="6">
        <v>0.42799999999999999</v>
      </c>
      <c r="C12167" s="6">
        <v>0.58795035752445102</v>
      </c>
    </row>
    <row r="12168" spans="1:3" s="7" customFormat="1" x14ac:dyDescent="0.2">
      <c r="A12168" s="6" t="str">
        <f>"DDX11L9"</f>
        <v>DDX11L9</v>
      </c>
      <c r="B12168" s="6">
        <v>0.42799999999999999</v>
      </c>
      <c r="C12168" s="6">
        <v>0.58795035752445102</v>
      </c>
    </row>
    <row r="12169" spans="1:3" s="7" customFormat="1" x14ac:dyDescent="0.2">
      <c r="A12169" s="6" t="str">
        <f>"VAMP1"</f>
        <v>VAMP1</v>
      </c>
      <c r="B12169" s="6">
        <v>0.42857142857142799</v>
      </c>
      <c r="C12169" s="6">
        <v>0.58810696692469999</v>
      </c>
    </row>
    <row r="12170" spans="1:3" s="7" customFormat="1" x14ac:dyDescent="0.2">
      <c r="A12170" s="6" t="str">
        <f>"AC097504.1"</f>
        <v>AC097504.1</v>
      </c>
      <c r="B12170" s="6">
        <v>0.42857142857142799</v>
      </c>
      <c r="C12170" s="6">
        <v>0.58810696692469999</v>
      </c>
    </row>
    <row r="12171" spans="1:3" s="7" customFormat="1" x14ac:dyDescent="0.2">
      <c r="A12171" s="6" t="str">
        <f>"STK24"</f>
        <v>STK24</v>
      </c>
      <c r="B12171" s="6">
        <v>0.42857142857142799</v>
      </c>
      <c r="C12171" s="6">
        <v>0.58810696692469999</v>
      </c>
    </row>
    <row r="12172" spans="1:3" s="7" customFormat="1" x14ac:dyDescent="0.2">
      <c r="A12172" s="6" t="str">
        <f>"WDR35"</f>
        <v>WDR35</v>
      </c>
      <c r="B12172" s="6">
        <v>0.42857142857142799</v>
      </c>
      <c r="C12172" s="6">
        <v>0.58810696692469999</v>
      </c>
    </row>
    <row r="12173" spans="1:3" s="7" customFormat="1" x14ac:dyDescent="0.2">
      <c r="A12173" s="6" t="str">
        <f>"AC124242.1"</f>
        <v>AC124242.1</v>
      </c>
      <c r="B12173" s="6">
        <v>0.42857142857142799</v>
      </c>
      <c r="C12173" s="6">
        <v>0.58810696692469999</v>
      </c>
    </row>
    <row r="12174" spans="1:3" s="7" customFormat="1" x14ac:dyDescent="0.2">
      <c r="A12174" s="6" t="str">
        <f>"LINC01667"</f>
        <v>LINC01667</v>
      </c>
      <c r="B12174" s="6">
        <v>0.42857142857142799</v>
      </c>
      <c r="C12174" s="6">
        <v>0.58810696692469999</v>
      </c>
    </row>
    <row r="12175" spans="1:3" s="7" customFormat="1" x14ac:dyDescent="0.2">
      <c r="A12175" s="6" t="str">
        <f>"TRAPPC3"</f>
        <v>TRAPPC3</v>
      </c>
      <c r="B12175" s="6">
        <v>0.42857142857142799</v>
      </c>
      <c r="C12175" s="6">
        <v>0.58810696692469999</v>
      </c>
    </row>
    <row r="12176" spans="1:3" s="7" customFormat="1" x14ac:dyDescent="0.2">
      <c r="A12176" s="6" t="str">
        <f>"AC090994.1"</f>
        <v>AC090994.1</v>
      </c>
      <c r="B12176" s="6">
        <v>0.42857142857142799</v>
      </c>
      <c r="C12176" s="6">
        <v>0.58810696692469999</v>
      </c>
    </row>
    <row r="12177" spans="1:3" s="7" customFormat="1" x14ac:dyDescent="0.2">
      <c r="A12177" s="6" t="str">
        <f>"FO393400.1"</f>
        <v>FO393400.1</v>
      </c>
      <c r="B12177" s="6">
        <v>0.42857142857142799</v>
      </c>
      <c r="C12177" s="6">
        <v>0.58810696692469999</v>
      </c>
    </row>
    <row r="12178" spans="1:3" s="7" customFormat="1" x14ac:dyDescent="0.2">
      <c r="A12178" s="6" t="str">
        <f>"LINC01612"</f>
        <v>LINC01612</v>
      </c>
      <c r="B12178" s="6">
        <v>0.42857142857142799</v>
      </c>
      <c r="C12178" s="6">
        <v>0.58810696692469999</v>
      </c>
    </row>
    <row r="12179" spans="1:3" s="7" customFormat="1" x14ac:dyDescent="0.2">
      <c r="A12179" s="6" t="str">
        <f>"PPP2R5A"</f>
        <v>PPP2R5A</v>
      </c>
      <c r="B12179" s="6">
        <v>0.42857142857142799</v>
      </c>
      <c r="C12179" s="6">
        <v>0.58810696692469999</v>
      </c>
    </row>
    <row r="12180" spans="1:3" s="7" customFormat="1" x14ac:dyDescent="0.2">
      <c r="A12180" s="6" t="str">
        <f>"MGST1"</f>
        <v>MGST1</v>
      </c>
      <c r="B12180" s="6">
        <v>0.42857142857142799</v>
      </c>
      <c r="C12180" s="6">
        <v>0.58810696692469999</v>
      </c>
    </row>
    <row r="12181" spans="1:3" s="7" customFormat="1" x14ac:dyDescent="0.2">
      <c r="A12181" s="6" t="str">
        <f>"OTUD6B-AS1"</f>
        <v>OTUD6B-AS1</v>
      </c>
      <c r="B12181" s="6">
        <v>0.42857142857142799</v>
      </c>
      <c r="C12181" s="6">
        <v>0.58810696692469999</v>
      </c>
    </row>
    <row r="12182" spans="1:3" s="7" customFormat="1" x14ac:dyDescent="0.2">
      <c r="A12182" s="6" t="str">
        <f>"USO1"</f>
        <v>USO1</v>
      </c>
      <c r="B12182" s="6">
        <v>0.42899999999999999</v>
      </c>
      <c r="C12182" s="6">
        <v>0.58859842390411998</v>
      </c>
    </row>
    <row r="12183" spans="1:3" s="7" customFormat="1" x14ac:dyDescent="0.2">
      <c r="A12183" s="6" t="str">
        <f>"SYTL1"</f>
        <v>SYTL1</v>
      </c>
      <c r="B12183" s="6">
        <v>0.42899999999999999</v>
      </c>
      <c r="C12183" s="6">
        <v>0.58859842390411998</v>
      </c>
    </row>
    <row r="12184" spans="1:3" s="7" customFormat="1" x14ac:dyDescent="0.2">
      <c r="A12184" s="6" t="str">
        <f>"BNIPL"</f>
        <v>BNIPL</v>
      </c>
      <c r="B12184" s="6">
        <v>0.42957042957042901</v>
      </c>
      <c r="C12184" s="6">
        <v>0.58889765090552504</v>
      </c>
    </row>
    <row r="12185" spans="1:3" s="7" customFormat="1" x14ac:dyDescent="0.2">
      <c r="A12185" s="6" t="str">
        <f>"NDST3"</f>
        <v>NDST3</v>
      </c>
      <c r="B12185" s="6">
        <v>0.42957042957042901</v>
      </c>
      <c r="C12185" s="6">
        <v>0.58889765090552504</v>
      </c>
    </row>
    <row r="12186" spans="1:3" s="7" customFormat="1" x14ac:dyDescent="0.2">
      <c r="A12186" s="6" t="str">
        <f>"MATK"</f>
        <v>MATK</v>
      </c>
      <c r="B12186" s="6">
        <v>0.42957042957042901</v>
      </c>
      <c r="C12186" s="6">
        <v>0.58889765090552504</v>
      </c>
    </row>
    <row r="12187" spans="1:3" s="7" customFormat="1" x14ac:dyDescent="0.2">
      <c r="A12187" s="6" t="str">
        <f>"ZNF41"</f>
        <v>ZNF41</v>
      </c>
      <c r="B12187" s="6">
        <v>0.42957042957042901</v>
      </c>
      <c r="C12187" s="6">
        <v>0.58889765090552504</v>
      </c>
    </row>
    <row r="12188" spans="1:3" s="7" customFormat="1" x14ac:dyDescent="0.2">
      <c r="A12188" s="6" t="str">
        <f>"AL359198.1"</f>
        <v>AL359198.1</v>
      </c>
      <c r="B12188" s="6">
        <v>0.42928786359077198</v>
      </c>
      <c r="C12188" s="6">
        <v>0.58889765090552504</v>
      </c>
    </row>
    <row r="12189" spans="1:3" s="7" customFormat="1" x14ac:dyDescent="0.2">
      <c r="A12189" s="6" t="str">
        <f>"OR7E161P"</f>
        <v>OR7E161P</v>
      </c>
      <c r="B12189" s="6">
        <v>0.42957042957042901</v>
      </c>
      <c r="C12189" s="6">
        <v>0.58889765090552504</v>
      </c>
    </row>
    <row r="12190" spans="1:3" s="7" customFormat="1" x14ac:dyDescent="0.2">
      <c r="A12190" s="6" t="str">
        <f>"PLA2G12AP1"</f>
        <v>PLA2G12AP1</v>
      </c>
      <c r="B12190" s="6">
        <v>0.42942942942942902</v>
      </c>
      <c r="C12190" s="6">
        <v>0.58889765090552504</v>
      </c>
    </row>
    <row r="12191" spans="1:3" s="7" customFormat="1" x14ac:dyDescent="0.2">
      <c r="A12191" s="6" t="str">
        <f>"ABCA6"</f>
        <v>ABCA6</v>
      </c>
      <c r="B12191" s="6">
        <v>0.42957042957042901</v>
      </c>
      <c r="C12191" s="6">
        <v>0.58889765090552504</v>
      </c>
    </row>
    <row r="12192" spans="1:3" s="7" customFormat="1" x14ac:dyDescent="0.2">
      <c r="A12192" s="6" t="str">
        <f>"AP3B2"</f>
        <v>AP3B2</v>
      </c>
      <c r="B12192" s="6">
        <v>0.42957042957042901</v>
      </c>
      <c r="C12192" s="6">
        <v>0.58889765090552504</v>
      </c>
    </row>
    <row r="12193" spans="1:3" s="7" customFormat="1" x14ac:dyDescent="0.2">
      <c r="A12193" s="6" t="str">
        <f>"ERP44"</f>
        <v>ERP44</v>
      </c>
      <c r="B12193" s="6">
        <v>0.42957042957042901</v>
      </c>
      <c r="C12193" s="6">
        <v>0.58889765090552504</v>
      </c>
    </row>
    <row r="12194" spans="1:3" s="7" customFormat="1" x14ac:dyDescent="0.2">
      <c r="A12194" s="6" t="str">
        <f>"CABP4"</f>
        <v>CABP4</v>
      </c>
      <c r="B12194" s="6">
        <v>0.43056943056942998</v>
      </c>
      <c r="C12194" s="6">
        <v>0.58988011988011901</v>
      </c>
    </row>
    <row r="12195" spans="1:3" s="7" customFormat="1" x14ac:dyDescent="0.2">
      <c r="A12195" s="6" t="str">
        <f>"WASHC5"</f>
        <v>WASHC5</v>
      </c>
      <c r="B12195" s="6">
        <v>0.43056943056942998</v>
      </c>
      <c r="C12195" s="6">
        <v>0.58988011988011901</v>
      </c>
    </row>
    <row r="12196" spans="1:3" s="7" customFormat="1" x14ac:dyDescent="0.2">
      <c r="A12196" s="6" t="str">
        <f>"ANGEL2"</f>
        <v>ANGEL2</v>
      </c>
      <c r="B12196" s="6">
        <v>0.43056943056942998</v>
      </c>
      <c r="C12196" s="6">
        <v>0.58988011988011901</v>
      </c>
    </row>
    <row r="12197" spans="1:3" s="7" customFormat="1" x14ac:dyDescent="0.2">
      <c r="A12197" s="6" t="str">
        <f>"SMC5-AS1"</f>
        <v>SMC5-AS1</v>
      </c>
      <c r="B12197" s="6">
        <v>0.43048403707518001</v>
      </c>
      <c r="C12197" s="6">
        <v>0.58988011988011901</v>
      </c>
    </row>
    <row r="12198" spans="1:3" s="7" customFormat="1" x14ac:dyDescent="0.2">
      <c r="A12198" s="6" t="str">
        <f>"SYNGR2"</f>
        <v>SYNGR2</v>
      </c>
      <c r="B12198" s="6">
        <v>0.43056943056942998</v>
      </c>
      <c r="C12198" s="6">
        <v>0.58988011988011901</v>
      </c>
    </row>
    <row r="12199" spans="1:3" s="7" customFormat="1" x14ac:dyDescent="0.2">
      <c r="A12199" s="6" t="str">
        <f>"RASA4"</f>
        <v>RASA4</v>
      </c>
      <c r="B12199" s="6">
        <v>0.43056943056942998</v>
      </c>
      <c r="C12199" s="6">
        <v>0.58988011988011901</v>
      </c>
    </row>
    <row r="12200" spans="1:3" s="7" customFormat="1" x14ac:dyDescent="0.2">
      <c r="A12200" s="6" t="str">
        <f>"AC074091.2"</f>
        <v>AC074091.2</v>
      </c>
      <c r="B12200" s="6">
        <v>0.43056943056942998</v>
      </c>
      <c r="C12200" s="6">
        <v>0.58988011988011901</v>
      </c>
    </row>
    <row r="12201" spans="1:3" s="7" customFormat="1" x14ac:dyDescent="0.2">
      <c r="A12201" s="6" t="str">
        <f>"SYNE2"</f>
        <v>SYNE2</v>
      </c>
      <c r="B12201" s="6">
        <v>0.43056943056942998</v>
      </c>
      <c r="C12201" s="6">
        <v>0.58988011988011901</v>
      </c>
    </row>
    <row r="12202" spans="1:3" s="7" customFormat="1" x14ac:dyDescent="0.2">
      <c r="A12202" s="6" t="str">
        <f>"AP006287.2"</f>
        <v>AP006287.2</v>
      </c>
      <c r="B12202" s="6">
        <v>0.43072289156626498</v>
      </c>
      <c r="C12202" s="6">
        <v>0.59004199734763996</v>
      </c>
    </row>
    <row r="12203" spans="1:3" s="7" customFormat="1" x14ac:dyDescent="0.2">
      <c r="A12203" s="6" t="str">
        <f>"SC5D"</f>
        <v>SC5D</v>
      </c>
      <c r="B12203" s="6">
        <v>0.431568431568431</v>
      </c>
      <c r="C12203" s="6">
        <v>0.59090970469687498</v>
      </c>
    </row>
    <row r="12204" spans="1:3" s="7" customFormat="1" x14ac:dyDescent="0.2">
      <c r="A12204" s="6" t="str">
        <f>"AL139327.1"</f>
        <v>AL139327.1</v>
      </c>
      <c r="B12204" s="6">
        <v>0.431568431568431</v>
      </c>
      <c r="C12204" s="6">
        <v>0.59090970469687498</v>
      </c>
    </row>
    <row r="12205" spans="1:3" s="7" customFormat="1" x14ac:dyDescent="0.2">
      <c r="A12205" s="6" t="str">
        <f>"LRP5L"</f>
        <v>LRP5L</v>
      </c>
      <c r="B12205" s="6">
        <v>0.431568431568431</v>
      </c>
      <c r="C12205" s="6">
        <v>0.59090970469687498</v>
      </c>
    </row>
    <row r="12206" spans="1:3" s="7" customFormat="1" x14ac:dyDescent="0.2">
      <c r="A12206" s="6" t="str">
        <f>"VARS1"</f>
        <v>VARS1</v>
      </c>
      <c r="B12206" s="6">
        <v>0.431568431568431</v>
      </c>
      <c r="C12206" s="6">
        <v>0.59090970469687498</v>
      </c>
    </row>
    <row r="12207" spans="1:3" s="7" customFormat="1" x14ac:dyDescent="0.2">
      <c r="A12207" s="6" t="str">
        <f>"KIF17"</f>
        <v>KIF17</v>
      </c>
      <c r="B12207" s="6">
        <v>0.431568431568431</v>
      </c>
      <c r="C12207" s="6">
        <v>0.59090970469687498</v>
      </c>
    </row>
    <row r="12208" spans="1:3" s="7" customFormat="1" x14ac:dyDescent="0.2">
      <c r="A12208" s="6" t="str">
        <f>"GTF2H5"</f>
        <v>GTF2H5</v>
      </c>
      <c r="B12208" s="6">
        <v>0.431568431568431</v>
      </c>
      <c r="C12208" s="6">
        <v>0.59090970469687498</v>
      </c>
    </row>
    <row r="12209" spans="1:3" s="7" customFormat="1" x14ac:dyDescent="0.2">
      <c r="A12209" s="6" t="str">
        <f>"ITGA2"</f>
        <v>ITGA2</v>
      </c>
      <c r="B12209" s="6">
        <v>0.43256743256743202</v>
      </c>
      <c r="C12209" s="6">
        <v>0.59184119744041097</v>
      </c>
    </row>
    <row r="12210" spans="1:3" s="7" customFormat="1" x14ac:dyDescent="0.2">
      <c r="A12210" s="6" t="str">
        <f>"ARHGEF5"</f>
        <v>ARHGEF5</v>
      </c>
      <c r="B12210" s="6">
        <v>0.43256743256743202</v>
      </c>
      <c r="C12210" s="6">
        <v>0.59184119744041097</v>
      </c>
    </row>
    <row r="12211" spans="1:3" s="7" customFormat="1" x14ac:dyDescent="0.2">
      <c r="A12211" s="6" t="str">
        <f>"GDNF"</f>
        <v>GDNF</v>
      </c>
      <c r="B12211" s="6">
        <v>0.43256743256743202</v>
      </c>
      <c r="C12211" s="6">
        <v>0.59184119744041097</v>
      </c>
    </row>
    <row r="12212" spans="1:3" s="7" customFormat="1" x14ac:dyDescent="0.2">
      <c r="A12212" s="6" t="str">
        <f>"YIPF1"</f>
        <v>YIPF1</v>
      </c>
      <c r="B12212" s="6">
        <v>0.43256743256743202</v>
      </c>
      <c r="C12212" s="6">
        <v>0.59184119744041097</v>
      </c>
    </row>
    <row r="12213" spans="1:3" s="7" customFormat="1" x14ac:dyDescent="0.2">
      <c r="A12213" s="6" t="str">
        <f>"AL355297.3"</f>
        <v>AL355297.3</v>
      </c>
      <c r="B12213" s="6">
        <v>0.43256743256743202</v>
      </c>
      <c r="C12213" s="6">
        <v>0.59184119744041097</v>
      </c>
    </row>
    <row r="12214" spans="1:3" s="7" customFormat="1" x14ac:dyDescent="0.2">
      <c r="A12214" s="6" t="str">
        <f>"ZNF141"</f>
        <v>ZNF141</v>
      </c>
      <c r="B12214" s="6">
        <v>0.43256743256743202</v>
      </c>
      <c r="C12214" s="6">
        <v>0.59184119744041097</v>
      </c>
    </row>
    <row r="12215" spans="1:3" s="7" customFormat="1" x14ac:dyDescent="0.2">
      <c r="A12215" s="6" t="str">
        <f>"ZNF572"</f>
        <v>ZNF572</v>
      </c>
      <c r="B12215" s="6">
        <v>0.43256743256743202</v>
      </c>
      <c r="C12215" s="6">
        <v>0.59184119744041097</v>
      </c>
    </row>
    <row r="12216" spans="1:3" s="7" customFormat="1" x14ac:dyDescent="0.2">
      <c r="A12216" s="6" t="str">
        <f>"MICE"</f>
        <v>MICE</v>
      </c>
      <c r="B12216" s="6">
        <v>0.43256743256743202</v>
      </c>
      <c r="C12216" s="6">
        <v>0.59184119744041097</v>
      </c>
    </row>
    <row r="12217" spans="1:3" s="7" customFormat="1" x14ac:dyDescent="0.2">
      <c r="A12217" s="6" t="str">
        <f>"MTMR11"</f>
        <v>MTMR11</v>
      </c>
      <c r="B12217" s="6">
        <v>0.43256743256743202</v>
      </c>
      <c r="C12217" s="6">
        <v>0.59184119744041097</v>
      </c>
    </row>
    <row r="12218" spans="1:3" s="7" customFormat="1" x14ac:dyDescent="0.2">
      <c r="A12218" s="6" t="str">
        <f>"AC135068.9"</f>
        <v>AC135068.9</v>
      </c>
      <c r="B12218" s="6">
        <v>0.433</v>
      </c>
      <c r="C12218" s="6">
        <v>0.59238454612425295</v>
      </c>
    </row>
    <row r="12219" spans="1:3" s="7" customFormat="1" x14ac:dyDescent="0.2">
      <c r="A12219" s="6" t="str">
        <f>"ATP5MD"</f>
        <v>ATP5MD</v>
      </c>
      <c r="B12219" s="6">
        <v>0.43356643356643298</v>
      </c>
      <c r="C12219" s="6">
        <v>0.59252897552161599</v>
      </c>
    </row>
    <row r="12220" spans="1:3" s="7" customFormat="1" x14ac:dyDescent="0.2">
      <c r="A12220" s="6" t="str">
        <f>"TMED10"</f>
        <v>TMED10</v>
      </c>
      <c r="B12220" s="6">
        <v>0.43356643356643298</v>
      </c>
      <c r="C12220" s="6">
        <v>0.59252897552161599</v>
      </c>
    </row>
    <row r="12221" spans="1:3" s="7" customFormat="1" x14ac:dyDescent="0.2">
      <c r="A12221" s="6" t="str">
        <f>"CGB7"</f>
        <v>CGB7</v>
      </c>
      <c r="B12221" s="6">
        <v>0.43356643356643298</v>
      </c>
      <c r="C12221" s="6">
        <v>0.59252897552161599</v>
      </c>
    </row>
    <row r="12222" spans="1:3" s="7" customFormat="1" x14ac:dyDescent="0.2">
      <c r="A12222" s="6" t="str">
        <f>"SYCE3"</f>
        <v>SYCE3</v>
      </c>
      <c r="B12222" s="6">
        <v>0.43356643356643298</v>
      </c>
      <c r="C12222" s="6">
        <v>0.59252897552161599</v>
      </c>
    </row>
    <row r="12223" spans="1:3" s="7" customFormat="1" x14ac:dyDescent="0.2">
      <c r="A12223" s="6" t="str">
        <f>"TMEM183A"</f>
        <v>TMEM183A</v>
      </c>
      <c r="B12223" s="6">
        <v>0.43356643356643298</v>
      </c>
      <c r="C12223" s="6">
        <v>0.59252897552161599</v>
      </c>
    </row>
    <row r="12224" spans="1:3" s="7" customFormat="1" x14ac:dyDescent="0.2">
      <c r="A12224" s="6" t="str">
        <f>"PGAP4"</f>
        <v>PGAP4</v>
      </c>
      <c r="B12224" s="6">
        <v>0.43356643356643298</v>
      </c>
      <c r="C12224" s="6">
        <v>0.59252897552161599</v>
      </c>
    </row>
    <row r="12225" spans="1:3" s="7" customFormat="1" x14ac:dyDescent="0.2">
      <c r="A12225" s="6" t="str">
        <f>"EPB41L4B"</f>
        <v>EPB41L4B</v>
      </c>
      <c r="B12225" s="6">
        <v>0.43356643356643298</v>
      </c>
      <c r="C12225" s="6">
        <v>0.59252897552161599</v>
      </c>
    </row>
    <row r="12226" spans="1:3" s="7" customFormat="1" x14ac:dyDescent="0.2">
      <c r="A12226" s="6" t="str">
        <f>"CBWD5"</f>
        <v>CBWD5</v>
      </c>
      <c r="B12226" s="6">
        <v>0.43356643356643298</v>
      </c>
      <c r="C12226" s="6">
        <v>0.59252897552161599</v>
      </c>
    </row>
    <row r="12227" spans="1:3" s="7" customFormat="1" x14ac:dyDescent="0.2">
      <c r="A12227" s="6" t="str">
        <f>"SPRED2"</f>
        <v>SPRED2</v>
      </c>
      <c r="B12227" s="6">
        <v>0.43356643356643298</v>
      </c>
      <c r="C12227" s="6">
        <v>0.59252897552161599</v>
      </c>
    </row>
    <row r="12228" spans="1:3" s="7" customFormat="1" x14ac:dyDescent="0.2">
      <c r="A12228" s="6" t="str">
        <f>"ANKS1B"</f>
        <v>ANKS1B</v>
      </c>
      <c r="B12228" s="6">
        <v>0.43356643356643298</v>
      </c>
      <c r="C12228" s="6">
        <v>0.59252897552161599</v>
      </c>
    </row>
    <row r="12229" spans="1:3" s="7" customFormat="1" x14ac:dyDescent="0.2">
      <c r="A12229" s="6" t="str">
        <f>"ZDBF2"</f>
        <v>ZDBF2</v>
      </c>
      <c r="B12229" s="6">
        <v>0.43356643356643298</v>
      </c>
      <c r="C12229" s="6">
        <v>0.59252897552161599</v>
      </c>
    </row>
    <row r="12230" spans="1:3" s="7" customFormat="1" x14ac:dyDescent="0.2">
      <c r="A12230" s="6" t="str">
        <f>"LRRIQ4"</f>
        <v>LRRIQ4</v>
      </c>
      <c r="B12230" s="6">
        <v>0.43356643356643298</v>
      </c>
      <c r="C12230" s="6">
        <v>0.59252897552161599</v>
      </c>
    </row>
    <row r="12231" spans="1:3" s="7" customFormat="1" x14ac:dyDescent="0.2">
      <c r="A12231" s="6" t="str">
        <f>"ERVMER34-1"</f>
        <v>ERVMER34-1</v>
      </c>
      <c r="B12231" s="6">
        <v>0.43356643356643298</v>
      </c>
      <c r="C12231" s="6">
        <v>0.59252897552161599</v>
      </c>
    </row>
    <row r="12232" spans="1:3" s="7" customFormat="1" x14ac:dyDescent="0.2">
      <c r="A12232" s="6" t="str">
        <f>"LINC01970"</f>
        <v>LINC01970</v>
      </c>
      <c r="B12232" s="6">
        <v>0.43380614657210398</v>
      </c>
      <c r="C12232" s="6">
        <v>0.59280810512682003</v>
      </c>
    </row>
    <row r="12233" spans="1:3" s="7" customFormat="1" x14ac:dyDescent="0.2">
      <c r="A12233" s="6" t="str">
        <f>"ANGPTL2"</f>
        <v>ANGPTL2</v>
      </c>
      <c r="B12233" s="6">
        <v>0.434</v>
      </c>
      <c r="C12233" s="6">
        <v>0.59302452583387799</v>
      </c>
    </row>
    <row r="12234" spans="1:3" s="7" customFormat="1" x14ac:dyDescent="0.2">
      <c r="A12234" s="6" t="str">
        <f>"AC079807.1"</f>
        <v>AC079807.1</v>
      </c>
      <c r="B12234" s="6">
        <v>0.43425076452599298</v>
      </c>
      <c r="C12234" s="6">
        <v>0.59331866903355301</v>
      </c>
    </row>
    <row r="12235" spans="1:3" s="7" customFormat="1" x14ac:dyDescent="0.2">
      <c r="A12235" s="6" t="str">
        <f>"AC005288.1"</f>
        <v>AC005288.1</v>
      </c>
      <c r="B12235" s="6">
        <v>0.434306569343065</v>
      </c>
      <c r="C12235" s="6">
        <v>0.59334641163969204</v>
      </c>
    </row>
    <row r="12236" spans="1:3" s="7" customFormat="1" x14ac:dyDescent="0.2">
      <c r="A12236" s="6" t="str">
        <f>"RABAC1"</f>
        <v>RABAC1</v>
      </c>
      <c r="B12236" s="6">
        <v>0.43456543456543401</v>
      </c>
      <c r="C12236" s="6">
        <v>0.59345752703053101</v>
      </c>
    </row>
    <row r="12237" spans="1:3" s="7" customFormat="1" x14ac:dyDescent="0.2">
      <c r="A12237" s="6" t="str">
        <f>"RPS9"</f>
        <v>RPS9</v>
      </c>
      <c r="B12237" s="6">
        <v>0.43456543456543401</v>
      </c>
      <c r="C12237" s="6">
        <v>0.59345752703053101</v>
      </c>
    </row>
    <row r="12238" spans="1:3" s="7" customFormat="1" x14ac:dyDescent="0.2">
      <c r="A12238" s="6" t="str">
        <f>"TMEM205"</f>
        <v>TMEM205</v>
      </c>
      <c r="B12238" s="6">
        <v>0.43456543456543401</v>
      </c>
      <c r="C12238" s="6">
        <v>0.59345752703053101</v>
      </c>
    </row>
    <row r="12239" spans="1:3" s="7" customFormat="1" x14ac:dyDescent="0.2">
      <c r="A12239" s="6" t="str">
        <f>"SLC18B1"</f>
        <v>SLC18B1</v>
      </c>
      <c r="B12239" s="6">
        <v>0.43456543456543401</v>
      </c>
      <c r="C12239" s="6">
        <v>0.59345752703053101</v>
      </c>
    </row>
    <row r="12240" spans="1:3" s="7" customFormat="1" x14ac:dyDescent="0.2">
      <c r="A12240" s="6" t="str">
        <f>"PDXDC2P"</f>
        <v>PDXDC2P</v>
      </c>
      <c r="B12240" s="6">
        <v>0.43443443443443402</v>
      </c>
      <c r="C12240" s="6">
        <v>0.59345752703053101</v>
      </c>
    </row>
    <row r="12241" spans="1:3" s="7" customFormat="1" x14ac:dyDescent="0.2">
      <c r="A12241" s="6" t="str">
        <f>"KIAA1614-AS1"</f>
        <v>KIAA1614-AS1</v>
      </c>
      <c r="B12241" s="6">
        <v>0.434782608695652</v>
      </c>
      <c r="C12241" s="6">
        <v>0.59370559818130098</v>
      </c>
    </row>
    <row r="12242" spans="1:3" s="7" customFormat="1" x14ac:dyDescent="0.2">
      <c r="A12242" s="6" t="str">
        <f>"AL109840.2"</f>
        <v>AL109840.2</v>
      </c>
      <c r="B12242" s="6">
        <v>0.43491422805247199</v>
      </c>
      <c r="C12242" s="6">
        <v>0.59383681134458099</v>
      </c>
    </row>
    <row r="12243" spans="1:3" s="7" customFormat="1" x14ac:dyDescent="0.2">
      <c r="A12243" s="6" t="str">
        <f>"ANKRD52"</f>
        <v>ANKRD52</v>
      </c>
      <c r="B12243" s="6">
        <v>0.43556443556443503</v>
      </c>
      <c r="C12243" s="6">
        <v>0.59414216730792202</v>
      </c>
    </row>
    <row r="12244" spans="1:3" s="7" customFormat="1" x14ac:dyDescent="0.2">
      <c r="A12244" s="6" t="str">
        <f>"SEC11A"</f>
        <v>SEC11A</v>
      </c>
      <c r="B12244" s="6">
        <v>0.43556443556443503</v>
      </c>
      <c r="C12244" s="6">
        <v>0.59414216730792202</v>
      </c>
    </row>
    <row r="12245" spans="1:3" s="7" customFormat="1" x14ac:dyDescent="0.2">
      <c r="A12245" s="6" t="str">
        <f>"COL4A3"</f>
        <v>COL4A3</v>
      </c>
      <c r="B12245" s="6">
        <v>0.43556443556443503</v>
      </c>
      <c r="C12245" s="6">
        <v>0.59414216730792202</v>
      </c>
    </row>
    <row r="12246" spans="1:3" s="7" customFormat="1" x14ac:dyDescent="0.2">
      <c r="A12246" s="6" t="str">
        <f>"ALS2"</f>
        <v>ALS2</v>
      </c>
      <c r="B12246" s="6">
        <v>0.43556443556443503</v>
      </c>
      <c r="C12246" s="6">
        <v>0.59414216730792202</v>
      </c>
    </row>
    <row r="12247" spans="1:3" s="7" customFormat="1" x14ac:dyDescent="0.2">
      <c r="A12247" s="6" t="str">
        <f>"GDPD5"</f>
        <v>GDPD5</v>
      </c>
      <c r="B12247" s="6">
        <v>0.43556443556443503</v>
      </c>
      <c r="C12247" s="6">
        <v>0.59414216730792202</v>
      </c>
    </row>
    <row r="12248" spans="1:3" s="7" customFormat="1" x14ac:dyDescent="0.2">
      <c r="A12248" s="6" t="str">
        <f>"DIAPH2-AS1"</f>
        <v>DIAPH2-AS1</v>
      </c>
      <c r="B12248" s="6">
        <v>0.43556443556443503</v>
      </c>
      <c r="C12248" s="6">
        <v>0.59414216730792202</v>
      </c>
    </row>
    <row r="12249" spans="1:3" s="7" customFormat="1" x14ac:dyDescent="0.2">
      <c r="A12249" s="6" t="str">
        <f>"IKBIP"</f>
        <v>IKBIP</v>
      </c>
      <c r="B12249" s="6">
        <v>0.43556443556443503</v>
      </c>
      <c r="C12249" s="6">
        <v>0.59414216730792202</v>
      </c>
    </row>
    <row r="12250" spans="1:3" s="7" customFormat="1" x14ac:dyDescent="0.2">
      <c r="A12250" s="6" t="str">
        <f>"ZNF850"</f>
        <v>ZNF850</v>
      </c>
      <c r="B12250" s="6">
        <v>0.43556443556443503</v>
      </c>
      <c r="C12250" s="6">
        <v>0.59414216730792202</v>
      </c>
    </row>
    <row r="12251" spans="1:3" s="7" customFormat="1" x14ac:dyDescent="0.2">
      <c r="A12251" s="6" t="str">
        <f>"SLC13A4"</f>
        <v>SLC13A4</v>
      </c>
      <c r="B12251" s="6">
        <v>0.43556443556443503</v>
      </c>
      <c r="C12251" s="6">
        <v>0.59414216730792202</v>
      </c>
    </row>
    <row r="12252" spans="1:3" s="7" customFormat="1" x14ac:dyDescent="0.2">
      <c r="A12252" s="6" t="str">
        <f>"AC024940.1"</f>
        <v>AC024940.1</v>
      </c>
      <c r="B12252" s="6">
        <v>0.43556443556443503</v>
      </c>
      <c r="C12252" s="6">
        <v>0.59414216730792202</v>
      </c>
    </row>
    <row r="12253" spans="1:3" s="7" customFormat="1" x14ac:dyDescent="0.2">
      <c r="A12253" s="6" t="str">
        <f>"AC005154.5"</f>
        <v>AC005154.5</v>
      </c>
      <c r="B12253" s="6">
        <v>0.43556443556443503</v>
      </c>
      <c r="C12253" s="6">
        <v>0.59414216730792202</v>
      </c>
    </row>
    <row r="12254" spans="1:3" s="7" customFormat="1" x14ac:dyDescent="0.2">
      <c r="A12254" s="6" t="str">
        <f>"RHOBTB2"</f>
        <v>RHOBTB2</v>
      </c>
      <c r="B12254" s="6">
        <v>0.43556443556443503</v>
      </c>
      <c r="C12254" s="6">
        <v>0.59414216730792202</v>
      </c>
    </row>
    <row r="12255" spans="1:3" s="7" customFormat="1" x14ac:dyDescent="0.2">
      <c r="A12255" s="6" t="str">
        <f>"SLC25A28"</f>
        <v>SLC25A28</v>
      </c>
      <c r="B12255" s="6">
        <v>0.43656343656343599</v>
      </c>
      <c r="C12255" s="6">
        <v>0.59506779307790503</v>
      </c>
    </row>
    <row r="12256" spans="1:3" s="7" customFormat="1" x14ac:dyDescent="0.2">
      <c r="A12256" s="6" t="str">
        <f>"PDE6D"</f>
        <v>PDE6D</v>
      </c>
      <c r="B12256" s="6">
        <v>0.43656343656343599</v>
      </c>
      <c r="C12256" s="6">
        <v>0.59506779307790503</v>
      </c>
    </row>
    <row r="12257" spans="1:3" s="7" customFormat="1" x14ac:dyDescent="0.2">
      <c r="A12257" s="6" t="str">
        <f>"PBX1"</f>
        <v>PBX1</v>
      </c>
      <c r="B12257" s="6">
        <v>0.43656343656343599</v>
      </c>
      <c r="C12257" s="6">
        <v>0.59506779307790503</v>
      </c>
    </row>
    <row r="12258" spans="1:3" s="7" customFormat="1" x14ac:dyDescent="0.2">
      <c r="A12258" s="6" t="str">
        <f>"AC005225.4"</f>
        <v>AC005225.4</v>
      </c>
      <c r="B12258" s="6">
        <v>0.43638275499474199</v>
      </c>
      <c r="C12258" s="6">
        <v>0.59506779307790503</v>
      </c>
    </row>
    <row r="12259" spans="1:3" s="7" customFormat="1" x14ac:dyDescent="0.2">
      <c r="A12259" s="6" t="str">
        <f>"SEC1P"</f>
        <v>SEC1P</v>
      </c>
      <c r="B12259" s="6">
        <v>0.43656343656343599</v>
      </c>
      <c r="C12259" s="6">
        <v>0.59506779307790503</v>
      </c>
    </row>
    <row r="12260" spans="1:3" s="7" customFormat="1" x14ac:dyDescent="0.2">
      <c r="A12260" s="6" t="str">
        <f>"SYT1"</f>
        <v>SYT1</v>
      </c>
      <c r="B12260" s="6">
        <v>0.43656343656343599</v>
      </c>
      <c r="C12260" s="6">
        <v>0.59506779307790503</v>
      </c>
    </row>
    <row r="12261" spans="1:3" s="7" customFormat="1" x14ac:dyDescent="0.2">
      <c r="A12261" s="6" t="str">
        <f>"SPARCL1"</f>
        <v>SPARCL1</v>
      </c>
      <c r="B12261" s="6">
        <v>0.43656343656343599</v>
      </c>
      <c r="C12261" s="6">
        <v>0.59506779307790503</v>
      </c>
    </row>
    <row r="12262" spans="1:3" s="7" customFormat="1" x14ac:dyDescent="0.2">
      <c r="A12262" s="6" t="str">
        <f>"ATG13"</f>
        <v>ATG13</v>
      </c>
      <c r="B12262" s="6">
        <v>0.43656343656343599</v>
      </c>
      <c r="C12262" s="6">
        <v>0.59506779307790503</v>
      </c>
    </row>
    <row r="12263" spans="1:3" s="7" customFormat="1" x14ac:dyDescent="0.2">
      <c r="A12263" s="6" t="str">
        <f>"FAM184B"</f>
        <v>FAM184B</v>
      </c>
      <c r="B12263" s="6">
        <v>0.43656343656343599</v>
      </c>
      <c r="C12263" s="6">
        <v>0.59506779307790503</v>
      </c>
    </row>
    <row r="12264" spans="1:3" s="7" customFormat="1" x14ac:dyDescent="0.2">
      <c r="A12264" s="6" t="str">
        <f>"AC026367.3"</f>
        <v>AC026367.3</v>
      </c>
      <c r="B12264" s="6">
        <v>0.437</v>
      </c>
      <c r="C12264" s="6">
        <v>0.59561428687923001</v>
      </c>
    </row>
    <row r="12265" spans="1:3" s="7" customFormat="1" x14ac:dyDescent="0.2">
      <c r="A12265" s="6" t="str">
        <f>"BEX3"</f>
        <v>BEX3</v>
      </c>
      <c r="B12265" s="6">
        <v>0.43756243756243701</v>
      </c>
      <c r="C12265" s="6">
        <v>0.59579784777340705</v>
      </c>
    </row>
    <row r="12266" spans="1:3" s="7" customFormat="1" x14ac:dyDescent="0.2">
      <c r="A12266" s="6" t="str">
        <f>"AC139530.1"</f>
        <v>AC139530.1</v>
      </c>
      <c r="B12266" s="6">
        <v>0.43756243756243701</v>
      </c>
      <c r="C12266" s="6">
        <v>0.59579784777340705</v>
      </c>
    </row>
    <row r="12267" spans="1:3" s="7" customFormat="1" x14ac:dyDescent="0.2">
      <c r="A12267" s="6" t="str">
        <f>"SNHG11"</f>
        <v>SNHG11</v>
      </c>
      <c r="B12267" s="6">
        <v>0.43756243756243701</v>
      </c>
      <c r="C12267" s="6">
        <v>0.59579784777340705</v>
      </c>
    </row>
    <row r="12268" spans="1:3" s="7" customFormat="1" x14ac:dyDescent="0.2">
      <c r="A12268" s="6" t="str">
        <f>"AP2A1"</f>
        <v>AP2A1</v>
      </c>
      <c r="B12268" s="6">
        <v>0.43756243756243701</v>
      </c>
      <c r="C12268" s="6">
        <v>0.59579784777340705</v>
      </c>
    </row>
    <row r="12269" spans="1:3" s="7" customFormat="1" x14ac:dyDescent="0.2">
      <c r="A12269" s="6" t="str">
        <f>"PRSS33"</f>
        <v>PRSS33</v>
      </c>
      <c r="B12269" s="6">
        <v>0.43756243756243701</v>
      </c>
      <c r="C12269" s="6">
        <v>0.59579784777340705</v>
      </c>
    </row>
    <row r="12270" spans="1:3" s="7" customFormat="1" x14ac:dyDescent="0.2">
      <c r="A12270" s="6" t="str">
        <f>"RCOR2"</f>
        <v>RCOR2</v>
      </c>
      <c r="B12270" s="6">
        <v>0.43756243756243701</v>
      </c>
      <c r="C12270" s="6">
        <v>0.59579784777340705</v>
      </c>
    </row>
    <row r="12271" spans="1:3" s="7" customFormat="1" x14ac:dyDescent="0.2">
      <c r="A12271" s="6" t="str">
        <f>"SDHC"</f>
        <v>SDHC</v>
      </c>
      <c r="B12271" s="6">
        <v>0.43756243756243701</v>
      </c>
      <c r="C12271" s="6">
        <v>0.59579784777340705</v>
      </c>
    </row>
    <row r="12272" spans="1:3" s="7" customFormat="1" x14ac:dyDescent="0.2">
      <c r="A12272" s="6" t="str">
        <f>"AC006254.1"</f>
        <v>AC006254.1</v>
      </c>
      <c r="B12272" s="6">
        <v>0.43756243756243701</v>
      </c>
      <c r="C12272" s="6">
        <v>0.59579784777340705</v>
      </c>
    </row>
    <row r="12273" spans="1:3" s="7" customFormat="1" x14ac:dyDescent="0.2">
      <c r="A12273" s="6" t="str">
        <f>"AC103810.5"</f>
        <v>AC103810.5</v>
      </c>
      <c r="B12273" s="6">
        <v>0.43756243756243701</v>
      </c>
      <c r="C12273" s="6">
        <v>0.59579784777340705</v>
      </c>
    </row>
    <row r="12274" spans="1:3" s="7" customFormat="1" x14ac:dyDescent="0.2">
      <c r="A12274" s="6" t="str">
        <f>"AC100793.2"</f>
        <v>AC100793.2</v>
      </c>
      <c r="B12274" s="6">
        <v>0.43756243756243701</v>
      </c>
      <c r="C12274" s="6">
        <v>0.59579784777340705</v>
      </c>
    </row>
    <row r="12275" spans="1:3" s="7" customFormat="1" x14ac:dyDescent="0.2">
      <c r="A12275" s="6" t="str">
        <f>"AC016394.1"</f>
        <v>AC016394.1</v>
      </c>
      <c r="B12275" s="6">
        <v>0.43756243756243701</v>
      </c>
      <c r="C12275" s="6">
        <v>0.59579784777340705</v>
      </c>
    </row>
    <row r="12276" spans="1:3" s="7" customFormat="1" x14ac:dyDescent="0.2">
      <c r="A12276" s="6" t="str">
        <f>"PCDHA12"</f>
        <v>PCDHA12</v>
      </c>
      <c r="B12276" s="6">
        <v>0.43756243756243701</v>
      </c>
      <c r="C12276" s="6">
        <v>0.59579784777340705</v>
      </c>
    </row>
    <row r="12277" spans="1:3" s="7" customFormat="1" x14ac:dyDescent="0.2">
      <c r="A12277" s="6" t="str">
        <f>"YY2"</f>
        <v>YY2</v>
      </c>
      <c r="B12277" s="6">
        <v>0.43775100401606398</v>
      </c>
      <c r="C12277" s="6">
        <v>0.59600605092249004</v>
      </c>
    </row>
    <row r="12278" spans="1:3" s="7" customFormat="1" x14ac:dyDescent="0.2">
      <c r="A12278" s="6" t="str">
        <f>"POLR3H"</f>
        <v>POLR3H</v>
      </c>
      <c r="B12278" s="6">
        <v>0.43856143856143798</v>
      </c>
      <c r="C12278" s="6">
        <v>0.59662346444049197</v>
      </c>
    </row>
    <row r="12279" spans="1:3" s="7" customFormat="1" x14ac:dyDescent="0.2">
      <c r="A12279" s="6" t="str">
        <f>"ATP5PO"</f>
        <v>ATP5PO</v>
      </c>
      <c r="B12279" s="6">
        <v>0.43856143856143798</v>
      </c>
      <c r="C12279" s="6">
        <v>0.59662346444049197</v>
      </c>
    </row>
    <row r="12280" spans="1:3" s="7" customFormat="1" x14ac:dyDescent="0.2">
      <c r="A12280" s="6" t="str">
        <f>"CCDC149"</f>
        <v>CCDC149</v>
      </c>
      <c r="B12280" s="6">
        <v>0.43856143856143798</v>
      </c>
      <c r="C12280" s="6">
        <v>0.59662346444049197</v>
      </c>
    </row>
    <row r="12281" spans="1:3" s="7" customFormat="1" x14ac:dyDescent="0.2">
      <c r="A12281" s="6" t="str">
        <f>"TSPAN17"</f>
        <v>TSPAN17</v>
      </c>
      <c r="B12281" s="6">
        <v>0.43856143856143798</v>
      </c>
      <c r="C12281" s="6">
        <v>0.59662346444049197</v>
      </c>
    </row>
    <row r="12282" spans="1:3" s="7" customFormat="1" x14ac:dyDescent="0.2">
      <c r="A12282" s="6" t="str">
        <f>"GATD3B"</f>
        <v>GATD3B</v>
      </c>
      <c r="B12282" s="6">
        <v>0.43856143856143798</v>
      </c>
      <c r="C12282" s="6">
        <v>0.59662346444049197</v>
      </c>
    </row>
    <row r="12283" spans="1:3" s="7" customFormat="1" x14ac:dyDescent="0.2">
      <c r="A12283" s="6" t="str">
        <f>"PCDHGA7"</f>
        <v>PCDHGA7</v>
      </c>
      <c r="B12283" s="6">
        <v>0.43856143856143798</v>
      </c>
      <c r="C12283" s="6">
        <v>0.59662346444049197</v>
      </c>
    </row>
    <row r="12284" spans="1:3" s="7" customFormat="1" x14ac:dyDescent="0.2">
      <c r="A12284" s="6" t="str">
        <f>"PLCL2"</f>
        <v>PLCL2</v>
      </c>
      <c r="B12284" s="6">
        <v>0.43856143856143798</v>
      </c>
      <c r="C12284" s="6">
        <v>0.59662346444049197</v>
      </c>
    </row>
    <row r="12285" spans="1:3" s="7" customFormat="1" x14ac:dyDescent="0.2">
      <c r="A12285" s="6" t="str">
        <f>"C11orf91"</f>
        <v>C11orf91</v>
      </c>
      <c r="B12285" s="6">
        <v>0.43856143856143798</v>
      </c>
      <c r="C12285" s="6">
        <v>0.59662346444049197</v>
      </c>
    </row>
    <row r="12286" spans="1:3" s="7" customFormat="1" x14ac:dyDescent="0.2">
      <c r="A12286" s="6" t="str">
        <f>"PON2"</f>
        <v>PON2</v>
      </c>
      <c r="B12286" s="6">
        <v>0.43856143856143798</v>
      </c>
      <c r="C12286" s="6">
        <v>0.59662346444049197</v>
      </c>
    </row>
    <row r="12287" spans="1:3" s="7" customFormat="1" x14ac:dyDescent="0.2">
      <c r="A12287" s="6" t="str">
        <f>"CFAP161"</f>
        <v>CFAP161</v>
      </c>
      <c r="B12287" s="6">
        <v>0.43856143856143798</v>
      </c>
      <c r="C12287" s="6">
        <v>0.59662346444049197</v>
      </c>
    </row>
    <row r="12288" spans="1:3" s="7" customFormat="1" x14ac:dyDescent="0.2">
      <c r="A12288" s="6" t="str">
        <f>"Z95114.2"</f>
        <v>Z95114.2</v>
      </c>
      <c r="B12288" s="6">
        <v>0.438614900314795</v>
      </c>
      <c r="C12288" s="6">
        <v>0.59664763114360597</v>
      </c>
    </row>
    <row r="12289" spans="1:3" s="7" customFormat="1" x14ac:dyDescent="0.2">
      <c r="A12289" s="6" t="str">
        <f>"DDIT4-AS1"</f>
        <v>DDIT4-AS1</v>
      </c>
      <c r="B12289" s="6">
        <v>0.439</v>
      </c>
      <c r="C12289" s="6">
        <v>0.59702571196094301</v>
      </c>
    </row>
    <row r="12290" spans="1:3" s="7" customFormat="1" x14ac:dyDescent="0.2">
      <c r="A12290" s="6" t="str">
        <f>"CA3"</f>
        <v>CA3</v>
      </c>
      <c r="B12290" s="6">
        <v>0.439</v>
      </c>
      <c r="C12290" s="6">
        <v>0.59702571196094301</v>
      </c>
    </row>
    <row r="12291" spans="1:3" s="7" customFormat="1" x14ac:dyDescent="0.2">
      <c r="A12291" s="6" t="str">
        <f>"AC090577.1"</f>
        <v>AC090577.1</v>
      </c>
      <c r="B12291" s="6">
        <v>0.439</v>
      </c>
      <c r="C12291" s="6">
        <v>0.59702571196094301</v>
      </c>
    </row>
    <row r="12292" spans="1:3" s="7" customFormat="1" x14ac:dyDescent="0.2">
      <c r="A12292" s="6" t="str">
        <f>"FAM20B"</f>
        <v>FAM20B</v>
      </c>
      <c r="B12292" s="6">
        <v>0.439560439560439</v>
      </c>
      <c r="C12292" s="6">
        <v>0.59720477863869104</v>
      </c>
    </row>
    <row r="12293" spans="1:3" s="7" customFormat="1" x14ac:dyDescent="0.2">
      <c r="A12293" s="6" t="str">
        <f>"IL7R"</f>
        <v>IL7R</v>
      </c>
      <c r="B12293" s="6">
        <v>0.439560439560439</v>
      </c>
      <c r="C12293" s="6">
        <v>0.59720477863869104</v>
      </c>
    </row>
    <row r="12294" spans="1:3" s="7" customFormat="1" x14ac:dyDescent="0.2">
      <c r="A12294" s="6" t="str">
        <f>"AC010761.2"</f>
        <v>AC010761.2</v>
      </c>
      <c r="B12294" s="6">
        <v>0.43943943943943897</v>
      </c>
      <c r="C12294" s="6">
        <v>0.59720477863869104</v>
      </c>
    </row>
    <row r="12295" spans="1:3" s="7" customFormat="1" x14ac:dyDescent="0.2">
      <c r="A12295" s="6" t="str">
        <f>"AL356776.2"</f>
        <v>AL356776.2</v>
      </c>
      <c r="B12295" s="6">
        <v>0.439560439560439</v>
      </c>
      <c r="C12295" s="6">
        <v>0.59720477863869104</v>
      </c>
    </row>
    <row r="12296" spans="1:3" s="7" customFormat="1" x14ac:dyDescent="0.2">
      <c r="A12296" s="6" t="str">
        <f>"ADAD2"</f>
        <v>ADAD2</v>
      </c>
      <c r="B12296" s="6">
        <v>0.439560439560439</v>
      </c>
      <c r="C12296" s="6">
        <v>0.59720477863869104</v>
      </c>
    </row>
    <row r="12297" spans="1:3" s="7" customFormat="1" x14ac:dyDescent="0.2">
      <c r="A12297" s="6" t="str">
        <f>"KRBA1"</f>
        <v>KRBA1</v>
      </c>
      <c r="B12297" s="6">
        <v>0.439560439560439</v>
      </c>
      <c r="C12297" s="6">
        <v>0.59720477863869104</v>
      </c>
    </row>
    <row r="12298" spans="1:3" s="7" customFormat="1" x14ac:dyDescent="0.2">
      <c r="A12298" s="6" t="str">
        <f>"KHDC1L"</f>
        <v>KHDC1L</v>
      </c>
      <c r="B12298" s="6">
        <v>0.439560439560439</v>
      </c>
      <c r="C12298" s="6">
        <v>0.59720477863869104</v>
      </c>
    </row>
    <row r="12299" spans="1:3" s="7" customFormat="1" x14ac:dyDescent="0.2">
      <c r="A12299" s="6" t="str">
        <f>"DANT2"</f>
        <v>DANT2</v>
      </c>
      <c r="B12299" s="6">
        <v>0.43943943943943897</v>
      </c>
      <c r="C12299" s="6">
        <v>0.59720477863869104</v>
      </c>
    </row>
    <row r="12300" spans="1:3" s="7" customFormat="1" x14ac:dyDescent="0.2">
      <c r="A12300" s="6" t="str">
        <f>"AC011472.4"</f>
        <v>AC011472.4</v>
      </c>
      <c r="B12300" s="6">
        <v>0.439560439560439</v>
      </c>
      <c r="C12300" s="6">
        <v>0.59720477863869104</v>
      </c>
    </row>
    <row r="12301" spans="1:3" s="7" customFormat="1" x14ac:dyDescent="0.2">
      <c r="A12301" s="6" t="str">
        <f>"AC026471.3"</f>
        <v>AC026471.3</v>
      </c>
      <c r="B12301" s="6">
        <v>0.439560439560439</v>
      </c>
      <c r="C12301" s="6">
        <v>0.59720477863869104</v>
      </c>
    </row>
    <row r="12302" spans="1:3" s="7" customFormat="1" x14ac:dyDescent="0.2">
      <c r="A12302" s="6" t="str">
        <f>"CLPTM1"</f>
        <v>CLPTM1</v>
      </c>
      <c r="B12302" s="6">
        <v>0.439560439560439</v>
      </c>
      <c r="C12302" s="6">
        <v>0.59720477863869104</v>
      </c>
    </row>
    <row r="12303" spans="1:3" s="7" customFormat="1" x14ac:dyDescent="0.2">
      <c r="A12303" s="6" t="str">
        <f>"MYDGF"</f>
        <v>MYDGF</v>
      </c>
      <c r="B12303" s="6">
        <v>0.439560439560439</v>
      </c>
      <c r="C12303" s="6">
        <v>0.59720477863869104</v>
      </c>
    </row>
    <row r="12304" spans="1:3" s="7" customFormat="1" x14ac:dyDescent="0.2">
      <c r="A12304" s="6" t="str">
        <f>"RN7SL391P"</f>
        <v>RN7SL391P</v>
      </c>
      <c r="B12304" s="6">
        <v>0.43967280163599098</v>
      </c>
      <c r="C12304" s="6">
        <v>0.59730888454392905</v>
      </c>
    </row>
    <row r="12305" spans="1:3" s="7" customFormat="1" x14ac:dyDescent="0.2">
      <c r="A12305" s="6" t="str">
        <f>"AC092437.1"</f>
        <v>AC092437.1</v>
      </c>
      <c r="B12305" s="6">
        <v>0.439834024896265</v>
      </c>
      <c r="C12305" s="6">
        <v>0.59747934753870102</v>
      </c>
    </row>
    <row r="12306" spans="1:3" s="7" customFormat="1" x14ac:dyDescent="0.2">
      <c r="A12306" s="6" t="str">
        <f>"CCDC60"</f>
        <v>CCDC60</v>
      </c>
      <c r="B12306" s="6">
        <v>0.44</v>
      </c>
      <c r="C12306" s="6">
        <v>0.59765623730190898</v>
      </c>
    </row>
    <row r="12307" spans="1:3" s="7" customFormat="1" x14ac:dyDescent="0.2">
      <c r="A12307" s="6" t="str">
        <f>"CTDNEP1"</f>
        <v>CTDNEP1</v>
      </c>
      <c r="B12307" s="6">
        <v>0.44055944055944002</v>
      </c>
      <c r="C12307" s="6">
        <v>0.59788165715414798</v>
      </c>
    </row>
    <row r="12308" spans="1:3" s="7" customFormat="1" x14ac:dyDescent="0.2">
      <c r="A12308" s="6" t="str">
        <f>"ACSF2"</f>
        <v>ACSF2</v>
      </c>
      <c r="B12308" s="6">
        <v>0.44055944055944002</v>
      </c>
      <c r="C12308" s="6">
        <v>0.59788165715414798</v>
      </c>
    </row>
    <row r="12309" spans="1:3" s="7" customFormat="1" x14ac:dyDescent="0.2">
      <c r="A12309" s="6" t="str">
        <f>"RBM43"</f>
        <v>RBM43</v>
      </c>
      <c r="B12309" s="6">
        <v>0.44055944055944002</v>
      </c>
      <c r="C12309" s="6">
        <v>0.59788165715414798</v>
      </c>
    </row>
    <row r="12310" spans="1:3" s="7" customFormat="1" x14ac:dyDescent="0.2">
      <c r="A12310" s="6" t="str">
        <f>"AL118508.1"</f>
        <v>AL118508.1</v>
      </c>
      <c r="B12310" s="6">
        <v>0.44055944055944002</v>
      </c>
      <c r="C12310" s="6">
        <v>0.59788165715414798</v>
      </c>
    </row>
    <row r="12311" spans="1:3" s="7" customFormat="1" x14ac:dyDescent="0.2">
      <c r="A12311" s="6" t="str">
        <f>"AC097493.1"</f>
        <v>AC097493.1</v>
      </c>
      <c r="B12311" s="6">
        <v>0.44055944055944002</v>
      </c>
      <c r="C12311" s="6">
        <v>0.59788165715414798</v>
      </c>
    </row>
    <row r="12312" spans="1:3" s="7" customFormat="1" x14ac:dyDescent="0.2">
      <c r="A12312" s="6" t="str">
        <f>"CATSPERB"</f>
        <v>CATSPERB</v>
      </c>
      <c r="B12312" s="6">
        <v>0.44055944055944002</v>
      </c>
      <c r="C12312" s="6">
        <v>0.59788165715414798</v>
      </c>
    </row>
    <row r="12313" spans="1:3" s="7" customFormat="1" x14ac:dyDescent="0.2">
      <c r="A12313" s="6" t="str">
        <f>"ODF3L1"</f>
        <v>ODF3L1</v>
      </c>
      <c r="B12313" s="6">
        <v>0.44055944055944002</v>
      </c>
      <c r="C12313" s="6">
        <v>0.59788165715414798</v>
      </c>
    </row>
    <row r="12314" spans="1:3" s="7" customFormat="1" x14ac:dyDescent="0.2">
      <c r="A12314" s="6" t="str">
        <f>"VWA5B2"</f>
        <v>VWA5B2</v>
      </c>
      <c r="B12314" s="6">
        <v>0.44055944055944002</v>
      </c>
      <c r="C12314" s="6">
        <v>0.59788165715414798</v>
      </c>
    </row>
    <row r="12315" spans="1:3" s="7" customFormat="1" x14ac:dyDescent="0.2">
      <c r="A12315" s="6" t="str">
        <f>"WDR37"</f>
        <v>WDR37</v>
      </c>
      <c r="B12315" s="6">
        <v>0.44055944055944002</v>
      </c>
      <c r="C12315" s="6">
        <v>0.59788165715414798</v>
      </c>
    </row>
    <row r="12316" spans="1:3" s="7" customFormat="1" x14ac:dyDescent="0.2">
      <c r="A12316" s="6" t="str">
        <f>"OPN3"</f>
        <v>OPN3</v>
      </c>
      <c r="B12316" s="6">
        <v>0.44055944055944002</v>
      </c>
      <c r="C12316" s="6">
        <v>0.59788165715414798</v>
      </c>
    </row>
    <row r="12317" spans="1:3" s="7" customFormat="1" x14ac:dyDescent="0.2">
      <c r="A12317" s="6" t="str">
        <f>"LINC01962"</f>
        <v>LINC01962</v>
      </c>
      <c r="B12317" s="6">
        <v>0.44055944055944002</v>
      </c>
      <c r="C12317" s="6">
        <v>0.59788165715414798</v>
      </c>
    </row>
    <row r="12318" spans="1:3" s="7" customFormat="1" x14ac:dyDescent="0.2">
      <c r="A12318" s="6" t="str">
        <f>"DIAPH2"</f>
        <v>DIAPH2</v>
      </c>
      <c r="B12318" s="6">
        <v>0.441</v>
      </c>
      <c r="C12318" s="6">
        <v>0.59843094909474703</v>
      </c>
    </row>
    <row r="12319" spans="1:3" s="7" customFormat="1" x14ac:dyDescent="0.2">
      <c r="A12319" s="6" t="str">
        <f>"SERINC3"</f>
        <v>SERINC3</v>
      </c>
      <c r="B12319" s="6">
        <v>0.44155844155844098</v>
      </c>
      <c r="C12319" s="6">
        <v>0.59884840897499103</v>
      </c>
    </row>
    <row r="12320" spans="1:3" s="7" customFormat="1" x14ac:dyDescent="0.2">
      <c r="A12320" s="6" t="str">
        <f>"SNHG15"</f>
        <v>SNHG15</v>
      </c>
      <c r="B12320" s="6">
        <v>0.44155844155844098</v>
      </c>
      <c r="C12320" s="6">
        <v>0.59884840897499103</v>
      </c>
    </row>
    <row r="12321" spans="1:3" s="7" customFormat="1" x14ac:dyDescent="0.2">
      <c r="A12321" s="6" t="str">
        <f>"SNTB2"</f>
        <v>SNTB2</v>
      </c>
      <c r="B12321" s="6">
        <v>0.44155844155844098</v>
      </c>
      <c r="C12321" s="6">
        <v>0.59884840897499103</v>
      </c>
    </row>
    <row r="12322" spans="1:3" s="7" customFormat="1" x14ac:dyDescent="0.2">
      <c r="A12322" s="6" t="str">
        <f>"URB1"</f>
        <v>URB1</v>
      </c>
      <c r="B12322" s="6">
        <v>0.44155844155844098</v>
      </c>
      <c r="C12322" s="6">
        <v>0.59884840897499103</v>
      </c>
    </row>
    <row r="12323" spans="1:3" s="7" customFormat="1" x14ac:dyDescent="0.2">
      <c r="A12323" s="6" t="str">
        <f>"CEP290"</f>
        <v>CEP290</v>
      </c>
      <c r="B12323" s="6">
        <v>0.44155844155844098</v>
      </c>
      <c r="C12323" s="6">
        <v>0.59884840897499103</v>
      </c>
    </row>
    <row r="12324" spans="1:3" s="7" customFormat="1" x14ac:dyDescent="0.2">
      <c r="A12324" s="6" t="str">
        <f>"KRT8P15"</f>
        <v>KRT8P15</v>
      </c>
      <c r="B12324" s="6">
        <v>0.44155844155844098</v>
      </c>
      <c r="C12324" s="6">
        <v>0.59884840897499103</v>
      </c>
    </row>
    <row r="12325" spans="1:3" s="7" customFormat="1" x14ac:dyDescent="0.2">
      <c r="A12325" s="6" t="str">
        <f>"SZRD1"</f>
        <v>SZRD1</v>
      </c>
      <c r="B12325" s="6">
        <v>0.44155844155844098</v>
      </c>
      <c r="C12325" s="6">
        <v>0.59884840897499103</v>
      </c>
    </row>
    <row r="12326" spans="1:3" s="7" customFormat="1" x14ac:dyDescent="0.2">
      <c r="A12326" s="6" t="str">
        <f>"MRPL3"</f>
        <v>MRPL3</v>
      </c>
      <c r="B12326" s="6">
        <v>0.442</v>
      </c>
      <c r="C12326" s="6">
        <v>0.59939862068965499</v>
      </c>
    </row>
    <row r="12327" spans="1:3" s="7" customFormat="1" x14ac:dyDescent="0.2">
      <c r="A12327" s="6" t="str">
        <f>"SYP"</f>
        <v>SYP</v>
      </c>
      <c r="B12327" s="6">
        <v>0.442557442557442</v>
      </c>
      <c r="C12327" s="6">
        <v>0.59947362792001702</v>
      </c>
    </row>
    <row r="12328" spans="1:3" s="7" customFormat="1" x14ac:dyDescent="0.2">
      <c r="A12328" s="6" t="str">
        <f>"POLR1D"</f>
        <v>POLR1D</v>
      </c>
      <c r="B12328" s="6">
        <v>0.442557442557442</v>
      </c>
      <c r="C12328" s="6">
        <v>0.59947362792001702</v>
      </c>
    </row>
    <row r="12329" spans="1:3" s="7" customFormat="1" x14ac:dyDescent="0.2">
      <c r="A12329" s="6" t="str">
        <f>"ZNF425"</f>
        <v>ZNF425</v>
      </c>
      <c r="B12329" s="6">
        <v>0.442557442557442</v>
      </c>
      <c r="C12329" s="6">
        <v>0.59947362792001702</v>
      </c>
    </row>
    <row r="12330" spans="1:3" s="7" customFormat="1" x14ac:dyDescent="0.2">
      <c r="A12330" s="6" t="str">
        <f>"ATG2B"</f>
        <v>ATG2B</v>
      </c>
      <c r="B12330" s="6">
        <v>0.442557442557442</v>
      </c>
      <c r="C12330" s="6">
        <v>0.59947362792001702</v>
      </c>
    </row>
    <row r="12331" spans="1:3" s="7" customFormat="1" x14ac:dyDescent="0.2">
      <c r="A12331" s="6" t="str">
        <f>"AC133550.3"</f>
        <v>AC133550.3</v>
      </c>
      <c r="B12331" s="6">
        <v>0.442557442557442</v>
      </c>
      <c r="C12331" s="6">
        <v>0.59947362792001702</v>
      </c>
    </row>
    <row r="12332" spans="1:3" s="7" customFormat="1" x14ac:dyDescent="0.2">
      <c r="A12332" s="6" t="str">
        <f>"SYNPO2L"</f>
        <v>SYNPO2L</v>
      </c>
      <c r="B12332" s="6">
        <v>0.442557442557442</v>
      </c>
      <c r="C12332" s="6">
        <v>0.59947362792001702</v>
      </c>
    </row>
    <row r="12333" spans="1:3" s="7" customFormat="1" x14ac:dyDescent="0.2">
      <c r="A12333" s="6" t="str">
        <f>"AC016042.1"</f>
        <v>AC016042.1</v>
      </c>
      <c r="B12333" s="6">
        <v>0.44254835039817902</v>
      </c>
      <c r="C12333" s="6">
        <v>0.59947362792001702</v>
      </c>
    </row>
    <row r="12334" spans="1:3" s="7" customFormat="1" x14ac:dyDescent="0.2">
      <c r="A12334" s="6" t="str">
        <f>"ARHGEF4"</f>
        <v>ARHGEF4</v>
      </c>
      <c r="B12334" s="6">
        <v>0.442557442557442</v>
      </c>
      <c r="C12334" s="6">
        <v>0.59947362792001702</v>
      </c>
    </row>
    <row r="12335" spans="1:3" s="7" customFormat="1" x14ac:dyDescent="0.2">
      <c r="A12335" s="6" t="str">
        <f>"CCDC8"</f>
        <v>CCDC8</v>
      </c>
      <c r="B12335" s="6">
        <v>0.442557442557442</v>
      </c>
      <c r="C12335" s="6">
        <v>0.59947362792001702</v>
      </c>
    </row>
    <row r="12336" spans="1:3" s="7" customFormat="1" x14ac:dyDescent="0.2">
      <c r="A12336" s="6" t="str">
        <f>"PORCN"</f>
        <v>PORCN</v>
      </c>
      <c r="B12336" s="6">
        <v>0.442557442557442</v>
      </c>
      <c r="C12336" s="6">
        <v>0.59947362792001702</v>
      </c>
    </row>
    <row r="12337" spans="1:3" s="7" customFormat="1" x14ac:dyDescent="0.2">
      <c r="A12337" s="6" t="str">
        <f>"SLC16A2"</f>
        <v>SLC16A2</v>
      </c>
      <c r="B12337" s="6">
        <v>0.442557442557442</v>
      </c>
      <c r="C12337" s="6">
        <v>0.59947362792001702</v>
      </c>
    </row>
    <row r="12338" spans="1:3" s="7" customFormat="1" x14ac:dyDescent="0.2">
      <c r="A12338" s="6" t="str">
        <f>"AL360020.1"</f>
        <v>AL360020.1</v>
      </c>
      <c r="B12338" s="6">
        <v>0.442557442557442</v>
      </c>
      <c r="C12338" s="6">
        <v>0.59947362792001702</v>
      </c>
    </row>
    <row r="12339" spans="1:3" s="7" customFormat="1" x14ac:dyDescent="0.2">
      <c r="A12339" s="6" t="str">
        <f>"NUMBL"</f>
        <v>NUMBL</v>
      </c>
      <c r="B12339" s="6">
        <v>0.442557442557442</v>
      </c>
      <c r="C12339" s="6">
        <v>0.59947362792001702</v>
      </c>
    </row>
    <row r="12340" spans="1:3" s="7" customFormat="1" x14ac:dyDescent="0.2">
      <c r="A12340" s="6" t="str">
        <f>"IDH3B"</f>
        <v>IDH3B</v>
      </c>
      <c r="B12340" s="6">
        <v>0.442557442557442</v>
      </c>
      <c r="C12340" s="6">
        <v>0.59947362792001702</v>
      </c>
    </row>
    <row r="12341" spans="1:3" s="7" customFormat="1" x14ac:dyDescent="0.2">
      <c r="A12341" s="6" t="str">
        <f>"SPINK9"</f>
        <v>SPINK9</v>
      </c>
      <c r="B12341" s="6">
        <v>0.443</v>
      </c>
      <c r="C12341" s="6">
        <v>0.60002447325769803</v>
      </c>
    </row>
    <row r="12342" spans="1:3" s="7" customFormat="1" x14ac:dyDescent="0.2">
      <c r="A12342" s="6" t="str">
        <f>"AC006230.1"</f>
        <v>AC006230.1</v>
      </c>
      <c r="B12342" s="6">
        <v>0.44355644355644303</v>
      </c>
      <c r="C12342" s="6">
        <v>0.60009732860631304</v>
      </c>
    </row>
    <row r="12343" spans="1:3" s="7" customFormat="1" x14ac:dyDescent="0.2">
      <c r="A12343" s="6" t="str">
        <f>"HLA-K"</f>
        <v>HLA-K</v>
      </c>
      <c r="B12343" s="6">
        <v>0.44355644355644303</v>
      </c>
      <c r="C12343" s="6">
        <v>0.60009732860631304</v>
      </c>
    </row>
    <row r="12344" spans="1:3" s="7" customFormat="1" x14ac:dyDescent="0.2">
      <c r="A12344" s="6" t="str">
        <f>"NLGN4X"</f>
        <v>NLGN4X</v>
      </c>
      <c r="B12344" s="6">
        <v>0.44355644355644303</v>
      </c>
      <c r="C12344" s="6">
        <v>0.60009732860631304</v>
      </c>
    </row>
    <row r="12345" spans="1:3" s="7" customFormat="1" x14ac:dyDescent="0.2">
      <c r="A12345" s="6" t="str">
        <f>"AC112128.1"</f>
        <v>AC112128.1</v>
      </c>
      <c r="B12345" s="6">
        <v>0.44355644355644303</v>
      </c>
      <c r="C12345" s="6">
        <v>0.60009732860631304</v>
      </c>
    </row>
    <row r="12346" spans="1:3" s="7" customFormat="1" x14ac:dyDescent="0.2">
      <c r="A12346" s="6" t="str">
        <f>"COL4A2"</f>
        <v>COL4A2</v>
      </c>
      <c r="B12346" s="6">
        <v>0.44355644355644303</v>
      </c>
      <c r="C12346" s="6">
        <v>0.60009732860631304</v>
      </c>
    </row>
    <row r="12347" spans="1:3" s="7" customFormat="1" x14ac:dyDescent="0.2">
      <c r="A12347" s="6" t="str">
        <f>"ZDHHC23"</f>
        <v>ZDHHC23</v>
      </c>
      <c r="B12347" s="6">
        <v>0.44355644355644303</v>
      </c>
      <c r="C12347" s="6">
        <v>0.60009732860631304</v>
      </c>
    </row>
    <row r="12348" spans="1:3" s="7" customFormat="1" x14ac:dyDescent="0.2">
      <c r="A12348" s="6" t="str">
        <f>"ACBD3"</f>
        <v>ACBD3</v>
      </c>
      <c r="B12348" s="6">
        <v>0.44355644355644303</v>
      </c>
      <c r="C12348" s="6">
        <v>0.60009732860631304</v>
      </c>
    </row>
    <row r="12349" spans="1:3" s="7" customFormat="1" x14ac:dyDescent="0.2">
      <c r="A12349" s="6" t="str">
        <f>"ORAI2"</f>
        <v>ORAI2</v>
      </c>
      <c r="B12349" s="6">
        <v>0.44355644355644303</v>
      </c>
      <c r="C12349" s="6">
        <v>0.60009732860631304</v>
      </c>
    </row>
    <row r="12350" spans="1:3" s="7" customFormat="1" x14ac:dyDescent="0.2">
      <c r="A12350" s="6" t="str">
        <f>"GYG2"</f>
        <v>GYG2</v>
      </c>
      <c r="B12350" s="6">
        <v>0.44355644355644303</v>
      </c>
      <c r="C12350" s="6">
        <v>0.60009732860631304</v>
      </c>
    </row>
    <row r="12351" spans="1:3" s="7" customFormat="1" x14ac:dyDescent="0.2">
      <c r="A12351" s="6" t="str">
        <f>"NMNAT1"</f>
        <v>NMNAT1</v>
      </c>
      <c r="B12351" s="6">
        <v>0.44355644355644303</v>
      </c>
      <c r="C12351" s="6">
        <v>0.60009732860631304</v>
      </c>
    </row>
    <row r="12352" spans="1:3" s="7" customFormat="1" x14ac:dyDescent="0.2">
      <c r="A12352" s="6" t="str">
        <f>"ORAI3"</f>
        <v>ORAI3</v>
      </c>
      <c r="B12352" s="6">
        <v>0.44355644355644303</v>
      </c>
      <c r="C12352" s="6">
        <v>0.60009732860631304</v>
      </c>
    </row>
    <row r="12353" spans="1:3" s="7" customFormat="1" x14ac:dyDescent="0.2">
      <c r="A12353" s="6" t="str">
        <f>"FAM27E3"</f>
        <v>FAM27E3</v>
      </c>
      <c r="B12353" s="6">
        <v>0.44355644355644303</v>
      </c>
      <c r="C12353" s="6">
        <v>0.60009732860631304</v>
      </c>
    </row>
    <row r="12354" spans="1:3" s="7" customFormat="1" x14ac:dyDescent="0.2">
      <c r="A12354" s="6" t="str">
        <f>"CHAD"</f>
        <v>CHAD</v>
      </c>
      <c r="B12354" s="6">
        <v>0.44355644355644303</v>
      </c>
      <c r="C12354" s="6">
        <v>0.60009732860631304</v>
      </c>
    </row>
    <row r="12355" spans="1:3" s="7" customFormat="1" x14ac:dyDescent="0.2">
      <c r="A12355" s="6" t="str">
        <f>"PCDHGB1"</f>
        <v>PCDHGB1</v>
      </c>
      <c r="B12355" s="6">
        <v>0.44355644355644303</v>
      </c>
      <c r="C12355" s="6">
        <v>0.60009732860631304</v>
      </c>
    </row>
    <row r="12356" spans="1:3" s="7" customFormat="1" x14ac:dyDescent="0.2">
      <c r="A12356" s="6" t="str">
        <f>"AC135050.6"</f>
        <v>AC135050.6</v>
      </c>
      <c r="B12356" s="6">
        <v>0.44455544455544399</v>
      </c>
      <c r="C12356" s="6">
        <v>0.601011057211008</v>
      </c>
    </row>
    <row r="12357" spans="1:3" s="7" customFormat="1" x14ac:dyDescent="0.2">
      <c r="A12357" s="6" t="str">
        <f>"AL359643.2"</f>
        <v>AL359643.2</v>
      </c>
      <c r="B12357" s="6">
        <v>0.44455544455544399</v>
      </c>
      <c r="C12357" s="6">
        <v>0.601011057211008</v>
      </c>
    </row>
    <row r="12358" spans="1:3" s="7" customFormat="1" x14ac:dyDescent="0.2">
      <c r="A12358" s="6" t="str">
        <f>"AC124798.1"</f>
        <v>AC124798.1</v>
      </c>
      <c r="B12358" s="6">
        <v>0.44455544455544399</v>
      </c>
      <c r="C12358" s="6">
        <v>0.601011057211008</v>
      </c>
    </row>
    <row r="12359" spans="1:3" s="7" customFormat="1" x14ac:dyDescent="0.2">
      <c r="A12359" s="6" t="str">
        <f>"LINC00551"</f>
        <v>LINC00551</v>
      </c>
      <c r="B12359" s="6">
        <v>0.44455544455544399</v>
      </c>
      <c r="C12359" s="6">
        <v>0.601011057211008</v>
      </c>
    </row>
    <row r="12360" spans="1:3" s="7" customFormat="1" x14ac:dyDescent="0.2">
      <c r="A12360" s="6" t="str">
        <f>"AP002762.3"</f>
        <v>AP002762.3</v>
      </c>
      <c r="B12360" s="6">
        <v>0.44433299899699003</v>
      </c>
      <c r="C12360" s="6">
        <v>0.601011057211008</v>
      </c>
    </row>
    <row r="12361" spans="1:3" s="7" customFormat="1" x14ac:dyDescent="0.2">
      <c r="A12361" s="6" t="str">
        <f>"CUL1"</f>
        <v>CUL1</v>
      </c>
      <c r="B12361" s="6">
        <v>0.44455544455544399</v>
      </c>
      <c r="C12361" s="6">
        <v>0.601011057211008</v>
      </c>
    </row>
    <row r="12362" spans="1:3" s="7" customFormat="1" x14ac:dyDescent="0.2">
      <c r="A12362" s="6" t="str">
        <f>"LRRC34"</f>
        <v>LRRC34</v>
      </c>
      <c r="B12362" s="6">
        <v>0.44455544455544399</v>
      </c>
      <c r="C12362" s="6">
        <v>0.601011057211008</v>
      </c>
    </row>
    <row r="12363" spans="1:3" s="7" customFormat="1" x14ac:dyDescent="0.2">
      <c r="A12363" s="6" t="str">
        <f>"AL121895.2"</f>
        <v>AL121895.2</v>
      </c>
      <c r="B12363" s="6">
        <v>0.44433299899699003</v>
      </c>
      <c r="C12363" s="6">
        <v>0.601011057211008</v>
      </c>
    </row>
    <row r="12364" spans="1:3" s="7" customFormat="1" x14ac:dyDescent="0.2">
      <c r="A12364" s="6" t="str">
        <f>"FGF7P6"</f>
        <v>FGF7P6</v>
      </c>
      <c r="B12364" s="6">
        <v>0.44455544455544399</v>
      </c>
      <c r="C12364" s="6">
        <v>0.601011057211008</v>
      </c>
    </row>
    <row r="12365" spans="1:3" s="7" customFormat="1" x14ac:dyDescent="0.2">
      <c r="A12365" s="6" t="str">
        <f>"AP001528.1"</f>
        <v>AP001528.1</v>
      </c>
      <c r="B12365" s="6">
        <v>0.44490216271884597</v>
      </c>
      <c r="C12365" s="6">
        <v>0.60143115073461595</v>
      </c>
    </row>
    <row r="12366" spans="1:3" s="7" customFormat="1" x14ac:dyDescent="0.2">
      <c r="A12366" s="6" t="str">
        <f>"SYN2"</f>
        <v>SYN2</v>
      </c>
      <c r="B12366" s="6">
        <v>0.44500000000000001</v>
      </c>
      <c r="C12366" s="6">
        <v>0.60151475940153598</v>
      </c>
    </row>
    <row r="12367" spans="1:3" s="7" customFormat="1" x14ac:dyDescent="0.2">
      <c r="A12367" s="6" t="str">
        <f>"AP003170.1"</f>
        <v>AP003170.1</v>
      </c>
      <c r="B12367" s="6">
        <v>0.44555444555444501</v>
      </c>
      <c r="C12367" s="6">
        <v>0.60197211244014204</v>
      </c>
    </row>
    <row r="12368" spans="1:3" s="7" customFormat="1" x14ac:dyDescent="0.2">
      <c r="A12368" s="6" t="str">
        <f>"ZNF845"</f>
        <v>ZNF845</v>
      </c>
      <c r="B12368" s="6">
        <v>0.44555444555444501</v>
      </c>
      <c r="C12368" s="6">
        <v>0.60197211244014204</v>
      </c>
    </row>
    <row r="12369" spans="1:3" s="7" customFormat="1" x14ac:dyDescent="0.2">
      <c r="A12369" s="6" t="str">
        <f>"AL078622.1"</f>
        <v>AL078622.1</v>
      </c>
      <c r="B12369" s="6">
        <v>0.44555444555444501</v>
      </c>
      <c r="C12369" s="6">
        <v>0.60197211244014204</v>
      </c>
    </row>
    <row r="12370" spans="1:3" s="7" customFormat="1" x14ac:dyDescent="0.2">
      <c r="A12370" s="6" t="str">
        <f>"SERPINB6"</f>
        <v>SERPINB6</v>
      </c>
      <c r="B12370" s="6">
        <v>0.44555444555444501</v>
      </c>
      <c r="C12370" s="6">
        <v>0.60197211244014204</v>
      </c>
    </row>
    <row r="12371" spans="1:3" s="7" customFormat="1" x14ac:dyDescent="0.2">
      <c r="A12371" s="6" t="str">
        <f>"PPP2R2D"</f>
        <v>PPP2R2D</v>
      </c>
      <c r="B12371" s="6">
        <v>0.44555444555444501</v>
      </c>
      <c r="C12371" s="6">
        <v>0.60197211244014204</v>
      </c>
    </row>
    <row r="12372" spans="1:3" s="7" customFormat="1" x14ac:dyDescent="0.2">
      <c r="A12372" s="6" t="str">
        <f>"NUDT7"</f>
        <v>NUDT7</v>
      </c>
      <c r="B12372" s="6">
        <v>0.44555444555444501</v>
      </c>
      <c r="C12372" s="6">
        <v>0.60197211244014204</v>
      </c>
    </row>
    <row r="12373" spans="1:3" s="7" customFormat="1" x14ac:dyDescent="0.2">
      <c r="A12373" s="6" t="str">
        <f>"AC018926.3"</f>
        <v>AC018926.3</v>
      </c>
      <c r="B12373" s="6">
        <v>0.44591836734693802</v>
      </c>
      <c r="C12373" s="6">
        <v>0.60241509794994597</v>
      </c>
    </row>
    <row r="12374" spans="1:3" s="7" customFormat="1" x14ac:dyDescent="0.2">
      <c r="A12374" s="6" t="str">
        <f>"CD34"</f>
        <v>CD34</v>
      </c>
      <c r="B12374" s="6">
        <v>0.44655344655344598</v>
      </c>
      <c r="C12374" s="6">
        <v>0.60259117598048595</v>
      </c>
    </row>
    <row r="12375" spans="1:3" s="7" customFormat="1" x14ac:dyDescent="0.2">
      <c r="A12375" s="6" t="str">
        <f>"LINC00345"</f>
        <v>LINC00345</v>
      </c>
      <c r="B12375" s="6">
        <v>0.44655344655344598</v>
      </c>
      <c r="C12375" s="6">
        <v>0.60259117598048595</v>
      </c>
    </row>
    <row r="12376" spans="1:3" s="7" customFormat="1" x14ac:dyDescent="0.2">
      <c r="A12376" s="6" t="str">
        <f>"PCDHB6"</f>
        <v>PCDHB6</v>
      </c>
      <c r="B12376" s="6">
        <v>0.44655344655344598</v>
      </c>
      <c r="C12376" s="6">
        <v>0.60259117598048595</v>
      </c>
    </row>
    <row r="12377" spans="1:3" s="7" customFormat="1" x14ac:dyDescent="0.2">
      <c r="A12377" s="6" t="str">
        <f>"TP53INP1"</f>
        <v>TP53INP1</v>
      </c>
      <c r="B12377" s="6">
        <v>0.44655344655344598</v>
      </c>
      <c r="C12377" s="6">
        <v>0.60259117598048595</v>
      </c>
    </row>
    <row r="12378" spans="1:3" s="7" customFormat="1" x14ac:dyDescent="0.2">
      <c r="A12378" s="6" t="str">
        <f>"FUT10"</f>
        <v>FUT10</v>
      </c>
      <c r="B12378" s="6">
        <v>0.44655344655344598</v>
      </c>
      <c r="C12378" s="6">
        <v>0.60259117598048595</v>
      </c>
    </row>
    <row r="12379" spans="1:3" s="7" customFormat="1" x14ac:dyDescent="0.2">
      <c r="A12379" s="6" t="str">
        <f>"AL035530.2"</f>
        <v>AL035530.2</v>
      </c>
      <c r="B12379" s="6">
        <v>0.44655344655344598</v>
      </c>
      <c r="C12379" s="6">
        <v>0.60259117598048595</v>
      </c>
    </row>
    <row r="12380" spans="1:3" s="7" customFormat="1" x14ac:dyDescent="0.2">
      <c r="A12380" s="6" t="str">
        <f>"XPR1"</f>
        <v>XPR1</v>
      </c>
      <c r="B12380" s="6">
        <v>0.44655344655344598</v>
      </c>
      <c r="C12380" s="6">
        <v>0.60259117598048595</v>
      </c>
    </row>
    <row r="12381" spans="1:3" s="7" customFormat="1" x14ac:dyDescent="0.2">
      <c r="A12381" s="6" t="str">
        <f>"CLEC9A"</f>
        <v>CLEC9A</v>
      </c>
      <c r="B12381" s="6">
        <v>0.44655344655344598</v>
      </c>
      <c r="C12381" s="6">
        <v>0.60259117598048595</v>
      </c>
    </row>
    <row r="12382" spans="1:3" s="7" customFormat="1" x14ac:dyDescent="0.2">
      <c r="A12382" s="6" t="str">
        <f>"CDC42-AS1"</f>
        <v>CDC42-AS1</v>
      </c>
      <c r="B12382" s="6">
        <v>0.44655344655344598</v>
      </c>
      <c r="C12382" s="6">
        <v>0.60259117598048595</v>
      </c>
    </row>
    <row r="12383" spans="1:3" s="7" customFormat="1" x14ac:dyDescent="0.2">
      <c r="A12383" s="6" t="str">
        <f>"SLC2A8"</f>
        <v>SLC2A8</v>
      </c>
      <c r="B12383" s="6">
        <v>0.44655344655344598</v>
      </c>
      <c r="C12383" s="6">
        <v>0.60259117598048595</v>
      </c>
    </row>
    <row r="12384" spans="1:3" s="7" customFormat="1" x14ac:dyDescent="0.2">
      <c r="A12384" s="6" t="str">
        <f>"KIAA0319L"</f>
        <v>KIAA0319L</v>
      </c>
      <c r="B12384" s="6">
        <v>0.44655344655344598</v>
      </c>
      <c r="C12384" s="6">
        <v>0.60259117598048595</v>
      </c>
    </row>
    <row r="12385" spans="1:3" s="7" customFormat="1" x14ac:dyDescent="0.2">
      <c r="A12385" s="6" t="str">
        <f>"AP006222.1"</f>
        <v>AP006222.1</v>
      </c>
      <c r="B12385" s="6">
        <v>0.44655344655344598</v>
      </c>
      <c r="C12385" s="6">
        <v>0.60259117598048595</v>
      </c>
    </row>
    <row r="12386" spans="1:3" s="7" customFormat="1" x14ac:dyDescent="0.2">
      <c r="A12386" s="6" t="str">
        <f>"UNC93B1"</f>
        <v>UNC93B1</v>
      </c>
      <c r="B12386" s="6">
        <v>0.44655344655344598</v>
      </c>
      <c r="C12386" s="6">
        <v>0.60259117598048595</v>
      </c>
    </row>
    <row r="12387" spans="1:3" s="7" customFormat="1" x14ac:dyDescent="0.2">
      <c r="A12387" s="6" t="str">
        <f>"AC020765.6"</f>
        <v>AC020765.6</v>
      </c>
      <c r="B12387" s="6">
        <v>0.44655344655344598</v>
      </c>
      <c r="C12387" s="6">
        <v>0.60259117598048595</v>
      </c>
    </row>
    <row r="12388" spans="1:3" s="7" customFormat="1" x14ac:dyDescent="0.2">
      <c r="A12388" s="6" t="str">
        <f>"LINC01247"</f>
        <v>LINC01247</v>
      </c>
      <c r="B12388" s="6">
        <v>0.446938775510204</v>
      </c>
      <c r="C12388" s="6">
        <v>0.60306246014995901</v>
      </c>
    </row>
    <row r="12389" spans="1:3" s="7" customFormat="1" x14ac:dyDescent="0.2">
      <c r="A12389" s="6" t="str">
        <f>"LRRC55"</f>
        <v>LRRC55</v>
      </c>
      <c r="B12389" s="6">
        <v>0.447552447552447</v>
      </c>
      <c r="C12389" s="6">
        <v>0.60359812865259399</v>
      </c>
    </row>
    <row r="12390" spans="1:3" s="7" customFormat="1" x14ac:dyDescent="0.2">
      <c r="A12390" s="6" t="str">
        <f>"BMS1"</f>
        <v>BMS1</v>
      </c>
      <c r="B12390" s="6">
        <v>0.447552447552447</v>
      </c>
      <c r="C12390" s="6">
        <v>0.60359812865259399</v>
      </c>
    </row>
    <row r="12391" spans="1:3" s="7" customFormat="1" x14ac:dyDescent="0.2">
      <c r="A12391" s="6" t="str">
        <f>"PDZRN3"</f>
        <v>PDZRN3</v>
      </c>
      <c r="B12391" s="6">
        <v>0.447552447552447</v>
      </c>
      <c r="C12391" s="6">
        <v>0.60359812865259399</v>
      </c>
    </row>
    <row r="12392" spans="1:3" s="7" customFormat="1" x14ac:dyDescent="0.2">
      <c r="A12392" s="6" t="str">
        <f>"CD1D"</f>
        <v>CD1D</v>
      </c>
      <c r="B12392" s="6">
        <v>0.447552447552447</v>
      </c>
      <c r="C12392" s="6">
        <v>0.60359812865259399</v>
      </c>
    </row>
    <row r="12393" spans="1:3" s="7" customFormat="1" x14ac:dyDescent="0.2">
      <c r="A12393" s="6" t="str">
        <f>"FAM215B"</f>
        <v>FAM215B</v>
      </c>
      <c r="B12393" s="6">
        <v>0.44744744744744702</v>
      </c>
      <c r="C12393" s="6">
        <v>0.60359812865259399</v>
      </c>
    </row>
    <row r="12394" spans="1:3" s="7" customFormat="1" x14ac:dyDescent="0.2">
      <c r="A12394" s="6" t="str">
        <f>"RPL28"</f>
        <v>RPL28</v>
      </c>
      <c r="B12394" s="6">
        <v>0.447552447552447</v>
      </c>
      <c r="C12394" s="6">
        <v>0.60359812865259399</v>
      </c>
    </row>
    <row r="12395" spans="1:3" s="7" customFormat="1" x14ac:dyDescent="0.2">
      <c r="A12395" s="6" t="str">
        <f>"COL8A1"</f>
        <v>COL8A1</v>
      </c>
      <c r="B12395" s="6">
        <v>0.44800000000000001</v>
      </c>
      <c r="C12395" s="6">
        <v>0.60415297724705497</v>
      </c>
    </row>
    <row r="12396" spans="1:3" s="7" customFormat="1" x14ac:dyDescent="0.2">
      <c r="A12396" s="6" t="str">
        <f>"PDPK1"</f>
        <v>PDPK1</v>
      </c>
      <c r="B12396" s="6">
        <v>0.44855144855144802</v>
      </c>
      <c r="C12396" s="6">
        <v>0.60431153563508799</v>
      </c>
    </row>
    <row r="12397" spans="1:3" s="7" customFormat="1" x14ac:dyDescent="0.2">
      <c r="A12397" s="6" t="str">
        <f>"WDR64"</f>
        <v>WDR64</v>
      </c>
      <c r="B12397" s="6">
        <v>0.44855144855144802</v>
      </c>
      <c r="C12397" s="6">
        <v>0.60431153563508799</v>
      </c>
    </row>
    <row r="12398" spans="1:3" s="7" customFormat="1" x14ac:dyDescent="0.2">
      <c r="A12398" s="6" t="str">
        <f>"TMA7"</f>
        <v>TMA7</v>
      </c>
      <c r="B12398" s="6">
        <v>0.44855144855144802</v>
      </c>
      <c r="C12398" s="6">
        <v>0.60431153563508799</v>
      </c>
    </row>
    <row r="12399" spans="1:3" s="7" customFormat="1" x14ac:dyDescent="0.2">
      <c r="A12399" s="6" t="str">
        <f>"AP002813.1"</f>
        <v>AP002813.1</v>
      </c>
      <c r="B12399" s="6">
        <v>0.44855144855144802</v>
      </c>
      <c r="C12399" s="6">
        <v>0.60431153563508799</v>
      </c>
    </row>
    <row r="12400" spans="1:3" s="7" customFormat="1" x14ac:dyDescent="0.2">
      <c r="A12400" s="6" t="str">
        <f>"RCN1"</f>
        <v>RCN1</v>
      </c>
      <c r="B12400" s="6">
        <v>0.44855144855144802</v>
      </c>
      <c r="C12400" s="6">
        <v>0.60431153563508799</v>
      </c>
    </row>
    <row r="12401" spans="1:3" s="7" customFormat="1" x14ac:dyDescent="0.2">
      <c r="A12401" s="6" t="str">
        <f>"AC090510.1"</f>
        <v>AC090510.1</v>
      </c>
      <c r="B12401" s="6">
        <v>0.44855144855144802</v>
      </c>
      <c r="C12401" s="6">
        <v>0.60431153563508799</v>
      </c>
    </row>
    <row r="12402" spans="1:3" s="7" customFormat="1" x14ac:dyDescent="0.2">
      <c r="A12402" s="6" t="str">
        <f>"AL034430.2"</f>
        <v>AL034430.2</v>
      </c>
      <c r="B12402" s="6">
        <v>0.44855144855144802</v>
      </c>
      <c r="C12402" s="6">
        <v>0.60431153563508799</v>
      </c>
    </row>
    <row r="12403" spans="1:3" s="7" customFormat="1" x14ac:dyDescent="0.2">
      <c r="A12403" s="6" t="str">
        <f>"NSUN3"</f>
        <v>NSUN3</v>
      </c>
      <c r="B12403" s="6">
        <v>0.44855144855144802</v>
      </c>
      <c r="C12403" s="6">
        <v>0.60431153563508799</v>
      </c>
    </row>
    <row r="12404" spans="1:3" s="7" customFormat="1" x14ac:dyDescent="0.2">
      <c r="A12404" s="6" t="str">
        <f>"HEXA"</f>
        <v>HEXA</v>
      </c>
      <c r="B12404" s="6">
        <v>0.44855144855144802</v>
      </c>
      <c r="C12404" s="6">
        <v>0.60431153563508799</v>
      </c>
    </row>
    <row r="12405" spans="1:3" s="7" customFormat="1" x14ac:dyDescent="0.2">
      <c r="A12405" s="6" t="str">
        <f>"NCOA5"</f>
        <v>NCOA5</v>
      </c>
      <c r="B12405" s="6">
        <v>0.44855144855144802</v>
      </c>
      <c r="C12405" s="6">
        <v>0.60431153563508799</v>
      </c>
    </row>
    <row r="12406" spans="1:3" s="7" customFormat="1" x14ac:dyDescent="0.2">
      <c r="A12406" s="6" t="str">
        <f>"AC026458.1"</f>
        <v>AC026458.1</v>
      </c>
      <c r="B12406" s="6">
        <v>0.448448448448448</v>
      </c>
      <c r="C12406" s="6">
        <v>0.60431153563508799</v>
      </c>
    </row>
    <row r="12407" spans="1:3" s="7" customFormat="1" x14ac:dyDescent="0.2">
      <c r="A12407" s="6" t="str">
        <f>"HSPA1B"</f>
        <v>HSPA1B</v>
      </c>
      <c r="B12407" s="6">
        <v>0.44855144855144802</v>
      </c>
      <c r="C12407" s="6">
        <v>0.60431153563508799</v>
      </c>
    </row>
    <row r="12408" spans="1:3" s="7" customFormat="1" x14ac:dyDescent="0.2">
      <c r="A12408" s="6" t="str">
        <f>"AC087752.3"</f>
        <v>AC087752.3</v>
      </c>
      <c r="B12408" s="6">
        <v>0.44900000000000001</v>
      </c>
      <c r="C12408" s="6">
        <v>0.60476960270771196</v>
      </c>
    </row>
    <row r="12409" spans="1:3" s="7" customFormat="1" x14ac:dyDescent="0.2">
      <c r="A12409" s="6" t="str">
        <f>"SLC12A5"</f>
        <v>SLC12A5</v>
      </c>
      <c r="B12409" s="6">
        <v>0.44900000000000001</v>
      </c>
      <c r="C12409" s="6">
        <v>0.60476960270771196</v>
      </c>
    </row>
    <row r="12410" spans="1:3" s="7" customFormat="1" x14ac:dyDescent="0.2">
      <c r="A12410" s="6" t="str">
        <f>"MR1"</f>
        <v>MR1</v>
      </c>
      <c r="B12410" s="6">
        <v>0.44900000000000001</v>
      </c>
      <c r="C12410" s="6">
        <v>0.60476960270771196</v>
      </c>
    </row>
    <row r="12411" spans="1:3" s="7" customFormat="1" x14ac:dyDescent="0.2">
      <c r="A12411" s="6" t="str">
        <f>"BZW1P2"</f>
        <v>BZW1P2</v>
      </c>
      <c r="B12411" s="6">
        <v>0.44955044955044898</v>
      </c>
      <c r="C12411" s="6">
        <v>0.60516963706396598</v>
      </c>
    </row>
    <row r="12412" spans="1:3" s="7" customFormat="1" x14ac:dyDescent="0.2">
      <c r="A12412" s="6" t="str">
        <f>"SLC38A10"</f>
        <v>SLC38A10</v>
      </c>
      <c r="B12412" s="6">
        <v>0.44955044955044898</v>
      </c>
      <c r="C12412" s="6">
        <v>0.60516963706396598</v>
      </c>
    </row>
    <row r="12413" spans="1:3" s="7" customFormat="1" x14ac:dyDescent="0.2">
      <c r="A12413" s="6" t="str">
        <f>"FOXD4"</f>
        <v>FOXD4</v>
      </c>
      <c r="B12413" s="6">
        <v>0.44955044955044898</v>
      </c>
      <c r="C12413" s="6">
        <v>0.60516963706396598</v>
      </c>
    </row>
    <row r="12414" spans="1:3" s="7" customFormat="1" x14ac:dyDescent="0.2">
      <c r="A12414" s="6" t="str">
        <f>"ANKRD20A4P"</f>
        <v>ANKRD20A4P</v>
      </c>
      <c r="B12414" s="6">
        <v>0.44955044955044898</v>
      </c>
      <c r="C12414" s="6">
        <v>0.60516963706396598</v>
      </c>
    </row>
    <row r="12415" spans="1:3" s="7" customFormat="1" x14ac:dyDescent="0.2">
      <c r="A12415" s="6" t="str">
        <f>"AP005264.4"</f>
        <v>AP005264.4</v>
      </c>
      <c r="B12415" s="6">
        <v>0.44955044955044898</v>
      </c>
      <c r="C12415" s="6">
        <v>0.60516963706396598</v>
      </c>
    </row>
    <row r="12416" spans="1:3" s="7" customFormat="1" x14ac:dyDescent="0.2">
      <c r="A12416" s="6" t="str">
        <f>"DIXDC1"</f>
        <v>DIXDC1</v>
      </c>
      <c r="B12416" s="6">
        <v>0.44955044955044898</v>
      </c>
      <c r="C12416" s="6">
        <v>0.60516963706396598</v>
      </c>
    </row>
    <row r="12417" spans="1:3" s="7" customFormat="1" x14ac:dyDescent="0.2">
      <c r="A12417" s="6" t="str">
        <f>"PELP1"</f>
        <v>PELP1</v>
      </c>
      <c r="B12417" s="6">
        <v>0.44955044955044898</v>
      </c>
      <c r="C12417" s="6">
        <v>0.60516963706396598</v>
      </c>
    </row>
    <row r="12418" spans="1:3" s="7" customFormat="1" x14ac:dyDescent="0.2">
      <c r="A12418" s="6" t="str">
        <f>"MGST2"</f>
        <v>MGST2</v>
      </c>
      <c r="B12418" s="6">
        <v>0.45054945054945</v>
      </c>
      <c r="C12418" s="6">
        <v>0.60602635735421795</v>
      </c>
    </row>
    <row r="12419" spans="1:3" s="7" customFormat="1" x14ac:dyDescent="0.2">
      <c r="A12419" s="6" t="str">
        <f>"SNPH"</f>
        <v>SNPH</v>
      </c>
      <c r="B12419" s="6">
        <v>0.45054945054945</v>
      </c>
      <c r="C12419" s="6">
        <v>0.60602635735421795</v>
      </c>
    </row>
    <row r="12420" spans="1:3" s="7" customFormat="1" x14ac:dyDescent="0.2">
      <c r="A12420" s="6" t="str">
        <f>"MAP2K5"</f>
        <v>MAP2K5</v>
      </c>
      <c r="B12420" s="6">
        <v>0.45054945054945</v>
      </c>
      <c r="C12420" s="6">
        <v>0.60602635735421795</v>
      </c>
    </row>
    <row r="12421" spans="1:3" s="7" customFormat="1" x14ac:dyDescent="0.2">
      <c r="A12421" s="6" t="str">
        <f>"COX18"</f>
        <v>COX18</v>
      </c>
      <c r="B12421" s="6">
        <v>0.45054945054945</v>
      </c>
      <c r="C12421" s="6">
        <v>0.60602635735421795</v>
      </c>
    </row>
    <row r="12422" spans="1:3" s="7" customFormat="1" x14ac:dyDescent="0.2">
      <c r="A12422" s="6" t="str">
        <f>"PDIA3"</f>
        <v>PDIA3</v>
      </c>
      <c r="B12422" s="6">
        <v>0.45054945054945</v>
      </c>
      <c r="C12422" s="6">
        <v>0.60602635735421795</v>
      </c>
    </row>
    <row r="12423" spans="1:3" s="7" customFormat="1" x14ac:dyDescent="0.2">
      <c r="A12423" s="6" t="str">
        <f>"DMRT3"</f>
        <v>DMRT3</v>
      </c>
      <c r="B12423" s="6">
        <v>0.45054945054945</v>
      </c>
      <c r="C12423" s="6">
        <v>0.60602635735421795</v>
      </c>
    </row>
    <row r="12424" spans="1:3" s="7" customFormat="1" x14ac:dyDescent="0.2">
      <c r="A12424" s="6" t="str">
        <f>"PDE3A"</f>
        <v>PDE3A</v>
      </c>
      <c r="B12424" s="6">
        <v>0.45054945054945</v>
      </c>
      <c r="C12424" s="6">
        <v>0.60602635735421795</v>
      </c>
    </row>
    <row r="12425" spans="1:3" s="7" customFormat="1" x14ac:dyDescent="0.2">
      <c r="A12425" s="6" t="str">
        <f>"ATP11C"</f>
        <v>ATP11C</v>
      </c>
      <c r="B12425" s="6">
        <v>0.45054945054945</v>
      </c>
      <c r="C12425" s="6">
        <v>0.60602635735421795</v>
      </c>
    </row>
    <row r="12426" spans="1:3" s="7" customFormat="1" x14ac:dyDescent="0.2">
      <c r="A12426" s="6" t="str">
        <f>"AC079331.2"</f>
        <v>AC079331.2</v>
      </c>
      <c r="B12426" s="6">
        <v>0.45054945054945</v>
      </c>
      <c r="C12426" s="6">
        <v>0.60602635735421795</v>
      </c>
    </row>
    <row r="12427" spans="1:3" s="7" customFormat="1" x14ac:dyDescent="0.2">
      <c r="A12427" s="6" t="str">
        <f>"RUSC2"</f>
        <v>RUSC2</v>
      </c>
      <c r="B12427" s="6">
        <v>0.45054945054945</v>
      </c>
      <c r="C12427" s="6">
        <v>0.60602635735421795</v>
      </c>
    </row>
    <row r="12428" spans="1:3" s="7" customFormat="1" x14ac:dyDescent="0.2">
      <c r="A12428" s="6" t="str">
        <f>"AC005076.1"</f>
        <v>AC005076.1</v>
      </c>
      <c r="B12428" s="6">
        <v>0.45100000000000001</v>
      </c>
      <c r="C12428" s="6">
        <v>0.60658356803733804</v>
      </c>
    </row>
    <row r="12429" spans="1:3" s="7" customFormat="1" x14ac:dyDescent="0.2">
      <c r="A12429" s="6" t="str">
        <f>"PRRG4"</f>
        <v>PRRG4</v>
      </c>
      <c r="B12429" s="6">
        <v>0.45154845154845102</v>
      </c>
      <c r="C12429" s="6">
        <v>0.606832903367437</v>
      </c>
    </row>
    <row r="12430" spans="1:3" s="7" customFormat="1" x14ac:dyDescent="0.2">
      <c r="A12430" s="6" t="str">
        <f>"ICAM4"</f>
        <v>ICAM4</v>
      </c>
      <c r="B12430" s="6">
        <v>0.45154845154845102</v>
      </c>
      <c r="C12430" s="6">
        <v>0.606832903367437</v>
      </c>
    </row>
    <row r="12431" spans="1:3" s="7" customFormat="1" x14ac:dyDescent="0.2">
      <c r="A12431" s="6" t="str">
        <f>"IGHV5-51"</f>
        <v>IGHV5-51</v>
      </c>
      <c r="B12431" s="6">
        <v>0.45154845154845102</v>
      </c>
      <c r="C12431" s="6">
        <v>0.606832903367437</v>
      </c>
    </row>
    <row r="12432" spans="1:3" s="7" customFormat="1" x14ac:dyDescent="0.2">
      <c r="A12432" s="6" t="str">
        <f>"ARPC5L"</f>
        <v>ARPC5L</v>
      </c>
      <c r="B12432" s="6">
        <v>0.45154845154845102</v>
      </c>
      <c r="C12432" s="6">
        <v>0.606832903367437</v>
      </c>
    </row>
    <row r="12433" spans="1:3" s="7" customFormat="1" x14ac:dyDescent="0.2">
      <c r="A12433" s="6" t="str">
        <f>"ETFBKMT"</f>
        <v>ETFBKMT</v>
      </c>
      <c r="B12433" s="6">
        <v>0.45154845154845102</v>
      </c>
      <c r="C12433" s="6">
        <v>0.606832903367437</v>
      </c>
    </row>
    <row r="12434" spans="1:3" s="7" customFormat="1" x14ac:dyDescent="0.2">
      <c r="A12434" s="6" t="str">
        <f>"ERVK9-11"</f>
        <v>ERVK9-11</v>
      </c>
      <c r="B12434" s="6">
        <v>0.45154845154845102</v>
      </c>
      <c r="C12434" s="6">
        <v>0.606832903367437</v>
      </c>
    </row>
    <row r="12435" spans="1:3" s="7" customFormat="1" x14ac:dyDescent="0.2">
      <c r="A12435" s="6" t="str">
        <f>"TDRD5"</f>
        <v>TDRD5</v>
      </c>
      <c r="B12435" s="6">
        <v>0.45154845154845102</v>
      </c>
      <c r="C12435" s="6">
        <v>0.606832903367437</v>
      </c>
    </row>
    <row r="12436" spans="1:3" s="7" customFormat="1" x14ac:dyDescent="0.2">
      <c r="A12436" s="6" t="str">
        <f>"TMEM213"</f>
        <v>TMEM213</v>
      </c>
      <c r="B12436" s="6">
        <v>0.45154845154845102</v>
      </c>
      <c r="C12436" s="6">
        <v>0.606832903367437</v>
      </c>
    </row>
    <row r="12437" spans="1:3" s="7" customFormat="1" x14ac:dyDescent="0.2">
      <c r="A12437" s="6" t="str">
        <f>"ANGPTL1"</f>
        <v>ANGPTL1</v>
      </c>
      <c r="B12437" s="6">
        <v>0.45154845154845102</v>
      </c>
      <c r="C12437" s="6">
        <v>0.606832903367437</v>
      </c>
    </row>
    <row r="12438" spans="1:3" s="7" customFormat="1" x14ac:dyDescent="0.2">
      <c r="A12438" s="6" t="str">
        <f>"DPYD"</f>
        <v>DPYD</v>
      </c>
      <c r="B12438" s="6">
        <v>0.45154845154845102</v>
      </c>
      <c r="C12438" s="6">
        <v>0.606832903367437</v>
      </c>
    </row>
    <row r="12439" spans="1:3" s="7" customFormat="1" x14ac:dyDescent="0.2">
      <c r="A12439" s="6" t="str">
        <f>"IGKV4-1"</f>
        <v>IGKV4-1</v>
      </c>
      <c r="B12439" s="6">
        <v>0.45200000000000001</v>
      </c>
      <c r="C12439" s="6">
        <v>0.60724443372719195</v>
      </c>
    </row>
    <row r="12440" spans="1:3" s="7" customFormat="1" x14ac:dyDescent="0.2">
      <c r="A12440" s="6" t="str">
        <f>"COPE"</f>
        <v>COPE</v>
      </c>
      <c r="B12440" s="6">
        <v>0.45200000000000001</v>
      </c>
      <c r="C12440" s="6">
        <v>0.60724443372719195</v>
      </c>
    </row>
    <row r="12441" spans="1:3" s="7" customFormat="1" x14ac:dyDescent="0.2">
      <c r="A12441" s="6" t="str">
        <f>"DCANP1"</f>
        <v>DCANP1</v>
      </c>
      <c r="B12441" s="6">
        <v>0.45200000000000001</v>
      </c>
      <c r="C12441" s="6">
        <v>0.60724443372719195</v>
      </c>
    </row>
    <row r="12442" spans="1:3" s="7" customFormat="1" x14ac:dyDescent="0.2">
      <c r="A12442" s="6" t="str">
        <f>"ODF2"</f>
        <v>ODF2</v>
      </c>
      <c r="B12442" s="6">
        <v>0.45200000000000001</v>
      </c>
      <c r="C12442" s="6">
        <v>0.60724443372719195</v>
      </c>
    </row>
    <row r="12443" spans="1:3" s="7" customFormat="1" x14ac:dyDescent="0.2">
      <c r="A12443" s="6" t="str">
        <f>"KMT2E"</f>
        <v>KMT2E</v>
      </c>
      <c r="B12443" s="6">
        <v>0.45254745254745199</v>
      </c>
      <c r="C12443" s="6">
        <v>0.60744283021828804</v>
      </c>
    </row>
    <row r="12444" spans="1:3" s="7" customFormat="1" x14ac:dyDescent="0.2">
      <c r="A12444" s="6" t="str">
        <f>"SPEG"</f>
        <v>SPEG</v>
      </c>
      <c r="B12444" s="6">
        <v>0.45254745254745199</v>
      </c>
      <c r="C12444" s="6">
        <v>0.60744283021828804</v>
      </c>
    </row>
    <row r="12445" spans="1:3" s="7" customFormat="1" x14ac:dyDescent="0.2">
      <c r="A12445" s="6" t="str">
        <f>"LINC00652"</f>
        <v>LINC00652</v>
      </c>
      <c r="B12445" s="6">
        <v>0.452502553626149</v>
      </c>
      <c r="C12445" s="6">
        <v>0.60744283021828804</v>
      </c>
    </row>
    <row r="12446" spans="1:3" s="7" customFormat="1" x14ac:dyDescent="0.2">
      <c r="A12446" s="6" t="str">
        <f>"ESRP1"</f>
        <v>ESRP1</v>
      </c>
      <c r="B12446" s="6">
        <v>0.45254745254745199</v>
      </c>
      <c r="C12446" s="6">
        <v>0.60744283021828804</v>
      </c>
    </row>
    <row r="12447" spans="1:3" s="7" customFormat="1" x14ac:dyDescent="0.2">
      <c r="A12447" s="6" t="str">
        <f>"CUL4A"</f>
        <v>CUL4A</v>
      </c>
      <c r="B12447" s="6">
        <v>0.45254745254745199</v>
      </c>
      <c r="C12447" s="6">
        <v>0.60744283021828804</v>
      </c>
    </row>
    <row r="12448" spans="1:3" s="7" customFormat="1" x14ac:dyDescent="0.2">
      <c r="A12448" s="6" t="str">
        <f>"MTLN"</f>
        <v>MTLN</v>
      </c>
      <c r="B12448" s="6">
        <v>0.45254745254745199</v>
      </c>
      <c r="C12448" s="6">
        <v>0.60744283021828804</v>
      </c>
    </row>
    <row r="12449" spans="1:3" s="7" customFormat="1" x14ac:dyDescent="0.2">
      <c r="A12449" s="6" t="str">
        <f>"NTF4"</f>
        <v>NTF4</v>
      </c>
      <c r="B12449" s="6">
        <v>0.45254745254745199</v>
      </c>
      <c r="C12449" s="6">
        <v>0.60744283021828804</v>
      </c>
    </row>
    <row r="12450" spans="1:3" s="7" customFormat="1" x14ac:dyDescent="0.2">
      <c r="A12450" s="6" t="str">
        <f>"AL137077.2"</f>
        <v>AL137077.2</v>
      </c>
      <c r="B12450" s="6">
        <v>0.45254745254745199</v>
      </c>
      <c r="C12450" s="6">
        <v>0.60744283021828804</v>
      </c>
    </row>
    <row r="12451" spans="1:3" s="7" customFormat="1" x14ac:dyDescent="0.2">
      <c r="A12451" s="6" t="str">
        <f>"MOB1A"</f>
        <v>MOB1A</v>
      </c>
      <c r="B12451" s="6">
        <v>0.45254745254745199</v>
      </c>
      <c r="C12451" s="6">
        <v>0.60744283021828804</v>
      </c>
    </row>
    <row r="12452" spans="1:3" s="7" customFormat="1" x14ac:dyDescent="0.2">
      <c r="A12452" s="6" t="str">
        <f>"WDR26"</f>
        <v>WDR26</v>
      </c>
      <c r="B12452" s="6">
        <v>0.45254745254745199</v>
      </c>
      <c r="C12452" s="6">
        <v>0.60744283021828804</v>
      </c>
    </row>
    <row r="12453" spans="1:3" s="7" customFormat="1" x14ac:dyDescent="0.2">
      <c r="A12453" s="6" t="str">
        <f>"CBX3"</f>
        <v>CBX3</v>
      </c>
      <c r="B12453" s="6">
        <v>0.45254745254745199</v>
      </c>
      <c r="C12453" s="6">
        <v>0.60744283021828804</v>
      </c>
    </row>
    <row r="12454" spans="1:3" s="7" customFormat="1" x14ac:dyDescent="0.2">
      <c r="A12454" s="6" t="str">
        <f>"AP003419.3"</f>
        <v>AP003419.3</v>
      </c>
      <c r="B12454" s="6">
        <v>0.45300000000000001</v>
      </c>
      <c r="C12454" s="6">
        <v>0.60795262566243702</v>
      </c>
    </row>
    <row r="12455" spans="1:3" s="7" customFormat="1" x14ac:dyDescent="0.2">
      <c r="A12455" s="6" t="str">
        <f>"TSPAN3"</f>
        <v>TSPAN3</v>
      </c>
      <c r="B12455" s="6">
        <v>0.45300000000000001</v>
      </c>
      <c r="C12455" s="6">
        <v>0.60795262566243702</v>
      </c>
    </row>
    <row r="12456" spans="1:3" s="7" customFormat="1" x14ac:dyDescent="0.2">
      <c r="A12456" s="6" t="str">
        <f>"DLG1"</f>
        <v>DLG1</v>
      </c>
      <c r="B12456" s="6">
        <v>0.45354645354645301</v>
      </c>
      <c r="C12456" s="6">
        <v>0.60839289121793105</v>
      </c>
    </row>
    <row r="12457" spans="1:3" s="7" customFormat="1" x14ac:dyDescent="0.2">
      <c r="A12457" s="6" t="str">
        <f>"IGKV1-27"</f>
        <v>IGKV1-27</v>
      </c>
      <c r="B12457" s="6">
        <v>0.45354645354645301</v>
      </c>
      <c r="C12457" s="6">
        <v>0.60839289121793105</v>
      </c>
    </row>
    <row r="12458" spans="1:3" s="7" customFormat="1" x14ac:dyDescent="0.2">
      <c r="A12458" s="6" t="str">
        <f>"PFDN5"</f>
        <v>PFDN5</v>
      </c>
      <c r="B12458" s="6">
        <v>0.45354645354645301</v>
      </c>
      <c r="C12458" s="6">
        <v>0.60839289121793105</v>
      </c>
    </row>
    <row r="12459" spans="1:3" s="7" customFormat="1" x14ac:dyDescent="0.2">
      <c r="A12459" s="6" t="str">
        <f>"ULK2"</f>
        <v>ULK2</v>
      </c>
      <c r="B12459" s="6">
        <v>0.45354645354645301</v>
      </c>
      <c r="C12459" s="6">
        <v>0.60839289121793105</v>
      </c>
    </row>
    <row r="12460" spans="1:3" s="7" customFormat="1" x14ac:dyDescent="0.2">
      <c r="A12460" s="6" t="str">
        <f>"AK7"</f>
        <v>AK7</v>
      </c>
      <c r="B12460" s="6">
        <v>0.45354645354645301</v>
      </c>
      <c r="C12460" s="6">
        <v>0.60839289121793105</v>
      </c>
    </row>
    <row r="12461" spans="1:3" s="7" customFormat="1" x14ac:dyDescent="0.2">
      <c r="A12461" s="6" t="str">
        <f>"SCAI"</f>
        <v>SCAI</v>
      </c>
      <c r="B12461" s="6">
        <v>0.45354645354645301</v>
      </c>
      <c r="C12461" s="6">
        <v>0.60839289121793105</v>
      </c>
    </row>
    <row r="12462" spans="1:3" s="7" customFormat="1" x14ac:dyDescent="0.2">
      <c r="A12462" s="6" t="str">
        <f>"AC068775.1"</f>
        <v>AC068775.1</v>
      </c>
      <c r="B12462" s="6">
        <v>0.45400000000000001</v>
      </c>
      <c r="C12462" s="6">
        <v>0.60890354678221703</v>
      </c>
    </row>
    <row r="12463" spans="1:3" s="7" customFormat="1" x14ac:dyDescent="0.2">
      <c r="A12463" s="6" t="str">
        <f>"TEX14"</f>
        <v>TEX14</v>
      </c>
      <c r="B12463" s="6">
        <v>0.45400000000000001</v>
      </c>
      <c r="C12463" s="6">
        <v>0.60890354678221703</v>
      </c>
    </row>
    <row r="12464" spans="1:3" s="7" customFormat="1" x14ac:dyDescent="0.2">
      <c r="A12464" s="6" t="str">
        <f>"ELK3"</f>
        <v>ELK3</v>
      </c>
      <c r="B12464" s="6">
        <v>0.45454545454545398</v>
      </c>
      <c r="C12464" s="6">
        <v>0.60899981781745305</v>
      </c>
    </row>
    <row r="12465" spans="1:3" s="7" customFormat="1" x14ac:dyDescent="0.2">
      <c r="A12465" s="6" t="str">
        <f>"RB1"</f>
        <v>RB1</v>
      </c>
      <c r="B12465" s="6">
        <v>0.45454545454545398</v>
      </c>
      <c r="C12465" s="6">
        <v>0.60899981781745305</v>
      </c>
    </row>
    <row r="12466" spans="1:3" s="7" customFormat="1" x14ac:dyDescent="0.2">
      <c r="A12466" s="6" t="str">
        <f>"AC011453.1"</f>
        <v>AC011453.1</v>
      </c>
      <c r="B12466" s="6">
        <v>0.45454545454545398</v>
      </c>
      <c r="C12466" s="6">
        <v>0.60899981781745305</v>
      </c>
    </row>
    <row r="12467" spans="1:3" s="7" customFormat="1" x14ac:dyDescent="0.2">
      <c r="A12467" s="6" t="str">
        <f>"AC018521.7"</f>
        <v>AC018521.7</v>
      </c>
      <c r="B12467" s="6">
        <v>0.454363089267803</v>
      </c>
      <c r="C12467" s="6">
        <v>0.60899981781745305</v>
      </c>
    </row>
    <row r="12468" spans="1:3" s="7" customFormat="1" x14ac:dyDescent="0.2">
      <c r="A12468" s="6" t="str">
        <f>"AC139493.2"</f>
        <v>AC139493.2</v>
      </c>
      <c r="B12468" s="6">
        <v>0.45454545454545398</v>
      </c>
      <c r="C12468" s="6">
        <v>0.60899981781745305</v>
      </c>
    </row>
    <row r="12469" spans="1:3" s="7" customFormat="1" x14ac:dyDescent="0.2">
      <c r="A12469" s="6" t="str">
        <f>"AC008750.7"</f>
        <v>AC008750.7</v>
      </c>
      <c r="B12469" s="6">
        <v>0.45454545454545398</v>
      </c>
      <c r="C12469" s="6">
        <v>0.60899981781745305</v>
      </c>
    </row>
    <row r="12470" spans="1:3" s="7" customFormat="1" x14ac:dyDescent="0.2">
      <c r="A12470" s="6" t="str">
        <f>"THNSL2"</f>
        <v>THNSL2</v>
      </c>
      <c r="B12470" s="6">
        <v>0.45454545454545398</v>
      </c>
      <c r="C12470" s="6">
        <v>0.60899981781745305</v>
      </c>
    </row>
    <row r="12471" spans="1:3" s="7" customFormat="1" x14ac:dyDescent="0.2">
      <c r="A12471" s="6" t="str">
        <f>"FOXA3"</f>
        <v>FOXA3</v>
      </c>
      <c r="B12471" s="6">
        <v>0.45454545454545398</v>
      </c>
      <c r="C12471" s="6">
        <v>0.60899981781745305</v>
      </c>
    </row>
    <row r="12472" spans="1:3" s="7" customFormat="1" x14ac:dyDescent="0.2">
      <c r="A12472" s="6" t="str">
        <f>"GOLM2"</f>
        <v>GOLM2</v>
      </c>
      <c r="B12472" s="6">
        <v>0.45454545454545398</v>
      </c>
      <c r="C12472" s="6">
        <v>0.60899981781745305</v>
      </c>
    </row>
    <row r="12473" spans="1:3" s="7" customFormat="1" x14ac:dyDescent="0.2">
      <c r="A12473" s="6" t="str">
        <f>"AL590064.1"</f>
        <v>AL590064.1</v>
      </c>
      <c r="B12473" s="6">
        <v>0.45454545454545398</v>
      </c>
      <c r="C12473" s="6">
        <v>0.60899981781745305</v>
      </c>
    </row>
    <row r="12474" spans="1:3" s="7" customFormat="1" x14ac:dyDescent="0.2">
      <c r="A12474" s="6" t="str">
        <f>"AMD1"</f>
        <v>AMD1</v>
      </c>
      <c r="B12474" s="6">
        <v>0.45454545454545398</v>
      </c>
      <c r="C12474" s="6">
        <v>0.60899981781745305</v>
      </c>
    </row>
    <row r="12475" spans="1:3" s="7" customFormat="1" x14ac:dyDescent="0.2">
      <c r="A12475" s="6" t="str">
        <f>"MYCBP"</f>
        <v>MYCBP</v>
      </c>
      <c r="B12475" s="6">
        <v>0.45454545454545398</v>
      </c>
      <c r="C12475" s="6">
        <v>0.60899981781745305</v>
      </c>
    </row>
    <row r="12476" spans="1:3" s="7" customFormat="1" x14ac:dyDescent="0.2">
      <c r="A12476" s="6" t="str">
        <f>"AC020907.1"</f>
        <v>AC020907.1</v>
      </c>
      <c r="B12476" s="6">
        <v>0.45454545454545398</v>
      </c>
      <c r="C12476" s="6">
        <v>0.60899981781745305</v>
      </c>
    </row>
    <row r="12477" spans="1:3" s="7" customFormat="1" x14ac:dyDescent="0.2">
      <c r="A12477" s="6" t="str">
        <f>"LINC00355"</f>
        <v>LINC00355</v>
      </c>
      <c r="B12477" s="6">
        <v>0.45481927710843301</v>
      </c>
      <c r="C12477" s="6">
        <v>0.60931784206399098</v>
      </c>
    </row>
    <row r="12478" spans="1:3" s="7" customFormat="1" x14ac:dyDescent="0.2">
      <c r="A12478" s="6" t="str">
        <f>"SEC23B"</f>
        <v>SEC23B</v>
      </c>
      <c r="B12478" s="6">
        <v>0.455544455544455</v>
      </c>
      <c r="C12478" s="6">
        <v>0.60984942170364598</v>
      </c>
    </row>
    <row r="12479" spans="1:3" s="7" customFormat="1" x14ac:dyDescent="0.2">
      <c r="A12479" s="6" t="str">
        <f>"PPP1R12A-AS1"</f>
        <v>PPP1R12A-AS1</v>
      </c>
      <c r="B12479" s="6">
        <v>0.455544455544455</v>
      </c>
      <c r="C12479" s="6">
        <v>0.60984942170364598</v>
      </c>
    </row>
    <row r="12480" spans="1:3" s="7" customFormat="1" x14ac:dyDescent="0.2">
      <c r="A12480" s="6" t="str">
        <f>"DUSP4"</f>
        <v>DUSP4</v>
      </c>
      <c r="B12480" s="6">
        <v>0.455544455544455</v>
      </c>
      <c r="C12480" s="6">
        <v>0.60984942170364598</v>
      </c>
    </row>
    <row r="12481" spans="1:3" s="7" customFormat="1" x14ac:dyDescent="0.2">
      <c r="A12481" s="6" t="str">
        <f>"AL139020.1"</f>
        <v>AL139020.1</v>
      </c>
      <c r="B12481" s="6">
        <v>0.455544455544455</v>
      </c>
      <c r="C12481" s="6">
        <v>0.60984942170364598</v>
      </c>
    </row>
    <row r="12482" spans="1:3" s="7" customFormat="1" x14ac:dyDescent="0.2">
      <c r="A12482" s="6" t="str">
        <f>"PCDHGA8"</f>
        <v>PCDHGA8</v>
      </c>
      <c r="B12482" s="6">
        <v>0.455544455544455</v>
      </c>
      <c r="C12482" s="6">
        <v>0.60984942170364598</v>
      </c>
    </row>
    <row r="12483" spans="1:3" s="7" customFormat="1" x14ac:dyDescent="0.2">
      <c r="A12483" s="6" t="str">
        <f>"AC010636.2"</f>
        <v>AC010636.2</v>
      </c>
      <c r="B12483" s="6">
        <v>0.455544455544455</v>
      </c>
      <c r="C12483" s="6">
        <v>0.60984942170364598</v>
      </c>
    </row>
    <row r="12484" spans="1:3" s="7" customFormat="1" x14ac:dyDescent="0.2">
      <c r="A12484" s="6" t="str">
        <f>"TRAF4"</f>
        <v>TRAF4</v>
      </c>
      <c r="B12484" s="6">
        <v>0.455544455544455</v>
      </c>
      <c r="C12484" s="6">
        <v>0.60984942170364598</v>
      </c>
    </row>
    <row r="12485" spans="1:3" s="7" customFormat="1" x14ac:dyDescent="0.2">
      <c r="A12485" s="6" t="str">
        <f>"PIK3C2A"</f>
        <v>PIK3C2A</v>
      </c>
      <c r="B12485" s="6">
        <v>0.455544455544455</v>
      </c>
      <c r="C12485" s="6">
        <v>0.60984942170364598</v>
      </c>
    </row>
    <row r="12486" spans="1:3" s="7" customFormat="1" x14ac:dyDescent="0.2">
      <c r="A12486" s="6" t="str">
        <f>"PCDHB15"</f>
        <v>PCDHB15</v>
      </c>
      <c r="B12486" s="6">
        <v>0.455544455544455</v>
      </c>
      <c r="C12486" s="6">
        <v>0.60984942170364598</v>
      </c>
    </row>
    <row r="12487" spans="1:3" s="7" customFormat="1" x14ac:dyDescent="0.2">
      <c r="A12487" s="6" t="str">
        <f>"INCA1"</f>
        <v>INCA1</v>
      </c>
      <c r="B12487" s="6">
        <v>0.45600000000000002</v>
      </c>
      <c r="C12487" s="6">
        <v>0.61041037962517997</v>
      </c>
    </row>
    <row r="12488" spans="1:3" s="7" customFormat="1" x14ac:dyDescent="0.2">
      <c r="A12488" s="6" t="str">
        <f>"RSBN1"</f>
        <v>RSBN1</v>
      </c>
      <c r="B12488" s="6">
        <v>0.45654345654345602</v>
      </c>
      <c r="C12488" s="6">
        <v>0.61064879422753904</v>
      </c>
    </row>
    <row r="12489" spans="1:3" s="7" customFormat="1" x14ac:dyDescent="0.2">
      <c r="A12489" s="6" t="str">
        <f>"SIAH1"</f>
        <v>SIAH1</v>
      </c>
      <c r="B12489" s="6">
        <v>0.45654345654345602</v>
      </c>
      <c r="C12489" s="6">
        <v>0.61064879422753904</v>
      </c>
    </row>
    <row r="12490" spans="1:3" s="7" customFormat="1" x14ac:dyDescent="0.2">
      <c r="A12490" s="6" t="str">
        <f>"TOR2A"</f>
        <v>TOR2A</v>
      </c>
      <c r="B12490" s="6">
        <v>0.45654345654345602</v>
      </c>
      <c r="C12490" s="6">
        <v>0.61064879422753904</v>
      </c>
    </row>
    <row r="12491" spans="1:3" s="7" customFormat="1" x14ac:dyDescent="0.2">
      <c r="A12491" s="6" t="str">
        <f>"CCDC50"</f>
        <v>CCDC50</v>
      </c>
      <c r="B12491" s="6">
        <v>0.45654345654345602</v>
      </c>
      <c r="C12491" s="6">
        <v>0.61064879422753904</v>
      </c>
    </row>
    <row r="12492" spans="1:3" s="7" customFormat="1" x14ac:dyDescent="0.2">
      <c r="A12492" s="6" t="str">
        <f>"AC018628.1"</f>
        <v>AC018628.1</v>
      </c>
      <c r="B12492" s="6">
        <v>0.45645645645645599</v>
      </c>
      <c r="C12492" s="6">
        <v>0.61064879422753904</v>
      </c>
    </row>
    <row r="12493" spans="1:3" s="7" customFormat="1" x14ac:dyDescent="0.2">
      <c r="A12493" s="6" t="str">
        <f>"MAP3K4-AS1"</f>
        <v>MAP3K4-AS1</v>
      </c>
      <c r="B12493" s="6">
        <v>0.45654345654345602</v>
      </c>
      <c r="C12493" s="6">
        <v>0.61064879422753904</v>
      </c>
    </row>
    <row r="12494" spans="1:3" s="7" customFormat="1" x14ac:dyDescent="0.2">
      <c r="A12494" s="6" t="str">
        <f>"TMEM37"</f>
        <v>TMEM37</v>
      </c>
      <c r="B12494" s="6">
        <v>0.45654345654345602</v>
      </c>
      <c r="C12494" s="6">
        <v>0.61064879422753904</v>
      </c>
    </row>
    <row r="12495" spans="1:3" s="7" customFormat="1" x14ac:dyDescent="0.2">
      <c r="A12495" s="6" t="str">
        <f>"TMEM268"</f>
        <v>TMEM268</v>
      </c>
      <c r="B12495" s="6">
        <v>0.45654345654345602</v>
      </c>
      <c r="C12495" s="6">
        <v>0.61064879422753904</v>
      </c>
    </row>
    <row r="12496" spans="1:3" s="7" customFormat="1" x14ac:dyDescent="0.2">
      <c r="A12496" s="6" t="str">
        <f>"LINC02542"</f>
        <v>LINC02542</v>
      </c>
      <c r="B12496" s="6">
        <v>0.45654345654345602</v>
      </c>
      <c r="C12496" s="6">
        <v>0.61064879422753904</v>
      </c>
    </row>
    <row r="12497" spans="1:3" s="7" customFormat="1" x14ac:dyDescent="0.2">
      <c r="A12497" s="6" t="str">
        <f>"ERICH2"</f>
        <v>ERICH2</v>
      </c>
      <c r="B12497" s="6">
        <v>0.45654345654345602</v>
      </c>
      <c r="C12497" s="6">
        <v>0.61064879422753904</v>
      </c>
    </row>
    <row r="12498" spans="1:3" s="7" customFormat="1" x14ac:dyDescent="0.2">
      <c r="A12498" s="6" t="str">
        <f>"ZNF44"</f>
        <v>ZNF44</v>
      </c>
      <c r="B12498" s="6">
        <v>0.45754245754245698</v>
      </c>
      <c r="C12498" s="6">
        <v>0.61164237665877197</v>
      </c>
    </row>
    <row r="12499" spans="1:3" s="7" customFormat="1" x14ac:dyDescent="0.2">
      <c r="A12499" s="6" t="str">
        <f>"CLEC18A"</f>
        <v>CLEC18A</v>
      </c>
      <c r="B12499" s="6">
        <v>0.45754245754245698</v>
      </c>
      <c r="C12499" s="6">
        <v>0.61164237665877197</v>
      </c>
    </row>
    <row r="12500" spans="1:3" s="7" customFormat="1" x14ac:dyDescent="0.2">
      <c r="A12500" s="6" t="str">
        <f>"LINC01644"</f>
        <v>LINC01644</v>
      </c>
      <c r="B12500" s="6">
        <v>0.45754245754245698</v>
      </c>
      <c r="C12500" s="6">
        <v>0.61164237665877197</v>
      </c>
    </row>
    <row r="12501" spans="1:3" s="7" customFormat="1" x14ac:dyDescent="0.2">
      <c r="A12501" s="6" t="str">
        <f>"DST"</f>
        <v>DST</v>
      </c>
      <c r="B12501" s="6">
        <v>0.45754245754245698</v>
      </c>
      <c r="C12501" s="6">
        <v>0.61164237665877197</v>
      </c>
    </row>
    <row r="12502" spans="1:3" s="7" customFormat="1" x14ac:dyDescent="0.2">
      <c r="A12502" s="6" t="str">
        <f>"MOV10L1"</f>
        <v>MOV10L1</v>
      </c>
      <c r="B12502" s="6">
        <v>0.45754245754245698</v>
      </c>
      <c r="C12502" s="6">
        <v>0.61164237665877197</v>
      </c>
    </row>
    <row r="12503" spans="1:3" s="7" customFormat="1" x14ac:dyDescent="0.2">
      <c r="A12503" s="6" t="str">
        <f>"AC139491.7"</f>
        <v>AC139491.7</v>
      </c>
      <c r="B12503" s="6">
        <v>0.45754245754245698</v>
      </c>
      <c r="C12503" s="6">
        <v>0.61164237665877197</v>
      </c>
    </row>
    <row r="12504" spans="1:3" s="7" customFormat="1" x14ac:dyDescent="0.2">
      <c r="A12504" s="6" t="str">
        <f>"KIT"</f>
        <v>KIT</v>
      </c>
      <c r="B12504" s="6">
        <v>0.45754245754245698</v>
      </c>
      <c r="C12504" s="6">
        <v>0.61164237665877197</v>
      </c>
    </row>
    <row r="12505" spans="1:3" s="7" customFormat="1" x14ac:dyDescent="0.2">
      <c r="A12505" s="6" t="str">
        <f>"SSXP10"</f>
        <v>SSXP10</v>
      </c>
      <c r="B12505" s="6">
        <v>0.45783132530120402</v>
      </c>
      <c r="C12505" s="6">
        <v>0.61197958821851695</v>
      </c>
    </row>
    <row r="12506" spans="1:3" s="7" customFormat="1" x14ac:dyDescent="0.2">
      <c r="A12506" s="6" t="str">
        <f>"SPDYE16"</f>
        <v>SPDYE16</v>
      </c>
      <c r="B12506" s="6">
        <v>0.45800000000000002</v>
      </c>
      <c r="C12506" s="6">
        <v>0.612156097560975</v>
      </c>
    </row>
    <row r="12507" spans="1:3" s="7" customFormat="1" x14ac:dyDescent="0.2">
      <c r="A12507" s="6" t="str">
        <f>"YY1"</f>
        <v>YY1</v>
      </c>
      <c r="B12507" s="6">
        <v>0.458541458541458</v>
      </c>
      <c r="C12507" s="6">
        <v>0.61243902333881495</v>
      </c>
    </row>
    <row r="12508" spans="1:3" s="7" customFormat="1" x14ac:dyDescent="0.2">
      <c r="A12508" s="6" t="str">
        <f>"SLC18A2"</f>
        <v>SLC18A2</v>
      </c>
      <c r="B12508" s="6">
        <v>0.458541458541458</v>
      </c>
      <c r="C12508" s="6">
        <v>0.61243902333881495</v>
      </c>
    </row>
    <row r="12509" spans="1:3" s="7" customFormat="1" x14ac:dyDescent="0.2">
      <c r="A12509" s="6" t="str">
        <f>"VWA5A"</f>
        <v>VWA5A</v>
      </c>
      <c r="B12509" s="6">
        <v>0.458541458541458</v>
      </c>
      <c r="C12509" s="6">
        <v>0.61243902333881495</v>
      </c>
    </row>
    <row r="12510" spans="1:3" s="7" customFormat="1" x14ac:dyDescent="0.2">
      <c r="A12510" s="6" t="str">
        <f>"ADAP2"</f>
        <v>ADAP2</v>
      </c>
      <c r="B12510" s="6">
        <v>0.458541458541458</v>
      </c>
      <c r="C12510" s="6">
        <v>0.61243902333881495</v>
      </c>
    </row>
    <row r="12511" spans="1:3" s="7" customFormat="1" x14ac:dyDescent="0.2">
      <c r="A12511" s="6" t="str">
        <f>"SEC13"</f>
        <v>SEC13</v>
      </c>
      <c r="B12511" s="6">
        <v>0.458541458541458</v>
      </c>
      <c r="C12511" s="6">
        <v>0.61243902333881495</v>
      </c>
    </row>
    <row r="12512" spans="1:3" s="7" customFormat="1" x14ac:dyDescent="0.2">
      <c r="A12512" s="6" t="str">
        <f>"AC019294.2"</f>
        <v>AC019294.2</v>
      </c>
      <c r="B12512" s="6">
        <v>0.458541458541458</v>
      </c>
      <c r="C12512" s="6">
        <v>0.61243902333881495</v>
      </c>
    </row>
    <row r="12513" spans="1:3" s="7" customFormat="1" x14ac:dyDescent="0.2">
      <c r="A12513" s="6" t="str">
        <f>"GNAZ"</f>
        <v>GNAZ</v>
      </c>
      <c r="B12513" s="6">
        <v>0.458541458541458</v>
      </c>
      <c r="C12513" s="6">
        <v>0.61243902333881495</v>
      </c>
    </row>
    <row r="12514" spans="1:3" s="7" customFormat="1" x14ac:dyDescent="0.2">
      <c r="A12514" s="6" t="str">
        <f>"AC140479.4"</f>
        <v>AC140479.4</v>
      </c>
      <c r="B12514" s="6">
        <v>0.458541458541458</v>
      </c>
      <c r="C12514" s="6">
        <v>0.61243902333881495</v>
      </c>
    </row>
    <row r="12515" spans="1:3" s="7" customFormat="1" x14ac:dyDescent="0.2">
      <c r="A12515" s="6" t="str">
        <f>"NUMA1"</f>
        <v>NUMA1</v>
      </c>
      <c r="B12515" s="6">
        <v>0.458541458541458</v>
      </c>
      <c r="C12515" s="6">
        <v>0.61243902333881495</v>
      </c>
    </row>
    <row r="12516" spans="1:3" s="7" customFormat="1" x14ac:dyDescent="0.2">
      <c r="A12516" s="6" t="str">
        <f>"Y"</f>
        <v>Y</v>
      </c>
      <c r="B12516" s="6">
        <v>0.458835341365461</v>
      </c>
      <c r="C12516" s="6">
        <v>0.61278257255951396</v>
      </c>
    </row>
    <row r="12517" spans="1:3" s="7" customFormat="1" x14ac:dyDescent="0.2">
      <c r="A12517" s="6" t="str">
        <f>"LINC02733"</f>
        <v>LINC02733</v>
      </c>
      <c r="B12517" s="6">
        <v>0.45899772209567202</v>
      </c>
      <c r="C12517" s="6">
        <v>0.61295045758285804</v>
      </c>
    </row>
    <row r="12518" spans="1:3" s="7" customFormat="1" x14ac:dyDescent="0.2">
      <c r="A12518" s="6" t="str">
        <f>"SYPL1"</f>
        <v>SYPL1</v>
      </c>
      <c r="B12518" s="6">
        <v>0.45954045954045902</v>
      </c>
      <c r="C12518" s="6">
        <v>0.613185313808018</v>
      </c>
    </row>
    <row r="12519" spans="1:3" s="7" customFormat="1" x14ac:dyDescent="0.2">
      <c r="A12519" s="6" t="str">
        <f>"KDM6A"</f>
        <v>KDM6A</v>
      </c>
      <c r="B12519" s="6">
        <v>0.45954045954045902</v>
      </c>
      <c r="C12519" s="6">
        <v>0.613185313808018</v>
      </c>
    </row>
    <row r="12520" spans="1:3" s="7" customFormat="1" x14ac:dyDescent="0.2">
      <c r="A12520" s="6" t="str">
        <f>"IGHV1-2"</f>
        <v>IGHV1-2</v>
      </c>
      <c r="B12520" s="6">
        <v>0.45954045954045902</v>
      </c>
      <c r="C12520" s="6">
        <v>0.613185313808018</v>
      </c>
    </row>
    <row r="12521" spans="1:3" s="7" customFormat="1" x14ac:dyDescent="0.2">
      <c r="A12521" s="6" t="str">
        <f>"ZNF346"</f>
        <v>ZNF346</v>
      </c>
      <c r="B12521" s="6">
        <v>0.45954045954045902</v>
      </c>
      <c r="C12521" s="6">
        <v>0.613185313808018</v>
      </c>
    </row>
    <row r="12522" spans="1:3" s="7" customFormat="1" x14ac:dyDescent="0.2">
      <c r="A12522" s="6" t="str">
        <f>"UBAC2"</f>
        <v>UBAC2</v>
      </c>
      <c r="B12522" s="6">
        <v>0.45954045954045902</v>
      </c>
      <c r="C12522" s="6">
        <v>0.613185313808018</v>
      </c>
    </row>
    <row r="12523" spans="1:3" s="7" customFormat="1" x14ac:dyDescent="0.2">
      <c r="A12523" s="6" t="str">
        <f>"SPRY3"</f>
        <v>SPRY3</v>
      </c>
      <c r="B12523" s="6">
        <v>0.45954045954045902</v>
      </c>
      <c r="C12523" s="6">
        <v>0.613185313808018</v>
      </c>
    </row>
    <row r="12524" spans="1:3" s="7" customFormat="1" x14ac:dyDescent="0.2">
      <c r="A12524" s="6" t="str">
        <f>"JAGN1"</f>
        <v>JAGN1</v>
      </c>
      <c r="B12524" s="6">
        <v>0.45954045954045902</v>
      </c>
      <c r="C12524" s="6">
        <v>0.613185313808018</v>
      </c>
    </row>
    <row r="12525" spans="1:3" s="7" customFormat="1" x14ac:dyDescent="0.2">
      <c r="A12525" s="6" t="str">
        <f>"CENPS"</f>
        <v>CENPS</v>
      </c>
      <c r="B12525" s="6">
        <v>0.45954045954045902</v>
      </c>
      <c r="C12525" s="6">
        <v>0.613185313808018</v>
      </c>
    </row>
    <row r="12526" spans="1:3" s="7" customFormat="1" x14ac:dyDescent="0.2">
      <c r="A12526" s="6" t="str">
        <f>"COL14A1"</f>
        <v>COL14A1</v>
      </c>
      <c r="B12526" s="6">
        <v>0.45954045954045902</v>
      </c>
      <c r="C12526" s="6">
        <v>0.613185313808018</v>
      </c>
    </row>
    <row r="12527" spans="1:3" s="7" customFormat="1" x14ac:dyDescent="0.2">
      <c r="A12527" s="6" t="str">
        <f>"AC068620.3"</f>
        <v>AC068620.3</v>
      </c>
      <c r="B12527" s="6">
        <v>0.45954045954045902</v>
      </c>
      <c r="C12527" s="6">
        <v>0.613185313808018</v>
      </c>
    </row>
    <row r="12528" spans="1:3" s="7" customFormat="1" x14ac:dyDescent="0.2">
      <c r="A12528" s="6" t="str">
        <f>"FAM223A"</f>
        <v>FAM223A</v>
      </c>
      <c r="B12528" s="6">
        <v>0.459595959595959</v>
      </c>
      <c r="C12528" s="6">
        <v>0.613210414998552</v>
      </c>
    </row>
    <row r="12529" spans="1:3" s="7" customFormat="1" x14ac:dyDescent="0.2">
      <c r="A12529" s="6" t="str">
        <f>"SCAP"</f>
        <v>SCAP</v>
      </c>
      <c r="B12529" s="6">
        <v>0.46053946053945999</v>
      </c>
      <c r="C12529" s="6">
        <v>0.61378331420592802</v>
      </c>
    </row>
    <row r="12530" spans="1:3" s="7" customFormat="1" x14ac:dyDescent="0.2">
      <c r="A12530" s="6" t="str">
        <f>"SYAP1"</f>
        <v>SYAP1</v>
      </c>
      <c r="B12530" s="6">
        <v>0.46053946053945999</v>
      </c>
      <c r="C12530" s="6">
        <v>0.61378331420592802</v>
      </c>
    </row>
    <row r="12531" spans="1:3" s="7" customFormat="1" x14ac:dyDescent="0.2">
      <c r="A12531" s="6" t="str">
        <f>"AL589935.1"</f>
        <v>AL589935.1</v>
      </c>
      <c r="B12531" s="6">
        <v>0.46053946053945999</v>
      </c>
      <c r="C12531" s="6">
        <v>0.61378331420592802</v>
      </c>
    </row>
    <row r="12532" spans="1:3" s="7" customFormat="1" x14ac:dyDescent="0.2">
      <c r="A12532" s="6" t="str">
        <f>"DLG5"</f>
        <v>DLG5</v>
      </c>
      <c r="B12532" s="6">
        <v>0.46053946053945999</v>
      </c>
      <c r="C12532" s="6">
        <v>0.61378331420592802</v>
      </c>
    </row>
    <row r="12533" spans="1:3" s="7" customFormat="1" x14ac:dyDescent="0.2">
      <c r="A12533" s="6" t="str">
        <f>"AC011447.3"</f>
        <v>AC011447.3</v>
      </c>
      <c r="B12533" s="6">
        <v>0.46053946053945999</v>
      </c>
      <c r="C12533" s="6">
        <v>0.61378331420592802</v>
      </c>
    </row>
    <row r="12534" spans="1:3" s="7" customFormat="1" x14ac:dyDescent="0.2">
      <c r="A12534" s="6" t="str">
        <f>"LYNX1"</f>
        <v>LYNX1</v>
      </c>
      <c r="B12534" s="6">
        <v>0.46053946053945999</v>
      </c>
      <c r="C12534" s="6">
        <v>0.61378331420592802</v>
      </c>
    </row>
    <row r="12535" spans="1:3" s="7" customFormat="1" x14ac:dyDescent="0.2">
      <c r="A12535" s="6" t="str">
        <f>"ZFC3H1"</f>
        <v>ZFC3H1</v>
      </c>
      <c r="B12535" s="6">
        <v>0.46053946053945999</v>
      </c>
      <c r="C12535" s="6">
        <v>0.61378331420592802</v>
      </c>
    </row>
    <row r="12536" spans="1:3" s="7" customFormat="1" x14ac:dyDescent="0.2">
      <c r="A12536" s="6" t="str">
        <f>"FAM241A"</f>
        <v>FAM241A</v>
      </c>
      <c r="B12536" s="6">
        <v>0.46053946053945999</v>
      </c>
      <c r="C12536" s="6">
        <v>0.61378331420592802</v>
      </c>
    </row>
    <row r="12537" spans="1:3" s="7" customFormat="1" x14ac:dyDescent="0.2">
      <c r="A12537" s="6" t="str">
        <f>"AC090517.4"</f>
        <v>AC090517.4</v>
      </c>
      <c r="B12537" s="6">
        <v>0.46053946053945999</v>
      </c>
      <c r="C12537" s="6">
        <v>0.61378331420592802</v>
      </c>
    </row>
    <row r="12538" spans="1:3" s="7" customFormat="1" x14ac:dyDescent="0.2">
      <c r="A12538" s="6" t="str">
        <f>"ST7-OT4"</f>
        <v>ST7-OT4</v>
      </c>
      <c r="B12538" s="6">
        <v>0.46053946053945999</v>
      </c>
      <c r="C12538" s="6">
        <v>0.61378331420592802</v>
      </c>
    </row>
    <row r="12539" spans="1:3" s="7" customFormat="1" x14ac:dyDescent="0.2">
      <c r="A12539" s="6" t="str">
        <f>"TRAV1-2"</f>
        <v>TRAV1-2</v>
      </c>
      <c r="B12539" s="6">
        <v>0.46053946053945999</v>
      </c>
      <c r="C12539" s="6">
        <v>0.61378331420592802</v>
      </c>
    </row>
    <row r="12540" spans="1:3" s="7" customFormat="1" x14ac:dyDescent="0.2">
      <c r="A12540" s="6" t="str">
        <f>"AMY1B"</f>
        <v>AMY1B</v>
      </c>
      <c r="B12540" s="6">
        <v>0.46053946053945999</v>
      </c>
      <c r="C12540" s="6">
        <v>0.61378331420592802</v>
      </c>
    </row>
    <row r="12541" spans="1:3" s="7" customFormat="1" x14ac:dyDescent="0.2">
      <c r="A12541" s="6" t="str">
        <f>"HMGA1P8"</f>
        <v>HMGA1P8</v>
      </c>
      <c r="B12541" s="6">
        <v>0.46053946053945999</v>
      </c>
      <c r="C12541" s="6">
        <v>0.61378331420592802</v>
      </c>
    </row>
    <row r="12542" spans="1:3" s="7" customFormat="1" x14ac:dyDescent="0.2">
      <c r="A12542" s="6" t="str">
        <f>"DZIP3"</f>
        <v>DZIP3</v>
      </c>
      <c r="B12542" s="6">
        <v>0.46053946053945999</v>
      </c>
      <c r="C12542" s="6">
        <v>0.61378331420592802</v>
      </c>
    </row>
    <row r="12543" spans="1:3" s="7" customFormat="1" x14ac:dyDescent="0.2">
      <c r="A12543" s="6" t="str">
        <f>"SLCO1A2"</f>
        <v>SLCO1A2</v>
      </c>
      <c r="B12543" s="6">
        <v>0.46100000000000002</v>
      </c>
      <c r="C12543" s="6">
        <v>0.61434811034922598</v>
      </c>
    </row>
    <row r="12544" spans="1:3" s="7" customFormat="1" x14ac:dyDescent="0.2">
      <c r="A12544" s="6" t="str">
        <f>"SEC23A"</f>
        <v>SEC23A</v>
      </c>
      <c r="B12544" s="6">
        <v>0.46153846153846101</v>
      </c>
      <c r="C12544" s="6">
        <v>0.61452671442315299</v>
      </c>
    </row>
    <row r="12545" spans="1:3" s="7" customFormat="1" x14ac:dyDescent="0.2">
      <c r="A12545" s="6" t="str">
        <f>"CALN1"</f>
        <v>CALN1</v>
      </c>
      <c r="B12545" s="6">
        <v>0.46153846153846101</v>
      </c>
      <c r="C12545" s="6">
        <v>0.61452671442315299</v>
      </c>
    </row>
    <row r="12546" spans="1:3" s="7" customFormat="1" x14ac:dyDescent="0.2">
      <c r="A12546" s="6" t="str">
        <f>"C19orf12"</f>
        <v>C19orf12</v>
      </c>
      <c r="B12546" s="6">
        <v>0.46153846153846101</v>
      </c>
      <c r="C12546" s="6">
        <v>0.61452671442315299</v>
      </c>
    </row>
    <row r="12547" spans="1:3" s="7" customFormat="1" x14ac:dyDescent="0.2">
      <c r="A12547" s="6" t="str">
        <f>"SEPTIN14P19"</f>
        <v>SEPTIN14P19</v>
      </c>
      <c r="B12547" s="6">
        <v>0.46153846153846101</v>
      </c>
      <c r="C12547" s="6">
        <v>0.61452671442315299</v>
      </c>
    </row>
    <row r="12548" spans="1:3" s="7" customFormat="1" x14ac:dyDescent="0.2">
      <c r="A12548" s="6" t="str">
        <f>"LINC02446"</f>
        <v>LINC02446</v>
      </c>
      <c r="B12548" s="6">
        <v>0.46153846153846101</v>
      </c>
      <c r="C12548" s="6">
        <v>0.61452671442315299</v>
      </c>
    </row>
    <row r="12549" spans="1:3" s="7" customFormat="1" x14ac:dyDescent="0.2">
      <c r="A12549" s="6" t="str">
        <f>"GBA2"</f>
        <v>GBA2</v>
      </c>
      <c r="B12549" s="6">
        <v>0.46153846153846101</v>
      </c>
      <c r="C12549" s="6">
        <v>0.61452671442315299</v>
      </c>
    </row>
    <row r="12550" spans="1:3" s="7" customFormat="1" x14ac:dyDescent="0.2">
      <c r="A12550" s="6" t="str">
        <f>"ZNF727"</f>
        <v>ZNF727</v>
      </c>
      <c r="B12550" s="6">
        <v>0.46153846153846101</v>
      </c>
      <c r="C12550" s="6">
        <v>0.61452671442315299</v>
      </c>
    </row>
    <row r="12551" spans="1:3" s="7" customFormat="1" x14ac:dyDescent="0.2">
      <c r="A12551" s="6" t="str">
        <f>"PDLIM3"</f>
        <v>PDLIM3</v>
      </c>
      <c r="B12551" s="6">
        <v>0.46153846153846101</v>
      </c>
      <c r="C12551" s="6">
        <v>0.61452671442315299</v>
      </c>
    </row>
    <row r="12552" spans="1:3" s="7" customFormat="1" x14ac:dyDescent="0.2">
      <c r="A12552" s="6" t="str">
        <f>"HES2"</f>
        <v>HES2</v>
      </c>
      <c r="B12552" s="6">
        <v>0.46153846153846101</v>
      </c>
      <c r="C12552" s="6">
        <v>0.61452671442315299</v>
      </c>
    </row>
    <row r="12553" spans="1:3" s="7" customFormat="1" x14ac:dyDescent="0.2">
      <c r="A12553" s="6" t="str">
        <f>"AC025262.1"</f>
        <v>AC025262.1</v>
      </c>
      <c r="B12553" s="6">
        <v>0.46153846153846101</v>
      </c>
      <c r="C12553" s="6">
        <v>0.61452671442315299</v>
      </c>
    </row>
    <row r="12554" spans="1:3" s="7" customFormat="1" x14ac:dyDescent="0.2">
      <c r="A12554" s="6" t="str">
        <f>"NCKIPSD"</f>
        <v>NCKIPSD</v>
      </c>
      <c r="B12554" s="6">
        <v>0.46153846153846101</v>
      </c>
      <c r="C12554" s="6">
        <v>0.61452671442315299</v>
      </c>
    </row>
    <row r="12555" spans="1:3" s="7" customFormat="1" x14ac:dyDescent="0.2">
      <c r="A12555" s="6" t="str">
        <f>"AC091153.3"</f>
        <v>AC091153.3</v>
      </c>
      <c r="B12555" s="6">
        <v>0.462235649546827</v>
      </c>
      <c r="C12555" s="6">
        <v>0.61540597789753604</v>
      </c>
    </row>
    <row r="12556" spans="1:3" s="7" customFormat="1" x14ac:dyDescent="0.2">
      <c r="A12556" s="6" t="str">
        <f>"PPP2R2B"</f>
        <v>PPP2R2B</v>
      </c>
      <c r="B12556" s="6">
        <v>0.46253746253746197</v>
      </c>
      <c r="C12556" s="6">
        <v>0.61541563038140001</v>
      </c>
    </row>
    <row r="12557" spans="1:3" s="7" customFormat="1" x14ac:dyDescent="0.2">
      <c r="A12557" s="6" t="str">
        <f>"SLC6A20"</f>
        <v>SLC6A20</v>
      </c>
      <c r="B12557" s="6">
        <v>0.46253746253746197</v>
      </c>
      <c r="C12557" s="6">
        <v>0.61541563038140001</v>
      </c>
    </row>
    <row r="12558" spans="1:3" s="7" customFormat="1" x14ac:dyDescent="0.2">
      <c r="A12558" s="6" t="str">
        <f>"PGM5P4-AS1"</f>
        <v>PGM5P4-AS1</v>
      </c>
      <c r="B12558" s="6">
        <v>0.46253746253746197</v>
      </c>
      <c r="C12558" s="6">
        <v>0.61541563038140001</v>
      </c>
    </row>
    <row r="12559" spans="1:3" s="7" customFormat="1" x14ac:dyDescent="0.2">
      <c r="A12559" s="6" t="str">
        <f>"GIGYF1"</f>
        <v>GIGYF1</v>
      </c>
      <c r="B12559" s="6">
        <v>0.46253746253746197</v>
      </c>
      <c r="C12559" s="6">
        <v>0.61541563038140001</v>
      </c>
    </row>
    <row r="12560" spans="1:3" s="7" customFormat="1" x14ac:dyDescent="0.2">
      <c r="A12560" s="6" t="str">
        <f>"PPP1R3G"</f>
        <v>PPP1R3G</v>
      </c>
      <c r="B12560" s="6">
        <v>0.46253746253746197</v>
      </c>
      <c r="C12560" s="6">
        <v>0.61541563038140001</v>
      </c>
    </row>
    <row r="12561" spans="1:3" s="7" customFormat="1" x14ac:dyDescent="0.2">
      <c r="A12561" s="6" t="str">
        <f>"GNAQ"</f>
        <v>GNAQ</v>
      </c>
      <c r="B12561" s="6">
        <v>0.46253746253746197</v>
      </c>
      <c r="C12561" s="6">
        <v>0.61541563038140001</v>
      </c>
    </row>
    <row r="12562" spans="1:3" s="7" customFormat="1" x14ac:dyDescent="0.2">
      <c r="A12562" s="6" t="str">
        <f>"FAM74A3"</f>
        <v>FAM74A3</v>
      </c>
      <c r="B12562" s="6">
        <v>0.46253746253746197</v>
      </c>
      <c r="C12562" s="6">
        <v>0.61541563038140001</v>
      </c>
    </row>
    <row r="12563" spans="1:3" s="7" customFormat="1" x14ac:dyDescent="0.2">
      <c r="A12563" s="6" t="str">
        <f>"DDX46"</f>
        <v>DDX46</v>
      </c>
      <c r="B12563" s="6">
        <v>0.46253746253746197</v>
      </c>
      <c r="C12563" s="6">
        <v>0.61541563038140001</v>
      </c>
    </row>
    <row r="12564" spans="1:3" s="7" customFormat="1" x14ac:dyDescent="0.2">
      <c r="A12564" s="6" t="str">
        <f>"AL359513.1"</f>
        <v>AL359513.1</v>
      </c>
      <c r="B12564" s="6">
        <v>0.46316851664984798</v>
      </c>
      <c r="C12564" s="6">
        <v>0.61620620769605705</v>
      </c>
    </row>
    <row r="12565" spans="1:3" s="7" customFormat="1" x14ac:dyDescent="0.2">
      <c r="A12565" s="6" t="str">
        <f>"SCN3B"</f>
        <v>SCN3B</v>
      </c>
      <c r="B12565" s="6">
        <v>0.46346346346346301</v>
      </c>
      <c r="C12565" s="6">
        <v>0.61654850004364503</v>
      </c>
    </row>
    <row r="12566" spans="1:3" s="7" customFormat="1" x14ac:dyDescent="0.2">
      <c r="A12566" s="6" t="str">
        <f>"CERK"</f>
        <v>CERK</v>
      </c>
      <c r="B12566" s="6">
        <v>0.46353646353646299</v>
      </c>
      <c r="C12566" s="6">
        <v>0.61654850004364503</v>
      </c>
    </row>
    <row r="12567" spans="1:3" s="7" customFormat="1" x14ac:dyDescent="0.2">
      <c r="A12567" s="6" t="str">
        <f>"WEE2"</f>
        <v>WEE2</v>
      </c>
      <c r="B12567" s="6">
        <v>0.46353646353646299</v>
      </c>
      <c r="C12567" s="6">
        <v>0.61654850004364503</v>
      </c>
    </row>
    <row r="12568" spans="1:3" s="7" customFormat="1" x14ac:dyDescent="0.2">
      <c r="A12568" s="6" t="str">
        <f>"FBXW8"</f>
        <v>FBXW8</v>
      </c>
      <c r="B12568" s="6">
        <v>0.46453546453546402</v>
      </c>
      <c r="C12568" s="6">
        <v>0.61758238579746605</v>
      </c>
    </row>
    <row r="12569" spans="1:3" s="7" customFormat="1" x14ac:dyDescent="0.2">
      <c r="A12569" s="6" t="str">
        <f>"ERCC1"</f>
        <v>ERCC1</v>
      </c>
      <c r="B12569" s="6">
        <v>0.46453546453546402</v>
      </c>
      <c r="C12569" s="6">
        <v>0.61758238579746605</v>
      </c>
    </row>
    <row r="12570" spans="1:3" s="7" customFormat="1" x14ac:dyDescent="0.2">
      <c r="A12570" s="6" t="str">
        <f>"FAM27B"</f>
        <v>FAM27B</v>
      </c>
      <c r="B12570" s="6">
        <v>0.46453546453546402</v>
      </c>
      <c r="C12570" s="6">
        <v>0.61758238579746605</v>
      </c>
    </row>
    <row r="12571" spans="1:3" s="7" customFormat="1" x14ac:dyDescent="0.2">
      <c r="A12571" s="6" t="str">
        <f>"SPTA1"</f>
        <v>SPTA1</v>
      </c>
      <c r="B12571" s="6">
        <v>0.46453546453546402</v>
      </c>
      <c r="C12571" s="6">
        <v>0.61758238579746605</v>
      </c>
    </row>
    <row r="12572" spans="1:3" s="7" customFormat="1" x14ac:dyDescent="0.2">
      <c r="A12572" s="6" t="str">
        <f>"PMS2P1"</f>
        <v>PMS2P1</v>
      </c>
      <c r="B12572" s="6">
        <v>0.46453546453546402</v>
      </c>
      <c r="C12572" s="6">
        <v>0.61758238579746605</v>
      </c>
    </row>
    <row r="12573" spans="1:3" s="7" customFormat="1" x14ac:dyDescent="0.2">
      <c r="A12573" s="6" t="str">
        <f>"MCCC2"</f>
        <v>MCCC2</v>
      </c>
      <c r="B12573" s="6">
        <v>0.46453546453546402</v>
      </c>
      <c r="C12573" s="6">
        <v>0.61758238579746605</v>
      </c>
    </row>
    <row r="12574" spans="1:3" s="7" customFormat="1" x14ac:dyDescent="0.2">
      <c r="A12574" s="6" t="str">
        <f>"PPIG"</f>
        <v>PPIG</v>
      </c>
      <c r="B12574" s="6">
        <v>0.46553446553446498</v>
      </c>
      <c r="C12574" s="6">
        <v>0.61861528517594599</v>
      </c>
    </row>
    <row r="12575" spans="1:3" s="7" customFormat="1" x14ac:dyDescent="0.2">
      <c r="A12575" s="6" t="str">
        <f>"AL669831.3"</f>
        <v>AL669831.3</v>
      </c>
      <c r="B12575" s="6">
        <v>0.46553446553446498</v>
      </c>
      <c r="C12575" s="6">
        <v>0.61861528517594599</v>
      </c>
    </row>
    <row r="12576" spans="1:3" s="7" customFormat="1" x14ac:dyDescent="0.2">
      <c r="A12576" s="6" t="str">
        <f>"RPS23"</f>
        <v>RPS23</v>
      </c>
      <c r="B12576" s="6">
        <v>0.46553446553446498</v>
      </c>
      <c r="C12576" s="6">
        <v>0.61861528517594599</v>
      </c>
    </row>
    <row r="12577" spans="1:3" s="7" customFormat="1" x14ac:dyDescent="0.2">
      <c r="A12577" s="6" t="str">
        <f>"PCDHB14"</f>
        <v>PCDHB14</v>
      </c>
      <c r="B12577" s="6">
        <v>0.46553446553446498</v>
      </c>
      <c r="C12577" s="6">
        <v>0.61861528517594599</v>
      </c>
    </row>
    <row r="12578" spans="1:3" s="7" customFormat="1" x14ac:dyDescent="0.2">
      <c r="A12578" s="6" t="str">
        <f>"PITRM1"</f>
        <v>PITRM1</v>
      </c>
      <c r="B12578" s="6">
        <v>0.46553446553446498</v>
      </c>
      <c r="C12578" s="6">
        <v>0.61861528517594599</v>
      </c>
    </row>
    <row r="12579" spans="1:3" s="7" customFormat="1" x14ac:dyDescent="0.2">
      <c r="A12579" s="6" t="str">
        <f>"BX470102.1"</f>
        <v>BX470102.1</v>
      </c>
      <c r="B12579" s="6">
        <v>0.46546546546546502</v>
      </c>
      <c r="C12579" s="6">
        <v>0.61861528517594599</v>
      </c>
    </row>
    <row r="12580" spans="1:3" s="7" customFormat="1" x14ac:dyDescent="0.2">
      <c r="A12580" s="6" t="str">
        <f>"POLR3A"</f>
        <v>POLR3A</v>
      </c>
      <c r="B12580" s="6">
        <v>0.466533466533466</v>
      </c>
      <c r="C12580" s="6">
        <v>0.61949951216654897</v>
      </c>
    </row>
    <row r="12581" spans="1:3" s="7" customFormat="1" x14ac:dyDescent="0.2">
      <c r="A12581" s="6" t="str">
        <f>"SNRPCP9"</f>
        <v>SNRPCP9</v>
      </c>
      <c r="B12581" s="6">
        <v>0.466533466533466</v>
      </c>
      <c r="C12581" s="6">
        <v>0.61949951216654897</v>
      </c>
    </row>
    <row r="12582" spans="1:3" s="7" customFormat="1" x14ac:dyDescent="0.2">
      <c r="A12582" s="6" t="str">
        <f>"EWSAT1"</f>
        <v>EWSAT1</v>
      </c>
      <c r="B12582" s="6">
        <v>0.466533466533466</v>
      </c>
      <c r="C12582" s="6">
        <v>0.61949951216654897</v>
      </c>
    </row>
    <row r="12583" spans="1:3" s="7" customFormat="1" x14ac:dyDescent="0.2">
      <c r="A12583" s="6" t="str">
        <f>"PENK"</f>
        <v>PENK</v>
      </c>
      <c r="B12583" s="6">
        <v>0.466533466533466</v>
      </c>
      <c r="C12583" s="6">
        <v>0.61949951216654897</v>
      </c>
    </row>
    <row r="12584" spans="1:3" s="7" customFormat="1" x14ac:dyDescent="0.2">
      <c r="A12584" s="6" t="str">
        <f>"PLA2G4D"</f>
        <v>PLA2G4D</v>
      </c>
      <c r="B12584" s="6">
        <v>0.466533466533466</v>
      </c>
      <c r="C12584" s="6">
        <v>0.61949951216654897</v>
      </c>
    </row>
    <row r="12585" spans="1:3" s="7" customFormat="1" x14ac:dyDescent="0.2">
      <c r="A12585" s="6" t="str">
        <f>"ITGAE"</f>
        <v>ITGAE</v>
      </c>
      <c r="B12585" s="6">
        <v>0.466533466533466</v>
      </c>
      <c r="C12585" s="6">
        <v>0.61949951216654897</v>
      </c>
    </row>
    <row r="12586" spans="1:3" s="7" customFormat="1" x14ac:dyDescent="0.2">
      <c r="A12586" s="6" t="str">
        <f>"TCN2"</f>
        <v>TCN2</v>
      </c>
      <c r="B12586" s="6">
        <v>0.466533466533466</v>
      </c>
      <c r="C12586" s="6">
        <v>0.61949951216654897</v>
      </c>
    </row>
    <row r="12587" spans="1:3" s="7" customFormat="1" x14ac:dyDescent="0.2">
      <c r="A12587" s="6" t="str">
        <f>"SMIM10L2B-AS1"</f>
        <v>SMIM10L2B-AS1</v>
      </c>
      <c r="B12587" s="6">
        <v>0.466533466533466</v>
      </c>
      <c r="C12587" s="6">
        <v>0.61949951216654897</v>
      </c>
    </row>
    <row r="12588" spans="1:3" s="7" customFormat="1" x14ac:dyDescent="0.2">
      <c r="A12588" s="6" t="str">
        <f>"MTMR6"</f>
        <v>MTMR6</v>
      </c>
      <c r="B12588" s="6">
        <v>0.466533466533466</v>
      </c>
      <c r="C12588" s="6">
        <v>0.61949951216654897</v>
      </c>
    </row>
    <row r="12589" spans="1:3" s="7" customFormat="1" x14ac:dyDescent="0.2">
      <c r="A12589" s="6" t="str">
        <f>"AC091214.1"</f>
        <v>AC091214.1</v>
      </c>
      <c r="B12589" s="6">
        <v>0.46733668341708501</v>
      </c>
      <c r="C12589" s="6">
        <v>0.62051678794353005</v>
      </c>
    </row>
    <row r="12590" spans="1:3" s="7" customFormat="1" x14ac:dyDescent="0.2">
      <c r="A12590" s="6" t="str">
        <f>"PDE8A"</f>
        <v>PDE8A</v>
      </c>
      <c r="B12590" s="6">
        <v>0.46753246753246702</v>
      </c>
      <c r="C12590" s="6">
        <v>0.62062883506771904</v>
      </c>
    </row>
    <row r="12591" spans="1:3" s="7" customFormat="1" x14ac:dyDescent="0.2">
      <c r="A12591" s="6" t="str">
        <f>"MICALL2"</f>
        <v>MICALL2</v>
      </c>
      <c r="B12591" s="6">
        <v>0.46753246753246702</v>
      </c>
      <c r="C12591" s="6">
        <v>0.62062883506771904</v>
      </c>
    </row>
    <row r="12592" spans="1:3" s="7" customFormat="1" x14ac:dyDescent="0.2">
      <c r="A12592" s="6" t="str">
        <f>"AMIGO1"</f>
        <v>AMIGO1</v>
      </c>
      <c r="B12592" s="6">
        <v>0.46753246753246702</v>
      </c>
      <c r="C12592" s="6">
        <v>0.62062883506771904</v>
      </c>
    </row>
    <row r="12593" spans="1:3" s="7" customFormat="1" x14ac:dyDescent="0.2">
      <c r="A12593" s="6" t="str">
        <f>"ERCC3"</f>
        <v>ERCC3</v>
      </c>
      <c r="B12593" s="6">
        <v>0.46853146853146799</v>
      </c>
      <c r="C12593" s="6">
        <v>0.62175744065382799</v>
      </c>
    </row>
    <row r="12594" spans="1:3" s="7" customFormat="1" x14ac:dyDescent="0.2">
      <c r="A12594" s="6" t="str">
        <f>"ZNF546"</f>
        <v>ZNF546</v>
      </c>
      <c r="B12594" s="6">
        <v>0.46853146853146799</v>
      </c>
      <c r="C12594" s="6">
        <v>0.62175744065382799</v>
      </c>
    </row>
    <row r="12595" spans="1:3" s="7" customFormat="1" x14ac:dyDescent="0.2">
      <c r="A12595" s="6" t="str">
        <f>"KCNMB1"</f>
        <v>KCNMB1</v>
      </c>
      <c r="B12595" s="6">
        <v>0.46853146853146799</v>
      </c>
      <c r="C12595" s="6">
        <v>0.62175744065382799</v>
      </c>
    </row>
    <row r="12596" spans="1:3" s="7" customFormat="1" x14ac:dyDescent="0.2">
      <c r="A12596" s="6" t="str">
        <f>"AC008543.1"</f>
        <v>AC008543.1</v>
      </c>
      <c r="B12596" s="6">
        <v>0.46853146853146799</v>
      </c>
      <c r="C12596" s="6">
        <v>0.62175744065382799</v>
      </c>
    </row>
    <row r="12597" spans="1:3" s="7" customFormat="1" x14ac:dyDescent="0.2">
      <c r="A12597" s="6" t="str">
        <f>"AL137009.1"</f>
        <v>AL137009.1</v>
      </c>
      <c r="B12597" s="6">
        <v>0.468972533062054</v>
      </c>
      <c r="C12597" s="6">
        <v>0.62229334055249097</v>
      </c>
    </row>
    <row r="12598" spans="1:3" s="7" customFormat="1" x14ac:dyDescent="0.2">
      <c r="A12598" s="6" t="str">
        <f>"TDP2"</f>
        <v>TDP2</v>
      </c>
      <c r="B12598" s="6">
        <v>0.46953046953046901</v>
      </c>
      <c r="C12598" s="6">
        <v>0.62249006644977101</v>
      </c>
    </row>
    <row r="12599" spans="1:3" s="7" customFormat="1" x14ac:dyDescent="0.2">
      <c r="A12599" s="6" t="str">
        <f>"TSPOAP1-AS1"</f>
        <v>TSPOAP1-AS1</v>
      </c>
      <c r="B12599" s="6">
        <v>0.46953046953046901</v>
      </c>
      <c r="C12599" s="6">
        <v>0.62249006644977101</v>
      </c>
    </row>
    <row r="12600" spans="1:3" s="7" customFormat="1" x14ac:dyDescent="0.2">
      <c r="A12600" s="6" t="str">
        <f>"YTHDF3-AS1"</f>
        <v>YTHDF3-AS1</v>
      </c>
      <c r="B12600" s="6">
        <v>0.46953046953046901</v>
      </c>
      <c r="C12600" s="6">
        <v>0.62249006644977101</v>
      </c>
    </row>
    <row r="12601" spans="1:3" s="7" customFormat="1" x14ac:dyDescent="0.2">
      <c r="A12601" s="6" t="str">
        <f>"ZNF354C"</f>
        <v>ZNF354C</v>
      </c>
      <c r="B12601" s="6">
        <v>0.46953046953046901</v>
      </c>
      <c r="C12601" s="6">
        <v>0.62249006644977101</v>
      </c>
    </row>
    <row r="12602" spans="1:3" s="7" customFormat="1" x14ac:dyDescent="0.2">
      <c r="A12602" s="6" t="str">
        <f>"KIF18A"</f>
        <v>KIF18A</v>
      </c>
      <c r="B12602" s="6">
        <v>0.46953046953046901</v>
      </c>
      <c r="C12602" s="6">
        <v>0.62249006644977101</v>
      </c>
    </row>
    <row r="12603" spans="1:3" s="7" customFormat="1" x14ac:dyDescent="0.2">
      <c r="A12603" s="6" t="str">
        <f>"TLR3"</f>
        <v>TLR3</v>
      </c>
      <c r="B12603" s="6">
        <v>0.46953046953046901</v>
      </c>
      <c r="C12603" s="6">
        <v>0.62249006644977101</v>
      </c>
    </row>
    <row r="12604" spans="1:3" s="7" customFormat="1" x14ac:dyDescent="0.2">
      <c r="A12604" s="6" t="str">
        <f>"OSGIN2"</f>
        <v>OSGIN2</v>
      </c>
      <c r="B12604" s="6">
        <v>0.46953046953046901</v>
      </c>
      <c r="C12604" s="6">
        <v>0.62249006644977101</v>
      </c>
    </row>
    <row r="12605" spans="1:3" s="7" customFormat="1" x14ac:dyDescent="0.2">
      <c r="A12605" s="6" t="str">
        <f>"ZNF678"</f>
        <v>ZNF678</v>
      </c>
      <c r="B12605" s="6">
        <v>0.46953046953046901</v>
      </c>
      <c r="C12605" s="6">
        <v>0.62249006644977101</v>
      </c>
    </row>
    <row r="12606" spans="1:3" s="7" customFormat="1" x14ac:dyDescent="0.2">
      <c r="A12606" s="6" t="str">
        <f>"SLC25A34"</f>
        <v>SLC25A34</v>
      </c>
      <c r="B12606" s="6">
        <v>0.46953046953046901</v>
      </c>
      <c r="C12606" s="6">
        <v>0.62249006644977101</v>
      </c>
    </row>
    <row r="12607" spans="1:3" s="7" customFormat="1" x14ac:dyDescent="0.2">
      <c r="A12607" s="6" t="str">
        <f>"RFX5"</f>
        <v>RFX5</v>
      </c>
      <c r="B12607" s="6">
        <v>0.46953046953046901</v>
      </c>
      <c r="C12607" s="6">
        <v>0.62249006644977101</v>
      </c>
    </row>
    <row r="12608" spans="1:3" s="7" customFormat="1" x14ac:dyDescent="0.2">
      <c r="A12608" s="6" t="str">
        <f>"NT5M"</f>
        <v>NT5M</v>
      </c>
      <c r="B12608" s="6">
        <v>0.46953046953046901</v>
      </c>
      <c r="C12608" s="6">
        <v>0.62249006644977101</v>
      </c>
    </row>
    <row r="12609" spans="1:3" s="7" customFormat="1" x14ac:dyDescent="0.2">
      <c r="A12609" s="6" t="str">
        <f>"ATP5F1E"</f>
        <v>ATP5F1E</v>
      </c>
      <c r="B12609" s="6">
        <v>0.47052947052946997</v>
      </c>
      <c r="C12609" s="6">
        <v>0.62322129886913102</v>
      </c>
    </row>
    <row r="12610" spans="1:3" s="7" customFormat="1" x14ac:dyDescent="0.2">
      <c r="A12610" s="6" t="str">
        <f>"AC010501.2"</f>
        <v>AC010501.2</v>
      </c>
      <c r="B12610" s="6">
        <v>0.47052947052946997</v>
      </c>
      <c r="C12610" s="6">
        <v>0.62322129886913102</v>
      </c>
    </row>
    <row r="12611" spans="1:3" s="7" customFormat="1" x14ac:dyDescent="0.2">
      <c r="A12611" s="6" t="str">
        <f>"AC092135.3"</f>
        <v>AC092135.3</v>
      </c>
      <c r="B12611" s="6">
        <v>0.47052947052946997</v>
      </c>
      <c r="C12611" s="6">
        <v>0.62322129886913102</v>
      </c>
    </row>
    <row r="12612" spans="1:3" s="7" customFormat="1" x14ac:dyDescent="0.2">
      <c r="A12612" s="6" t="str">
        <f>"SRXN1"</f>
        <v>SRXN1</v>
      </c>
      <c r="B12612" s="6">
        <v>0.47052947052946997</v>
      </c>
      <c r="C12612" s="6">
        <v>0.62322129886913102</v>
      </c>
    </row>
    <row r="12613" spans="1:3" s="7" customFormat="1" x14ac:dyDescent="0.2">
      <c r="A12613" s="6" t="str">
        <f>"ZKSCAN5"</f>
        <v>ZKSCAN5</v>
      </c>
      <c r="B12613" s="6">
        <v>0.47052947052946997</v>
      </c>
      <c r="C12613" s="6">
        <v>0.62322129886913102</v>
      </c>
    </row>
    <row r="12614" spans="1:3" s="7" customFormat="1" x14ac:dyDescent="0.2">
      <c r="A12614" s="6" t="str">
        <f>"ZCWPW1"</f>
        <v>ZCWPW1</v>
      </c>
      <c r="B12614" s="6">
        <v>0.47052947052946997</v>
      </c>
      <c r="C12614" s="6">
        <v>0.62322129886913102</v>
      </c>
    </row>
    <row r="12615" spans="1:3" s="7" customFormat="1" x14ac:dyDescent="0.2">
      <c r="A12615" s="6" t="str">
        <f>"RTCB"</f>
        <v>RTCB</v>
      </c>
      <c r="B12615" s="6">
        <v>0.47052947052946997</v>
      </c>
      <c r="C12615" s="6">
        <v>0.62322129886913102</v>
      </c>
    </row>
    <row r="12616" spans="1:3" s="7" customFormat="1" x14ac:dyDescent="0.2">
      <c r="A12616" s="6" t="str">
        <f>"RCE1"</f>
        <v>RCE1</v>
      </c>
      <c r="B12616" s="6">
        <v>0.47052947052946997</v>
      </c>
      <c r="C12616" s="6">
        <v>0.62322129886913102</v>
      </c>
    </row>
    <row r="12617" spans="1:3" s="7" customFormat="1" x14ac:dyDescent="0.2">
      <c r="A12617" s="6" t="str">
        <f>"ITGA2B"</f>
        <v>ITGA2B</v>
      </c>
      <c r="B12617" s="6">
        <v>0.47052947052946997</v>
      </c>
      <c r="C12617" s="6">
        <v>0.62322129886913102</v>
      </c>
    </row>
    <row r="12618" spans="1:3" s="7" customFormat="1" x14ac:dyDescent="0.2">
      <c r="A12618" s="6" t="str">
        <f>"MRPL20-AS1"</f>
        <v>MRPL20-AS1</v>
      </c>
      <c r="B12618" s="6">
        <v>0.47052947052946997</v>
      </c>
      <c r="C12618" s="6">
        <v>0.62322129886913102</v>
      </c>
    </row>
    <row r="12619" spans="1:3" s="7" customFormat="1" x14ac:dyDescent="0.2">
      <c r="A12619" s="6" t="str">
        <f>"RBM20"</f>
        <v>RBM20</v>
      </c>
      <c r="B12619" s="6">
        <v>0.47052947052946997</v>
      </c>
      <c r="C12619" s="6">
        <v>0.62322129886913102</v>
      </c>
    </row>
    <row r="12620" spans="1:3" s="7" customFormat="1" x14ac:dyDescent="0.2">
      <c r="A12620" s="6" t="str">
        <f>"GPR55"</f>
        <v>GPR55</v>
      </c>
      <c r="B12620" s="6">
        <v>0.47052947052946997</v>
      </c>
      <c r="C12620" s="6">
        <v>0.62322129886913102</v>
      </c>
    </row>
    <row r="12621" spans="1:3" s="7" customFormat="1" x14ac:dyDescent="0.2">
      <c r="A12621" s="6" t="str">
        <f>"RLN2"</f>
        <v>RLN2</v>
      </c>
      <c r="B12621" s="6">
        <v>0.47099999999999997</v>
      </c>
      <c r="C12621" s="6">
        <v>0.62379508716323295</v>
      </c>
    </row>
    <row r="12622" spans="1:3" s="7" customFormat="1" x14ac:dyDescent="0.2">
      <c r="A12622" s="6" t="str">
        <f>"STK19B"</f>
        <v>STK19B</v>
      </c>
      <c r="B12622" s="6">
        <v>0.47133757961783401</v>
      </c>
      <c r="C12622" s="6">
        <v>0.62404995432155097</v>
      </c>
    </row>
    <row r="12623" spans="1:3" s="7" customFormat="1" x14ac:dyDescent="0.2">
      <c r="A12623" s="6" t="str">
        <f>"KDM1A"</f>
        <v>KDM1A</v>
      </c>
      <c r="B12623" s="6">
        <v>0.47152847152847099</v>
      </c>
      <c r="C12623" s="6">
        <v>0.62404995432155097</v>
      </c>
    </row>
    <row r="12624" spans="1:3" s="7" customFormat="1" x14ac:dyDescent="0.2">
      <c r="A12624" s="6" t="str">
        <f>"PYCR2"</f>
        <v>PYCR2</v>
      </c>
      <c r="B12624" s="6">
        <v>0.47152847152847099</v>
      </c>
      <c r="C12624" s="6">
        <v>0.62404995432155097</v>
      </c>
    </row>
    <row r="12625" spans="1:3" s="7" customFormat="1" x14ac:dyDescent="0.2">
      <c r="A12625" s="6" t="str">
        <f>"AC105052.1"</f>
        <v>AC105052.1</v>
      </c>
      <c r="B12625" s="6">
        <v>0.47152847152847099</v>
      </c>
      <c r="C12625" s="6">
        <v>0.62404995432155097</v>
      </c>
    </row>
    <row r="12626" spans="1:3" s="7" customFormat="1" x14ac:dyDescent="0.2">
      <c r="A12626" s="6" t="str">
        <f>"CSNK1G3"</f>
        <v>CSNK1G3</v>
      </c>
      <c r="B12626" s="6">
        <v>0.47152847152847099</v>
      </c>
      <c r="C12626" s="6">
        <v>0.62404995432155097</v>
      </c>
    </row>
    <row r="12627" spans="1:3" s="7" customFormat="1" x14ac:dyDescent="0.2">
      <c r="A12627" s="6" t="str">
        <f>"PLA2G4B"</f>
        <v>PLA2G4B</v>
      </c>
      <c r="B12627" s="6">
        <v>0.47152847152847099</v>
      </c>
      <c r="C12627" s="6">
        <v>0.62404995432155097</v>
      </c>
    </row>
    <row r="12628" spans="1:3" s="7" customFormat="1" x14ac:dyDescent="0.2">
      <c r="A12628" s="6" t="str">
        <f>"GUSBP4"</f>
        <v>GUSBP4</v>
      </c>
      <c r="B12628" s="6">
        <v>0.47152847152847099</v>
      </c>
      <c r="C12628" s="6">
        <v>0.62404995432155097</v>
      </c>
    </row>
    <row r="12629" spans="1:3" s="7" customFormat="1" x14ac:dyDescent="0.2">
      <c r="A12629" s="6" t="str">
        <f>"DOHH"</f>
        <v>DOHH</v>
      </c>
      <c r="B12629" s="6">
        <v>0.47152847152847099</v>
      </c>
      <c r="C12629" s="6">
        <v>0.62404995432155097</v>
      </c>
    </row>
    <row r="12630" spans="1:3" s="7" customFormat="1" x14ac:dyDescent="0.2">
      <c r="A12630" s="6" t="str">
        <f>"ABHD13"</f>
        <v>ABHD13</v>
      </c>
      <c r="B12630" s="6">
        <v>0.47152847152847099</v>
      </c>
      <c r="C12630" s="6">
        <v>0.62404995432155097</v>
      </c>
    </row>
    <row r="12631" spans="1:3" s="7" customFormat="1" x14ac:dyDescent="0.2">
      <c r="A12631" s="6" t="str">
        <f>"MTRF1L"</f>
        <v>MTRF1L</v>
      </c>
      <c r="B12631" s="6">
        <v>0.47252747252747201</v>
      </c>
      <c r="C12631" s="6">
        <v>0.62502565494018403</v>
      </c>
    </row>
    <row r="12632" spans="1:3" s="7" customFormat="1" x14ac:dyDescent="0.2">
      <c r="A12632" s="6" t="str">
        <f>"IGHV4-59"</f>
        <v>IGHV4-59</v>
      </c>
      <c r="B12632" s="6">
        <v>0.47252747252747201</v>
      </c>
      <c r="C12632" s="6">
        <v>0.62502565494018403</v>
      </c>
    </row>
    <row r="12633" spans="1:3" s="7" customFormat="1" x14ac:dyDescent="0.2">
      <c r="A12633" s="6" t="str">
        <f>"NKAIN3"</f>
        <v>NKAIN3</v>
      </c>
      <c r="B12633" s="6">
        <v>0.47252747252747201</v>
      </c>
      <c r="C12633" s="6">
        <v>0.62502565494018403</v>
      </c>
    </row>
    <row r="12634" spans="1:3" s="7" customFormat="1" x14ac:dyDescent="0.2">
      <c r="A12634" s="6" t="str">
        <f>"ABL1"</f>
        <v>ABL1</v>
      </c>
      <c r="B12634" s="6">
        <v>0.47252747252747201</v>
      </c>
      <c r="C12634" s="6">
        <v>0.62502565494018403</v>
      </c>
    </row>
    <row r="12635" spans="1:3" s="7" customFormat="1" x14ac:dyDescent="0.2">
      <c r="A12635" s="6" t="str">
        <f>"ARHGEF3"</f>
        <v>ARHGEF3</v>
      </c>
      <c r="B12635" s="6">
        <v>0.47252747252747201</v>
      </c>
      <c r="C12635" s="6">
        <v>0.62502565494018403</v>
      </c>
    </row>
    <row r="12636" spans="1:3" s="7" customFormat="1" x14ac:dyDescent="0.2">
      <c r="A12636" s="6" t="str">
        <f>"SPTBN4"</f>
        <v>SPTBN4</v>
      </c>
      <c r="B12636" s="6">
        <v>0.47252747252747201</v>
      </c>
      <c r="C12636" s="6">
        <v>0.62502565494018403</v>
      </c>
    </row>
    <row r="12637" spans="1:3" s="7" customFormat="1" x14ac:dyDescent="0.2">
      <c r="A12637" s="6" t="str">
        <f>"HYDIN2"</f>
        <v>HYDIN2</v>
      </c>
      <c r="B12637" s="6">
        <v>0.47252747252747201</v>
      </c>
      <c r="C12637" s="6">
        <v>0.62502565494018403</v>
      </c>
    </row>
    <row r="12638" spans="1:3" s="7" customFormat="1" x14ac:dyDescent="0.2">
      <c r="A12638" s="6" t="str">
        <f>"ATP5ME"</f>
        <v>ATP5ME</v>
      </c>
      <c r="B12638" s="6">
        <v>0.47352647352647298</v>
      </c>
      <c r="C12638" s="6">
        <v>0.62545609914030897</v>
      </c>
    </row>
    <row r="12639" spans="1:3" s="7" customFormat="1" x14ac:dyDescent="0.2">
      <c r="A12639" s="6" t="str">
        <f>"TSEN2"</f>
        <v>TSEN2</v>
      </c>
      <c r="B12639" s="6">
        <v>0.47352647352647298</v>
      </c>
      <c r="C12639" s="6">
        <v>0.62545609914030897</v>
      </c>
    </row>
    <row r="12640" spans="1:3" s="7" customFormat="1" x14ac:dyDescent="0.2">
      <c r="A12640" s="6" t="str">
        <f>"ELFN2"</f>
        <v>ELFN2</v>
      </c>
      <c r="B12640" s="6">
        <v>0.47352647352647298</v>
      </c>
      <c r="C12640" s="6">
        <v>0.62545609914030897</v>
      </c>
    </row>
    <row r="12641" spans="1:3" s="7" customFormat="1" x14ac:dyDescent="0.2">
      <c r="A12641" s="6" t="str">
        <f>"POMT2"</f>
        <v>POMT2</v>
      </c>
      <c r="B12641" s="6">
        <v>0.47352647352647298</v>
      </c>
      <c r="C12641" s="6">
        <v>0.62545609914030897</v>
      </c>
    </row>
    <row r="12642" spans="1:3" s="7" customFormat="1" x14ac:dyDescent="0.2">
      <c r="A12642" s="6" t="str">
        <f>"GALNT8"</f>
        <v>GALNT8</v>
      </c>
      <c r="B12642" s="6">
        <v>0.47352647352647298</v>
      </c>
      <c r="C12642" s="6">
        <v>0.62545609914030897</v>
      </c>
    </row>
    <row r="12643" spans="1:3" s="7" customFormat="1" x14ac:dyDescent="0.2">
      <c r="A12643" s="6" t="str">
        <f>"HCN2"</f>
        <v>HCN2</v>
      </c>
      <c r="B12643" s="6">
        <v>0.47352647352647298</v>
      </c>
      <c r="C12643" s="6">
        <v>0.62545609914030897</v>
      </c>
    </row>
    <row r="12644" spans="1:3" s="7" customFormat="1" x14ac:dyDescent="0.2">
      <c r="A12644" s="6" t="str">
        <f>"TRAPPC10"</f>
        <v>TRAPPC10</v>
      </c>
      <c r="B12644" s="6">
        <v>0.47352647352647298</v>
      </c>
      <c r="C12644" s="6">
        <v>0.62545609914030897</v>
      </c>
    </row>
    <row r="12645" spans="1:3" s="7" customFormat="1" x14ac:dyDescent="0.2">
      <c r="A12645" s="6" t="str">
        <f>"DVL1"</f>
        <v>DVL1</v>
      </c>
      <c r="B12645" s="6">
        <v>0.47352647352647298</v>
      </c>
      <c r="C12645" s="6">
        <v>0.62545609914030897</v>
      </c>
    </row>
    <row r="12646" spans="1:3" s="7" customFormat="1" x14ac:dyDescent="0.2">
      <c r="A12646" s="6" t="str">
        <f>"PIK3IP1"</f>
        <v>PIK3IP1</v>
      </c>
      <c r="B12646" s="6">
        <v>0.47352647352647298</v>
      </c>
      <c r="C12646" s="6">
        <v>0.62545609914030897</v>
      </c>
    </row>
    <row r="12647" spans="1:3" s="7" customFormat="1" x14ac:dyDescent="0.2">
      <c r="A12647" s="6" t="str">
        <f>"LINCR-0001"</f>
        <v>LINCR-0001</v>
      </c>
      <c r="B12647" s="6">
        <v>0.47299999999999998</v>
      </c>
      <c r="C12647" s="6">
        <v>0.62545609914030897</v>
      </c>
    </row>
    <row r="12648" spans="1:3" s="7" customFormat="1" x14ac:dyDescent="0.2">
      <c r="A12648" s="6" t="str">
        <f>"AC097713.1"</f>
        <v>AC097713.1</v>
      </c>
      <c r="B12648" s="6">
        <v>0.47352647352647298</v>
      </c>
      <c r="C12648" s="6">
        <v>0.62545609914030897</v>
      </c>
    </row>
    <row r="12649" spans="1:3" s="7" customFormat="1" x14ac:dyDescent="0.2">
      <c r="A12649" s="6" t="str">
        <f>"ATRNL1"</f>
        <v>ATRNL1</v>
      </c>
      <c r="B12649" s="6">
        <v>0.47352647352647298</v>
      </c>
      <c r="C12649" s="6">
        <v>0.62545609914030897</v>
      </c>
    </row>
    <row r="12650" spans="1:3" s="7" customFormat="1" x14ac:dyDescent="0.2">
      <c r="A12650" s="6" t="str">
        <f>"GGT3P"</f>
        <v>GGT3P</v>
      </c>
      <c r="B12650" s="6">
        <v>0.47352647352647298</v>
      </c>
      <c r="C12650" s="6">
        <v>0.62545609914030897</v>
      </c>
    </row>
    <row r="12651" spans="1:3" s="7" customFormat="1" x14ac:dyDescent="0.2">
      <c r="A12651" s="6" t="str">
        <f>"ANP32B"</f>
        <v>ANP32B</v>
      </c>
      <c r="B12651" s="6">
        <v>0.47352647352647298</v>
      </c>
      <c r="C12651" s="6">
        <v>0.62545609914030897</v>
      </c>
    </row>
    <row r="12652" spans="1:3" s="7" customFormat="1" x14ac:dyDescent="0.2">
      <c r="A12652" s="6" t="str">
        <f>"AC027307.2"</f>
        <v>AC027307.2</v>
      </c>
      <c r="B12652" s="6">
        <v>0.47352647352647298</v>
      </c>
      <c r="C12652" s="6">
        <v>0.62545609914030897</v>
      </c>
    </row>
    <row r="12653" spans="1:3" s="7" customFormat="1" x14ac:dyDescent="0.2">
      <c r="A12653" s="6" t="str">
        <f>"PTPRG"</f>
        <v>PTPRG</v>
      </c>
      <c r="B12653" s="6">
        <v>0.47352647352647298</v>
      </c>
      <c r="C12653" s="6">
        <v>0.62545609914030897</v>
      </c>
    </row>
    <row r="12654" spans="1:3" s="7" customFormat="1" x14ac:dyDescent="0.2">
      <c r="A12654" s="6" t="str">
        <f>"ZNF641"</f>
        <v>ZNF641</v>
      </c>
      <c r="B12654" s="6">
        <v>0.47352647352647298</v>
      </c>
      <c r="C12654" s="6">
        <v>0.62545609914030897</v>
      </c>
    </row>
    <row r="12655" spans="1:3" s="7" customFormat="1" x14ac:dyDescent="0.2">
      <c r="A12655" s="6" t="str">
        <f>"DNAJB11"</f>
        <v>DNAJB11</v>
      </c>
      <c r="B12655" s="6">
        <v>0.47352647352647298</v>
      </c>
      <c r="C12655" s="6">
        <v>0.62545609914030897</v>
      </c>
    </row>
    <row r="12656" spans="1:3" s="7" customFormat="1" x14ac:dyDescent="0.2">
      <c r="A12656" s="6" t="str">
        <f>"CACNA1D"</f>
        <v>CACNA1D</v>
      </c>
      <c r="B12656" s="6">
        <v>0.474525474525474</v>
      </c>
      <c r="C12656" s="6">
        <v>0.62633015724700103</v>
      </c>
    </row>
    <row r="12657" spans="1:3" s="7" customFormat="1" x14ac:dyDescent="0.2">
      <c r="A12657" s="6" t="str">
        <f>"SPAG5-AS1"</f>
        <v>SPAG5-AS1</v>
      </c>
      <c r="B12657" s="6">
        <v>0.474474474474474</v>
      </c>
      <c r="C12657" s="6">
        <v>0.62633015724700103</v>
      </c>
    </row>
    <row r="12658" spans="1:3" s="7" customFormat="1" x14ac:dyDescent="0.2">
      <c r="A12658" s="6" t="str">
        <f>"CAB39L"</f>
        <v>CAB39L</v>
      </c>
      <c r="B12658" s="6">
        <v>0.474525474525474</v>
      </c>
      <c r="C12658" s="6">
        <v>0.62633015724700103</v>
      </c>
    </row>
    <row r="12659" spans="1:3" s="7" customFormat="1" x14ac:dyDescent="0.2">
      <c r="A12659" s="6" t="str">
        <f>"PTPRR"</f>
        <v>PTPRR</v>
      </c>
      <c r="B12659" s="6">
        <v>0.474525474525474</v>
      </c>
      <c r="C12659" s="6">
        <v>0.62633015724700103</v>
      </c>
    </row>
    <row r="12660" spans="1:3" s="7" customFormat="1" x14ac:dyDescent="0.2">
      <c r="A12660" s="6" t="str">
        <f>"PRR5L"</f>
        <v>PRR5L</v>
      </c>
      <c r="B12660" s="6">
        <v>0.474525474525474</v>
      </c>
      <c r="C12660" s="6">
        <v>0.62633015724700103</v>
      </c>
    </row>
    <row r="12661" spans="1:3" s="7" customFormat="1" x14ac:dyDescent="0.2">
      <c r="A12661" s="6" t="str">
        <f>"NID1"</f>
        <v>NID1</v>
      </c>
      <c r="B12661" s="6">
        <v>0.474525474525474</v>
      </c>
      <c r="C12661" s="6">
        <v>0.62633015724700103</v>
      </c>
    </row>
    <row r="12662" spans="1:3" s="7" customFormat="1" x14ac:dyDescent="0.2">
      <c r="A12662" s="6" t="str">
        <f>"BICD2"</f>
        <v>BICD2</v>
      </c>
      <c r="B12662" s="6">
        <v>0.474525474525474</v>
      </c>
      <c r="C12662" s="6">
        <v>0.62633015724700103</v>
      </c>
    </row>
    <row r="12663" spans="1:3" s="7" customFormat="1" x14ac:dyDescent="0.2">
      <c r="A12663" s="6" t="str">
        <f>"VAC14-AS1"</f>
        <v>VAC14-AS1</v>
      </c>
      <c r="B12663" s="6">
        <v>0.474525474525474</v>
      </c>
      <c r="C12663" s="6">
        <v>0.62633015724700103</v>
      </c>
    </row>
    <row r="12664" spans="1:3" s="7" customFormat="1" x14ac:dyDescent="0.2">
      <c r="A12664" s="6" t="str">
        <f>"KDM5C"</f>
        <v>KDM5C</v>
      </c>
      <c r="B12664" s="6">
        <v>0.474525474525474</v>
      </c>
      <c r="C12664" s="6">
        <v>0.62633015724700103</v>
      </c>
    </row>
    <row r="12665" spans="1:3" s="7" customFormat="1" x14ac:dyDescent="0.2">
      <c r="A12665" s="6" t="str">
        <f>"OR56A4"</f>
        <v>OR56A4</v>
      </c>
      <c r="B12665" s="6">
        <v>0.47478991596638598</v>
      </c>
      <c r="C12665" s="6">
        <v>0.62662971063346296</v>
      </c>
    </row>
    <row r="12666" spans="1:3" s="7" customFormat="1" x14ac:dyDescent="0.2">
      <c r="A12666" s="6" t="str">
        <f>"ZNF780B"</f>
        <v>ZNF780B</v>
      </c>
      <c r="B12666" s="6">
        <v>0.47499999999999998</v>
      </c>
      <c r="C12666" s="6">
        <v>0.62685748124753204</v>
      </c>
    </row>
    <row r="12667" spans="1:3" s="7" customFormat="1" x14ac:dyDescent="0.2">
      <c r="A12667" s="6" t="str">
        <f>"AL512625.1"</f>
        <v>AL512625.1</v>
      </c>
      <c r="B12667" s="6">
        <v>0.47552447552447502</v>
      </c>
      <c r="C12667" s="6">
        <v>0.62730197978816704</v>
      </c>
    </row>
    <row r="12668" spans="1:3" s="7" customFormat="1" x14ac:dyDescent="0.2">
      <c r="A12668" s="6" t="str">
        <f>"PINX1"</f>
        <v>PINX1</v>
      </c>
      <c r="B12668" s="6">
        <v>0.47552447552447502</v>
      </c>
      <c r="C12668" s="6">
        <v>0.62730197978816704</v>
      </c>
    </row>
    <row r="12669" spans="1:3" s="7" customFormat="1" x14ac:dyDescent="0.2">
      <c r="A12669" s="6" t="str">
        <f>"RBM4"</f>
        <v>RBM4</v>
      </c>
      <c r="B12669" s="6">
        <v>0.47552447552447502</v>
      </c>
      <c r="C12669" s="6">
        <v>0.62730197978816704</v>
      </c>
    </row>
    <row r="12670" spans="1:3" s="7" customFormat="1" x14ac:dyDescent="0.2">
      <c r="A12670" s="6" t="str">
        <f>"PCDHB7"</f>
        <v>PCDHB7</v>
      </c>
      <c r="B12670" s="6">
        <v>0.47552447552447502</v>
      </c>
      <c r="C12670" s="6">
        <v>0.62730197978816704</v>
      </c>
    </row>
    <row r="12671" spans="1:3" s="7" customFormat="1" x14ac:dyDescent="0.2">
      <c r="A12671" s="6" t="str">
        <f>"ZNF831"</f>
        <v>ZNF831</v>
      </c>
      <c r="B12671" s="6">
        <v>0.47552447552447502</v>
      </c>
      <c r="C12671" s="6">
        <v>0.62730197978816704</v>
      </c>
    </row>
    <row r="12672" spans="1:3" s="7" customFormat="1" x14ac:dyDescent="0.2">
      <c r="A12672" s="6" t="str">
        <f>"PPP1R14A"</f>
        <v>PPP1R14A</v>
      </c>
      <c r="B12672" s="6">
        <v>0.47652347652347599</v>
      </c>
      <c r="C12672" s="6">
        <v>0.628322293043025</v>
      </c>
    </row>
    <row r="12673" spans="1:3" s="7" customFormat="1" x14ac:dyDescent="0.2">
      <c r="A12673" s="6" t="str">
        <f>"ZNF354A"</f>
        <v>ZNF354A</v>
      </c>
      <c r="B12673" s="6">
        <v>0.47652347652347599</v>
      </c>
      <c r="C12673" s="6">
        <v>0.628322293043025</v>
      </c>
    </row>
    <row r="12674" spans="1:3" s="7" customFormat="1" x14ac:dyDescent="0.2">
      <c r="A12674" s="6" t="str">
        <f>"AL591163.1"</f>
        <v>AL591163.1</v>
      </c>
      <c r="B12674" s="6">
        <v>0.47652347652347599</v>
      </c>
      <c r="C12674" s="6">
        <v>0.628322293043025</v>
      </c>
    </row>
    <row r="12675" spans="1:3" s="7" customFormat="1" x14ac:dyDescent="0.2">
      <c r="A12675" s="6" t="str">
        <f>"IQUB"</f>
        <v>IQUB</v>
      </c>
      <c r="B12675" s="6">
        <v>0.47652347652347599</v>
      </c>
      <c r="C12675" s="6">
        <v>0.628322293043025</v>
      </c>
    </row>
    <row r="12676" spans="1:3" s="7" customFormat="1" x14ac:dyDescent="0.2">
      <c r="A12676" s="6" t="str">
        <f>"LRRC61"</f>
        <v>LRRC61</v>
      </c>
      <c r="B12676" s="6">
        <v>0.47652347652347599</v>
      </c>
      <c r="C12676" s="6">
        <v>0.628322293043025</v>
      </c>
    </row>
    <row r="12677" spans="1:3" s="7" customFormat="1" x14ac:dyDescent="0.2">
      <c r="A12677" s="6" t="str">
        <f>"TBCEL-TECTA"</f>
        <v>TBCEL-TECTA</v>
      </c>
      <c r="B12677" s="6">
        <v>0.47652347652347599</v>
      </c>
      <c r="C12677" s="6">
        <v>0.628322293043025</v>
      </c>
    </row>
    <row r="12678" spans="1:3" s="7" customFormat="1" x14ac:dyDescent="0.2">
      <c r="A12678" s="6" t="str">
        <f>"ARMCX3"</f>
        <v>ARMCX3</v>
      </c>
      <c r="B12678" s="6">
        <v>0.47699999999999998</v>
      </c>
      <c r="C12678" s="6">
        <v>0.62890100181430897</v>
      </c>
    </row>
    <row r="12679" spans="1:3" s="7" customFormat="1" x14ac:dyDescent="0.2">
      <c r="A12679" s="6" t="str">
        <f>"GAR1"</f>
        <v>GAR1</v>
      </c>
      <c r="B12679" s="6">
        <v>0.47752247752247701</v>
      </c>
      <c r="C12679" s="6">
        <v>0.62914320426538595</v>
      </c>
    </row>
    <row r="12680" spans="1:3" s="7" customFormat="1" x14ac:dyDescent="0.2">
      <c r="A12680" s="6" t="str">
        <f>"RAB1B"</f>
        <v>RAB1B</v>
      </c>
      <c r="B12680" s="6">
        <v>0.47752247752247701</v>
      </c>
      <c r="C12680" s="6">
        <v>0.62914320426538595</v>
      </c>
    </row>
    <row r="12681" spans="1:3" s="7" customFormat="1" x14ac:dyDescent="0.2">
      <c r="A12681" s="6" t="str">
        <f>"NSUN2"</f>
        <v>NSUN2</v>
      </c>
      <c r="B12681" s="6">
        <v>0.47752247752247701</v>
      </c>
      <c r="C12681" s="6">
        <v>0.62914320426538595</v>
      </c>
    </row>
    <row r="12682" spans="1:3" s="7" customFormat="1" x14ac:dyDescent="0.2">
      <c r="A12682" s="6" t="str">
        <f>"TNS4"</f>
        <v>TNS4</v>
      </c>
      <c r="B12682" s="6">
        <v>0.47752247752247701</v>
      </c>
      <c r="C12682" s="6">
        <v>0.62914320426538595</v>
      </c>
    </row>
    <row r="12683" spans="1:3" s="7" customFormat="1" x14ac:dyDescent="0.2">
      <c r="A12683" s="6" t="str">
        <f>"RPL12"</f>
        <v>RPL12</v>
      </c>
      <c r="B12683" s="6">
        <v>0.47752247752247701</v>
      </c>
      <c r="C12683" s="6">
        <v>0.62914320426538595</v>
      </c>
    </row>
    <row r="12684" spans="1:3" s="7" customFormat="1" x14ac:dyDescent="0.2">
      <c r="A12684" s="6" t="str">
        <f>"C12orf4"</f>
        <v>C12orf4</v>
      </c>
      <c r="B12684" s="6">
        <v>0.47752247752247701</v>
      </c>
      <c r="C12684" s="6">
        <v>0.62914320426538595</v>
      </c>
    </row>
    <row r="12685" spans="1:3" s="7" customFormat="1" x14ac:dyDescent="0.2">
      <c r="A12685" s="6" t="str">
        <f>"PDPK2P"</f>
        <v>PDPK2P</v>
      </c>
      <c r="B12685" s="6">
        <v>0.47752247752247701</v>
      </c>
      <c r="C12685" s="6">
        <v>0.62914320426538595</v>
      </c>
    </row>
    <row r="12686" spans="1:3" s="7" customFormat="1" x14ac:dyDescent="0.2">
      <c r="A12686" s="6" t="str">
        <f>"TPTE2P1"</f>
        <v>TPTE2P1</v>
      </c>
      <c r="B12686" s="6">
        <v>0.47752247752247701</v>
      </c>
      <c r="C12686" s="6">
        <v>0.62914320426538595</v>
      </c>
    </row>
    <row r="12687" spans="1:3" s="7" customFormat="1" x14ac:dyDescent="0.2">
      <c r="A12687" s="6" t="str">
        <f>"SQSTM1"</f>
        <v>SQSTM1</v>
      </c>
      <c r="B12687" s="6">
        <v>0.47752247752247701</v>
      </c>
      <c r="C12687" s="6">
        <v>0.62914320426538595</v>
      </c>
    </row>
    <row r="12688" spans="1:3" s="7" customFormat="1" x14ac:dyDescent="0.2">
      <c r="A12688" s="6" t="str">
        <f>"RPL29"</f>
        <v>RPL29</v>
      </c>
      <c r="B12688" s="6">
        <v>0.47799999999999998</v>
      </c>
      <c r="C12688" s="6">
        <v>0.62972270828406995</v>
      </c>
    </row>
    <row r="12689" spans="1:3" s="7" customFormat="1" x14ac:dyDescent="0.2">
      <c r="A12689" s="6" t="str">
        <f>"GTPBP6"</f>
        <v>GTPBP6</v>
      </c>
      <c r="B12689" s="6">
        <v>0.47852147852147803</v>
      </c>
      <c r="C12689" s="6">
        <v>0.62996282230686695</v>
      </c>
    </row>
    <row r="12690" spans="1:3" s="7" customFormat="1" x14ac:dyDescent="0.2">
      <c r="A12690" s="6" t="str">
        <f>"C7"</f>
        <v>C7</v>
      </c>
      <c r="B12690" s="6">
        <v>0.47852147852147803</v>
      </c>
      <c r="C12690" s="6">
        <v>0.62996282230686695</v>
      </c>
    </row>
    <row r="12691" spans="1:3" s="7" customFormat="1" x14ac:dyDescent="0.2">
      <c r="A12691" s="6" t="str">
        <f>"SYNJ2BP"</f>
        <v>SYNJ2BP</v>
      </c>
      <c r="B12691" s="6">
        <v>0.47852147852147803</v>
      </c>
      <c r="C12691" s="6">
        <v>0.62996282230686695</v>
      </c>
    </row>
    <row r="12692" spans="1:3" s="7" customFormat="1" x14ac:dyDescent="0.2">
      <c r="A12692" s="6" t="str">
        <f>"PRICKLE3"</f>
        <v>PRICKLE3</v>
      </c>
      <c r="B12692" s="6">
        <v>0.47852147852147803</v>
      </c>
      <c r="C12692" s="6">
        <v>0.62996282230686695</v>
      </c>
    </row>
    <row r="12693" spans="1:3" s="7" customFormat="1" x14ac:dyDescent="0.2">
      <c r="A12693" s="6" t="str">
        <f>"SGK2"</f>
        <v>SGK2</v>
      </c>
      <c r="B12693" s="6">
        <v>0.47852147852147803</v>
      </c>
      <c r="C12693" s="6">
        <v>0.62996282230686695</v>
      </c>
    </row>
    <row r="12694" spans="1:3" s="7" customFormat="1" x14ac:dyDescent="0.2">
      <c r="A12694" s="6" t="str">
        <f>"SIDT1"</f>
        <v>SIDT1</v>
      </c>
      <c r="B12694" s="6">
        <v>0.47852147852147803</v>
      </c>
      <c r="C12694" s="6">
        <v>0.62996282230686695</v>
      </c>
    </row>
    <row r="12695" spans="1:3" s="7" customFormat="1" x14ac:dyDescent="0.2">
      <c r="A12695" s="6" t="str">
        <f>"ATP8B5P"</f>
        <v>ATP8B5P</v>
      </c>
      <c r="B12695" s="6">
        <v>0.47839506172839502</v>
      </c>
      <c r="C12695" s="6">
        <v>0.62996282230686695</v>
      </c>
    </row>
    <row r="12696" spans="1:3" s="7" customFormat="1" x14ac:dyDescent="0.2">
      <c r="A12696" s="6" t="str">
        <f>"GTF2F1"</f>
        <v>GTF2F1</v>
      </c>
      <c r="B12696" s="6">
        <v>0.47852147852147803</v>
      </c>
      <c r="C12696" s="6">
        <v>0.62996282230686695</v>
      </c>
    </row>
    <row r="12697" spans="1:3" s="7" customFormat="1" x14ac:dyDescent="0.2">
      <c r="A12697" s="6" t="str">
        <f>"CD2BP2"</f>
        <v>CD2BP2</v>
      </c>
      <c r="B12697" s="6">
        <v>0.47852147852147803</v>
      </c>
      <c r="C12697" s="6">
        <v>0.62996282230686695</v>
      </c>
    </row>
    <row r="12698" spans="1:3" s="7" customFormat="1" x14ac:dyDescent="0.2">
      <c r="A12698" s="6" t="str">
        <f>"CCDC28B"</f>
        <v>CCDC28B</v>
      </c>
      <c r="B12698" s="6">
        <v>0.47887323943661902</v>
      </c>
      <c r="C12698" s="6">
        <v>0.63037625611905601</v>
      </c>
    </row>
    <row r="12699" spans="1:3" s="7" customFormat="1" x14ac:dyDescent="0.2">
      <c r="A12699" s="6" t="str">
        <f>"SPATA12"</f>
        <v>SPATA12</v>
      </c>
      <c r="B12699" s="6">
        <v>0.47891566265060198</v>
      </c>
      <c r="C12699" s="6">
        <v>0.63038245279116101</v>
      </c>
    </row>
    <row r="12700" spans="1:3" s="7" customFormat="1" x14ac:dyDescent="0.2">
      <c r="A12700" s="6" t="str">
        <f>"RAB18"</f>
        <v>RAB18</v>
      </c>
      <c r="B12700" s="6">
        <v>0.47952047952047899</v>
      </c>
      <c r="C12700" s="6">
        <v>0.63058263530332703</v>
      </c>
    </row>
    <row r="12701" spans="1:3" s="7" customFormat="1" x14ac:dyDescent="0.2">
      <c r="A12701" s="6" t="str">
        <f>"AC010615.2"</f>
        <v>AC010615.2</v>
      </c>
      <c r="B12701" s="6">
        <v>0.47952047952047899</v>
      </c>
      <c r="C12701" s="6">
        <v>0.63058263530332703</v>
      </c>
    </row>
    <row r="12702" spans="1:3" s="7" customFormat="1" x14ac:dyDescent="0.2">
      <c r="A12702" s="6" t="str">
        <f>"VASH2"</f>
        <v>VASH2</v>
      </c>
      <c r="B12702" s="6">
        <v>0.47943831494483402</v>
      </c>
      <c r="C12702" s="6">
        <v>0.63058263530332703</v>
      </c>
    </row>
    <row r="12703" spans="1:3" s="7" customFormat="1" x14ac:dyDescent="0.2">
      <c r="A12703" s="6" t="str">
        <f>"AKIRIN1"</f>
        <v>AKIRIN1</v>
      </c>
      <c r="B12703" s="6">
        <v>0.47952047952047899</v>
      </c>
      <c r="C12703" s="6">
        <v>0.63058263530332703</v>
      </c>
    </row>
    <row r="12704" spans="1:3" s="7" customFormat="1" x14ac:dyDescent="0.2">
      <c r="A12704" s="6" t="str">
        <f>"CTDSP2"</f>
        <v>CTDSP2</v>
      </c>
      <c r="B12704" s="6">
        <v>0.47952047952047899</v>
      </c>
      <c r="C12704" s="6">
        <v>0.63058263530332703</v>
      </c>
    </row>
    <row r="12705" spans="1:3" s="7" customFormat="1" x14ac:dyDescent="0.2">
      <c r="A12705" s="6" t="str">
        <f>"CACNA2D3"</f>
        <v>CACNA2D3</v>
      </c>
      <c r="B12705" s="6">
        <v>0.47952047952047899</v>
      </c>
      <c r="C12705" s="6">
        <v>0.63058263530332703</v>
      </c>
    </row>
    <row r="12706" spans="1:3" s="7" customFormat="1" x14ac:dyDescent="0.2">
      <c r="A12706" s="6" t="str">
        <f>"AC108941.3"</f>
        <v>AC108941.3</v>
      </c>
      <c r="B12706" s="6">
        <v>0.47952047952047899</v>
      </c>
      <c r="C12706" s="6">
        <v>0.63058263530332703</v>
      </c>
    </row>
    <row r="12707" spans="1:3" s="7" customFormat="1" x14ac:dyDescent="0.2">
      <c r="A12707" s="6" t="str">
        <f>"PCDHB10"</f>
        <v>PCDHB10</v>
      </c>
      <c r="B12707" s="6">
        <v>0.47952047952047899</v>
      </c>
      <c r="C12707" s="6">
        <v>0.63058263530332703</v>
      </c>
    </row>
    <row r="12708" spans="1:3" s="7" customFormat="1" x14ac:dyDescent="0.2">
      <c r="A12708" s="6" t="str">
        <f>"ANKFY1"</f>
        <v>ANKFY1</v>
      </c>
      <c r="B12708" s="6">
        <v>0.47952047952047899</v>
      </c>
      <c r="C12708" s="6">
        <v>0.63058263530332703</v>
      </c>
    </row>
    <row r="12709" spans="1:3" s="7" customFormat="1" x14ac:dyDescent="0.2">
      <c r="A12709" s="6" t="str">
        <f>"SYNJ2BP-COX16"</f>
        <v>SYNJ2BP-COX16</v>
      </c>
      <c r="B12709" s="6">
        <v>0.47952047952047899</v>
      </c>
      <c r="C12709" s="6">
        <v>0.63058263530332703</v>
      </c>
    </row>
    <row r="12710" spans="1:3" s="7" customFormat="1" x14ac:dyDescent="0.2">
      <c r="A12710" s="6" t="str">
        <f>"LINC00641"</f>
        <v>LINC00641</v>
      </c>
      <c r="B12710" s="6">
        <v>0.47952047952047899</v>
      </c>
      <c r="C12710" s="6">
        <v>0.63058263530332703</v>
      </c>
    </row>
    <row r="12711" spans="1:3" s="7" customFormat="1" x14ac:dyDescent="0.2">
      <c r="A12711" s="6" t="str">
        <f>"H3C1"</f>
        <v>H3C1</v>
      </c>
      <c r="B12711" s="6">
        <v>0.47952047952047899</v>
      </c>
      <c r="C12711" s="6">
        <v>0.63058263530332703</v>
      </c>
    </row>
    <row r="12712" spans="1:3" s="7" customFormat="1" x14ac:dyDescent="0.2">
      <c r="A12712" s="6" t="str">
        <f>"NAPSB"</f>
        <v>NAPSB</v>
      </c>
      <c r="B12712" s="6">
        <v>0.48051948051948001</v>
      </c>
      <c r="C12712" s="6">
        <v>0.63134994083818796</v>
      </c>
    </row>
    <row r="12713" spans="1:3" s="7" customFormat="1" x14ac:dyDescent="0.2">
      <c r="A12713" s="6" t="str">
        <f>"RIDA"</f>
        <v>RIDA</v>
      </c>
      <c r="B12713" s="6">
        <v>0.48051948051948001</v>
      </c>
      <c r="C12713" s="6">
        <v>0.63134994083818796</v>
      </c>
    </row>
    <row r="12714" spans="1:3" s="7" customFormat="1" x14ac:dyDescent="0.2">
      <c r="A12714" s="6" t="str">
        <f>"ANAPC1P2"</f>
        <v>ANAPC1P2</v>
      </c>
      <c r="B12714" s="6">
        <v>0.48051948051948001</v>
      </c>
      <c r="C12714" s="6">
        <v>0.63134994083818796</v>
      </c>
    </row>
    <row r="12715" spans="1:3" s="7" customFormat="1" x14ac:dyDescent="0.2">
      <c r="A12715" s="6" t="str">
        <f>"NAT8L"</f>
        <v>NAT8L</v>
      </c>
      <c r="B12715" s="6">
        <v>0.48051948051948001</v>
      </c>
      <c r="C12715" s="6">
        <v>0.63134994083818796</v>
      </c>
    </row>
    <row r="12716" spans="1:3" s="7" customFormat="1" x14ac:dyDescent="0.2">
      <c r="A12716" s="6" t="str">
        <f>"THSD1P1"</f>
        <v>THSD1P1</v>
      </c>
      <c r="B12716" s="6">
        <v>0.48051948051948001</v>
      </c>
      <c r="C12716" s="6">
        <v>0.63134994083818796</v>
      </c>
    </row>
    <row r="12717" spans="1:3" s="7" customFormat="1" x14ac:dyDescent="0.2">
      <c r="A12717" s="6" t="str">
        <f>"USP24"</f>
        <v>USP24</v>
      </c>
      <c r="B12717" s="6">
        <v>0.48051948051948001</v>
      </c>
      <c r="C12717" s="6">
        <v>0.63134994083818796</v>
      </c>
    </row>
    <row r="12718" spans="1:3" s="7" customFormat="1" x14ac:dyDescent="0.2">
      <c r="A12718" s="6" t="str">
        <f>"AC025442.2"</f>
        <v>AC025442.2</v>
      </c>
      <c r="B12718" s="6">
        <v>0.48051948051948001</v>
      </c>
      <c r="C12718" s="6">
        <v>0.63134994083818796</v>
      </c>
    </row>
    <row r="12719" spans="1:3" s="7" customFormat="1" x14ac:dyDescent="0.2">
      <c r="A12719" s="6" t="str">
        <f>"AC091152.2"</f>
        <v>AC091152.2</v>
      </c>
      <c r="B12719" s="6">
        <v>0.48040201005025102</v>
      </c>
      <c r="C12719" s="6">
        <v>0.63134994083818796</v>
      </c>
    </row>
    <row r="12720" spans="1:3" s="7" customFormat="1" x14ac:dyDescent="0.2">
      <c r="A12720" s="6" t="str">
        <f>"LARP1B"</f>
        <v>LARP1B</v>
      </c>
      <c r="B12720" s="6">
        <v>0.48051948051948001</v>
      </c>
      <c r="C12720" s="6">
        <v>0.63134994083818796</v>
      </c>
    </row>
    <row r="12721" spans="1:3" s="7" customFormat="1" x14ac:dyDescent="0.2">
      <c r="A12721" s="6" t="str">
        <f>"MEX3B"</f>
        <v>MEX3B</v>
      </c>
      <c r="B12721" s="6">
        <v>0.48051948051948001</v>
      </c>
      <c r="C12721" s="6">
        <v>0.63134994083818796</v>
      </c>
    </row>
    <row r="12722" spans="1:3" s="7" customFormat="1" x14ac:dyDescent="0.2">
      <c r="A12722" s="6" t="str">
        <f>"LCAL1"</f>
        <v>LCAL1</v>
      </c>
      <c r="B12722" s="6">
        <v>0.48051948051948001</v>
      </c>
      <c r="C12722" s="6">
        <v>0.63134994083818796</v>
      </c>
    </row>
    <row r="12723" spans="1:3" s="7" customFormat="1" x14ac:dyDescent="0.2">
      <c r="A12723" s="6" t="str">
        <f>"AC002464.1"</f>
        <v>AC002464.1</v>
      </c>
      <c r="B12723" s="6">
        <v>0.48076923076923</v>
      </c>
      <c r="C12723" s="6">
        <v>0.631628432878236</v>
      </c>
    </row>
    <row r="12724" spans="1:3" s="7" customFormat="1" x14ac:dyDescent="0.2">
      <c r="A12724" s="6" t="str">
        <f>"AC069288.1"</f>
        <v>AC069288.1</v>
      </c>
      <c r="B12724" s="6">
        <v>0.48099999999999998</v>
      </c>
      <c r="C12724" s="6">
        <v>0.63183228544482795</v>
      </c>
    </row>
    <row r="12725" spans="1:3" s="7" customFormat="1" x14ac:dyDescent="0.2">
      <c r="A12725" s="6" t="str">
        <f>"MIPEP"</f>
        <v>MIPEP</v>
      </c>
      <c r="B12725" s="6">
        <v>0.48099999999999998</v>
      </c>
      <c r="C12725" s="6">
        <v>0.63183228544482795</v>
      </c>
    </row>
    <row r="12726" spans="1:3" s="7" customFormat="1" x14ac:dyDescent="0.2">
      <c r="A12726" s="6" t="str">
        <f>"SEPTIN4-AS1"</f>
        <v>SEPTIN4-AS1</v>
      </c>
      <c r="B12726" s="6">
        <v>0.48148148148148101</v>
      </c>
      <c r="C12726" s="6">
        <v>0.63211592052308296</v>
      </c>
    </row>
    <row r="12727" spans="1:3" s="7" customFormat="1" x14ac:dyDescent="0.2">
      <c r="A12727" s="6" t="str">
        <f>"ZNF192P1"</f>
        <v>ZNF192P1</v>
      </c>
      <c r="B12727" s="6">
        <v>0.48151848151848098</v>
      </c>
      <c r="C12727" s="6">
        <v>0.63211592052308296</v>
      </c>
    </row>
    <row r="12728" spans="1:3" s="7" customFormat="1" x14ac:dyDescent="0.2">
      <c r="A12728" s="6" t="str">
        <f>"WDR72"</f>
        <v>WDR72</v>
      </c>
      <c r="B12728" s="6">
        <v>0.48151848151848098</v>
      </c>
      <c r="C12728" s="6">
        <v>0.63211592052308296</v>
      </c>
    </row>
    <row r="12729" spans="1:3" s="7" customFormat="1" x14ac:dyDescent="0.2">
      <c r="A12729" s="6" t="str">
        <f>"SMIM8"</f>
        <v>SMIM8</v>
      </c>
      <c r="B12729" s="6">
        <v>0.48151848151848098</v>
      </c>
      <c r="C12729" s="6">
        <v>0.63211592052308296</v>
      </c>
    </row>
    <row r="12730" spans="1:3" s="7" customFormat="1" x14ac:dyDescent="0.2">
      <c r="A12730" s="6" t="str">
        <f>"PFDN4"</f>
        <v>PFDN4</v>
      </c>
      <c r="B12730" s="6">
        <v>0.48151848151848098</v>
      </c>
      <c r="C12730" s="6">
        <v>0.63211592052308296</v>
      </c>
    </row>
    <row r="12731" spans="1:3" s="7" customFormat="1" x14ac:dyDescent="0.2">
      <c r="A12731" s="6" t="str">
        <f>"RPS2P17"</f>
        <v>RPS2P17</v>
      </c>
      <c r="B12731" s="6">
        <v>0.48148148148148101</v>
      </c>
      <c r="C12731" s="6">
        <v>0.63211592052308296</v>
      </c>
    </row>
    <row r="12732" spans="1:3" s="7" customFormat="1" x14ac:dyDescent="0.2">
      <c r="A12732" s="6" t="str">
        <f>"WDR54"</f>
        <v>WDR54</v>
      </c>
      <c r="B12732" s="6">
        <v>0.48151848151848098</v>
      </c>
      <c r="C12732" s="6">
        <v>0.63211592052308296</v>
      </c>
    </row>
    <row r="12733" spans="1:3" s="7" customFormat="1" x14ac:dyDescent="0.2">
      <c r="A12733" s="6" t="str">
        <f>"SMIM31"</f>
        <v>SMIM31</v>
      </c>
      <c r="B12733" s="6">
        <v>0.48151848151848098</v>
      </c>
      <c r="C12733" s="6">
        <v>0.63211592052308296</v>
      </c>
    </row>
    <row r="12734" spans="1:3" s="7" customFormat="1" x14ac:dyDescent="0.2">
      <c r="A12734" s="6" t="str">
        <f>"CDC42BPA"</f>
        <v>CDC42BPA</v>
      </c>
      <c r="B12734" s="6">
        <v>0.482517482517482</v>
      </c>
      <c r="C12734" s="6">
        <v>0.63263235039199806</v>
      </c>
    </row>
    <row r="12735" spans="1:3" s="7" customFormat="1" x14ac:dyDescent="0.2">
      <c r="A12735" s="6" t="str">
        <f>"ZNF292"</f>
        <v>ZNF292</v>
      </c>
      <c r="B12735" s="6">
        <v>0.482517482517482</v>
      </c>
      <c r="C12735" s="6">
        <v>0.63263235039199806</v>
      </c>
    </row>
    <row r="12736" spans="1:3" s="7" customFormat="1" x14ac:dyDescent="0.2">
      <c r="A12736" s="6" t="str">
        <f>"FCRL3"</f>
        <v>FCRL3</v>
      </c>
      <c r="B12736" s="6">
        <v>0.482517482517482</v>
      </c>
      <c r="C12736" s="6">
        <v>0.63263235039199806</v>
      </c>
    </row>
    <row r="12737" spans="1:3" s="7" customFormat="1" x14ac:dyDescent="0.2">
      <c r="A12737" s="6" t="str">
        <f>"IL27"</f>
        <v>IL27</v>
      </c>
      <c r="B12737" s="6">
        <v>0.48199999999999998</v>
      </c>
      <c r="C12737" s="6">
        <v>0.63263235039199806</v>
      </c>
    </row>
    <row r="12738" spans="1:3" s="7" customFormat="1" x14ac:dyDescent="0.2">
      <c r="A12738" s="6" t="str">
        <f>"TUBB4A"</f>
        <v>TUBB4A</v>
      </c>
      <c r="B12738" s="6">
        <v>0.482517482517482</v>
      </c>
      <c r="C12738" s="6">
        <v>0.63263235039199806</v>
      </c>
    </row>
    <row r="12739" spans="1:3" s="7" customFormat="1" x14ac:dyDescent="0.2">
      <c r="A12739" s="6" t="str">
        <f>"DUSP6"</f>
        <v>DUSP6</v>
      </c>
      <c r="B12739" s="6">
        <v>0.482517482517482</v>
      </c>
      <c r="C12739" s="6">
        <v>0.63263235039199806</v>
      </c>
    </row>
    <row r="12740" spans="1:3" s="7" customFormat="1" x14ac:dyDescent="0.2">
      <c r="A12740" s="6" t="str">
        <f>"FBXO44"</f>
        <v>FBXO44</v>
      </c>
      <c r="B12740" s="6">
        <v>0.482517482517482</v>
      </c>
      <c r="C12740" s="6">
        <v>0.63263235039199806</v>
      </c>
    </row>
    <row r="12741" spans="1:3" s="7" customFormat="1" x14ac:dyDescent="0.2">
      <c r="A12741" s="6" t="str">
        <f>"RPL12P25"</f>
        <v>RPL12P25</v>
      </c>
      <c r="B12741" s="6">
        <v>0.48237663645518603</v>
      </c>
      <c r="C12741" s="6">
        <v>0.63263235039199806</v>
      </c>
    </row>
    <row r="12742" spans="1:3" s="7" customFormat="1" x14ac:dyDescent="0.2">
      <c r="A12742" s="6" t="str">
        <f>"PSMA4"</f>
        <v>PSMA4</v>
      </c>
      <c r="B12742" s="6">
        <v>0.482517482517482</v>
      </c>
      <c r="C12742" s="6">
        <v>0.63263235039199806</v>
      </c>
    </row>
    <row r="12743" spans="1:3" s="7" customFormat="1" x14ac:dyDescent="0.2">
      <c r="A12743" s="6" t="str">
        <f>"MAN2C1"</f>
        <v>MAN2C1</v>
      </c>
      <c r="B12743" s="6">
        <v>0.482517482517482</v>
      </c>
      <c r="C12743" s="6">
        <v>0.63263235039199806</v>
      </c>
    </row>
    <row r="12744" spans="1:3" s="7" customFormat="1" x14ac:dyDescent="0.2">
      <c r="A12744" s="6" t="str">
        <f>"AC024028.1"</f>
        <v>AC024028.1</v>
      </c>
      <c r="B12744" s="6">
        <v>0.48240635641316598</v>
      </c>
      <c r="C12744" s="6">
        <v>0.63263235039199806</v>
      </c>
    </row>
    <row r="12745" spans="1:3" s="7" customFormat="1" x14ac:dyDescent="0.2">
      <c r="A12745" s="6" t="str">
        <f>"AC078785.1"</f>
        <v>AC078785.1</v>
      </c>
      <c r="B12745" s="6">
        <v>0.48199999999999998</v>
      </c>
      <c r="C12745" s="6">
        <v>0.63263235039199806</v>
      </c>
    </row>
    <row r="12746" spans="1:3" s="7" customFormat="1" x14ac:dyDescent="0.2">
      <c r="A12746" s="6" t="str">
        <f>"RGS20"</f>
        <v>RGS20</v>
      </c>
      <c r="B12746" s="6">
        <v>0.482517482517482</v>
      </c>
      <c r="C12746" s="6">
        <v>0.63263235039199806</v>
      </c>
    </row>
    <row r="12747" spans="1:3" s="7" customFormat="1" x14ac:dyDescent="0.2">
      <c r="A12747" s="6" t="str">
        <f>"TYW5"</f>
        <v>TYW5</v>
      </c>
      <c r="B12747" s="6">
        <v>0.482517482517482</v>
      </c>
      <c r="C12747" s="6">
        <v>0.63263235039199806</v>
      </c>
    </row>
    <row r="12748" spans="1:3" s="7" customFormat="1" x14ac:dyDescent="0.2">
      <c r="A12748" s="6" t="str">
        <f>"EFCAB14"</f>
        <v>EFCAB14</v>
      </c>
      <c r="B12748" s="6">
        <v>0.482517482517482</v>
      </c>
      <c r="C12748" s="6">
        <v>0.63263235039199806</v>
      </c>
    </row>
    <row r="12749" spans="1:3" s="7" customFormat="1" x14ac:dyDescent="0.2">
      <c r="A12749" s="6" t="str">
        <f>"AFF4"</f>
        <v>AFF4</v>
      </c>
      <c r="B12749" s="6">
        <v>0.482517482517482</v>
      </c>
      <c r="C12749" s="6">
        <v>0.63263235039199806</v>
      </c>
    </row>
    <row r="12750" spans="1:3" s="7" customFormat="1" x14ac:dyDescent="0.2">
      <c r="A12750" s="6" t="str">
        <f>"LMBRD1"</f>
        <v>LMBRD1</v>
      </c>
      <c r="B12750" s="6">
        <v>0.48351648351648302</v>
      </c>
      <c r="C12750" s="6">
        <v>0.633445250469862</v>
      </c>
    </row>
    <row r="12751" spans="1:3" s="7" customFormat="1" x14ac:dyDescent="0.2">
      <c r="A12751" s="6" t="str">
        <f>"AL137002.2"</f>
        <v>AL137002.2</v>
      </c>
      <c r="B12751" s="6">
        <v>0.48351648351648302</v>
      </c>
      <c r="C12751" s="6">
        <v>0.633445250469862</v>
      </c>
    </row>
    <row r="12752" spans="1:3" s="7" customFormat="1" x14ac:dyDescent="0.2">
      <c r="A12752" s="6" t="str">
        <f>"GGCX"</f>
        <v>GGCX</v>
      </c>
      <c r="B12752" s="6">
        <v>0.48351648351648302</v>
      </c>
      <c r="C12752" s="6">
        <v>0.633445250469862</v>
      </c>
    </row>
    <row r="12753" spans="1:3" s="7" customFormat="1" x14ac:dyDescent="0.2">
      <c r="A12753" s="6" t="str">
        <f>"SRARP"</f>
        <v>SRARP</v>
      </c>
      <c r="B12753" s="6">
        <v>0.48351648351648302</v>
      </c>
      <c r="C12753" s="6">
        <v>0.633445250469862</v>
      </c>
    </row>
    <row r="12754" spans="1:3" s="7" customFormat="1" x14ac:dyDescent="0.2">
      <c r="A12754" s="6" t="str">
        <f>"CA6"</f>
        <v>CA6</v>
      </c>
      <c r="B12754" s="6">
        <v>0.48351648351648302</v>
      </c>
      <c r="C12754" s="6">
        <v>0.633445250469862</v>
      </c>
    </row>
    <row r="12755" spans="1:3" s="7" customFormat="1" x14ac:dyDescent="0.2">
      <c r="A12755" s="6" t="str">
        <f>"TM4SF19"</f>
        <v>TM4SF19</v>
      </c>
      <c r="B12755" s="6">
        <v>0.48351648351648302</v>
      </c>
      <c r="C12755" s="6">
        <v>0.633445250469862</v>
      </c>
    </row>
    <row r="12756" spans="1:3" s="7" customFormat="1" x14ac:dyDescent="0.2">
      <c r="A12756" s="6" t="str">
        <f>"CD81-AS1"</f>
        <v>CD81-AS1</v>
      </c>
      <c r="B12756" s="6">
        <v>0.48351648351648302</v>
      </c>
      <c r="C12756" s="6">
        <v>0.633445250469862</v>
      </c>
    </row>
    <row r="12757" spans="1:3" s="7" customFormat="1" x14ac:dyDescent="0.2">
      <c r="A12757" s="6" t="str">
        <f>"AC011294.1"</f>
        <v>AC011294.1</v>
      </c>
      <c r="B12757" s="6">
        <v>0.48351648351648302</v>
      </c>
      <c r="C12757" s="6">
        <v>0.633445250469862</v>
      </c>
    </row>
    <row r="12758" spans="1:3" s="7" customFormat="1" x14ac:dyDescent="0.2">
      <c r="A12758" s="6" t="str">
        <f>"THBS2"</f>
        <v>THBS2</v>
      </c>
      <c r="B12758" s="6">
        <v>0.48351648351648302</v>
      </c>
      <c r="C12758" s="6">
        <v>0.633445250469862</v>
      </c>
    </row>
    <row r="12759" spans="1:3" s="7" customFormat="1" x14ac:dyDescent="0.2">
      <c r="A12759" s="6" t="str">
        <f>"GOLGA8G"</f>
        <v>GOLGA8G</v>
      </c>
      <c r="B12759" s="6">
        <v>0.48351648351648302</v>
      </c>
      <c r="C12759" s="6">
        <v>0.633445250469862</v>
      </c>
    </row>
    <row r="12760" spans="1:3" s="7" customFormat="1" x14ac:dyDescent="0.2">
      <c r="A12760" s="6" t="str">
        <f>"DHX9"</f>
        <v>DHX9</v>
      </c>
      <c r="B12760" s="6">
        <v>0.48399999999999999</v>
      </c>
      <c r="C12760" s="6">
        <v>0.63392962933939301</v>
      </c>
    </row>
    <row r="12761" spans="1:3" s="7" customFormat="1" x14ac:dyDescent="0.2">
      <c r="A12761" s="6" t="str">
        <f>"AL049795.2"</f>
        <v>AL049795.2</v>
      </c>
      <c r="B12761" s="6">
        <v>0.48399999999999999</v>
      </c>
      <c r="C12761" s="6">
        <v>0.63392962933939301</v>
      </c>
    </row>
    <row r="12762" spans="1:3" s="7" customFormat="1" x14ac:dyDescent="0.2">
      <c r="A12762" s="6" t="str">
        <f>"AC006207.1"</f>
        <v>AC006207.1</v>
      </c>
      <c r="B12762" s="6">
        <v>0.48396793587174303</v>
      </c>
      <c r="C12762" s="6">
        <v>0.63392962933939301</v>
      </c>
    </row>
    <row r="12763" spans="1:3" s="7" customFormat="1" x14ac:dyDescent="0.2">
      <c r="A12763" s="6" t="str">
        <f>"MTMR9LP"</f>
        <v>MTMR9LP</v>
      </c>
      <c r="B12763" s="6">
        <v>0.48451548451548399</v>
      </c>
      <c r="C12763" s="6">
        <v>0.63415754175346895</v>
      </c>
    </row>
    <row r="12764" spans="1:3" s="7" customFormat="1" x14ac:dyDescent="0.2">
      <c r="A12764" s="6" t="str">
        <f>"MTERF3"</f>
        <v>MTERF3</v>
      </c>
      <c r="B12764" s="6">
        <v>0.48451548451548399</v>
      </c>
      <c r="C12764" s="6">
        <v>0.63415754175346895</v>
      </c>
    </row>
    <row r="12765" spans="1:3" s="7" customFormat="1" x14ac:dyDescent="0.2">
      <c r="A12765" s="6" t="str">
        <f>"AC002470.2"</f>
        <v>AC002470.2</v>
      </c>
      <c r="B12765" s="6">
        <v>0.48451548451548399</v>
      </c>
      <c r="C12765" s="6">
        <v>0.63415754175346895</v>
      </c>
    </row>
    <row r="12766" spans="1:3" s="7" customFormat="1" x14ac:dyDescent="0.2">
      <c r="A12766" s="6" t="str">
        <f>"SH3BP5-AS1"</f>
        <v>SH3BP5-AS1</v>
      </c>
      <c r="B12766" s="6">
        <v>0.48451548451548399</v>
      </c>
      <c r="C12766" s="6">
        <v>0.63415754175346895</v>
      </c>
    </row>
    <row r="12767" spans="1:3" s="7" customFormat="1" x14ac:dyDescent="0.2">
      <c r="A12767" s="6" t="str">
        <f>"AC120114.3"</f>
        <v>AC120114.3</v>
      </c>
      <c r="B12767" s="6">
        <v>0.48451548451548399</v>
      </c>
      <c r="C12767" s="6">
        <v>0.63415754175346895</v>
      </c>
    </row>
    <row r="12768" spans="1:3" s="7" customFormat="1" x14ac:dyDescent="0.2">
      <c r="A12768" s="6" t="str">
        <f>"IL10RB"</f>
        <v>IL10RB</v>
      </c>
      <c r="B12768" s="6">
        <v>0.48451548451548399</v>
      </c>
      <c r="C12768" s="6">
        <v>0.63415754175346895</v>
      </c>
    </row>
    <row r="12769" spans="1:3" s="7" customFormat="1" x14ac:dyDescent="0.2">
      <c r="A12769" s="6" t="str">
        <f>"GORAB"</f>
        <v>GORAB</v>
      </c>
      <c r="B12769" s="6">
        <v>0.48451548451548399</v>
      </c>
      <c r="C12769" s="6">
        <v>0.63415754175346895</v>
      </c>
    </row>
    <row r="12770" spans="1:3" s="7" customFormat="1" x14ac:dyDescent="0.2">
      <c r="A12770" s="6" t="str">
        <f>"AL606760.2"</f>
        <v>AL606760.2</v>
      </c>
      <c r="B12770" s="6">
        <v>0.48426395939086198</v>
      </c>
      <c r="C12770" s="6">
        <v>0.63415754175346895</v>
      </c>
    </row>
    <row r="12771" spans="1:3" s="7" customFormat="1" x14ac:dyDescent="0.2">
      <c r="A12771" s="6" t="str">
        <f>"TMEM255B"</f>
        <v>TMEM255B</v>
      </c>
      <c r="B12771" s="6">
        <v>0.48451548451548399</v>
      </c>
      <c r="C12771" s="6">
        <v>0.63415754175346895</v>
      </c>
    </row>
    <row r="12772" spans="1:3" s="7" customFormat="1" x14ac:dyDescent="0.2">
      <c r="A12772" s="6" t="str">
        <f>"ARPC4"</f>
        <v>ARPC4</v>
      </c>
      <c r="B12772" s="6">
        <v>0.48499999999999999</v>
      </c>
      <c r="C12772" s="6">
        <v>0.63469229564672702</v>
      </c>
    </row>
    <row r="12773" spans="1:3" s="7" customFormat="1" x14ac:dyDescent="0.2">
      <c r="A12773" s="6" t="str">
        <f>"EFNA1"</f>
        <v>EFNA1</v>
      </c>
      <c r="B12773" s="6">
        <v>0.48499999999999999</v>
      </c>
      <c r="C12773" s="6">
        <v>0.63469229564672702</v>
      </c>
    </row>
    <row r="12774" spans="1:3" s="7" customFormat="1" x14ac:dyDescent="0.2">
      <c r="A12774" s="6" t="str">
        <f>"ISL2"</f>
        <v>ISL2</v>
      </c>
      <c r="B12774" s="6">
        <v>0.48551448551448501</v>
      </c>
      <c r="C12774" s="6">
        <v>0.63486849561016301</v>
      </c>
    </row>
    <row r="12775" spans="1:3" s="7" customFormat="1" x14ac:dyDescent="0.2">
      <c r="A12775" s="6" t="str">
        <f>"YTHDF2"</f>
        <v>YTHDF2</v>
      </c>
      <c r="B12775" s="6">
        <v>0.48551448551448501</v>
      </c>
      <c r="C12775" s="6">
        <v>0.63486849561016301</v>
      </c>
    </row>
    <row r="12776" spans="1:3" s="7" customFormat="1" x14ac:dyDescent="0.2">
      <c r="A12776" s="6" t="str">
        <f>"MVD"</f>
        <v>MVD</v>
      </c>
      <c r="B12776" s="6">
        <v>0.48551448551448501</v>
      </c>
      <c r="C12776" s="6">
        <v>0.63486849561016301</v>
      </c>
    </row>
    <row r="12777" spans="1:3" s="7" customFormat="1" x14ac:dyDescent="0.2">
      <c r="A12777" s="6" t="str">
        <f>"OGFOD2"</f>
        <v>OGFOD2</v>
      </c>
      <c r="B12777" s="6">
        <v>0.48551448551448501</v>
      </c>
      <c r="C12777" s="6">
        <v>0.63486849561016301</v>
      </c>
    </row>
    <row r="12778" spans="1:3" s="7" customFormat="1" x14ac:dyDescent="0.2">
      <c r="A12778" s="6" t="str">
        <f>"LMBR1L"</f>
        <v>LMBR1L</v>
      </c>
      <c r="B12778" s="6">
        <v>0.48551448551448501</v>
      </c>
      <c r="C12778" s="6">
        <v>0.63486849561016301</v>
      </c>
    </row>
    <row r="12779" spans="1:3" s="7" customFormat="1" x14ac:dyDescent="0.2">
      <c r="A12779" s="6" t="str">
        <f>"NKPD1"</f>
        <v>NKPD1</v>
      </c>
      <c r="B12779" s="6">
        <v>0.48551448551448501</v>
      </c>
      <c r="C12779" s="6">
        <v>0.63486849561016301</v>
      </c>
    </row>
    <row r="12780" spans="1:3" s="7" customFormat="1" x14ac:dyDescent="0.2">
      <c r="A12780" s="6" t="str">
        <f>"MORN4"</f>
        <v>MORN4</v>
      </c>
      <c r="B12780" s="6">
        <v>0.48551448551448501</v>
      </c>
      <c r="C12780" s="6">
        <v>0.63486849561016301</v>
      </c>
    </row>
    <row r="12781" spans="1:3" s="7" customFormat="1" x14ac:dyDescent="0.2">
      <c r="A12781" s="6" t="str">
        <f>"CCDC117"</f>
        <v>CCDC117</v>
      </c>
      <c r="B12781" s="6">
        <v>0.48551448551448501</v>
      </c>
      <c r="C12781" s="6">
        <v>0.63486849561016301</v>
      </c>
    </row>
    <row r="12782" spans="1:3" s="7" customFormat="1" x14ac:dyDescent="0.2">
      <c r="A12782" s="6" t="str">
        <f>"AC105001.2"</f>
        <v>AC105001.2</v>
      </c>
      <c r="B12782" s="6">
        <v>0.48551448551448501</v>
      </c>
      <c r="C12782" s="6">
        <v>0.63486849561016301</v>
      </c>
    </row>
    <row r="12783" spans="1:3" s="7" customFormat="1" x14ac:dyDescent="0.2">
      <c r="A12783" s="6" t="str">
        <f>"EXOC8"</f>
        <v>EXOC8</v>
      </c>
      <c r="B12783" s="6">
        <v>0.48551448551448501</v>
      </c>
      <c r="C12783" s="6">
        <v>0.63486849561016301</v>
      </c>
    </row>
    <row r="12784" spans="1:3" s="7" customFormat="1" x14ac:dyDescent="0.2">
      <c r="A12784" s="6" t="str">
        <f>"BLOC1S6"</f>
        <v>BLOC1S6</v>
      </c>
      <c r="B12784" s="6">
        <v>0.48651348651348603</v>
      </c>
      <c r="C12784" s="6">
        <v>0.63562779751320297</v>
      </c>
    </row>
    <row r="12785" spans="1:3" s="7" customFormat="1" x14ac:dyDescent="0.2">
      <c r="A12785" s="6" t="str">
        <f>"PAXX"</f>
        <v>PAXX</v>
      </c>
      <c r="B12785" s="6">
        <v>0.48651348651348603</v>
      </c>
      <c r="C12785" s="6">
        <v>0.63562779751320297</v>
      </c>
    </row>
    <row r="12786" spans="1:3" s="7" customFormat="1" x14ac:dyDescent="0.2">
      <c r="A12786" s="6" t="str">
        <f>"PPP1CC"</f>
        <v>PPP1CC</v>
      </c>
      <c r="B12786" s="6">
        <v>0.48651348651348603</v>
      </c>
      <c r="C12786" s="6">
        <v>0.63562779751320297</v>
      </c>
    </row>
    <row r="12787" spans="1:3" s="7" customFormat="1" x14ac:dyDescent="0.2">
      <c r="A12787" s="6" t="str">
        <f>"ZNF804A"</f>
        <v>ZNF804A</v>
      </c>
      <c r="B12787" s="6">
        <v>0.48651348651348603</v>
      </c>
      <c r="C12787" s="6">
        <v>0.63562779751320297</v>
      </c>
    </row>
    <row r="12788" spans="1:3" s="7" customFormat="1" x14ac:dyDescent="0.2">
      <c r="A12788" s="6" t="str">
        <f>"CFAP97D1"</f>
        <v>CFAP97D1</v>
      </c>
      <c r="B12788" s="6">
        <v>0.48618784530386699</v>
      </c>
      <c r="C12788" s="6">
        <v>0.63562779751320297</v>
      </c>
    </row>
    <row r="12789" spans="1:3" s="7" customFormat="1" x14ac:dyDescent="0.2">
      <c r="A12789" s="6" t="str">
        <f>"ZNF407"</f>
        <v>ZNF407</v>
      </c>
      <c r="B12789" s="6">
        <v>0.48651348651348603</v>
      </c>
      <c r="C12789" s="6">
        <v>0.63562779751320297</v>
      </c>
    </row>
    <row r="12790" spans="1:3" s="7" customFormat="1" x14ac:dyDescent="0.2">
      <c r="A12790" s="6" t="str">
        <f>"DCBLD1"</f>
        <v>DCBLD1</v>
      </c>
      <c r="B12790" s="6">
        <v>0.48651348651348603</v>
      </c>
      <c r="C12790" s="6">
        <v>0.63562779751320297</v>
      </c>
    </row>
    <row r="12791" spans="1:3" s="7" customFormat="1" x14ac:dyDescent="0.2">
      <c r="A12791" s="6" t="str">
        <f>"TOR1B"</f>
        <v>TOR1B</v>
      </c>
      <c r="B12791" s="6">
        <v>0.48651348651348603</v>
      </c>
      <c r="C12791" s="6">
        <v>0.63562779751320297</v>
      </c>
    </row>
    <row r="12792" spans="1:3" s="7" customFormat="1" x14ac:dyDescent="0.2">
      <c r="A12792" s="6" t="str">
        <f>"RAB14"</f>
        <v>RAB14</v>
      </c>
      <c r="B12792" s="6">
        <v>0.48651348651348603</v>
      </c>
      <c r="C12792" s="6">
        <v>0.63562779751320297</v>
      </c>
    </row>
    <row r="12793" spans="1:3" s="7" customFormat="1" x14ac:dyDescent="0.2">
      <c r="A12793" s="6" t="str">
        <f>"LINC02523"</f>
        <v>LINC02523</v>
      </c>
      <c r="B12793" s="6">
        <v>0.48648648648648601</v>
      </c>
      <c r="C12793" s="6">
        <v>0.63562779751320297</v>
      </c>
    </row>
    <row r="12794" spans="1:3" s="7" customFormat="1" x14ac:dyDescent="0.2">
      <c r="A12794" s="6" t="str">
        <f>"ELOVL1"</f>
        <v>ELOVL1</v>
      </c>
      <c r="B12794" s="6">
        <v>0.48651348651348603</v>
      </c>
      <c r="C12794" s="6">
        <v>0.63562779751320297</v>
      </c>
    </row>
    <row r="12795" spans="1:3" s="7" customFormat="1" x14ac:dyDescent="0.2">
      <c r="A12795" s="6" t="str">
        <f>"PCDH11X"</f>
        <v>PCDH11X</v>
      </c>
      <c r="B12795" s="6">
        <v>0.48673469387755097</v>
      </c>
      <c r="C12795" s="6">
        <v>0.63586709969277699</v>
      </c>
    </row>
    <row r="12796" spans="1:3" s="7" customFormat="1" x14ac:dyDescent="0.2">
      <c r="A12796" s="6" t="str">
        <f>"FAM53B"</f>
        <v>FAM53B</v>
      </c>
      <c r="B12796" s="6">
        <v>0.48699999999999999</v>
      </c>
      <c r="C12796" s="6">
        <v>0.63611425445451697</v>
      </c>
    </row>
    <row r="12797" spans="1:3" s="7" customFormat="1" x14ac:dyDescent="0.2">
      <c r="A12797" s="6" t="str">
        <f>"GPC6"</f>
        <v>GPC6</v>
      </c>
      <c r="B12797" s="6">
        <v>0.48699999999999999</v>
      </c>
      <c r="C12797" s="6">
        <v>0.63611425445451697</v>
      </c>
    </row>
    <row r="12798" spans="1:3" s="7" customFormat="1" x14ac:dyDescent="0.2">
      <c r="A12798" s="6" t="str">
        <f>"SPINT2"</f>
        <v>SPINT2</v>
      </c>
      <c r="B12798" s="6">
        <v>0.48751248751248699</v>
      </c>
      <c r="C12798" s="6">
        <v>0.63663440239735203</v>
      </c>
    </row>
    <row r="12799" spans="1:3" s="7" customFormat="1" x14ac:dyDescent="0.2">
      <c r="A12799" s="6" t="str">
        <f>"SGO1-AS1"</f>
        <v>SGO1-AS1</v>
      </c>
      <c r="B12799" s="6">
        <v>0.48751248751248699</v>
      </c>
      <c r="C12799" s="6">
        <v>0.63663440239735203</v>
      </c>
    </row>
    <row r="12800" spans="1:3" s="7" customFormat="1" x14ac:dyDescent="0.2">
      <c r="A12800" s="6" t="str">
        <f>"FILIP1"</f>
        <v>FILIP1</v>
      </c>
      <c r="B12800" s="6">
        <v>0.48751248751248699</v>
      </c>
      <c r="C12800" s="6">
        <v>0.63663440239735203</v>
      </c>
    </row>
    <row r="12801" spans="1:3" s="7" customFormat="1" x14ac:dyDescent="0.2">
      <c r="A12801" s="6" t="str">
        <f>"VPREB3"</f>
        <v>VPREB3</v>
      </c>
      <c r="B12801" s="6">
        <v>0.48851148851148801</v>
      </c>
      <c r="C12801" s="6">
        <v>0.63734142681921901</v>
      </c>
    </row>
    <row r="12802" spans="1:3" s="7" customFormat="1" x14ac:dyDescent="0.2">
      <c r="A12802" s="6" t="str">
        <f>"ZNF394"</f>
        <v>ZNF394</v>
      </c>
      <c r="B12802" s="6">
        <v>0.48851148851148801</v>
      </c>
      <c r="C12802" s="6">
        <v>0.63734142681921901</v>
      </c>
    </row>
    <row r="12803" spans="1:3" s="7" customFormat="1" x14ac:dyDescent="0.2">
      <c r="A12803" s="6" t="str">
        <f>"ATP5MPL"</f>
        <v>ATP5MPL</v>
      </c>
      <c r="B12803" s="6">
        <v>0.48851148851148801</v>
      </c>
      <c r="C12803" s="6">
        <v>0.63734142681921901</v>
      </c>
    </row>
    <row r="12804" spans="1:3" s="7" customFormat="1" x14ac:dyDescent="0.2">
      <c r="A12804" s="6" t="str">
        <f>"LINC02749"</f>
        <v>LINC02749</v>
      </c>
      <c r="B12804" s="6">
        <v>0.48851148851148801</v>
      </c>
      <c r="C12804" s="6">
        <v>0.63734142681921901</v>
      </c>
    </row>
    <row r="12805" spans="1:3" s="7" customFormat="1" x14ac:dyDescent="0.2">
      <c r="A12805" s="6" t="str">
        <f>"TSR2"</f>
        <v>TSR2</v>
      </c>
      <c r="B12805" s="6">
        <v>0.48851148851148801</v>
      </c>
      <c r="C12805" s="6">
        <v>0.63734142681921901</v>
      </c>
    </row>
    <row r="12806" spans="1:3" s="7" customFormat="1" x14ac:dyDescent="0.2">
      <c r="A12806" s="6" t="str">
        <f>"DMRTA2"</f>
        <v>DMRTA2</v>
      </c>
      <c r="B12806" s="6">
        <v>0.48851148851148801</v>
      </c>
      <c r="C12806" s="6">
        <v>0.63734142681921901</v>
      </c>
    </row>
    <row r="12807" spans="1:3" s="7" customFormat="1" x14ac:dyDescent="0.2">
      <c r="A12807" s="6" t="str">
        <f>"CDC27"</f>
        <v>CDC27</v>
      </c>
      <c r="B12807" s="6">
        <v>0.48851148851148801</v>
      </c>
      <c r="C12807" s="6">
        <v>0.63734142681921901</v>
      </c>
    </row>
    <row r="12808" spans="1:3" s="7" customFormat="1" x14ac:dyDescent="0.2">
      <c r="A12808" s="6" t="str">
        <f>"CATSPERE"</f>
        <v>CATSPERE</v>
      </c>
      <c r="B12808" s="6">
        <v>0.48851148851148801</v>
      </c>
      <c r="C12808" s="6">
        <v>0.63734142681921901</v>
      </c>
    </row>
    <row r="12809" spans="1:3" s="7" customFormat="1" x14ac:dyDescent="0.2">
      <c r="A12809" s="6" t="str">
        <f>"PSMD9"</f>
        <v>PSMD9</v>
      </c>
      <c r="B12809" s="6">
        <v>0.48851148851148801</v>
      </c>
      <c r="C12809" s="6">
        <v>0.63734142681921901</v>
      </c>
    </row>
    <row r="12810" spans="1:3" s="7" customFormat="1" x14ac:dyDescent="0.2">
      <c r="A12810" s="6" t="str">
        <f>"RPL32P29"</f>
        <v>RPL32P29</v>
      </c>
      <c r="B12810" s="6">
        <v>0.48851148851148801</v>
      </c>
      <c r="C12810" s="6">
        <v>0.63734142681921901</v>
      </c>
    </row>
    <row r="12811" spans="1:3" s="7" customFormat="1" x14ac:dyDescent="0.2">
      <c r="A12811" s="6" t="str">
        <f>"SLC44A1"</f>
        <v>SLC44A1</v>
      </c>
      <c r="B12811" s="6">
        <v>0.48851148851148801</v>
      </c>
      <c r="C12811" s="6">
        <v>0.63734142681921901</v>
      </c>
    </row>
    <row r="12812" spans="1:3" s="7" customFormat="1" x14ac:dyDescent="0.2">
      <c r="A12812" s="6" t="str">
        <f>"GDAP2"</f>
        <v>GDAP2</v>
      </c>
      <c r="B12812" s="6">
        <v>0.48851148851148801</v>
      </c>
      <c r="C12812" s="6">
        <v>0.63734142681921901</v>
      </c>
    </row>
    <row r="12813" spans="1:3" s="7" customFormat="1" x14ac:dyDescent="0.2">
      <c r="A12813" s="6" t="str">
        <f>"EIF1AXP1"</f>
        <v>EIF1AXP1</v>
      </c>
      <c r="B12813" s="6">
        <v>0.48899999999999999</v>
      </c>
      <c r="C12813" s="6">
        <v>0.63792897283796401</v>
      </c>
    </row>
    <row r="12814" spans="1:3" s="7" customFormat="1" x14ac:dyDescent="0.2">
      <c r="A12814" s="6" t="str">
        <f>"PAPSS1"</f>
        <v>PAPSS1</v>
      </c>
      <c r="B12814" s="6">
        <v>0.48951048951048898</v>
      </c>
      <c r="C12814" s="6">
        <v>0.63819643694838701</v>
      </c>
    </row>
    <row r="12815" spans="1:3" s="7" customFormat="1" x14ac:dyDescent="0.2">
      <c r="A12815" s="6" t="str">
        <f>"MTERF2"</f>
        <v>MTERF2</v>
      </c>
      <c r="B12815" s="6">
        <v>0.48951048951048898</v>
      </c>
      <c r="C12815" s="6">
        <v>0.63819643694838701</v>
      </c>
    </row>
    <row r="12816" spans="1:3" s="7" customFormat="1" x14ac:dyDescent="0.2">
      <c r="A12816" s="6" t="str">
        <f>"CD248"</f>
        <v>CD248</v>
      </c>
      <c r="B12816" s="6">
        <v>0.48951048951048898</v>
      </c>
      <c r="C12816" s="6">
        <v>0.63819643694838701</v>
      </c>
    </row>
    <row r="12817" spans="1:3" s="7" customFormat="1" x14ac:dyDescent="0.2">
      <c r="A12817" s="6" t="str">
        <f>"EI24"</f>
        <v>EI24</v>
      </c>
      <c r="B12817" s="6">
        <v>0.48951048951048898</v>
      </c>
      <c r="C12817" s="6">
        <v>0.63819643694838701</v>
      </c>
    </row>
    <row r="12818" spans="1:3" s="7" customFormat="1" x14ac:dyDescent="0.2">
      <c r="A12818" s="6" t="str">
        <f>"ZNF665"</f>
        <v>ZNF665</v>
      </c>
      <c r="B12818" s="6">
        <v>0.48951048951048898</v>
      </c>
      <c r="C12818" s="6">
        <v>0.63819643694838701</v>
      </c>
    </row>
    <row r="12819" spans="1:3" s="7" customFormat="1" x14ac:dyDescent="0.2">
      <c r="A12819" s="6" t="str">
        <f>"ATP6V1G2-DDX39B"</f>
        <v>ATP6V1G2-DDX39B</v>
      </c>
      <c r="B12819" s="6">
        <v>0.48951048951048898</v>
      </c>
      <c r="C12819" s="6">
        <v>0.63819643694838701</v>
      </c>
    </row>
    <row r="12820" spans="1:3" s="7" customFormat="1" x14ac:dyDescent="0.2">
      <c r="A12820" s="6" t="str">
        <f>"PSMA3"</f>
        <v>PSMA3</v>
      </c>
      <c r="B12820" s="6">
        <v>0.48951048951048898</v>
      </c>
      <c r="C12820" s="6">
        <v>0.63819643694838701</v>
      </c>
    </row>
    <row r="12821" spans="1:3" s="7" customFormat="1" x14ac:dyDescent="0.2">
      <c r="A12821" s="6" t="str">
        <f>"SCOC-AS1"</f>
        <v>SCOC-AS1</v>
      </c>
      <c r="B12821" s="6">
        <v>0.48951048951048898</v>
      </c>
      <c r="C12821" s="6">
        <v>0.63819643694838701</v>
      </c>
    </row>
    <row r="12822" spans="1:3" s="7" customFormat="1" x14ac:dyDescent="0.2">
      <c r="A12822" s="6" t="str">
        <f>"SLC39A1"</f>
        <v>SLC39A1</v>
      </c>
      <c r="B12822" s="6">
        <v>0.49</v>
      </c>
      <c r="C12822" s="6">
        <v>0.63868517507603495</v>
      </c>
    </row>
    <row r="12823" spans="1:3" s="7" customFormat="1" x14ac:dyDescent="0.2">
      <c r="A12823" s="6" t="str">
        <f>"AC025263.1"</f>
        <v>AC025263.1</v>
      </c>
      <c r="B12823" s="6">
        <v>0.49</v>
      </c>
      <c r="C12823" s="6">
        <v>0.63868517507603495</v>
      </c>
    </row>
    <row r="12824" spans="1:3" s="7" customFormat="1" x14ac:dyDescent="0.2">
      <c r="A12824" s="6" t="str">
        <f>"AL645924.1"</f>
        <v>AL645924.1</v>
      </c>
      <c r="B12824" s="6">
        <v>0.49</v>
      </c>
      <c r="C12824" s="6">
        <v>0.63868517507603495</v>
      </c>
    </row>
    <row r="12825" spans="1:3" s="7" customFormat="1" x14ac:dyDescent="0.2">
      <c r="A12825" s="6" t="str">
        <f>"KCTD20"</f>
        <v>KCTD20</v>
      </c>
      <c r="B12825" s="6">
        <v>0.49050949050949</v>
      </c>
      <c r="C12825" s="6">
        <v>0.63905024743749494</v>
      </c>
    </row>
    <row r="12826" spans="1:3" s="7" customFormat="1" x14ac:dyDescent="0.2">
      <c r="A12826" s="6" t="str">
        <f>"AL645933.3"</f>
        <v>AL645933.3</v>
      </c>
      <c r="B12826" s="6">
        <v>0.49050949050949</v>
      </c>
      <c r="C12826" s="6">
        <v>0.63905024743749494</v>
      </c>
    </row>
    <row r="12827" spans="1:3" s="7" customFormat="1" x14ac:dyDescent="0.2">
      <c r="A12827" s="6" t="str">
        <f>"EPG5"</f>
        <v>EPG5</v>
      </c>
      <c r="B12827" s="6">
        <v>0.49050949050949</v>
      </c>
      <c r="C12827" s="6">
        <v>0.63905024743749494</v>
      </c>
    </row>
    <row r="12828" spans="1:3" s="7" customFormat="1" x14ac:dyDescent="0.2">
      <c r="A12828" s="6" t="str">
        <f>"NTHL1"</f>
        <v>NTHL1</v>
      </c>
      <c r="B12828" s="6">
        <v>0.49050949050949</v>
      </c>
      <c r="C12828" s="6">
        <v>0.63905024743749494</v>
      </c>
    </row>
    <row r="12829" spans="1:3" s="7" customFormat="1" x14ac:dyDescent="0.2">
      <c r="A12829" s="6" t="str">
        <f>"NDOR1"</f>
        <v>NDOR1</v>
      </c>
      <c r="B12829" s="6">
        <v>0.49050949050949</v>
      </c>
      <c r="C12829" s="6">
        <v>0.63905024743749494</v>
      </c>
    </row>
    <row r="12830" spans="1:3" s="7" customFormat="1" x14ac:dyDescent="0.2">
      <c r="A12830" s="6" t="str">
        <f>"DPP10-AS1"</f>
        <v>DPP10-AS1</v>
      </c>
      <c r="B12830" s="6">
        <v>0.49050949050949</v>
      </c>
      <c r="C12830" s="6">
        <v>0.63905024743749494</v>
      </c>
    </row>
    <row r="12831" spans="1:3" s="7" customFormat="1" x14ac:dyDescent="0.2">
      <c r="A12831" s="6" t="str">
        <f>"RPL13AP7"</f>
        <v>RPL13AP7</v>
      </c>
      <c r="B12831" s="6">
        <v>0.49099999999999999</v>
      </c>
      <c r="C12831" s="6">
        <v>0.63958958771724705</v>
      </c>
    </row>
    <row r="12832" spans="1:3" s="7" customFormat="1" x14ac:dyDescent="0.2">
      <c r="A12832" s="6" t="str">
        <f>"AC025180.1"</f>
        <v>AC025180.1</v>
      </c>
      <c r="B12832" s="6">
        <v>0.49099999999999999</v>
      </c>
      <c r="C12832" s="6">
        <v>0.63958958771724705</v>
      </c>
    </row>
    <row r="12833" spans="1:3" s="7" customFormat="1" x14ac:dyDescent="0.2">
      <c r="A12833" s="6" t="str">
        <f>"KCNQ1"</f>
        <v>KCNQ1</v>
      </c>
      <c r="B12833" s="6">
        <v>0.49150849150849102</v>
      </c>
      <c r="C12833" s="6">
        <v>0.63980318746673803</v>
      </c>
    </row>
    <row r="12834" spans="1:3" s="7" customFormat="1" x14ac:dyDescent="0.2">
      <c r="A12834" s="6" t="str">
        <f>"IGKV1-12"</f>
        <v>IGKV1-12</v>
      </c>
      <c r="B12834" s="6">
        <v>0.49150849150849102</v>
      </c>
      <c r="C12834" s="6">
        <v>0.63980318746673803</v>
      </c>
    </row>
    <row r="12835" spans="1:3" s="7" customFormat="1" x14ac:dyDescent="0.2">
      <c r="A12835" s="6" t="str">
        <f>"LINC02362"</f>
        <v>LINC02362</v>
      </c>
      <c r="B12835" s="6">
        <v>0.49150849150849102</v>
      </c>
      <c r="C12835" s="6">
        <v>0.63980318746673803</v>
      </c>
    </row>
    <row r="12836" spans="1:3" s="7" customFormat="1" x14ac:dyDescent="0.2">
      <c r="A12836" s="6" t="str">
        <f>"DCLRE1C"</f>
        <v>DCLRE1C</v>
      </c>
      <c r="B12836" s="6">
        <v>0.49150849150849102</v>
      </c>
      <c r="C12836" s="6">
        <v>0.63980318746673803</v>
      </c>
    </row>
    <row r="12837" spans="1:3" s="7" customFormat="1" x14ac:dyDescent="0.2">
      <c r="A12837" s="6" t="str">
        <f>"SEMA4G"</f>
        <v>SEMA4G</v>
      </c>
      <c r="B12837" s="6">
        <v>0.49150849150849102</v>
      </c>
      <c r="C12837" s="6">
        <v>0.63980318746673803</v>
      </c>
    </row>
    <row r="12838" spans="1:3" s="7" customFormat="1" x14ac:dyDescent="0.2">
      <c r="A12838" s="6" t="str">
        <f>"ZEB1-AS1"</f>
        <v>ZEB1-AS1</v>
      </c>
      <c r="B12838" s="6">
        <v>0.49150849150849102</v>
      </c>
      <c r="C12838" s="6">
        <v>0.63980318746673803</v>
      </c>
    </row>
    <row r="12839" spans="1:3" s="7" customFormat="1" x14ac:dyDescent="0.2">
      <c r="A12839" s="6" t="str">
        <f>"TMEM233"</f>
        <v>TMEM233</v>
      </c>
      <c r="B12839" s="6">
        <v>0.49150849150849102</v>
      </c>
      <c r="C12839" s="6">
        <v>0.63980318746673803</v>
      </c>
    </row>
    <row r="12840" spans="1:3" s="7" customFormat="1" x14ac:dyDescent="0.2">
      <c r="A12840" s="6" t="str">
        <f>"LINC00643"</f>
        <v>LINC00643</v>
      </c>
      <c r="B12840" s="6">
        <v>0.49150849150849102</v>
      </c>
      <c r="C12840" s="6">
        <v>0.63980318746673803</v>
      </c>
    </row>
    <row r="12841" spans="1:3" s="7" customFormat="1" x14ac:dyDescent="0.2">
      <c r="A12841" s="6" t="str">
        <f>"DDX5"</f>
        <v>DDX5</v>
      </c>
      <c r="B12841" s="6">
        <v>0.49150849150849102</v>
      </c>
      <c r="C12841" s="6">
        <v>0.63980318746673803</v>
      </c>
    </row>
    <row r="12842" spans="1:3" s="7" customFormat="1" x14ac:dyDescent="0.2">
      <c r="A12842" s="6" t="str">
        <f>"AL355385.1"</f>
        <v>AL355385.1</v>
      </c>
      <c r="B12842" s="6">
        <v>0.491869918699187</v>
      </c>
      <c r="C12842" s="6">
        <v>0.64022380041571603</v>
      </c>
    </row>
    <row r="12843" spans="1:3" s="7" customFormat="1" x14ac:dyDescent="0.2">
      <c r="A12843" s="6" t="str">
        <f>"LRRC57"</f>
        <v>LRRC57</v>
      </c>
      <c r="B12843" s="6">
        <v>0.49250749250749198</v>
      </c>
      <c r="C12843" s="6">
        <v>0.64075427958046405</v>
      </c>
    </row>
    <row r="12844" spans="1:3" s="7" customFormat="1" x14ac:dyDescent="0.2">
      <c r="A12844" s="6" t="str">
        <f>"RN7SL96P"</f>
        <v>RN7SL96P</v>
      </c>
      <c r="B12844" s="6">
        <v>0.49250749250749198</v>
      </c>
      <c r="C12844" s="6">
        <v>0.64075427958046405</v>
      </c>
    </row>
    <row r="12845" spans="1:3" s="7" customFormat="1" x14ac:dyDescent="0.2">
      <c r="A12845" s="6" t="str">
        <f>"GSDMB"</f>
        <v>GSDMB</v>
      </c>
      <c r="B12845" s="6">
        <v>0.49250749250749198</v>
      </c>
      <c r="C12845" s="6">
        <v>0.64075427958046405</v>
      </c>
    </row>
    <row r="12846" spans="1:3" s="7" customFormat="1" x14ac:dyDescent="0.2">
      <c r="A12846" s="6" t="str">
        <f>"DUXAP8"</f>
        <v>DUXAP8</v>
      </c>
      <c r="B12846" s="6">
        <v>0.49250749250749198</v>
      </c>
      <c r="C12846" s="6">
        <v>0.64075427958046405</v>
      </c>
    </row>
    <row r="12847" spans="1:3" s="7" customFormat="1" x14ac:dyDescent="0.2">
      <c r="A12847" s="6" t="str">
        <f>"TBX4"</f>
        <v>TBX4</v>
      </c>
      <c r="B12847" s="6">
        <v>0.49250749250749198</v>
      </c>
      <c r="C12847" s="6">
        <v>0.64075427958046405</v>
      </c>
    </row>
    <row r="12848" spans="1:3" s="7" customFormat="1" x14ac:dyDescent="0.2">
      <c r="A12848" s="6" t="str">
        <f>"GRK4"</f>
        <v>GRK4</v>
      </c>
      <c r="B12848" s="6">
        <v>0.49250749250749198</v>
      </c>
      <c r="C12848" s="6">
        <v>0.64075427958046405</v>
      </c>
    </row>
    <row r="12849" spans="1:3" s="7" customFormat="1" x14ac:dyDescent="0.2">
      <c r="A12849" s="6" t="str">
        <f>"UNC93B2"</f>
        <v>UNC93B2</v>
      </c>
      <c r="B12849" s="6">
        <v>0.49276859504132198</v>
      </c>
      <c r="C12849" s="6">
        <v>0.64104407670615304</v>
      </c>
    </row>
    <row r="12850" spans="1:3" s="7" customFormat="1" x14ac:dyDescent="0.2">
      <c r="A12850" s="6" t="str">
        <f>"BCORP1"</f>
        <v>BCORP1</v>
      </c>
      <c r="B12850" s="6">
        <v>0.492822966507177</v>
      </c>
      <c r="C12850" s="6">
        <v>0.64106491261584198</v>
      </c>
    </row>
    <row r="12851" spans="1:3" s="7" customFormat="1" x14ac:dyDescent="0.2">
      <c r="A12851" s="6" t="str">
        <f>"CSNK1A1"</f>
        <v>CSNK1A1</v>
      </c>
      <c r="B12851" s="6">
        <v>0.493506493506493</v>
      </c>
      <c r="C12851" s="6">
        <v>0.64150470776695701</v>
      </c>
    </row>
    <row r="12852" spans="1:3" s="7" customFormat="1" x14ac:dyDescent="0.2">
      <c r="A12852" s="6" t="str">
        <f>"PARP4"</f>
        <v>PARP4</v>
      </c>
      <c r="B12852" s="6">
        <v>0.493506493506493</v>
      </c>
      <c r="C12852" s="6">
        <v>0.64150470776695701</v>
      </c>
    </row>
    <row r="12853" spans="1:3" s="7" customFormat="1" x14ac:dyDescent="0.2">
      <c r="A12853" s="6" t="str">
        <f>"DLST"</f>
        <v>DLST</v>
      </c>
      <c r="B12853" s="6">
        <v>0.493506493506493</v>
      </c>
      <c r="C12853" s="6">
        <v>0.64150470776695701</v>
      </c>
    </row>
    <row r="12854" spans="1:3" s="7" customFormat="1" x14ac:dyDescent="0.2">
      <c r="A12854" s="6" t="str">
        <f>"AL117379.1"</f>
        <v>AL117379.1</v>
      </c>
      <c r="B12854" s="6">
        <v>0.49327817993795198</v>
      </c>
      <c r="C12854" s="6">
        <v>0.64150470776695701</v>
      </c>
    </row>
    <row r="12855" spans="1:3" s="7" customFormat="1" x14ac:dyDescent="0.2">
      <c r="A12855" s="6" t="str">
        <f>"SNHG20"</f>
        <v>SNHG20</v>
      </c>
      <c r="B12855" s="6">
        <v>0.493506493506493</v>
      </c>
      <c r="C12855" s="6">
        <v>0.64150470776695701</v>
      </c>
    </row>
    <row r="12856" spans="1:3" s="7" customFormat="1" x14ac:dyDescent="0.2">
      <c r="A12856" s="6" t="str">
        <f>"AL096870.12"</f>
        <v>AL096870.12</v>
      </c>
      <c r="B12856" s="6">
        <v>0.49349349349349297</v>
      </c>
      <c r="C12856" s="6">
        <v>0.64150470776695701</v>
      </c>
    </row>
    <row r="12857" spans="1:3" s="7" customFormat="1" x14ac:dyDescent="0.2">
      <c r="A12857" s="6" t="str">
        <f>"FAM169B"</f>
        <v>FAM169B</v>
      </c>
      <c r="B12857" s="6">
        <v>0.493506493506493</v>
      </c>
      <c r="C12857" s="6">
        <v>0.64150470776695701</v>
      </c>
    </row>
    <row r="12858" spans="1:3" s="7" customFormat="1" x14ac:dyDescent="0.2">
      <c r="A12858" s="6" t="str">
        <f>"ANKRD55"</f>
        <v>ANKRD55</v>
      </c>
      <c r="B12858" s="6">
        <v>0.493506493506493</v>
      </c>
      <c r="C12858" s="6">
        <v>0.64150470776695701</v>
      </c>
    </row>
    <row r="12859" spans="1:3" s="7" customFormat="1" x14ac:dyDescent="0.2">
      <c r="A12859" s="6" t="str">
        <f>"AL078644.1"</f>
        <v>AL078644.1</v>
      </c>
      <c r="B12859" s="6">
        <v>0.493506493506493</v>
      </c>
      <c r="C12859" s="6">
        <v>0.64150470776695701</v>
      </c>
    </row>
    <row r="12860" spans="1:3" s="7" customFormat="1" x14ac:dyDescent="0.2">
      <c r="A12860" s="6" t="str">
        <f>"ZNF724"</f>
        <v>ZNF724</v>
      </c>
      <c r="B12860" s="6">
        <v>0.49399999999999999</v>
      </c>
      <c r="C12860" s="6">
        <v>0.64204634525660897</v>
      </c>
    </row>
    <row r="12861" spans="1:3" s="7" customFormat="1" x14ac:dyDescent="0.2">
      <c r="A12861" s="6" t="str">
        <f>"ZNF449"</f>
        <v>ZNF449</v>
      </c>
      <c r="B12861" s="6">
        <v>0.49399999999999999</v>
      </c>
      <c r="C12861" s="6">
        <v>0.64204634525660897</v>
      </c>
    </row>
    <row r="12862" spans="1:3" s="7" customFormat="1" x14ac:dyDescent="0.2">
      <c r="A12862" s="6" t="str">
        <f>"ST6GALNAC3"</f>
        <v>ST6GALNAC3</v>
      </c>
      <c r="B12862" s="6">
        <v>0.49450549450549403</v>
      </c>
      <c r="C12862" s="6">
        <v>0.64225385307054395</v>
      </c>
    </row>
    <row r="12863" spans="1:3" s="7" customFormat="1" x14ac:dyDescent="0.2">
      <c r="A12863" s="6" t="str">
        <f>"IGHV3-74"</f>
        <v>IGHV3-74</v>
      </c>
      <c r="B12863" s="6">
        <v>0.49450549450549403</v>
      </c>
      <c r="C12863" s="6">
        <v>0.64225385307054395</v>
      </c>
    </row>
    <row r="12864" spans="1:3" s="7" customFormat="1" x14ac:dyDescent="0.2">
      <c r="A12864" s="6" t="str">
        <f>"ARHGEF28"</f>
        <v>ARHGEF28</v>
      </c>
      <c r="B12864" s="6">
        <v>0.49450549450549403</v>
      </c>
      <c r="C12864" s="6">
        <v>0.64225385307054395</v>
      </c>
    </row>
    <row r="12865" spans="1:3" s="7" customFormat="1" x14ac:dyDescent="0.2">
      <c r="A12865" s="6" t="str">
        <f>"EFL1P1"</f>
        <v>EFL1P1</v>
      </c>
      <c r="B12865" s="6">
        <v>0.49450549450549403</v>
      </c>
      <c r="C12865" s="6">
        <v>0.64225385307054395</v>
      </c>
    </row>
    <row r="12866" spans="1:3" s="7" customFormat="1" x14ac:dyDescent="0.2">
      <c r="A12866" s="6" t="str">
        <f>"AL049697.1"</f>
        <v>AL049697.1</v>
      </c>
      <c r="B12866" s="6">
        <v>0.49450549450549403</v>
      </c>
      <c r="C12866" s="6">
        <v>0.64225385307054395</v>
      </c>
    </row>
    <row r="12867" spans="1:3" s="7" customFormat="1" x14ac:dyDescent="0.2">
      <c r="A12867" s="6" t="str">
        <f>"ARL5A"</f>
        <v>ARL5A</v>
      </c>
      <c r="B12867" s="6">
        <v>0.49450549450549403</v>
      </c>
      <c r="C12867" s="6">
        <v>0.64225385307054395</v>
      </c>
    </row>
    <row r="12868" spans="1:3" s="7" customFormat="1" x14ac:dyDescent="0.2">
      <c r="A12868" s="6" t="str">
        <f>"SPANXA2-OT1"</f>
        <v>SPANXA2-OT1</v>
      </c>
      <c r="B12868" s="6">
        <v>0.49450549450549403</v>
      </c>
      <c r="C12868" s="6">
        <v>0.64225385307054395</v>
      </c>
    </row>
    <row r="12869" spans="1:3" s="7" customFormat="1" x14ac:dyDescent="0.2">
      <c r="A12869" s="6" t="str">
        <f>"AP002954.1"</f>
        <v>AP002954.1</v>
      </c>
      <c r="B12869" s="6">
        <v>0.49450549450549403</v>
      </c>
      <c r="C12869" s="6">
        <v>0.64225385307054395</v>
      </c>
    </row>
    <row r="12870" spans="1:3" s="7" customFormat="1" x14ac:dyDescent="0.2">
      <c r="A12870" s="6" t="str">
        <f>"SLC43A1"</f>
        <v>SLC43A1</v>
      </c>
      <c r="B12870" s="6">
        <v>0.49450549450549403</v>
      </c>
      <c r="C12870" s="6">
        <v>0.64225385307054395</v>
      </c>
    </row>
    <row r="12871" spans="1:3" s="7" customFormat="1" x14ac:dyDescent="0.2">
      <c r="A12871" s="6" t="str">
        <f>"AC040168.1"</f>
        <v>AC040168.1</v>
      </c>
      <c r="B12871" s="6">
        <v>0.495</v>
      </c>
      <c r="C12871" s="6">
        <v>0.64274627097576098</v>
      </c>
    </row>
    <row r="12872" spans="1:3" s="7" customFormat="1" x14ac:dyDescent="0.2">
      <c r="A12872" s="6" t="str">
        <f>"AL359091.3"</f>
        <v>AL359091.3</v>
      </c>
      <c r="B12872" s="6">
        <v>0.49497991967871402</v>
      </c>
      <c r="C12872" s="6">
        <v>0.64274627097576098</v>
      </c>
    </row>
    <row r="12873" spans="1:3" s="7" customFormat="1" x14ac:dyDescent="0.2">
      <c r="A12873" s="6" t="str">
        <f>"AL513165.1"</f>
        <v>AL513165.1</v>
      </c>
      <c r="B12873" s="6">
        <v>0.495</v>
      </c>
      <c r="C12873" s="6">
        <v>0.64274627097576098</v>
      </c>
    </row>
    <row r="12874" spans="1:3" s="7" customFormat="1" x14ac:dyDescent="0.2">
      <c r="A12874" s="6" t="str">
        <f>"RAB6A"</f>
        <v>RAB6A</v>
      </c>
      <c r="B12874" s="6">
        <v>0.49550449550449499</v>
      </c>
      <c r="C12874" s="6">
        <v>0.64290188929220105</v>
      </c>
    </row>
    <row r="12875" spans="1:3" s="7" customFormat="1" x14ac:dyDescent="0.2">
      <c r="A12875" s="6" t="str">
        <f>"JADE2"</f>
        <v>JADE2</v>
      </c>
      <c r="B12875" s="6">
        <v>0.49550449550449499</v>
      </c>
      <c r="C12875" s="6">
        <v>0.64290188929220105</v>
      </c>
    </row>
    <row r="12876" spans="1:3" s="7" customFormat="1" x14ac:dyDescent="0.2">
      <c r="A12876" s="6" t="str">
        <f>"GBP6"</f>
        <v>GBP6</v>
      </c>
      <c r="B12876" s="6">
        <v>0.49550449550449499</v>
      </c>
      <c r="C12876" s="6">
        <v>0.64290188929220105</v>
      </c>
    </row>
    <row r="12877" spans="1:3" s="7" customFormat="1" x14ac:dyDescent="0.2">
      <c r="A12877" s="6" t="str">
        <f>"LINC02324"</f>
        <v>LINC02324</v>
      </c>
      <c r="B12877" s="6">
        <v>0.49527806925498402</v>
      </c>
      <c r="C12877" s="6">
        <v>0.64290188929220105</v>
      </c>
    </row>
    <row r="12878" spans="1:3" s="7" customFormat="1" x14ac:dyDescent="0.2">
      <c r="A12878" s="6" t="str">
        <f>"TRIM52"</f>
        <v>TRIM52</v>
      </c>
      <c r="B12878" s="6">
        <v>0.49550449550449499</v>
      </c>
      <c r="C12878" s="6">
        <v>0.64290188929220105</v>
      </c>
    </row>
    <row r="12879" spans="1:3" s="7" customFormat="1" x14ac:dyDescent="0.2">
      <c r="A12879" s="6" t="str">
        <f>"AC010280.3"</f>
        <v>AC010280.3</v>
      </c>
      <c r="B12879" s="6">
        <v>0.49550449550449499</v>
      </c>
      <c r="C12879" s="6">
        <v>0.64290188929220105</v>
      </c>
    </row>
    <row r="12880" spans="1:3" s="7" customFormat="1" x14ac:dyDescent="0.2">
      <c r="A12880" s="6" t="str">
        <f>"IRF9"</f>
        <v>IRF9</v>
      </c>
      <c r="B12880" s="6">
        <v>0.49550449550449499</v>
      </c>
      <c r="C12880" s="6">
        <v>0.64290188929220105</v>
      </c>
    </row>
    <row r="12881" spans="1:3" s="7" customFormat="1" x14ac:dyDescent="0.2">
      <c r="A12881" s="6" t="str">
        <f>"BIN1"</f>
        <v>BIN1</v>
      </c>
      <c r="B12881" s="6">
        <v>0.49550449550449499</v>
      </c>
      <c r="C12881" s="6">
        <v>0.64290188929220105</v>
      </c>
    </row>
    <row r="12882" spans="1:3" s="7" customFormat="1" x14ac:dyDescent="0.2">
      <c r="A12882" s="6" t="str">
        <f>"C8orf48"</f>
        <v>C8orf48</v>
      </c>
      <c r="B12882" s="6">
        <v>0.49550449550449499</v>
      </c>
      <c r="C12882" s="6">
        <v>0.64290188929220105</v>
      </c>
    </row>
    <row r="12883" spans="1:3" s="7" customFormat="1" x14ac:dyDescent="0.2">
      <c r="A12883" s="6" t="str">
        <f>"CLIP2"</f>
        <v>CLIP2</v>
      </c>
      <c r="B12883" s="6">
        <v>0.49550449550449499</v>
      </c>
      <c r="C12883" s="6">
        <v>0.64290188929220105</v>
      </c>
    </row>
    <row r="12884" spans="1:3" s="7" customFormat="1" x14ac:dyDescent="0.2">
      <c r="A12884" s="6" t="str">
        <f>"PPM1H"</f>
        <v>PPM1H</v>
      </c>
      <c r="B12884" s="6">
        <v>0.496</v>
      </c>
      <c r="C12884" s="6">
        <v>0.64349483815881403</v>
      </c>
    </row>
    <row r="12885" spans="1:3" s="7" customFormat="1" x14ac:dyDescent="0.2">
      <c r="A12885" s="6" t="str">
        <f>"LAS1L"</f>
        <v>LAS1L</v>
      </c>
      <c r="B12885" s="6">
        <v>0.49650349650349601</v>
      </c>
      <c r="C12885" s="6">
        <v>0.64394812140602398</v>
      </c>
    </row>
    <row r="12886" spans="1:3" s="7" customFormat="1" x14ac:dyDescent="0.2">
      <c r="A12886" s="6" t="str">
        <f>"Z97055.2"</f>
        <v>Z97055.2</v>
      </c>
      <c r="B12886" s="6">
        <v>0.49643221202854199</v>
      </c>
      <c r="C12886" s="6">
        <v>0.64394812140602398</v>
      </c>
    </row>
    <row r="12887" spans="1:3" s="7" customFormat="1" x14ac:dyDescent="0.2">
      <c r="A12887" s="6" t="str">
        <f>"UBE2D2"</f>
        <v>UBE2D2</v>
      </c>
      <c r="B12887" s="6">
        <v>0.49650349650349601</v>
      </c>
      <c r="C12887" s="6">
        <v>0.64394812140602398</v>
      </c>
    </row>
    <row r="12888" spans="1:3" s="7" customFormat="1" x14ac:dyDescent="0.2">
      <c r="A12888" s="6" t="str">
        <f>"CCDC175"</f>
        <v>CCDC175</v>
      </c>
      <c r="B12888" s="6">
        <v>0.49650349650349601</v>
      </c>
      <c r="C12888" s="6">
        <v>0.64394812140602398</v>
      </c>
    </row>
    <row r="12889" spans="1:3" s="7" customFormat="1" x14ac:dyDescent="0.2">
      <c r="A12889" s="6" t="str">
        <f>"PELI2"</f>
        <v>PELI2</v>
      </c>
      <c r="B12889" s="6">
        <v>0.497</v>
      </c>
      <c r="C12889" s="6">
        <v>0.64444204809930095</v>
      </c>
    </row>
    <row r="12890" spans="1:3" s="7" customFormat="1" x14ac:dyDescent="0.2">
      <c r="A12890" s="6" t="str">
        <f>"AL355312.2"</f>
        <v>AL355312.2</v>
      </c>
      <c r="B12890" s="6">
        <v>0.49699398797595101</v>
      </c>
      <c r="C12890" s="6">
        <v>0.64444204809930095</v>
      </c>
    </row>
    <row r="12891" spans="1:3" s="7" customFormat="1" x14ac:dyDescent="0.2">
      <c r="A12891" s="6" t="str">
        <f>"TEX30"</f>
        <v>TEX30</v>
      </c>
      <c r="B12891" s="6">
        <v>0.497</v>
      </c>
      <c r="C12891" s="6">
        <v>0.64444204809930095</v>
      </c>
    </row>
    <row r="12892" spans="1:3" s="7" customFormat="1" x14ac:dyDescent="0.2">
      <c r="A12892" s="6" t="str">
        <f>"ZNF311"</f>
        <v>ZNF311</v>
      </c>
      <c r="B12892" s="6">
        <v>0.49750249750249698</v>
      </c>
      <c r="C12892" s="6">
        <v>0.64489349645236005</v>
      </c>
    </row>
    <row r="12893" spans="1:3" s="7" customFormat="1" x14ac:dyDescent="0.2">
      <c r="A12893" s="6" t="str">
        <f>"TEN1"</f>
        <v>TEN1</v>
      </c>
      <c r="B12893" s="6">
        <v>0.49750249750249698</v>
      </c>
      <c r="C12893" s="6">
        <v>0.64489349645236005</v>
      </c>
    </row>
    <row r="12894" spans="1:3" s="7" customFormat="1" x14ac:dyDescent="0.2">
      <c r="A12894" s="6" t="str">
        <f>"FP325332.1"</f>
        <v>FP325332.1</v>
      </c>
      <c r="B12894" s="6">
        <v>0.49750249750249698</v>
      </c>
      <c r="C12894" s="6">
        <v>0.64489349645236005</v>
      </c>
    </row>
    <row r="12895" spans="1:3" s="7" customFormat="1" x14ac:dyDescent="0.2">
      <c r="A12895" s="6" t="str">
        <f>"AC025774.1"</f>
        <v>AC025774.1</v>
      </c>
      <c r="B12895" s="6">
        <v>0.49750249750249698</v>
      </c>
      <c r="C12895" s="6">
        <v>0.64489349645236005</v>
      </c>
    </row>
    <row r="12896" spans="1:3" s="7" customFormat="1" x14ac:dyDescent="0.2">
      <c r="A12896" s="6" t="str">
        <f>"HDAC2"</f>
        <v>HDAC2</v>
      </c>
      <c r="B12896" s="6">
        <v>0.498501498501498</v>
      </c>
      <c r="C12896" s="6">
        <v>0.64578778840133599</v>
      </c>
    </row>
    <row r="12897" spans="1:3" s="7" customFormat="1" x14ac:dyDescent="0.2">
      <c r="A12897" s="6" t="str">
        <f>"NLE1"</f>
        <v>NLE1</v>
      </c>
      <c r="B12897" s="6">
        <v>0.498501498501498</v>
      </c>
      <c r="C12897" s="6">
        <v>0.64578778840133599</v>
      </c>
    </row>
    <row r="12898" spans="1:3" s="7" customFormat="1" x14ac:dyDescent="0.2">
      <c r="A12898" s="6" t="str">
        <f>"CXCL10"</f>
        <v>CXCL10</v>
      </c>
      <c r="B12898" s="6">
        <v>0.498501498501498</v>
      </c>
      <c r="C12898" s="6">
        <v>0.64578778840133599</v>
      </c>
    </row>
    <row r="12899" spans="1:3" s="7" customFormat="1" x14ac:dyDescent="0.2">
      <c r="A12899" s="6" t="str">
        <f>"TMEM183B"</f>
        <v>TMEM183B</v>
      </c>
      <c r="B12899" s="6">
        <v>0.498501498501498</v>
      </c>
      <c r="C12899" s="6">
        <v>0.64578778840133599</v>
      </c>
    </row>
    <row r="12900" spans="1:3" s="7" customFormat="1" x14ac:dyDescent="0.2">
      <c r="A12900" s="6" t="str">
        <f>"AL118506.1"</f>
        <v>AL118506.1</v>
      </c>
      <c r="B12900" s="6">
        <v>0.498501498501498</v>
      </c>
      <c r="C12900" s="6">
        <v>0.64578778840133599</v>
      </c>
    </row>
    <row r="12901" spans="1:3" s="7" customFormat="1" x14ac:dyDescent="0.2">
      <c r="A12901" s="6" t="str">
        <f>"ARHGAP22"</f>
        <v>ARHGAP22</v>
      </c>
      <c r="B12901" s="6">
        <v>0.498501498501498</v>
      </c>
      <c r="C12901" s="6">
        <v>0.64578778840133599</v>
      </c>
    </row>
    <row r="12902" spans="1:3" s="7" customFormat="1" x14ac:dyDescent="0.2">
      <c r="A12902" s="6" t="str">
        <f>"CU633906.1"</f>
        <v>CU633906.1</v>
      </c>
      <c r="B12902" s="6">
        <v>0.498501498501498</v>
      </c>
      <c r="C12902" s="6">
        <v>0.64578778840133599</v>
      </c>
    </row>
    <row r="12903" spans="1:3" s="7" customFormat="1" x14ac:dyDescent="0.2">
      <c r="A12903" s="6" t="str">
        <f>"MIP"</f>
        <v>MIP</v>
      </c>
      <c r="B12903" s="6">
        <v>0.498501498501498</v>
      </c>
      <c r="C12903" s="6">
        <v>0.64578778840133599</v>
      </c>
    </row>
    <row r="12904" spans="1:3" s="7" customFormat="1" x14ac:dyDescent="0.2">
      <c r="A12904" s="6" t="str">
        <f>"AL604028.2"</f>
        <v>AL604028.2</v>
      </c>
      <c r="B12904" s="6">
        <v>0.49896265560165898</v>
      </c>
      <c r="C12904" s="6">
        <v>0.64633510235806702</v>
      </c>
    </row>
    <row r="12905" spans="1:3" s="7" customFormat="1" x14ac:dyDescent="0.2">
      <c r="A12905" s="6" t="str">
        <f>"GTF2B"</f>
        <v>GTF2B</v>
      </c>
      <c r="B12905" s="6">
        <v>0.49950049950049902</v>
      </c>
      <c r="C12905" s="6">
        <v>0.64658080457336897</v>
      </c>
    </row>
    <row r="12906" spans="1:3" s="7" customFormat="1" x14ac:dyDescent="0.2">
      <c r="A12906" s="6" t="str">
        <f>"FAM177A1"</f>
        <v>FAM177A1</v>
      </c>
      <c r="B12906" s="6">
        <v>0.49950049950049902</v>
      </c>
      <c r="C12906" s="6">
        <v>0.64658080457336897</v>
      </c>
    </row>
    <row r="12907" spans="1:3" s="7" customFormat="1" x14ac:dyDescent="0.2">
      <c r="A12907" s="6" t="str">
        <f>"AL596214.1"</f>
        <v>AL596214.1</v>
      </c>
      <c r="B12907" s="6">
        <v>0.49949949949949901</v>
      </c>
      <c r="C12907" s="6">
        <v>0.64658080457336897</v>
      </c>
    </row>
    <row r="12908" spans="1:3" s="7" customFormat="1" x14ac:dyDescent="0.2">
      <c r="A12908" s="6" t="str">
        <f>"EFCAB13"</f>
        <v>EFCAB13</v>
      </c>
      <c r="B12908" s="6">
        <v>0.49950049950049902</v>
      </c>
      <c r="C12908" s="6">
        <v>0.64658080457336897</v>
      </c>
    </row>
    <row r="12909" spans="1:3" s="7" customFormat="1" x14ac:dyDescent="0.2">
      <c r="A12909" s="6" t="str">
        <f>"FECH"</f>
        <v>FECH</v>
      </c>
      <c r="B12909" s="6">
        <v>0.49950049950049902</v>
      </c>
      <c r="C12909" s="6">
        <v>0.64658080457336897</v>
      </c>
    </row>
    <row r="12910" spans="1:3" s="7" customFormat="1" x14ac:dyDescent="0.2">
      <c r="A12910" s="6" t="str">
        <f>"AC090181.3"</f>
        <v>AC090181.3</v>
      </c>
      <c r="B12910" s="6">
        <v>0.49950049950049902</v>
      </c>
      <c r="C12910" s="6">
        <v>0.64658080457336897</v>
      </c>
    </row>
    <row r="12911" spans="1:3" s="7" customFormat="1" x14ac:dyDescent="0.2">
      <c r="A12911" s="6" t="str">
        <f>"ARHGEF9"</f>
        <v>ARHGEF9</v>
      </c>
      <c r="B12911" s="6">
        <v>0.49950049950049902</v>
      </c>
      <c r="C12911" s="6">
        <v>0.64658080457336897</v>
      </c>
    </row>
    <row r="12912" spans="1:3" s="7" customFormat="1" x14ac:dyDescent="0.2">
      <c r="A12912" s="6" t="str">
        <f>"MRPL37"</f>
        <v>MRPL37</v>
      </c>
      <c r="B12912" s="6">
        <v>0.49950049950049902</v>
      </c>
      <c r="C12912" s="6">
        <v>0.64658080457336897</v>
      </c>
    </row>
    <row r="12913" spans="1:3" s="7" customFormat="1" x14ac:dyDescent="0.2">
      <c r="A12913" s="6" t="str">
        <f>"PPT1"</f>
        <v>PPT1</v>
      </c>
      <c r="B12913" s="6">
        <v>0.49950049950049902</v>
      </c>
      <c r="C12913" s="6">
        <v>0.64658080457336897</v>
      </c>
    </row>
    <row r="12914" spans="1:3" s="7" customFormat="1" x14ac:dyDescent="0.2">
      <c r="A12914" s="6" t="str">
        <f>"SLF1"</f>
        <v>SLF1</v>
      </c>
      <c r="B12914" s="6">
        <v>0.5</v>
      </c>
      <c r="C12914" s="6">
        <v>0.64717726322310798</v>
      </c>
    </row>
    <row r="12915" spans="1:3" s="7" customFormat="1" x14ac:dyDescent="0.2">
      <c r="A12915" s="6" t="str">
        <f>"AP005264.1"</f>
        <v>AP005264.1</v>
      </c>
      <c r="B12915" s="6">
        <v>0.50049950049949998</v>
      </c>
      <c r="C12915" s="6">
        <v>0.64729100126186301</v>
      </c>
    </row>
    <row r="12916" spans="1:3" s="7" customFormat="1" x14ac:dyDescent="0.2">
      <c r="A12916" s="6" t="str">
        <f>"TET1"</f>
        <v>TET1</v>
      </c>
      <c r="B12916" s="6">
        <v>0.50049950049949998</v>
      </c>
      <c r="C12916" s="6">
        <v>0.64729100126186301</v>
      </c>
    </row>
    <row r="12917" spans="1:3" s="7" customFormat="1" x14ac:dyDescent="0.2">
      <c r="A12917" s="6" t="str">
        <f>"PTCD1"</f>
        <v>PTCD1</v>
      </c>
      <c r="B12917" s="6">
        <v>0.50049950049949998</v>
      </c>
      <c r="C12917" s="6">
        <v>0.64729100126186301</v>
      </c>
    </row>
    <row r="12918" spans="1:3" s="7" customFormat="1" x14ac:dyDescent="0.2">
      <c r="A12918" s="6" t="str">
        <f>"CLTC"</f>
        <v>CLTC</v>
      </c>
      <c r="B12918" s="6">
        <v>0.50049950049949998</v>
      </c>
      <c r="C12918" s="6">
        <v>0.64729100126186301</v>
      </c>
    </row>
    <row r="12919" spans="1:3" s="7" customFormat="1" x14ac:dyDescent="0.2">
      <c r="A12919" s="6" t="str">
        <f>"USPL1"</f>
        <v>USPL1</v>
      </c>
      <c r="B12919" s="6">
        <v>0.50049950049949998</v>
      </c>
      <c r="C12919" s="6">
        <v>0.64729100126186301</v>
      </c>
    </row>
    <row r="12920" spans="1:3" s="7" customFormat="1" x14ac:dyDescent="0.2">
      <c r="A12920" s="6" t="str">
        <f>"ARFGEF1"</f>
        <v>ARFGEF1</v>
      </c>
      <c r="B12920" s="6">
        <v>0.50049950049949998</v>
      </c>
      <c r="C12920" s="6">
        <v>0.64729100126186301</v>
      </c>
    </row>
    <row r="12921" spans="1:3" s="7" customFormat="1" x14ac:dyDescent="0.2">
      <c r="A12921" s="6" t="str">
        <f>"AC020907.6"</f>
        <v>AC020907.6</v>
      </c>
      <c r="B12921" s="6">
        <v>0.50049950049949998</v>
      </c>
      <c r="C12921" s="6">
        <v>0.64729100126186301</v>
      </c>
    </row>
    <row r="12922" spans="1:3" s="7" customFormat="1" x14ac:dyDescent="0.2">
      <c r="A12922" s="6" t="str">
        <f>"A3GALT2"</f>
        <v>A3GALT2</v>
      </c>
      <c r="B12922" s="6">
        <v>0.50051387461459396</v>
      </c>
      <c r="C12922" s="6">
        <v>0.64729100126186301</v>
      </c>
    </row>
    <row r="12923" spans="1:3" s="7" customFormat="1" x14ac:dyDescent="0.2">
      <c r="A12923" s="6" t="str">
        <f>"AC104794.3"</f>
        <v>AC104794.3</v>
      </c>
      <c r="B12923" s="6">
        <v>0.50050150451354003</v>
      </c>
      <c r="C12923" s="6">
        <v>0.64729100126186301</v>
      </c>
    </row>
    <row r="12924" spans="1:3" s="7" customFormat="1" x14ac:dyDescent="0.2">
      <c r="A12924" s="6" t="str">
        <f>"CPEB1"</f>
        <v>CPEB1</v>
      </c>
      <c r="B12924" s="6">
        <v>0.50049950049949998</v>
      </c>
      <c r="C12924" s="6">
        <v>0.64729100126186301</v>
      </c>
    </row>
    <row r="12925" spans="1:3" s="7" customFormat="1" x14ac:dyDescent="0.2">
      <c r="A12925" s="6" t="str">
        <f>"FGF14-AS2"</f>
        <v>FGF14-AS2</v>
      </c>
      <c r="B12925" s="6">
        <v>0.50049950049949998</v>
      </c>
      <c r="C12925" s="6">
        <v>0.64729100126186301</v>
      </c>
    </row>
    <row r="12926" spans="1:3" s="7" customFormat="1" x14ac:dyDescent="0.2">
      <c r="A12926" s="6" t="str">
        <f>"CLDN12"</f>
        <v>CLDN12</v>
      </c>
      <c r="B12926" s="6">
        <v>0.50149850149850095</v>
      </c>
      <c r="C12926" s="6">
        <v>0.64812081027742596</v>
      </c>
    </row>
    <row r="12927" spans="1:3" s="7" customFormat="1" x14ac:dyDescent="0.2">
      <c r="A12927" s="6" t="str">
        <f>"DRICH1"</f>
        <v>DRICH1</v>
      </c>
      <c r="B12927" s="6">
        <v>0.50149850149850095</v>
      </c>
      <c r="C12927" s="6">
        <v>0.64812081027742596</v>
      </c>
    </row>
    <row r="12928" spans="1:3" s="7" customFormat="1" x14ac:dyDescent="0.2">
      <c r="A12928" s="6" t="str">
        <f>"PLXNA3"</f>
        <v>PLXNA3</v>
      </c>
      <c r="B12928" s="6">
        <v>0.50149850149850095</v>
      </c>
      <c r="C12928" s="6">
        <v>0.64812081027742596</v>
      </c>
    </row>
    <row r="12929" spans="1:3" s="7" customFormat="1" x14ac:dyDescent="0.2">
      <c r="A12929" s="6" t="str">
        <f>"AL390726.5"</f>
        <v>AL390726.5</v>
      </c>
      <c r="B12929" s="6">
        <v>0.50149850149850095</v>
      </c>
      <c r="C12929" s="6">
        <v>0.64812081027742596</v>
      </c>
    </row>
    <row r="12930" spans="1:3" s="7" customFormat="1" x14ac:dyDescent="0.2">
      <c r="A12930" s="6" t="str">
        <f>"NAP1L3"</f>
        <v>NAP1L3</v>
      </c>
      <c r="B12930" s="6">
        <v>0.50150451354062098</v>
      </c>
      <c r="C12930" s="6">
        <v>0.64812081027742596</v>
      </c>
    </row>
    <row r="12931" spans="1:3" s="7" customFormat="1" x14ac:dyDescent="0.2">
      <c r="A12931" s="6" t="str">
        <f>"TMEM17"</f>
        <v>TMEM17</v>
      </c>
      <c r="B12931" s="6">
        <v>0.50149850149850095</v>
      </c>
      <c r="C12931" s="6">
        <v>0.64812081027742596</v>
      </c>
    </row>
    <row r="12932" spans="1:3" s="7" customFormat="1" x14ac:dyDescent="0.2">
      <c r="A12932" s="6" t="str">
        <f>"MTMR2"</f>
        <v>MTMR2</v>
      </c>
      <c r="B12932" s="6">
        <v>0.50149850149850095</v>
      </c>
      <c r="C12932" s="6">
        <v>0.64812081027742596</v>
      </c>
    </row>
    <row r="12933" spans="1:3" s="7" customFormat="1" x14ac:dyDescent="0.2">
      <c r="A12933" s="6" t="str">
        <f>"AC011317.1"</f>
        <v>AC011317.1</v>
      </c>
      <c r="B12933" s="6">
        <v>0.50149850149850095</v>
      </c>
      <c r="C12933" s="6">
        <v>0.64812081027742596</v>
      </c>
    </row>
    <row r="12934" spans="1:3" s="7" customFormat="1" x14ac:dyDescent="0.2">
      <c r="A12934" s="6" t="str">
        <f>"MBNL1-AS1"</f>
        <v>MBNL1-AS1</v>
      </c>
      <c r="B12934" s="6">
        <v>0.50149850149850095</v>
      </c>
      <c r="C12934" s="6">
        <v>0.64812081027742596</v>
      </c>
    </row>
    <row r="12935" spans="1:3" s="7" customFormat="1" x14ac:dyDescent="0.2">
      <c r="A12935" s="6" t="str">
        <f>"POLE2"</f>
        <v>POLE2</v>
      </c>
      <c r="B12935" s="6">
        <v>0.502</v>
      </c>
      <c r="C12935" s="6">
        <v>0.64871099427864498</v>
      </c>
    </row>
    <row r="12936" spans="1:3" s="7" customFormat="1" x14ac:dyDescent="0.2">
      <c r="A12936" s="6" t="str">
        <f>"AP002383.3"</f>
        <v>AP002383.3</v>
      </c>
      <c r="B12936" s="6">
        <v>0.502277904328018</v>
      </c>
      <c r="C12936" s="6">
        <v>0.649019937606377</v>
      </c>
    </row>
    <row r="12937" spans="1:3" s="7" customFormat="1" x14ac:dyDescent="0.2">
      <c r="A12937" s="6" t="str">
        <f>"ERP29"</f>
        <v>ERP29</v>
      </c>
      <c r="B12937" s="6">
        <v>0.50249750249750202</v>
      </c>
      <c r="C12937" s="6">
        <v>0.64905280191215198</v>
      </c>
    </row>
    <row r="12938" spans="1:3" s="7" customFormat="1" x14ac:dyDescent="0.2">
      <c r="A12938" s="6" t="str">
        <f>"RPS27A"</f>
        <v>RPS27A</v>
      </c>
      <c r="B12938" s="6">
        <v>0.50249750249750202</v>
      </c>
      <c r="C12938" s="6">
        <v>0.64905280191215198</v>
      </c>
    </row>
    <row r="12939" spans="1:3" s="7" customFormat="1" x14ac:dyDescent="0.2">
      <c r="A12939" s="6" t="str">
        <f>"AATF"</f>
        <v>AATF</v>
      </c>
      <c r="B12939" s="6">
        <v>0.50249750249750202</v>
      </c>
      <c r="C12939" s="6">
        <v>0.64905280191215198</v>
      </c>
    </row>
    <row r="12940" spans="1:3" s="7" customFormat="1" x14ac:dyDescent="0.2">
      <c r="A12940" s="6" t="str">
        <f>"SNCG"</f>
        <v>SNCG</v>
      </c>
      <c r="B12940" s="6">
        <v>0.50249750249750202</v>
      </c>
      <c r="C12940" s="6">
        <v>0.64905280191215198</v>
      </c>
    </row>
    <row r="12941" spans="1:3" s="7" customFormat="1" x14ac:dyDescent="0.2">
      <c r="A12941" s="6" t="str">
        <f>"LINC02615"</f>
        <v>LINC02615</v>
      </c>
      <c r="B12941" s="6">
        <v>0.50249750249750202</v>
      </c>
      <c r="C12941" s="6">
        <v>0.64905280191215198</v>
      </c>
    </row>
    <row r="12942" spans="1:3" s="7" customFormat="1" x14ac:dyDescent="0.2">
      <c r="A12942" s="6" t="str">
        <f>"ZNF189"</f>
        <v>ZNF189</v>
      </c>
      <c r="B12942" s="6">
        <v>0.50349650349650299</v>
      </c>
      <c r="C12942" s="6">
        <v>0.64969046239794304</v>
      </c>
    </row>
    <row r="12943" spans="1:3" s="7" customFormat="1" x14ac:dyDescent="0.2">
      <c r="A12943" s="6" t="str">
        <f>"FAM171A2"</f>
        <v>FAM171A2</v>
      </c>
      <c r="B12943" s="6">
        <v>0.50349650349650299</v>
      </c>
      <c r="C12943" s="6">
        <v>0.64969046239794304</v>
      </c>
    </row>
    <row r="12944" spans="1:3" s="7" customFormat="1" x14ac:dyDescent="0.2">
      <c r="A12944" s="6" t="str">
        <f>"SULT1A1"</f>
        <v>SULT1A1</v>
      </c>
      <c r="B12944" s="6">
        <v>0.50349650349650299</v>
      </c>
      <c r="C12944" s="6">
        <v>0.64969046239794304</v>
      </c>
    </row>
    <row r="12945" spans="1:3" s="7" customFormat="1" x14ac:dyDescent="0.2">
      <c r="A12945" s="6" t="str">
        <f>"AC006058.1"</f>
        <v>AC006058.1</v>
      </c>
      <c r="B12945" s="6">
        <v>0.50349650349650299</v>
      </c>
      <c r="C12945" s="6">
        <v>0.64969046239794304</v>
      </c>
    </row>
    <row r="12946" spans="1:3" s="7" customFormat="1" x14ac:dyDescent="0.2">
      <c r="A12946" s="6" t="str">
        <f>"SPOCK1"</f>
        <v>SPOCK1</v>
      </c>
      <c r="B12946" s="6">
        <v>0.50349650349650299</v>
      </c>
      <c r="C12946" s="6">
        <v>0.64969046239794304</v>
      </c>
    </row>
    <row r="12947" spans="1:3" s="7" customFormat="1" x14ac:dyDescent="0.2">
      <c r="A12947" s="6" t="str">
        <f>"IGSF21"</f>
        <v>IGSF21</v>
      </c>
      <c r="B12947" s="6">
        <v>0.50349650349650299</v>
      </c>
      <c r="C12947" s="6">
        <v>0.64969046239794304</v>
      </c>
    </row>
    <row r="12948" spans="1:3" s="7" customFormat="1" x14ac:dyDescent="0.2">
      <c r="A12948" s="6" t="str">
        <f>"MAPT"</f>
        <v>MAPT</v>
      </c>
      <c r="B12948" s="6">
        <v>0.50349650349650299</v>
      </c>
      <c r="C12948" s="6">
        <v>0.64969046239794304</v>
      </c>
    </row>
    <row r="12949" spans="1:3" s="7" customFormat="1" x14ac:dyDescent="0.2">
      <c r="A12949" s="6" t="str">
        <f>"AIFM1"</f>
        <v>AIFM1</v>
      </c>
      <c r="B12949" s="6">
        <v>0.50349650349650299</v>
      </c>
      <c r="C12949" s="6">
        <v>0.64969046239794304</v>
      </c>
    </row>
    <row r="12950" spans="1:3" s="7" customFormat="1" x14ac:dyDescent="0.2">
      <c r="A12950" s="6" t="str">
        <f>"AC009053.3"</f>
        <v>AC009053.3</v>
      </c>
      <c r="B12950" s="6">
        <v>0.50349650349650299</v>
      </c>
      <c r="C12950" s="6">
        <v>0.64969046239794304</v>
      </c>
    </row>
    <row r="12951" spans="1:3" s="7" customFormat="1" x14ac:dyDescent="0.2">
      <c r="A12951" s="6" t="str">
        <f>"DLGAP2"</f>
        <v>DLGAP2</v>
      </c>
      <c r="B12951" s="6">
        <v>0.50349650349650299</v>
      </c>
      <c r="C12951" s="6">
        <v>0.64969046239794304</v>
      </c>
    </row>
    <row r="12952" spans="1:3" s="7" customFormat="1" x14ac:dyDescent="0.2">
      <c r="A12952" s="6" t="str">
        <f>"AC139100.1"</f>
        <v>AC139100.1</v>
      </c>
      <c r="B12952" s="6">
        <v>0.50349650349650299</v>
      </c>
      <c r="C12952" s="6">
        <v>0.64969046239794304</v>
      </c>
    </row>
    <row r="12953" spans="1:3" s="7" customFormat="1" x14ac:dyDescent="0.2">
      <c r="A12953" s="6" t="str">
        <f>"AC078925.4"</f>
        <v>AC078925.4</v>
      </c>
      <c r="B12953" s="6">
        <v>0.50349650349650299</v>
      </c>
      <c r="C12953" s="6">
        <v>0.64969046239794304</v>
      </c>
    </row>
    <row r="12954" spans="1:3" s="7" customFormat="1" x14ac:dyDescent="0.2">
      <c r="A12954" s="6" t="str">
        <f>"KDM5C-IT1"</f>
        <v>KDM5C-IT1</v>
      </c>
      <c r="B12954" s="6">
        <v>0.50349650349650299</v>
      </c>
      <c r="C12954" s="6">
        <v>0.64969046239794304</v>
      </c>
    </row>
    <row r="12955" spans="1:3" s="7" customFormat="1" x14ac:dyDescent="0.2">
      <c r="A12955" s="6" t="str">
        <f>"AL592295.6"</f>
        <v>AL592295.6</v>
      </c>
      <c r="B12955" s="6">
        <v>0.50449550449550395</v>
      </c>
      <c r="C12955" s="6">
        <v>0.65028829245687403</v>
      </c>
    </row>
    <row r="12956" spans="1:3" s="7" customFormat="1" x14ac:dyDescent="0.2">
      <c r="A12956" s="6" t="str">
        <f>"PUM1"</f>
        <v>PUM1</v>
      </c>
      <c r="B12956" s="6">
        <v>0.50449550449550395</v>
      </c>
      <c r="C12956" s="6">
        <v>0.65028829245687403</v>
      </c>
    </row>
    <row r="12957" spans="1:3" s="7" customFormat="1" x14ac:dyDescent="0.2">
      <c r="A12957" s="6" t="str">
        <f>"AC005863.1"</f>
        <v>AC005863.1</v>
      </c>
      <c r="B12957" s="6">
        <v>0.50449550449550395</v>
      </c>
      <c r="C12957" s="6">
        <v>0.65028829245687403</v>
      </c>
    </row>
    <row r="12958" spans="1:3" s="7" customFormat="1" x14ac:dyDescent="0.2">
      <c r="A12958" s="6" t="str">
        <f>"AC005077.4"</f>
        <v>AC005077.4</v>
      </c>
      <c r="B12958" s="6">
        <v>0.50449550449550395</v>
      </c>
      <c r="C12958" s="6">
        <v>0.65028829245687403</v>
      </c>
    </row>
    <row r="12959" spans="1:3" s="7" customFormat="1" x14ac:dyDescent="0.2">
      <c r="A12959" s="6" t="str">
        <f>"AL033527.3"</f>
        <v>AL033527.3</v>
      </c>
      <c r="B12959" s="6">
        <v>0.50450450450450401</v>
      </c>
      <c r="C12959" s="6">
        <v>0.65028829245687403</v>
      </c>
    </row>
    <row r="12960" spans="1:3" s="7" customFormat="1" x14ac:dyDescent="0.2">
      <c r="A12960" s="6" t="str">
        <f>"FOXE3"</f>
        <v>FOXE3</v>
      </c>
      <c r="B12960" s="6">
        <v>0.50449550449550395</v>
      </c>
      <c r="C12960" s="6">
        <v>0.65028829245687403</v>
      </c>
    </row>
    <row r="12961" spans="1:3" s="7" customFormat="1" x14ac:dyDescent="0.2">
      <c r="A12961" s="6" t="str">
        <f>"LINC00892"</f>
        <v>LINC00892</v>
      </c>
      <c r="B12961" s="6">
        <v>0.50449550449550395</v>
      </c>
      <c r="C12961" s="6">
        <v>0.65028829245687403</v>
      </c>
    </row>
    <row r="12962" spans="1:3" s="7" customFormat="1" x14ac:dyDescent="0.2">
      <c r="A12962" s="6" t="str">
        <f>"PRUNE2"</f>
        <v>PRUNE2</v>
      </c>
      <c r="B12962" s="6">
        <v>0.50449550449550395</v>
      </c>
      <c r="C12962" s="6">
        <v>0.65028829245687403</v>
      </c>
    </row>
    <row r="12963" spans="1:3" s="7" customFormat="1" x14ac:dyDescent="0.2">
      <c r="A12963" s="6" t="str">
        <f>"AC025470.2"</f>
        <v>AC025470.2</v>
      </c>
      <c r="B12963" s="6">
        <v>0.50449550449550395</v>
      </c>
      <c r="C12963" s="6">
        <v>0.65028829245687403</v>
      </c>
    </row>
    <row r="12964" spans="1:3" s="7" customFormat="1" x14ac:dyDescent="0.2">
      <c r="A12964" s="6" t="str">
        <f>"C5orf64"</f>
        <v>C5orf64</v>
      </c>
      <c r="B12964" s="6">
        <v>0.50449550449550395</v>
      </c>
      <c r="C12964" s="6">
        <v>0.65028829245687403</v>
      </c>
    </row>
    <row r="12965" spans="1:3" s="7" customFormat="1" x14ac:dyDescent="0.2">
      <c r="A12965" s="6" t="str">
        <f>"AL139384.1"</f>
        <v>AL139384.1</v>
      </c>
      <c r="B12965" s="6">
        <v>0.504</v>
      </c>
      <c r="C12965" s="6">
        <v>0.65028829245687403</v>
      </c>
    </row>
    <row r="12966" spans="1:3" s="7" customFormat="1" x14ac:dyDescent="0.2">
      <c r="A12966" s="6" t="str">
        <f>"DAZAP1"</f>
        <v>DAZAP1</v>
      </c>
      <c r="B12966" s="6">
        <v>0.50449550449550395</v>
      </c>
      <c r="C12966" s="6">
        <v>0.65028829245687403</v>
      </c>
    </row>
    <row r="12967" spans="1:3" s="7" customFormat="1" x14ac:dyDescent="0.2">
      <c r="A12967" s="6" t="str">
        <f>"NAA80"</f>
        <v>NAA80</v>
      </c>
      <c r="B12967" s="6">
        <v>0.50449550449550395</v>
      </c>
      <c r="C12967" s="6">
        <v>0.65028829245687403</v>
      </c>
    </row>
    <row r="12968" spans="1:3" s="7" customFormat="1" x14ac:dyDescent="0.2">
      <c r="A12968" s="6" t="str">
        <f>"NUP153"</f>
        <v>NUP153</v>
      </c>
      <c r="B12968" s="6">
        <v>0.50449550449550395</v>
      </c>
      <c r="C12968" s="6">
        <v>0.65028829245687403</v>
      </c>
    </row>
    <row r="12969" spans="1:3" s="7" customFormat="1" x14ac:dyDescent="0.2">
      <c r="A12969" s="6" t="str">
        <f>"AC090912.2"</f>
        <v>AC090912.2</v>
      </c>
      <c r="B12969" s="6">
        <v>0.50456852791878104</v>
      </c>
      <c r="C12969" s="6">
        <v>0.65032066437650504</v>
      </c>
    </row>
    <row r="12970" spans="1:3" s="7" customFormat="1" x14ac:dyDescent="0.2">
      <c r="A12970" s="6" t="str">
        <f>"RPL21P119"</f>
        <v>RPL21P119</v>
      </c>
      <c r="B12970" s="6">
        <v>0.505</v>
      </c>
      <c r="C12970" s="6">
        <v>0.650826586475441</v>
      </c>
    </row>
    <row r="12971" spans="1:3" s="7" customFormat="1" x14ac:dyDescent="0.2">
      <c r="A12971" s="6" t="str">
        <f>"STPG2-AS1"</f>
        <v>STPG2-AS1</v>
      </c>
      <c r="B12971" s="6">
        <v>0.50512295081967196</v>
      </c>
      <c r="C12971" s="6">
        <v>0.65093484965304504</v>
      </c>
    </row>
    <row r="12972" spans="1:3" s="7" customFormat="1" x14ac:dyDescent="0.2">
      <c r="A12972" s="6" t="str">
        <f>"PCDHA8"</f>
        <v>PCDHA8</v>
      </c>
      <c r="B12972" s="6">
        <v>0.50549450549450503</v>
      </c>
      <c r="C12972" s="6">
        <v>0.65126302049141704</v>
      </c>
    </row>
    <row r="12973" spans="1:3" s="7" customFormat="1" x14ac:dyDescent="0.2">
      <c r="A12973" s="6" t="str">
        <f>"AC103718.1"</f>
        <v>AC103718.1</v>
      </c>
      <c r="B12973" s="6">
        <v>0.50549450549450503</v>
      </c>
      <c r="C12973" s="6">
        <v>0.65126302049141704</v>
      </c>
    </row>
    <row r="12974" spans="1:3" s="7" customFormat="1" x14ac:dyDescent="0.2">
      <c r="A12974" s="6" t="str">
        <f>"AC010359.2"</f>
        <v>AC010359.2</v>
      </c>
      <c r="B12974" s="6">
        <v>0.50549450549450503</v>
      </c>
      <c r="C12974" s="6">
        <v>0.65126302049141704</v>
      </c>
    </row>
    <row r="12975" spans="1:3" s="7" customFormat="1" x14ac:dyDescent="0.2">
      <c r="A12975" s="6" t="str">
        <f>"AC092375.2"</f>
        <v>AC092375.2</v>
      </c>
      <c r="B12975" s="6">
        <v>0.50600000000000001</v>
      </c>
      <c r="C12975" s="6">
        <v>0.651864035763835</v>
      </c>
    </row>
    <row r="12976" spans="1:3" s="7" customFormat="1" x14ac:dyDescent="0.2">
      <c r="A12976" s="6" t="str">
        <f>"TMEM240"</f>
        <v>TMEM240</v>
      </c>
      <c r="B12976" s="6">
        <v>0.50628930817609996</v>
      </c>
      <c r="C12976" s="6">
        <v>0.65218647374607597</v>
      </c>
    </row>
    <row r="12977" spans="1:3" s="7" customFormat="1" x14ac:dyDescent="0.2">
      <c r="A12977" s="6" t="str">
        <f>"RASGRF2"</f>
        <v>RASGRF2</v>
      </c>
      <c r="B12977" s="6">
        <v>0.506493506493506</v>
      </c>
      <c r="C12977" s="6">
        <v>0.65221492679119797</v>
      </c>
    </row>
    <row r="12978" spans="1:3" s="7" customFormat="1" x14ac:dyDescent="0.2">
      <c r="A12978" s="6" t="str">
        <f>"AL589666.1"</f>
        <v>AL589666.1</v>
      </c>
      <c r="B12978" s="6">
        <v>0.50650650650650597</v>
      </c>
      <c r="C12978" s="6">
        <v>0.65221492679119797</v>
      </c>
    </row>
    <row r="12979" spans="1:3" s="7" customFormat="1" x14ac:dyDescent="0.2">
      <c r="A12979" s="6" t="str">
        <f>"POM121L9P"</f>
        <v>POM121L9P</v>
      </c>
      <c r="B12979" s="6">
        <v>0.506493506493506</v>
      </c>
      <c r="C12979" s="6">
        <v>0.65221492679119797</v>
      </c>
    </row>
    <row r="12980" spans="1:3" s="7" customFormat="1" x14ac:dyDescent="0.2">
      <c r="A12980" s="6" t="str">
        <f>"RAB30"</f>
        <v>RAB30</v>
      </c>
      <c r="B12980" s="6">
        <v>0.506493506493506</v>
      </c>
      <c r="C12980" s="6">
        <v>0.65221492679119797</v>
      </c>
    </row>
    <row r="12981" spans="1:3" s="7" customFormat="1" x14ac:dyDescent="0.2">
      <c r="A12981" s="6" t="str">
        <f>"SNHG5"</f>
        <v>SNHG5</v>
      </c>
      <c r="B12981" s="6">
        <v>0.506493506493506</v>
      </c>
      <c r="C12981" s="6">
        <v>0.65221492679119797</v>
      </c>
    </row>
    <row r="12982" spans="1:3" s="7" customFormat="1" x14ac:dyDescent="0.2">
      <c r="A12982" s="6" t="str">
        <f>"AL161645.2"</f>
        <v>AL161645.2</v>
      </c>
      <c r="B12982" s="6">
        <v>0.50686378035902802</v>
      </c>
      <c r="C12982" s="6">
        <v>0.65262469955479496</v>
      </c>
    </row>
    <row r="12983" spans="1:3" s="7" customFormat="1" x14ac:dyDescent="0.2">
      <c r="A12983" s="6" t="str">
        <f>"AP005329.1"</f>
        <v>AP005329.1</v>
      </c>
      <c r="B12983" s="6">
        <v>0.50700000000000001</v>
      </c>
      <c r="C12983" s="6">
        <v>0.65274980742566602</v>
      </c>
    </row>
    <row r="12984" spans="1:3" s="7" customFormat="1" x14ac:dyDescent="0.2">
      <c r="A12984" s="6" t="str">
        <f>"RGS1"</f>
        <v>RGS1</v>
      </c>
      <c r="B12984" s="6">
        <v>0.50749250749250696</v>
      </c>
      <c r="C12984" s="6">
        <v>0.65283073733777897</v>
      </c>
    </row>
    <row r="12985" spans="1:3" s="7" customFormat="1" x14ac:dyDescent="0.2">
      <c r="A12985" s="6" t="str">
        <f>"DTX1"</f>
        <v>DTX1</v>
      </c>
      <c r="B12985" s="6">
        <v>0.50749250749250696</v>
      </c>
      <c r="C12985" s="6">
        <v>0.65283073733777897</v>
      </c>
    </row>
    <row r="12986" spans="1:3" s="7" customFormat="1" x14ac:dyDescent="0.2">
      <c r="A12986" s="6" t="str">
        <f>"WAPL"</f>
        <v>WAPL</v>
      </c>
      <c r="B12986" s="6">
        <v>0.50749250749250696</v>
      </c>
      <c r="C12986" s="6">
        <v>0.65283073733777897</v>
      </c>
    </row>
    <row r="12987" spans="1:3" s="7" customFormat="1" x14ac:dyDescent="0.2">
      <c r="A12987" s="6" t="str">
        <f>"COL25A1"</f>
        <v>COL25A1</v>
      </c>
      <c r="B12987" s="6">
        <v>0.50749250749250696</v>
      </c>
      <c r="C12987" s="6">
        <v>0.65283073733777897</v>
      </c>
    </row>
    <row r="12988" spans="1:3" s="7" customFormat="1" x14ac:dyDescent="0.2">
      <c r="A12988" s="6" t="str">
        <f>"AL096870.2"</f>
        <v>AL096870.2</v>
      </c>
      <c r="B12988" s="6">
        <v>0.50749250749250696</v>
      </c>
      <c r="C12988" s="6">
        <v>0.65283073733777897</v>
      </c>
    </row>
    <row r="12989" spans="1:3" s="7" customFormat="1" x14ac:dyDescent="0.2">
      <c r="A12989" s="6" t="str">
        <f>"CDH6"</f>
        <v>CDH6</v>
      </c>
      <c r="B12989" s="6">
        <v>0.50749250749250696</v>
      </c>
      <c r="C12989" s="6">
        <v>0.65283073733777897</v>
      </c>
    </row>
    <row r="12990" spans="1:3" s="7" customFormat="1" x14ac:dyDescent="0.2">
      <c r="A12990" s="6" t="str">
        <f>"TFAP4"</f>
        <v>TFAP4</v>
      </c>
      <c r="B12990" s="6">
        <v>0.50749250749250696</v>
      </c>
      <c r="C12990" s="6">
        <v>0.65283073733777897</v>
      </c>
    </row>
    <row r="12991" spans="1:3" s="7" customFormat="1" x14ac:dyDescent="0.2">
      <c r="A12991" s="6" t="str">
        <f>"ATXN1L"</f>
        <v>ATXN1L</v>
      </c>
      <c r="B12991" s="6">
        <v>0.50749250749250696</v>
      </c>
      <c r="C12991" s="6">
        <v>0.65283073733777897</v>
      </c>
    </row>
    <row r="12992" spans="1:3" s="7" customFormat="1" x14ac:dyDescent="0.2">
      <c r="A12992" s="6" t="str">
        <f>"AC012158.1"</f>
        <v>AC012158.1</v>
      </c>
      <c r="B12992" s="6">
        <v>0.50749250749250696</v>
      </c>
      <c r="C12992" s="6">
        <v>0.65283073733777897</v>
      </c>
    </row>
    <row r="12993" spans="1:3" s="7" customFormat="1" x14ac:dyDescent="0.2">
      <c r="A12993" s="6" t="str">
        <f>"LINC00891"</f>
        <v>LINC00891</v>
      </c>
      <c r="B12993" s="6">
        <v>0.50749250749250696</v>
      </c>
      <c r="C12993" s="6">
        <v>0.65283073733777897</v>
      </c>
    </row>
    <row r="12994" spans="1:3" s="7" customFormat="1" x14ac:dyDescent="0.2">
      <c r="A12994" s="6" t="str">
        <f>"TRPC4AP"</f>
        <v>TRPC4AP</v>
      </c>
      <c r="B12994" s="6">
        <v>0.50749250749250696</v>
      </c>
      <c r="C12994" s="6">
        <v>0.65283073733777897</v>
      </c>
    </row>
    <row r="12995" spans="1:3" s="7" customFormat="1" x14ac:dyDescent="0.2">
      <c r="A12995" s="6" t="str">
        <f>"TMPRSS12"</f>
        <v>TMPRSS12</v>
      </c>
      <c r="B12995" s="6">
        <v>0.50800000000000001</v>
      </c>
      <c r="C12995" s="6">
        <v>0.65343327689702901</v>
      </c>
    </row>
    <row r="12996" spans="1:3" s="7" customFormat="1" x14ac:dyDescent="0.2">
      <c r="A12996" s="6" t="str">
        <f>"HSP90B1"</f>
        <v>HSP90B1</v>
      </c>
      <c r="B12996" s="6">
        <v>0.50849150849150804</v>
      </c>
      <c r="C12996" s="6">
        <v>0.653835772844927</v>
      </c>
    </row>
    <row r="12997" spans="1:3" s="7" customFormat="1" x14ac:dyDescent="0.2">
      <c r="A12997" s="6" t="str">
        <f>"CDH18"</f>
        <v>CDH18</v>
      </c>
      <c r="B12997" s="6">
        <v>0.50849150849150804</v>
      </c>
      <c r="C12997" s="6">
        <v>0.653835772844927</v>
      </c>
    </row>
    <row r="12998" spans="1:3" s="7" customFormat="1" x14ac:dyDescent="0.2">
      <c r="A12998" s="6" t="str">
        <f>"ZBTB18"</f>
        <v>ZBTB18</v>
      </c>
      <c r="B12998" s="6">
        <v>0.50849150849150804</v>
      </c>
      <c r="C12998" s="6">
        <v>0.653835772844927</v>
      </c>
    </row>
    <row r="12999" spans="1:3" s="7" customFormat="1" x14ac:dyDescent="0.2">
      <c r="A12999" s="6" t="str">
        <f>"IL9RP3"</f>
        <v>IL9RP3</v>
      </c>
      <c r="B12999" s="6">
        <v>0.50850850850850804</v>
      </c>
      <c r="C12999" s="6">
        <v>0.653835772844927</v>
      </c>
    </row>
    <row r="13000" spans="1:3" s="7" customFormat="1" x14ac:dyDescent="0.2">
      <c r="A13000" s="6" t="str">
        <f>"GOLT1B"</f>
        <v>GOLT1B</v>
      </c>
      <c r="B13000" s="6">
        <v>0.50849150849150804</v>
      </c>
      <c r="C13000" s="6">
        <v>0.653835772844927</v>
      </c>
    </row>
    <row r="13001" spans="1:3" s="7" customFormat="1" x14ac:dyDescent="0.2">
      <c r="A13001" s="6" t="str">
        <f>"RBMXP4"</f>
        <v>RBMXP4</v>
      </c>
      <c r="B13001" s="6">
        <v>0.50901803607214402</v>
      </c>
      <c r="C13001" s="6">
        <v>0.65444057345460105</v>
      </c>
    </row>
    <row r="13002" spans="1:3" s="7" customFormat="1" x14ac:dyDescent="0.2">
      <c r="A13002" s="6" t="str">
        <f>"UHMK1"</f>
        <v>UHMK1</v>
      </c>
      <c r="B13002" s="6">
        <v>0.509490509490509</v>
      </c>
      <c r="C13002" s="6">
        <v>0.65484653765182799</v>
      </c>
    </row>
    <row r="13003" spans="1:3" s="7" customFormat="1" x14ac:dyDescent="0.2">
      <c r="A13003" s="6" t="str">
        <f>"PIGR"</f>
        <v>PIGR</v>
      </c>
      <c r="B13003" s="6">
        <v>0.509490509490509</v>
      </c>
      <c r="C13003" s="6">
        <v>0.65484653765182799</v>
      </c>
    </row>
    <row r="13004" spans="1:3" s="7" customFormat="1" x14ac:dyDescent="0.2">
      <c r="A13004" s="6" t="str">
        <f>"GTF2IP4"</f>
        <v>GTF2IP4</v>
      </c>
      <c r="B13004" s="6">
        <v>0.509490509490509</v>
      </c>
      <c r="C13004" s="6">
        <v>0.65484653765182799</v>
      </c>
    </row>
    <row r="13005" spans="1:3" s="7" customFormat="1" x14ac:dyDescent="0.2">
      <c r="A13005" s="6" t="str">
        <f>"LIMD1"</f>
        <v>LIMD1</v>
      </c>
      <c r="B13005" s="6">
        <v>0.509490509490509</v>
      </c>
      <c r="C13005" s="6">
        <v>0.65484653765182799</v>
      </c>
    </row>
    <row r="13006" spans="1:3" s="7" customFormat="1" x14ac:dyDescent="0.2">
      <c r="A13006" s="6" t="str">
        <f>"TMEM72-AS1"</f>
        <v>TMEM72-AS1</v>
      </c>
      <c r="B13006" s="6">
        <v>0.50954773869346703</v>
      </c>
      <c r="C13006" s="6">
        <v>0.65486973506517598</v>
      </c>
    </row>
    <row r="13007" spans="1:3" s="7" customFormat="1" x14ac:dyDescent="0.2">
      <c r="A13007" s="6" t="str">
        <f>"AC018737.2"</f>
        <v>AC018737.2</v>
      </c>
      <c r="B13007" s="6">
        <v>0.51002004008016</v>
      </c>
      <c r="C13007" s="6">
        <v>0.65542633783636695</v>
      </c>
    </row>
    <row r="13008" spans="1:3" s="7" customFormat="1" x14ac:dyDescent="0.2">
      <c r="A13008" s="6" t="str">
        <f>"PGA3"</f>
        <v>PGA3</v>
      </c>
      <c r="B13008" s="6">
        <v>0.51048951048950997</v>
      </c>
      <c r="C13008" s="6">
        <v>0.65597921721547403</v>
      </c>
    </row>
    <row r="13009" spans="1:3" s="7" customFormat="1" x14ac:dyDescent="0.2">
      <c r="A13009" s="6" t="str">
        <f>"RYBP"</f>
        <v>RYBP</v>
      </c>
      <c r="B13009" s="6">
        <v>0.51148851148851104</v>
      </c>
      <c r="C13009" s="6">
        <v>0.65645542355977704</v>
      </c>
    </row>
    <row r="13010" spans="1:3" s="7" customFormat="1" x14ac:dyDescent="0.2">
      <c r="A13010" s="6" t="str">
        <f>"AC008840.1"</f>
        <v>AC008840.1</v>
      </c>
      <c r="B13010" s="6">
        <v>0.51148851148851104</v>
      </c>
      <c r="C13010" s="6">
        <v>0.65645542355977704</v>
      </c>
    </row>
    <row r="13011" spans="1:3" s="7" customFormat="1" x14ac:dyDescent="0.2">
      <c r="A13011" s="6" t="str">
        <f>"WDR13"</f>
        <v>WDR13</v>
      </c>
      <c r="B13011" s="6">
        <v>0.51100000000000001</v>
      </c>
      <c r="C13011" s="6">
        <v>0.65645542355977704</v>
      </c>
    </row>
    <row r="13012" spans="1:3" s="7" customFormat="1" x14ac:dyDescent="0.2">
      <c r="A13012" s="6" t="str">
        <f>"AC073263.1"</f>
        <v>AC073263.1</v>
      </c>
      <c r="B13012" s="6">
        <v>0.51148851148851104</v>
      </c>
      <c r="C13012" s="6">
        <v>0.65645542355977704</v>
      </c>
    </row>
    <row r="13013" spans="1:3" s="7" customFormat="1" x14ac:dyDescent="0.2">
      <c r="A13013" s="6" t="str">
        <f>"AL590491.1"</f>
        <v>AL590491.1</v>
      </c>
      <c r="B13013" s="6">
        <v>0.51148851148851104</v>
      </c>
      <c r="C13013" s="6">
        <v>0.65645542355977704</v>
      </c>
    </row>
    <row r="13014" spans="1:3" s="7" customFormat="1" x14ac:dyDescent="0.2">
      <c r="A13014" s="6" t="str">
        <f>"GARNL3"</f>
        <v>GARNL3</v>
      </c>
      <c r="B13014" s="6">
        <v>0.51148851148851104</v>
      </c>
      <c r="C13014" s="6">
        <v>0.65645542355977704</v>
      </c>
    </row>
    <row r="13015" spans="1:3" s="7" customFormat="1" x14ac:dyDescent="0.2">
      <c r="A13015" s="6" t="str">
        <f>"CKMT2"</f>
        <v>CKMT2</v>
      </c>
      <c r="B13015" s="6">
        <v>0.51148851148851104</v>
      </c>
      <c r="C13015" s="6">
        <v>0.65645542355977704</v>
      </c>
    </row>
    <row r="13016" spans="1:3" s="7" customFormat="1" x14ac:dyDescent="0.2">
      <c r="A13016" s="6" t="str">
        <f>"SNHG26"</f>
        <v>SNHG26</v>
      </c>
      <c r="B13016" s="6">
        <v>0.51148851148851104</v>
      </c>
      <c r="C13016" s="6">
        <v>0.65645542355977704</v>
      </c>
    </row>
    <row r="13017" spans="1:3" s="7" customFormat="1" x14ac:dyDescent="0.2">
      <c r="A13017" s="6" t="str">
        <f>"RAPGEF4"</f>
        <v>RAPGEF4</v>
      </c>
      <c r="B13017" s="6">
        <v>0.51148851148851104</v>
      </c>
      <c r="C13017" s="6">
        <v>0.65645542355977704</v>
      </c>
    </row>
    <row r="13018" spans="1:3" s="7" customFormat="1" x14ac:dyDescent="0.2">
      <c r="A13018" s="6" t="str">
        <f>"ACTG1P25"</f>
        <v>ACTG1P25</v>
      </c>
      <c r="B13018" s="6">
        <v>0.51148851148851104</v>
      </c>
      <c r="C13018" s="6">
        <v>0.65645542355977704</v>
      </c>
    </row>
    <row r="13019" spans="1:3" s="7" customFormat="1" x14ac:dyDescent="0.2">
      <c r="A13019" s="6" t="str">
        <f>"TMEM9B"</f>
        <v>TMEM9B</v>
      </c>
      <c r="B13019" s="6">
        <v>0.51148851148851104</v>
      </c>
      <c r="C13019" s="6">
        <v>0.65645542355977704</v>
      </c>
    </row>
    <row r="13020" spans="1:3" s="7" customFormat="1" x14ac:dyDescent="0.2">
      <c r="A13020" s="6" t="str">
        <f>"FAM182B"</f>
        <v>FAM182B</v>
      </c>
      <c r="B13020" s="6">
        <v>0.51148851148851104</v>
      </c>
      <c r="C13020" s="6">
        <v>0.65645542355977704</v>
      </c>
    </row>
    <row r="13021" spans="1:3" s="7" customFormat="1" x14ac:dyDescent="0.2">
      <c r="A13021" s="6" t="str">
        <f>"BZW1"</f>
        <v>BZW1</v>
      </c>
      <c r="B13021" s="6">
        <v>0.51100000000000001</v>
      </c>
      <c r="C13021" s="6">
        <v>0.65645542355977704</v>
      </c>
    </row>
    <row r="13022" spans="1:3" s="7" customFormat="1" x14ac:dyDescent="0.2">
      <c r="A13022" s="6" t="str">
        <f>"LRP3"</f>
        <v>LRP3</v>
      </c>
      <c r="B13022" s="6">
        <v>0.51148851148851104</v>
      </c>
      <c r="C13022" s="6">
        <v>0.65645542355977704</v>
      </c>
    </row>
    <row r="13023" spans="1:3" s="7" customFormat="1" x14ac:dyDescent="0.2">
      <c r="A13023" s="6" t="str">
        <f>"ZFYVE19"</f>
        <v>ZFYVE19</v>
      </c>
      <c r="B13023" s="6">
        <v>0.51148851148851104</v>
      </c>
      <c r="C13023" s="6">
        <v>0.65645542355977704</v>
      </c>
    </row>
    <row r="13024" spans="1:3" s="7" customFormat="1" x14ac:dyDescent="0.2">
      <c r="A13024" s="6" t="str">
        <f>"NDUFA12"</f>
        <v>NDUFA12</v>
      </c>
      <c r="B13024" s="6">
        <v>0.51148851148851104</v>
      </c>
      <c r="C13024" s="6">
        <v>0.65645542355977704</v>
      </c>
    </row>
    <row r="13025" spans="1:3" s="7" customFormat="1" x14ac:dyDescent="0.2">
      <c r="A13025" s="6" t="str">
        <f>"IL13RA1"</f>
        <v>IL13RA1</v>
      </c>
      <c r="B13025" s="6">
        <v>0.51200000000000001</v>
      </c>
      <c r="C13025" s="6">
        <v>0.65706142506142495</v>
      </c>
    </row>
    <row r="13026" spans="1:3" s="7" customFormat="1" x14ac:dyDescent="0.2">
      <c r="A13026" s="6" t="str">
        <f>"SH3BGRL"</f>
        <v>SH3BGRL</v>
      </c>
      <c r="B13026" s="6">
        <v>0.51248751248751201</v>
      </c>
      <c r="C13026" s="6">
        <v>0.65748513077343196</v>
      </c>
    </row>
    <row r="13027" spans="1:3" s="7" customFormat="1" x14ac:dyDescent="0.2">
      <c r="A13027" s="6" t="str">
        <f>"Z95115.1"</f>
        <v>Z95115.1</v>
      </c>
      <c r="B13027" s="6">
        <v>0.51248751248751201</v>
      </c>
      <c r="C13027" s="6">
        <v>0.65748513077343196</v>
      </c>
    </row>
    <row r="13028" spans="1:3" s="7" customFormat="1" x14ac:dyDescent="0.2">
      <c r="A13028" s="6" t="str">
        <f>"UGT8"</f>
        <v>UGT8</v>
      </c>
      <c r="B13028" s="6">
        <v>0.51248751248751201</v>
      </c>
      <c r="C13028" s="6">
        <v>0.65748513077343196</v>
      </c>
    </row>
    <row r="13029" spans="1:3" s="7" customFormat="1" x14ac:dyDescent="0.2">
      <c r="A13029" s="6" t="str">
        <f>"AMY2B"</f>
        <v>AMY2B</v>
      </c>
      <c r="B13029" s="6">
        <v>0.51248751248751201</v>
      </c>
      <c r="C13029" s="6">
        <v>0.65748513077343196</v>
      </c>
    </row>
    <row r="13030" spans="1:3" s="7" customFormat="1" x14ac:dyDescent="0.2">
      <c r="A13030" s="6" t="str">
        <f>"FAM53A"</f>
        <v>FAM53A</v>
      </c>
      <c r="B13030" s="6">
        <v>0.51348651348651297</v>
      </c>
      <c r="C13030" s="6">
        <v>0.658160551105336</v>
      </c>
    </row>
    <row r="13031" spans="1:3" s="7" customFormat="1" x14ac:dyDescent="0.2">
      <c r="A13031" s="6" t="str">
        <f>"SLC34A3"</f>
        <v>SLC34A3</v>
      </c>
      <c r="B13031" s="6">
        <v>0.51348651348651297</v>
      </c>
      <c r="C13031" s="6">
        <v>0.658160551105336</v>
      </c>
    </row>
    <row r="13032" spans="1:3" s="7" customFormat="1" x14ac:dyDescent="0.2">
      <c r="A13032" s="6" t="str">
        <f>"LINC00534"</f>
        <v>LINC00534</v>
      </c>
      <c r="B13032" s="6">
        <v>0.51340996168582298</v>
      </c>
      <c r="C13032" s="6">
        <v>0.658160551105336</v>
      </c>
    </row>
    <row r="13033" spans="1:3" s="7" customFormat="1" x14ac:dyDescent="0.2">
      <c r="A13033" s="6" t="str">
        <f>"DDX11"</f>
        <v>DDX11</v>
      </c>
      <c r="B13033" s="6">
        <v>0.51348651348651297</v>
      </c>
      <c r="C13033" s="6">
        <v>0.658160551105336</v>
      </c>
    </row>
    <row r="13034" spans="1:3" s="7" customFormat="1" x14ac:dyDescent="0.2">
      <c r="A13034" s="6" t="str">
        <f>"MTRF1"</f>
        <v>MTRF1</v>
      </c>
      <c r="B13034" s="6">
        <v>0.51348651348651297</v>
      </c>
      <c r="C13034" s="6">
        <v>0.658160551105336</v>
      </c>
    </row>
    <row r="13035" spans="1:3" s="7" customFormat="1" x14ac:dyDescent="0.2">
      <c r="A13035" s="6" t="str">
        <f>"DYRK1A"</f>
        <v>DYRK1A</v>
      </c>
      <c r="B13035" s="6">
        <v>0.51348651348651297</v>
      </c>
      <c r="C13035" s="6">
        <v>0.658160551105336</v>
      </c>
    </row>
    <row r="13036" spans="1:3" s="7" customFormat="1" x14ac:dyDescent="0.2">
      <c r="A13036" s="6" t="str">
        <f>"PTCSC2"</f>
        <v>PTCSC2</v>
      </c>
      <c r="B13036" s="6">
        <v>0.51348651348651297</v>
      </c>
      <c r="C13036" s="6">
        <v>0.658160551105336</v>
      </c>
    </row>
    <row r="13037" spans="1:3" s="7" customFormat="1" x14ac:dyDescent="0.2">
      <c r="A13037" s="6" t="str">
        <f>"AC008467.1"</f>
        <v>AC008467.1</v>
      </c>
      <c r="B13037" s="6">
        <v>0.51348651348651297</v>
      </c>
      <c r="C13037" s="6">
        <v>0.658160551105336</v>
      </c>
    </row>
    <row r="13038" spans="1:3" s="7" customFormat="1" x14ac:dyDescent="0.2">
      <c r="A13038" s="6" t="str">
        <f>"CLIC4P3"</f>
        <v>CLIC4P3</v>
      </c>
      <c r="B13038" s="6">
        <v>0.51348651348651297</v>
      </c>
      <c r="C13038" s="6">
        <v>0.658160551105336</v>
      </c>
    </row>
    <row r="13039" spans="1:3" s="7" customFormat="1" x14ac:dyDescent="0.2">
      <c r="A13039" s="6" t="str">
        <f>"AC004997.1"</f>
        <v>AC004997.1</v>
      </c>
      <c r="B13039" s="6">
        <v>0.51348651348651297</v>
      </c>
      <c r="C13039" s="6">
        <v>0.658160551105336</v>
      </c>
    </row>
    <row r="13040" spans="1:3" s="7" customFormat="1" x14ac:dyDescent="0.2">
      <c r="A13040" s="6" t="str">
        <f>"SNAP23"</f>
        <v>SNAP23</v>
      </c>
      <c r="B13040" s="6">
        <v>0.51348651348651297</v>
      </c>
      <c r="C13040" s="6">
        <v>0.658160551105336</v>
      </c>
    </row>
    <row r="13041" spans="1:3" s="7" customFormat="1" x14ac:dyDescent="0.2">
      <c r="A13041" s="6" t="str">
        <f>"MCAT"</f>
        <v>MCAT</v>
      </c>
      <c r="B13041" s="6">
        <v>0.51348651348651297</v>
      </c>
      <c r="C13041" s="6">
        <v>0.658160551105336</v>
      </c>
    </row>
    <row r="13042" spans="1:3" s="7" customFormat="1" x14ac:dyDescent="0.2">
      <c r="A13042" s="6" t="str">
        <f>"AC133485.7"</f>
        <v>AC133485.7</v>
      </c>
      <c r="B13042" s="6">
        <v>0.51448551448551405</v>
      </c>
      <c r="C13042" s="6">
        <v>0.65903670210843701</v>
      </c>
    </row>
    <row r="13043" spans="1:3" s="7" customFormat="1" x14ac:dyDescent="0.2">
      <c r="A13043" s="6" t="str">
        <f>"RUFY3"</f>
        <v>RUFY3</v>
      </c>
      <c r="B13043" s="6">
        <v>0.51448551448551405</v>
      </c>
      <c r="C13043" s="6">
        <v>0.65903670210843701</v>
      </c>
    </row>
    <row r="13044" spans="1:3" s="7" customFormat="1" x14ac:dyDescent="0.2">
      <c r="A13044" s="6" t="str">
        <f>"AL080317.2"</f>
        <v>AL080317.2</v>
      </c>
      <c r="B13044" s="6">
        <v>0.51443298969072104</v>
      </c>
      <c r="C13044" s="6">
        <v>0.65903670210843701</v>
      </c>
    </row>
    <row r="13045" spans="1:3" s="7" customFormat="1" x14ac:dyDescent="0.2">
      <c r="A13045" s="6" t="str">
        <f>"AC026979.4"</f>
        <v>AC026979.4</v>
      </c>
      <c r="B13045" s="6">
        <v>0.51448551448551405</v>
      </c>
      <c r="C13045" s="6">
        <v>0.65903670210843701</v>
      </c>
    </row>
    <row r="13046" spans="1:3" s="7" customFormat="1" x14ac:dyDescent="0.2">
      <c r="A13046" s="6" t="str">
        <f>"RORA"</f>
        <v>RORA</v>
      </c>
      <c r="B13046" s="6">
        <v>0.51448551448551405</v>
      </c>
      <c r="C13046" s="6">
        <v>0.65903670210843701</v>
      </c>
    </row>
    <row r="13047" spans="1:3" s="7" customFormat="1" x14ac:dyDescent="0.2">
      <c r="A13047" s="6" t="str">
        <f>"PSMA6"</f>
        <v>PSMA6</v>
      </c>
      <c r="B13047" s="6">
        <v>0.51448551448551405</v>
      </c>
      <c r="C13047" s="6">
        <v>0.65903670210843701</v>
      </c>
    </row>
    <row r="13048" spans="1:3" s="7" customFormat="1" x14ac:dyDescent="0.2">
      <c r="A13048" s="6" t="str">
        <f>"HS3ST4"</f>
        <v>HS3ST4</v>
      </c>
      <c r="B13048" s="6">
        <v>0.51448551448551405</v>
      </c>
      <c r="C13048" s="6">
        <v>0.65903670210843701</v>
      </c>
    </row>
    <row r="13049" spans="1:3" s="7" customFormat="1" x14ac:dyDescent="0.2">
      <c r="A13049" s="6" t="str">
        <f>"PSMD13"</f>
        <v>PSMD13</v>
      </c>
      <c r="B13049" s="6">
        <v>0.51448551448551405</v>
      </c>
      <c r="C13049" s="6">
        <v>0.65903670210843701</v>
      </c>
    </row>
    <row r="13050" spans="1:3" s="7" customFormat="1" x14ac:dyDescent="0.2">
      <c r="A13050" s="6" t="str">
        <f>"AL157813.1"</f>
        <v>AL157813.1</v>
      </c>
      <c r="B13050" s="6">
        <v>0.51454363089267796</v>
      </c>
      <c r="C13050" s="6">
        <v>0.65906063658059699</v>
      </c>
    </row>
    <row r="13051" spans="1:3" s="7" customFormat="1" x14ac:dyDescent="0.2">
      <c r="A13051" s="6" t="str">
        <f>"SEPTIN7-DT"</f>
        <v>SEPTIN7-DT</v>
      </c>
      <c r="B13051" s="6">
        <v>0.51500000000000001</v>
      </c>
      <c r="C13051" s="6">
        <v>0.65959463601532498</v>
      </c>
    </row>
    <row r="13052" spans="1:3" s="7" customFormat="1" x14ac:dyDescent="0.2">
      <c r="A13052" s="6" t="str">
        <f>"SVIL2P"</f>
        <v>SVIL2P</v>
      </c>
      <c r="B13052" s="6">
        <v>0.51548451548451502</v>
      </c>
      <c r="C13052" s="6">
        <v>0.659880325134509</v>
      </c>
    </row>
    <row r="13053" spans="1:3" s="7" customFormat="1" x14ac:dyDescent="0.2">
      <c r="A13053" s="6" t="str">
        <f>"IL17RE"</f>
        <v>IL17RE</v>
      </c>
      <c r="B13053" s="6">
        <v>0.51548451548451502</v>
      </c>
      <c r="C13053" s="6">
        <v>0.659880325134509</v>
      </c>
    </row>
    <row r="13054" spans="1:3" s="7" customFormat="1" x14ac:dyDescent="0.2">
      <c r="A13054" s="6" t="str">
        <f>"POLDIP3"</f>
        <v>POLDIP3</v>
      </c>
      <c r="B13054" s="6">
        <v>0.51548451548451502</v>
      </c>
      <c r="C13054" s="6">
        <v>0.659880325134509</v>
      </c>
    </row>
    <row r="13055" spans="1:3" s="7" customFormat="1" x14ac:dyDescent="0.2">
      <c r="A13055" s="6" t="str">
        <f>"DAXX"</f>
        <v>DAXX</v>
      </c>
      <c r="B13055" s="6">
        <v>0.51548451548451502</v>
      </c>
      <c r="C13055" s="6">
        <v>0.659880325134509</v>
      </c>
    </row>
    <row r="13056" spans="1:3" s="7" customFormat="1" x14ac:dyDescent="0.2">
      <c r="A13056" s="6" t="str">
        <f>"AC008269.1"</f>
        <v>AC008269.1</v>
      </c>
      <c r="B13056" s="6">
        <v>0.51548451548451502</v>
      </c>
      <c r="C13056" s="6">
        <v>0.659880325134509</v>
      </c>
    </row>
    <row r="13057" spans="1:3" s="7" customFormat="1" x14ac:dyDescent="0.2">
      <c r="A13057" s="6" t="str">
        <f>"ZFY"</f>
        <v>ZFY</v>
      </c>
      <c r="B13057" s="6">
        <v>0.51549942594718701</v>
      </c>
      <c r="C13057" s="6">
        <v>0.659880325134509</v>
      </c>
    </row>
    <row r="13058" spans="1:3" s="7" customFormat="1" x14ac:dyDescent="0.2">
      <c r="A13058" s="6" t="str">
        <f>"TMC4"</f>
        <v>TMC4</v>
      </c>
      <c r="B13058" s="6">
        <v>0.51548451548451502</v>
      </c>
      <c r="C13058" s="6">
        <v>0.659880325134509</v>
      </c>
    </row>
    <row r="13059" spans="1:3" s="7" customFormat="1" x14ac:dyDescent="0.2">
      <c r="A13059" s="6" t="str">
        <f>"RPL10AP6"</f>
        <v>RPL10AP6</v>
      </c>
      <c r="B13059" s="6">
        <v>0.51586489252814705</v>
      </c>
      <c r="C13059" s="6">
        <v>0.66029758107791803</v>
      </c>
    </row>
    <row r="13060" spans="1:3" s="7" customFormat="1" x14ac:dyDescent="0.2">
      <c r="A13060" s="6" t="str">
        <f>"ZDHHC8P1"</f>
        <v>ZDHHC8P1</v>
      </c>
      <c r="B13060" s="6">
        <v>0.51600000000000001</v>
      </c>
      <c r="C13060" s="6">
        <v>0.660369372128637</v>
      </c>
    </row>
    <row r="13061" spans="1:3" s="7" customFormat="1" x14ac:dyDescent="0.2">
      <c r="A13061" s="6" t="str">
        <f>"AL117329.1"</f>
        <v>AL117329.1</v>
      </c>
      <c r="B13061" s="6">
        <v>0.51600000000000001</v>
      </c>
      <c r="C13061" s="6">
        <v>0.660369372128637</v>
      </c>
    </row>
    <row r="13062" spans="1:3" s="7" customFormat="1" x14ac:dyDescent="0.2">
      <c r="A13062" s="6" t="str">
        <f>"CD247"</f>
        <v>CD247</v>
      </c>
      <c r="B13062" s="6">
        <v>0.51648351648351598</v>
      </c>
      <c r="C13062" s="6">
        <v>0.66083636947910096</v>
      </c>
    </row>
    <row r="13063" spans="1:3" s="7" customFormat="1" x14ac:dyDescent="0.2">
      <c r="A13063" s="6" t="str">
        <f>"AC109992.1"</f>
        <v>AC109992.1</v>
      </c>
      <c r="B13063" s="6">
        <v>0.51648351648351598</v>
      </c>
      <c r="C13063" s="6">
        <v>0.66083636947910096</v>
      </c>
    </row>
    <row r="13064" spans="1:3" s="7" customFormat="1" x14ac:dyDescent="0.2">
      <c r="A13064" s="6" t="str">
        <f>"PDXP"</f>
        <v>PDXP</v>
      </c>
      <c r="B13064" s="6">
        <v>0.51648351648351598</v>
      </c>
      <c r="C13064" s="6">
        <v>0.66083636947910096</v>
      </c>
    </row>
    <row r="13065" spans="1:3" s="7" customFormat="1" x14ac:dyDescent="0.2">
      <c r="A13065" s="6" t="str">
        <f>"AC005358.1"</f>
        <v>AC005358.1</v>
      </c>
      <c r="B13065" s="6">
        <v>0.51684088269454098</v>
      </c>
      <c r="C13065" s="6">
        <v>0.66124299704198997</v>
      </c>
    </row>
    <row r="13066" spans="1:3" s="7" customFormat="1" x14ac:dyDescent="0.2">
      <c r="A13066" s="6" t="str">
        <f>"ZBTB20-AS4"</f>
        <v>ZBTB20-AS4</v>
      </c>
      <c r="B13066" s="6">
        <v>0.51700000000000002</v>
      </c>
      <c r="C13066" s="6">
        <v>0.66139594336012197</v>
      </c>
    </row>
    <row r="13067" spans="1:3" s="7" customFormat="1" x14ac:dyDescent="0.2">
      <c r="A13067" s="6" t="str">
        <f>"LSM7"</f>
        <v>LSM7</v>
      </c>
      <c r="B13067" s="6">
        <v>0.51748251748251695</v>
      </c>
      <c r="C13067" s="6">
        <v>0.66165872071624798</v>
      </c>
    </row>
    <row r="13068" spans="1:3" s="7" customFormat="1" x14ac:dyDescent="0.2">
      <c r="A13068" s="6" t="str">
        <f>"RPUSD2"</f>
        <v>RPUSD2</v>
      </c>
      <c r="B13068" s="6">
        <v>0.51748251748251695</v>
      </c>
      <c r="C13068" s="6">
        <v>0.66165872071624798</v>
      </c>
    </row>
    <row r="13069" spans="1:3" s="7" customFormat="1" x14ac:dyDescent="0.2">
      <c r="A13069" s="6" t="str">
        <f>"TMEM59L"</f>
        <v>TMEM59L</v>
      </c>
      <c r="B13069" s="6">
        <v>0.51748251748251695</v>
      </c>
      <c r="C13069" s="6">
        <v>0.66165872071624798</v>
      </c>
    </row>
    <row r="13070" spans="1:3" s="7" customFormat="1" x14ac:dyDescent="0.2">
      <c r="A13070" s="6" t="str">
        <f>"AC112484.1"</f>
        <v>AC112484.1</v>
      </c>
      <c r="B13070" s="6">
        <v>0.51748251748251695</v>
      </c>
      <c r="C13070" s="6">
        <v>0.66165872071624798</v>
      </c>
    </row>
    <row r="13071" spans="1:3" s="7" customFormat="1" x14ac:dyDescent="0.2">
      <c r="A13071" s="6" t="str">
        <f>"LINC01843"</f>
        <v>LINC01843</v>
      </c>
      <c r="B13071" s="6">
        <v>0.51748251748251695</v>
      </c>
      <c r="C13071" s="6">
        <v>0.66165872071624798</v>
      </c>
    </row>
    <row r="13072" spans="1:3" s="7" customFormat="1" x14ac:dyDescent="0.2">
      <c r="A13072" s="6" t="str">
        <f>"ATG4A"</f>
        <v>ATG4A</v>
      </c>
      <c r="B13072" s="6">
        <v>0.51748251748251695</v>
      </c>
      <c r="C13072" s="6">
        <v>0.66165872071624798</v>
      </c>
    </row>
    <row r="13073" spans="1:3" s="7" customFormat="1" x14ac:dyDescent="0.2">
      <c r="A13073" s="6" t="str">
        <f>"BLOC1S2"</f>
        <v>BLOC1S2</v>
      </c>
      <c r="B13073" s="6">
        <v>0.51748251748251695</v>
      </c>
      <c r="C13073" s="6">
        <v>0.66165872071624798</v>
      </c>
    </row>
    <row r="13074" spans="1:3" s="7" customFormat="1" x14ac:dyDescent="0.2">
      <c r="A13074" s="6" t="str">
        <f>"RP2"</f>
        <v>RP2</v>
      </c>
      <c r="B13074" s="6">
        <v>0.51848151848151802</v>
      </c>
      <c r="C13074" s="6">
        <v>0.66227407294196206</v>
      </c>
    </row>
    <row r="13075" spans="1:3" s="7" customFormat="1" x14ac:dyDescent="0.2">
      <c r="A13075" s="6" t="str">
        <f>"AL355377.3"</f>
        <v>AL355377.3</v>
      </c>
      <c r="B13075" s="6">
        <v>0.51848151848151802</v>
      </c>
      <c r="C13075" s="6">
        <v>0.66227407294196206</v>
      </c>
    </row>
    <row r="13076" spans="1:3" s="7" customFormat="1" x14ac:dyDescent="0.2">
      <c r="A13076" s="6" t="str">
        <f>"WBP2NL"</f>
        <v>WBP2NL</v>
      </c>
      <c r="B13076" s="6">
        <v>0.51851851851851805</v>
      </c>
      <c r="C13076" s="6">
        <v>0.66227407294196206</v>
      </c>
    </row>
    <row r="13077" spans="1:3" s="7" customFormat="1" x14ac:dyDescent="0.2">
      <c r="A13077" s="6" t="str">
        <f>"COP1"</f>
        <v>COP1</v>
      </c>
      <c r="B13077" s="6">
        <v>0.51848151848151802</v>
      </c>
      <c r="C13077" s="6">
        <v>0.66227407294196206</v>
      </c>
    </row>
    <row r="13078" spans="1:3" s="7" customFormat="1" x14ac:dyDescent="0.2">
      <c r="A13078" s="6" t="str">
        <f>"GDNF-AS1"</f>
        <v>GDNF-AS1</v>
      </c>
      <c r="B13078" s="6">
        <v>0.51848151848151802</v>
      </c>
      <c r="C13078" s="6">
        <v>0.66227407294196206</v>
      </c>
    </row>
    <row r="13079" spans="1:3" s="7" customFormat="1" x14ac:dyDescent="0.2">
      <c r="A13079" s="6" t="str">
        <f>"TSSC2"</f>
        <v>TSSC2</v>
      </c>
      <c r="B13079" s="6">
        <v>0.51848151848151802</v>
      </c>
      <c r="C13079" s="6">
        <v>0.66227407294196206</v>
      </c>
    </row>
    <row r="13080" spans="1:3" s="7" customFormat="1" x14ac:dyDescent="0.2">
      <c r="A13080" s="6" t="str">
        <f>"UGT3A2"</f>
        <v>UGT3A2</v>
      </c>
      <c r="B13080" s="6">
        <v>0.51848151848151802</v>
      </c>
      <c r="C13080" s="6">
        <v>0.66227407294196206</v>
      </c>
    </row>
    <row r="13081" spans="1:3" s="7" customFormat="1" x14ac:dyDescent="0.2">
      <c r="A13081" s="6" t="str">
        <f>"AC144652.1"</f>
        <v>AC144652.1</v>
      </c>
      <c r="B13081" s="6">
        <v>0.51848151848151802</v>
      </c>
      <c r="C13081" s="6">
        <v>0.66227407294196206</v>
      </c>
    </row>
    <row r="13082" spans="1:3" s="7" customFormat="1" x14ac:dyDescent="0.2">
      <c r="A13082" s="6" t="str">
        <f>"AC087854.1"</f>
        <v>AC087854.1</v>
      </c>
      <c r="B13082" s="6">
        <v>0.51848151848151802</v>
      </c>
      <c r="C13082" s="6">
        <v>0.66227407294196206</v>
      </c>
    </row>
    <row r="13083" spans="1:3" s="7" customFormat="1" x14ac:dyDescent="0.2">
      <c r="A13083" s="6" t="str">
        <f>"TSSK3"</f>
        <v>TSSK3</v>
      </c>
      <c r="B13083" s="6">
        <v>0.51848151848151802</v>
      </c>
      <c r="C13083" s="6">
        <v>0.66227407294196206</v>
      </c>
    </row>
    <row r="13084" spans="1:3" s="7" customFormat="1" x14ac:dyDescent="0.2">
      <c r="A13084" s="6" t="str">
        <f>"SLC45A2"</f>
        <v>SLC45A2</v>
      </c>
      <c r="B13084" s="6">
        <v>0.51848151848151802</v>
      </c>
      <c r="C13084" s="6">
        <v>0.66227407294196206</v>
      </c>
    </row>
    <row r="13085" spans="1:3" s="7" customFormat="1" x14ac:dyDescent="0.2">
      <c r="A13085" s="6" t="str">
        <f>"AC011944.1"</f>
        <v>AC011944.1</v>
      </c>
      <c r="B13085" s="6">
        <v>0.51848151848151802</v>
      </c>
      <c r="C13085" s="6">
        <v>0.66227407294196206</v>
      </c>
    </row>
    <row r="13086" spans="1:3" s="7" customFormat="1" x14ac:dyDescent="0.2">
      <c r="A13086" s="6" t="str">
        <f>"CFAP298-TCP10L"</f>
        <v>CFAP298-TCP10L</v>
      </c>
      <c r="B13086" s="6">
        <v>0.51848151848151802</v>
      </c>
      <c r="C13086" s="6">
        <v>0.66227407294196206</v>
      </c>
    </row>
    <row r="13087" spans="1:3" s="7" customFormat="1" x14ac:dyDescent="0.2">
      <c r="A13087" s="6" t="str">
        <f>"ZNRD2-AS1"</f>
        <v>ZNRD2-AS1</v>
      </c>
      <c r="B13087" s="6">
        <v>0.51848151848151802</v>
      </c>
      <c r="C13087" s="6">
        <v>0.66227407294196206</v>
      </c>
    </row>
    <row r="13088" spans="1:3" s="7" customFormat="1" x14ac:dyDescent="0.2">
      <c r="A13088" s="6" t="str">
        <f>"CERS2"</f>
        <v>CERS2</v>
      </c>
      <c r="B13088" s="6">
        <v>0.51900000000000002</v>
      </c>
      <c r="C13088" s="6">
        <v>0.66283838924123095</v>
      </c>
    </row>
    <row r="13089" spans="1:3" s="7" customFormat="1" x14ac:dyDescent="0.2">
      <c r="A13089" s="6" t="str">
        <f>"DCAF12"</f>
        <v>DCAF12</v>
      </c>
      <c r="B13089" s="6">
        <v>0.51948051948051899</v>
      </c>
      <c r="C13089" s="6">
        <v>0.66304676613954905</v>
      </c>
    </row>
    <row r="13090" spans="1:3" s="7" customFormat="1" x14ac:dyDescent="0.2">
      <c r="A13090" s="6" t="str">
        <f>"ARFGAP2"</f>
        <v>ARFGAP2</v>
      </c>
      <c r="B13090" s="6">
        <v>0.51948051948051899</v>
      </c>
      <c r="C13090" s="6">
        <v>0.66304676613954905</v>
      </c>
    </row>
    <row r="13091" spans="1:3" s="7" customFormat="1" x14ac:dyDescent="0.2">
      <c r="A13091" s="6" t="str">
        <f>"RGS13"</f>
        <v>RGS13</v>
      </c>
      <c r="B13091" s="6">
        <v>0.51948051948051899</v>
      </c>
      <c r="C13091" s="6">
        <v>0.66304676613954905</v>
      </c>
    </row>
    <row r="13092" spans="1:3" s="7" customFormat="1" x14ac:dyDescent="0.2">
      <c r="A13092" s="6" t="str">
        <f>"POC1B-AS1"</f>
        <v>POC1B-AS1</v>
      </c>
      <c r="B13092" s="6">
        <v>0.51948051948051899</v>
      </c>
      <c r="C13092" s="6">
        <v>0.66304676613954905</v>
      </c>
    </row>
    <row r="13093" spans="1:3" s="7" customFormat="1" x14ac:dyDescent="0.2">
      <c r="A13093" s="6" t="str">
        <f>"DTNB"</f>
        <v>DTNB</v>
      </c>
      <c r="B13093" s="6">
        <v>0.51948051948051899</v>
      </c>
      <c r="C13093" s="6">
        <v>0.66304676613954905</v>
      </c>
    </row>
    <row r="13094" spans="1:3" s="7" customFormat="1" x14ac:dyDescent="0.2">
      <c r="A13094" s="6" t="str">
        <f>"SCO2"</f>
        <v>SCO2</v>
      </c>
      <c r="B13094" s="6">
        <v>0.51948051948051899</v>
      </c>
      <c r="C13094" s="6">
        <v>0.66304676613954905</v>
      </c>
    </row>
    <row r="13095" spans="1:3" s="7" customFormat="1" x14ac:dyDescent="0.2">
      <c r="A13095" s="6" t="str">
        <f>"FTLP14"</f>
        <v>FTLP14</v>
      </c>
      <c r="B13095" s="6">
        <v>0.51948051948051899</v>
      </c>
      <c r="C13095" s="6">
        <v>0.66304676613954905</v>
      </c>
    </row>
    <row r="13096" spans="1:3" s="7" customFormat="1" x14ac:dyDescent="0.2">
      <c r="A13096" s="6" t="str">
        <f>"FGFR1"</f>
        <v>FGFR1</v>
      </c>
      <c r="B13096" s="6">
        <v>0.51948051948051899</v>
      </c>
      <c r="C13096" s="6">
        <v>0.66304676613954905</v>
      </c>
    </row>
    <row r="13097" spans="1:3" s="7" customFormat="1" x14ac:dyDescent="0.2">
      <c r="A13097" s="6" t="str">
        <f>"TMEM45B"</f>
        <v>TMEM45B</v>
      </c>
      <c r="B13097" s="6">
        <v>0.52047952047951995</v>
      </c>
      <c r="C13097" s="6">
        <v>0.664118994220528</v>
      </c>
    </row>
    <row r="13098" spans="1:3" s="7" customFormat="1" x14ac:dyDescent="0.2">
      <c r="A13098" s="6" t="str">
        <f>"MRGPRX3"</f>
        <v>MRGPRX3</v>
      </c>
      <c r="B13098" s="6">
        <v>0.52047952047951995</v>
      </c>
      <c r="C13098" s="6">
        <v>0.664118994220528</v>
      </c>
    </row>
    <row r="13099" spans="1:3" s="7" customFormat="1" x14ac:dyDescent="0.2">
      <c r="A13099" s="6" t="str">
        <f>"MTCP1"</f>
        <v>MTCP1</v>
      </c>
      <c r="B13099" s="6">
        <v>0.52047952047951995</v>
      </c>
      <c r="C13099" s="6">
        <v>0.664118994220528</v>
      </c>
    </row>
    <row r="13100" spans="1:3" s="7" customFormat="1" x14ac:dyDescent="0.2">
      <c r="A13100" s="6" t="str">
        <f>"COL22A1"</f>
        <v>COL22A1</v>
      </c>
      <c r="B13100" s="6">
        <v>0.52047952047951995</v>
      </c>
      <c r="C13100" s="6">
        <v>0.664118994220528</v>
      </c>
    </row>
    <row r="13101" spans="1:3" s="7" customFormat="1" x14ac:dyDescent="0.2">
      <c r="A13101" s="6" t="str">
        <f>"AC010198.1"</f>
        <v>AC010198.1</v>
      </c>
      <c r="B13101" s="6">
        <v>0.52060301507537599</v>
      </c>
      <c r="C13101" s="6">
        <v>0.66422586213510304</v>
      </c>
    </row>
    <row r="13102" spans="1:3" s="7" customFormat="1" x14ac:dyDescent="0.2">
      <c r="A13102" s="6" t="str">
        <f>"AP002008.3"</f>
        <v>AP002008.3</v>
      </c>
      <c r="B13102" s="6">
        <v>0.52100000000000002</v>
      </c>
      <c r="C13102" s="6">
        <v>0.66468162735669001</v>
      </c>
    </row>
    <row r="13103" spans="1:3" s="7" customFormat="1" x14ac:dyDescent="0.2">
      <c r="A13103" s="6" t="str">
        <f>"VSNL1"</f>
        <v>VSNL1</v>
      </c>
      <c r="B13103" s="6">
        <v>0.52147852147852103</v>
      </c>
      <c r="C13103" s="6">
        <v>0.66508905059076695</v>
      </c>
    </row>
    <row r="13104" spans="1:3" s="7" customFormat="1" x14ac:dyDescent="0.2">
      <c r="A13104" s="6" t="str">
        <f>"AFG1L"</f>
        <v>AFG1L</v>
      </c>
      <c r="B13104" s="6">
        <v>0.52147852147852103</v>
      </c>
      <c r="C13104" s="6">
        <v>0.66508905059076695</v>
      </c>
    </row>
    <row r="13105" spans="1:3" s="7" customFormat="1" x14ac:dyDescent="0.2">
      <c r="A13105" s="6" t="str">
        <f>"CUBN"</f>
        <v>CUBN</v>
      </c>
      <c r="B13105" s="6">
        <v>0.52147852147852103</v>
      </c>
      <c r="C13105" s="6">
        <v>0.66508905059076695</v>
      </c>
    </row>
    <row r="13106" spans="1:3" s="7" customFormat="1" x14ac:dyDescent="0.2">
      <c r="A13106" s="6" t="str">
        <f>"MAP3K7"</f>
        <v>MAP3K7</v>
      </c>
      <c r="B13106" s="6">
        <v>0.52147852147852103</v>
      </c>
      <c r="C13106" s="6">
        <v>0.66508905059076695</v>
      </c>
    </row>
    <row r="13107" spans="1:3" s="7" customFormat="1" x14ac:dyDescent="0.2">
      <c r="A13107" s="6" t="str">
        <f>"NAP1L5"</f>
        <v>NAP1L5</v>
      </c>
      <c r="B13107" s="6">
        <v>0.52247752247752199</v>
      </c>
      <c r="C13107" s="6">
        <v>0.66605821910527796</v>
      </c>
    </row>
    <row r="13108" spans="1:3" s="7" customFormat="1" x14ac:dyDescent="0.2">
      <c r="A13108" s="6" t="str">
        <f>"MAS1"</f>
        <v>MAS1</v>
      </c>
      <c r="B13108" s="6">
        <v>0.52247752247752199</v>
      </c>
      <c r="C13108" s="6">
        <v>0.66605821910527796</v>
      </c>
    </row>
    <row r="13109" spans="1:3" s="7" customFormat="1" x14ac:dyDescent="0.2">
      <c r="A13109" s="6" t="str">
        <f>"AC090517.5"</f>
        <v>AC090517.5</v>
      </c>
      <c r="B13109" s="6">
        <v>0.52247752247752199</v>
      </c>
      <c r="C13109" s="6">
        <v>0.66605821910527796</v>
      </c>
    </row>
    <row r="13110" spans="1:3" s="7" customFormat="1" x14ac:dyDescent="0.2">
      <c r="A13110" s="6" t="str">
        <f>"AUP1"</f>
        <v>AUP1</v>
      </c>
      <c r="B13110" s="6">
        <v>0.52247752247752199</v>
      </c>
      <c r="C13110" s="6">
        <v>0.66605821910527796</v>
      </c>
    </row>
    <row r="13111" spans="1:3" s="7" customFormat="1" x14ac:dyDescent="0.2">
      <c r="A13111" s="6" t="str">
        <f>"C9orf135"</f>
        <v>C9orf135</v>
      </c>
      <c r="B13111" s="6">
        <v>0.52247752247752199</v>
      </c>
      <c r="C13111" s="6">
        <v>0.66605821910527796</v>
      </c>
    </row>
    <row r="13112" spans="1:3" s="7" customFormat="1" x14ac:dyDescent="0.2">
      <c r="A13112" s="6" t="str">
        <f>"SIGLEC16"</f>
        <v>SIGLEC16</v>
      </c>
      <c r="B13112" s="6">
        <v>0.52247752247752199</v>
      </c>
      <c r="C13112" s="6">
        <v>0.66605821910527796</v>
      </c>
    </row>
    <row r="13113" spans="1:3" s="7" customFormat="1" x14ac:dyDescent="0.2">
      <c r="A13113" s="6" t="str">
        <f>"CTNNA2-AS1"</f>
        <v>CTNNA2-AS1</v>
      </c>
      <c r="B13113" s="6">
        <v>0.52256770310932799</v>
      </c>
      <c r="C13113" s="6">
        <v>0.66612237566879995</v>
      </c>
    </row>
    <row r="13114" spans="1:3" s="7" customFormat="1" x14ac:dyDescent="0.2">
      <c r="A13114" s="6" t="str">
        <f>"NAV2"</f>
        <v>NAV2</v>
      </c>
      <c r="B13114" s="6">
        <v>0.52347652347652296</v>
      </c>
      <c r="C13114" s="6">
        <v>0.66677233755423004</v>
      </c>
    </row>
    <row r="13115" spans="1:3" s="7" customFormat="1" x14ac:dyDescent="0.2">
      <c r="A13115" s="6" t="str">
        <f>"LINC01515"</f>
        <v>LINC01515</v>
      </c>
      <c r="B13115" s="6">
        <v>0.52347652347652296</v>
      </c>
      <c r="C13115" s="6">
        <v>0.66677233755423004</v>
      </c>
    </row>
    <row r="13116" spans="1:3" s="7" customFormat="1" x14ac:dyDescent="0.2">
      <c r="A13116" s="6" t="str">
        <f>"TMEM201"</f>
        <v>TMEM201</v>
      </c>
      <c r="B13116" s="6">
        <v>0.52347652347652296</v>
      </c>
      <c r="C13116" s="6">
        <v>0.66677233755423004</v>
      </c>
    </row>
    <row r="13117" spans="1:3" s="7" customFormat="1" x14ac:dyDescent="0.2">
      <c r="A13117" s="6" t="str">
        <f>"DCUN1D2"</f>
        <v>DCUN1D2</v>
      </c>
      <c r="B13117" s="6">
        <v>0.52347652347652296</v>
      </c>
      <c r="C13117" s="6">
        <v>0.66677233755423004</v>
      </c>
    </row>
    <row r="13118" spans="1:3" s="7" customFormat="1" x14ac:dyDescent="0.2">
      <c r="A13118" s="6" t="str">
        <f>"DUSP14"</f>
        <v>DUSP14</v>
      </c>
      <c r="B13118" s="6">
        <v>0.52347652347652296</v>
      </c>
      <c r="C13118" s="6">
        <v>0.66677233755423004</v>
      </c>
    </row>
    <row r="13119" spans="1:3" s="7" customFormat="1" x14ac:dyDescent="0.2">
      <c r="A13119" s="6" t="str">
        <f>"LMAN1"</f>
        <v>LMAN1</v>
      </c>
      <c r="B13119" s="6">
        <v>0.52347652347652296</v>
      </c>
      <c r="C13119" s="6">
        <v>0.66677233755423004</v>
      </c>
    </row>
    <row r="13120" spans="1:3" s="7" customFormat="1" x14ac:dyDescent="0.2">
      <c r="A13120" s="6" t="str">
        <f>"EIF1AY"</f>
        <v>EIF1AY</v>
      </c>
      <c r="B13120" s="6">
        <v>0.52340425531914803</v>
      </c>
      <c r="C13120" s="6">
        <v>0.66677233755423004</v>
      </c>
    </row>
    <row r="13121" spans="1:3" s="7" customFormat="1" x14ac:dyDescent="0.2">
      <c r="A13121" s="6" t="str">
        <f>"IL12A-AS1"</f>
        <v>IL12A-AS1</v>
      </c>
      <c r="B13121" s="6">
        <v>0.52347652347652296</v>
      </c>
      <c r="C13121" s="6">
        <v>0.66677233755423004</v>
      </c>
    </row>
    <row r="13122" spans="1:3" s="7" customFormat="1" x14ac:dyDescent="0.2">
      <c r="A13122" s="6" t="str">
        <f>"XRCC2"</f>
        <v>XRCC2</v>
      </c>
      <c r="B13122" s="6">
        <v>0.52347652347652296</v>
      </c>
      <c r="C13122" s="6">
        <v>0.66677233755423004</v>
      </c>
    </row>
    <row r="13123" spans="1:3" s="7" customFormat="1" x14ac:dyDescent="0.2">
      <c r="A13123" s="6" t="str">
        <f>"PDGFB"</f>
        <v>PDGFB</v>
      </c>
      <c r="B13123" s="6">
        <v>0.52347652347652296</v>
      </c>
      <c r="C13123" s="6">
        <v>0.66677233755423004</v>
      </c>
    </row>
    <row r="13124" spans="1:3" s="7" customFormat="1" x14ac:dyDescent="0.2">
      <c r="A13124" s="6" t="str">
        <f>"AC010463.1"</f>
        <v>AC010463.1</v>
      </c>
      <c r="B13124" s="6">
        <v>0.52352352352352305</v>
      </c>
      <c r="C13124" s="6">
        <v>0.66678138932958697</v>
      </c>
    </row>
    <row r="13125" spans="1:3" s="7" customFormat="1" x14ac:dyDescent="0.2">
      <c r="A13125" s="6" t="str">
        <f>"CENPX"</f>
        <v>CENPX</v>
      </c>
      <c r="B13125" s="6">
        <v>0.52447552447552404</v>
      </c>
      <c r="C13125" s="6">
        <v>0.667790349362681</v>
      </c>
    </row>
    <row r="13126" spans="1:3" s="7" customFormat="1" x14ac:dyDescent="0.2">
      <c r="A13126" s="6" t="str">
        <f>"NCDN"</f>
        <v>NCDN</v>
      </c>
      <c r="B13126" s="6">
        <v>0.52447552447552404</v>
      </c>
      <c r="C13126" s="6">
        <v>0.667790349362681</v>
      </c>
    </row>
    <row r="13127" spans="1:3" s="7" customFormat="1" x14ac:dyDescent="0.2">
      <c r="A13127" s="6" t="str">
        <f>"WASHC2C"</f>
        <v>WASHC2C</v>
      </c>
      <c r="B13127" s="6">
        <v>0.52447552447552404</v>
      </c>
      <c r="C13127" s="6">
        <v>0.667790349362681</v>
      </c>
    </row>
    <row r="13128" spans="1:3" s="7" customFormat="1" x14ac:dyDescent="0.2">
      <c r="A13128" s="6" t="str">
        <f>"NDUFA6"</f>
        <v>NDUFA6</v>
      </c>
      <c r="B13128" s="6">
        <v>0.52447552447552404</v>
      </c>
      <c r="C13128" s="6">
        <v>0.667790349362681</v>
      </c>
    </row>
    <row r="13129" spans="1:3" s="7" customFormat="1" x14ac:dyDescent="0.2">
      <c r="A13129" s="6" t="str">
        <f>"SLC4A1"</f>
        <v>SLC4A1</v>
      </c>
      <c r="B13129" s="6">
        <v>0.52452452452452403</v>
      </c>
      <c r="C13129" s="6">
        <v>0.66780186646121997</v>
      </c>
    </row>
    <row r="13130" spans="1:3" s="7" customFormat="1" x14ac:dyDescent="0.2">
      <c r="A13130" s="6" t="str">
        <f>"CCDC73"</f>
        <v>CCDC73</v>
      </c>
      <c r="B13130" s="6">
        <v>0.52500000000000002</v>
      </c>
      <c r="C13130" s="6">
        <v>0.66825451222298304</v>
      </c>
    </row>
    <row r="13131" spans="1:3" s="7" customFormat="1" x14ac:dyDescent="0.2">
      <c r="A13131" s="6" t="str">
        <f>"AC008395.1"</f>
        <v>AC008395.1</v>
      </c>
      <c r="B13131" s="6">
        <v>0.52500000000000002</v>
      </c>
      <c r="C13131" s="6">
        <v>0.66825451222298304</v>
      </c>
    </row>
    <row r="13132" spans="1:3" s="7" customFormat="1" x14ac:dyDescent="0.2">
      <c r="A13132" s="6" t="str">
        <f>"CTNNA1P1"</f>
        <v>CTNNA1P1</v>
      </c>
      <c r="B13132" s="6">
        <v>0.52500000000000002</v>
      </c>
      <c r="C13132" s="6">
        <v>0.66825451222298304</v>
      </c>
    </row>
    <row r="13133" spans="1:3" s="7" customFormat="1" x14ac:dyDescent="0.2">
      <c r="A13133" s="6" t="str">
        <f>"LAMA4"</f>
        <v>LAMA4</v>
      </c>
      <c r="B13133" s="6">
        <v>0.525474525474525</v>
      </c>
      <c r="C13133" s="6">
        <v>0.66860392956616999</v>
      </c>
    </row>
    <row r="13134" spans="1:3" s="7" customFormat="1" x14ac:dyDescent="0.2">
      <c r="A13134" s="6" t="str">
        <f>"RGN"</f>
        <v>RGN</v>
      </c>
      <c r="B13134" s="6">
        <v>0.525474525474525</v>
      </c>
      <c r="C13134" s="6">
        <v>0.66860392956616999</v>
      </c>
    </row>
    <row r="13135" spans="1:3" s="7" customFormat="1" x14ac:dyDescent="0.2">
      <c r="A13135" s="6" t="str">
        <f>"STK32B"</f>
        <v>STK32B</v>
      </c>
      <c r="B13135" s="6">
        <v>0.525474525474525</v>
      </c>
      <c r="C13135" s="6">
        <v>0.66860392956616999</v>
      </c>
    </row>
    <row r="13136" spans="1:3" s="7" customFormat="1" x14ac:dyDescent="0.2">
      <c r="A13136" s="6" t="str">
        <f>"RPUSD1"</f>
        <v>RPUSD1</v>
      </c>
      <c r="B13136" s="6">
        <v>0.525474525474525</v>
      </c>
      <c r="C13136" s="6">
        <v>0.66860392956616999</v>
      </c>
    </row>
    <row r="13137" spans="1:3" s="7" customFormat="1" x14ac:dyDescent="0.2">
      <c r="A13137" s="6" t="str">
        <f>"TTC21A"</f>
        <v>TTC21A</v>
      </c>
      <c r="B13137" s="6">
        <v>0.525474525474525</v>
      </c>
      <c r="C13137" s="6">
        <v>0.66860392956616999</v>
      </c>
    </row>
    <row r="13138" spans="1:3" s="7" customFormat="1" x14ac:dyDescent="0.2">
      <c r="A13138" s="6" t="str">
        <f>"TARDBP"</f>
        <v>TARDBP</v>
      </c>
      <c r="B13138" s="6">
        <v>0.52647352647352597</v>
      </c>
      <c r="C13138" s="6">
        <v>0.66962015991770196</v>
      </c>
    </row>
    <row r="13139" spans="1:3" s="7" customFormat="1" x14ac:dyDescent="0.2">
      <c r="A13139" s="6" t="str">
        <f>"WWP2"</f>
        <v>WWP2</v>
      </c>
      <c r="B13139" s="6">
        <v>0.52647352647352597</v>
      </c>
      <c r="C13139" s="6">
        <v>0.66962015991770196</v>
      </c>
    </row>
    <row r="13140" spans="1:3" s="7" customFormat="1" x14ac:dyDescent="0.2">
      <c r="A13140" s="6" t="str">
        <f>"FBLN7"</f>
        <v>FBLN7</v>
      </c>
      <c r="B13140" s="6">
        <v>0.52647352647352597</v>
      </c>
      <c r="C13140" s="6">
        <v>0.66962015991770196</v>
      </c>
    </row>
    <row r="13141" spans="1:3" s="7" customFormat="1" x14ac:dyDescent="0.2">
      <c r="A13141" s="6" t="str">
        <f>"RGPD3"</f>
        <v>RGPD3</v>
      </c>
      <c r="B13141" s="6">
        <v>0.52647352647352597</v>
      </c>
      <c r="C13141" s="6">
        <v>0.66962015991770196</v>
      </c>
    </row>
    <row r="13142" spans="1:3" s="7" customFormat="1" x14ac:dyDescent="0.2">
      <c r="A13142" s="6" t="str">
        <f>"TMPPE"</f>
        <v>TMPPE</v>
      </c>
      <c r="B13142" s="6">
        <v>0.52647352647352597</v>
      </c>
      <c r="C13142" s="6">
        <v>0.66962015991770196</v>
      </c>
    </row>
    <row r="13143" spans="1:3" s="7" customFormat="1" x14ac:dyDescent="0.2">
      <c r="A13143" s="6" t="str">
        <f>"AC025887.2"</f>
        <v>AC025887.2</v>
      </c>
      <c r="B13143" s="6">
        <v>0.52700000000000002</v>
      </c>
      <c r="C13143" s="6">
        <v>0.67023877644194096</v>
      </c>
    </row>
    <row r="13144" spans="1:3" s="7" customFormat="1" x14ac:dyDescent="0.2">
      <c r="A13144" s="6" t="str">
        <f>"ISCA1P1"</f>
        <v>ISCA1P1</v>
      </c>
      <c r="B13144" s="6">
        <v>0.52705410821643195</v>
      </c>
      <c r="C13144" s="6">
        <v>0.67025659017952199</v>
      </c>
    </row>
    <row r="13145" spans="1:3" s="7" customFormat="1" x14ac:dyDescent="0.2">
      <c r="A13145" s="6" t="str">
        <f>"ARPC4-TTLL3"</f>
        <v>ARPC4-TTLL3</v>
      </c>
      <c r="B13145" s="6">
        <v>0.52747252747252704</v>
      </c>
      <c r="C13145" s="6">
        <v>0.67043162161032799</v>
      </c>
    </row>
    <row r="13146" spans="1:3" s="7" customFormat="1" x14ac:dyDescent="0.2">
      <c r="A13146" s="6" t="str">
        <f>"HTRA3"</f>
        <v>HTRA3</v>
      </c>
      <c r="B13146" s="6">
        <v>0.52747252747252704</v>
      </c>
      <c r="C13146" s="6">
        <v>0.67043162161032799</v>
      </c>
    </row>
    <row r="13147" spans="1:3" s="7" customFormat="1" x14ac:dyDescent="0.2">
      <c r="A13147" s="6" t="str">
        <f>"ARG2"</f>
        <v>ARG2</v>
      </c>
      <c r="B13147" s="6">
        <v>0.52747252747252704</v>
      </c>
      <c r="C13147" s="6">
        <v>0.67043162161032799</v>
      </c>
    </row>
    <row r="13148" spans="1:3" s="7" customFormat="1" x14ac:dyDescent="0.2">
      <c r="A13148" s="6" t="str">
        <f>"SWSAP1"</f>
        <v>SWSAP1</v>
      </c>
      <c r="B13148" s="6">
        <v>0.52747252747252704</v>
      </c>
      <c r="C13148" s="6">
        <v>0.67043162161032799</v>
      </c>
    </row>
    <row r="13149" spans="1:3" s="7" customFormat="1" x14ac:dyDescent="0.2">
      <c r="A13149" s="6" t="str">
        <f>"PSEN2"</f>
        <v>PSEN2</v>
      </c>
      <c r="B13149" s="6">
        <v>0.52747252747252704</v>
      </c>
      <c r="C13149" s="6">
        <v>0.67043162161032799</v>
      </c>
    </row>
    <row r="13150" spans="1:3" s="7" customFormat="1" x14ac:dyDescent="0.2">
      <c r="A13150" s="6" t="str">
        <f>"RAB26"</f>
        <v>RAB26</v>
      </c>
      <c r="B13150" s="6">
        <v>0.52747252747252704</v>
      </c>
      <c r="C13150" s="6">
        <v>0.67043162161032799</v>
      </c>
    </row>
    <row r="13151" spans="1:3" s="7" customFormat="1" x14ac:dyDescent="0.2">
      <c r="A13151" s="6" t="str">
        <f>"FIBCD1"</f>
        <v>FIBCD1</v>
      </c>
      <c r="B13151" s="6">
        <v>0.52747252747252704</v>
      </c>
      <c r="C13151" s="6">
        <v>0.67043162161032799</v>
      </c>
    </row>
    <row r="13152" spans="1:3" s="7" customFormat="1" x14ac:dyDescent="0.2">
      <c r="A13152" s="6" t="str">
        <f>"AC090515.2"</f>
        <v>AC090515.2</v>
      </c>
      <c r="B13152" s="6">
        <v>0.52800000000000002</v>
      </c>
      <c r="C13152" s="6">
        <v>0.67094898502242795</v>
      </c>
    </row>
    <row r="13153" spans="1:3" s="7" customFormat="1" x14ac:dyDescent="0.2">
      <c r="A13153" s="6" t="str">
        <f>"AL513220.1"</f>
        <v>AL513220.1</v>
      </c>
      <c r="B13153" s="6">
        <v>0.52800000000000002</v>
      </c>
      <c r="C13153" s="6">
        <v>0.67094898502242795</v>
      </c>
    </row>
    <row r="13154" spans="1:3" s="7" customFormat="1" x14ac:dyDescent="0.2">
      <c r="A13154" s="6" t="str">
        <f>"AC091078.1"</f>
        <v>AC091078.1</v>
      </c>
      <c r="B13154" s="6">
        <v>0.52800000000000002</v>
      </c>
      <c r="C13154" s="6">
        <v>0.67094898502242795</v>
      </c>
    </row>
    <row r="13155" spans="1:3" s="7" customFormat="1" x14ac:dyDescent="0.2">
      <c r="A13155" s="6" t="str">
        <f>"PLTP"</f>
        <v>PLTP</v>
      </c>
      <c r="B13155" s="6">
        <v>0.52847152847152801</v>
      </c>
      <c r="C13155" s="6">
        <v>0.67113996860976499</v>
      </c>
    </row>
    <row r="13156" spans="1:3" s="7" customFormat="1" x14ac:dyDescent="0.2">
      <c r="A13156" s="6" t="str">
        <f>"POLDIP2"</f>
        <v>POLDIP2</v>
      </c>
      <c r="B13156" s="6">
        <v>0.52847152847152801</v>
      </c>
      <c r="C13156" s="6">
        <v>0.67113996860976499</v>
      </c>
    </row>
    <row r="13157" spans="1:3" s="7" customFormat="1" x14ac:dyDescent="0.2">
      <c r="A13157" s="6" t="str">
        <f>"C15orf40"</f>
        <v>C15orf40</v>
      </c>
      <c r="B13157" s="6">
        <v>0.52847152847152801</v>
      </c>
      <c r="C13157" s="6">
        <v>0.67113996860976499</v>
      </c>
    </row>
    <row r="13158" spans="1:3" s="7" customFormat="1" x14ac:dyDescent="0.2">
      <c r="A13158" s="6" t="str">
        <f>"AC113404.3"</f>
        <v>AC113404.3</v>
      </c>
      <c r="B13158" s="6">
        <v>0.52847152847152801</v>
      </c>
      <c r="C13158" s="6">
        <v>0.67113996860976499</v>
      </c>
    </row>
    <row r="13159" spans="1:3" s="7" customFormat="1" x14ac:dyDescent="0.2">
      <c r="A13159" s="6" t="str">
        <f>"LINC02482"</f>
        <v>LINC02482</v>
      </c>
      <c r="B13159" s="6">
        <v>0.52847152847152801</v>
      </c>
      <c r="C13159" s="6">
        <v>0.67113996860976499</v>
      </c>
    </row>
    <row r="13160" spans="1:3" s="7" customFormat="1" x14ac:dyDescent="0.2">
      <c r="A13160" s="6" t="str">
        <f>"SF3B3"</f>
        <v>SF3B3</v>
      </c>
      <c r="B13160" s="6">
        <v>0.52847152847152801</v>
      </c>
      <c r="C13160" s="6">
        <v>0.67113996860976499</v>
      </c>
    </row>
    <row r="13161" spans="1:3" s="7" customFormat="1" x14ac:dyDescent="0.2">
      <c r="A13161" s="6" t="str">
        <f>"CDH11"</f>
        <v>CDH11</v>
      </c>
      <c r="B13161" s="6">
        <v>0.52847152847152801</v>
      </c>
      <c r="C13161" s="6">
        <v>0.67113996860976499</v>
      </c>
    </row>
    <row r="13162" spans="1:3" s="7" customFormat="1" x14ac:dyDescent="0.2">
      <c r="A13162" s="6" t="str">
        <f>"LINC02026"</f>
        <v>LINC02026</v>
      </c>
      <c r="B13162" s="6">
        <v>0.52847152847152801</v>
      </c>
      <c r="C13162" s="6">
        <v>0.67113996860976499</v>
      </c>
    </row>
    <row r="13163" spans="1:3" s="7" customFormat="1" x14ac:dyDescent="0.2">
      <c r="A13163" s="6" t="str">
        <f>"ILK"</f>
        <v>ILK</v>
      </c>
      <c r="B13163" s="6">
        <v>0.52947052947052897</v>
      </c>
      <c r="C13163" s="6">
        <v>0.67210225788489597</v>
      </c>
    </row>
    <row r="13164" spans="1:3" s="7" customFormat="1" x14ac:dyDescent="0.2">
      <c r="A13164" s="6" t="str">
        <f>"RPTOR"</f>
        <v>RPTOR</v>
      </c>
      <c r="B13164" s="6">
        <v>0.52947052947052897</v>
      </c>
      <c r="C13164" s="6">
        <v>0.67210225788489597</v>
      </c>
    </row>
    <row r="13165" spans="1:3" s="7" customFormat="1" x14ac:dyDescent="0.2">
      <c r="A13165" s="6" t="str">
        <f>"KRT16P1"</f>
        <v>KRT16P1</v>
      </c>
      <c r="B13165" s="6">
        <v>0.52947052947052897</v>
      </c>
      <c r="C13165" s="6">
        <v>0.67210225788489597</v>
      </c>
    </row>
    <row r="13166" spans="1:3" s="7" customFormat="1" x14ac:dyDescent="0.2">
      <c r="A13166" s="6" t="str">
        <f>"NANOGP7"</f>
        <v>NANOGP7</v>
      </c>
      <c r="B13166" s="6">
        <v>0.52947052947052897</v>
      </c>
      <c r="C13166" s="6">
        <v>0.67210225788489597</v>
      </c>
    </row>
    <row r="13167" spans="1:3" s="7" customFormat="1" x14ac:dyDescent="0.2">
      <c r="A13167" s="6" t="str">
        <f>"LINC01254"</f>
        <v>LINC01254</v>
      </c>
      <c r="B13167" s="6">
        <v>0.52947052947052897</v>
      </c>
      <c r="C13167" s="6">
        <v>0.67210225788489597</v>
      </c>
    </row>
    <row r="13168" spans="1:3" s="7" customFormat="1" x14ac:dyDescent="0.2">
      <c r="A13168" s="6" t="str">
        <f>"FXYD6"</f>
        <v>FXYD6</v>
      </c>
      <c r="B13168" s="6">
        <v>0.52947052947052897</v>
      </c>
      <c r="C13168" s="6">
        <v>0.67210225788489597</v>
      </c>
    </row>
    <row r="13169" spans="1:3" s="7" customFormat="1" x14ac:dyDescent="0.2">
      <c r="A13169" s="6" t="str">
        <f>"AL139398.1"</f>
        <v>AL139398.1</v>
      </c>
      <c r="B13169" s="6">
        <v>0.52952952952952903</v>
      </c>
      <c r="C13169" s="6">
        <v>0.67212610544931295</v>
      </c>
    </row>
    <row r="13170" spans="1:3" s="7" customFormat="1" x14ac:dyDescent="0.2">
      <c r="A13170" s="6" t="str">
        <f>"AC008708.2"</f>
        <v>AC008708.2</v>
      </c>
      <c r="B13170" s="6">
        <v>0.53</v>
      </c>
      <c r="C13170" s="6">
        <v>0.67267218467613299</v>
      </c>
    </row>
    <row r="13171" spans="1:3" s="7" customFormat="1" x14ac:dyDescent="0.2">
      <c r="A13171" s="6" t="str">
        <f>"SF1"</f>
        <v>SF1</v>
      </c>
      <c r="B13171" s="6">
        <v>0.53046953046953005</v>
      </c>
      <c r="C13171" s="6">
        <v>0.67275724503131695</v>
      </c>
    </row>
    <row r="13172" spans="1:3" s="7" customFormat="1" x14ac:dyDescent="0.2">
      <c r="A13172" s="6" t="str">
        <f>"CCDC186"</f>
        <v>CCDC186</v>
      </c>
      <c r="B13172" s="6">
        <v>0.53046953046953005</v>
      </c>
      <c r="C13172" s="6">
        <v>0.67275724503131695</v>
      </c>
    </row>
    <row r="13173" spans="1:3" s="7" customFormat="1" x14ac:dyDescent="0.2">
      <c r="A13173" s="6" t="str">
        <f>"PPP1R26"</f>
        <v>PPP1R26</v>
      </c>
      <c r="B13173" s="6">
        <v>0.53046953046953005</v>
      </c>
      <c r="C13173" s="6">
        <v>0.67275724503131695</v>
      </c>
    </row>
    <row r="13174" spans="1:3" s="7" customFormat="1" x14ac:dyDescent="0.2">
      <c r="A13174" s="6" t="str">
        <f>"POLR2F"</f>
        <v>POLR2F</v>
      </c>
      <c r="B13174" s="6">
        <v>0.53046953046953005</v>
      </c>
      <c r="C13174" s="6">
        <v>0.67275724503131695</v>
      </c>
    </row>
    <row r="13175" spans="1:3" s="7" customFormat="1" x14ac:dyDescent="0.2">
      <c r="A13175" s="6" t="str">
        <f>"AC069234.3"</f>
        <v>AC069234.3</v>
      </c>
      <c r="B13175" s="6">
        <v>0.53046953046953005</v>
      </c>
      <c r="C13175" s="6">
        <v>0.67275724503131695</v>
      </c>
    </row>
    <row r="13176" spans="1:3" s="7" customFormat="1" x14ac:dyDescent="0.2">
      <c r="A13176" s="6" t="str">
        <f>"PFKP"</f>
        <v>PFKP</v>
      </c>
      <c r="B13176" s="6">
        <v>0.53046953046953005</v>
      </c>
      <c r="C13176" s="6">
        <v>0.67275724503131695</v>
      </c>
    </row>
    <row r="13177" spans="1:3" s="7" customFormat="1" x14ac:dyDescent="0.2">
      <c r="A13177" s="6" t="str">
        <f>"CEP128"</f>
        <v>CEP128</v>
      </c>
      <c r="B13177" s="6">
        <v>0.53046953046953005</v>
      </c>
      <c r="C13177" s="6">
        <v>0.67275724503131695</v>
      </c>
    </row>
    <row r="13178" spans="1:3" s="7" customFormat="1" x14ac:dyDescent="0.2">
      <c r="A13178" s="6" t="str">
        <f>"FPGS"</f>
        <v>FPGS</v>
      </c>
      <c r="B13178" s="6">
        <v>0.53046953046953005</v>
      </c>
      <c r="C13178" s="6">
        <v>0.67275724503131695</v>
      </c>
    </row>
    <row r="13179" spans="1:3" s="7" customFormat="1" x14ac:dyDescent="0.2">
      <c r="A13179" s="6" t="str">
        <f>"EIF4EBP1"</f>
        <v>EIF4EBP1</v>
      </c>
      <c r="B13179" s="6">
        <v>0.53046953046953005</v>
      </c>
      <c r="C13179" s="6">
        <v>0.67275724503131695</v>
      </c>
    </row>
    <row r="13180" spans="1:3" s="7" customFormat="1" x14ac:dyDescent="0.2">
      <c r="A13180" s="6" t="str">
        <f>"AP005482.2"</f>
        <v>AP005482.2</v>
      </c>
      <c r="B13180" s="6">
        <v>0.530346820809248</v>
      </c>
      <c r="C13180" s="6">
        <v>0.67275724503131695</v>
      </c>
    </row>
    <row r="13181" spans="1:3" s="7" customFormat="1" x14ac:dyDescent="0.2">
      <c r="A13181" s="6" t="str">
        <f>"LINC00624"</f>
        <v>LINC00624</v>
      </c>
      <c r="B13181" s="6">
        <v>0.53059177532597701</v>
      </c>
      <c r="C13181" s="6">
        <v>0.672861224036297</v>
      </c>
    </row>
    <row r="13182" spans="1:3" s="7" customFormat="1" x14ac:dyDescent="0.2">
      <c r="A13182" s="6" t="str">
        <f>"PCDHGA12"</f>
        <v>PCDHGA12</v>
      </c>
      <c r="B13182" s="6">
        <v>0.53100000000000003</v>
      </c>
      <c r="C13182" s="6">
        <v>0.67332782034746996</v>
      </c>
    </row>
    <row r="13183" spans="1:3" s="7" customFormat="1" x14ac:dyDescent="0.2">
      <c r="A13183" s="6" t="str">
        <f>"LINC00173"</f>
        <v>LINC00173</v>
      </c>
      <c r="B13183" s="6">
        <v>0.53146853146853101</v>
      </c>
      <c r="C13183" s="6">
        <v>0.67366639124564198</v>
      </c>
    </row>
    <row r="13184" spans="1:3" s="7" customFormat="1" x14ac:dyDescent="0.2">
      <c r="A13184" s="6" t="str">
        <f>"TDGF1"</f>
        <v>TDGF1</v>
      </c>
      <c r="B13184" s="6">
        <v>0.53146853146853101</v>
      </c>
      <c r="C13184" s="6">
        <v>0.67366639124564198</v>
      </c>
    </row>
    <row r="13185" spans="1:3" s="7" customFormat="1" x14ac:dyDescent="0.2">
      <c r="A13185" s="6" t="str">
        <f>"TIMM10"</f>
        <v>TIMM10</v>
      </c>
      <c r="B13185" s="6">
        <v>0.53146853146853101</v>
      </c>
      <c r="C13185" s="6">
        <v>0.67366639124564198</v>
      </c>
    </row>
    <row r="13186" spans="1:3" s="7" customFormat="1" x14ac:dyDescent="0.2">
      <c r="A13186" s="6" t="str">
        <f>"PLPPR1"</f>
        <v>PLPPR1</v>
      </c>
      <c r="B13186" s="6">
        <v>0.53146853146853101</v>
      </c>
      <c r="C13186" s="6">
        <v>0.67366639124564198</v>
      </c>
    </row>
    <row r="13187" spans="1:3" s="7" customFormat="1" x14ac:dyDescent="0.2">
      <c r="A13187" s="6" t="str">
        <f>"GAREM1"</f>
        <v>GAREM1</v>
      </c>
      <c r="B13187" s="6">
        <v>0.53146853146853101</v>
      </c>
      <c r="C13187" s="6">
        <v>0.67366639124564198</v>
      </c>
    </row>
    <row r="13188" spans="1:3" s="7" customFormat="1" x14ac:dyDescent="0.2">
      <c r="A13188" s="6" t="str">
        <f>"BCOR"</f>
        <v>BCOR</v>
      </c>
      <c r="B13188" s="6">
        <v>0.53246753246753198</v>
      </c>
      <c r="C13188" s="6">
        <v>0.67467685070596095</v>
      </c>
    </row>
    <row r="13189" spans="1:3" s="7" customFormat="1" x14ac:dyDescent="0.2">
      <c r="A13189" s="6" t="str">
        <f>"ELF5"</f>
        <v>ELF5</v>
      </c>
      <c r="B13189" s="6">
        <v>0.53246753246753198</v>
      </c>
      <c r="C13189" s="6">
        <v>0.67467685070596095</v>
      </c>
    </row>
    <row r="13190" spans="1:3" s="7" customFormat="1" x14ac:dyDescent="0.2">
      <c r="A13190" s="6" t="str">
        <f>"ACCS"</f>
        <v>ACCS</v>
      </c>
      <c r="B13190" s="6">
        <v>0.53246753246753198</v>
      </c>
      <c r="C13190" s="6">
        <v>0.67467685070596095</v>
      </c>
    </row>
    <row r="13191" spans="1:3" s="7" customFormat="1" x14ac:dyDescent="0.2">
      <c r="A13191" s="6" t="str">
        <f>"TLCD3B"</f>
        <v>TLCD3B</v>
      </c>
      <c r="B13191" s="6">
        <v>0.53246753246753198</v>
      </c>
      <c r="C13191" s="6">
        <v>0.67467685070596095</v>
      </c>
    </row>
    <row r="13192" spans="1:3" s="7" customFormat="1" x14ac:dyDescent="0.2">
      <c r="A13192" s="6" t="str">
        <f>"PSMA5"</f>
        <v>PSMA5</v>
      </c>
      <c r="B13192" s="6">
        <v>0.53246753246753198</v>
      </c>
      <c r="C13192" s="6">
        <v>0.67467685070596095</v>
      </c>
    </row>
    <row r="13193" spans="1:3" s="7" customFormat="1" x14ac:dyDescent="0.2">
      <c r="A13193" s="6" t="str">
        <f>"LINC02681"</f>
        <v>LINC02681</v>
      </c>
      <c r="B13193" s="6">
        <v>0.53253253253253197</v>
      </c>
      <c r="C13193" s="6">
        <v>0.67470806160921304</v>
      </c>
    </row>
    <row r="13194" spans="1:3" s="7" customFormat="1" x14ac:dyDescent="0.2">
      <c r="A13194" s="6" t="str">
        <f>"C5orf66"</f>
        <v>C5orf66</v>
      </c>
      <c r="B13194" s="6">
        <v>0.53300000000000003</v>
      </c>
      <c r="C13194" s="6">
        <v>0.67524914727507002</v>
      </c>
    </row>
    <row r="13195" spans="1:3" s="7" customFormat="1" x14ac:dyDescent="0.2">
      <c r="A13195" s="6" t="str">
        <f>"LIMCH1"</f>
        <v>LIMCH1</v>
      </c>
      <c r="B13195" s="6">
        <v>0.53346653346653305</v>
      </c>
      <c r="C13195" s="6">
        <v>0.67563534442370499</v>
      </c>
    </row>
    <row r="13196" spans="1:3" s="7" customFormat="1" x14ac:dyDescent="0.2">
      <c r="A13196" s="6" t="str">
        <f>"SCGB2A1"</f>
        <v>SCGB2A1</v>
      </c>
      <c r="B13196" s="6">
        <v>0.53346653346653305</v>
      </c>
      <c r="C13196" s="6">
        <v>0.67563534442370499</v>
      </c>
    </row>
    <row r="13197" spans="1:3" s="7" customFormat="1" x14ac:dyDescent="0.2">
      <c r="A13197" s="6" t="str">
        <f>"LINC00861"</f>
        <v>LINC00861</v>
      </c>
      <c r="B13197" s="6">
        <v>0.53346653346653305</v>
      </c>
      <c r="C13197" s="6">
        <v>0.67563534442370499</v>
      </c>
    </row>
    <row r="13198" spans="1:3" s="7" customFormat="1" x14ac:dyDescent="0.2">
      <c r="A13198" s="6" t="str">
        <f>"ACP7"</f>
        <v>ACP7</v>
      </c>
      <c r="B13198" s="6">
        <v>0.53346653346653305</v>
      </c>
      <c r="C13198" s="6">
        <v>0.67563534442370499</v>
      </c>
    </row>
    <row r="13199" spans="1:3" s="7" customFormat="1" x14ac:dyDescent="0.2">
      <c r="A13199" s="6" t="str">
        <f>"AL357093.1"</f>
        <v>AL357093.1</v>
      </c>
      <c r="B13199" s="6">
        <v>0.53400000000000003</v>
      </c>
      <c r="C13199" s="6">
        <v>0.67625973632368497</v>
      </c>
    </row>
    <row r="13200" spans="1:3" s="7" customFormat="1" x14ac:dyDescent="0.2">
      <c r="A13200" s="6" t="str">
        <f>"ODF2L"</f>
        <v>ODF2L</v>
      </c>
      <c r="B13200" s="6">
        <v>0.53446553446553402</v>
      </c>
      <c r="C13200" s="6">
        <v>0.67659296698151505</v>
      </c>
    </row>
    <row r="13201" spans="1:3" s="7" customFormat="1" x14ac:dyDescent="0.2">
      <c r="A13201" s="6" t="str">
        <f>"LINC01376"</f>
        <v>LINC01376</v>
      </c>
      <c r="B13201" s="6">
        <v>0.53446553446553402</v>
      </c>
      <c r="C13201" s="6">
        <v>0.67659296698151505</v>
      </c>
    </row>
    <row r="13202" spans="1:3" s="7" customFormat="1" x14ac:dyDescent="0.2">
      <c r="A13202" s="6" t="str">
        <f>"AC092053.3"</f>
        <v>AC092053.3</v>
      </c>
      <c r="B13202" s="6">
        <v>0.53446553446553402</v>
      </c>
      <c r="C13202" s="6">
        <v>0.67659296698151505</v>
      </c>
    </row>
    <row r="13203" spans="1:3" s="7" customFormat="1" x14ac:dyDescent="0.2">
      <c r="A13203" s="6" t="str">
        <f>"PIGV"</f>
        <v>PIGV</v>
      </c>
      <c r="B13203" s="6">
        <v>0.53446553446553402</v>
      </c>
      <c r="C13203" s="6">
        <v>0.67659296698151505</v>
      </c>
    </row>
    <row r="13204" spans="1:3" s="7" customFormat="1" x14ac:dyDescent="0.2">
      <c r="A13204" s="6" t="str">
        <f>"GOLGA2P11"</f>
        <v>GOLGA2P11</v>
      </c>
      <c r="B13204" s="6">
        <v>0.53446553446553402</v>
      </c>
      <c r="C13204" s="6">
        <v>0.67659296698151505</v>
      </c>
    </row>
    <row r="13205" spans="1:3" s="7" customFormat="1" x14ac:dyDescent="0.2">
      <c r="A13205" s="6" t="str">
        <f>"AL021308.1"</f>
        <v>AL021308.1</v>
      </c>
      <c r="B13205" s="6">
        <v>0.53453453453453403</v>
      </c>
      <c r="C13205" s="6">
        <v>0.67662906772267495</v>
      </c>
    </row>
    <row r="13206" spans="1:3" s="7" customFormat="1" x14ac:dyDescent="0.2">
      <c r="A13206" s="6" t="str">
        <f>"PARD3-AS1"</f>
        <v>PARD3-AS1</v>
      </c>
      <c r="B13206" s="6">
        <v>0.53488372093023195</v>
      </c>
      <c r="C13206" s="6">
        <v>0.67701980398545303</v>
      </c>
    </row>
    <row r="13207" spans="1:3" s="7" customFormat="1" x14ac:dyDescent="0.2">
      <c r="A13207" s="6" t="str">
        <f>"HTATSF1"</f>
        <v>HTATSF1</v>
      </c>
      <c r="B13207" s="6">
        <v>0.53500000000000003</v>
      </c>
      <c r="C13207" s="6">
        <v>0.677115704982583</v>
      </c>
    </row>
    <row r="13208" spans="1:3" s="7" customFormat="1" x14ac:dyDescent="0.2">
      <c r="A13208" s="6" t="str">
        <f>"EIPR1-IT1"</f>
        <v>EIPR1-IT1</v>
      </c>
      <c r="B13208" s="6">
        <v>0.53507014028056099</v>
      </c>
      <c r="C13208" s="6">
        <v>0.67715320092748499</v>
      </c>
    </row>
    <row r="13209" spans="1:3" s="7" customFormat="1" x14ac:dyDescent="0.2">
      <c r="A13209" s="6" t="str">
        <f>"NF2"</f>
        <v>NF2</v>
      </c>
      <c r="B13209" s="6">
        <v>0.53546453546453499</v>
      </c>
      <c r="C13209" s="6">
        <v>0.677344603477957</v>
      </c>
    </row>
    <row r="13210" spans="1:3" s="7" customFormat="1" x14ac:dyDescent="0.2">
      <c r="A13210" s="6" t="str">
        <f>"USP45"</f>
        <v>USP45</v>
      </c>
      <c r="B13210" s="6">
        <v>0.53546453546453499</v>
      </c>
      <c r="C13210" s="6">
        <v>0.677344603477957</v>
      </c>
    </row>
    <row r="13211" spans="1:3" s="7" customFormat="1" x14ac:dyDescent="0.2">
      <c r="A13211" s="6" t="str">
        <f>"TECR"</f>
        <v>TECR</v>
      </c>
      <c r="B13211" s="6">
        <v>0.53546453546453499</v>
      </c>
      <c r="C13211" s="6">
        <v>0.677344603477957</v>
      </c>
    </row>
    <row r="13212" spans="1:3" s="7" customFormat="1" x14ac:dyDescent="0.2">
      <c r="A13212" s="6" t="str">
        <f>"AC099518.1"</f>
        <v>AC099518.1</v>
      </c>
      <c r="B13212" s="6">
        <v>0.53546453546453499</v>
      </c>
      <c r="C13212" s="6">
        <v>0.677344603477957</v>
      </c>
    </row>
    <row r="13213" spans="1:3" s="7" customFormat="1" x14ac:dyDescent="0.2">
      <c r="A13213" s="6" t="str">
        <f>"TMLHE"</f>
        <v>TMLHE</v>
      </c>
      <c r="B13213" s="6">
        <v>0.53546453546453499</v>
      </c>
      <c r="C13213" s="6">
        <v>0.677344603477957</v>
      </c>
    </row>
    <row r="13214" spans="1:3" s="7" customFormat="1" x14ac:dyDescent="0.2">
      <c r="A13214" s="6" t="str">
        <f>"SPECC1L"</f>
        <v>SPECC1L</v>
      </c>
      <c r="B13214" s="6">
        <v>0.53546453546453499</v>
      </c>
      <c r="C13214" s="6">
        <v>0.677344603477957</v>
      </c>
    </row>
    <row r="13215" spans="1:3" s="7" customFormat="1" x14ac:dyDescent="0.2">
      <c r="A13215" s="6" t="str">
        <f>"RBMS1P1"</f>
        <v>RBMS1P1</v>
      </c>
      <c r="B13215" s="6">
        <v>0.53567839195979905</v>
      </c>
      <c r="C13215" s="6">
        <v>0.67756384465083097</v>
      </c>
    </row>
    <row r="13216" spans="1:3" s="7" customFormat="1" x14ac:dyDescent="0.2">
      <c r="A13216" s="6" t="str">
        <f>"EPN1"</f>
        <v>EPN1</v>
      </c>
      <c r="B13216" s="6">
        <v>0.53646353646353595</v>
      </c>
      <c r="C13216" s="6">
        <v>0.67799255564851002</v>
      </c>
    </row>
    <row r="13217" spans="1:3" s="7" customFormat="1" x14ac:dyDescent="0.2">
      <c r="A13217" s="6" t="str">
        <f>"SRC"</f>
        <v>SRC</v>
      </c>
      <c r="B13217" s="6">
        <v>0.53646353646353595</v>
      </c>
      <c r="C13217" s="6">
        <v>0.67799255564851002</v>
      </c>
    </row>
    <row r="13218" spans="1:3" s="7" customFormat="1" x14ac:dyDescent="0.2">
      <c r="A13218" s="6" t="str">
        <f>"SMIM17"</f>
        <v>SMIM17</v>
      </c>
      <c r="B13218" s="6">
        <v>0.53630705394190803</v>
      </c>
      <c r="C13218" s="6">
        <v>0.67799255564851002</v>
      </c>
    </row>
    <row r="13219" spans="1:3" s="7" customFormat="1" x14ac:dyDescent="0.2">
      <c r="A13219" s="6" t="str">
        <f>"CU633906.5"</f>
        <v>CU633906.5</v>
      </c>
      <c r="B13219" s="6">
        <v>0.53646353646353595</v>
      </c>
      <c r="C13219" s="6">
        <v>0.67799255564851002</v>
      </c>
    </row>
    <row r="13220" spans="1:3" s="7" customFormat="1" x14ac:dyDescent="0.2">
      <c r="A13220" s="6" t="str">
        <f>"DTX2P1-UPK3BP1-PMS2P11"</f>
        <v>DTX2P1-UPK3BP1-PMS2P11</v>
      </c>
      <c r="B13220" s="6">
        <v>0.53646353646353595</v>
      </c>
      <c r="C13220" s="6">
        <v>0.67799255564851002</v>
      </c>
    </row>
    <row r="13221" spans="1:3" s="7" customFormat="1" x14ac:dyDescent="0.2">
      <c r="A13221" s="6" t="str">
        <f>"AC098614.2"</f>
        <v>AC098614.2</v>
      </c>
      <c r="B13221" s="6">
        <v>0.53646353646353595</v>
      </c>
      <c r="C13221" s="6">
        <v>0.67799255564851002</v>
      </c>
    </row>
    <row r="13222" spans="1:3" s="7" customFormat="1" x14ac:dyDescent="0.2">
      <c r="A13222" s="6" t="str">
        <f>"TRIM58"</f>
        <v>TRIM58</v>
      </c>
      <c r="B13222" s="6">
        <v>0.53646353646353595</v>
      </c>
      <c r="C13222" s="6">
        <v>0.67799255564851002</v>
      </c>
    </row>
    <row r="13223" spans="1:3" s="7" customFormat="1" x14ac:dyDescent="0.2">
      <c r="A13223" s="6" t="str">
        <f>"CD151"</f>
        <v>CD151</v>
      </c>
      <c r="B13223" s="6">
        <v>0.53646353646353595</v>
      </c>
      <c r="C13223" s="6">
        <v>0.67799255564851002</v>
      </c>
    </row>
    <row r="13224" spans="1:3" s="7" customFormat="1" x14ac:dyDescent="0.2">
      <c r="A13224" s="6" t="str">
        <f>"GPAA1"</f>
        <v>GPAA1</v>
      </c>
      <c r="B13224" s="6">
        <v>0.53646353646353595</v>
      </c>
      <c r="C13224" s="6">
        <v>0.67799255564851002</v>
      </c>
    </row>
    <row r="13225" spans="1:3" s="7" customFormat="1" x14ac:dyDescent="0.2">
      <c r="A13225" s="6" t="str">
        <f>"SERPINI1"</f>
        <v>SERPINI1</v>
      </c>
      <c r="B13225" s="6">
        <v>0.53646353646353595</v>
      </c>
      <c r="C13225" s="6">
        <v>0.67799255564851002</v>
      </c>
    </row>
    <row r="13226" spans="1:3" s="7" customFormat="1" x14ac:dyDescent="0.2">
      <c r="A13226" s="6" t="str">
        <f>"SLC6A1"</f>
        <v>SLC6A1</v>
      </c>
      <c r="B13226" s="6">
        <v>0.53646353646353595</v>
      </c>
      <c r="C13226" s="6">
        <v>0.67799255564851002</v>
      </c>
    </row>
    <row r="13227" spans="1:3" s="7" customFormat="1" x14ac:dyDescent="0.2">
      <c r="A13227" s="6" t="str">
        <f>"SCAANT1"</f>
        <v>SCAANT1</v>
      </c>
      <c r="B13227" s="6">
        <v>0.53653653653653599</v>
      </c>
      <c r="C13227" s="6">
        <v>0.67803354541597305</v>
      </c>
    </row>
    <row r="13228" spans="1:3" s="7" customFormat="1" x14ac:dyDescent="0.2">
      <c r="A13228" s="6" t="str">
        <f>"LINC01285"</f>
        <v>LINC01285</v>
      </c>
      <c r="B13228" s="6">
        <v>0.53700000000000003</v>
      </c>
      <c r="C13228" s="6">
        <v>0.67856792923565401</v>
      </c>
    </row>
    <row r="13229" spans="1:3" s="7" customFormat="1" x14ac:dyDescent="0.2">
      <c r="A13229" s="6" t="str">
        <f>"TCF25"</f>
        <v>TCF25</v>
      </c>
      <c r="B13229" s="6">
        <v>0.53746253746253703</v>
      </c>
      <c r="C13229" s="6">
        <v>0.67874188523980705</v>
      </c>
    </row>
    <row r="13230" spans="1:3" s="7" customFormat="1" x14ac:dyDescent="0.2">
      <c r="A13230" s="6" t="str">
        <f>"LINC02804"</f>
        <v>LINC02804</v>
      </c>
      <c r="B13230" s="6">
        <v>0.53746253746253703</v>
      </c>
      <c r="C13230" s="6">
        <v>0.67874188523980705</v>
      </c>
    </row>
    <row r="13231" spans="1:3" s="7" customFormat="1" x14ac:dyDescent="0.2">
      <c r="A13231" s="6" t="str">
        <f>"SNX12"</f>
        <v>SNX12</v>
      </c>
      <c r="B13231" s="6">
        <v>0.53746253746253703</v>
      </c>
      <c r="C13231" s="6">
        <v>0.67874188523980705</v>
      </c>
    </row>
    <row r="13232" spans="1:3" s="7" customFormat="1" x14ac:dyDescent="0.2">
      <c r="A13232" s="6" t="str">
        <f>"AC097468.1"</f>
        <v>AC097468.1</v>
      </c>
      <c r="B13232" s="6">
        <v>0.53746253746253703</v>
      </c>
      <c r="C13232" s="6">
        <v>0.67874188523980705</v>
      </c>
    </row>
    <row r="13233" spans="1:3" s="7" customFormat="1" x14ac:dyDescent="0.2">
      <c r="A13233" s="6" t="str">
        <f>"AC074141.1"</f>
        <v>AC074141.1</v>
      </c>
      <c r="B13233" s="6">
        <v>0.53746253746253703</v>
      </c>
      <c r="C13233" s="6">
        <v>0.67874188523980705</v>
      </c>
    </row>
    <row r="13234" spans="1:3" s="7" customFormat="1" x14ac:dyDescent="0.2">
      <c r="A13234" s="6" t="str">
        <f>"BICC1"</f>
        <v>BICC1</v>
      </c>
      <c r="B13234" s="6">
        <v>0.53746253746253703</v>
      </c>
      <c r="C13234" s="6">
        <v>0.67874188523980705</v>
      </c>
    </row>
    <row r="13235" spans="1:3" s="7" customFormat="1" x14ac:dyDescent="0.2">
      <c r="A13235" s="6" t="str">
        <f>"SMOC1"</f>
        <v>SMOC1</v>
      </c>
      <c r="B13235" s="6">
        <v>0.53746253746253703</v>
      </c>
      <c r="C13235" s="6">
        <v>0.67874188523980705</v>
      </c>
    </row>
    <row r="13236" spans="1:3" s="7" customFormat="1" x14ac:dyDescent="0.2">
      <c r="A13236" s="6" t="str">
        <f>"CYP4F26P"</f>
        <v>CYP4F26P</v>
      </c>
      <c r="B13236" s="6">
        <v>0.53746253746253703</v>
      </c>
      <c r="C13236" s="6">
        <v>0.67874188523980705</v>
      </c>
    </row>
    <row r="13237" spans="1:3" s="7" customFormat="1" x14ac:dyDescent="0.2">
      <c r="A13237" s="6" t="str">
        <f>"PTGES3L"</f>
        <v>PTGES3L</v>
      </c>
      <c r="B13237" s="6">
        <v>0.53800000000000003</v>
      </c>
      <c r="C13237" s="6">
        <v>0.67936929585977601</v>
      </c>
    </row>
    <row r="13238" spans="1:3" s="7" customFormat="1" x14ac:dyDescent="0.2">
      <c r="A13238" s="6" t="str">
        <f>"CBFB"</f>
        <v>CBFB</v>
      </c>
      <c r="B13238" s="6">
        <v>0.53846153846153799</v>
      </c>
      <c r="C13238" s="6">
        <v>0.67969535185002194</v>
      </c>
    </row>
    <row r="13239" spans="1:3" s="7" customFormat="1" x14ac:dyDescent="0.2">
      <c r="A13239" s="6" t="str">
        <f>"C9orf85"</f>
        <v>C9orf85</v>
      </c>
      <c r="B13239" s="6">
        <v>0.53846153846153799</v>
      </c>
      <c r="C13239" s="6">
        <v>0.67969535185002194</v>
      </c>
    </row>
    <row r="13240" spans="1:3" s="7" customFormat="1" x14ac:dyDescent="0.2">
      <c r="A13240" s="6" t="str">
        <f>"AC011346.1"</f>
        <v>AC011346.1</v>
      </c>
      <c r="B13240" s="6">
        <v>0.53846153846153799</v>
      </c>
      <c r="C13240" s="6">
        <v>0.67969535185002194</v>
      </c>
    </row>
    <row r="13241" spans="1:3" s="7" customFormat="1" x14ac:dyDescent="0.2">
      <c r="A13241" s="6" t="str">
        <f>"EPAS1"</f>
        <v>EPAS1</v>
      </c>
      <c r="B13241" s="6">
        <v>0.53846153846153799</v>
      </c>
      <c r="C13241" s="6">
        <v>0.67969535185002194</v>
      </c>
    </row>
    <row r="13242" spans="1:3" s="7" customFormat="1" x14ac:dyDescent="0.2">
      <c r="A13242" s="6" t="str">
        <f>"PYCR1"</f>
        <v>PYCR1</v>
      </c>
      <c r="B13242" s="6">
        <v>0.53846153846153799</v>
      </c>
      <c r="C13242" s="6">
        <v>0.67969535185002194</v>
      </c>
    </row>
    <row r="13243" spans="1:3" s="7" customFormat="1" x14ac:dyDescent="0.2">
      <c r="A13243" s="6" t="str">
        <f>"CLSTN1"</f>
        <v>CLSTN1</v>
      </c>
      <c r="B13243" s="6">
        <v>0.53900000000000003</v>
      </c>
      <c r="C13243" s="6">
        <v>0.68032366711976999</v>
      </c>
    </row>
    <row r="13244" spans="1:3" s="7" customFormat="1" x14ac:dyDescent="0.2">
      <c r="A13244" s="6" t="str">
        <f>"BECN1"</f>
        <v>BECN1</v>
      </c>
      <c r="B13244" s="6">
        <v>0.53946053946053896</v>
      </c>
      <c r="C13244" s="6">
        <v>0.68039114522664101</v>
      </c>
    </row>
    <row r="13245" spans="1:3" s="7" customFormat="1" x14ac:dyDescent="0.2">
      <c r="A13245" s="6" t="str">
        <f>"STOM"</f>
        <v>STOM</v>
      </c>
      <c r="B13245" s="6">
        <v>0.53946053946053896</v>
      </c>
      <c r="C13245" s="6">
        <v>0.68039114522664101</v>
      </c>
    </row>
    <row r="13246" spans="1:3" s="7" customFormat="1" x14ac:dyDescent="0.2">
      <c r="A13246" s="6" t="str">
        <f>"AP001994.2"</f>
        <v>AP001994.2</v>
      </c>
      <c r="B13246" s="6">
        <v>0.53946053946053896</v>
      </c>
      <c r="C13246" s="6">
        <v>0.68039114522664101</v>
      </c>
    </row>
    <row r="13247" spans="1:3" s="7" customFormat="1" x14ac:dyDescent="0.2">
      <c r="A13247" s="6" t="str">
        <f>"LKAAEAR1"</f>
        <v>LKAAEAR1</v>
      </c>
      <c r="B13247" s="6">
        <v>0.53946053946053896</v>
      </c>
      <c r="C13247" s="6">
        <v>0.68039114522664101</v>
      </c>
    </row>
    <row r="13248" spans="1:3" s="7" customFormat="1" x14ac:dyDescent="0.2">
      <c r="A13248" s="6" t="str">
        <f>"KEAP1"</f>
        <v>KEAP1</v>
      </c>
      <c r="B13248" s="6">
        <v>0.53946053946053896</v>
      </c>
      <c r="C13248" s="6">
        <v>0.68039114522664101</v>
      </c>
    </row>
    <row r="13249" spans="1:3" s="7" customFormat="1" x14ac:dyDescent="0.2">
      <c r="A13249" s="6" t="str">
        <f>"KLRK1-AS1"</f>
        <v>KLRK1-AS1</v>
      </c>
      <c r="B13249" s="6">
        <v>0.53946053946053896</v>
      </c>
      <c r="C13249" s="6">
        <v>0.68039114522664101</v>
      </c>
    </row>
    <row r="13250" spans="1:3" s="7" customFormat="1" x14ac:dyDescent="0.2">
      <c r="A13250" s="6" t="str">
        <f>"SETBP1"</f>
        <v>SETBP1</v>
      </c>
      <c r="B13250" s="6">
        <v>0.53946053946053896</v>
      </c>
      <c r="C13250" s="6">
        <v>0.68039114522664101</v>
      </c>
    </row>
    <row r="13251" spans="1:3" s="7" customFormat="1" x14ac:dyDescent="0.2">
      <c r="A13251" s="6" t="str">
        <f>"RAB1A"</f>
        <v>RAB1A</v>
      </c>
      <c r="B13251" s="6">
        <v>0.53946053946053896</v>
      </c>
      <c r="C13251" s="6">
        <v>0.68039114522664101</v>
      </c>
    </row>
    <row r="13252" spans="1:3" s="7" customFormat="1" x14ac:dyDescent="0.2">
      <c r="A13252" s="6" t="str">
        <f>"KTI12"</f>
        <v>KTI12</v>
      </c>
      <c r="B13252" s="6">
        <v>0.53946053946053896</v>
      </c>
      <c r="C13252" s="6">
        <v>0.68039114522664101</v>
      </c>
    </row>
    <row r="13253" spans="1:3" s="7" customFormat="1" x14ac:dyDescent="0.2">
      <c r="A13253" s="6" t="str">
        <f>"TMEM63A"</f>
        <v>TMEM63A</v>
      </c>
      <c r="B13253" s="6">
        <v>0.53946053946053896</v>
      </c>
      <c r="C13253" s="6">
        <v>0.68039114522664101</v>
      </c>
    </row>
    <row r="13254" spans="1:3" s="7" customFormat="1" x14ac:dyDescent="0.2">
      <c r="A13254" s="6" t="str">
        <f>"AC114811.2"</f>
        <v>AC114811.2</v>
      </c>
      <c r="B13254" s="6">
        <v>0.54045954045954003</v>
      </c>
      <c r="C13254" s="6">
        <v>0.68139403780951602</v>
      </c>
    </row>
    <row r="13255" spans="1:3" s="7" customFormat="1" x14ac:dyDescent="0.2">
      <c r="A13255" s="6" t="str">
        <f>"U2SURP"</f>
        <v>U2SURP</v>
      </c>
      <c r="B13255" s="6">
        <v>0.54045954045954003</v>
      </c>
      <c r="C13255" s="6">
        <v>0.68139403780951602</v>
      </c>
    </row>
    <row r="13256" spans="1:3" s="7" customFormat="1" x14ac:dyDescent="0.2">
      <c r="A13256" s="6" t="str">
        <f>"MARCHF4"</f>
        <v>MARCHF4</v>
      </c>
      <c r="B13256" s="6">
        <v>0.54045954045954003</v>
      </c>
      <c r="C13256" s="6">
        <v>0.68139403780951602</v>
      </c>
    </row>
    <row r="13257" spans="1:3" s="7" customFormat="1" x14ac:dyDescent="0.2">
      <c r="A13257" s="6" t="str">
        <f>"ANKRD18B"</f>
        <v>ANKRD18B</v>
      </c>
      <c r="B13257" s="6">
        <v>0.54045954045954003</v>
      </c>
      <c r="C13257" s="6">
        <v>0.68139403780951602</v>
      </c>
    </row>
    <row r="13258" spans="1:3" s="7" customFormat="1" x14ac:dyDescent="0.2">
      <c r="A13258" s="6" t="str">
        <f>"AHRR"</f>
        <v>AHRR</v>
      </c>
      <c r="B13258" s="6">
        <v>0.54045954045954003</v>
      </c>
      <c r="C13258" s="6">
        <v>0.68139403780951602</v>
      </c>
    </row>
    <row r="13259" spans="1:3" s="7" customFormat="1" x14ac:dyDescent="0.2">
      <c r="A13259" s="6" t="str">
        <f>"TVP23A"</f>
        <v>TVP23A</v>
      </c>
      <c r="B13259" s="6">
        <v>0.54100000000000004</v>
      </c>
      <c r="C13259" s="6">
        <v>0.682023985518177</v>
      </c>
    </row>
    <row r="13260" spans="1:3" s="7" customFormat="1" x14ac:dyDescent="0.2">
      <c r="A13260" s="6" t="str">
        <f>"COX6B1"</f>
        <v>COX6B1</v>
      </c>
      <c r="B13260" s="6">
        <v>0.541458541458541</v>
      </c>
      <c r="C13260" s="6">
        <v>0.68234472305949301</v>
      </c>
    </row>
    <row r="13261" spans="1:3" s="7" customFormat="1" x14ac:dyDescent="0.2">
      <c r="A13261" s="6" t="str">
        <f>"SERF1B"</f>
        <v>SERF1B</v>
      </c>
      <c r="B13261" s="6">
        <v>0.541458541458541</v>
      </c>
      <c r="C13261" s="6">
        <v>0.68234472305949301</v>
      </c>
    </row>
    <row r="13262" spans="1:3" s="7" customFormat="1" x14ac:dyDescent="0.2">
      <c r="A13262" s="6" t="str">
        <f>"AC025678.3"</f>
        <v>AC025678.3</v>
      </c>
      <c r="B13262" s="6">
        <v>0.541458541458541</v>
      </c>
      <c r="C13262" s="6">
        <v>0.68234472305949301</v>
      </c>
    </row>
    <row r="13263" spans="1:3" s="7" customFormat="1" x14ac:dyDescent="0.2">
      <c r="A13263" s="6" t="str">
        <f>"CLCN6"</f>
        <v>CLCN6</v>
      </c>
      <c r="B13263" s="6">
        <v>0.541458541458541</v>
      </c>
      <c r="C13263" s="6">
        <v>0.68234472305949301</v>
      </c>
    </row>
    <row r="13264" spans="1:3" s="7" customFormat="1" x14ac:dyDescent="0.2">
      <c r="A13264" s="6" t="str">
        <f>"FYTTD1"</f>
        <v>FYTTD1</v>
      </c>
      <c r="B13264" s="6">
        <v>0.541458541458541</v>
      </c>
      <c r="C13264" s="6">
        <v>0.68234472305949301</v>
      </c>
    </row>
    <row r="13265" spans="1:3" s="7" customFormat="1" x14ac:dyDescent="0.2">
      <c r="A13265" s="6" t="str">
        <f>"LINC02558"</f>
        <v>LINC02558</v>
      </c>
      <c r="B13265" s="6">
        <v>0.54157549234135605</v>
      </c>
      <c r="C13265" s="6">
        <v>0.68244064980348496</v>
      </c>
    </row>
    <row r="13266" spans="1:3" s="7" customFormat="1" x14ac:dyDescent="0.2">
      <c r="A13266" s="6" t="str">
        <f>"DPY19L1P1"</f>
        <v>DPY19L1P1</v>
      </c>
      <c r="B13266" s="6">
        <v>0.54208416833667294</v>
      </c>
      <c r="C13266" s="6">
        <v>0.68303013867916695</v>
      </c>
    </row>
    <row r="13267" spans="1:3" s="7" customFormat="1" x14ac:dyDescent="0.2">
      <c r="A13267" s="6" t="str">
        <f>"HHIPL1"</f>
        <v>HHIPL1</v>
      </c>
      <c r="B13267" s="6">
        <v>0.54245754245754196</v>
      </c>
      <c r="C13267" s="6">
        <v>0.683140096792899</v>
      </c>
    </row>
    <row r="13268" spans="1:3" s="7" customFormat="1" x14ac:dyDescent="0.2">
      <c r="A13268" s="6" t="str">
        <f>"AC006033.2"</f>
        <v>AC006033.2</v>
      </c>
      <c r="B13268" s="6">
        <v>0.54245754245754196</v>
      </c>
      <c r="C13268" s="6">
        <v>0.683140096792899</v>
      </c>
    </row>
    <row r="13269" spans="1:3" s="7" customFormat="1" x14ac:dyDescent="0.2">
      <c r="A13269" s="6" t="str">
        <f>"ESF1"</f>
        <v>ESF1</v>
      </c>
      <c r="B13269" s="6">
        <v>0.54245754245754196</v>
      </c>
      <c r="C13269" s="6">
        <v>0.683140096792899</v>
      </c>
    </row>
    <row r="13270" spans="1:3" s="7" customFormat="1" x14ac:dyDescent="0.2">
      <c r="A13270" s="6" t="str">
        <f>"HEATR9"</f>
        <v>HEATR9</v>
      </c>
      <c r="B13270" s="6">
        <v>0.54245754245754196</v>
      </c>
      <c r="C13270" s="6">
        <v>0.683140096792899</v>
      </c>
    </row>
    <row r="13271" spans="1:3" s="7" customFormat="1" x14ac:dyDescent="0.2">
      <c r="A13271" s="6" t="str">
        <f>"STARD10"</f>
        <v>STARD10</v>
      </c>
      <c r="B13271" s="6">
        <v>0.54245754245754196</v>
      </c>
      <c r="C13271" s="6">
        <v>0.683140096792899</v>
      </c>
    </row>
    <row r="13272" spans="1:3" s="7" customFormat="1" x14ac:dyDescent="0.2">
      <c r="A13272" s="6" t="str">
        <f>"GOLGA8K"</f>
        <v>GOLGA8K</v>
      </c>
      <c r="B13272" s="6">
        <v>0.54245754245754196</v>
      </c>
      <c r="C13272" s="6">
        <v>0.683140096792899</v>
      </c>
    </row>
    <row r="13273" spans="1:3" s="7" customFormat="1" x14ac:dyDescent="0.2">
      <c r="A13273" s="6" t="str">
        <f>"C16orf70"</f>
        <v>C16orf70</v>
      </c>
      <c r="B13273" s="6">
        <v>0.54245754245754196</v>
      </c>
      <c r="C13273" s="6">
        <v>0.683140096792899</v>
      </c>
    </row>
    <row r="13274" spans="1:3" s="7" customFormat="1" x14ac:dyDescent="0.2">
      <c r="A13274" s="6" t="str">
        <f>"LINC00499"</f>
        <v>LINC00499</v>
      </c>
      <c r="B13274" s="6">
        <v>0.542713567839196</v>
      </c>
      <c r="C13274" s="6">
        <v>0.68341102786591701</v>
      </c>
    </row>
    <row r="13275" spans="1:3" s="7" customFormat="1" x14ac:dyDescent="0.2">
      <c r="A13275" s="6" t="str">
        <f>"RBM25"</f>
        <v>RBM25</v>
      </c>
      <c r="B13275" s="6">
        <v>0.54345654345654304</v>
      </c>
      <c r="C13275" s="6">
        <v>0.68341980794016</v>
      </c>
    </row>
    <row r="13276" spans="1:3" s="7" customFormat="1" x14ac:dyDescent="0.2">
      <c r="A13276" s="6" t="str">
        <f>"SPIDR"</f>
        <v>SPIDR</v>
      </c>
      <c r="B13276" s="6">
        <v>0.54345654345654304</v>
      </c>
      <c r="C13276" s="6">
        <v>0.68341980794016</v>
      </c>
    </row>
    <row r="13277" spans="1:3" s="7" customFormat="1" x14ac:dyDescent="0.2">
      <c r="A13277" s="6" t="str">
        <f>"TMEM177"</f>
        <v>TMEM177</v>
      </c>
      <c r="B13277" s="6">
        <v>0.54345654345654304</v>
      </c>
      <c r="C13277" s="6">
        <v>0.68341980794016</v>
      </c>
    </row>
    <row r="13278" spans="1:3" s="7" customFormat="1" x14ac:dyDescent="0.2">
      <c r="A13278" s="6" t="str">
        <f>"AL356740.2"</f>
        <v>AL356740.2</v>
      </c>
      <c r="B13278" s="6">
        <v>0.54345654345654304</v>
      </c>
      <c r="C13278" s="6">
        <v>0.68341980794016</v>
      </c>
    </row>
    <row r="13279" spans="1:3" s="7" customFormat="1" x14ac:dyDescent="0.2">
      <c r="A13279" s="6" t="str">
        <f>"AL109811.3"</f>
        <v>AL109811.3</v>
      </c>
      <c r="B13279" s="6">
        <v>0.54345654345654304</v>
      </c>
      <c r="C13279" s="6">
        <v>0.68341980794016</v>
      </c>
    </row>
    <row r="13280" spans="1:3" s="7" customFormat="1" x14ac:dyDescent="0.2">
      <c r="A13280" s="6" t="str">
        <f>"C17orf100"</f>
        <v>C17orf100</v>
      </c>
      <c r="B13280" s="6">
        <v>0.54345654345654304</v>
      </c>
      <c r="C13280" s="6">
        <v>0.68341980794016</v>
      </c>
    </row>
    <row r="13281" spans="1:3" s="7" customFormat="1" x14ac:dyDescent="0.2">
      <c r="A13281" s="6" t="str">
        <f>"COX7C"</f>
        <v>COX7C</v>
      </c>
      <c r="B13281" s="6">
        <v>0.54345654345654304</v>
      </c>
      <c r="C13281" s="6">
        <v>0.68341980794016</v>
      </c>
    </row>
    <row r="13282" spans="1:3" s="7" customFormat="1" x14ac:dyDescent="0.2">
      <c r="A13282" s="6" t="str">
        <f>"AC007613.1"</f>
        <v>AC007613.1</v>
      </c>
      <c r="B13282" s="6">
        <v>0.54325955734406395</v>
      </c>
      <c r="C13282" s="6">
        <v>0.68341980794016</v>
      </c>
    </row>
    <row r="13283" spans="1:3" s="7" customFormat="1" x14ac:dyDescent="0.2">
      <c r="A13283" s="6" t="str">
        <f>"Z99943.1"</f>
        <v>Z99943.1</v>
      </c>
      <c r="B13283" s="6">
        <v>0.54345654345654304</v>
      </c>
      <c r="C13283" s="6">
        <v>0.68341980794016</v>
      </c>
    </row>
    <row r="13284" spans="1:3" s="7" customFormat="1" x14ac:dyDescent="0.2">
      <c r="A13284" s="6" t="str">
        <f>"AC008758.4"</f>
        <v>AC008758.4</v>
      </c>
      <c r="B13284" s="6">
        <v>0.54345654345654304</v>
      </c>
      <c r="C13284" s="6">
        <v>0.68341980794016</v>
      </c>
    </row>
    <row r="13285" spans="1:3" s="7" customFormat="1" x14ac:dyDescent="0.2">
      <c r="A13285" s="6" t="str">
        <f>"YWHAH"</f>
        <v>YWHAH</v>
      </c>
      <c r="B13285" s="6">
        <v>0.54345654345654304</v>
      </c>
      <c r="C13285" s="6">
        <v>0.68341980794016</v>
      </c>
    </row>
    <row r="13286" spans="1:3" s="7" customFormat="1" x14ac:dyDescent="0.2">
      <c r="A13286" s="6" t="str">
        <f>"SCAMP3"</f>
        <v>SCAMP3</v>
      </c>
      <c r="B13286" s="6">
        <v>0.54345654345654304</v>
      </c>
      <c r="C13286" s="6">
        <v>0.68341980794016</v>
      </c>
    </row>
    <row r="13287" spans="1:3" s="7" customFormat="1" x14ac:dyDescent="0.2">
      <c r="A13287" s="6" t="str">
        <f>"FGF12"</f>
        <v>FGF12</v>
      </c>
      <c r="B13287" s="6">
        <v>0.54345654345654304</v>
      </c>
      <c r="C13287" s="6">
        <v>0.68341980794016</v>
      </c>
    </row>
    <row r="13288" spans="1:3" s="7" customFormat="1" x14ac:dyDescent="0.2">
      <c r="A13288" s="6" t="str">
        <f>"OSGEPL1-AS1"</f>
        <v>OSGEPL1-AS1</v>
      </c>
      <c r="B13288" s="6">
        <v>0.54312114989732996</v>
      </c>
      <c r="C13288" s="6">
        <v>0.68341980794016</v>
      </c>
    </row>
    <row r="13289" spans="1:3" s="7" customFormat="1" x14ac:dyDescent="0.2">
      <c r="A13289" s="6" t="str">
        <f>"COX16"</f>
        <v>COX16</v>
      </c>
      <c r="B13289" s="6">
        <v>0.54345654345654304</v>
      </c>
      <c r="C13289" s="6">
        <v>0.68341980794016</v>
      </c>
    </row>
    <row r="13290" spans="1:3" s="7" customFormat="1" x14ac:dyDescent="0.2">
      <c r="A13290" s="6" t="str">
        <f>"WDR81"</f>
        <v>WDR81</v>
      </c>
      <c r="B13290" s="6">
        <v>0.54345654345654304</v>
      </c>
      <c r="C13290" s="6">
        <v>0.68341980794016</v>
      </c>
    </row>
    <row r="13291" spans="1:3" s="7" customFormat="1" x14ac:dyDescent="0.2">
      <c r="A13291" s="6" t="str">
        <f>"POGLUT3"</f>
        <v>POGLUT3</v>
      </c>
      <c r="B13291" s="6">
        <v>0.54345654345654304</v>
      </c>
      <c r="C13291" s="6">
        <v>0.68341980794016</v>
      </c>
    </row>
    <row r="13292" spans="1:3" s="7" customFormat="1" x14ac:dyDescent="0.2">
      <c r="A13292" s="6" t="str">
        <f>"SYT15"</f>
        <v>SYT15</v>
      </c>
      <c r="B13292" s="6">
        <v>0.54345654345654304</v>
      </c>
      <c r="C13292" s="6">
        <v>0.68341980794016</v>
      </c>
    </row>
    <row r="13293" spans="1:3" s="7" customFormat="1" x14ac:dyDescent="0.2">
      <c r="A13293" s="6" t="str">
        <f>"AC008764.8"</f>
        <v>AC008764.8</v>
      </c>
      <c r="B13293" s="6">
        <v>0.543500511770726</v>
      </c>
      <c r="C13293" s="6">
        <v>0.68342367993800202</v>
      </c>
    </row>
    <row r="13294" spans="1:3" s="7" customFormat="1" x14ac:dyDescent="0.2">
      <c r="A13294" s="6" t="str">
        <f>"HYOU1"</f>
        <v>HYOU1</v>
      </c>
      <c r="B13294" s="6">
        <v>0.54400000000000004</v>
      </c>
      <c r="C13294" s="6">
        <v>0.68394884910485898</v>
      </c>
    </row>
    <row r="13295" spans="1:3" s="7" customFormat="1" x14ac:dyDescent="0.2">
      <c r="A13295" s="6" t="str">
        <f>"LINC00943"</f>
        <v>LINC00943</v>
      </c>
      <c r="B13295" s="6">
        <v>0.54400000000000004</v>
      </c>
      <c r="C13295" s="6">
        <v>0.68394884910485898</v>
      </c>
    </row>
    <row r="13296" spans="1:3" s="7" customFormat="1" x14ac:dyDescent="0.2">
      <c r="A13296" s="6" t="str">
        <f>"WDR45B"</f>
        <v>WDR45B</v>
      </c>
      <c r="B13296" s="6">
        <v>0.544455544455544</v>
      </c>
      <c r="C13296" s="6">
        <v>0.68405848079605802</v>
      </c>
    </row>
    <row r="13297" spans="1:3" s="7" customFormat="1" x14ac:dyDescent="0.2">
      <c r="A13297" s="6" t="str">
        <f>"ATG14"</f>
        <v>ATG14</v>
      </c>
      <c r="B13297" s="6">
        <v>0.544455544455544</v>
      </c>
      <c r="C13297" s="6">
        <v>0.68405848079605802</v>
      </c>
    </row>
    <row r="13298" spans="1:3" s="7" customFormat="1" x14ac:dyDescent="0.2">
      <c r="A13298" s="6" t="str">
        <f>"AL590399.4"</f>
        <v>AL590399.4</v>
      </c>
      <c r="B13298" s="6">
        <v>0.544455544455544</v>
      </c>
      <c r="C13298" s="6">
        <v>0.68405848079605802</v>
      </c>
    </row>
    <row r="13299" spans="1:3" s="7" customFormat="1" x14ac:dyDescent="0.2">
      <c r="A13299" s="6" t="str">
        <f>"WDR89"</f>
        <v>WDR89</v>
      </c>
      <c r="B13299" s="6">
        <v>0.544455544455544</v>
      </c>
      <c r="C13299" s="6">
        <v>0.68405848079605802</v>
      </c>
    </row>
    <row r="13300" spans="1:3" s="7" customFormat="1" x14ac:dyDescent="0.2">
      <c r="A13300" s="6" t="str">
        <f>"ACOT11"</f>
        <v>ACOT11</v>
      </c>
      <c r="B13300" s="6">
        <v>0.544455544455544</v>
      </c>
      <c r="C13300" s="6">
        <v>0.68405848079605802</v>
      </c>
    </row>
    <row r="13301" spans="1:3" s="7" customFormat="1" x14ac:dyDescent="0.2">
      <c r="A13301" s="6" t="str">
        <f>"PSMB3"</f>
        <v>PSMB3</v>
      </c>
      <c r="B13301" s="6">
        <v>0.544455544455544</v>
      </c>
      <c r="C13301" s="6">
        <v>0.68405848079605802</v>
      </c>
    </row>
    <row r="13302" spans="1:3" s="7" customFormat="1" x14ac:dyDescent="0.2">
      <c r="A13302" s="6" t="str">
        <f>"AGO3"</f>
        <v>AGO3</v>
      </c>
      <c r="B13302" s="6">
        <v>0.544455544455544</v>
      </c>
      <c r="C13302" s="6">
        <v>0.68405848079605802</v>
      </c>
    </row>
    <row r="13303" spans="1:3" s="7" customFormat="1" x14ac:dyDescent="0.2">
      <c r="A13303" s="6" t="str">
        <f>"INKA1"</f>
        <v>INKA1</v>
      </c>
      <c r="B13303" s="6">
        <v>0.544455544455544</v>
      </c>
      <c r="C13303" s="6">
        <v>0.68405848079605802</v>
      </c>
    </row>
    <row r="13304" spans="1:3" s="7" customFormat="1" x14ac:dyDescent="0.2">
      <c r="A13304" s="6" t="str">
        <f>"PKD1P5"</f>
        <v>PKD1P5</v>
      </c>
      <c r="B13304" s="6">
        <v>0.544455544455544</v>
      </c>
      <c r="C13304" s="6">
        <v>0.68405848079605802</v>
      </c>
    </row>
    <row r="13305" spans="1:3" s="7" customFormat="1" x14ac:dyDescent="0.2">
      <c r="A13305" s="6" t="str">
        <f>"AL627422.2"</f>
        <v>AL627422.2</v>
      </c>
      <c r="B13305" s="6">
        <v>0.54500000000000004</v>
      </c>
      <c r="C13305" s="6">
        <v>0.68469107035478005</v>
      </c>
    </row>
    <row r="13306" spans="1:3" s="7" customFormat="1" x14ac:dyDescent="0.2">
      <c r="A13306" s="6" t="str">
        <f>"RIMKLA"</f>
        <v>RIMKLA</v>
      </c>
      <c r="B13306" s="6">
        <v>0.54545454545454497</v>
      </c>
      <c r="C13306" s="6">
        <v>0.68485030594405505</v>
      </c>
    </row>
    <row r="13307" spans="1:3" s="7" customFormat="1" x14ac:dyDescent="0.2">
      <c r="A13307" s="6" t="str">
        <f>"CAMK2B"</f>
        <v>CAMK2B</v>
      </c>
      <c r="B13307" s="6">
        <v>0.54545454545454497</v>
      </c>
      <c r="C13307" s="6">
        <v>0.68485030594405505</v>
      </c>
    </row>
    <row r="13308" spans="1:3" s="7" customFormat="1" x14ac:dyDescent="0.2">
      <c r="A13308" s="6" t="str">
        <f>"GATA6"</f>
        <v>GATA6</v>
      </c>
      <c r="B13308" s="6">
        <v>0.54545454545454497</v>
      </c>
      <c r="C13308" s="6">
        <v>0.68485030594405505</v>
      </c>
    </row>
    <row r="13309" spans="1:3" s="7" customFormat="1" x14ac:dyDescent="0.2">
      <c r="A13309" s="6" t="str">
        <f>"FOXO6"</f>
        <v>FOXO6</v>
      </c>
      <c r="B13309" s="6">
        <v>0.54545454545454497</v>
      </c>
      <c r="C13309" s="6">
        <v>0.68485030594405505</v>
      </c>
    </row>
    <row r="13310" spans="1:3" s="7" customFormat="1" x14ac:dyDescent="0.2">
      <c r="A13310" s="6" t="str">
        <f>"AC025171.4"</f>
        <v>AC025171.4</v>
      </c>
      <c r="B13310" s="6">
        <v>0.54545454545454497</v>
      </c>
      <c r="C13310" s="6">
        <v>0.68485030594405505</v>
      </c>
    </row>
    <row r="13311" spans="1:3" s="7" customFormat="1" x14ac:dyDescent="0.2">
      <c r="A13311" s="6" t="str">
        <f>"ANO6"</f>
        <v>ANO6</v>
      </c>
      <c r="B13311" s="6">
        <v>0.54545454545454497</v>
      </c>
      <c r="C13311" s="6">
        <v>0.68485030594405505</v>
      </c>
    </row>
    <row r="13312" spans="1:3" s="7" customFormat="1" x14ac:dyDescent="0.2">
      <c r="A13312" s="6" t="str">
        <f>"GRM5"</f>
        <v>GRM5</v>
      </c>
      <c r="B13312" s="6">
        <v>0.54545454545454497</v>
      </c>
      <c r="C13312" s="6">
        <v>0.68485030594405505</v>
      </c>
    </row>
    <row r="13313" spans="1:3" s="7" customFormat="1" x14ac:dyDescent="0.2">
      <c r="A13313" s="6" t="str">
        <f>"CCDC158"</f>
        <v>CCDC158</v>
      </c>
      <c r="B13313" s="6">
        <v>0.54545454545454497</v>
      </c>
      <c r="C13313" s="6">
        <v>0.68485030594405505</v>
      </c>
    </row>
    <row r="13314" spans="1:3" s="7" customFormat="1" x14ac:dyDescent="0.2">
      <c r="A13314" s="6" t="str">
        <f>"AC137630.2"</f>
        <v>AC137630.2</v>
      </c>
      <c r="B13314" s="6">
        <v>0.54600000000000004</v>
      </c>
      <c r="C13314" s="6">
        <v>0.68548366258544202</v>
      </c>
    </row>
    <row r="13315" spans="1:3" s="7" customFormat="1" x14ac:dyDescent="0.2">
      <c r="A13315" s="6" t="str">
        <f>"AC133644.1"</f>
        <v>AC133644.1</v>
      </c>
      <c r="B13315" s="6">
        <v>0.54645354645354605</v>
      </c>
      <c r="C13315" s="6">
        <v>0.68564106113839596</v>
      </c>
    </row>
    <row r="13316" spans="1:3" s="7" customFormat="1" x14ac:dyDescent="0.2">
      <c r="A13316" s="6" t="str">
        <f>"AC068647.1"</f>
        <v>AC068647.1</v>
      </c>
      <c r="B13316" s="6">
        <v>0.54645354645354605</v>
      </c>
      <c r="C13316" s="6">
        <v>0.68564106113839596</v>
      </c>
    </row>
    <row r="13317" spans="1:3" s="7" customFormat="1" x14ac:dyDescent="0.2">
      <c r="A13317" s="6" t="str">
        <f>"IRF1-AS1"</f>
        <v>IRF1-AS1</v>
      </c>
      <c r="B13317" s="6">
        <v>0.54645354645354605</v>
      </c>
      <c r="C13317" s="6">
        <v>0.68564106113839596</v>
      </c>
    </row>
    <row r="13318" spans="1:3" s="7" customFormat="1" x14ac:dyDescent="0.2">
      <c r="A13318" s="6" t="str">
        <f>"SLC22A10"</f>
        <v>SLC22A10</v>
      </c>
      <c r="B13318" s="6">
        <v>0.54645354645354605</v>
      </c>
      <c r="C13318" s="6">
        <v>0.68564106113839596</v>
      </c>
    </row>
    <row r="13319" spans="1:3" s="7" customFormat="1" x14ac:dyDescent="0.2">
      <c r="A13319" s="6" t="str">
        <f>"AL136531.2"</f>
        <v>AL136531.2</v>
      </c>
      <c r="B13319" s="6">
        <v>0.54645354645354605</v>
      </c>
      <c r="C13319" s="6">
        <v>0.68564106113839596</v>
      </c>
    </row>
    <row r="13320" spans="1:3" s="7" customFormat="1" x14ac:dyDescent="0.2">
      <c r="A13320" s="6" t="str">
        <f>"RPSAP9"</f>
        <v>RPSAP9</v>
      </c>
      <c r="B13320" s="6">
        <v>0.54645354645354605</v>
      </c>
      <c r="C13320" s="6">
        <v>0.68564106113839596</v>
      </c>
    </row>
    <row r="13321" spans="1:3" s="7" customFormat="1" x14ac:dyDescent="0.2">
      <c r="A13321" s="6" t="str">
        <f>"PGAM1"</f>
        <v>PGAM1</v>
      </c>
      <c r="B13321" s="6">
        <v>0.54645354645354605</v>
      </c>
      <c r="C13321" s="6">
        <v>0.68564106113839596</v>
      </c>
    </row>
    <row r="13322" spans="1:3" s="7" customFormat="1" x14ac:dyDescent="0.2">
      <c r="A13322" s="6" t="str">
        <f>"KLC1"</f>
        <v>KLC1</v>
      </c>
      <c r="B13322" s="6">
        <v>0.54645354645354605</v>
      </c>
      <c r="C13322" s="6">
        <v>0.68564106113839596</v>
      </c>
    </row>
    <row r="13323" spans="1:3" s="7" customFormat="1" x14ac:dyDescent="0.2">
      <c r="A13323" s="6" t="str">
        <f>"MSS51"</f>
        <v>MSS51</v>
      </c>
      <c r="B13323" s="6">
        <v>0.54681647940074896</v>
      </c>
      <c r="C13323" s="6">
        <v>0.68604493594836502</v>
      </c>
    </row>
    <row r="13324" spans="1:3" s="7" customFormat="1" x14ac:dyDescent="0.2">
      <c r="A13324" s="6" t="str">
        <f>"ST3GAL6-AS1"</f>
        <v>ST3GAL6-AS1</v>
      </c>
      <c r="B13324" s="6">
        <v>0.54745254745254701</v>
      </c>
      <c r="C13324" s="6">
        <v>0.68648224758960696</v>
      </c>
    </row>
    <row r="13325" spans="1:3" s="7" customFormat="1" x14ac:dyDescent="0.2">
      <c r="A13325" s="6" t="str">
        <f>"GOLGA8S"</f>
        <v>GOLGA8S</v>
      </c>
      <c r="B13325" s="6">
        <v>0.54745254745254701</v>
      </c>
      <c r="C13325" s="6">
        <v>0.68648224758960696</v>
      </c>
    </row>
    <row r="13326" spans="1:3" s="7" customFormat="1" x14ac:dyDescent="0.2">
      <c r="A13326" s="6" t="str">
        <f>"AC016590.1"</f>
        <v>AC016590.1</v>
      </c>
      <c r="B13326" s="6">
        <v>0.54745254745254701</v>
      </c>
      <c r="C13326" s="6">
        <v>0.68648224758960696</v>
      </c>
    </row>
    <row r="13327" spans="1:3" s="7" customFormat="1" x14ac:dyDescent="0.2">
      <c r="A13327" s="6" t="str">
        <f>"MANEAL"</f>
        <v>MANEAL</v>
      </c>
      <c r="B13327" s="6">
        <v>0.54745254745254701</v>
      </c>
      <c r="C13327" s="6">
        <v>0.68648224758960696</v>
      </c>
    </row>
    <row r="13328" spans="1:3" s="7" customFormat="1" x14ac:dyDescent="0.2">
      <c r="A13328" s="6" t="str">
        <f>"AKAP12"</f>
        <v>AKAP12</v>
      </c>
      <c r="B13328" s="6">
        <v>0.54745254745254701</v>
      </c>
      <c r="C13328" s="6">
        <v>0.68648224758960696</v>
      </c>
    </row>
    <row r="13329" spans="1:3" s="7" customFormat="1" x14ac:dyDescent="0.2">
      <c r="A13329" s="6" t="str">
        <f>"SDF4"</f>
        <v>SDF4</v>
      </c>
      <c r="B13329" s="6">
        <v>0.54745254745254701</v>
      </c>
      <c r="C13329" s="6">
        <v>0.68648224758960696</v>
      </c>
    </row>
    <row r="13330" spans="1:3" s="7" customFormat="1" x14ac:dyDescent="0.2">
      <c r="A13330" s="6" t="str">
        <f>"JAKMIP1"</f>
        <v>JAKMIP1</v>
      </c>
      <c r="B13330" s="6">
        <v>0.54745254745254701</v>
      </c>
      <c r="C13330" s="6">
        <v>0.68648224758960696</v>
      </c>
    </row>
    <row r="13331" spans="1:3" s="7" customFormat="1" x14ac:dyDescent="0.2">
      <c r="A13331" s="6" t="str">
        <f>"UTRN"</f>
        <v>UTRN</v>
      </c>
      <c r="B13331" s="6">
        <v>0.54800000000000004</v>
      </c>
      <c r="C13331" s="6">
        <v>0.68711717929482297</v>
      </c>
    </row>
    <row r="13332" spans="1:3" s="7" customFormat="1" x14ac:dyDescent="0.2">
      <c r="A13332" s="6" t="str">
        <f>"AC026741.1"</f>
        <v>AC026741.1</v>
      </c>
      <c r="B13332" s="6">
        <v>0.54809619238476903</v>
      </c>
      <c r="C13332" s="6">
        <v>0.68718623955585001</v>
      </c>
    </row>
    <row r="13333" spans="1:3" s="7" customFormat="1" x14ac:dyDescent="0.2">
      <c r="A13333" s="6" t="str">
        <f>"SRSF2"</f>
        <v>SRSF2</v>
      </c>
      <c r="B13333" s="6">
        <v>0.54845154845154798</v>
      </c>
      <c r="C13333" s="6">
        <v>0.68732242489459205</v>
      </c>
    </row>
    <row r="13334" spans="1:3" s="7" customFormat="1" x14ac:dyDescent="0.2">
      <c r="A13334" s="6" t="str">
        <f>"ESYT1"</f>
        <v>ESYT1</v>
      </c>
      <c r="B13334" s="6">
        <v>0.54845154845154798</v>
      </c>
      <c r="C13334" s="6">
        <v>0.68732242489459205</v>
      </c>
    </row>
    <row r="13335" spans="1:3" s="7" customFormat="1" x14ac:dyDescent="0.2">
      <c r="A13335" s="6" t="str">
        <f>"BEND7"</f>
        <v>BEND7</v>
      </c>
      <c r="B13335" s="6">
        <v>0.54845154845154798</v>
      </c>
      <c r="C13335" s="6">
        <v>0.68732242489459205</v>
      </c>
    </row>
    <row r="13336" spans="1:3" s="7" customFormat="1" x14ac:dyDescent="0.2">
      <c r="A13336" s="6" t="str">
        <f>"CD27"</f>
        <v>CD27</v>
      </c>
      <c r="B13336" s="6">
        <v>0.54845154845154798</v>
      </c>
      <c r="C13336" s="6">
        <v>0.68732242489459205</v>
      </c>
    </row>
    <row r="13337" spans="1:3" s="7" customFormat="1" x14ac:dyDescent="0.2">
      <c r="A13337" s="6" t="str">
        <f>"LRRC37A17P"</f>
        <v>LRRC37A17P</v>
      </c>
      <c r="B13337" s="6">
        <v>0.54845154845154798</v>
      </c>
      <c r="C13337" s="6">
        <v>0.68732242489459205</v>
      </c>
    </row>
    <row r="13338" spans="1:3" s="7" customFormat="1" x14ac:dyDescent="0.2">
      <c r="A13338" s="6" t="str">
        <f>"SUGT1"</f>
        <v>SUGT1</v>
      </c>
      <c r="B13338" s="6">
        <v>0.54845154845154798</v>
      </c>
      <c r="C13338" s="6">
        <v>0.68732242489459205</v>
      </c>
    </row>
    <row r="13339" spans="1:3" s="7" customFormat="1" x14ac:dyDescent="0.2">
      <c r="A13339" s="6" t="str">
        <f>"AF274853.1"</f>
        <v>AF274853.1</v>
      </c>
      <c r="B13339" s="6">
        <v>0.54864593781343995</v>
      </c>
      <c r="C13339" s="6">
        <v>0.68751448527619097</v>
      </c>
    </row>
    <row r="13340" spans="1:3" s="7" customFormat="1" x14ac:dyDescent="0.2">
      <c r="A13340" s="6" t="str">
        <f>"NANS"</f>
        <v>NANS</v>
      </c>
      <c r="B13340" s="6">
        <v>0.54945054945054905</v>
      </c>
      <c r="C13340" s="6">
        <v>0.68790385644318197</v>
      </c>
    </row>
    <row r="13341" spans="1:3" s="7" customFormat="1" x14ac:dyDescent="0.2">
      <c r="A13341" s="6" t="str">
        <f>"FNIP2"</f>
        <v>FNIP2</v>
      </c>
      <c r="B13341" s="6">
        <v>0.54945054945054905</v>
      </c>
      <c r="C13341" s="6">
        <v>0.68790385644318197</v>
      </c>
    </row>
    <row r="13342" spans="1:3" s="7" customFormat="1" x14ac:dyDescent="0.2">
      <c r="A13342" s="6" t="str">
        <f>"COPA"</f>
        <v>COPA</v>
      </c>
      <c r="B13342" s="6">
        <v>0.54945054945054905</v>
      </c>
      <c r="C13342" s="6">
        <v>0.68790385644318197</v>
      </c>
    </row>
    <row r="13343" spans="1:3" s="7" customFormat="1" x14ac:dyDescent="0.2">
      <c r="A13343" s="6" t="str">
        <f>"ZDHHC21"</f>
        <v>ZDHHC21</v>
      </c>
      <c r="B13343" s="6">
        <v>0.54945054945054905</v>
      </c>
      <c r="C13343" s="6">
        <v>0.68790385644318197</v>
      </c>
    </row>
    <row r="13344" spans="1:3" s="7" customFormat="1" x14ac:dyDescent="0.2">
      <c r="A13344" s="6" t="str">
        <f>"KRT2"</f>
        <v>KRT2</v>
      </c>
      <c r="B13344" s="6">
        <v>0.54945054945054905</v>
      </c>
      <c r="C13344" s="6">
        <v>0.68790385644318197</v>
      </c>
    </row>
    <row r="13345" spans="1:3" s="7" customFormat="1" x14ac:dyDescent="0.2">
      <c r="A13345" s="6" t="str">
        <f>"URGCP-MRPS24"</f>
        <v>URGCP-MRPS24</v>
      </c>
      <c r="B13345" s="6">
        <v>0.54945054945054905</v>
      </c>
      <c r="C13345" s="6">
        <v>0.68790385644318197</v>
      </c>
    </row>
    <row r="13346" spans="1:3" s="7" customFormat="1" x14ac:dyDescent="0.2">
      <c r="A13346" s="6" t="str">
        <f>"PLXNA4"</f>
        <v>PLXNA4</v>
      </c>
      <c r="B13346" s="6">
        <v>0.54945054945054905</v>
      </c>
      <c r="C13346" s="6">
        <v>0.68790385644318197</v>
      </c>
    </row>
    <row r="13347" spans="1:3" s="7" customFormat="1" x14ac:dyDescent="0.2">
      <c r="A13347" s="6" t="str">
        <f>"OOEP"</f>
        <v>OOEP</v>
      </c>
      <c r="B13347" s="6">
        <v>0.54945054945054905</v>
      </c>
      <c r="C13347" s="6">
        <v>0.68790385644318197</v>
      </c>
    </row>
    <row r="13348" spans="1:3" s="7" customFormat="1" x14ac:dyDescent="0.2">
      <c r="A13348" s="6" t="str">
        <f>"RSBN1L"</f>
        <v>RSBN1L</v>
      </c>
      <c r="B13348" s="6">
        <v>0.54945054945054905</v>
      </c>
      <c r="C13348" s="6">
        <v>0.68790385644318197</v>
      </c>
    </row>
    <row r="13349" spans="1:3" s="7" customFormat="1" x14ac:dyDescent="0.2">
      <c r="A13349" s="6" t="str">
        <f>"GNAO1"</f>
        <v>GNAO1</v>
      </c>
      <c r="B13349" s="6">
        <v>0.54945054945054905</v>
      </c>
      <c r="C13349" s="6">
        <v>0.68790385644318197</v>
      </c>
    </row>
    <row r="13350" spans="1:3" s="7" customFormat="1" x14ac:dyDescent="0.2">
      <c r="A13350" s="6" t="str">
        <f>"UBQLN2"</f>
        <v>UBQLN2</v>
      </c>
      <c r="B13350" s="6">
        <v>0.54945054945054905</v>
      </c>
      <c r="C13350" s="6">
        <v>0.68790385644318197</v>
      </c>
    </row>
    <row r="13351" spans="1:3" s="7" customFormat="1" x14ac:dyDescent="0.2">
      <c r="A13351" s="6" t="str">
        <f>"NMUR1"</f>
        <v>NMUR1</v>
      </c>
      <c r="B13351" s="6">
        <v>0.54945054945054905</v>
      </c>
      <c r="C13351" s="6">
        <v>0.68790385644318197</v>
      </c>
    </row>
    <row r="13352" spans="1:3" s="7" customFormat="1" x14ac:dyDescent="0.2">
      <c r="A13352" s="6" t="str">
        <f>"HUNK-AS1"</f>
        <v>HUNK-AS1</v>
      </c>
      <c r="B13352" s="6">
        <v>0.54964894684052101</v>
      </c>
      <c r="C13352" s="6">
        <v>0.68810070387929501</v>
      </c>
    </row>
    <row r="13353" spans="1:3" s="7" customFormat="1" x14ac:dyDescent="0.2">
      <c r="A13353" s="6" t="str">
        <f>"PPM1J"</f>
        <v>PPM1J</v>
      </c>
      <c r="B13353" s="6">
        <v>0.55044955044955002</v>
      </c>
      <c r="C13353" s="6">
        <v>0.68889657702836204</v>
      </c>
    </row>
    <row r="13354" spans="1:3" s="7" customFormat="1" x14ac:dyDescent="0.2">
      <c r="A13354" s="6" t="str">
        <f>"MID2"</f>
        <v>MID2</v>
      </c>
      <c r="B13354" s="6">
        <v>0.55044955044955002</v>
      </c>
      <c r="C13354" s="6">
        <v>0.68889657702836204</v>
      </c>
    </row>
    <row r="13355" spans="1:3" s="7" customFormat="1" x14ac:dyDescent="0.2">
      <c r="A13355" s="6" t="str">
        <f>"SLC7A1"</f>
        <v>SLC7A1</v>
      </c>
      <c r="B13355" s="6">
        <v>0.55044955044955002</v>
      </c>
      <c r="C13355" s="6">
        <v>0.68889657702836204</v>
      </c>
    </row>
    <row r="13356" spans="1:3" s="7" customFormat="1" x14ac:dyDescent="0.2">
      <c r="A13356" s="6" t="str">
        <f>"JADE3"</f>
        <v>JADE3</v>
      </c>
      <c r="B13356" s="6">
        <v>0.55044955044955002</v>
      </c>
      <c r="C13356" s="6">
        <v>0.68889657702836204</v>
      </c>
    </row>
    <row r="13357" spans="1:3" s="7" customFormat="1" x14ac:dyDescent="0.2">
      <c r="A13357" s="6" t="str">
        <f>"PEG13"</f>
        <v>PEG13</v>
      </c>
      <c r="B13357" s="6">
        <v>0.55100000000000005</v>
      </c>
      <c r="C13357" s="6">
        <v>0.68953384246780403</v>
      </c>
    </row>
    <row r="13358" spans="1:3" s="7" customFormat="1" x14ac:dyDescent="0.2">
      <c r="A13358" s="6" t="str">
        <f>"FDXACB1"</f>
        <v>FDXACB1</v>
      </c>
      <c r="B13358" s="6">
        <v>0.55144855144855098</v>
      </c>
      <c r="C13358" s="6">
        <v>0.689578863452872</v>
      </c>
    </row>
    <row r="13359" spans="1:3" s="7" customFormat="1" x14ac:dyDescent="0.2">
      <c r="A13359" s="6" t="str">
        <f>"PIP4K2B"</f>
        <v>PIP4K2B</v>
      </c>
      <c r="B13359" s="6">
        <v>0.55144855144855098</v>
      </c>
      <c r="C13359" s="6">
        <v>0.689578863452872</v>
      </c>
    </row>
    <row r="13360" spans="1:3" s="7" customFormat="1" x14ac:dyDescent="0.2">
      <c r="A13360" s="6" t="str">
        <f>"NTRK1"</f>
        <v>NTRK1</v>
      </c>
      <c r="B13360" s="6">
        <v>0.55144855144855098</v>
      </c>
      <c r="C13360" s="6">
        <v>0.689578863452872</v>
      </c>
    </row>
    <row r="13361" spans="1:3" s="7" customFormat="1" x14ac:dyDescent="0.2">
      <c r="A13361" s="6" t="str">
        <f>"AL049779.4"</f>
        <v>AL049779.4</v>
      </c>
      <c r="B13361" s="6">
        <v>0.55144855144855098</v>
      </c>
      <c r="C13361" s="6">
        <v>0.689578863452872</v>
      </c>
    </row>
    <row r="13362" spans="1:3" s="7" customFormat="1" x14ac:dyDescent="0.2">
      <c r="A13362" s="6" t="str">
        <f>"AC027097.1"</f>
        <v>AC027097.1</v>
      </c>
      <c r="B13362" s="6">
        <v>0.55144855144855098</v>
      </c>
      <c r="C13362" s="6">
        <v>0.689578863452872</v>
      </c>
    </row>
    <row r="13363" spans="1:3" s="7" customFormat="1" x14ac:dyDescent="0.2">
      <c r="A13363" s="6" t="str">
        <f>"KTN1-AS1"</f>
        <v>KTN1-AS1</v>
      </c>
      <c r="B13363" s="6">
        <v>0.55144855144855098</v>
      </c>
      <c r="C13363" s="6">
        <v>0.689578863452872</v>
      </c>
    </row>
    <row r="13364" spans="1:3" s="7" customFormat="1" x14ac:dyDescent="0.2">
      <c r="A13364" s="6" t="str">
        <f>"AL161729.1"</f>
        <v>AL161729.1</v>
      </c>
      <c r="B13364" s="6">
        <v>0.55144855144855098</v>
      </c>
      <c r="C13364" s="6">
        <v>0.689578863452872</v>
      </c>
    </row>
    <row r="13365" spans="1:3" s="7" customFormat="1" x14ac:dyDescent="0.2">
      <c r="A13365" s="6" t="str">
        <f>"TIGD4"</f>
        <v>TIGD4</v>
      </c>
      <c r="B13365" s="6">
        <v>0.55144855144855098</v>
      </c>
      <c r="C13365" s="6">
        <v>0.689578863452872</v>
      </c>
    </row>
    <row r="13366" spans="1:3" s="7" customFormat="1" x14ac:dyDescent="0.2">
      <c r="A13366" s="6" t="str">
        <f>"AL592295.5"</f>
        <v>AL592295.5</v>
      </c>
      <c r="B13366" s="6">
        <v>0.55144855144855098</v>
      </c>
      <c r="C13366" s="6">
        <v>0.689578863452872</v>
      </c>
    </row>
    <row r="13367" spans="1:3" s="7" customFormat="1" x14ac:dyDescent="0.2">
      <c r="A13367" s="6" t="str">
        <f>"RTN4"</f>
        <v>RTN4</v>
      </c>
      <c r="B13367" s="6">
        <v>0.55144855144855098</v>
      </c>
      <c r="C13367" s="6">
        <v>0.689578863452872</v>
      </c>
    </row>
    <row r="13368" spans="1:3" s="7" customFormat="1" x14ac:dyDescent="0.2">
      <c r="A13368" s="6" t="str">
        <f>"CICP14"</f>
        <v>CICP14</v>
      </c>
      <c r="B13368" s="6">
        <v>0.55172413793103403</v>
      </c>
      <c r="C13368" s="6">
        <v>0.68987186664018096</v>
      </c>
    </row>
    <row r="13369" spans="1:3" s="7" customFormat="1" x14ac:dyDescent="0.2">
      <c r="A13369" s="6" t="str">
        <f>"ZBED6"</f>
        <v>ZBED6</v>
      </c>
      <c r="B13369" s="6">
        <v>0.55244755244755195</v>
      </c>
      <c r="C13369" s="6">
        <v>0.69036324423240303</v>
      </c>
    </row>
    <row r="13370" spans="1:3" s="7" customFormat="1" x14ac:dyDescent="0.2">
      <c r="A13370" s="6" t="str">
        <f>"ZNRF3"</f>
        <v>ZNRF3</v>
      </c>
      <c r="B13370" s="6">
        <v>0.55244755244755195</v>
      </c>
      <c r="C13370" s="6">
        <v>0.69036324423240303</v>
      </c>
    </row>
    <row r="13371" spans="1:3" s="7" customFormat="1" x14ac:dyDescent="0.2">
      <c r="A13371" s="6" t="str">
        <f>"TMOD1"</f>
        <v>TMOD1</v>
      </c>
      <c r="B13371" s="6">
        <v>0.55244755244755195</v>
      </c>
      <c r="C13371" s="6">
        <v>0.69036324423240303</v>
      </c>
    </row>
    <row r="13372" spans="1:3" s="7" customFormat="1" x14ac:dyDescent="0.2">
      <c r="A13372" s="6" t="str">
        <f>"NLGN1"</f>
        <v>NLGN1</v>
      </c>
      <c r="B13372" s="6">
        <v>0.55244755244755195</v>
      </c>
      <c r="C13372" s="6">
        <v>0.69036324423240303</v>
      </c>
    </row>
    <row r="13373" spans="1:3" s="7" customFormat="1" x14ac:dyDescent="0.2">
      <c r="A13373" s="6" t="str">
        <f>"AC073508.2"</f>
        <v>AC073508.2</v>
      </c>
      <c r="B13373" s="6">
        <v>0.55244755244755195</v>
      </c>
      <c r="C13373" s="6">
        <v>0.69036324423240303</v>
      </c>
    </row>
    <row r="13374" spans="1:3" s="7" customFormat="1" x14ac:dyDescent="0.2">
      <c r="A13374" s="6" t="str">
        <f>"ANO2"</f>
        <v>ANO2</v>
      </c>
      <c r="B13374" s="6">
        <v>0.55244755244755195</v>
      </c>
      <c r="C13374" s="6">
        <v>0.69036324423240303</v>
      </c>
    </row>
    <row r="13375" spans="1:3" s="7" customFormat="1" x14ac:dyDescent="0.2">
      <c r="A13375" s="6" t="str">
        <f>"CABLES1"</f>
        <v>CABLES1</v>
      </c>
      <c r="B13375" s="6">
        <v>0.55244755244755195</v>
      </c>
      <c r="C13375" s="6">
        <v>0.69036324423240303</v>
      </c>
    </row>
    <row r="13376" spans="1:3" s="7" customFormat="1" x14ac:dyDescent="0.2">
      <c r="A13376" s="6" t="str">
        <f>"HMCN1"</f>
        <v>HMCN1</v>
      </c>
      <c r="B13376" s="6">
        <v>0.55244755244755195</v>
      </c>
      <c r="C13376" s="6">
        <v>0.69036324423240303</v>
      </c>
    </row>
    <row r="13377" spans="1:3" s="7" customFormat="1" x14ac:dyDescent="0.2">
      <c r="A13377" s="6" t="str">
        <f>"AC103974.1"</f>
        <v>AC103974.1</v>
      </c>
      <c r="B13377" s="6">
        <v>0.55255255255255198</v>
      </c>
      <c r="C13377" s="6">
        <v>0.69044283517967697</v>
      </c>
    </row>
    <row r="13378" spans="1:3" s="7" customFormat="1" x14ac:dyDescent="0.2">
      <c r="A13378" s="6" t="str">
        <f>"SPECC1P1"</f>
        <v>SPECC1P1</v>
      </c>
      <c r="B13378" s="6">
        <v>0.55300000000000005</v>
      </c>
      <c r="C13378" s="6">
        <v>0.69095028780742995</v>
      </c>
    </row>
    <row r="13379" spans="1:3" s="7" customFormat="1" x14ac:dyDescent="0.2">
      <c r="A13379" s="6" t="str">
        <f>"CACNB3"</f>
        <v>CACNB3</v>
      </c>
      <c r="B13379" s="6">
        <v>0.55344655344655302</v>
      </c>
      <c r="C13379" s="6">
        <v>0.69109493420289003</v>
      </c>
    </row>
    <row r="13380" spans="1:3" s="7" customFormat="1" x14ac:dyDescent="0.2">
      <c r="A13380" s="6" t="str">
        <f>"CBLN3"</f>
        <v>CBLN3</v>
      </c>
      <c r="B13380" s="6">
        <v>0.55344655344655302</v>
      </c>
      <c r="C13380" s="6">
        <v>0.69109493420289003</v>
      </c>
    </row>
    <row r="13381" spans="1:3" s="7" customFormat="1" x14ac:dyDescent="0.2">
      <c r="A13381" s="6" t="str">
        <f>"WASHC1"</f>
        <v>WASHC1</v>
      </c>
      <c r="B13381" s="6">
        <v>0.55344655344655302</v>
      </c>
      <c r="C13381" s="6">
        <v>0.69109493420289003</v>
      </c>
    </row>
    <row r="13382" spans="1:3" s="7" customFormat="1" x14ac:dyDescent="0.2">
      <c r="A13382" s="6" t="str">
        <f>"ARL2-SNX15"</f>
        <v>ARL2-SNX15</v>
      </c>
      <c r="B13382" s="6">
        <v>0.55344655344655302</v>
      </c>
      <c r="C13382" s="6">
        <v>0.69109493420289003</v>
      </c>
    </row>
    <row r="13383" spans="1:3" s="7" customFormat="1" x14ac:dyDescent="0.2">
      <c r="A13383" s="6" t="str">
        <f>"PEMT"</f>
        <v>PEMT</v>
      </c>
      <c r="B13383" s="6">
        <v>0.55344655344655302</v>
      </c>
      <c r="C13383" s="6">
        <v>0.69109493420289003</v>
      </c>
    </row>
    <row r="13384" spans="1:3" s="7" customFormat="1" x14ac:dyDescent="0.2">
      <c r="A13384" s="6" t="str">
        <f>"CCDC103"</f>
        <v>CCDC103</v>
      </c>
      <c r="B13384" s="6">
        <v>0.55344655344655302</v>
      </c>
      <c r="C13384" s="6">
        <v>0.69109493420289003</v>
      </c>
    </row>
    <row r="13385" spans="1:3" s="7" customFormat="1" x14ac:dyDescent="0.2">
      <c r="A13385" s="6" t="str">
        <f>"SCN9A"</f>
        <v>SCN9A</v>
      </c>
      <c r="B13385" s="6">
        <v>0.55344655344655302</v>
      </c>
      <c r="C13385" s="6">
        <v>0.69109493420289003</v>
      </c>
    </row>
    <row r="13386" spans="1:3" s="7" customFormat="1" x14ac:dyDescent="0.2">
      <c r="A13386" s="6" t="str">
        <f>"NTRK2"</f>
        <v>NTRK2</v>
      </c>
      <c r="B13386" s="6">
        <v>0.55344655344655302</v>
      </c>
      <c r="C13386" s="6">
        <v>0.69109493420289003</v>
      </c>
    </row>
    <row r="13387" spans="1:3" s="7" customFormat="1" x14ac:dyDescent="0.2">
      <c r="A13387" s="6" t="str">
        <f>"AC096645.1"</f>
        <v>AC096645.1</v>
      </c>
      <c r="B13387" s="6">
        <v>0.55386178861788604</v>
      </c>
      <c r="C13387" s="6">
        <v>0.69156177610633096</v>
      </c>
    </row>
    <row r="13388" spans="1:3" s="7" customFormat="1" x14ac:dyDescent="0.2">
      <c r="A13388" s="6" t="str">
        <f>"USP50"</f>
        <v>USP50</v>
      </c>
      <c r="B13388" s="6">
        <v>0.55400000000000005</v>
      </c>
      <c r="C13388" s="6">
        <v>0.691579356187915</v>
      </c>
    </row>
    <row r="13389" spans="1:3" s="7" customFormat="1" x14ac:dyDescent="0.2">
      <c r="A13389" s="6" t="str">
        <f>"AP001528.2"</f>
        <v>AP001528.2</v>
      </c>
      <c r="B13389" s="6">
        <v>0.55400000000000005</v>
      </c>
      <c r="C13389" s="6">
        <v>0.691579356187915</v>
      </c>
    </row>
    <row r="13390" spans="1:3" s="7" customFormat="1" x14ac:dyDescent="0.2">
      <c r="A13390" s="6" t="str">
        <f>"NEURL2"</f>
        <v>NEURL2</v>
      </c>
      <c r="B13390" s="6">
        <v>0.55400000000000005</v>
      </c>
      <c r="C13390" s="6">
        <v>0.691579356187915</v>
      </c>
    </row>
    <row r="13391" spans="1:3" s="7" customFormat="1" x14ac:dyDescent="0.2">
      <c r="A13391" s="6" t="str">
        <f>"ATP6AP1"</f>
        <v>ATP6AP1</v>
      </c>
      <c r="B13391" s="6">
        <v>0.55444555444555399</v>
      </c>
      <c r="C13391" s="6">
        <v>0.69172225102657203</v>
      </c>
    </row>
    <row r="13392" spans="1:3" s="7" customFormat="1" x14ac:dyDescent="0.2">
      <c r="A13392" s="6" t="str">
        <f>"ANGPT2"</f>
        <v>ANGPT2</v>
      </c>
      <c r="B13392" s="6">
        <v>0.55444555444555399</v>
      </c>
      <c r="C13392" s="6">
        <v>0.69172225102657203</v>
      </c>
    </row>
    <row r="13393" spans="1:3" s="7" customFormat="1" x14ac:dyDescent="0.2">
      <c r="A13393" s="6" t="str">
        <f>"WBP1LP2"</f>
        <v>WBP1LP2</v>
      </c>
      <c r="B13393" s="6">
        <v>0.55444555444555399</v>
      </c>
      <c r="C13393" s="6">
        <v>0.69172225102657203</v>
      </c>
    </row>
    <row r="13394" spans="1:3" s="7" customFormat="1" x14ac:dyDescent="0.2">
      <c r="A13394" s="6" t="str">
        <f>"ACVR2A"</f>
        <v>ACVR2A</v>
      </c>
      <c r="B13394" s="6">
        <v>0.55444555444555399</v>
      </c>
      <c r="C13394" s="6">
        <v>0.69172225102657203</v>
      </c>
    </row>
    <row r="13395" spans="1:3" s="7" customFormat="1" x14ac:dyDescent="0.2">
      <c r="A13395" s="6" t="str">
        <f>"LINC01250"</f>
        <v>LINC01250</v>
      </c>
      <c r="B13395" s="6">
        <v>0.55444555444555399</v>
      </c>
      <c r="C13395" s="6">
        <v>0.69172225102657203</v>
      </c>
    </row>
    <row r="13396" spans="1:3" s="7" customFormat="1" x14ac:dyDescent="0.2">
      <c r="A13396" s="6" t="str">
        <f>"SLC12A9-AS1"</f>
        <v>SLC12A9-AS1</v>
      </c>
      <c r="B13396" s="6">
        <v>0.55421686746987897</v>
      </c>
      <c r="C13396" s="6">
        <v>0.69172225102657203</v>
      </c>
    </row>
    <row r="13397" spans="1:3" s="7" customFormat="1" x14ac:dyDescent="0.2">
      <c r="A13397" s="6" t="str">
        <f>"AC098650.1"</f>
        <v>AC098650.1</v>
      </c>
      <c r="B13397" s="6">
        <v>0.55444555444555399</v>
      </c>
      <c r="C13397" s="6">
        <v>0.69172225102657203</v>
      </c>
    </row>
    <row r="13398" spans="1:3" s="7" customFormat="1" x14ac:dyDescent="0.2">
      <c r="A13398" s="6" t="str">
        <f>"ATP13A5"</f>
        <v>ATP13A5</v>
      </c>
      <c r="B13398" s="6">
        <v>0.55444555444555399</v>
      </c>
      <c r="C13398" s="6">
        <v>0.69172225102657203</v>
      </c>
    </row>
    <row r="13399" spans="1:3" s="7" customFormat="1" x14ac:dyDescent="0.2">
      <c r="A13399" s="6" t="str">
        <f>"AC008498.1"</f>
        <v>AC008498.1</v>
      </c>
      <c r="B13399" s="6">
        <v>0.55476673427991796</v>
      </c>
      <c r="C13399" s="6">
        <v>0.69207129398078504</v>
      </c>
    </row>
    <row r="13400" spans="1:3" s="7" customFormat="1" x14ac:dyDescent="0.2">
      <c r="A13400" s="6" t="str">
        <f>"AC011476.3"</f>
        <v>AC011476.3</v>
      </c>
      <c r="B13400" s="6">
        <v>0.55500000000000005</v>
      </c>
      <c r="C13400" s="6">
        <v>0.69220729796283798</v>
      </c>
    </row>
    <row r="13401" spans="1:3" s="7" customFormat="1" x14ac:dyDescent="0.2">
      <c r="A13401" s="6" t="str">
        <f>"AL121845.2"</f>
        <v>AL121845.2</v>
      </c>
      <c r="B13401" s="6">
        <v>0.55500000000000005</v>
      </c>
      <c r="C13401" s="6">
        <v>0.69220729796283798</v>
      </c>
    </row>
    <row r="13402" spans="1:3" s="7" customFormat="1" x14ac:dyDescent="0.2">
      <c r="A13402" s="6" t="str">
        <f>"SSB"</f>
        <v>SSB</v>
      </c>
      <c r="B13402" s="6">
        <v>0.55500000000000005</v>
      </c>
      <c r="C13402" s="6">
        <v>0.69220729796283798</v>
      </c>
    </row>
    <row r="13403" spans="1:3" s="7" customFormat="1" x14ac:dyDescent="0.2">
      <c r="A13403" s="6" t="str">
        <f>"CKS1BP1"</f>
        <v>CKS1BP1</v>
      </c>
      <c r="B13403" s="6">
        <v>0.55510616784630895</v>
      </c>
      <c r="C13403" s="6">
        <v>0.69228805322960796</v>
      </c>
    </row>
    <row r="13404" spans="1:3" s="7" customFormat="1" x14ac:dyDescent="0.2">
      <c r="A13404" s="6" t="str">
        <f>"KEL"</f>
        <v>KEL</v>
      </c>
      <c r="B13404" s="6">
        <v>0.55544455544455495</v>
      </c>
      <c r="C13404" s="6">
        <v>0.69260670693078896</v>
      </c>
    </row>
    <row r="13405" spans="1:3" s="7" customFormat="1" x14ac:dyDescent="0.2">
      <c r="A13405" s="6" t="str">
        <f>"DNAAF4"</f>
        <v>DNAAF4</v>
      </c>
      <c r="B13405" s="6">
        <v>0.55544455544455495</v>
      </c>
      <c r="C13405" s="6">
        <v>0.69260670693078896</v>
      </c>
    </row>
    <row r="13406" spans="1:3" s="7" customFormat="1" x14ac:dyDescent="0.2">
      <c r="A13406" s="6" t="str">
        <f>"AC010615.1"</f>
        <v>AC010615.1</v>
      </c>
      <c r="B13406" s="6">
        <v>0.55600000000000005</v>
      </c>
      <c r="C13406" s="6">
        <v>0.69324759418127502</v>
      </c>
    </row>
    <row r="13407" spans="1:3" s="7" customFormat="1" x14ac:dyDescent="0.2">
      <c r="A13407" s="6" t="str">
        <f>"AC079305.2"</f>
        <v>AC079305.2</v>
      </c>
      <c r="B13407" s="6">
        <v>0.55644355644355603</v>
      </c>
      <c r="C13407" s="6">
        <v>0.69343853283608703</v>
      </c>
    </row>
    <row r="13408" spans="1:3" s="7" customFormat="1" x14ac:dyDescent="0.2">
      <c r="A13408" s="6" t="str">
        <f>"MAP3K7CL"</f>
        <v>MAP3K7CL</v>
      </c>
      <c r="B13408" s="6">
        <v>0.55644355644355603</v>
      </c>
      <c r="C13408" s="6">
        <v>0.69343853283608703</v>
      </c>
    </row>
    <row r="13409" spans="1:3" s="7" customFormat="1" x14ac:dyDescent="0.2">
      <c r="A13409" s="6" t="str">
        <f>"VPS35L"</f>
        <v>VPS35L</v>
      </c>
      <c r="B13409" s="6">
        <v>0.55644355644355603</v>
      </c>
      <c r="C13409" s="6">
        <v>0.69343853283608703</v>
      </c>
    </row>
    <row r="13410" spans="1:3" s="7" customFormat="1" x14ac:dyDescent="0.2">
      <c r="A13410" s="6" t="str">
        <f>"KDM1B"</f>
        <v>KDM1B</v>
      </c>
      <c r="B13410" s="6">
        <v>0.55644355644355603</v>
      </c>
      <c r="C13410" s="6">
        <v>0.69343853283608703</v>
      </c>
    </row>
    <row r="13411" spans="1:3" s="7" customFormat="1" x14ac:dyDescent="0.2">
      <c r="A13411" s="6" t="str">
        <f>"LINC02811"</f>
        <v>LINC02811</v>
      </c>
      <c r="B13411" s="6">
        <v>0.55644355644355603</v>
      </c>
      <c r="C13411" s="6">
        <v>0.69343853283608703</v>
      </c>
    </row>
    <row r="13412" spans="1:3" s="7" customFormat="1" x14ac:dyDescent="0.2">
      <c r="A13412" s="6" t="str">
        <f>"MAP1A"</f>
        <v>MAP1A</v>
      </c>
      <c r="B13412" s="6">
        <v>0.55644355644355603</v>
      </c>
      <c r="C13412" s="6">
        <v>0.69343853283608703</v>
      </c>
    </row>
    <row r="13413" spans="1:3" s="7" customFormat="1" x14ac:dyDescent="0.2">
      <c r="A13413" s="6" t="str">
        <f>"ELOC"</f>
        <v>ELOC</v>
      </c>
      <c r="B13413" s="6">
        <v>0.55644355644355603</v>
      </c>
      <c r="C13413" s="6">
        <v>0.69343853283608703</v>
      </c>
    </row>
    <row r="13414" spans="1:3" s="7" customFormat="1" x14ac:dyDescent="0.2">
      <c r="A13414" s="6" t="str">
        <f>"AC120042.1"</f>
        <v>AC120042.1</v>
      </c>
      <c r="B13414" s="6">
        <v>0.55702647657841098</v>
      </c>
      <c r="C13414" s="6">
        <v>0.69411321326560504</v>
      </c>
    </row>
    <row r="13415" spans="1:3" s="7" customFormat="1" x14ac:dyDescent="0.2">
      <c r="A13415" s="6" t="str">
        <f>"ANAPC5"</f>
        <v>ANAPC5</v>
      </c>
      <c r="B13415" s="6">
        <v>0.557442557442557</v>
      </c>
      <c r="C13415" s="6">
        <v>0.69452813306708105</v>
      </c>
    </row>
    <row r="13416" spans="1:3" s="7" customFormat="1" x14ac:dyDescent="0.2">
      <c r="A13416" s="6" t="str">
        <f>"PRPH2"</f>
        <v>PRPH2</v>
      </c>
      <c r="B13416" s="6">
        <v>0.557442557442557</v>
      </c>
      <c r="C13416" s="6">
        <v>0.69452813306708105</v>
      </c>
    </row>
    <row r="13417" spans="1:3" s="7" customFormat="1" x14ac:dyDescent="0.2">
      <c r="A13417" s="6" t="str">
        <f>"DYNAP"</f>
        <v>DYNAP</v>
      </c>
      <c r="B13417" s="6">
        <v>0.55802219979818302</v>
      </c>
      <c r="C13417" s="6">
        <v>0.69519849787021704</v>
      </c>
    </row>
    <row r="13418" spans="1:3" s="7" customFormat="1" x14ac:dyDescent="0.2">
      <c r="A13418" s="6" t="str">
        <f>"AP1G1"</f>
        <v>AP1G1</v>
      </c>
      <c r="B13418" s="6">
        <v>0.55844155844155796</v>
      </c>
      <c r="C13418" s="6">
        <v>0.69530633252325702</v>
      </c>
    </row>
    <row r="13419" spans="1:3" s="7" customFormat="1" x14ac:dyDescent="0.2">
      <c r="A13419" s="6" t="str">
        <f>"HECTD1"</f>
        <v>HECTD1</v>
      </c>
      <c r="B13419" s="6">
        <v>0.55844155844155796</v>
      </c>
      <c r="C13419" s="6">
        <v>0.69530633252325702</v>
      </c>
    </row>
    <row r="13420" spans="1:3" s="7" customFormat="1" x14ac:dyDescent="0.2">
      <c r="A13420" s="6" t="str">
        <f>"AC068631.1"</f>
        <v>AC068631.1</v>
      </c>
      <c r="B13420" s="6">
        <v>0.55844155844155796</v>
      </c>
      <c r="C13420" s="6">
        <v>0.69530633252325702</v>
      </c>
    </row>
    <row r="13421" spans="1:3" s="7" customFormat="1" x14ac:dyDescent="0.2">
      <c r="A13421" s="6" t="str">
        <f>"AC011448.1"</f>
        <v>AC011448.1</v>
      </c>
      <c r="B13421" s="6">
        <v>0.55844155844155796</v>
      </c>
      <c r="C13421" s="6">
        <v>0.69530633252325702</v>
      </c>
    </row>
    <row r="13422" spans="1:3" s="7" customFormat="1" x14ac:dyDescent="0.2">
      <c r="A13422" s="6" t="str">
        <f>"DRD4"</f>
        <v>DRD4</v>
      </c>
      <c r="B13422" s="6">
        <v>0.55844155844155796</v>
      </c>
      <c r="C13422" s="6">
        <v>0.69530633252325702</v>
      </c>
    </row>
    <row r="13423" spans="1:3" s="7" customFormat="1" x14ac:dyDescent="0.2">
      <c r="A13423" s="6" t="str">
        <f>"AC017083.1"</f>
        <v>AC017083.1</v>
      </c>
      <c r="B13423" s="6">
        <v>0.55844155844155796</v>
      </c>
      <c r="C13423" s="6">
        <v>0.69530633252325702</v>
      </c>
    </row>
    <row r="13424" spans="1:3" s="7" customFormat="1" x14ac:dyDescent="0.2">
      <c r="A13424" s="6" t="str">
        <f>"ZNF207"</f>
        <v>ZNF207</v>
      </c>
      <c r="B13424" s="6">
        <v>0.55844155844155796</v>
      </c>
      <c r="C13424" s="6">
        <v>0.69530633252325702</v>
      </c>
    </row>
    <row r="13425" spans="1:3" s="7" customFormat="1" x14ac:dyDescent="0.2">
      <c r="A13425" s="6" t="str">
        <f>"SIX3"</f>
        <v>SIX3</v>
      </c>
      <c r="B13425" s="6">
        <v>0.55844155844155796</v>
      </c>
      <c r="C13425" s="6">
        <v>0.69530633252325702</v>
      </c>
    </row>
    <row r="13426" spans="1:3" s="7" customFormat="1" x14ac:dyDescent="0.2">
      <c r="A13426" s="6" t="str">
        <f>"ACOXL"</f>
        <v>ACOXL</v>
      </c>
      <c r="B13426" s="6">
        <v>0.55864197530864201</v>
      </c>
      <c r="C13426" s="6">
        <v>0.69550405775110902</v>
      </c>
    </row>
    <row r="13427" spans="1:3" s="7" customFormat="1" x14ac:dyDescent="0.2">
      <c r="A13427" s="6" t="str">
        <f>"AC008555.6"</f>
        <v>AC008555.6</v>
      </c>
      <c r="B13427" s="6">
        <v>0.559095580678314</v>
      </c>
      <c r="C13427" s="6">
        <v>0.69601694737504405</v>
      </c>
    </row>
    <row r="13428" spans="1:3" s="7" customFormat="1" x14ac:dyDescent="0.2">
      <c r="A13428" s="6" t="str">
        <f>"MTBP"</f>
        <v>MTBP</v>
      </c>
      <c r="B13428" s="6">
        <v>0.55944055944055904</v>
      </c>
      <c r="C13428" s="6">
        <v>0.69623898067680601</v>
      </c>
    </row>
    <row r="13429" spans="1:3" s="7" customFormat="1" x14ac:dyDescent="0.2">
      <c r="A13429" s="6" t="str">
        <f>"SEMA6D"</f>
        <v>SEMA6D</v>
      </c>
      <c r="B13429" s="6">
        <v>0.55944055944055904</v>
      </c>
      <c r="C13429" s="6">
        <v>0.69623898067680601</v>
      </c>
    </row>
    <row r="13430" spans="1:3" s="7" customFormat="1" x14ac:dyDescent="0.2">
      <c r="A13430" s="6" t="str">
        <f>"DST-AS1"</f>
        <v>DST-AS1</v>
      </c>
      <c r="B13430" s="6">
        <v>0.55944055944055904</v>
      </c>
      <c r="C13430" s="6">
        <v>0.69623898067680601</v>
      </c>
    </row>
    <row r="13431" spans="1:3" s="7" customFormat="1" x14ac:dyDescent="0.2">
      <c r="A13431" s="6" t="str">
        <f>"AP003071.5"</f>
        <v>AP003071.5</v>
      </c>
      <c r="B13431" s="6">
        <v>0.55944055944055904</v>
      </c>
      <c r="C13431" s="6">
        <v>0.69623898067680601</v>
      </c>
    </row>
    <row r="13432" spans="1:3" s="7" customFormat="1" x14ac:dyDescent="0.2">
      <c r="A13432" s="6" t="str">
        <f>"ALX4"</f>
        <v>ALX4</v>
      </c>
      <c r="B13432" s="6">
        <v>0.56000000000000005</v>
      </c>
      <c r="C13432" s="6">
        <v>0.69688332961060195</v>
      </c>
    </row>
    <row r="13433" spans="1:3" s="7" customFormat="1" x14ac:dyDescent="0.2">
      <c r="A13433" s="6" t="str">
        <f>"NDUFA10"</f>
        <v>NDUFA10</v>
      </c>
      <c r="B13433" s="6">
        <v>0.56043956043956</v>
      </c>
      <c r="C13433" s="6">
        <v>0.69696330455259004</v>
      </c>
    </row>
    <row r="13434" spans="1:3" s="7" customFormat="1" x14ac:dyDescent="0.2">
      <c r="A13434" s="6" t="str">
        <f>"AC097639.1"</f>
        <v>AC097639.1</v>
      </c>
      <c r="B13434" s="6">
        <v>0.56043956043956</v>
      </c>
      <c r="C13434" s="6">
        <v>0.69696330455259004</v>
      </c>
    </row>
    <row r="13435" spans="1:3" s="7" customFormat="1" x14ac:dyDescent="0.2">
      <c r="A13435" s="6" t="str">
        <f>"RPL35"</f>
        <v>RPL35</v>
      </c>
      <c r="B13435" s="6">
        <v>0.56043956043956</v>
      </c>
      <c r="C13435" s="6">
        <v>0.69696330455259004</v>
      </c>
    </row>
    <row r="13436" spans="1:3" s="7" customFormat="1" x14ac:dyDescent="0.2">
      <c r="A13436" s="6" t="str">
        <f>"ATP6AP2"</f>
        <v>ATP6AP2</v>
      </c>
      <c r="B13436" s="6">
        <v>0.56043956043956</v>
      </c>
      <c r="C13436" s="6">
        <v>0.69696330455259004</v>
      </c>
    </row>
    <row r="13437" spans="1:3" s="7" customFormat="1" x14ac:dyDescent="0.2">
      <c r="A13437" s="6" t="str">
        <f>"COL7A1"</f>
        <v>COL7A1</v>
      </c>
      <c r="B13437" s="6">
        <v>0.56043956043956</v>
      </c>
      <c r="C13437" s="6">
        <v>0.69696330455259004</v>
      </c>
    </row>
    <row r="13438" spans="1:3" s="7" customFormat="1" x14ac:dyDescent="0.2">
      <c r="A13438" s="6" t="str">
        <f>"ROR1"</f>
        <v>ROR1</v>
      </c>
      <c r="B13438" s="6">
        <v>0.56043956043956</v>
      </c>
      <c r="C13438" s="6">
        <v>0.69696330455259004</v>
      </c>
    </row>
    <row r="13439" spans="1:3" s="7" customFormat="1" x14ac:dyDescent="0.2">
      <c r="A13439" s="6" t="str">
        <f>"RN7SL784P"</f>
        <v>RN7SL784P</v>
      </c>
      <c r="B13439" s="6">
        <v>0.56020942408376895</v>
      </c>
      <c r="C13439" s="6">
        <v>0.69696330455259004</v>
      </c>
    </row>
    <row r="13440" spans="1:3" s="7" customFormat="1" x14ac:dyDescent="0.2">
      <c r="A13440" s="6" t="str">
        <f>"AXDND1"</f>
        <v>AXDND1</v>
      </c>
      <c r="B13440" s="6">
        <v>0.56043956043956</v>
      </c>
      <c r="C13440" s="6">
        <v>0.69696330455259004</v>
      </c>
    </row>
    <row r="13441" spans="1:3" s="7" customFormat="1" x14ac:dyDescent="0.2">
      <c r="A13441" s="6" t="str">
        <f>"GOLGA6L17P"</f>
        <v>GOLGA6L17P</v>
      </c>
      <c r="B13441" s="6">
        <v>0.56043956043956</v>
      </c>
      <c r="C13441" s="6">
        <v>0.69696330455259004</v>
      </c>
    </row>
    <row r="13442" spans="1:3" s="7" customFormat="1" x14ac:dyDescent="0.2">
      <c r="A13442" s="6" t="str">
        <f>"SEMA6A-AS1"</f>
        <v>SEMA6A-AS1</v>
      </c>
      <c r="B13442" s="6">
        <v>0.56100000000000005</v>
      </c>
      <c r="C13442" s="6">
        <v>0.69760836247303004</v>
      </c>
    </row>
    <row r="13443" spans="1:3" s="7" customFormat="1" x14ac:dyDescent="0.2">
      <c r="A13443" s="6" t="str">
        <f>"ZNF350"</f>
        <v>ZNF350</v>
      </c>
      <c r="B13443" s="6">
        <v>0.56143856143856097</v>
      </c>
      <c r="C13443" s="6">
        <v>0.69779031200803898</v>
      </c>
    </row>
    <row r="13444" spans="1:3" s="7" customFormat="1" x14ac:dyDescent="0.2">
      <c r="A13444" s="6" t="str">
        <f>"IGLV6-57"</f>
        <v>IGLV6-57</v>
      </c>
      <c r="B13444" s="6">
        <v>0.56143856143856097</v>
      </c>
      <c r="C13444" s="6">
        <v>0.69779031200803898</v>
      </c>
    </row>
    <row r="13445" spans="1:3" s="7" customFormat="1" x14ac:dyDescent="0.2">
      <c r="A13445" s="6" t="str">
        <f>"CLECL1"</f>
        <v>CLECL1</v>
      </c>
      <c r="B13445" s="6">
        <v>0.56143856143856097</v>
      </c>
      <c r="C13445" s="6">
        <v>0.69779031200803898</v>
      </c>
    </row>
    <row r="13446" spans="1:3" s="7" customFormat="1" x14ac:dyDescent="0.2">
      <c r="A13446" s="6" t="str">
        <f>"PIP"</f>
        <v>PIP</v>
      </c>
      <c r="B13446" s="6">
        <v>0.56143856143856097</v>
      </c>
      <c r="C13446" s="6">
        <v>0.69779031200803898</v>
      </c>
    </row>
    <row r="13447" spans="1:3" s="7" customFormat="1" x14ac:dyDescent="0.2">
      <c r="A13447" s="6" t="str">
        <f>"TRIM32"</f>
        <v>TRIM32</v>
      </c>
      <c r="B13447" s="6">
        <v>0.56143856143856097</v>
      </c>
      <c r="C13447" s="6">
        <v>0.69779031200803898</v>
      </c>
    </row>
    <row r="13448" spans="1:3" s="7" customFormat="1" x14ac:dyDescent="0.2">
      <c r="A13448" s="6" t="str">
        <f>"AP001781.2"</f>
        <v>AP001781.2</v>
      </c>
      <c r="B13448" s="6">
        <v>0.56143856143856097</v>
      </c>
      <c r="C13448" s="6">
        <v>0.69779031200803898</v>
      </c>
    </row>
    <row r="13449" spans="1:3" s="7" customFormat="1" x14ac:dyDescent="0.2">
      <c r="A13449" s="6" t="str">
        <f>"AIP"</f>
        <v>AIP</v>
      </c>
      <c r="B13449" s="6">
        <v>0.56143856143856097</v>
      </c>
      <c r="C13449" s="6">
        <v>0.69779031200803898</v>
      </c>
    </row>
    <row r="13450" spans="1:3" s="7" customFormat="1" x14ac:dyDescent="0.2">
      <c r="A13450" s="6" t="str">
        <f>"CACNG5"</f>
        <v>CACNG5</v>
      </c>
      <c r="B13450" s="6">
        <v>0.56193353474320196</v>
      </c>
      <c r="C13450" s="6">
        <v>0.698353565298378</v>
      </c>
    </row>
    <row r="13451" spans="1:3" s="7" customFormat="1" x14ac:dyDescent="0.2">
      <c r="A13451" s="6" t="str">
        <f>"MMP12"</f>
        <v>MMP12</v>
      </c>
      <c r="B13451" s="6">
        <v>0.56243756243756204</v>
      </c>
      <c r="C13451" s="6">
        <v>0.69835683965392004</v>
      </c>
    </row>
    <row r="13452" spans="1:3" s="7" customFormat="1" x14ac:dyDescent="0.2">
      <c r="A13452" s="6" t="str">
        <f>"AL139220.2"</f>
        <v>AL139220.2</v>
      </c>
      <c r="B13452" s="6">
        <v>0.56243756243756204</v>
      </c>
      <c r="C13452" s="6">
        <v>0.69835683965392004</v>
      </c>
    </row>
    <row r="13453" spans="1:3" s="7" customFormat="1" x14ac:dyDescent="0.2">
      <c r="A13453" s="6" t="str">
        <f>"PEX5"</f>
        <v>PEX5</v>
      </c>
      <c r="B13453" s="6">
        <v>0.56243756243756204</v>
      </c>
      <c r="C13453" s="6">
        <v>0.69835683965392004</v>
      </c>
    </row>
    <row r="13454" spans="1:3" s="7" customFormat="1" x14ac:dyDescent="0.2">
      <c r="A13454" s="6" t="str">
        <f>"IGSF3"</f>
        <v>IGSF3</v>
      </c>
      <c r="B13454" s="6">
        <v>0.56243756243756204</v>
      </c>
      <c r="C13454" s="6">
        <v>0.69835683965392004</v>
      </c>
    </row>
    <row r="13455" spans="1:3" s="7" customFormat="1" x14ac:dyDescent="0.2">
      <c r="A13455" s="6" t="str">
        <f>"TMED2-DT"</f>
        <v>TMED2-DT</v>
      </c>
      <c r="B13455" s="6">
        <v>0.56243756243756204</v>
      </c>
      <c r="C13455" s="6">
        <v>0.69835683965392004</v>
      </c>
    </row>
    <row r="13456" spans="1:3" s="7" customFormat="1" x14ac:dyDescent="0.2">
      <c r="A13456" s="6" t="str">
        <f>"MFN1"</f>
        <v>MFN1</v>
      </c>
      <c r="B13456" s="6">
        <v>0.56243756243756204</v>
      </c>
      <c r="C13456" s="6">
        <v>0.69835683965392004</v>
      </c>
    </row>
    <row r="13457" spans="1:3" s="7" customFormat="1" x14ac:dyDescent="0.2">
      <c r="A13457" s="6" t="str">
        <f>"ZDHHC7"</f>
        <v>ZDHHC7</v>
      </c>
      <c r="B13457" s="6">
        <v>0.56243756243756204</v>
      </c>
      <c r="C13457" s="6">
        <v>0.69835683965392004</v>
      </c>
    </row>
    <row r="13458" spans="1:3" s="7" customFormat="1" x14ac:dyDescent="0.2">
      <c r="A13458" s="6" t="str">
        <f>"PICK1"</f>
        <v>PICK1</v>
      </c>
      <c r="B13458" s="6">
        <v>0.56243756243756204</v>
      </c>
      <c r="C13458" s="6">
        <v>0.69835683965392004</v>
      </c>
    </row>
    <row r="13459" spans="1:3" s="7" customFormat="1" x14ac:dyDescent="0.2">
      <c r="A13459" s="6" t="str">
        <f>"SMG7-AS1"</f>
        <v>SMG7-AS1</v>
      </c>
      <c r="B13459" s="6">
        <v>0.56243756243756204</v>
      </c>
      <c r="C13459" s="6">
        <v>0.69835683965392004</v>
      </c>
    </row>
    <row r="13460" spans="1:3" s="7" customFormat="1" x14ac:dyDescent="0.2">
      <c r="A13460" s="6" t="str">
        <f>"RPUSD4"</f>
        <v>RPUSD4</v>
      </c>
      <c r="B13460" s="6">
        <v>0.56243756243756204</v>
      </c>
      <c r="C13460" s="6">
        <v>0.69835683965392004</v>
      </c>
    </row>
    <row r="13461" spans="1:3" s="7" customFormat="1" x14ac:dyDescent="0.2">
      <c r="A13461" s="6" t="str">
        <f>"HSPBP1"</f>
        <v>HSPBP1</v>
      </c>
      <c r="B13461" s="6">
        <v>0.56243756243756204</v>
      </c>
      <c r="C13461" s="6">
        <v>0.69835683965392004</v>
      </c>
    </row>
    <row r="13462" spans="1:3" s="7" customFormat="1" x14ac:dyDescent="0.2">
      <c r="A13462" s="6" t="str">
        <f>"FGF22"</f>
        <v>FGF22</v>
      </c>
      <c r="B13462" s="6">
        <v>0.56205852674066603</v>
      </c>
      <c r="C13462" s="6">
        <v>0.69835683965392004</v>
      </c>
    </row>
    <row r="13463" spans="1:3" s="7" customFormat="1" x14ac:dyDescent="0.2">
      <c r="A13463" s="6" t="str">
        <f>"CLK1"</f>
        <v>CLK1</v>
      </c>
      <c r="B13463" s="6">
        <v>0.56343656343656301</v>
      </c>
      <c r="C13463" s="6">
        <v>0.69907792452518103</v>
      </c>
    </row>
    <row r="13464" spans="1:3" s="7" customFormat="1" x14ac:dyDescent="0.2">
      <c r="A13464" s="6" t="str">
        <f>"C4orf3"</f>
        <v>C4orf3</v>
      </c>
      <c r="B13464" s="6">
        <v>0.56343656343656301</v>
      </c>
      <c r="C13464" s="6">
        <v>0.69907792452518103</v>
      </c>
    </row>
    <row r="13465" spans="1:3" s="7" customFormat="1" x14ac:dyDescent="0.2">
      <c r="A13465" s="6" t="str">
        <f>"CEP76"</f>
        <v>CEP76</v>
      </c>
      <c r="B13465" s="6">
        <v>0.56343656343656301</v>
      </c>
      <c r="C13465" s="6">
        <v>0.69907792452518103</v>
      </c>
    </row>
    <row r="13466" spans="1:3" s="7" customFormat="1" x14ac:dyDescent="0.2">
      <c r="A13466" s="6" t="str">
        <f>"AMER1"</f>
        <v>AMER1</v>
      </c>
      <c r="B13466" s="6">
        <v>0.56343656343656301</v>
      </c>
      <c r="C13466" s="6">
        <v>0.69907792452518103</v>
      </c>
    </row>
    <row r="13467" spans="1:3" s="7" customFormat="1" x14ac:dyDescent="0.2">
      <c r="A13467" s="6" t="str">
        <f>"CYP4X1"</f>
        <v>CYP4X1</v>
      </c>
      <c r="B13467" s="6">
        <v>0.56343656343656301</v>
      </c>
      <c r="C13467" s="6">
        <v>0.69907792452518103</v>
      </c>
    </row>
    <row r="13468" spans="1:3" s="7" customFormat="1" x14ac:dyDescent="0.2">
      <c r="A13468" s="6" t="str">
        <f>"PKP1"</f>
        <v>PKP1</v>
      </c>
      <c r="B13468" s="6">
        <v>0.56343656343656301</v>
      </c>
      <c r="C13468" s="6">
        <v>0.69907792452518103</v>
      </c>
    </row>
    <row r="13469" spans="1:3" s="7" customFormat="1" x14ac:dyDescent="0.2">
      <c r="A13469" s="6" t="str">
        <f>"AC005342.1"</f>
        <v>AC005342.1</v>
      </c>
      <c r="B13469" s="6">
        <v>0.56343656343656301</v>
      </c>
      <c r="C13469" s="6">
        <v>0.69907792452518103</v>
      </c>
    </row>
    <row r="13470" spans="1:3" s="7" customFormat="1" x14ac:dyDescent="0.2">
      <c r="A13470" s="6" t="str">
        <f>"CLMN"</f>
        <v>CLMN</v>
      </c>
      <c r="B13470" s="6">
        <v>0.56343656343656301</v>
      </c>
      <c r="C13470" s="6">
        <v>0.69907792452518103</v>
      </c>
    </row>
    <row r="13471" spans="1:3" s="7" customFormat="1" x14ac:dyDescent="0.2">
      <c r="A13471" s="6" t="str">
        <f>"FAM120A"</f>
        <v>FAM120A</v>
      </c>
      <c r="B13471" s="6">
        <v>0.56343656343656301</v>
      </c>
      <c r="C13471" s="6">
        <v>0.69907792452518103</v>
      </c>
    </row>
    <row r="13472" spans="1:3" s="7" customFormat="1" x14ac:dyDescent="0.2">
      <c r="A13472" s="6" t="str">
        <f>"OTUD3"</f>
        <v>OTUD3</v>
      </c>
      <c r="B13472" s="6">
        <v>0.56343656343656301</v>
      </c>
      <c r="C13472" s="6">
        <v>0.69907792452518103</v>
      </c>
    </row>
    <row r="13473" spans="1:3" s="7" customFormat="1" x14ac:dyDescent="0.2">
      <c r="A13473" s="6" t="str">
        <f>"PPP1R14D"</f>
        <v>PPP1R14D</v>
      </c>
      <c r="B13473" s="6">
        <v>0.56399999999999995</v>
      </c>
      <c r="C13473" s="6">
        <v>0.69962119637820896</v>
      </c>
    </row>
    <row r="13474" spans="1:3" s="7" customFormat="1" x14ac:dyDescent="0.2">
      <c r="A13474" s="6" t="str">
        <f>"AC005740.5"</f>
        <v>AC005740.5</v>
      </c>
      <c r="B13474" s="6">
        <v>0.56399999999999995</v>
      </c>
      <c r="C13474" s="6">
        <v>0.69962119637820896</v>
      </c>
    </row>
    <row r="13475" spans="1:3" s="7" customFormat="1" x14ac:dyDescent="0.2">
      <c r="A13475" s="6" t="str">
        <f>"INHBC"</f>
        <v>INHBC</v>
      </c>
      <c r="B13475" s="6">
        <v>0.56399999999999995</v>
      </c>
      <c r="C13475" s="6">
        <v>0.69962119637820896</v>
      </c>
    </row>
    <row r="13476" spans="1:3" s="7" customFormat="1" x14ac:dyDescent="0.2">
      <c r="A13476" s="6" t="str">
        <f>"ZNF195"</f>
        <v>ZNF195</v>
      </c>
      <c r="B13476" s="6">
        <v>0.56443556443556397</v>
      </c>
      <c r="C13476" s="6">
        <v>0.69974603352440401</v>
      </c>
    </row>
    <row r="13477" spans="1:3" s="7" customFormat="1" x14ac:dyDescent="0.2">
      <c r="A13477" s="6" t="str">
        <f>"RPL14"</f>
        <v>RPL14</v>
      </c>
      <c r="B13477" s="6">
        <v>0.56443556443556397</v>
      </c>
      <c r="C13477" s="6">
        <v>0.69974603352440401</v>
      </c>
    </row>
    <row r="13478" spans="1:3" s="7" customFormat="1" x14ac:dyDescent="0.2">
      <c r="A13478" s="6" t="str">
        <f>"IL15"</f>
        <v>IL15</v>
      </c>
      <c r="B13478" s="6">
        <v>0.56443556443556397</v>
      </c>
      <c r="C13478" s="6">
        <v>0.69974603352440401</v>
      </c>
    </row>
    <row r="13479" spans="1:3" s="7" customFormat="1" x14ac:dyDescent="0.2">
      <c r="A13479" s="6" t="str">
        <f>"HERC2P2"</f>
        <v>HERC2P2</v>
      </c>
      <c r="B13479" s="6">
        <v>0.56443556443556397</v>
      </c>
      <c r="C13479" s="6">
        <v>0.69974603352440401</v>
      </c>
    </row>
    <row r="13480" spans="1:3" s="7" customFormat="1" x14ac:dyDescent="0.2">
      <c r="A13480" s="6" t="str">
        <f>"CACNG6"</f>
        <v>CACNG6</v>
      </c>
      <c r="B13480" s="6">
        <v>0.56443556443556397</v>
      </c>
      <c r="C13480" s="6">
        <v>0.69974603352440401</v>
      </c>
    </row>
    <row r="13481" spans="1:3" s="7" customFormat="1" x14ac:dyDescent="0.2">
      <c r="A13481" s="6" t="str">
        <f>"SLC6A4"</f>
        <v>SLC6A4</v>
      </c>
      <c r="B13481" s="6">
        <v>0.56443556443556397</v>
      </c>
      <c r="C13481" s="6">
        <v>0.69974603352440401</v>
      </c>
    </row>
    <row r="13482" spans="1:3" s="7" customFormat="1" x14ac:dyDescent="0.2">
      <c r="A13482" s="6" t="str">
        <f>"AL121929.2"</f>
        <v>AL121929.2</v>
      </c>
      <c r="B13482" s="6">
        <v>0.56443556443556397</v>
      </c>
      <c r="C13482" s="6">
        <v>0.69974603352440401</v>
      </c>
    </row>
    <row r="13483" spans="1:3" s="7" customFormat="1" x14ac:dyDescent="0.2">
      <c r="A13483" s="6" t="str">
        <f>"SNAPC4"</f>
        <v>SNAPC4</v>
      </c>
      <c r="B13483" s="6">
        <v>0.56443556443556397</v>
      </c>
      <c r="C13483" s="6">
        <v>0.69974603352440401</v>
      </c>
    </row>
    <row r="13484" spans="1:3" s="7" customFormat="1" x14ac:dyDescent="0.2">
      <c r="A13484" s="6" t="str">
        <f>"OPRD1"</f>
        <v>OPRD1</v>
      </c>
      <c r="B13484" s="6">
        <v>0.56451612903225801</v>
      </c>
      <c r="C13484" s="6">
        <v>0.69975025080697995</v>
      </c>
    </row>
    <row r="13485" spans="1:3" s="7" customFormat="1" x14ac:dyDescent="0.2">
      <c r="A13485" s="6" t="str">
        <f>"SCN1A"</f>
        <v>SCN1A</v>
      </c>
      <c r="B13485" s="6">
        <v>0.56456456456456405</v>
      </c>
      <c r="C13485" s="6">
        <v>0.69975025080697995</v>
      </c>
    </row>
    <row r="13486" spans="1:3" s="7" customFormat="1" x14ac:dyDescent="0.2">
      <c r="A13486" s="6" t="str">
        <f>"AL109936.9"</f>
        <v>AL109936.9</v>
      </c>
      <c r="B13486" s="6">
        <v>0.56456456456456405</v>
      </c>
      <c r="C13486" s="6">
        <v>0.69975025080697995</v>
      </c>
    </row>
    <row r="13487" spans="1:3" s="7" customFormat="1" x14ac:dyDescent="0.2">
      <c r="A13487" s="6" t="str">
        <f>"C11orf58"</f>
        <v>C11orf58</v>
      </c>
      <c r="B13487" s="6">
        <v>0.56543456543456505</v>
      </c>
      <c r="C13487" s="6">
        <v>0.70041305318856595</v>
      </c>
    </row>
    <row r="13488" spans="1:3" s="7" customFormat="1" x14ac:dyDescent="0.2">
      <c r="A13488" s="6" t="str">
        <f>"PBXIP1"</f>
        <v>PBXIP1</v>
      </c>
      <c r="B13488" s="6">
        <v>0.56543456543456505</v>
      </c>
      <c r="C13488" s="6">
        <v>0.70041305318856595</v>
      </c>
    </row>
    <row r="13489" spans="1:3" s="7" customFormat="1" x14ac:dyDescent="0.2">
      <c r="A13489" s="6" t="str">
        <f>"BHMT"</f>
        <v>BHMT</v>
      </c>
      <c r="B13489" s="6">
        <v>0.56543456543456505</v>
      </c>
      <c r="C13489" s="6">
        <v>0.70041305318856595</v>
      </c>
    </row>
    <row r="13490" spans="1:3" s="7" customFormat="1" x14ac:dyDescent="0.2">
      <c r="A13490" s="6" t="str">
        <f>"SOX9"</f>
        <v>SOX9</v>
      </c>
      <c r="B13490" s="6">
        <v>0.56543456543456505</v>
      </c>
      <c r="C13490" s="6">
        <v>0.70041305318856595</v>
      </c>
    </row>
    <row r="13491" spans="1:3" s="7" customFormat="1" x14ac:dyDescent="0.2">
      <c r="A13491" s="6" t="str">
        <f>"AL137802.2"</f>
        <v>AL137802.2</v>
      </c>
      <c r="B13491" s="6">
        <v>0.56543456543456505</v>
      </c>
      <c r="C13491" s="6">
        <v>0.70041305318856595</v>
      </c>
    </row>
    <row r="13492" spans="1:3" s="7" customFormat="1" x14ac:dyDescent="0.2">
      <c r="A13492" s="6" t="str">
        <f>"ZNF763"</f>
        <v>ZNF763</v>
      </c>
      <c r="B13492" s="6">
        <v>0.56543456543456505</v>
      </c>
      <c r="C13492" s="6">
        <v>0.70041305318856595</v>
      </c>
    </row>
    <row r="13493" spans="1:3" s="7" customFormat="1" x14ac:dyDescent="0.2">
      <c r="A13493" s="6" t="str">
        <f>"CDC42BPB"</f>
        <v>CDC42BPB</v>
      </c>
      <c r="B13493" s="6">
        <v>0.56543456543456505</v>
      </c>
      <c r="C13493" s="6">
        <v>0.70041305318856595</v>
      </c>
    </row>
    <row r="13494" spans="1:3" s="7" customFormat="1" x14ac:dyDescent="0.2">
      <c r="A13494" s="6" t="str">
        <f>"H3C13"</f>
        <v>H3C13</v>
      </c>
      <c r="B13494" s="6">
        <v>0.56543456543456505</v>
      </c>
      <c r="C13494" s="6">
        <v>0.70041305318856595</v>
      </c>
    </row>
    <row r="13495" spans="1:3" s="7" customFormat="1" x14ac:dyDescent="0.2">
      <c r="A13495" s="6" t="str">
        <f>"AL359182.1"</f>
        <v>AL359182.1</v>
      </c>
      <c r="B13495" s="6">
        <v>0.56607700312174802</v>
      </c>
      <c r="C13495" s="6">
        <v>0.70115688677759702</v>
      </c>
    </row>
    <row r="13496" spans="1:3" s="7" customFormat="1" x14ac:dyDescent="0.2">
      <c r="A13496" s="6" t="str">
        <f>"CILP"</f>
        <v>CILP</v>
      </c>
      <c r="B13496" s="6">
        <v>0.56613226452905796</v>
      </c>
      <c r="C13496" s="6">
        <v>0.701173373052143</v>
      </c>
    </row>
    <row r="13497" spans="1:3" s="7" customFormat="1" x14ac:dyDescent="0.2">
      <c r="A13497" s="6" t="str">
        <f>"AC008985.1"</f>
        <v>AC008985.1</v>
      </c>
      <c r="B13497" s="6">
        <v>0.56626506024096301</v>
      </c>
      <c r="C13497" s="6">
        <v>0.70128587854678903</v>
      </c>
    </row>
    <row r="13498" spans="1:3" s="7" customFormat="1" x14ac:dyDescent="0.2">
      <c r="A13498" s="6" t="str">
        <f>"MXRA5Y"</f>
        <v>MXRA5Y</v>
      </c>
      <c r="B13498" s="6">
        <v>0.56643356643356602</v>
      </c>
      <c r="C13498" s="6">
        <v>0.70128671328671299</v>
      </c>
    </row>
    <row r="13499" spans="1:3" s="7" customFormat="1" x14ac:dyDescent="0.2">
      <c r="A13499" s="6" t="str">
        <f>"TTC25"</f>
        <v>TTC25</v>
      </c>
      <c r="B13499" s="6">
        <v>0.56643356643356602</v>
      </c>
      <c r="C13499" s="6">
        <v>0.70128671328671299</v>
      </c>
    </row>
    <row r="13500" spans="1:3" s="7" customFormat="1" x14ac:dyDescent="0.2">
      <c r="A13500" s="6" t="str">
        <f>"LINC00504"</f>
        <v>LINC00504</v>
      </c>
      <c r="B13500" s="6">
        <v>0.56643356643356602</v>
      </c>
      <c r="C13500" s="6">
        <v>0.70128671328671299</v>
      </c>
    </row>
    <row r="13501" spans="1:3" s="7" customFormat="1" x14ac:dyDescent="0.2">
      <c r="A13501" s="6" t="str">
        <f>"MAPKAPK5-AS1"</f>
        <v>MAPKAPK5-AS1</v>
      </c>
      <c r="B13501" s="6">
        <v>0.56643356643356602</v>
      </c>
      <c r="C13501" s="6">
        <v>0.70128671328671299</v>
      </c>
    </row>
    <row r="13502" spans="1:3" s="7" customFormat="1" x14ac:dyDescent="0.2">
      <c r="A13502" s="6" t="str">
        <f>"AC005086.2"</f>
        <v>AC005086.2</v>
      </c>
      <c r="B13502" s="6">
        <v>0.56670010030090201</v>
      </c>
      <c r="C13502" s="6">
        <v>0.70156473419963605</v>
      </c>
    </row>
    <row r="13503" spans="1:3" s="7" customFormat="1" x14ac:dyDescent="0.2">
      <c r="A13503" s="6" t="str">
        <f>"ATF6"</f>
        <v>ATF6</v>
      </c>
      <c r="B13503" s="6">
        <v>0.56743256743256698</v>
      </c>
      <c r="C13503" s="6">
        <v>0.70179576232558305</v>
      </c>
    </row>
    <row r="13504" spans="1:3" s="7" customFormat="1" x14ac:dyDescent="0.2">
      <c r="A13504" s="6" t="str">
        <f>"ZNF687-AS1"</f>
        <v>ZNF687-AS1</v>
      </c>
      <c r="B13504" s="6">
        <v>0.56743256743256698</v>
      </c>
      <c r="C13504" s="6">
        <v>0.70179576232558305</v>
      </c>
    </row>
    <row r="13505" spans="1:3" s="7" customFormat="1" x14ac:dyDescent="0.2">
      <c r="A13505" s="6" t="str">
        <f>"BHMT2"</f>
        <v>BHMT2</v>
      </c>
      <c r="B13505" s="6">
        <v>0.56699999999999995</v>
      </c>
      <c r="C13505" s="6">
        <v>0.70179576232558305</v>
      </c>
    </row>
    <row r="13506" spans="1:3" s="7" customFormat="1" x14ac:dyDescent="0.2">
      <c r="A13506" s="6" t="str">
        <f>"SCGB3A2"</f>
        <v>SCGB3A2</v>
      </c>
      <c r="B13506" s="6">
        <v>0.56743256743256698</v>
      </c>
      <c r="C13506" s="6">
        <v>0.70179576232558305</v>
      </c>
    </row>
    <row r="13507" spans="1:3" s="7" customFormat="1" x14ac:dyDescent="0.2">
      <c r="A13507" s="6" t="str">
        <f>"IGKV3-15"</f>
        <v>IGKV3-15</v>
      </c>
      <c r="B13507" s="6">
        <v>0.56743256743256698</v>
      </c>
      <c r="C13507" s="6">
        <v>0.70179576232558305</v>
      </c>
    </row>
    <row r="13508" spans="1:3" s="7" customFormat="1" x14ac:dyDescent="0.2">
      <c r="A13508" s="6" t="str">
        <f>"UNC5A"</f>
        <v>UNC5A</v>
      </c>
      <c r="B13508" s="6">
        <v>0.56743256743256698</v>
      </c>
      <c r="C13508" s="6">
        <v>0.70179576232558305</v>
      </c>
    </row>
    <row r="13509" spans="1:3" s="7" customFormat="1" x14ac:dyDescent="0.2">
      <c r="A13509" s="6" t="str">
        <f>"HDGFL2"</f>
        <v>HDGFL2</v>
      </c>
      <c r="B13509" s="6">
        <v>0.56743256743256698</v>
      </c>
      <c r="C13509" s="6">
        <v>0.70179576232558305</v>
      </c>
    </row>
    <row r="13510" spans="1:3" s="7" customFormat="1" x14ac:dyDescent="0.2">
      <c r="A13510" s="6" t="str">
        <f>"SLC47A1"</f>
        <v>SLC47A1</v>
      </c>
      <c r="B13510" s="6">
        <v>0.56743256743256698</v>
      </c>
      <c r="C13510" s="6">
        <v>0.70179576232558305</v>
      </c>
    </row>
    <row r="13511" spans="1:3" s="7" customFormat="1" x14ac:dyDescent="0.2">
      <c r="A13511" s="6" t="str">
        <f>"VPS4A"</f>
        <v>VPS4A</v>
      </c>
      <c r="B13511" s="6">
        <v>0.56743256743256698</v>
      </c>
      <c r="C13511" s="6">
        <v>0.70179576232558305</v>
      </c>
    </row>
    <row r="13512" spans="1:3" s="7" customFormat="1" x14ac:dyDescent="0.2">
      <c r="A13512" s="6" t="str">
        <f>"BMPER"</f>
        <v>BMPER</v>
      </c>
      <c r="B13512" s="6">
        <v>0.56743256743256698</v>
      </c>
      <c r="C13512" s="6">
        <v>0.70179576232558305</v>
      </c>
    </row>
    <row r="13513" spans="1:3" s="7" customFormat="1" x14ac:dyDescent="0.2">
      <c r="A13513" s="6" t="str">
        <f>"CU638689.5"</f>
        <v>CU638689.5</v>
      </c>
      <c r="B13513" s="6">
        <v>0.56699999999999995</v>
      </c>
      <c r="C13513" s="6">
        <v>0.70179576232558305</v>
      </c>
    </row>
    <row r="13514" spans="1:3" s="7" customFormat="1" x14ac:dyDescent="0.2">
      <c r="A13514" s="6" t="str">
        <f>"AL355999.1"</f>
        <v>AL355999.1</v>
      </c>
      <c r="B13514" s="6">
        <v>0.56743256743256698</v>
      </c>
      <c r="C13514" s="6">
        <v>0.70179576232558305</v>
      </c>
    </row>
    <row r="13515" spans="1:3" s="7" customFormat="1" x14ac:dyDescent="0.2">
      <c r="A13515" s="6" t="str">
        <f>"SCARNA9"</f>
        <v>SCARNA9</v>
      </c>
      <c r="B13515" s="6">
        <v>0.56743256743256698</v>
      </c>
      <c r="C13515" s="6">
        <v>0.70179576232558305</v>
      </c>
    </row>
    <row r="13516" spans="1:3" s="7" customFormat="1" x14ac:dyDescent="0.2">
      <c r="A13516" s="6" t="str">
        <f>"MFSD14A"</f>
        <v>MFSD14A</v>
      </c>
      <c r="B13516" s="6">
        <v>0.56843156843156795</v>
      </c>
      <c r="C13516" s="6">
        <v>0.70251147846533801</v>
      </c>
    </row>
    <row r="13517" spans="1:3" s="7" customFormat="1" x14ac:dyDescent="0.2">
      <c r="A13517" s="6" t="str">
        <f>"OSBP"</f>
        <v>OSBP</v>
      </c>
      <c r="B13517" s="6">
        <v>0.56843156843156795</v>
      </c>
      <c r="C13517" s="6">
        <v>0.70251147846533801</v>
      </c>
    </row>
    <row r="13518" spans="1:3" s="7" customFormat="1" x14ac:dyDescent="0.2">
      <c r="A13518" s="6" t="str">
        <f>"SETD5"</f>
        <v>SETD5</v>
      </c>
      <c r="B13518" s="6">
        <v>0.56843156843156795</v>
      </c>
      <c r="C13518" s="6">
        <v>0.70251147846533801</v>
      </c>
    </row>
    <row r="13519" spans="1:3" s="7" customFormat="1" x14ac:dyDescent="0.2">
      <c r="A13519" s="6" t="str">
        <f>"UBASH3A"</f>
        <v>UBASH3A</v>
      </c>
      <c r="B13519" s="6">
        <v>0.56843156843156795</v>
      </c>
      <c r="C13519" s="6">
        <v>0.70251147846533801</v>
      </c>
    </row>
    <row r="13520" spans="1:3" s="7" customFormat="1" x14ac:dyDescent="0.2">
      <c r="A13520" s="6" t="str">
        <f>"MAVS"</f>
        <v>MAVS</v>
      </c>
      <c r="B13520" s="6">
        <v>0.56843156843156795</v>
      </c>
      <c r="C13520" s="6">
        <v>0.70251147846533801</v>
      </c>
    </row>
    <row r="13521" spans="1:3" s="7" customFormat="1" x14ac:dyDescent="0.2">
      <c r="A13521" s="6" t="str">
        <f>"ZNF518B"</f>
        <v>ZNF518B</v>
      </c>
      <c r="B13521" s="6">
        <v>0.56843156843156795</v>
      </c>
      <c r="C13521" s="6">
        <v>0.70251147846533801</v>
      </c>
    </row>
    <row r="13522" spans="1:3" s="7" customFormat="1" x14ac:dyDescent="0.2">
      <c r="A13522" s="6" t="str">
        <f>"HDAC9"</f>
        <v>HDAC9</v>
      </c>
      <c r="B13522" s="6">
        <v>0.56843156843156795</v>
      </c>
      <c r="C13522" s="6">
        <v>0.70251147846533801</v>
      </c>
    </row>
    <row r="13523" spans="1:3" s="7" customFormat="1" x14ac:dyDescent="0.2">
      <c r="A13523" s="6" t="str">
        <f>"PREX2"</f>
        <v>PREX2</v>
      </c>
      <c r="B13523" s="6">
        <v>0.56843156843156795</v>
      </c>
      <c r="C13523" s="6">
        <v>0.70251147846533801</v>
      </c>
    </row>
    <row r="13524" spans="1:3" s="7" customFormat="1" x14ac:dyDescent="0.2">
      <c r="A13524" s="6" t="str">
        <f>"AL357033.3"</f>
        <v>AL357033.3</v>
      </c>
      <c r="B13524" s="6">
        <v>0.56843156843156795</v>
      </c>
      <c r="C13524" s="6">
        <v>0.70251147846533801</v>
      </c>
    </row>
    <row r="13525" spans="1:3" s="7" customFormat="1" x14ac:dyDescent="0.2">
      <c r="A13525" s="6" t="str">
        <f>"CCDC47"</f>
        <v>CCDC47</v>
      </c>
      <c r="B13525" s="6">
        <v>0.56843156843156795</v>
      </c>
      <c r="C13525" s="6">
        <v>0.70251147846533801</v>
      </c>
    </row>
    <row r="13526" spans="1:3" s="7" customFormat="1" x14ac:dyDescent="0.2">
      <c r="A13526" s="6" t="str">
        <f>"AC009065.2"</f>
        <v>AC009065.2</v>
      </c>
      <c r="B13526" s="6">
        <v>0.56899999999999995</v>
      </c>
      <c r="C13526" s="6">
        <v>0.70311001035043597</v>
      </c>
    </row>
    <row r="13527" spans="1:3" s="7" customFormat="1" x14ac:dyDescent="0.2">
      <c r="A13527" s="6" t="str">
        <f>"AL360181.3"</f>
        <v>AL360181.3</v>
      </c>
      <c r="B13527" s="6">
        <v>0.56899999999999995</v>
      </c>
      <c r="C13527" s="6">
        <v>0.70311001035043597</v>
      </c>
    </row>
    <row r="13528" spans="1:3" s="7" customFormat="1" x14ac:dyDescent="0.2">
      <c r="A13528" s="6" t="str">
        <f>"ZKSCAN7"</f>
        <v>ZKSCAN7</v>
      </c>
      <c r="B13528" s="6">
        <v>0.56943056943056902</v>
      </c>
      <c r="C13528" s="6">
        <v>0.70327810075094499</v>
      </c>
    </row>
    <row r="13529" spans="1:3" s="7" customFormat="1" x14ac:dyDescent="0.2">
      <c r="A13529" s="6" t="str">
        <f>"ZNF71"</f>
        <v>ZNF71</v>
      </c>
      <c r="B13529" s="6">
        <v>0.56943056943056902</v>
      </c>
      <c r="C13529" s="6">
        <v>0.70327810075094499</v>
      </c>
    </row>
    <row r="13530" spans="1:3" s="7" customFormat="1" x14ac:dyDescent="0.2">
      <c r="A13530" s="6" t="str">
        <f>"PPP1R37"</f>
        <v>PPP1R37</v>
      </c>
      <c r="B13530" s="6">
        <v>0.56943056943056902</v>
      </c>
      <c r="C13530" s="6">
        <v>0.70327810075094499</v>
      </c>
    </row>
    <row r="13531" spans="1:3" s="7" customFormat="1" x14ac:dyDescent="0.2">
      <c r="A13531" s="6" t="str">
        <f>"SMO"</f>
        <v>SMO</v>
      </c>
      <c r="B13531" s="6">
        <v>0.56943056943056902</v>
      </c>
      <c r="C13531" s="6">
        <v>0.70327810075094499</v>
      </c>
    </row>
    <row r="13532" spans="1:3" s="7" customFormat="1" x14ac:dyDescent="0.2">
      <c r="A13532" s="6" t="str">
        <f>"PRICKLE1"</f>
        <v>PRICKLE1</v>
      </c>
      <c r="B13532" s="6">
        <v>0.56943056943056902</v>
      </c>
      <c r="C13532" s="6">
        <v>0.70327810075094499</v>
      </c>
    </row>
    <row r="13533" spans="1:3" s="7" customFormat="1" x14ac:dyDescent="0.2">
      <c r="A13533" s="6" t="str">
        <f>"AC008969.1"</f>
        <v>AC008969.1</v>
      </c>
      <c r="B13533" s="6">
        <v>0.56943056943056902</v>
      </c>
      <c r="C13533" s="6">
        <v>0.70327810075094499</v>
      </c>
    </row>
    <row r="13534" spans="1:3" s="7" customFormat="1" x14ac:dyDescent="0.2">
      <c r="A13534" s="6" t="str">
        <f>"KIF13A"</f>
        <v>KIF13A</v>
      </c>
      <c r="B13534" s="6">
        <v>0.56943056943056902</v>
      </c>
      <c r="C13534" s="6">
        <v>0.70327810075094499</v>
      </c>
    </row>
    <row r="13535" spans="1:3" s="7" customFormat="1" x14ac:dyDescent="0.2">
      <c r="A13535" s="6" t="str">
        <f>"AC010643.1"</f>
        <v>AC010643.1</v>
      </c>
      <c r="B13535" s="6">
        <v>0.56999999999999995</v>
      </c>
      <c r="C13535" s="6">
        <v>0.70392936308556198</v>
      </c>
    </row>
    <row r="13536" spans="1:3" s="7" customFormat="1" x14ac:dyDescent="0.2">
      <c r="A13536" s="6" t="str">
        <f>"ZHX3"</f>
        <v>ZHX3</v>
      </c>
      <c r="B13536" s="6">
        <v>0.57042957042956999</v>
      </c>
      <c r="C13536" s="6">
        <v>0.70404370404370398</v>
      </c>
    </row>
    <row r="13537" spans="1:3" s="7" customFormat="1" x14ac:dyDescent="0.2">
      <c r="A13537" s="6" t="str">
        <f>"TOP2B"</f>
        <v>TOP2B</v>
      </c>
      <c r="B13537" s="6">
        <v>0.57042957042956999</v>
      </c>
      <c r="C13537" s="6">
        <v>0.70404370404370398</v>
      </c>
    </row>
    <row r="13538" spans="1:3" s="7" customFormat="1" x14ac:dyDescent="0.2">
      <c r="A13538" s="6" t="str">
        <f>"RRAS"</f>
        <v>RRAS</v>
      </c>
      <c r="B13538" s="6">
        <v>0.57042957042956999</v>
      </c>
      <c r="C13538" s="6">
        <v>0.70404370404370398</v>
      </c>
    </row>
    <row r="13539" spans="1:3" s="7" customFormat="1" x14ac:dyDescent="0.2">
      <c r="A13539" s="6" t="str">
        <f>"BHLHA15"</f>
        <v>BHLHA15</v>
      </c>
      <c r="B13539" s="6">
        <v>0.57042957042956999</v>
      </c>
      <c r="C13539" s="6">
        <v>0.70404370404370398</v>
      </c>
    </row>
    <row r="13540" spans="1:3" s="7" customFormat="1" x14ac:dyDescent="0.2">
      <c r="A13540" s="6" t="str">
        <f>"AC103810.1"</f>
        <v>AC103810.1</v>
      </c>
      <c r="B13540" s="6">
        <v>0.57042957042956999</v>
      </c>
      <c r="C13540" s="6">
        <v>0.70404370404370398</v>
      </c>
    </row>
    <row r="13541" spans="1:3" s="7" customFormat="1" x14ac:dyDescent="0.2">
      <c r="A13541" s="6" t="str">
        <f>"PTRH1"</f>
        <v>PTRH1</v>
      </c>
      <c r="B13541" s="6">
        <v>0.57042957042956999</v>
      </c>
      <c r="C13541" s="6">
        <v>0.70404370404370398</v>
      </c>
    </row>
    <row r="13542" spans="1:3" s="7" customFormat="1" x14ac:dyDescent="0.2">
      <c r="A13542" s="6" t="str">
        <f>"AC097532.2"</f>
        <v>AC097532.2</v>
      </c>
      <c r="B13542" s="6">
        <v>0.57042957042956999</v>
      </c>
      <c r="C13542" s="6">
        <v>0.70404370404370398</v>
      </c>
    </row>
    <row r="13543" spans="1:3" s="7" customFormat="1" x14ac:dyDescent="0.2">
      <c r="A13543" s="6" t="str">
        <f>"CD80"</f>
        <v>CD80</v>
      </c>
      <c r="B13543" s="6">
        <v>0.57042957042956999</v>
      </c>
      <c r="C13543" s="6">
        <v>0.70404370404370398</v>
      </c>
    </row>
    <row r="13544" spans="1:3" s="7" customFormat="1" x14ac:dyDescent="0.2">
      <c r="A13544" s="6" t="str">
        <f>"AP003108.4"</f>
        <v>AP003108.4</v>
      </c>
      <c r="B13544" s="6">
        <v>0.57071213640922702</v>
      </c>
      <c r="C13544" s="6">
        <v>0.70434044509664195</v>
      </c>
    </row>
    <row r="13545" spans="1:3" s="7" customFormat="1" x14ac:dyDescent="0.2">
      <c r="A13545" s="6" t="str">
        <f>"AFTPH"</f>
        <v>AFTPH</v>
      </c>
      <c r="B13545" s="6">
        <v>0.57099999999999995</v>
      </c>
      <c r="C13545" s="6">
        <v>0.70464367985823895</v>
      </c>
    </row>
    <row r="13546" spans="1:3" s="7" customFormat="1" x14ac:dyDescent="0.2">
      <c r="A13546" s="6" t="str">
        <f>"POLR2J2"</f>
        <v>POLR2J2</v>
      </c>
      <c r="B13546" s="6">
        <v>0.57142857142857095</v>
      </c>
      <c r="C13546" s="6">
        <v>0.70470428265750296</v>
      </c>
    </row>
    <row r="13547" spans="1:3" s="7" customFormat="1" x14ac:dyDescent="0.2">
      <c r="A13547" s="6" t="str">
        <f>"VSIG1"</f>
        <v>VSIG1</v>
      </c>
      <c r="B13547" s="6">
        <v>0.57142857142857095</v>
      </c>
      <c r="C13547" s="6">
        <v>0.70470428265750296</v>
      </c>
    </row>
    <row r="13548" spans="1:3" s="7" customFormat="1" x14ac:dyDescent="0.2">
      <c r="A13548" s="6" t="str">
        <f>"MRPL15"</f>
        <v>MRPL15</v>
      </c>
      <c r="B13548" s="6">
        <v>0.57142857142857095</v>
      </c>
      <c r="C13548" s="6">
        <v>0.70470428265750296</v>
      </c>
    </row>
    <row r="13549" spans="1:3" s="7" customFormat="1" x14ac:dyDescent="0.2">
      <c r="A13549" s="6" t="str">
        <f>"AHCYL2"</f>
        <v>AHCYL2</v>
      </c>
      <c r="B13549" s="6">
        <v>0.57142857142857095</v>
      </c>
      <c r="C13549" s="6">
        <v>0.70470428265750296</v>
      </c>
    </row>
    <row r="13550" spans="1:3" s="7" customFormat="1" x14ac:dyDescent="0.2">
      <c r="A13550" s="6" t="str">
        <f>"MASP1"</f>
        <v>MASP1</v>
      </c>
      <c r="B13550" s="6">
        <v>0.57142857142857095</v>
      </c>
      <c r="C13550" s="6">
        <v>0.70470428265750296</v>
      </c>
    </row>
    <row r="13551" spans="1:3" s="7" customFormat="1" x14ac:dyDescent="0.2">
      <c r="A13551" s="6" t="str">
        <f>"TTC26"</f>
        <v>TTC26</v>
      </c>
      <c r="B13551" s="6">
        <v>0.57142857142857095</v>
      </c>
      <c r="C13551" s="6">
        <v>0.70470428265750296</v>
      </c>
    </row>
    <row r="13552" spans="1:3" s="7" customFormat="1" x14ac:dyDescent="0.2">
      <c r="A13552" s="6" t="str">
        <f>"DAPL1"</f>
        <v>DAPL1</v>
      </c>
      <c r="B13552" s="6">
        <v>0.57142857142857095</v>
      </c>
      <c r="C13552" s="6">
        <v>0.70470428265750296</v>
      </c>
    </row>
    <row r="13553" spans="1:3" s="7" customFormat="1" x14ac:dyDescent="0.2">
      <c r="A13553" s="6" t="str">
        <f>"CSNK1E"</f>
        <v>CSNK1E</v>
      </c>
      <c r="B13553" s="6">
        <v>0.57142857142857095</v>
      </c>
      <c r="C13553" s="6">
        <v>0.70470428265750296</v>
      </c>
    </row>
    <row r="13554" spans="1:3" s="7" customFormat="1" x14ac:dyDescent="0.2">
      <c r="A13554" s="6" t="str">
        <f>"TIMM44"</f>
        <v>TIMM44</v>
      </c>
      <c r="B13554" s="6">
        <v>0.57142857142857095</v>
      </c>
      <c r="C13554" s="6">
        <v>0.70470428265750296</v>
      </c>
    </row>
    <row r="13555" spans="1:3" s="7" customFormat="1" x14ac:dyDescent="0.2">
      <c r="A13555" s="6" t="str">
        <f>"GOLGA5"</f>
        <v>GOLGA5</v>
      </c>
      <c r="B13555" s="6">
        <v>0.57199999999999995</v>
      </c>
      <c r="C13555" s="6">
        <v>0.70533579655759504</v>
      </c>
    </row>
    <row r="13556" spans="1:3" s="7" customFormat="1" x14ac:dyDescent="0.2">
      <c r="A13556" s="6" t="str">
        <f>"AC090948.1"</f>
        <v>AC090948.1</v>
      </c>
      <c r="B13556" s="6">
        <v>0.57202505219206601</v>
      </c>
      <c r="C13556" s="6">
        <v>0.70533579655759504</v>
      </c>
    </row>
    <row r="13557" spans="1:3" s="7" customFormat="1" x14ac:dyDescent="0.2">
      <c r="A13557" s="6" t="str">
        <f>"ZNF74"</f>
        <v>ZNF74</v>
      </c>
      <c r="B13557" s="6">
        <v>0.57242757242757203</v>
      </c>
      <c r="C13557" s="6">
        <v>0.70551983228039505</v>
      </c>
    </row>
    <row r="13558" spans="1:3" s="7" customFormat="1" x14ac:dyDescent="0.2">
      <c r="A13558" s="6" t="str">
        <f>"ANKLE1"</f>
        <v>ANKLE1</v>
      </c>
      <c r="B13558" s="6">
        <v>0.57242757242757203</v>
      </c>
      <c r="C13558" s="6">
        <v>0.70551983228039505</v>
      </c>
    </row>
    <row r="13559" spans="1:3" s="7" customFormat="1" x14ac:dyDescent="0.2">
      <c r="A13559" s="6" t="str">
        <f>"TRABD2A"</f>
        <v>TRABD2A</v>
      </c>
      <c r="B13559" s="6">
        <v>0.57242757242757203</v>
      </c>
      <c r="C13559" s="6">
        <v>0.70551983228039505</v>
      </c>
    </row>
    <row r="13560" spans="1:3" s="7" customFormat="1" x14ac:dyDescent="0.2">
      <c r="A13560" s="6" t="str">
        <f>"AC144548.1"</f>
        <v>AC144548.1</v>
      </c>
      <c r="B13560" s="6">
        <v>0.57242757242757203</v>
      </c>
      <c r="C13560" s="6">
        <v>0.70551983228039505</v>
      </c>
    </row>
    <row r="13561" spans="1:3" s="7" customFormat="1" x14ac:dyDescent="0.2">
      <c r="A13561" s="6" t="str">
        <f>"TRIM41"</f>
        <v>TRIM41</v>
      </c>
      <c r="B13561" s="6">
        <v>0.57242757242757203</v>
      </c>
      <c r="C13561" s="6">
        <v>0.70551983228039505</v>
      </c>
    </row>
    <row r="13562" spans="1:3" s="7" customFormat="1" x14ac:dyDescent="0.2">
      <c r="A13562" s="6" t="str">
        <f>"NEMF"</f>
        <v>NEMF</v>
      </c>
      <c r="B13562" s="6">
        <v>0.57242757242757203</v>
      </c>
      <c r="C13562" s="6">
        <v>0.70551983228039505</v>
      </c>
    </row>
    <row r="13563" spans="1:3" s="7" customFormat="1" x14ac:dyDescent="0.2">
      <c r="A13563" s="6" t="str">
        <f>"SPP2"</f>
        <v>SPP2</v>
      </c>
      <c r="B13563" s="6">
        <v>0.57257257257257199</v>
      </c>
      <c r="C13563" s="6">
        <v>0.70564651069001405</v>
      </c>
    </row>
    <row r="13564" spans="1:3" s="7" customFormat="1" x14ac:dyDescent="0.2">
      <c r="A13564" s="6" t="str">
        <f>"ZNF385C"</f>
        <v>ZNF385C</v>
      </c>
      <c r="B13564" s="6">
        <v>0.57299999999999995</v>
      </c>
      <c r="C13564" s="6">
        <v>0.70612121212121204</v>
      </c>
    </row>
    <row r="13565" spans="1:3" s="7" customFormat="1" x14ac:dyDescent="0.2">
      <c r="A13565" s="6" t="str">
        <f>"CYP4Z1"</f>
        <v>CYP4Z1</v>
      </c>
      <c r="B13565" s="6">
        <v>0.57342657342657299</v>
      </c>
      <c r="C13565" s="6">
        <v>0.70617828973266605</v>
      </c>
    </row>
    <row r="13566" spans="1:3" s="7" customFormat="1" x14ac:dyDescent="0.2">
      <c r="A13566" s="6" t="str">
        <f>"ABCC9"</f>
        <v>ABCC9</v>
      </c>
      <c r="B13566" s="6">
        <v>0.57342657342657299</v>
      </c>
      <c r="C13566" s="6">
        <v>0.70617828973266605</v>
      </c>
    </row>
    <row r="13567" spans="1:3" s="7" customFormat="1" x14ac:dyDescent="0.2">
      <c r="A13567" s="6" t="str">
        <f>"MMP16"</f>
        <v>MMP16</v>
      </c>
      <c r="B13567" s="6">
        <v>0.57342657342657299</v>
      </c>
      <c r="C13567" s="6">
        <v>0.70617828973266605</v>
      </c>
    </row>
    <row r="13568" spans="1:3" s="7" customFormat="1" x14ac:dyDescent="0.2">
      <c r="A13568" s="6" t="str">
        <f>"KRTAP5-11"</f>
        <v>KRTAP5-11</v>
      </c>
      <c r="B13568" s="6">
        <v>0.57342657342657299</v>
      </c>
      <c r="C13568" s="6">
        <v>0.70617828973266605</v>
      </c>
    </row>
    <row r="13569" spans="1:3" s="7" customFormat="1" x14ac:dyDescent="0.2">
      <c r="A13569" s="6" t="str">
        <f>"SLC36A3"</f>
        <v>SLC36A3</v>
      </c>
      <c r="B13569" s="6">
        <v>0.57321225879682103</v>
      </c>
      <c r="C13569" s="6">
        <v>0.70617828973266605</v>
      </c>
    </row>
    <row r="13570" spans="1:3" s="7" customFormat="1" x14ac:dyDescent="0.2">
      <c r="A13570" s="6" t="str">
        <f>"OR2A1-AS1"</f>
        <v>OR2A1-AS1</v>
      </c>
      <c r="B13570" s="6">
        <v>0.57342657342657299</v>
      </c>
      <c r="C13570" s="6">
        <v>0.70617828973266605</v>
      </c>
    </row>
    <row r="13571" spans="1:3" s="7" customFormat="1" x14ac:dyDescent="0.2">
      <c r="A13571" s="6" t="str">
        <f>"SIM2"</f>
        <v>SIM2</v>
      </c>
      <c r="B13571" s="6">
        <v>0.57342657342657299</v>
      </c>
      <c r="C13571" s="6">
        <v>0.70617828973266605</v>
      </c>
    </row>
    <row r="13572" spans="1:3" s="7" customFormat="1" x14ac:dyDescent="0.2">
      <c r="A13572" s="6" t="str">
        <f>"ID3"</f>
        <v>ID3</v>
      </c>
      <c r="B13572" s="6">
        <v>0.57342657342657299</v>
      </c>
      <c r="C13572" s="6">
        <v>0.70617828973266605</v>
      </c>
    </row>
    <row r="13573" spans="1:3" s="7" customFormat="1" x14ac:dyDescent="0.2">
      <c r="A13573" s="6" t="str">
        <f>"AC005831.1"</f>
        <v>AC005831.1</v>
      </c>
      <c r="B13573" s="6">
        <v>0.57342657342657299</v>
      </c>
      <c r="C13573" s="6">
        <v>0.70617828973266605</v>
      </c>
    </row>
    <row r="13574" spans="1:3" s="7" customFormat="1" x14ac:dyDescent="0.2">
      <c r="A13574" s="6" t="str">
        <f>"Z98257.1"</f>
        <v>Z98257.1</v>
      </c>
      <c r="B13574" s="6">
        <v>0.57399999999999995</v>
      </c>
      <c r="C13574" s="6">
        <v>0.70678031530867802</v>
      </c>
    </row>
    <row r="13575" spans="1:3" s="7" customFormat="1" x14ac:dyDescent="0.2">
      <c r="A13575" s="6" t="str">
        <f>"AP002364.1"</f>
        <v>AP002364.1</v>
      </c>
      <c r="B13575" s="6">
        <v>0.57399999999999995</v>
      </c>
      <c r="C13575" s="6">
        <v>0.70678031530867802</v>
      </c>
    </row>
    <row r="13576" spans="1:3" s="7" customFormat="1" x14ac:dyDescent="0.2">
      <c r="A13576" s="6" t="str">
        <f>"SSR4P1"</f>
        <v>SSR4P1</v>
      </c>
      <c r="B13576" s="6">
        <v>0.57442557442557396</v>
      </c>
      <c r="C13576" s="6">
        <v>0.70709596781183104</v>
      </c>
    </row>
    <row r="13577" spans="1:3" s="7" customFormat="1" x14ac:dyDescent="0.2">
      <c r="A13577" s="6" t="str">
        <f>"TIFAB"</f>
        <v>TIFAB</v>
      </c>
      <c r="B13577" s="6">
        <v>0.57442557442557396</v>
      </c>
      <c r="C13577" s="6">
        <v>0.70709596781183104</v>
      </c>
    </row>
    <row r="13578" spans="1:3" s="7" customFormat="1" x14ac:dyDescent="0.2">
      <c r="A13578" s="6" t="str">
        <f>"RICTOR"</f>
        <v>RICTOR</v>
      </c>
      <c r="B13578" s="6">
        <v>0.57442557442557396</v>
      </c>
      <c r="C13578" s="6">
        <v>0.70709596781183104</v>
      </c>
    </row>
    <row r="13579" spans="1:3" s="7" customFormat="1" x14ac:dyDescent="0.2">
      <c r="A13579" s="6" t="str">
        <f>"TMEM265"</f>
        <v>TMEM265</v>
      </c>
      <c r="B13579" s="6">
        <v>0.57442557442557396</v>
      </c>
      <c r="C13579" s="6">
        <v>0.70709596781183104</v>
      </c>
    </row>
    <row r="13580" spans="1:3" s="7" customFormat="1" x14ac:dyDescent="0.2">
      <c r="A13580" s="6" t="str">
        <f>"LINC01821"</f>
        <v>LINC01821</v>
      </c>
      <c r="B13580" s="6">
        <v>0.57499999999999996</v>
      </c>
      <c r="C13580" s="6">
        <v>0.70769882179675903</v>
      </c>
    </row>
    <row r="13581" spans="1:3" s="7" customFormat="1" x14ac:dyDescent="0.2">
      <c r="A13581" s="6" t="str">
        <f>"GSTM4"</f>
        <v>GSTM4</v>
      </c>
      <c r="B13581" s="6">
        <v>0.57499999999999996</v>
      </c>
      <c r="C13581" s="6">
        <v>0.70769882179675903</v>
      </c>
    </row>
    <row r="13582" spans="1:3" s="7" customFormat="1" x14ac:dyDescent="0.2">
      <c r="A13582" s="6" t="str">
        <f>"TCL1A"</f>
        <v>TCL1A</v>
      </c>
      <c r="B13582" s="6">
        <v>0.57542457542457504</v>
      </c>
      <c r="C13582" s="6">
        <v>0.70770024677309395</v>
      </c>
    </row>
    <row r="13583" spans="1:3" s="7" customFormat="1" x14ac:dyDescent="0.2">
      <c r="A13583" s="6" t="str">
        <f>"AL096816.1"</f>
        <v>AL096816.1</v>
      </c>
      <c r="B13583" s="6">
        <v>0.57542457542457504</v>
      </c>
      <c r="C13583" s="6">
        <v>0.70770024677309395</v>
      </c>
    </row>
    <row r="13584" spans="1:3" s="7" customFormat="1" x14ac:dyDescent="0.2">
      <c r="A13584" s="6" t="str">
        <f>"AC005722.3"</f>
        <v>AC005722.3</v>
      </c>
      <c r="B13584" s="6">
        <v>0.57542457542457504</v>
      </c>
      <c r="C13584" s="6">
        <v>0.70770024677309395</v>
      </c>
    </row>
    <row r="13585" spans="1:3" s="7" customFormat="1" x14ac:dyDescent="0.2">
      <c r="A13585" s="6" t="str">
        <f>"HSCB"</f>
        <v>HSCB</v>
      </c>
      <c r="B13585" s="6">
        <v>0.57542457542457504</v>
      </c>
      <c r="C13585" s="6">
        <v>0.70770024677309395</v>
      </c>
    </row>
    <row r="13586" spans="1:3" s="7" customFormat="1" x14ac:dyDescent="0.2">
      <c r="A13586" s="6" t="str">
        <f>"CALU"</f>
        <v>CALU</v>
      </c>
      <c r="B13586" s="6">
        <v>0.57542457542457504</v>
      </c>
      <c r="C13586" s="6">
        <v>0.70770024677309395</v>
      </c>
    </row>
    <row r="13587" spans="1:3" s="7" customFormat="1" x14ac:dyDescent="0.2">
      <c r="A13587" s="6" t="str">
        <f>"LRRC24"</f>
        <v>LRRC24</v>
      </c>
      <c r="B13587" s="6">
        <v>0.57530120481927705</v>
      </c>
      <c r="C13587" s="6">
        <v>0.70770024677309395</v>
      </c>
    </row>
    <row r="13588" spans="1:3" s="7" customFormat="1" x14ac:dyDescent="0.2">
      <c r="A13588" s="6" t="str">
        <f>"AC103855.2"</f>
        <v>AC103855.2</v>
      </c>
      <c r="B13588" s="6">
        <v>0.57542457542457504</v>
      </c>
      <c r="C13588" s="6">
        <v>0.70770024677309395</v>
      </c>
    </row>
    <row r="13589" spans="1:3" s="7" customFormat="1" x14ac:dyDescent="0.2">
      <c r="A13589" s="6" t="str">
        <f>"DCAF16"</f>
        <v>DCAF16</v>
      </c>
      <c r="B13589" s="6">
        <v>0.57542457542457504</v>
      </c>
      <c r="C13589" s="6">
        <v>0.70770024677309395</v>
      </c>
    </row>
    <row r="13590" spans="1:3" s="7" customFormat="1" x14ac:dyDescent="0.2">
      <c r="A13590" s="6" t="str">
        <f>"CGN"</f>
        <v>CGN</v>
      </c>
      <c r="B13590" s="6">
        <v>0.57542457542457504</v>
      </c>
      <c r="C13590" s="6">
        <v>0.70770024677309395</v>
      </c>
    </row>
    <row r="13591" spans="1:3" s="7" customFormat="1" x14ac:dyDescent="0.2">
      <c r="A13591" s="6" t="str">
        <f>"ABI1"</f>
        <v>ABI1</v>
      </c>
      <c r="B13591" s="6">
        <v>0.57542457542457504</v>
      </c>
      <c r="C13591" s="6">
        <v>0.70770024677309395</v>
      </c>
    </row>
    <row r="13592" spans="1:3" s="7" customFormat="1" x14ac:dyDescent="0.2">
      <c r="A13592" s="6" t="str">
        <f>"AC113189.2"</f>
        <v>AC113189.2</v>
      </c>
      <c r="B13592" s="6">
        <v>0.57557557557557504</v>
      </c>
      <c r="C13592" s="6">
        <v>0.70783387316387003</v>
      </c>
    </row>
    <row r="13593" spans="1:3" s="7" customFormat="1" x14ac:dyDescent="0.2">
      <c r="A13593" s="6" t="str">
        <f>"AL365232.1"</f>
        <v>AL365232.1</v>
      </c>
      <c r="B13593" s="6">
        <v>0.57599999999999996</v>
      </c>
      <c r="C13593" s="6">
        <v>0.70830370806356602</v>
      </c>
    </row>
    <row r="13594" spans="1:3" s="7" customFormat="1" x14ac:dyDescent="0.2">
      <c r="A13594" s="6" t="str">
        <f>"OSBPL8"</f>
        <v>OSBPL8</v>
      </c>
      <c r="B13594" s="6">
        <v>0.576423576423576</v>
      </c>
      <c r="C13594" s="6">
        <v>0.70840762178997396</v>
      </c>
    </row>
    <row r="13595" spans="1:3" s="7" customFormat="1" x14ac:dyDescent="0.2">
      <c r="A13595" s="6" t="str">
        <f>"ANKRD13C"</f>
        <v>ANKRD13C</v>
      </c>
      <c r="B13595" s="6">
        <v>0.576423576423576</v>
      </c>
      <c r="C13595" s="6">
        <v>0.70840762178997396</v>
      </c>
    </row>
    <row r="13596" spans="1:3" s="7" customFormat="1" x14ac:dyDescent="0.2">
      <c r="A13596" s="6" t="str">
        <f>"AC027796.4"</f>
        <v>AC027796.4</v>
      </c>
      <c r="B13596" s="6">
        <v>0.576423576423576</v>
      </c>
      <c r="C13596" s="6">
        <v>0.70840762178997396</v>
      </c>
    </row>
    <row r="13597" spans="1:3" s="7" customFormat="1" x14ac:dyDescent="0.2">
      <c r="A13597" s="6" t="str">
        <f>"ABLIM1"</f>
        <v>ABLIM1</v>
      </c>
      <c r="B13597" s="6">
        <v>0.576423576423576</v>
      </c>
      <c r="C13597" s="6">
        <v>0.70840762178997396</v>
      </c>
    </row>
    <row r="13598" spans="1:3" s="7" customFormat="1" x14ac:dyDescent="0.2">
      <c r="A13598" s="6" t="str">
        <f>"RSC1A1"</f>
        <v>RSC1A1</v>
      </c>
      <c r="B13598" s="6">
        <v>0.576423576423576</v>
      </c>
      <c r="C13598" s="6">
        <v>0.70840762178997396</v>
      </c>
    </row>
    <row r="13599" spans="1:3" s="7" customFormat="1" x14ac:dyDescent="0.2">
      <c r="A13599" s="6" t="str">
        <f>"GSTA8P"</f>
        <v>GSTA8P</v>
      </c>
      <c r="B13599" s="6">
        <v>0.576423576423576</v>
      </c>
      <c r="C13599" s="6">
        <v>0.70840762178997396</v>
      </c>
    </row>
    <row r="13600" spans="1:3" s="7" customFormat="1" x14ac:dyDescent="0.2">
      <c r="A13600" s="6" t="str">
        <f>"KIAA1671"</f>
        <v>KIAA1671</v>
      </c>
      <c r="B13600" s="6">
        <v>0.576423576423576</v>
      </c>
      <c r="C13600" s="6">
        <v>0.70840762178997396</v>
      </c>
    </row>
    <row r="13601" spans="1:3" s="7" customFormat="1" x14ac:dyDescent="0.2">
      <c r="A13601" s="6" t="str">
        <f>"TMEM52B"</f>
        <v>TMEM52B</v>
      </c>
      <c r="B13601" s="6">
        <v>0.576423576423576</v>
      </c>
      <c r="C13601" s="6">
        <v>0.70840762178997396</v>
      </c>
    </row>
    <row r="13602" spans="1:3" s="7" customFormat="1" x14ac:dyDescent="0.2">
      <c r="A13602" s="6" t="str">
        <f>"SKP1"</f>
        <v>SKP1</v>
      </c>
      <c r="B13602" s="6">
        <v>0.57742257742257697</v>
      </c>
      <c r="C13602" s="6">
        <v>0.70911395731380999</v>
      </c>
    </row>
    <row r="13603" spans="1:3" s="7" customFormat="1" x14ac:dyDescent="0.2">
      <c r="A13603" s="6" t="str">
        <f>"CISH"</f>
        <v>CISH</v>
      </c>
      <c r="B13603" s="6">
        <v>0.57742257742257697</v>
      </c>
      <c r="C13603" s="6">
        <v>0.70911395731380999</v>
      </c>
    </row>
    <row r="13604" spans="1:3" s="7" customFormat="1" x14ac:dyDescent="0.2">
      <c r="A13604" s="6" t="str">
        <f>"NME2"</f>
        <v>NME2</v>
      </c>
      <c r="B13604" s="6">
        <v>0.57742257742257697</v>
      </c>
      <c r="C13604" s="6">
        <v>0.70911395731380999</v>
      </c>
    </row>
    <row r="13605" spans="1:3" s="7" customFormat="1" x14ac:dyDescent="0.2">
      <c r="A13605" s="6" t="str">
        <f>"CPLANE2"</f>
        <v>CPLANE2</v>
      </c>
      <c r="B13605" s="6">
        <v>0.57742257742257697</v>
      </c>
      <c r="C13605" s="6">
        <v>0.70911395731380999</v>
      </c>
    </row>
    <row r="13606" spans="1:3" s="7" customFormat="1" x14ac:dyDescent="0.2">
      <c r="A13606" s="6" t="str">
        <f>"CBS"</f>
        <v>CBS</v>
      </c>
      <c r="B13606" s="6">
        <v>0.57742257742257697</v>
      </c>
      <c r="C13606" s="6">
        <v>0.70911395731380999</v>
      </c>
    </row>
    <row r="13607" spans="1:3" s="7" customFormat="1" x14ac:dyDescent="0.2">
      <c r="A13607" s="6" t="str">
        <f>"ZNF212"</f>
        <v>ZNF212</v>
      </c>
      <c r="B13607" s="6">
        <v>0.57742257742257697</v>
      </c>
      <c r="C13607" s="6">
        <v>0.70911395731380999</v>
      </c>
    </row>
    <row r="13608" spans="1:3" s="7" customFormat="1" x14ac:dyDescent="0.2">
      <c r="A13608" s="6" t="str">
        <f>"AC008581.2"</f>
        <v>AC008581.2</v>
      </c>
      <c r="B13608" s="6">
        <v>0.57742257742257697</v>
      </c>
      <c r="C13608" s="6">
        <v>0.70911395731380999</v>
      </c>
    </row>
    <row r="13609" spans="1:3" s="7" customFormat="1" x14ac:dyDescent="0.2">
      <c r="A13609" s="6" t="str">
        <f>"SYNPR"</f>
        <v>SYNPR</v>
      </c>
      <c r="B13609" s="6">
        <v>0.57742257742257697</v>
      </c>
      <c r="C13609" s="6">
        <v>0.70911395731380999</v>
      </c>
    </row>
    <row r="13610" spans="1:3" s="7" customFormat="1" x14ac:dyDescent="0.2">
      <c r="A13610" s="6" t="str">
        <f>"LRRFIP2"</f>
        <v>LRRFIP2</v>
      </c>
      <c r="B13610" s="6">
        <v>0.57742257742257697</v>
      </c>
      <c r="C13610" s="6">
        <v>0.70911395731380999</v>
      </c>
    </row>
    <row r="13611" spans="1:3" s="7" customFormat="1" x14ac:dyDescent="0.2">
      <c r="A13611" s="6" t="str">
        <f>"SPATS2L"</f>
        <v>SPATS2L</v>
      </c>
      <c r="B13611" s="6">
        <v>0.57742257742257697</v>
      </c>
      <c r="C13611" s="6">
        <v>0.70911395731380999</v>
      </c>
    </row>
    <row r="13612" spans="1:3" s="7" customFormat="1" x14ac:dyDescent="0.2">
      <c r="A13612" s="6" t="str">
        <f>"ACTR2"</f>
        <v>ACTR2</v>
      </c>
      <c r="B13612" s="6">
        <v>0.57799999999999996</v>
      </c>
      <c r="C13612" s="6">
        <v>0.70971503903525601</v>
      </c>
    </row>
    <row r="13613" spans="1:3" s="7" customFormat="1" x14ac:dyDescent="0.2">
      <c r="A13613" s="6" t="str">
        <f>"RLIM"</f>
        <v>RLIM</v>
      </c>
      <c r="B13613" s="6">
        <v>0.57842157842157804</v>
      </c>
      <c r="C13613" s="6">
        <v>0.70971503903525601</v>
      </c>
    </row>
    <row r="13614" spans="1:3" s="7" customFormat="1" x14ac:dyDescent="0.2">
      <c r="A13614" s="6" t="str">
        <f>"MRE11"</f>
        <v>MRE11</v>
      </c>
      <c r="B13614" s="6">
        <v>0.57842157842157804</v>
      </c>
      <c r="C13614" s="6">
        <v>0.70971503903525601</v>
      </c>
    </row>
    <row r="13615" spans="1:3" s="7" customFormat="1" x14ac:dyDescent="0.2">
      <c r="A13615" s="6" t="str">
        <f>"EID1"</f>
        <v>EID1</v>
      </c>
      <c r="B13615" s="6">
        <v>0.57842157842157804</v>
      </c>
      <c r="C13615" s="6">
        <v>0.70971503903525601</v>
      </c>
    </row>
    <row r="13616" spans="1:3" s="7" customFormat="1" x14ac:dyDescent="0.2">
      <c r="A13616" s="6" t="str">
        <f>"TNKS2-AS1"</f>
        <v>TNKS2-AS1</v>
      </c>
      <c r="B13616" s="6">
        <v>0.57842157842157804</v>
      </c>
      <c r="C13616" s="6">
        <v>0.70971503903525601</v>
      </c>
    </row>
    <row r="13617" spans="1:3" s="7" customFormat="1" x14ac:dyDescent="0.2">
      <c r="A13617" s="6" t="str">
        <f>"AC005699.1"</f>
        <v>AC005699.1</v>
      </c>
      <c r="B13617" s="6">
        <v>0.57842157842157804</v>
      </c>
      <c r="C13617" s="6">
        <v>0.70971503903525601</v>
      </c>
    </row>
    <row r="13618" spans="1:3" s="7" customFormat="1" x14ac:dyDescent="0.2">
      <c r="A13618" s="6" t="str">
        <f>"ESRRB"</f>
        <v>ESRRB</v>
      </c>
      <c r="B13618" s="6">
        <v>0.57842157842157804</v>
      </c>
      <c r="C13618" s="6">
        <v>0.70971503903525601</v>
      </c>
    </row>
    <row r="13619" spans="1:3" s="7" customFormat="1" x14ac:dyDescent="0.2">
      <c r="A13619" s="6" t="str">
        <f>"SLC38A6"</f>
        <v>SLC38A6</v>
      </c>
      <c r="B13619" s="6">
        <v>0.57842157842157804</v>
      </c>
      <c r="C13619" s="6">
        <v>0.70971503903525601</v>
      </c>
    </row>
    <row r="13620" spans="1:3" s="7" customFormat="1" x14ac:dyDescent="0.2">
      <c r="A13620" s="6" t="str">
        <f>"GDF5"</f>
        <v>GDF5</v>
      </c>
      <c r="B13620" s="6">
        <v>0.57842157842157804</v>
      </c>
      <c r="C13620" s="6">
        <v>0.70971503903525601</v>
      </c>
    </row>
    <row r="13621" spans="1:3" s="7" customFormat="1" x14ac:dyDescent="0.2">
      <c r="A13621" s="6" t="str">
        <f>"AC138393.3"</f>
        <v>AC138393.3</v>
      </c>
      <c r="B13621" s="6">
        <v>0.57842157842157804</v>
      </c>
      <c r="C13621" s="6">
        <v>0.70971503903525601</v>
      </c>
    </row>
    <row r="13622" spans="1:3" s="7" customFormat="1" x14ac:dyDescent="0.2">
      <c r="A13622" s="6" t="str">
        <f>"IDH1-AS1"</f>
        <v>IDH1-AS1</v>
      </c>
      <c r="B13622" s="6">
        <v>0.57815631262525002</v>
      </c>
      <c r="C13622" s="6">
        <v>0.70971503903525601</v>
      </c>
    </row>
    <row r="13623" spans="1:3" s="7" customFormat="1" x14ac:dyDescent="0.2">
      <c r="A13623" s="6" t="str">
        <f>"HLA-V"</f>
        <v>HLA-V</v>
      </c>
      <c r="B13623" s="6">
        <v>0.57842157842157804</v>
      </c>
      <c r="C13623" s="6">
        <v>0.70971503903525601</v>
      </c>
    </row>
    <row r="13624" spans="1:3" s="7" customFormat="1" x14ac:dyDescent="0.2">
      <c r="A13624" s="6" t="str">
        <f>"AC018755.3"</f>
        <v>AC018755.3</v>
      </c>
      <c r="B13624" s="6">
        <v>0.57899999999999996</v>
      </c>
      <c r="C13624" s="6">
        <v>0.71026833027522895</v>
      </c>
    </row>
    <row r="13625" spans="1:3" s="7" customFormat="1" x14ac:dyDescent="0.2">
      <c r="A13625" s="6" t="str">
        <f>"IGSF11"</f>
        <v>IGSF11</v>
      </c>
      <c r="B13625" s="6">
        <v>0.57899999999999996</v>
      </c>
      <c r="C13625" s="6">
        <v>0.71026833027522895</v>
      </c>
    </row>
    <row r="13626" spans="1:3" s="7" customFormat="1" x14ac:dyDescent="0.2">
      <c r="A13626" s="6" t="str">
        <f>"LINC02027"</f>
        <v>LINC02027</v>
      </c>
      <c r="B13626" s="6">
        <v>0.57894736842105199</v>
      </c>
      <c r="C13626" s="6">
        <v>0.71026833027522895</v>
      </c>
    </row>
    <row r="13627" spans="1:3" s="7" customFormat="1" x14ac:dyDescent="0.2">
      <c r="A13627" s="6" t="str">
        <f>"NSMCE1-DT"</f>
        <v>NSMCE1-DT</v>
      </c>
      <c r="B13627" s="6">
        <v>0.57942057942057901</v>
      </c>
      <c r="C13627" s="6">
        <v>0.71036716529271304</v>
      </c>
    </row>
    <row r="13628" spans="1:3" s="7" customFormat="1" x14ac:dyDescent="0.2">
      <c r="A13628" s="6" t="str">
        <f>"FSD2"</f>
        <v>FSD2</v>
      </c>
      <c r="B13628" s="6">
        <v>0.57942057942057901</v>
      </c>
      <c r="C13628" s="6">
        <v>0.71036716529271304</v>
      </c>
    </row>
    <row r="13629" spans="1:3" s="7" customFormat="1" x14ac:dyDescent="0.2">
      <c r="A13629" s="6" t="str">
        <f>"PEPD"</f>
        <v>PEPD</v>
      </c>
      <c r="B13629" s="6">
        <v>0.57942057942057901</v>
      </c>
      <c r="C13629" s="6">
        <v>0.71036716529271304</v>
      </c>
    </row>
    <row r="13630" spans="1:3" s="7" customFormat="1" x14ac:dyDescent="0.2">
      <c r="A13630" s="6" t="str">
        <f>"KIRREL3"</f>
        <v>KIRREL3</v>
      </c>
      <c r="B13630" s="6">
        <v>0.57942057942057901</v>
      </c>
      <c r="C13630" s="6">
        <v>0.71036716529271304</v>
      </c>
    </row>
    <row r="13631" spans="1:3" s="7" customFormat="1" x14ac:dyDescent="0.2">
      <c r="A13631" s="6" t="str">
        <f>"AC104135.1"</f>
        <v>AC104135.1</v>
      </c>
      <c r="B13631" s="6">
        <v>0.57942057942057901</v>
      </c>
      <c r="C13631" s="6">
        <v>0.71036716529271304</v>
      </c>
    </row>
    <row r="13632" spans="1:3" s="7" customFormat="1" x14ac:dyDescent="0.2">
      <c r="A13632" s="6" t="str">
        <f>"AGAP9"</f>
        <v>AGAP9</v>
      </c>
      <c r="B13632" s="6">
        <v>0.57942057942057901</v>
      </c>
      <c r="C13632" s="6">
        <v>0.71036716529271304</v>
      </c>
    </row>
    <row r="13633" spans="1:3" s="7" customFormat="1" x14ac:dyDescent="0.2">
      <c r="A13633" s="6" t="str">
        <f>"RBM15B"</f>
        <v>RBM15B</v>
      </c>
      <c r="B13633" s="6">
        <v>0.57942057942057901</v>
      </c>
      <c r="C13633" s="6">
        <v>0.71036716529271304</v>
      </c>
    </row>
    <row r="13634" spans="1:3" s="7" customFormat="1" x14ac:dyDescent="0.2">
      <c r="A13634" s="6" t="str">
        <f>"SMG1P5"</f>
        <v>SMG1P5</v>
      </c>
      <c r="B13634" s="6">
        <v>0.57942057942057901</v>
      </c>
      <c r="C13634" s="6">
        <v>0.71036716529271304</v>
      </c>
    </row>
    <row r="13635" spans="1:3" s="7" customFormat="1" x14ac:dyDescent="0.2">
      <c r="A13635" s="6" t="str">
        <f>"AL161669.3"</f>
        <v>AL161669.3</v>
      </c>
      <c r="B13635" s="6">
        <v>0.57963709677419295</v>
      </c>
      <c r="C13635" s="6">
        <v>0.71058049255419298</v>
      </c>
    </row>
    <row r="13636" spans="1:3" s="7" customFormat="1" x14ac:dyDescent="0.2">
      <c r="A13636" s="6" t="str">
        <f>"AC139795.3"</f>
        <v>AC139795.3</v>
      </c>
      <c r="B13636" s="6">
        <v>0.57999999999999996</v>
      </c>
      <c r="C13636" s="6">
        <v>0.71097323065639895</v>
      </c>
    </row>
    <row r="13637" spans="1:3" s="7" customFormat="1" x14ac:dyDescent="0.2">
      <c r="A13637" s="6" t="str">
        <f>"AC011825.4"</f>
        <v>AC011825.4</v>
      </c>
      <c r="B13637" s="6">
        <v>0.58031088082901505</v>
      </c>
      <c r="C13637" s="6">
        <v>0.71101824004198599</v>
      </c>
    </row>
    <row r="13638" spans="1:3" s="7" customFormat="1" x14ac:dyDescent="0.2">
      <c r="A13638" s="6" t="str">
        <f>"PSEN1"</f>
        <v>PSEN1</v>
      </c>
      <c r="B13638" s="6">
        <v>0.58041958041957997</v>
      </c>
      <c r="C13638" s="6">
        <v>0.71101824004198599</v>
      </c>
    </row>
    <row r="13639" spans="1:3" s="7" customFormat="1" x14ac:dyDescent="0.2">
      <c r="A13639" s="6" t="str">
        <f>"NFRKB"</f>
        <v>NFRKB</v>
      </c>
      <c r="B13639" s="6">
        <v>0.58041958041957997</v>
      </c>
      <c r="C13639" s="6">
        <v>0.71101824004198599</v>
      </c>
    </row>
    <row r="13640" spans="1:3" s="7" customFormat="1" x14ac:dyDescent="0.2">
      <c r="A13640" s="6" t="str">
        <f>"GNL3"</f>
        <v>GNL3</v>
      </c>
      <c r="B13640" s="6">
        <v>0.58041958041957997</v>
      </c>
      <c r="C13640" s="6">
        <v>0.71101824004198599</v>
      </c>
    </row>
    <row r="13641" spans="1:3" s="7" customFormat="1" x14ac:dyDescent="0.2">
      <c r="A13641" s="6" t="str">
        <f>"ZNF12"</f>
        <v>ZNF12</v>
      </c>
      <c r="B13641" s="6">
        <v>0.58041958041957997</v>
      </c>
      <c r="C13641" s="6">
        <v>0.71101824004198599</v>
      </c>
    </row>
    <row r="13642" spans="1:3" s="7" customFormat="1" x14ac:dyDescent="0.2">
      <c r="A13642" s="6" t="str">
        <f>"OS9"</f>
        <v>OS9</v>
      </c>
      <c r="B13642" s="6">
        <v>0.58041958041957997</v>
      </c>
      <c r="C13642" s="6">
        <v>0.71101824004198599</v>
      </c>
    </row>
    <row r="13643" spans="1:3" s="7" customFormat="1" x14ac:dyDescent="0.2">
      <c r="A13643" s="6" t="str">
        <f>"ANKRD13B"</f>
        <v>ANKRD13B</v>
      </c>
      <c r="B13643" s="6">
        <v>0.58041958041957997</v>
      </c>
      <c r="C13643" s="6">
        <v>0.71101824004198599</v>
      </c>
    </row>
    <row r="13644" spans="1:3" s="7" customFormat="1" x14ac:dyDescent="0.2">
      <c r="A13644" s="6" t="str">
        <f>"STK17A"</f>
        <v>STK17A</v>
      </c>
      <c r="B13644" s="6">
        <v>0.58041958041957997</v>
      </c>
      <c r="C13644" s="6">
        <v>0.71101824004198599</v>
      </c>
    </row>
    <row r="13645" spans="1:3" s="7" customFormat="1" x14ac:dyDescent="0.2">
      <c r="A13645" s="6" t="str">
        <f>"NUP210"</f>
        <v>NUP210</v>
      </c>
      <c r="B13645" s="6">
        <v>0.58041958041957997</v>
      </c>
      <c r="C13645" s="6">
        <v>0.71101824004198599</v>
      </c>
    </row>
    <row r="13646" spans="1:3" s="7" customFormat="1" x14ac:dyDescent="0.2">
      <c r="A13646" s="6" t="str">
        <f>"AP001462.1"</f>
        <v>AP001462.1</v>
      </c>
      <c r="B13646" s="6">
        <v>0.58048289738430503</v>
      </c>
      <c r="C13646" s="6">
        <v>0.71104368976777399</v>
      </c>
    </row>
    <row r="13647" spans="1:3" s="7" customFormat="1" x14ac:dyDescent="0.2">
      <c r="A13647" s="6" t="str">
        <f>"AL136418.1"</f>
        <v>AL136418.1</v>
      </c>
      <c r="B13647" s="6">
        <v>0.58064516129032195</v>
      </c>
      <c r="C13647" s="6">
        <v>0.71119032872683896</v>
      </c>
    </row>
    <row r="13648" spans="1:3" s="7" customFormat="1" x14ac:dyDescent="0.2">
      <c r="A13648" s="6" t="str">
        <f>"SAP18"</f>
        <v>SAP18</v>
      </c>
      <c r="B13648" s="6">
        <v>0.58141858141858105</v>
      </c>
      <c r="C13648" s="6">
        <v>0.71172038741981603</v>
      </c>
    </row>
    <row r="13649" spans="1:3" s="7" customFormat="1" x14ac:dyDescent="0.2">
      <c r="A13649" s="6" t="str">
        <f>"AC017116.1"</f>
        <v>AC017116.1</v>
      </c>
      <c r="B13649" s="6">
        <v>0.58141858141858105</v>
      </c>
      <c r="C13649" s="6">
        <v>0.71172038741981603</v>
      </c>
    </row>
    <row r="13650" spans="1:3" s="7" customFormat="1" x14ac:dyDescent="0.2">
      <c r="A13650" s="6" t="str">
        <f>"AL355482.1"</f>
        <v>AL355482.1</v>
      </c>
      <c r="B13650" s="6">
        <v>0.58141858141858105</v>
      </c>
      <c r="C13650" s="6">
        <v>0.71172038741981603</v>
      </c>
    </row>
    <row r="13651" spans="1:3" s="7" customFormat="1" x14ac:dyDescent="0.2">
      <c r="A13651" s="6" t="str">
        <f>"TMEM35B"</f>
        <v>TMEM35B</v>
      </c>
      <c r="B13651" s="6">
        <v>0.58141858141858105</v>
      </c>
      <c r="C13651" s="6">
        <v>0.71172038741981603</v>
      </c>
    </row>
    <row r="13652" spans="1:3" s="7" customFormat="1" x14ac:dyDescent="0.2">
      <c r="A13652" s="6" t="str">
        <f>"RUNX1T1"</f>
        <v>RUNX1T1</v>
      </c>
      <c r="B13652" s="6">
        <v>0.58141858141858105</v>
      </c>
      <c r="C13652" s="6">
        <v>0.71172038741981603</v>
      </c>
    </row>
    <row r="13653" spans="1:3" s="7" customFormat="1" x14ac:dyDescent="0.2">
      <c r="A13653" s="6" t="str">
        <f>"PYROXD2"</f>
        <v>PYROXD2</v>
      </c>
      <c r="B13653" s="6">
        <v>0.58141858141858105</v>
      </c>
      <c r="C13653" s="6">
        <v>0.71172038741981603</v>
      </c>
    </row>
    <row r="13654" spans="1:3" s="7" customFormat="1" x14ac:dyDescent="0.2">
      <c r="A13654" s="6" t="str">
        <f>"VPS33B-DT"</f>
        <v>VPS33B-DT</v>
      </c>
      <c r="B13654" s="6">
        <v>0.58141858141858105</v>
      </c>
      <c r="C13654" s="6">
        <v>0.71172038741981603</v>
      </c>
    </row>
    <row r="13655" spans="1:3" s="7" customFormat="1" x14ac:dyDescent="0.2">
      <c r="A13655" s="6" t="str">
        <f>"TSHZ2"</f>
        <v>TSHZ2</v>
      </c>
      <c r="B13655" s="6">
        <v>0.58141858141858105</v>
      </c>
      <c r="C13655" s="6">
        <v>0.71172038741981603</v>
      </c>
    </row>
    <row r="13656" spans="1:3" s="7" customFormat="1" x14ac:dyDescent="0.2">
      <c r="A13656" s="6" t="str">
        <f>"SLC24A1"</f>
        <v>SLC24A1</v>
      </c>
      <c r="B13656" s="6">
        <v>0.58158158158158102</v>
      </c>
      <c r="C13656" s="6">
        <v>0.71186778136613305</v>
      </c>
    </row>
    <row r="13657" spans="1:3" s="7" customFormat="1" x14ac:dyDescent="0.2">
      <c r="A13657" s="6" t="str">
        <f>"DACT3"</f>
        <v>DACT3</v>
      </c>
      <c r="B13657" s="6">
        <v>0.58176943699731898</v>
      </c>
      <c r="C13657" s="6">
        <v>0.71204557483693498</v>
      </c>
    </row>
    <row r="13658" spans="1:3" s="7" customFormat="1" x14ac:dyDescent="0.2">
      <c r="A13658" s="6" t="str">
        <f>"Z99129.3"</f>
        <v>Z99129.3</v>
      </c>
      <c r="B13658" s="6">
        <v>0.58216432865731405</v>
      </c>
      <c r="C13658" s="6">
        <v>0.71247672176747101</v>
      </c>
    </row>
    <row r="13659" spans="1:3" s="7" customFormat="1" x14ac:dyDescent="0.2">
      <c r="A13659" s="6" t="str">
        <f>"SYT2"</f>
        <v>SYT2</v>
      </c>
      <c r="B13659" s="6">
        <v>0.58241758241758201</v>
      </c>
      <c r="C13659" s="6">
        <v>0.71268229537502503</v>
      </c>
    </row>
    <row r="13660" spans="1:3" s="7" customFormat="1" x14ac:dyDescent="0.2">
      <c r="A13660" s="6" t="str">
        <f>"TRIM33"</f>
        <v>TRIM33</v>
      </c>
      <c r="B13660" s="6">
        <v>0.58241758241758201</v>
      </c>
      <c r="C13660" s="6">
        <v>0.71268229537502503</v>
      </c>
    </row>
    <row r="13661" spans="1:3" s="7" customFormat="1" x14ac:dyDescent="0.2">
      <c r="A13661" s="6" t="str">
        <f>"LINC01322"</f>
        <v>LINC01322</v>
      </c>
      <c r="B13661" s="6">
        <v>0.58299999999999996</v>
      </c>
      <c r="C13661" s="6">
        <v>0.71334275256222501</v>
      </c>
    </row>
    <row r="13662" spans="1:3" s="7" customFormat="1" x14ac:dyDescent="0.2">
      <c r="A13662" s="6" t="str">
        <f>"ZNF697"</f>
        <v>ZNF697</v>
      </c>
      <c r="B13662" s="6">
        <v>0.58341658341658298</v>
      </c>
      <c r="C13662" s="6">
        <v>0.71359127517195498</v>
      </c>
    </row>
    <row r="13663" spans="1:3" s="7" customFormat="1" x14ac:dyDescent="0.2">
      <c r="A13663" s="6" t="str">
        <f>"RAPGEF6"</f>
        <v>RAPGEF6</v>
      </c>
      <c r="B13663" s="6">
        <v>0.58341658341658298</v>
      </c>
      <c r="C13663" s="6">
        <v>0.71359127517195498</v>
      </c>
    </row>
    <row r="13664" spans="1:3" s="7" customFormat="1" x14ac:dyDescent="0.2">
      <c r="A13664" s="6" t="str">
        <f>"CORO6"</f>
        <v>CORO6</v>
      </c>
      <c r="B13664" s="6">
        <v>0.58341658341658298</v>
      </c>
      <c r="C13664" s="6">
        <v>0.71359127517195498</v>
      </c>
    </row>
    <row r="13665" spans="1:3" s="7" customFormat="1" x14ac:dyDescent="0.2">
      <c r="A13665" s="6" t="str">
        <f>"TDG"</f>
        <v>TDG</v>
      </c>
      <c r="B13665" s="6">
        <v>0.58341658341658298</v>
      </c>
      <c r="C13665" s="6">
        <v>0.71359127517195498</v>
      </c>
    </row>
    <row r="13666" spans="1:3" s="7" customFormat="1" x14ac:dyDescent="0.2">
      <c r="A13666" s="6" t="str">
        <f>"AC002072.1"</f>
        <v>AC002072.1</v>
      </c>
      <c r="B13666" s="6">
        <v>0.58341658341658298</v>
      </c>
      <c r="C13666" s="6">
        <v>0.71359127517195498</v>
      </c>
    </row>
    <row r="13667" spans="1:3" s="7" customFormat="1" x14ac:dyDescent="0.2">
      <c r="A13667" s="6" t="str">
        <f>"AC145343.1"</f>
        <v>AC145343.1</v>
      </c>
      <c r="B13667" s="6">
        <v>0.58399999999999996</v>
      </c>
      <c r="C13667" s="6">
        <v>0.714252597687692</v>
      </c>
    </row>
    <row r="13668" spans="1:3" s="7" customFormat="1" x14ac:dyDescent="0.2">
      <c r="A13668" s="6" t="str">
        <f>"CEROX1"</f>
        <v>CEROX1</v>
      </c>
      <c r="B13668" s="6">
        <v>0.58441558441558406</v>
      </c>
      <c r="C13668" s="6">
        <v>0.714447197039356</v>
      </c>
    </row>
    <row r="13669" spans="1:3" s="7" customFormat="1" x14ac:dyDescent="0.2">
      <c r="A13669" s="6" t="str">
        <f>"GUCD1"</f>
        <v>GUCD1</v>
      </c>
      <c r="B13669" s="6">
        <v>0.58441558441558406</v>
      </c>
      <c r="C13669" s="6">
        <v>0.714447197039356</v>
      </c>
    </row>
    <row r="13670" spans="1:3" s="7" customFormat="1" x14ac:dyDescent="0.2">
      <c r="A13670" s="6" t="str">
        <f>"LINC00111"</f>
        <v>LINC00111</v>
      </c>
      <c r="B13670" s="6">
        <v>0.58441558441558406</v>
      </c>
      <c r="C13670" s="6">
        <v>0.714447197039356</v>
      </c>
    </row>
    <row r="13671" spans="1:3" s="7" customFormat="1" x14ac:dyDescent="0.2">
      <c r="A13671" s="6" t="str">
        <f>"SULT1A3"</f>
        <v>SULT1A3</v>
      </c>
      <c r="B13671" s="6">
        <v>0.58441558441558406</v>
      </c>
      <c r="C13671" s="6">
        <v>0.714447197039356</v>
      </c>
    </row>
    <row r="13672" spans="1:3" s="7" customFormat="1" x14ac:dyDescent="0.2">
      <c r="A13672" s="6" t="str">
        <f>"UHRF1BP1L"</f>
        <v>UHRF1BP1L</v>
      </c>
      <c r="B13672" s="6">
        <v>0.58441558441558406</v>
      </c>
      <c r="C13672" s="6">
        <v>0.714447197039356</v>
      </c>
    </row>
    <row r="13673" spans="1:3" s="7" customFormat="1" x14ac:dyDescent="0.2">
      <c r="A13673" s="6" t="str">
        <f>"SLC2A5"</f>
        <v>SLC2A5</v>
      </c>
      <c r="B13673" s="6">
        <v>0.58441558441558406</v>
      </c>
      <c r="C13673" s="6">
        <v>0.714447197039356</v>
      </c>
    </row>
    <row r="13674" spans="1:3" s="7" customFormat="1" x14ac:dyDescent="0.2">
      <c r="A13674" s="6" t="str">
        <f>"AC110774.1"</f>
        <v>AC110774.1</v>
      </c>
      <c r="B13674" s="6">
        <v>0.58492569002123096</v>
      </c>
      <c r="C13674" s="6">
        <v>0.71501850237803399</v>
      </c>
    </row>
    <row r="13675" spans="1:3" s="7" customFormat="1" x14ac:dyDescent="0.2">
      <c r="A13675" s="6" t="str">
        <f>"RNU6-36P"</f>
        <v>RNU6-36P</v>
      </c>
      <c r="B13675" s="6">
        <v>0.58499999999999996</v>
      </c>
      <c r="C13675" s="6">
        <v>0.71505484460694702</v>
      </c>
    </row>
    <row r="13676" spans="1:3" s="7" customFormat="1" x14ac:dyDescent="0.2">
      <c r="A13676" s="6" t="str">
        <f>"EPS15-AS1"</f>
        <v>EPS15-AS1</v>
      </c>
      <c r="B13676" s="6">
        <v>0.58504098360655699</v>
      </c>
      <c r="C13676" s="6">
        <v>0.71505484460694702</v>
      </c>
    </row>
    <row r="13677" spans="1:3" s="7" customFormat="1" x14ac:dyDescent="0.2">
      <c r="A13677" s="6" t="str">
        <f>"AL136419.3"</f>
        <v>AL136419.3</v>
      </c>
      <c r="B13677" s="6">
        <v>0.58541458541458502</v>
      </c>
      <c r="C13677" s="6">
        <v>0.71524995472363895</v>
      </c>
    </row>
    <row r="13678" spans="1:3" s="7" customFormat="1" x14ac:dyDescent="0.2">
      <c r="A13678" s="6" t="str">
        <f>"PDGFRL"</f>
        <v>PDGFRL</v>
      </c>
      <c r="B13678" s="6">
        <v>0.58541458541458502</v>
      </c>
      <c r="C13678" s="6">
        <v>0.71524995472363895</v>
      </c>
    </row>
    <row r="13679" spans="1:3" s="7" customFormat="1" x14ac:dyDescent="0.2">
      <c r="A13679" s="6" t="str">
        <f>"ZNF366"</f>
        <v>ZNF366</v>
      </c>
      <c r="B13679" s="6">
        <v>0.58541458541458502</v>
      </c>
      <c r="C13679" s="6">
        <v>0.71524995472363895</v>
      </c>
    </row>
    <row r="13680" spans="1:3" s="7" customFormat="1" x14ac:dyDescent="0.2">
      <c r="A13680" s="6" t="str">
        <f>"FAM155B"</f>
        <v>FAM155B</v>
      </c>
      <c r="B13680" s="6">
        <v>0.58541458541458502</v>
      </c>
      <c r="C13680" s="6">
        <v>0.71524995472363895</v>
      </c>
    </row>
    <row r="13681" spans="1:3" s="7" customFormat="1" x14ac:dyDescent="0.2">
      <c r="A13681" s="6" t="str">
        <f>"PRSS50"</f>
        <v>PRSS50</v>
      </c>
      <c r="B13681" s="6">
        <v>0.58541458541458502</v>
      </c>
      <c r="C13681" s="6">
        <v>0.71524995472363895</v>
      </c>
    </row>
    <row r="13682" spans="1:3" s="7" customFormat="1" x14ac:dyDescent="0.2">
      <c r="A13682" s="6" t="str">
        <f>"AC096656.1"</f>
        <v>AC096656.1</v>
      </c>
      <c r="B13682" s="6">
        <v>0.58551941238195104</v>
      </c>
      <c r="C13682" s="6">
        <v>0.71532574070257504</v>
      </c>
    </row>
    <row r="13683" spans="1:3" s="7" customFormat="1" x14ac:dyDescent="0.2">
      <c r="A13683" s="6" t="str">
        <f>"AC099336.2"</f>
        <v>AC099336.2</v>
      </c>
      <c r="B13683" s="6">
        <v>0.58603238866396701</v>
      </c>
      <c r="C13683" s="6">
        <v>0.715900112858467</v>
      </c>
    </row>
    <row r="13684" spans="1:3" s="7" customFormat="1" x14ac:dyDescent="0.2">
      <c r="A13684" s="6" t="str">
        <f>"MOXD1"</f>
        <v>MOXD1</v>
      </c>
      <c r="B13684" s="6">
        <v>0.58641358641358599</v>
      </c>
      <c r="C13684" s="6">
        <v>0.71626108472059902</v>
      </c>
    </row>
    <row r="13685" spans="1:3" s="7" customFormat="1" x14ac:dyDescent="0.2">
      <c r="A13685" s="6" t="str">
        <f>"AC010327.6"</f>
        <v>AC010327.6</v>
      </c>
      <c r="B13685" s="6">
        <v>0.58641358641358599</v>
      </c>
      <c r="C13685" s="6">
        <v>0.71626108472059902</v>
      </c>
    </row>
    <row r="13686" spans="1:3" s="7" customFormat="1" x14ac:dyDescent="0.2">
      <c r="A13686" s="6" t="str">
        <f>"LINC00239"</f>
        <v>LINC00239</v>
      </c>
      <c r="B13686" s="6">
        <v>0.58676028084252696</v>
      </c>
      <c r="C13686" s="6">
        <v>0.71663217639766197</v>
      </c>
    </row>
    <row r="13687" spans="1:3" s="7" customFormat="1" x14ac:dyDescent="0.2">
      <c r="A13687" s="6" t="str">
        <f>"CUTA"</f>
        <v>CUTA</v>
      </c>
      <c r="B13687" s="6">
        <v>0.58741258741258695</v>
      </c>
      <c r="C13687" s="6">
        <v>0.71706207902526897</v>
      </c>
    </row>
    <row r="13688" spans="1:3" s="7" customFormat="1" x14ac:dyDescent="0.2">
      <c r="A13688" s="6" t="str">
        <f>"AP002812.5"</f>
        <v>AP002812.5</v>
      </c>
      <c r="B13688" s="6">
        <v>0.58741258741258695</v>
      </c>
      <c r="C13688" s="6">
        <v>0.71706207902526897</v>
      </c>
    </row>
    <row r="13689" spans="1:3" s="7" customFormat="1" x14ac:dyDescent="0.2">
      <c r="A13689" s="6" t="str">
        <f>"NRXN1"</f>
        <v>NRXN1</v>
      </c>
      <c r="B13689" s="6">
        <v>0.58741258741258695</v>
      </c>
      <c r="C13689" s="6">
        <v>0.71706207902526897</v>
      </c>
    </row>
    <row r="13690" spans="1:3" s="7" customFormat="1" x14ac:dyDescent="0.2">
      <c r="A13690" s="6" t="str">
        <f>"AC116351.2"</f>
        <v>AC116351.2</v>
      </c>
      <c r="B13690" s="6">
        <v>0.58741258741258695</v>
      </c>
      <c r="C13690" s="6">
        <v>0.71706207902526897</v>
      </c>
    </row>
    <row r="13691" spans="1:3" s="7" customFormat="1" x14ac:dyDescent="0.2">
      <c r="A13691" s="6" t="str">
        <f>"ZNF547"</f>
        <v>ZNF547</v>
      </c>
      <c r="B13691" s="6">
        <v>0.58741258741258695</v>
      </c>
      <c r="C13691" s="6">
        <v>0.71706207902526897</v>
      </c>
    </row>
    <row r="13692" spans="1:3" s="7" customFormat="1" x14ac:dyDescent="0.2">
      <c r="A13692" s="6" t="str">
        <f>"AL583835.2"</f>
        <v>AL583835.2</v>
      </c>
      <c r="B13692" s="6">
        <v>0.58741258741258695</v>
      </c>
      <c r="C13692" s="6">
        <v>0.71706207902526897</v>
      </c>
    </row>
    <row r="13693" spans="1:3" s="7" customFormat="1" x14ac:dyDescent="0.2">
      <c r="A13693" s="6" t="str">
        <f>"ZGLP1"</f>
        <v>ZGLP1</v>
      </c>
      <c r="B13693" s="6">
        <v>0.58741258741258695</v>
      </c>
      <c r="C13693" s="6">
        <v>0.71706207902526897</v>
      </c>
    </row>
    <row r="13694" spans="1:3" s="7" customFormat="1" x14ac:dyDescent="0.2">
      <c r="A13694" s="6" t="str">
        <f>"LINC02452"</f>
        <v>LINC02452</v>
      </c>
      <c r="B13694" s="6">
        <v>0.58793969849246197</v>
      </c>
      <c r="C13694" s="6">
        <v>0.717653116234792</v>
      </c>
    </row>
    <row r="13695" spans="1:3" s="7" customFormat="1" x14ac:dyDescent="0.2">
      <c r="A13695" s="6" t="str">
        <f>"CTAGE15"</f>
        <v>CTAGE15</v>
      </c>
      <c r="B13695" s="6">
        <v>0.58841158841158803</v>
      </c>
      <c r="C13695" s="6">
        <v>0.71780974299038602</v>
      </c>
    </row>
    <row r="13696" spans="1:3" s="7" customFormat="1" x14ac:dyDescent="0.2">
      <c r="A13696" s="6" t="str">
        <f>"AC104066.4"</f>
        <v>AC104066.4</v>
      </c>
      <c r="B13696" s="6">
        <v>0.58841158841158803</v>
      </c>
      <c r="C13696" s="6">
        <v>0.71780974299038602</v>
      </c>
    </row>
    <row r="13697" spans="1:3" s="7" customFormat="1" x14ac:dyDescent="0.2">
      <c r="A13697" s="6" t="str">
        <f>"CUX2"</f>
        <v>CUX2</v>
      </c>
      <c r="B13697" s="6">
        <v>0.58841158841158803</v>
      </c>
      <c r="C13697" s="6">
        <v>0.71780974299038602</v>
      </c>
    </row>
    <row r="13698" spans="1:3" s="7" customFormat="1" x14ac:dyDescent="0.2">
      <c r="A13698" s="6" t="str">
        <f>"LINC01625"</f>
        <v>LINC01625</v>
      </c>
      <c r="B13698" s="6">
        <v>0.58841158841158803</v>
      </c>
      <c r="C13698" s="6">
        <v>0.71780974299038602</v>
      </c>
    </row>
    <row r="13699" spans="1:3" s="7" customFormat="1" x14ac:dyDescent="0.2">
      <c r="A13699" s="6" t="str">
        <f>"AL034374.1"</f>
        <v>AL034374.1</v>
      </c>
      <c r="B13699" s="6">
        <v>0.58841158841158803</v>
      </c>
      <c r="C13699" s="6">
        <v>0.71780974299038602</v>
      </c>
    </row>
    <row r="13700" spans="1:3" s="7" customFormat="1" x14ac:dyDescent="0.2">
      <c r="A13700" s="6" t="str">
        <f>"HRK"</f>
        <v>HRK</v>
      </c>
      <c r="B13700" s="6">
        <v>0.58841158841158803</v>
      </c>
      <c r="C13700" s="6">
        <v>0.71780974299038602</v>
      </c>
    </row>
    <row r="13701" spans="1:3" s="7" customFormat="1" x14ac:dyDescent="0.2">
      <c r="A13701" s="6" t="str">
        <f>"TMEM30A-DT"</f>
        <v>TMEM30A-DT</v>
      </c>
      <c r="B13701" s="6">
        <v>0.58841158841158803</v>
      </c>
      <c r="C13701" s="6">
        <v>0.71780974299038602</v>
      </c>
    </row>
    <row r="13702" spans="1:3" s="7" customFormat="1" x14ac:dyDescent="0.2">
      <c r="A13702" s="6" t="str">
        <f>"SUZ12"</f>
        <v>SUZ12</v>
      </c>
      <c r="B13702" s="6">
        <v>0.58841158841158803</v>
      </c>
      <c r="C13702" s="6">
        <v>0.71780974299038602</v>
      </c>
    </row>
    <row r="13703" spans="1:3" s="7" customFormat="1" x14ac:dyDescent="0.2">
      <c r="A13703" s="6" t="str">
        <f>"GTF2IP1"</f>
        <v>GTF2IP1</v>
      </c>
      <c r="B13703" s="6">
        <v>0.58941058941058899</v>
      </c>
      <c r="C13703" s="6">
        <v>0.71860884028073402</v>
      </c>
    </row>
    <row r="13704" spans="1:3" s="7" customFormat="1" x14ac:dyDescent="0.2">
      <c r="A13704" s="6" t="str">
        <f>"SUSD2"</f>
        <v>SUSD2</v>
      </c>
      <c r="B13704" s="6">
        <v>0.58941058941058899</v>
      </c>
      <c r="C13704" s="6">
        <v>0.71860884028073402</v>
      </c>
    </row>
    <row r="13705" spans="1:3" s="7" customFormat="1" x14ac:dyDescent="0.2">
      <c r="A13705" s="6" t="str">
        <f>"LLGL1"</f>
        <v>LLGL1</v>
      </c>
      <c r="B13705" s="6">
        <v>0.58941058941058899</v>
      </c>
      <c r="C13705" s="6">
        <v>0.71860884028073402</v>
      </c>
    </row>
    <row r="13706" spans="1:3" s="7" customFormat="1" x14ac:dyDescent="0.2">
      <c r="A13706" s="6" t="str">
        <f>"DDX10"</f>
        <v>DDX10</v>
      </c>
      <c r="B13706" s="6">
        <v>0.58941058941058899</v>
      </c>
      <c r="C13706" s="6">
        <v>0.71860884028073402</v>
      </c>
    </row>
    <row r="13707" spans="1:3" s="7" customFormat="1" x14ac:dyDescent="0.2">
      <c r="A13707" s="6" t="str">
        <f>"PCDHB8"</f>
        <v>PCDHB8</v>
      </c>
      <c r="B13707" s="6">
        <v>0.58941058941058899</v>
      </c>
      <c r="C13707" s="6">
        <v>0.71860884028073402</v>
      </c>
    </row>
    <row r="13708" spans="1:3" s="7" customFormat="1" x14ac:dyDescent="0.2">
      <c r="A13708" s="6" t="str">
        <f>"AC141586.4"</f>
        <v>AC141586.4</v>
      </c>
      <c r="B13708" s="6">
        <v>0.58941058941058899</v>
      </c>
      <c r="C13708" s="6">
        <v>0.71860884028073402</v>
      </c>
    </row>
    <row r="13709" spans="1:3" s="7" customFormat="1" x14ac:dyDescent="0.2">
      <c r="A13709" s="6" t="str">
        <f>"CEP89"</f>
        <v>CEP89</v>
      </c>
      <c r="B13709" s="6">
        <v>0.58941058941058899</v>
      </c>
      <c r="C13709" s="6">
        <v>0.71860884028073402</v>
      </c>
    </row>
    <row r="13710" spans="1:3" s="7" customFormat="1" x14ac:dyDescent="0.2">
      <c r="A13710" s="6" t="str">
        <f>"SLC16A1"</f>
        <v>SLC16A1</v>
      </c>
      <c r="B13710" s="6">
        <v>0.58941058941058899</v>
      </c>
      <c r="C13710" s="6">
        <v>0.71860884028073402</v>
      </c>
    </row>
    <row r="13711" spans="1:3" s="7" customFormat="1" x14ac:dyDescent="0.2">
      <c r="A13711" s="6" t="str">
        <f>"TEK"</f>
        <v>TEK</v>
      </c>
      <c r="B13711" s="6">
        <v>0.59040959040958996</v>
      </c>
      <c r="C13711" s="6">
        <v>0.719669333000721</v>
      </c>
    </row>
    <row r="13712" spans="1:3" s="7" customFormat="1" x14ac:dyDescent="0.2">
      <c r="A13712" s="6" t="str">
        <f>"PNMT"</f>
        <v>PNMT</v>
      </c>
      <c r="B13712" s="6">
        <v>0.59040959040958996</v>
      </c>
      <c r="C13712" s="6">
        <v>0.719669333000721</v>
      </c>
    </row>
    <row r="13713" spans="1:3" s="7" customFormat="1" x14ac:dyDescent="0.2">
      <c r="A13713" s="6" t="str">
        <f>"TMEM231P1"</f>
        <v>TMEM231P1</v>
      </c>
      <c r="B13713" s="6">
        <v>0.59040959040958996</v>
      </c>
      <c r="C13713" s="6">
        <v>0.719669333000721</v>
      </c>
    </row>
    <row r="13714" spans="1:3" s="7" customFormat="1" x14ac:dyDescent="0.2">
      <c r="A13714" s="6" t="str">
        <f>"LINC01484"</f>
        <v>LINC01484</v>
      </c>
      <c r="B13714" s="6">
        <v>0.59059059059059005</v>
      </c>
      <c r="C13714" s="6">
        <v>0.71983746307380803</v>
      </c>
    </row>
    <row r="13715" spans="1:3" s="7" customFormat="1" x14ac:dyDescent="0.2">
      <c r="A13715" s="6" t="str">
        <f>"QRSL1"</f>
        <v>QRSL1</v>
      </c>
      <c r="B13715" s="6">
        <v>0.59140859140859103</v>
      </c>
      <c r="C13715" s="6">
        <v>0.72036169631272295</v>
      </c>
    </row>
    <row r="13716" spans="1:3" s="7" customFormat="1" x14ac:dyDescent="0.2">
      <c r="A13716" s="6" t="str">
        <f>"ZGRF1"</f>
        <v>ZGRF1</v>
      </c>
      <c r="B13716" s="6">
        <v>0.59140859140859103</v>
      </c>
      <c r="C13716" s="6">
        <v>0.72036169631272295</v>
      </c>
    </row>
    <row r="13717" spans="1:3" s="7" customFormat="1" x14ac:dyDescent="0.2">
      <c r="A13717" s="6" t="str">
        <f>"MST1R"</f>
        <v>MST1R</v>
      </c>
      <c r="B13717" s="6">
        <v>0.59140859140859103</v>
      </c>
      <c r="C13717" s="6">
        <v>0.72036169631272295</v>
      </c>
    </row>
    <row r="13718" spans="1:3" s="7" customFormat="1" x14ac:dyDescent="0.2">
      <c r="A13718" s="6" t="str">
        <f>"NEURL1B"</f>
        <v>NEURL1B</v>
      </c>
      <c r="B13718" s="6">
        <v>0.59140859140859103</v>
      </c>
      <c r="C13718" s="6">
        <v>0.72036169631272295</v>
      </c>
    </row>
    <row r="13719" spans="1:3" s="7" customFormat="1" x14ac:dyDescent="0.2">
      <c r="A13719" s="6" t="str">
        <f>"PTCHD3P2"</f>
        <v>PTCHD3P2</v>
      </c>
      <c r="B13719" s="6">
        <v>0.59118236472945895</v>
      </c>
      <c r="C13719" s="6">
        <v>0.72036169631272295</v>
      </c>
    </row>
    <row r="13720" spans="1:3" s="7" customFormat="1" x14ac:dyDescent="0.2">
      <c r="A13720" s="6" t="str">
        <f>"SGO2"</f>
        <v>SGO2</v>
      </c>
      <c r="B13720" s="6">
        <v>0.59140859140859103</v>
      </c>
      <c r="C13720" s="6">
        <v>0.72036169631272295</v>
      </c>
    </row>
    <row r="13721" spans="1:3" s="7" customFormat="1" x14ac:dyDescent="0.2">
      <c r="A13721" s="6" t="str">
        <f>"TRIM9"</f>
        <v>TRIM9</v>
      </c>
      <c r="B13721" s="6">
        <v>0.59140859140859103</v>
      </c>
      <c r="C13721" s="6">
        <v>0.72036169631272295</v>
      </c>
    </row>
    <row r="13722" spans="1:3" s="7" customFormat="1" x14ac:dyDescent="0.2">
      <c r="A13722" s="6" t="str">
        <f>"AC098595.1"</f>
        <v>AC098595.1</v>
      </c>
      <c r="B13722" s="6">
        <v>0.59140859140859103</v>
      </c>
      <c r="C13722" s="6">
        <v>0.72036169631272295</v>
      </c>
    </row>
    <row r="13723" spans="1:3" s="7" customFormat="1" x14ac:dyDescent="0.2">
      <c r="A13723" s="6" t="str">
        <f>"OXA1L"</f>
        <v>OXA1L</v>
      </c>
      <c r="B13723" s="6">
        <v>0.59140859140859103</v>
      </c>
      <c r="C13723" s="6">
        <v>0.72036169631272295</v>
      </c>
    </row>
    <row r="13724" spans="1:3" s="7" customFormat="1" x14ac:dyDescent="0.2">
      <c r="A13724" s="6" t="str">
        <f>"PIGZ"</f>
        <v>PIGZ</v>
      </c>
      <c r="B13724" s="6">
        <v>0.592407592407592</v>
      </c>
      <c r="C13724" s="6">
        <v>0.72100054609338804</v>
      </c>
    </row>
    <row r="13725" spans="1:3" s="7" customFormat="1" x14ac:dyDescent="0.2">
      <c r="A13725" s="6" t="str">
        <f>"AL158801.2"</f>
        <v>AL158801.2</v>
      </c>
      <c r="B13725" s="6">
        <v>0.592407592407592</v>
      </c>
      <c r="C13725" s="6">
        <v>0.72100054609338804</v>
      </c>
    </row>
    <row r="13726" spans="1:3" s="7" customFormat="1" x14ac:dyDescent="0.2">
      <c r="A13726" s="6" t="str">
        <f>"AC011468.2"</f>
        <v>AC011468.2</v>
      </c>
      <c r="B13726" s="6">
        <v>0.59199999999999997</v>
      </c>
      <c r="C13726" s="6">
        <v>0.72100054609338804</v>
      </c>
    </row>
    <row r="13727" spans="1:3" s="7" customFormat="1" x14ac:dyDescent="0.2">
      <c r="A13727" s="6" t="str">
        <f>"Z97205.3"</f>
        <v>Z97205.3</v>
      </c>
      <c r="B13727" s="6">
        <v>0.592407592407592</v>
      </c>
      <c r="C13727" s="6">
        <v>0.72100054609338804</v>
      </c>
    </row>
    <row r="13728" spans="1:3" s="7" customFormat="1" x14ac:dyDescent="0.2">
      <c r="A13728" s="6" t="str">
        <f>"SLC25A25-AS1"</f>
        <v>SLC25A25-AS1</v>
      </c>
      <c r="B13728" s="6">
        <v>0.592407592407592</v>
      </c>
      <c r="C13728" s="6">
        <v>0.72100054609338804</v>
      </c>
    </row>
    <row r="13729" spans="1:3" s="7" customFormat="1" x14ac:dyDescent="0.2">
      <c r="A13729" s="6" t="str">
        <f>"ZNF160"</f>
        <v>ZNF160</v>
      </c>
      <c r="B13729" s="6">
        <v>0.592407592407592</v>
      </c>
      <c r="C13729" s="6">
        <v>0.72100054609338804</v>
      </c>
    </row>
    <row r="13730" spans="1:3" s="7" customFormat="1" x14ac:dyDescent="0.2">
      <c r="A13730" s="6" t="str">
        <f>"AC120114.1"</f>
        <v>AC120114.1</v>
      </c>
      <c r="B13730" s="6">
        <v>0.592407592407592</v>
      </c>
      <c r="C13730" s="6">
        <v>0.72100054609338804</v>
      </c>
    </row>
    <row r="13731" spans="1:3" s="7" customFormat="1" x14ac:dyDescent="0.2">
      <c r="A13731" s="6" t="str">
        <f>"LRRC37A14P"</f>
        <v>LRRC37A14P</v>
      </c>
      <c r="B13731" s="6">
        <v>0.592407592407592</v>
      </c>
      <c r="C13731" s="6">
        <v>0.72100054609338804</v>
      </c>
    </row>
    <row r="13732" spans="1:3" s="7" customFormat="1" x14ac:dyDescent="0.2">
      <c r="A13732" s="6" t="str">
        <f>"FBXW9"</f>
        <v>FBXW9</v>
      </c>
      <c r="B13732" s="6">
        <v>0.592407592407592</v>
      </c>
      <c r="C13732" s="6">
        <v>0.72100054609338804</v>
      </c>
    </row>
    <row r="13733" spans="1:3" s="7" customFormat="1" x14ac:dyDescent="0.2">
      <c r="A13733" s="6" t="str">
        <f>"CERNA2"</f>
        <v>CERNA2</v>
      </c>
      <c r="B13733" s="6">
        <v>0.592407592407592</v>
      </c>
      <c r="C13733" s="6">
        <v>0.72100054609338804</v>
      </c>
    </row>
    <row r="13734" spans="1:3" s="7" customFormat="1" x14ac:dyDescent="0.2">
      <c r="A13734" s="6" t="str">
        <f>"DDX41"</f>
        <v>DDX41</v>
      </c>
      <c r="B13734" s="6">
        <v>0.592407592407592</v>
      </c>
      <c r="C13734" s="6">
        <v>0.72100054609338804</v>
      </c>
    </row>
    <row r="13735" spans="1:3" s="7" customFormat="1" x14ac:dyDescent="0.2">
      <c r="A13735" s="6" t="str">
        <f>"AL513477.2"</f>
        <v>AL513477.2</v>
      </c>
      <c r="B13735" s="6">
        <v>0.59292929292929297</v>
      </c>
      <c r="C13735" s="6">
        <v>0.72158294757683095</v>
      </c>
    </row>
    <row r="13736" spans="1:3" s="7" customFormat="1" x14ac:dyDescent="0.2">
      <c r="A13736" s="6" t="str">
        <f>"DDR2"</f>
        <v>DDR2</v>
      </c>
      <c r="B13736" s="6">
        <v>0.59340659340659296</v>
      </c>
      <c r="C13736" s="6">
        <v>0.72158587138579799</v>
      </c>
    </row>
    <row r="13737" spans="1:3" s="7" customFormat="1" x14ac:dyDescent="0.2">
      <c r="A13737" s="6" t="str">
        <f>"MIA-RAB4B"</f>
        <v>MIA-RAB4B</v>
      </c>
      <c r="B13737" s="6">
        <v>0.59340659340659296</v>
      </c>
      <c r="C13737" s="6">
        <v>0.72158587138579799</v>
      </c>
    </row>
    <row r="13738" spans="1:3" s="7" customFormat="1" x14ac:dyDescent="0.2">
      <c r="A13738" s="6" t="str">
        <f>"CTTN"</f>
        <v>CTTN</v>
      </c>
      <c r="B13738" s="6">
        <v>0.59340659340659296</v>
      </c>
      <c r="C13738" s="6">
        <v>0.72158587138579799</v>
      </c>
    </row>
    <row r="13739" spans="1:3" s="7" customFormat="1" x14ac:dyDescent="0.2">
      <c r="A13739" s="6" t="str">
        <f>"HIPK4"</f>
        <v>HIPK4</v>
      </c>
      <c r="B13739" s="6">
        <v>0.59339525283797701</v>
      </c>
      <c r="C13739" s="6">
        <v>0.72158587138579799</v>
      </c>
    </row>
    <row r="13740" spans="1:3" s="7" customFormat="1" x14ac:dyDescent="0.2">
      <c r="A13740" s="6" t="str">
        <f>"SIGLEC8"</f>
        <v>SIGLEC8</v>
      </c>
      <c r="B13740" s="6">
        <v>0.59340659340659296</v>
      </c>
      <c r="C13740" s="6">
        <v>0.72158587138579799</v>
      </c>
    </row>
    <row r="13741" spans="1:3" s="7" customFormat="1" x14ac:dyDescent="0.2">
      <c r="A13741" s="6" t="str">
        <f>"Z99127.3"</f>
        <v>Z99127.3</v>
      </c>
      <c r="B13741" s="6">
        <v>0.59299999999999997</v>
      </c>
      <c r="C13741" s="6">
        <v>0.72158587138579799</v>
      </c>
    </row>
    <row r="13742" spans="1:3" s="7" customFormat="1" x14ac:dyDescent="0.2">
      <c r="A13742" s="6" t="str">
        <f>"SOX13"</f>
        <v>SOX13</v>
      </c>
      <c r="B13742" s="6">
        <v>0.59340659340659296</v>
      </c>
      <c r="C13742" s="6">
        <v>0.72158587138579799</v>
      </c>
    </row>
    <row r="13743" spans="1:3" s="7" customFormat="1" x14ac:dyDescent="0.2">
      <c r="A13743" s="6" t="str">
        <f>"PRKAR1B"</f>
        <v>PRKAR1B</v>
      </c>
      <c r="B13743" s="6">
        <v>0.59340659340659296</v>
      </c>
      <c r="C13743" s="6">
        <v>0.72158587138579799</v>
      </c>
    </row>
    <row r="13744" spans="1:3" s="7" customFormat="1" x14ac:dyDescent="0.2">
      <c r="A13744" s="6" t="str">
        <f>"HTRA2"</f>
        <v>HTRA2</v>
      </c>
      <c r="B13744" s="6">
        <v>0.59340659340659296</v>
      </c>
      <c r="C13744" s="6">
        <v>0.72158587138579799</v>
      </c>
    </row>
    <row r="13745" spans="1:3" s="7" customFormat="1" x14ac:dyDescent="0.2">
      <c r="A13745" s="6" t="str">
        <f>"SMG1"</f>
        <v>SMG1</v>
      </c>
      <c r="B13745" s="6">
        <v>0.59340659340659296</v>
      </c>
      <c r="C13745" s="6">
        <v>0.72158587138579799</v>
      </c>
    </row>
    <row r="13746" spans="1:3" s="7" customFormat="1" x14ac:dyDescent="0.2">
      <c r="A13746" s="6" t="str">
        <f>"ZNF18"</f>
        <v>ZNF18</v>
      </c>
      <c r="B13746" s="6">
        <v>0.59340659340659296</v>
      </c>
      <c r="C13746" s="6">
        <v>0.72158587138579799</v>
      </c>
    </row>
    <row r="13747" spans="1:3" s="7" customFormat="1" x14ac:dyDescent="0.2">
      <c r="A13747" s="6" t="str">
        <f>"PANX2"</f>
        <v>PANX2</v>
      </c>
      <c r="B13747" s="6">
        <v>0.59440559440559404</v>
      </c>
      <c r="C13747" s="6">
        <v>0.72248528142644897</v>
      </c>
    </row>
    <row r="13748" spans="1:3" s="7" customFormat="1" x14ac:dyDescent="0.2">
      <c r="A13748" s="6" t="str">
        <f>"PJA2"</f>
        <v>PJA2</v>
      </c>
      <c r="B13748" s="6">
        <v>0.59440559440559404</v>
      </c>
      <c r="C13748" s="6">
        <v>0.72248528142644897</v>
      </c>
    </row>
    <row r="13749" spans="1:3" s="7" customFormat="1" x14ac:dyDescent="0.2">
      <c r="A13749" s="6" t="str">
        <f>"RPL23AP87"</f>
        <v>RPL23AP87</v>
      </c>
      <c r="B13749" s="6">
        <v>0.59440559440559404</v>
      </c>
      <c r="C13749" s="6">
        <v>0.72248528142644897</v>
      </c>
    </row>
    <row r="13750" spans="1:3" s="7" customFormat="1" x14ac:dyDescent="0.2">
      <c r="A13750" s="6" t="str">
        <f>"DCHS2"</f>
        <v>DCHS2</v>
      </c>
      <c r="B13750" s="6">
        <v>0.59440559440559404</v>
      </c>
      <c r="C13750" s="6">
        <v>0.72248528142644897</v>
      </c>
    </row>
    <row r="13751" spans="1:3" s="7" customFormat="1" x14ac:dyDescent="0.2">
      <c r="A13751" s="6" t="str">
        <f>"MPP2"</f>
        <v>MPP2</v>
      </c>
      <c r="B13751" s="6">
        <v>0.59440559440559404</v>
      </c>
      <c r="C13751" s="6">
        <v>0.72248528142644897</v>
      </c>
    </row>
    <row r="13752" spans="1:3" s="7" customFormat="1" x14ac:dyDescent="0.2">
      <c r="A13752" s="6" t="str">
        <f>"AC121757.1"</f>
        <v>AC121757.1</v>
      </c>
      <c r="B13752" s="6">
        <v>0.59440559440559404</v>
      </c>
      <c r="C13752" s="6">
        <v>0.72248528142644897</v>
      </c>
    </row>
    <row r="13753" spans="1:3" s="7" customFormat="1" x14ac:dyDescent="0.2">
      <c r="A13753" s="6" t="str">
        <f>"AC090241.3"</f>
        <v>AC090241.3</v>
      </c>
      <c r="B13753" s="6">
        <v>0.59453781512604997</v>
      </c>
      <c r="C13753" s="6">
        <v>0.72259344400936598</v>
      </c>
    </row>
    <row r="13754" spans="1:3" s="7" customFormat="1" x14ac:dyDescent="0.2">
      <c r="A13754" s="6" t="str">
        <f>"FGF7P5"</f>
        <v>FGF7P5</v>
      </c>
      <c r="B13754" s="6">
        <v>0.59459459459459396</v>
      </c>
      <c r="C13754" s="6">
        <v>0.72260990722417295</v>
      </c>
    </row>
    <row r="13755" spans="1:3" s="7" customFormat="1" x14ac:dyDescent="0.2">
      <c r="A13755" s="6" t="str">
        <f>"PARD6B"</f>
        <v>PARD6B</v>
      </c>
      <c r="B13755" s="6">
        <v>0.59540459540459501</v>
      </c>
      <c r="C13755" s="6">
        <v>0.723016013338594</v>
      </c>
    </row>
    <row r="13756" spans="1:3" s="7" customFormat="1" x14ac:dyDescent="0.2">
      <c r="A13756" s="6" t="str">
        <f>"AC097104.1"</f>
        <v>AC097104.1</v>
      </c>
      <c r="B13756" s="6">
        <v>0.59540459540459501</v>
      </c>
      <c r="C13756" s="6">
        <v>0.723016013338594</v>
      </c>
    </row>
    <row r="13757" spans="1:3" s="7" customFormat="1" x14ac:dyDescent="0.2">
      <c r="A13757" s="6" t="str">
        <f>"POLR3GL"</f>
        <v>POLR3GL</v>
      </c>
      <c r="B13757" s="6">
        <v>0.59540459540459501</v>
      </c>
      <c r="C13757" s="6">
        <v>0.723016013338594</v>
      </c>
    </row>
    <row r="13758" spans="1:3" s="7" customFormat="1" x14ac:dyDescent="0.2">
      <c r="A13758" s="6" t="str">
        <f>"COL5A3"</f>
        <v>COL5A3</v>
      </c>
      <c r="B13758" s="6">
        <v>0.59540459540459501</v>
      </c>
      <c r="C13758" s="6">
        <v>0.723016013338594</v>
      </c>
    </row>
    <row r="13759" spans="1:3" s="7" customFormat="1" x14ac:dyDescent="0.2">
      <c r="A13759" s="6" t="str">
        <f>"TDRD7"</f>
        <v>TDRD7</v>
      </c>
      <c r="B13759" s="6">
        <v>0.59540459540459501</v>
      </c>
      <c r="C13759" s="6">
        <v>0.723016013338594</v>
      </c>
    </row>
    <row r="13760" spans="1:3" s="7" customFormat="1" x14ac:dyDescent="0.2">
      <c r="A13760" s="6" t="str">
        <f>"TMEM259"</f>
        <v>TMEM259</v>
      </c>
      <c r="B13760" s="6">
        <v>0.59540459540459501</v>
      </c>
      <c r="C13760" s="6">
        <v>0.723016013338594</v>
      </c>
    </row>
    <row r="13761" spans="1:3" s="7" customFormat="1" x14ac:dyDescent="0.2">
      <c r="A13761" s="6" t="str">
        <f>"USP7"</f>
        <v>USP7</v>
      </c>
      <c r="B13761" s="6">
        <v>0.59540459540459501</v>
      </c>
      <c r="C13761" s="6">
        <v>0.723016013338594</v>
      </c>
    </row>
    <row r="13762" spans="1:3" s="7" customFormat="1" x14ac:dyDescent="0.2">
      <c r="A13762" s="6" t="str">
        <f>"PLA2G12A"</f>
        <v>PLA2G12A</v>
      </c>
      <c r="B13762" s="6">
        <v>0.59499999999999997</v>
      </c>
      <c r="C13762" s="6">
        <v>0.723016013338594</v>
      </c>
    </row>
    <row r="13763" spans="1:3" s="7" customFormat="1" x14ac:dyDescent="0.2">
      <c r="A13763" s="6" t="str">
        <f>"AC026202.2"</f>
        <v>AC026202.2</v>
      </c>
      <c r="B13763" s="6">
        <v>0.59540459540459501</v>
      </c>
      <c r="C13763" s="6">
        <v>0.723016013338594</v>
      </c>
    </row>
    <row r="13764" spans="1:3" s="7" customFormat="1" x14ac:dyDescent="0.2">
      <c r="A13764" s="6" t="str">
        <f>"LRRC8C"</f>
        <v>LRRC8C</v>
      </c>
      <c r="B13764" s="6">
        <v>0.59540459540459501</v>
      </c>
      <c r="C13764" s="6">
        <v>0.723016013338594</v>
      </c>
    </row>
    <row r="13765" spans="1:3" s="7" customFormat="1" x14ac:dyDescent="0.2">
      <c r="A13765" s="6" t="str">
        <f>"DHRS11"</f>
        <v>DHRS11</v>
      </c>
      <c r="B13765" s="6">
        <v>0.59540459540459501</v>
      </c>
      <c r="C13765" s="6">
        <v>0.723016013338594</v>
      </c>
    </row>
    <row r="13766" spans="1:3" s="7" customFormat="1" x14ac:dyDescent="0.2">
      <c r="A13766" s="6" t="str">
        <f>"SLC25A39"</f>
        <v>SLC25A39</v>
      </c>
      <c r="B13766" s="6">
        <v>0.59599999999999997</v>
      </c>
      <c r="C13766" s="6">
        <v>0.72363388057532996</v>
      </c>
    </row>
    <row r="13767" spans="1:3" s="7" customFormat="1" x14ac:dyDescent="0.2">
      <c r="A13767" s="6" t="str">
        <f>"ZBTB20"</f>
        <v>ZBTB20</v>
      </c>
      <c r="B13767" s="6">
        <v>0.59599999999999997</v>
      </c>
      <c r="C13767" s="6">
        <v>0.72363388057532996</v>
      </c>
    </row>
    <row r="13768" spans="1:3" s="7" customFormat="1" x14ac:dyDescent="0.2">
      <c r="A13768" s="6" t="str">
        <f>"TJP3"</f>
        <v>TJP3</v>
      </c>
      <c r="B13768" s="6">
        <v>0.59640359640359597</v>
      </c>
      <c r="C13768" s="6">
        <v>0.72365079566531398</v>
      </c>
    </row>
    <row r="13769" spans="1:3" s="7" customFormat="1" x14ac:dyDescent="0.2">
      <c r="A13769" s="6" t="str">
        <f>"ALPK1"</f>
        <v>ALPK1</v>
      </c>
      <c r="B13769" s="6">
        <v>0.59640359640359597</v>
      </c>
      <c r="C13769" s="6">
        <v>0.72365079566531398</v>
      </c>
    </row>
    <row r="13770" spans="1:3" s="7" customFormat="1" x14ac:dyDescent="0.2">
      <c r="A13770" s="6" t="str">
        <f>"WDR5B"</f>
        <v>WDR5B</v>
      </c>
      <c r="B13770" s="6">
        <v>0.59640359640359597</v>
      </c>
      <c r="C13770" s="6">
        <v>0.72365079566531398</v>
      </c>
    </row>
    <row r="13771" spans="1:3" s="7" customFormat="1" x14ac:dyDescent="0.2">
      <c r="A13771" s="6" t="str">
        <f>"TRAPPC11"</f>
        <v>TRAPPC11</v>
      </c>
      <c r="B13771" s="6">
        <v>0.59640359640359597</v>
      </c>
      <c r="C13771" s="6">
        <v>0.72365079566531398</v>
      </c>
    </row>
    <row r="13772" spans="1:3" s="7" customFormat="1" x14ac:dyDescent="0.2">
      <c r="A13772" s="6" t="str">
        <f>"IAPP"</f>
        <v>IAPP</v>
      </c>
      <c r="B13772" s="6">
        <v>0.59640359640359597</v>
      </c>
      <c r="C13772" s="6">
        <v>0.72365079566531398</v>
      </c>
    </row>
    <row r="13773" spans="1:3" s="7" customFormat="1" x14ac:dyDescent="0.2">
      <c r="A13773" s="6" t="str">
        <f>"RNF220"</f>
        <v>RNF220</v>
      </c>
      <c r="B13773" s="6">
        <v>0.59640359640359597</v>
      </c>
      <c r="C13773" s="6">
        <v>0.72365079566531398</v>
      </c>
    </row>
    <row r="13774" spans="1:3" s="7" customFormat="1" x14ac:dyDescent="0.2">
      <c r="A13774" s="6" t="str">
        <f>"RAB40C"</f>
        <v>RAB40C</v>
      </c>
      <c r="B13774" s="6">
        <v>0.59640359640359597</v>
      </c>
      <c r="C13774" s="6">
        <v>0.72365079566531398</v>
      </c>
    </row>
    <row r="13775" spans="1:3" s="7" customFormat="1" x14ac:dyDescent="0.2">
      <c r="A13775" s="6" t="str">
        <f>"GGT2"</f>
        <v>GGT2</v>
      </c>
      <c r="B13775" s="6">
        <v>0.59640359640359597</v>
      </c>
      <c r="C13775" s="6">
        <v>0.72365079566531398</v>
      </c>
    </row>
    <row r="13776" spans="1:3" s="7" customFormat="1" x14ac:dyDescent="0.2">
      <c r="A13776" s="6" t="str">
        <f>"ILKAP"</f>
        <v>ILKAP</v>
      </c>
      <c r="B13776" s="6">
        <v>0.59640359640359597</v>
      </c>
      <c r="C13776" s="6">
        <v>0.72365079566531398</v>
      </c>
    </row>
    <row r="13777" spans="1:3" s="7" customFormat="1" x14ac:dyDescent="0.2">
      <c r="A13777" s="6" t="str">
        <f>"ST7-AS1"</f>
        <v>ST7-AS1</v>
      </c>
      <c r="B13777" s="6">
        <v>0.59699999999999998</v>
      </c>
      <c r="C13777" s="6">
        <v>0.72432186411149801</v>
      </c>
    </row>
    <row r="13778" spans="1:3" s="7" customFormat="1" x14ac:dyDescent="0.2">
      <c r="A13778" s="6" t="str">
        <f>"AC007773.1"</f>
        <v>AC007773.1</v>
      </c>
      <c r="B13778" s="6">
        <v>0.59716157205240095</v>
      </c>
      <c r="C13778" s="6">
        <v>0.72446530560236899</v>
      </c>
    </row>
    <row r="13779" spans="1:3" s="7" customFormat="1" x14ac:dyDescent="0.2">
      <c r="A13779" s="6" t="str">
        <f>"DDX21"</f>
        <v>DDX21</v>
      </c>
      <c r="B13779" s="6">
        <v>0.59740259740259705</v>
      </c>
      <c r="C13779" s="6">
        <v>0.72449477673683105</v>
      </c>
    </row>
    <row r="13780" spans="1:3" s="7" customFormat="1" x14ac:dyDescent="0.2">
      <c r="A13780" s="6" t="str">
        <f>"ESM1"</f>
        <v>ESM1</v>
      </c>
      <c r="B13780" s="6">
        <v>0.59740259740259705</v>
      </c>
      <c r="C13780" s="6">
        <v>0.72449477673683105</v>
      </c>
    </row>
    <row r="13781" spans="1:3" s="7" customFormat="1" x14ac:dyDescent="0.2">
      <c r="A13781" s="6" t="str">
        <f>"FCER1A"</f>
        <v>FCER1A</v>
      </c>
      <c r="B13781" s="6">
        <v>0.59740259740259705</v>
      </c>
      <c r="C13781" s="6">
        <v>0.72449477673683105</v>
      </c>
    </row>
    <row r="13782" spans="1:3" s="7" customFormat="1" x14ac:dyDescent="0.2">
      <c r="A13782" s="6" t="str">
        <f>"UBL4A"</f>
        <v>UBL4A</v>
      </c>
      <c r="B13782" s="6">
        <v>0.59740259740259705</v>
      </c>
      <c r="C13782" s="6">
        <v>0.72449477673683105</v>
      </c>
    </row>
    <row r="13783" spans="1:3" s="7" customFormat="1" x14ac:dyDescent="0.2">
      <c r="A13783" s="6" t="str">
        <f>"OVGP1"</f>
        <v>OVGP1</v>
      </c>
      <c r="B13783" s="6">
        <v>0.59740259740259705</v>
      </c>
      <c r="C13783" s="6">
        <v>0.72449477673683105</v>
      </c>
    </row>
    <row r="13784" spans="1:3" s="7" customFormat="1" x14ac:dyDescent="0.2">
      <c r="A13784" s="6" t="str">
        <f>"AC096733.2"</f>
        <v>AC096733.2</v>
      </c>
      <c r="B13784" s="6">
        <v>0.59754851889683303</v>
      </c>
      <c r="C13784" s="6">
        <v>0.72461916453904596</v>
      </c>
    </row>
    <row r="13785" spans="1:3" s="7" customFormat="1" x14ac:dyDescent="0.2">
      <c r="A13785" s="6" t="str">
        <f>"AL513327.1"</f>
        <v>AL513327.1</v>
      </c>
      <c r="B13785" s="6">
        <v>0.59759759759759701</v>
      </c>
      <c r="C13785" s="6">
        <v>0.72462610608286704</v>
      </c>
    </row>
    <row r="13786" spans="1:3" s="7" customFormat="1" x14ac:dyDescent="0.2">
      <c r="A13786" s="6" t="str">
        <f>"ERCC6"</f>
        <v>ERCC6</v>
      </c>
      <c r="B13786" s="6">
        <v>0.59840159840159801</v>
      </c>
      <c r="C13786" s="6">
        <v>0.72539050737484101</v>
      </c>
    </row>
    <row r="13787" spans="1:3" s="7" customFormat="1" x14ac:dyDescent="0.2">
      <c r="A13787" s="6" t="str">
        <f>"GTPBP3"</f>
        <v>GTPBP3</v>
      </c>
      <c r="B13787" s="6">
        <v>0.59840159840159801</v>
      </c>
      <c r="C13787" s="6">
        <v>0.72539050737484101</v>
      </c>
    </row>
    <row r="13788" spans="1:3" s="7" customFormat="1" x14ac:dyDescent="0.2">
      <c r="A13788" s="6" t="str">
        <f>"AC135178.3"</f>
        <v>AC135178.3</v>
      </c>
      <c r="B13788" s="6">
        <v>0.59839357429718798</v>
      </c>
      <c r="C13788" s="6">
        <v>0.72539050737484101</v>
      </c>
    </row>
    <row r="13789" spans="1:3" s="7" customFormat="1" x14ac:dyDescent="0.2">
      <c r="A13789" s="6" t="str">
        <f>"SPOPL"</f>
        <v>SPOPL</v>
      </c>
      <c r="B13789" s="6">
        <v>0.59840159840159801</v>
      </c>
      <c r="C13789" s="6">
        <v>0.72539050737484101</v>
      </c>
    </row>
    <row r="13790" spans="1:3" s="7" customFormat="1" x14ac:dyDescent="0.2">
      <c r="A13790" s="6" t="str">
        <f>"RLF"</f>
        <v>RLF</v>
      </c>
      <c r="B13790" s="6">
        <v>0.59940059940059898</v>
      </c>
      <c r="C13790" s="6">
        <v>0.72623281032124798</v>
      </c>
    </row>
    <row r="13791" spans="1:3" s="7" customFormat="1" x14ac:dyDescent="0.2">
      <c r="A13791" s="6" t="str">
        <f>"STAG3L4"</f>
        <v>STAG3L4</v>
      </c>
      <c r="B13791" s="6">
        <v>0.59940059940059898</v>
      </c>
      <c r="C13791" s="6">
        <v>0.72623281032124798</v>
      </c>
    </row>
    <row r="13792" spans="1:3" s="7" customFormat="1" x14ac:dyDescent="0.2">
      <c r="A13792" s="6" t="str">
        <f>"SARAF"</f>
        <v>SARAF</v>
      </c>
      <c r="B13792" s="6">
        <v>0.59940059940059898</v>
      </c>
      <c r="C13792" s="6">
        <v>0.72623281032124798</v>
      </c>
    </row>
    <row r="13793" spans="1:3" s="7" customFormat="1" x14ac:dyDescent="0.2">
      <c r="A13793" s="6" t="str">
        <f>"AL662795.2"</f>
        <v>AL662795.2</v>
      </c>
      <c r="B13793" s="6">
        <v>0.59940059940059898</v>
      </c>
      <c r="C13793" s="6">
        <v>0.72623281032124798</v>
      </c>
    </row>
    <row r="13794" spans="1:3" s="7" customFormat="1" x14ac:dyDescent="0.2">
      <c r="A13794" s="6" t="str">
        <f>"PMS2CL"</f>
        <v>PMS2CL</v>
      </c>
      <c r="B13794" s="6">
        <v>0.59940059940059898</v>
      </c>
      <c r="C13794" s="6">
        <v>0.72623281032124798</v>
      </c>
    </row>
    <row r="13795" spans="1:3" s="7" customFormat="1" x14ac:dyDescent="0.2">
      <c r="A13795" s="6" t="str">
        <f>"AL358472.2"</f>
        <v>AL358472.2</v>
      </c>
      <c r="B13795" s="6">
        <v>0.599198396793587</v>
      </c>
      <c r="C13795" s="6">
        <v>0.72623281032124798</v>
      </c>
    </row>
    <row r="13796" spans="1:3" s="7" customFormat="1" x14ac:dyDescent="0.2">
      <c r="A13796" s="6" t="str">
        <f>"RXRA"</f>
        <v>RXRA</v>
      </c>
      <c r="B13796" s="6">
        <v>0.59940059940059898</v>
      </c>
      <c r="C13796" s="6">
        <v>0.72623281032124798</v>
      </c>
    </row>
    <row r="13797" spans="1:3" s="7" customFormat="1" x14ac:dyDescent="0.2">
      <c r="A13797" s="6" t="str">
        <f>"ATP6V0D1"</f>
        <v>ATP6V0D1</v>
      </c>
      <c r="B13797" s="6">
        <v>0.60039960039960005</v>
      </c>
      <c r="C13797" s="6">
        <v>0.72666042920951202</v>
      </c>
    </row>
    <row r="13798" spans="1:3" s="7" customFormat="1" x14ac:dyDescent="0.2">
      <c r="A13798" s="6" t="str">
        <f>"SEPTIN14"</f>
        <v>SEPTIN14</v>
      </c>
      <c r="B13798" s="6">
        <v>0.60039960039960005</v>
      </c>
      <c r="C13798" s="6">
        <v>0.72666042920951202</v>
      </c>
    </row>
    <row r="13799" spans="1:3" s="7" customFormat="1" x14ac:dyDescent="0.2">
      <c r="A13799" s="6" t="str">
        <f>"ARHGEF17"</f>
        <v>ARHGEF17</v>
      </c>
      <c r="B13799" s="6">
        <v>0.60039960039960005</v>
      </c>
      <c r="C13799" s="6">
        <v>0.72666042920951202</v>
      </c>
    </row>
    <row r="13800" spans="1:3" s="7" customFormat="1" x14ac:dyDescent="0.2">
      <c r="A13800" s="6" t="str">
        <f>"ATP6V1C1"</f>
        <v>ATP6V1C1</v>
      </c>
      <c r="B13800" s="6">
        <v>0.60039960039960005</v>
      </c>
      <c r="C13800" s="6">
        <v>0.72666042920951202</v>
      </c>
    </row>
    <row r="13801" spans="1:3" s="7" customFormat="1" x14ac:dyDescent="0.2">
      <c r="A13801" s="6" t="str">
        <f>"IGHV2-5"</f>
        <v>IGHV2-5</v>
      </c>
      <c r="B13801" s="6">
        <v>0.6</v>
      </c>
      <c r="C13801" s="6">
        <v>0.72666042920951202</v>
      </c>
    </row>
    <row r="13802" spans="1:3" s="7" customFormat="1" x14ac:dyDescent="0.2">
      <c r="A13802" s="6" t="str">
        <f>"AC027601.1"</f>
        <v>AC027601.1</v>
      </c>
      <c r="B13802" s="6">
        <v>0.60039960039960005</v>
      </c>
      <c r="C13802" s="6">
        <v>0.72666042920951202</v>
      </c>
    </row>
    <row r="13803" spans="1:3" s="7" customFormat="1" x14ac:dyDescent="0.2">
      <c r="A13803" s="6" t="str">
        <f>"DCLRE1A"</f>
        <v>DCLRE1A</v>
      </c>
      <c r="B13803" s="6">
        <v>0.60039960039960005</v>
      </c>
      <c r="C13803" s="6">
        <v>0.72666042920951202</v>
      </c>
    </row>
    <row r="13804" spans="1:3" s="7" customFormat="1" x14ac:dyDescent="0.2">
      <c r="A13804" s="6" t="str">
        <f>"BMS1P8"</f>
        <v>BMS1P8</v>
      </c>
      <c r="B13804" s="6">
        <v>0.6</v>
      </c>
      <c r="C13804" s="6">
        <v>0.72666042920951202</v>
      </c>
    </row>
    <row r="13805" spans="1:3" s="7" customFormat="1" x14ac:dyDescent="0.2">
      <c r="A13805" s="6" t="str">
        <f>"NPIPB8"</f>
        <v>NPIPB8</v>
      </c>
      <c r="B13805" s="6">
        <v>0.60039960039960005</v>
      </c>
      <c r="C13805" s="6">
        <v>0.72666042920951202</v>
      </c>
    </row>
    <row r="13806" spans="1:3" s="7" customFormat="1" x14ac:dyDescent="0.2">
      <c r="A13806" s="6" t="str">
        <f>"Z95114.4"</f>
        <v>Z95114.4</v>
      </c>
      <c r="B13806" s="6">
        <v>0.60040567951318402</v>
      </c>
      <c r="C13806" s="6">
        <v>0.72666042920951202</v>
      </c>
    </row>
    <row r="13807" spans="1:3" s="7" customFormat="1" x14ac:dyDescent="0.2">
      <c r="A13807" s="6" t="str">
        <f>"Z84492.1"</f>
        <v>Z84492.1</v>
      </c>
      <c r="B13807" s="6">
        <v>0.60039960039960005</v>
      </c>
      <c r="C13807" s="6">
        <v>0.72666042920951202</v>
      </c>
    </row>
    <row r="13808" spans="1:3" s="7" customFormat="1" x14ac:dyDescent="0.2">
      <c r="A13808" s="6" t="str">
        <f>"PFKFB2"</f>
        <v>PFKFB2</v>
      </c>
      <c r="B13808" s="6">
        <v>0.60039960039960005</v>
      </c>
      <c r="C13808" s="6">
        <v>0.72666042920951202</v>
      </c>
    </row>
    <row r="13809" spans="1:3" s="7" customFormat="1" x14ac:dyDescent="0.2">
      <c r="A13809" s="6" t="str">
        <f>"MARCHF9"</f>
        <v>MARCHF9</v>
      </c>
      <c r="B13809" s="6">
        <v>0.60039960039960005</v>
      </c>
      <c r="C13809" s="6">
        <v>0.72666042920951202</v>
      </c>
    </row>
    <row r="13810" spans="1:3" s="7" customFormat="1" x14ac:dyDescent="0.2">
      <c r="A13810" s="6" t="str">
        <f>"H3P37"</f>
        <v>H3P37</v>
      </c>
      <c r="B13810" s="6">
        <v>0.60024600246002402</v>
      </c>
      <c r="C13810" s="6">
        <v>0.72666042920951202</v>
      </c>
    </row>
    <row r="13811" spans="1:3" s="7" customFormat="1" x14ac:dyDescent="0.2">
      <c r="A13811" s="6" t="str">
        <f>"KANTR"</f>
        <v>KANTR</v>
      </c>
      <c r="B13811" s="6">
        <v>0.60039960039960005</v>
      </c>
      <c r="C13811" s="6">
        <v>0.72666042920951202</v>
      </c>
    </row>
    <row r="13812" spans="1:3" s="7" customFormat="1" x14ac:dyDescent="0.2">
      <c r="A13812" s="6" t="str">
        <f>"ATP2A1-AS1"</f>
        <v>ATP2A1-AS1</v>
      </c>
      <c r="B13812" s="6">
        <v>0.60082304526748898</v>
      </c>
      <c r="C13812" s="6">
        <v>0.727112908449846</v>
      </c>
    </row>
    <row r="13813" spans="1:3" s="7" customFormat="1" x14ac:dyDescent="0.2">
      <c r="A13813" s="6" t="str">
        <f>"AC092143.3"</f>
        <v>AC092143.3</v>
      </c>
      <c r="B13813" s="6">
        <v>0.60099999999999998</v>
      </c>
      <c r="C13813" s="6">
        <v>0.72727439907326896</v>
      </c>
    </row>
    <row r="13814" spans="1:3" s="7" customFormat="1" x14ac:dyDescent="0.2">
      <c r="A13814" s="6" t="str">
        <f>"AL008729.1"</f>
        <v>AL008729.1</v>
      </c>
      <c r="B13814" s="6">
        <v>0.60139860139860102</v>
      </c>
      <c r="C13814" s="6">
        <v>0.72739659702562998</v>
      </c>
    </row>
    <row r="13815" spans="1:3" s="7" customFormat="1" x14ac:dyDescent="0.2">
      <c r="A13815" s="6" t="str">
        <f>"NBPF2P"</f>
        <v>NBPF2P</v>
      </c>
      <c r="B13815" s="6">
        <v>0.60140562248995899</v>
      </c>
      <c r="C13815" s="6">
        <v>0.72739659702562998</v>
      </c>
    </row>
    <row r="13816" spans="1:3" s="7" customFormat="1" x14ac:dyDescent="0.2">
      <c r="A13816" s="6" t="str">
        <f>"PMS2P8"</f>
        <v>PMS2P8</v>
      </c>
      <c r="B13816" s="6">
        <v>0.60139860139860102</v>
      </c>
      <c r="C13816" s="6">
        <v>0.72739659702562998</v>
      </c>
    </row>
    <row r="13817" spans="1:3" s="7" customFormat="1" x14ac:dyDescent="0.2">
      <c r="A13817" s="6" t="str">
        <f>"RPL22"</f>
        <v>RPL22</v>
      </c>
      <c r="B13817" s="6">
        <v>0.60139860139860102</v>
      </c>
      <c r="C13817" s="6">
        <v>0.72739659702562998</v>
      </c>
    </row>
    <row r="13818" spans="1:3" s="7" customFormat="1" x14ac:dyDescent="0.2">
      <c r="A13818" s="6" t="str">
        <f>"SERPINF2"</f>
        <v>SERPINF2</v>
      </c>
      <c r="B13818" s="6">
        <v>0.60139860139860102</v>
      </c>
      <c r="C13818" s="6">
        <v>0.72739659702562998</v>
      </c>
    </row>
    <row r="13819" spans="1:3" s="7" customFormat="1" x14ac:dyDescent="0.2">
      <c r="A13819" s="6" t="str">
        <f>"AGXT"</f>
        <v>AGXT</v>
      </c>
      <c r="B13819" s="6">
        <v>0.60139860139860102</v>
      </c>
      <c r="C13819" s="6">
        <v>0.72739659702562998</v>
      </c>
    </row>
    <row r="13820" spans="1:3" s="7" customFormat="1" x14ac:dyDescent="0.2">
      <c r="A13820" s="6" t="str">
        <f>"PRR15L"</f>
        <v>PRR15L</v>
      </c>
      <c r="B13820" s="6">
        <v>0.60139860139860102</v>
      </c>
      <c r="C13820" s="6">
        <v>0.72739659702562998</v>
      </c>
    </row>
    <row r="13821" spans="1:3" s="7" customFormat="1" x14ac:dyDescent="0.2">
      <c r="A13821" s="6" t="str">
        <f>"THBS1"</f>
        <v>THBS1</v>
      </c>
      <c r="B13821" s="6">
        <v>0.60239760239760198</v>
      </c>
      <c r="C13821" s="6">
        <v>0.72817484099757901</v>
      </c>
    </row>
    <row r="13822" spans="1:3" s="7" customFormat="1" x14ac:dyDescent="0.2">
      <c r="A13822" s="6" t="str">
        <f>"LAMB1"</f>
        <v>LAMB1</v>
      </c>
      <c r="B13822" s="6">
        <v>0.60239760239760198</v>
      </c>
      <c r="C13822" s="6">
        <v>0.72817484099757901</v>
      </c>
    </row>
    <row r="13823" spans="1:3" s="7" customFormat="1" x14ac:dyDescent="0.2">
      <c r="A13823" s="6" t="str">
        <f>"AC006042.2"</f>
        <v>AC006042.2</v>
      </c>
      <c r="B13823" s="6">
        <v>0.60239760239760198</v>
      </c>
      <c r="C13823" s="6">
        <v>0.72817484099757901</v>
      </c>
    </row>
    <row r="13824" spans="1:3" s="7" customFormat="1" x14ac:dyDescent="0.2">
      <c r="A13824" s="6" t="str">
        <f>"AC008147.2"</f>
        <v>AC008147.2</v>
      </c>
      <c r="B13824" s="6">
        <v>0.60239760239760198</v>
      </c>
      <c r="C13824" s="6">
        <v>0.72817484099757901</v>
      </c>
    </row>
    <row r="13825" spans="1:3" s="7" customFormat="1" x14ac:dyDescent="0.2">
      <c r="A13825" s="6" t="str">
        <f>"LINC00539"</f>
        <v>LINC00539</v>
      </c>
      <c r="B13825" s="6">
        <v>0.60239760239760198</v>
      </c>
      <c r="C13825" s="6">
        <v>0.72817484099757901</v>
      </c>
    </row>
    <row r="13826" spans="1:3" s="7" customFormat="1" x14ac:dyDescent="0.2">
      <c r="A13826" s="6" t="str">
        <f>"AL591368.1"</f>
        <v>AL591368.1</v>
      </c>
      <c r="B13826" s="6">
        <v>0.60239760239760198</v>
      </c>
      <c r="C13826" s="6">
        <v>0.72817484099757901</v>
      </c>
    </row>
    <row r="13827" spans="1:3" s="7" customFormat="1" x14ac:dyDescent="0.2">
      <c r="A13827" s="6" t="str">
        <f>"RIMBP3"</f>
        <v>RIMBP3</v>
      </c>
      <c r="B13827" s="6">
        <v>0.60239760239760198</v>
      </c>
      <c r="C13827" s="6">
        <v>0.72817484099757901</v>
      </c>
    </row>
    <row r="13828" spans="1:3" s="7" customFormat="1" x14ac:dyDescent="0.2">
      <c r="A13828" s="6" t="str">
        <f>"C9orf152"</f>
        <v>C9orf152</v>
      </c>
      <c r="B13828" s="6">
        <v>0.60239760239760198</v>
      </c>
      <c r="C13828" s="6">
        <v>0.72817484099757901</v>
      </c>
    </row>
    <row r="13829" spans="1:3" s="7" customFormat="1" x14ac:dyDescent="0.2">
      <c r="A13829" s="6" t="str">
        <f>"ATG7"</f>
        <v>ATG7</v>
      </c>
      <c r="B13829" s="6">
        <v>0.60339660339660295</v>
      </c>
      <c r="C13829" s="6">
        <v>0.72917148645584695</v>
      </c>
    </row>
    <row r="13830" spans="1:3" s="7" customFormat="1" x14ac:dyDescent="0.2">
      <c r="A13830" s="6" t="str">
        <f>"FSCN2"</f>
        <v>FSCN2</v>
      </c>
      <c r="B13830" s="6">
        <v>0.60339660339660295</v>
      </c>
      <c r="C13830" s="6">
        <v>0.72917148645584695</v>
      </c>
    </row>
    <row r="13831" spans="1:3" s="7" customFormat="1" x14ac:dyDescent="0.2">
      <c r="A13831" s="6" t="str">
        <f>"TAFA5"</f>
        <v>TAFA5</v>
      </c>
      <c r="B13831" s="6">
        <v>0.60339660339660295</v>
      </c>
      <c r="C13831" s="6">
        <v>0.72917148645584695</v>
      </c>
    </row>
    <row r="13832" spans="1:3" s="7" customFormat="1" x14ac:dyDescent="0.2">
      <c r="A13832" s="6" t="str">
        <f>"GPR19"</f>
        <v>GPR19</v>
      </c>
      <c r="B13832" s="6">
        <v>0.60339660339660295</v>
      </c>
      <c r="C13832" s="6">
        <v>0.72917148645584695</v>
      </c>
    </row>
    <row r="13833" spans="1:3" s="7" customFormat="1" x14ac:dyDescent="0.2">
      <c r="A13833" s="6" t="str">
        <f>"ZFP91"</f>
        <v>ZFP91</v>
      </c>
      <c r="B13833" s="6">
        <v>0.60439560439560402</v>
      </c>
      <c r="C13833" s="6">
        <v>0.72977222768122196</v>
      </c>
    </row>
    <row r="13834" spans="1:3" s="7" customFormat="1" x14ac:dyDescent="0.2">
      <c r="A13834" s="6" t="str">
        <f>"MFF-DT"</f>
        <v>MFF-DT</v>
      </c>
      <c r="B13834" s="6">
        <v>0.60404040404040404</v>
      </c>
      <c r="C13834" s="6">
        <v>0.72977222768122196</v>
      </c>
    </row>
    <row r="13835" spans="1:3" s="7" customFormat="1" x14ac:dyDescent="0.2">
      <c r="A13835" s="6" t="str">
        <f>"RGPD8"</f>
        <v>RGPD8</v>
      </c>
      <c r="B13835" s="6">
        <v>0.60439560439560402</v>
      </c>
      <c r="C13835" s="6">
        <v>0.72977222768122196</v>
      </c>
    </row>
    <row r="13836" spans="1:3" s="7" customFormat="1" x14ac:dyDescent="0.2">
      <c r="A13836" s="6" t="str">
        <f>"TAGLN"</f>
        <v>TAGLN</v>
      </c>
      <c r="B13836" s="6">
        <v>0.60439560439560402</v>
      </c>
      <c r="C13836" s="6">
        <v>0.72977222768122196</v>
      </c>
    </row>
    <row r="13837" spans="1:3" s="7" customFormat="1" x14ac:dyDescent="0.2">
      <c r="A13837" s="6" t="str">
        <f>"CTAGE3P"</f>
        <v>CTAGE3P</v>
      </c>
      <c r="B13837" s="6">
        <v>0.60420841683366699</v>
      </c>
      <c r="C13837" s="6">
        <v>0.72977222768122196</v>
      </c>
    </row>
    <row r="13838" spans="1:3" s="7" customFormat="1" x14ac:dyDescent="0.2">
      <c r="A13838" s="6" t="str">
        <f>"PIK3R2"</f>
        <v>PIK3R2</v>
      </c>
      <c r="B13838" s="6">
        <v>0.60439560439560402</v>
      </c>
      <c r="C13838" s="6">
        <v>0.72977222768122196</v>
      </c>
    </row>
    <row r="13839" spans="1:3" s="7" customFormat="1" x14ac:dyDescent="0.2">
      <c r="A13839" s="6" t="str">
        <f>"AC069234.2"</f>
        <v>AC069234.2</v>
      </c>
      <c r="B13839" s="6">
        <v>0.60441767068273</v>
      </c>
      <c r="C13839" s="6">
        <v>0.72977222768122196</v>
      </c>
    </row>
    <row r="13840" spans="1:3" s="7" customFormat="1" x14ac:dyDescent="0.2">
      <c r="A13840" s="6" t="str">
        <f>"GHRLOS"</f>
        <v>GHRLOS</v>
      </c>
      <c r="B13840" s="6">
        <v>0.60439560439560402</v>
      </c>
      <c r="C13840" s="6">
        <v>0.72977222768122196</v>
      </c>
    </row>
    <row r="13841" spans="1:3" s="7" customFormat="1" x14ac:dyDescent="0.2">
      <c r="A13841" s="6" t="str">
        <f>"KDM3A"</f>
        <v>KDM3A</v>
      </c>
      <c r="B13841" s="6">
        <v>0.60439560439560402</v>
      </c>
      <c r="C13841" s="6">
        <v>0.72977222768122196</v>
      </c>
    </row>
    <row r="13842" spans="1:3" s="7" customFormat="1" x14ac:dyDescent="0.2">
      <c r="A13842" s="6" t="str">
        <f>"AC074117.1"</f>
        <v>AC074117.1</v>
      </c>
      <c r="B13842" s="6">
        <v>0.60439560439560402</v>
      </c>
      <c r="C13842" s="6">
        <v>0.72977222768122196</v>
      </c>
    </row>
    <row r="13843" spans="1:3" s="7" customFormat="1" x14ac:dyDescent="0.2">
      <c r="A13843" s="6" t="str">
        <f>"ANO7"</f>
        <v>ANO7</v>
      </c>
      <c r="B13843" s="6">
        <v>0.60439560439560402</v>
      </c>
      <c r="C13843" s="6">
        <v>0.72977222768122196</v>
      </c>
    </row>
    <row r="13844" spans="1:3" s="7" customFormat="1" x14ac:dyDescent="0.2">
      <c r="A13844" s="6" t="str">
        <f>"MAPRE2"</f>
        <v>MAPRE2</v>
      </c>
      <c r="B13844" s="6">
        <v>0.60439560439560402</v>
      </c>
      <c r="C13844" s="6">
        <v>0.72977222768122196</v>
      </c>
    </row>
    <row r="13845" spans="1:3" s="7" customFormat="1" x14ac:dyDescent="0.2">
      <c r="A13845" s="6" t="str">
        <f>"IMMP1L"</f>
        <v>IMMP1L</v>
      </c>
      <c r="B13845" s="6">
        <v>0.60539460539460499</v>
      </c>
      <c r="C13845" s="6">
        <v>0.730582341845879</v>
      </c>
    </row>
    <row r="13846" spans="1:3" s="7" customFormat="1" x14ac:dyDescent="0.2">
      <c r="A13846" s="6" t="str">
        <f>"FBXO39"</f>
        <v>FBXO39</v>
      </c>
      <c r="B13846" s="6">
        <v>0.60539460539460499</v>
      </c>
      <c r="C13846" s="6">
        <v>0.730582341845879</v>
      </c>
    </row>
    <row r="13847" spans="1:3" s="7" customFormat="1" x14ac:dyDescent="0.2">
      <c r="A13847" s="6" t="str">
        <f>"RAPSN"</f>
        <v>RAPSN</v>
      </c>
      <c r="B13847" s="6">
        <v>0.60539460539460499</v>
      </c>
      <c r="C13847" s="6">
        <v>0.730582341845879</v>
      </c>
    </row>
    <row r="13848" spans="1:3" s="7" customFormat="1" x14ac:dyDescent="0.2">
      <c r="A13848" s="6" t="str">
        <f>"NGB"</f>
        <v>NGB</v>
      </c>
      <c r="B13848" s="6">
        <v>0.60539460539460499</v>
      </c>
      <c r="C13848" s="6">
        <v>0.730582341845879</v>
      </c>
    </row>
    <row r="13849" spans="1:3" s="7" customFormat="1" x14ac:dyDescent="0.2">
      <c r="A13849" s="6" t="str">
        <f>"CFAP251"</f>
        <v>CFAP251</v>
      </c>
      <c r="B13849" s="6">
        <v>0.60539460539460499</v>
      </c>
      <c r="C13849" s="6">
        <v>0.730582341845879</v>
      </c>
    </row>
    <row r="13850" spans="1:3" s="7" customFormat="1" x14ac:dyDescent="0.2">
      <c r="A13850" s="6" t="str">
        <f>"LINC02019"</f>
        <v>LINC02019</v>
      </c>
      <c r="B13850" s="6">
        <v>0.60539460539460499</v>
      </c>
      <c r="C13850" s="6">
        <v>0.730582341845879</v>
      </c>
    </row>
    <row r="13851" spans="1:3" s="7" customFormat="1" x14ac:dyDescent="0.2">
      <c r="A13851" s="6" t="str">
        <f>"IDI1"</f>
        <v>IDI1</v>
      </c>
      <c r="B13851" s="6">
        <v>0.60539460539460499</v>
      </c>
      <c r="C13851" s="6">
        <v>0.730582341845879</v>
      </c>
    </row>
    <row r="13852" spans="1:3" s="7" customFormat="1" x14ac:dyDescent="0.2">
      <c r="A13852" s="6" t="str">
        <f>"SOX6"</f>
        <v>SOX6</v>
      </c>
      <c r="B13852" s="6">
        <v>0.60599999999999998</v>
      </c>
      <c r="C13852" s="6">
        <v>0.73126012562269804</v>
      </c>
    </row>
    <row r="13853" spans="1:3" s="7" customFormat="1" x14ac:dyDescent="0.2">
      <c r="A13853" s="6" t="str">
        <f>"DPH2"</f>
        <v>DPH2</v>
      </c>
      <c r="B13853" s="6">
        <v>0.60639360639360596</v>
      </c>
      <c r="C13853" s="6">
        <v>0.73162944757545201</v>
      </c>
    </row>
    <row r="13854" spans="1:3" s="7" customFormat="1" x14ac:dyDescent="0.2">
      <c r="A13854" s="6" t="str">
        <f>"ANKRD36"</f>
        <v>ANKRD36</v>
      </c>
      <c r="B13854" s="6">
        <v>0.60639360639360596</v>
      </c>
      <c r="C13854" s="6">
        <v>0.73162944757545201</v>
      </c>
    </row>
    <row r="13855" spans="1:3" s="7" customFormat="1" x14ac:dyDescent="0.2">
      <c r="A13855" s="6" t="str">
        <f>"TP53TG3D"</f>
        <v>TP53TG3D</v>
      </c>
      <c r="B13855" s="6">
        <v>0.60660660660660604</v>
      </c>
      <c r="C13855" s="6">
        <v>0.73183360926972796</v>
      </c>
    </row>
    <row r="13856" spans="1:3" s="7" customFormat="1" x14ac:dyDescent="0.2">
      <c r="A13856" s="6" t="str">
        <f>"AC103746.1"</f>
        <v>AC103746.1</v>
      </c>
      <c r="B13856" s="6">
        <v>0.60699999999999998</v>
      </c>
      <c r="C13856" s="6">
        <v>0.73220251154734395</v>
      </c>
    </row>
    <row r="13857" spans="1:3" s="7" customFormat="1" x14ac:dyDescent="0.2">
      <c r="A13857" s="6" t="str">
        <f>"HSPH1"</f>
        <v>HSPH1</v>
      </c>
      <c r="B13857" s="6">
        <v>0.60699999999999998</v>
      </c>
      <c r="C13857" s="6">
        <v>0.73220251154734395</v>
      </c>
    </row>
    <row r="13858" spans="1:3" s="7" customFormat="1" x14ac:dyDescent="0.2">
      <c r="A13858" s="6" t="str">
        <f>"SNAP47"</f>
        <v>SNAP47</v>
      </c>
      <c r="B13858" s="6">
        <v>0.60739260739260703</v>
      </c>
      <c r="C13858" s="6">
        <v>0.73235896984273796</v>
      </c>
    </row>
    <row r="13859" spans="1:3" s="7" customFormat="1" x14ac:dyDescent="0.2">
      <c r="A13859" s="6" t="str">
        <f>"AC092123.1"</f>
        <v>AC092123.1</v>
      </c>
      <c r="B13859" s="6">
        <v>0.60739260739260703</v>
      </c>
      <c r="C13859" s="6">
        <v>0.73235896984273796</v>
      </c>
    </row>
    <row r="13860" spans="1:3" s="7" customFormat="1" x14ac:dyDescent="0.2">
      <c r="A13860" s="6" t="str">
        <f>"PRCD"</f>
        <v>PRCD</v>
      </c>
      <c r="B13860" s="6">
        <v>0.60739260739260703</v>
      </c>
      <c r="C13860" s="6">
        <v>0.73235896984273796</v>
      </c>
    </row>
    <row r="13861" spans="1:3" s="7" customFormat="1" x14ac:dyDescent="0.2">
      <c r="A13861" s="6" t="str">
        <f>"SPATA1"</f>
        <v>SPATA1</v>
      </c>
      <c r="B13861" s="6">
        <v>0.60739260739260703</v>
      </c>
      <c r="C13861" s="6">
        <v>0.73235896984273796</v>
      </c>
    </row>
    <row r="13862" spans="1:3" s="7" customFormat="1" x14ac:dyDescent="0.2">
      <c r="A13862" s="6" t="str">
        <f>"ARPP21"</f>
        <v>ARPP21</v>
      </c>
      <c r="B13862" s="6">
        <v>0.60739260739260703</v>
      </c>
      <c r="C13862" s="6">
        <v>0.73235896984273796</v>
      </c>
    </row>
    <row r="13863" spans="1:3" s="7" customFormat="1" x14ac:dyDescent="0.2">
      <c r="A13863" s="6" t="str">
        <f>"C14orf119"</f>
        <v>C14orf119</v>
      </c>
      <c r="B13863" s="6">
        <v>0.60739260739260703</v>
      </c>
      <c r="C13863" s="6">
        <v>0.73235896984273796</v>
      </c>
    </row>
    <row r="13864" spans="1:3" s="7" customFormat="1" x14ac:dyDescent="0.2">
      <c r="A13864" s="6" t="str">
        <f>"ILF2"</f>
        <v>ILF2</v>
      </c>
      <c r="B13864" s="6">
        <v>0.608391608391608</v>
      </c>
      <c r="C13864" s="6">
        <v>0.73314039961480404</v>
      </c>
    </row>
    <row r="13865" spans="1:3" s="7" customFormat="1" x14ac:dyDescent="0.2">
      <c r="A13865" s="6" t="str">
        <f>"AC005840.2"</f>
        <v>AC005840.2</v>
      </c>
      <c r="B13865" s="6">
        <v>0.608391608391608</v>
      </c>
      <c r="C13865" s="6">
        <v>0.73314039961480404</v>
      </c>
    </row>
    <row r="13866" spans="1:3" s="7" customFormat="1" x14ac:dyDescent="0.2">
      <c r="A13866" s="6" t="str">
        <f>"AC000093.1"</f>
        <v>AC000093.1</v>
      </c>
      <c r="B13866" s="6">
        <v>0.608391608391608</v>
      </c>
      <c r="C13866" s="6">
        <v>0.73314039961480404</v>
      </c>
    </row>
    <row r="13867" spans="1:3" s="7" customFormat="1" x14ac:dyDescent="0.2">
      <c r="A13867" s="6" t="str">
        <f>"BX649601.1"</f>
        <v>BX649601.1</v>
      </c>
      <c r="B13867" s="6">
        <v>0.608391608391608</v>
      </c>
      <c r="C13867" s="6">
        <v>0.73314039961480404</v>
      </c>
    </row>
    <row r="13868" spans="1:3" s="7" customFormat="1" x14ac:dyDescent="0.2">
      <c r="A13868" s="6" t="str">
        <f>"SARS1"</f>
        <v>SARS1</v>
      </c>
      <c r="B13868" s="6">
        <v>0.608391608391608</v>
      </c>
      <c r="C13868" s="6">
        <v>0.73314039961480404</v>
      </c>
    </row>
    <row r="13869" spans="1:3" s="7" customFormat="1" x14ac:dyDescent="0.2">
      <c r="A13869" s="6" t="str">
        <f>"RBM38-AS1"</f>
        <v>RBM38-AS1</v>
      </c>
      <c r="B13869" s="6">
        <v>0.608391608391608</v>
      </c>
      <c r="C13869" s="6">
        <v>0.73314039961480404</v>
      </c>
    </row>
    <row r="13870" spans="1:3" s="7" customFormat="1" x14ac:dyDescent="0.2">
      <c r="A13870" s="6" t="str">
        <f>"LIN9"</f>
        <v>LIN9</v>
      </c>
      <c r="B13870" s="6">
        <v>0.608391608391608</v>
      </c>
      <c r="C13870" s="6">
        <v>0.73314039961480404</v>
      </c>
    </row>
    <row r="13871" spans="1:3" s="7" customFormat="1" x14ac:dyDescent="0.2">
      <c r="A13871" s="6" t="str">
        <f>"LINC01993"</f>
        <v>LINC01993</v>
      </c>
      <c r="B13871" s="6">
        <v>0.60820512820512795</v>
      </c>
      <c r="C13871" s="6">
        <v>0.73314039961480404</v>
      </c>
    </row>
    <row r="13872" spans="1:3" s="7" customFormat="1" x14ac:dyDescent="0.2">
      <c r="A13872" s="6" t="str">
        <f>"CTBS"</f>
        <v>CTBS</v>
      </c>
      <c r="B13872" s="6">
        <v>0.60939060939060896</v>
      </c>
      <c r="C13872" s="6">
        <v>0.73381517617828795</v>
      </c>
    </row>
    <row r="13873" spans="1:3" s="7" customFormat="1" x14ac:dyDescent="0.2">
      <c r="A13873" s="6" t="str">
        <f>"ANKRD12"</f>
        <v>ANKRD12</v>
      </c>
      <c r="B13873" s="6">
        <v>0.60939060939060896</v>
      </c>
      <c r="C13873" s="6">
        <v>0.73381517617828795</v>
      </c>
    </row>
    <row r="13874" spans="1:3" s="7" customFormat="1" x14ac:dyDescent="0.2">
      <c r="A13874" s="6" t="str">
        <f>"TOMM40"</f>
        <v>TOMM40</v>
      </c>
      <c r="B13874" s="6">
        <v>0.60939060939060896</v>
      </c>
      <c r="C13874" s="6">
        <v>0.73381517617828795</v>
      </c>
    </row>
    <row r="13875" spans="1:3" s="7" customFormat="1" x14ac:dyDescent="0.2">
      <c r="A13875" s="6" t="str">
        <f>"SYN1"</f>
        <v>SYN1</v>
      </c>
      <c r="B13875" s="6">
        <v>0.60939060939060896</v>
      </c>
      <c r="C13875" s="6">
        <v>0.73381517617828795</v>
      </c>
    </row>
    <row r="13876" spans="1:3" s="7" customFormat="1" x14ac:dyDescent="0.2">
      <c r="A13876" s="6" t="str">
        <f>"AC012101.2"</f>
        <v>AC012101.2</v>
      </c>
      <c r="B13876" s="6">
        <v>0.60939060939060896</v>
      </c>
      <c r="C13876" s="6">
        <v>0.73381517617828795</v>
      </c>
    </row>
    <row r="13877" spans="1:3" s="7" customFormat="1" x14ac:dyDescent="0.2">
      <c r="A13877" s="6" t="str">
        <f>"ST8SIA2"</f>
        <v>ST8SIA2</v>
      </c>
      <c r="B13877" s="6">
        <v>0.60939060939060896</v>
      </c>
      <c r="C13877" s="6">
        <v>0.73381517617828795</v>
      </c>
    </row>
    <row r="13878" spans="1:3" s="7" customFormat="1" x14ac:dyDescent="0.2">
      <c r="A13878" s="6" t="str">
        <f>"FAM120B"</f>
        <v>FAM120B</v>
      </c>
      <c r="B13878" s="6">
        <v>0.60939060939060896</v>
      </c>
      <c r="C13878" s="6">
        <v>0.73381517617828795</v>
      </c>
    </row>
    <row r="13879" spans="1:3" s="7" customFormat="1" x14ac:dyDescent="0.2">
      <c r="A13879" s="6" t="str">
        <f>"CD81"</f>
        <v>CD81</v>
      </c>
      <c r="B13879" s="6">
        <v>0.60939060939060896</v>
      </c>
      <c r="C13879" s="6">
        <v>0.73381517617828795</v>
      </c>
    </row>
    <row r="13880" spans="1:3" s="7" customFormat="1" x14ac:dyDescent="0.2">
      <c r="A13880" s="6" t="str">
        <f>"UPK3B"</f>
        <v>UPK3B</v>
      </c>
      <c r="B13880" s="6">
        <v>0.60939060939060896</v>
      </c>
      <c r="C13880" s="6">
        <v>0.73381517617828795</v>
      </c>
    </row>
    <row r="13881" spans="1:3" s="7" customFormat="1" x14ac:dyDescent="0.2">
      <c r="A13881" s="6" t="str">
        <f>"AC010327.7"</f>
        <v>AC010327.7</v>
      </c>
      <c r="B13881" s="6">
        <v>0.60939060939060896</v>
      </c>
      <c r="C13881" s="6">
        <v>0.73381517617828795</v>
      </c>
    </row>
    <row r="13882" spans="1:3" s="7" customFormat="1" x14ac:dyDescent="0.2">
      <c r="A13882" s="6" t="str">
        <f>"AC010401.1"</f>
        <v>AC010401.1</v>
      </c>
      <c r="B13882" s="6">
        <v>0.60960960960960897</v>
      </c>
      <c r="C13882" s="6">
        <v>0.734026007853541</v>
      </c>
    </row>
    <row r="13883" spans="1:3" s="7" customFormat="1" x14ac:dyDescent="0.2">
      <c r="A13883" s="6" t="str">
        <f>"AL137060.3"</f>
        <v>AL137060.3</v>
      </c>
      <c r="B13883" s="6">
        <v>0.61005025125628098</v>
      </c>
      <c r="C13883" s="6">
        <v>0.734436105971632</v>
      </c>
    </row>
    <row r="13884" spans="1:3" s="7" customFormat="1" x14ac:dyDescent="0.2">
      <c r="A13884" s="6" t="str">
        <f>"AKR7A3"</f>
        <v>AKR7A3</v>
      </c>
      <c r="B13884" s="6">
        <v>0.61038961038961004</v>
      </c>
      <c r="C13884" s="6">
        <v>0.734436105971632</v>
      </c>
    </row>
    <row r="13885" spans="1:3" s="7" customFormat="1" x14ac:dyDescent="0.2">
      <c r="A13885" s="6" t="str">
        <f>"ZBTB22"</f>
        <v>ZBTB22</v>
      </c>
      <c r="B13885" s="6">
        <v>0.61038961038961004</v>
      </c>
      <c r="C13885" s="6">
        <v>0.734436105971632</v>
      </c>
    </row>
    <row r="13886" spans="1:3" s="7" customFormat="1" x14ac:dyDescent="0.2">
      <c r="A13886" s="6" t="str">
        <f>"SPON1"</f>
        <v>SPON1</v>
      </c>
      <c r="B13886" s="6">
        <v>0.61038961038961004</v>
      </c>
      <c r="C13886" s="6">
        <v>0.734436105971632</v>
      </c>
    </row>
    <row r="13887" spans="1:3" s="7" customFormat="1" x14ac:dyDescent="0.2">
      <c r="A13887" s="6" t="str">
        <f>"LINC01569"</f>
        <v>LINC01569</v>
      </c>
      <c r="B13887" s="6">
        <v>0.61038961038961004</v>
      </c>
      <c r="C13887" s="6">
        <v>0.734436105971632</v>
      </c>
    </row>
    <row r="13888" spans="1:3" s="7" customFormat="1" x14ac:dyDescent="0.2">
      <c r="A13888" s="6" t="str">
        <f>"CAVIN1"</f>
        <v>CAVIN1</v>
      </c>
      <c r="B13888" s="6">
        <v>0.61038961038961004</v>
      </c>
      <c r="C13888" s="6">
        <v>0.734436105971632</v>
      </c>
    </row>
    <row r="13889" spans="1:3" s="7" customFormat="1" x14ac:dyDescent="0.2">
      <c r="A13889" s="6" t="str">
        <f>"UPK2"</f>
        <v>UPK2</v>
      </c>
      <c r="B13889" s="6">
        <v>0.61038961038961004</v>
      </c>
      <c r="C13889" s="6">
        <v>0.734436105971632</v>
      </c>
    </row>
    <row r="13890" spans="1:3" s="7" customFormat="1" x14ac:dyDescent="0.2">
      <c r="A13890" s="6" t="str">
        <f>"TAB1"</f>
        <v>TAB1</v>
      </c>
      <c r="B13890" s="6">
        <v>0.61038961038961004</v>
      </c>
      <c r="C13890" s="6">
        <v>0.734436105971632</v>
      </c>
    </row>
    <row r="13891" spans="1:3" s="7" customFormat="1" x14ac:dyDescent="0.2">
      <c r="A13891" s="6" t="str">
        <f>"AC111170.3"</f>
        <v>AC111170.3</v>
      </c>
      <c r="B13891" s="6">
        <v>0.61038961038961004</v>
      </c>
      <c r="C13891" s="6">
        <v>0.734436105971632</v>
      </c>
    </row>
    <row r="13892" spans="1:3" s="7" customFormat="1" x14ac:dyDescent="0.2">
      <c r="A13892" s="6" t="str">
        <f>"JUN"</f>
        <v>JUN</v>
      </c>
      <c r="B13892" s="6">
        <v>0.61038961038961004</v>
      </c>
      <c r="C13892" s="6">
        <v>0.734436105971632</v>
      </c>
    </row>
    <row r="13893" spans="1:3" s="7" customFormat="1" x14ac:dyDescent="0.2">
      <c r="A13893" s="6" t="str">
        <f>"DLG3"</f>
        <v>DLG3</v>
      </c>
      <c r="B13893" s="6">
        <v>0.611388611388611</v>
      </c>
      <c r="C13893" s="6">
        <v>0.73526761050145695</v>
      </c>
    </row>
    <row r="13894" spans="1:3" s="7" customFormat="1" x14ac:dyDescent="0.2">
      <c r="A13894" s="6" t="str">
        <f>"STPG4"</f>
        <v>STPG4</v>
      </c>
      <c r="B13894" s="6">
        <v>0.611388611388611</v>
      </c>
      <c r="C13894" s="6">
        <v>0.73526761050145695</v>
      </c>
    </row>
    <row r="13895" spans="1:3" s="7" customFormat="1" x14ac:dyDescent="0.2">
      <c r="A13895" s="6" t="str">
        <f>"AC026740.1"</f>
        <v>AC026740.1</v>
      </c>
      <c r="B13895" s="6">
        <v>0.611388611388611</v>
      </c>
      <c r="C13895" s="6">
        <v>0.73526761050145695</v>
      </c>
    </row>
    <row r="13896" spans="1:3" s="7" customFormat="1" x14ac:dyDescent="0.2">
      <c r="A13896" s="6" t="str">
        <f>"GSDMD"</f>
        <v>GSDMD</v>
      </c>
      <c r="B13896" s="6">
        <v>0.611388611388611</v>
      </c>
      <c r="C13896" s="6">
        <v>0.73526761050145695</v>
      </c>
    </row>
    <row r="13897" spans="1:3" s="7" customFormat="1" x14ac:dyDescent="0.2">
      <c r="A13897" s="6" t="str">
        <f>"ATP2A2"</f>
        <v>ATP2A2</v>
      </c>
      <c r="B13897" s="6">
        <v>0.611388611388611</v>
      </c>
      <c r="C13897" s="6">
        <v>0.73526761050145695</v>
      </c>
    </row>
    <row r="13898" spans="1:3" s="7" customFormat="1" x14ac:dyDescent="0.2">
      <c r="A13898" s="6" t="str">
        <f>"HECTD4"</f>
        <v>HECTD4</v>
      </c>
      <c r="B13898" s="6">
        <v>0.611388611388611</v>
      </c>
      <c r="C13898" s="6">
        <v>0.73526761050145695</v>
      </c>
    </row>
    <row r="13899" spans="1:3" s="7" customFormat="1" x14ac:dyDescent="0.2">
      <c r="A13899" s="6" t="str">
        <f>"AAAS"</f>
        <v>AAAS</v>
      </c>
      <c r="B13899" s="6">
        <v>0.611388611388611</v>
      </c>
      <c r="C13899" s="6">
        <v>0.73526761050145695</v>
      </c>
    </row>
    <row r="13900" spans="1:3" s="7" customFormat="1" x14ac:dyDescent="0.2">
      <c r="A13900" s="6" t="str">
        <f>"AC092718.1"</f>
        <v>AC092718.1</v>
      </c>
      <c r="B13900" s="6">
        <v>0.61199999999999999</v>
      </c>
      <c r="C13900" s="6">
        <v>0.73594992445499596</v>
      </c>
    </row>
    <row r="13901" spans="1:3" s="7" customFormat="1" x14ac:dyDescent="0.2">
      <c r="A13901" s="6" t="str">
        <f>"PKD1P6-NPIPP1"</f>
        <v>PKD1P6-NPIPP1</v>
      </c>
      <c r="B13901" s="6">
        <v>0.61238761238761197</v>
      </c>
      <c r="C13901" s="6">
        <v>0.73620416841304404</v>
      </c>
    </row>
    <row r="13902" spans="1:3" s="7" customFormat="1" x14ac:dyDescent="0.2">
      <c r="A13902" s="6" t="str">
        <f>"FOXP3"</f>
        <v>FOXP3</v>
      </c>
      <c r="B13902" s="6">
        <v>0.61238761238761197</v>
      </c>
      <c r="C13902" s="6">
        <v>0.73620416841304404</v>
      </c>
    </row>
    <row r="13903" spans="1:3" s="7" customFormat="1" x14ac:dyDescent="0.2">
      <c r="A13903" s="6" t="str">
        <f>"COX7B"</f>
        <v>COX7B</v>
      </c>
      <c r="B13903" s="6">
        <v>0.61238761238761197</v>
      </c>
      <c r="C13903" s="6">
        <v>0.73620416841304404</v>
      </c>
    </row>
    <row r="13904" spans="1:3" s="7" customFormat="1" x14ac:dyDescent="0.2">
      <c r="A13904" s="6" t="str">
        <f>"FAM72B"</f>
        <v>FAM72B</v>
      </c>
      <c r="B13904" s="6">
        <v>0.61238761238761197</v>
      </c>
      <c r="C13904" s="6">
        <v>0.73620416841304404</v>
      </c>
    </row>
    <row r="13905" spans="1:3" s="7" customFormat="1" x14ac:dyDescent="0.2">
      <c r="A13905" s="6" t="str">
        <f>"AC011462.5"</f>
        <v>AC011462.5</v>
      </c>
      <c r="B13905" s="6">
        <v>0.61261261261261202</v>
      </c>
      <c r="C13905" s="6">
        <v>0.73642169211789399</v>
      </c>
    </row>
    <row r="13906" spans="1:3" s="7" customFormat="1" x14ac:dyDescent="0.2">
      <c r="A13906" s="6" t="str">
        <f>"GRM6"</f>
        <v>GRM6</v>
      </c>
      <c r="B13906" s="6">
        <v>0.61338661338661304</v>
      </c>
      <c r="C13906" s="6">
        <v>0.73682218313524905</v>
      </c>
    </row>
    <row r="13907" spans="1:3" s="7" customFormat="1" x14ac:dyDescent="0.2">
      <c r="A13907" s="6" t="str">
        <f>"AL691403.2"</f>
        <v>AL691403.2</v>
      </c>
      <c r="B13907" s="6">
        <v>0.61329305135951595</v>
      </c>
      <c r="C13907" s="6">
        <v>0.73682218313524905</v>
      </c>
    </row>
    <row r="13908" spans="1:3" s="7" customFormat="1" x14ac:dyDescent="0.2">
      <c r="A13908" s="6" t="str">
        <f>"JPH4"</f>
        <v>JPH4</v>
      </c>
      <c r="B13908" s="6">
        <v>0.61338661338661304</v>
      </c>
      <c r="C13908" s="6">
        <v>0.73682218313524905</v>
      </c>
    </row>
    <row r="13909" spans="1:3" s="7" customFormat="1" x14ac:dyDescent="0.2">
      <c r="A13909" s="6" t="str">
        <f>"EP300-AS1"</f>
        <v>EP300-AS1</v>
      </c>
      <c r="B13909" s="6">
        <v>0.61338661338661304</v>
      </c>
      <c r="C13909" s="6">
        <v>0.73682218313524905</v>
      </c>
    </row>
    <row r="13910" spans="1:3" s="7" customFormat="1" x14ac:dyDescent="0.2">
      <c r="A13910" s="6" t="str">
        <f>"FRMPD3"</f>
        <v>FRMPD3</v>
      </c>
      <c r="B13910" s="6">
        <v>0.61338661338661304</v>
      </c>
      <c r="C13910" s="6">
        <v>0.73682218313524905</v>
      </c>
    </row>
    <row r="13911" spans="1:3" s="7" customFormat="1" x14ac:dyDescent="0.2">
      <c r="A13911" s="6" t="str">
        <f>"AC111182.1"</f>
        <v>AC111182.1</v>
      </c>
      <c r="B13911" s="6">
        <v>0.61338661338661304</v>
      </c>
      <c r="C13911" s="6">
        <v>0.73682218313524905</v>
      </c>
    </row>
    <row r="13912" spans="1:3" s="7" customFormat="1" x14ac:dyDescent="0.2">
      <c r="A13912" s="6" t="str">
        <f>"UTP20"</f>
        <v>UTP20</v>
      </c>
      <c r="B13912" s="6">
        <v>0.61338661338661304</v>
      </c>
      <c r="C13912" s="6">
        <v>0.73682218313524905</v>
      </c>
    </row>
    <row r="13913" spans="1:3" s="7" customFormat="1" x14ac:dyDescent="0.2">
      <c r="A13913" s="6" t="str">
        <f>"TRABD2B"</f>
        <v>TRABD2B</v>
      </c>
      <c r="B13913" s="6">
        <v>0.61338661338661304</v>
      </c>
      <c r="C13913" s="6">
        <v>0.73682218313524905</v>
      </c>
    </row>
    <row r="13914" spans="1:3" s="7" customFormat="1" x14ac:dyDescent="0.2">
      <c r="A13914" s="6" t="str">
        <f>"BUD23"</f>
        <v>BUD23</v>
      </c>
      <c r="B13914" s="6">
        <v>0.61338661338661304</v>
      </c>
      <c r="C13914" s="6">
        <v>0.73682218313524905</v>
      </c>
    </row>
    <row r="13915" spans="1:3" s="7" customFormat="1" x14ac:dyDescent="0.2">
      <c r="A13915" s="6" t="str">
        <f>"PIP4K2A"</f>
        <v>PIP4K2A</v>
      </c>
      <c r="B13915" s="6">
        <v>0.61338661338661304</v>
      </c>
      <c r="C13915" s="6">
        <v>0.73682218313524905</v>
      </c>
    </row>
    <row r="13916" spans="1:3" s="7" customFormat="1" x14ac:dyDescent="0.2">
      <c r="A13916" s="6" t="str">
        <f>"AIPL1"</f>
        <v>AIPL1</v>
      </c>
      <c r="B13916" s="6">
        <v>0.61345381526104403</v>
      </c>
      <c r="C13916" s="6">
        <v>0.73684995100776796</v>
      </c>
    </row>
    <row r="13917" spans="1:3" s="7" customFormat="1" x14ac:dyDescent="0.2">
      <c r="A13917" s="6" t="str">
        <f>"NREP"</f>
        <v>NREP</v>
      </c>
      <c r="B13917" s="6">
        <v>0.61438561438561401</v>
      </c>
      <c r="C13917" s="6">
        <v>0.73749218319744003</v>
      </c>
    </row>
    <row r="13918" spans="1:3" s="7" customFormat="1" x14ac:dyDescent="0.2">
      <c r="A13918" s="6" t="str">
        <f>"TTC17"</f>
        <v>TTC17</v>
      </c>
      <c r="B13918" s="6">
        <v>0.61438561438561401</v>
      </c>
      <c r="C13918" s="6">
        <v>0.73749218319744003</v>
      </c>
    </row>
    <row r="13919" spans="1:3" s="7" customFormat="1" x14ac:dyDescent="0.2">
      <c r="A13919" s="6" t="str">
        <f>"RIPK1"</f>
        <v>RIPK1</v>
      </c>
      <c r="B13919" s="6">
        <v>0.61438561438561401</v>
      </c>
      <c r="C13919" s="6">
        <v>0.73749218319744003</v>
      </c>
    </row>
    <row r="13920" spans="1:3" s="7" customFormat="1" x14ac:dyDescent="0.2">
      <c r="A13920" s="6" t="str">
        <f>"FRMPD4"</f>
        <v>FRMPD4</v>
      </c>
      <c r="B13920" s="6">
        <v>0.61438561438561401</v>
      </c>
      <c r="C13920" s="6">
        <v>0.73749218319744003</v>
      </c>
    </row>
    <row r="13921" spans="1:3" s="7" customFormat="1" x14ac:dyDescent="0.2">
      <c r="A13921" s="6" t="str">
        <f>"MIGA2"</f>
        <v>MIGA2</v>
      </c>
      <c r="B13921" s="6">
        <v>0.61438561438561401</v>
      </c>
      <c r="C13921" s="6">
        <v>0.73749218319744003</v>
      </c>
    </row>
    <row r="13922" spans="1:3" s="7" customFormat="1" x14ac:dyDescent="0.2">
      <c r="A13922" s="6" t="str">
        <f>"BMP7"</f>
        <v>BMP7</v>
      </c>
      <c r="B13922" s="6">
        <v>0.61438561438561401</v>
      </c>
      <c r="C13922" s="6">
        <v>0.73749218319744003</v>
      </c>
    </row>
    <row r="13923" spans="1:3" s="7" customFormat="1" x14ac:dyDescent="0.2">
      <c r="A13923" s="6" t="str">
        <f>"ST7"</f>
        <v>ST7</v>
      </c>
      <c r="B13923" s="6">
        <v>0.61438561438561401</v>
      </c>
      <c r="C13923" s="6">
        <v>0.73749218319744003</v>
      </c>
    </row>
    <row r="13924" spans="1:3" s="7" customFormat="1" x14ac:dyDescent="0.2">
      <c r="A13924" s="6" t="str">
        <f>"PTGES3L-AARSD1"</f>
        <v>PTGES3L-AARSD1</v>
      </c>
      <c r="B13924" s="6">
        <v>0.61438561438561401</v>
      </c>
      <c r="C13924" s="6">
        <v>0.73749218319744003</v>
      </c>
    </row>
    <row r="13925" spans="1:3" s="7" customFormat="1" x14ac:dyDescent="0.2">
      <c r="A13925" s="6" t="str">
        <f>"RPL17"</f>
        <v>RPL17</v>
      </c>
      <c r="B13925" s="6">
        <v>0.61438561438561401</v>
      </c>
      <c r="C13925" s="6">
        <v>0.73749218319744003</v>
      </c>
    </row>
    <row r="13926" spans="1:3" s="7" customFormat="1" x14ac:dyDescent="0.2">
      <c r="A13926" s="6" t="str">
        <f>"AC139768.1"</f>
        <v>AC139768.1</v>
      </c>
      <c r="B13926" s="6">
        <v>0.61538461538461497</v>
      </c>
      <c r="C13926" s="6">
        <v>0.738267187879591</v>
      </c>
    </row>
    <row r="13927" spans="1:3" s="7" customFormat="1" x14ac:dyDescent="0.2">
      <c r="A13927" s="6" t="str">
        <f>"STATH"</f>
        <v>STATH</v>
      </c>
      <c r="B13927" s="6">
        <v>0.61538461538461497</v>
      </c>
      <c r="C13927" s="6">
        <v>0.738267187879591</v>
      </c>
    </row>
    <row r="13928" spans="1:3" s="7" customFormat="1" x14ac:dyDescent="0.2">
      <c r="A13928" s="6" t="str">
        <f>"SCNN1A"</f>
        <v>SCNN1A</v>
      </c>
      <c r="B13928" s="6">
        <v>0.61538461538461497</v>
      </c>
      <c r="C13928" s="6">
        <v>0.738267187879591</v>
      </c>
    </row>
    <row r="13929" spans="1:3" s="7" customFormat="1" x14ac:dyDescent="0.2">
      <c r="A13929" s="6" t="str">
        <f>"DBIL5P2"</f>
        <v>DBIL5P2</v>
      </c>
      <c r="B13929" s="6">
        <v>0.61538461538461497</v>
      </c>
      <c r="C13929" s="6">
        <v>0.738267187879591</v>
      </c>
    </row>
    <row r="13930" spans="1:3" s="7" customFormat="1" x14ac:dyDescent="0.2">
      <c r="A13930" s="6" t="str">
        <f>"STIMATE-MUSTN1"</f>
        <v>STIMATE-MUSTN1</v>
      </c>
      <c r="B13930" s="6">
        <v>0.61538461538461497</v>
      </c>
      <c r="C13930" s="6">
        <v>0.738267187879591</v>
      </c>
    </row>
    <row r="13931" spans="1:3" s="7" customFormat="1" x14ac:dyDescent="0.2">
      <c r="A13931" s="6" t="str">
        <f>"HRAT92"</f>
        <v>HRAT92</v>
      </c>
      <c r="B13931" s="6">
        <v>0.61538461538461497</v>
      </c>
      <c r="C13931" s="6">
        <v>0.738267187879591</v>
      </c>
    </row>
    <row r="13932" spans="1:3" s="7" customFormat="1" x14ac:dyDescent="0.2">
      <c r="A13932" s="6" t="str">
        <f>"RPS15A"</f>
        <v>RPS15A</v>
      </c>
      <c r="B13932" s="6">
        <v>0.61538461538461497</v>
      </c>
      <c r="C13932" s="6">
        <v>0.738267187879591</v>
      </c>
    </row>
    <row r="13933" spans="1:3" s="7" customFormat="1" x14ac:dyDescent="0.2">
      <c r="A13933" s="6" t="str">
        <f>"GOLGA6L10"</f>
        <v>GOLGA6L10</v>
      </c>
      <c r="B13933" s="6">
        <v>0.61538461538461497</v>
      </c>
      <c r="C13933" s="6">
        <v>0.738267187879591</v>
      </c>
    </row>
    <row r="13934" spans="1:3" s="7" customFormat="1" x14ac:dyDescent="0.2">
      <c r="A13934" s="6" t="str">
        <f>"CEP83-DT"</f>
        <v>CEP83-DT</v>
      </c>
      <c r="B13934" s="6">
        <v>0.61561561561561495</v>
      </c>
      <c r="C13934" s="6">
        <v>0.73849130836139998</v>
      </c>
    </row>
    <row r="13935" spans="1:3" s="7" customFormat="1" x14ac:dyDescent="0.2">
      <c r="A13935" s="6" t="str">
        <f>"ATP2B1-AS1"</f>
        <v>ATP2B1-AS1</v>
      </c>
      <c r="B13935" s="6">
        <v>0.61638361638361605</v>
      </c>
      <c r="C13935" s="6">
        <v>0.73898829095730301</v>
      </c>
    </row>
    <row r="13936" spans="1:3" s="7" customFormat="1" x14ac:dyDescent="0.2">
      <c r="A13936" s="6" t="str">
        <f>"GUK1"</f>
        <v>GUK1</v>
      </c>
      <c r="B13936" s="6">
        <v>0.61638361638361605</v>
      </c>
      <c r="C13936" s="6">
        <v>0.73898829095730301</v>
      </c>
    </row>
    <row r="13937" spans="1:3" s="7" customFormat="1" x14ac:dyDescent="0.2">
      <c r="A13937" s="6" t="str">
        <f>"LINC02795"</f>
        <v>LINC02795</v>
      </c>
      <c r="B13937" s="6">
        <v>0.61638361638361605</v>
      </c>
      <c r="C13937" s="6">
        <v>0.73898829095730301</v>
      </c>
    </row>
    <row r="13938" spans="1:3" s="7" customFormat="1" x14ac:dyDescent="0.2">
      <c r="A13938" s="6" t="str">
        <f>"MAU2"</f>
        <v>MAU2</v>
      </c>
      <c r="B13938" s="6">
        <v>0.61638361638361605</v>
      </c>
      <c r="C13938" s="6">
        <v>0.73898829095730301</v>
      </c>
    </row>
    <row r="13939" spans="1:3" s="7" customFormat="1" x14ac:dyDescent="0.2">
      <c r="A13939" s="6" t="str">
        <f>"AC104134.1"</f>
        <v>AC104134.1</v>
      </c>
      <c r="B13939" s="6">
        <v>0.61608040201004999</v>
      </c>
      <c r="C13939" s="6">
        <v>0.73898829095730301</v>
      </c>
    </row>
    <row r="13940" spans="1:3" s="7" customFormat="1" x14ac:dyDescent="0.2">
      <c r="A13940" s="6" t="str">
        <f>"TRPT1"</f>
        <v>TRPT1</v>
      </c>
      <c r="B13940" s="6">
        <v>0.61638361638361605</v>
      </c>
      <c r="C13940" s="6">
        <v>0.73898829095730301</v>
      </c>
    </row>
    <row r="13941" spans="1:3" s="7" customFormat="1" x14ac:dyDescent="0.2">
      <c r="A13941" s="6" t="str">
        <f>"ZNF485"</f>
        <v>ZNF485</v>
      </c>
      <c r="B13941" s="6">
        <v>0.61638361638361605</v>
      </c>
      <c r="C13941" s="6">
        <v>0.73898829095730301</v>
      </c>
    </row>
    <row r="13942" spans="1:3" s="7" customFormat="1" x14ac:dyDescent="0.2">
      <c r="A13942" s="6" t="str">
        <f>"GINM1"</f>
        <v>GINM1</v>
      </c>
      <c r="B13942" s="6">
        <v>0.61638361638361605</v>
      </c>
      <c r="C13942" s="6">
        <v>0.73898829095730301</v>
      </c>
    </row>
    <row r="13943" spans="1:3" s="7" customFormat="1" x14ac:dyDescent="0.2">
      <c r="A13943" s="6" t="str">
        <f>"PRR34"</f>
        <v>PRR34</v>
      </c>
      <c r="B13943" s="6">
        <v>0.61664953751284601</v>
      </c>
      <c r="C13943" s="6">
        <v>0.73925407904100704</v>
      </c>
    </row>
    <row r="13944" spans="1:3" s="7" customFormat="1" x14ac:dyDescent="0.2">
      <c r="A13944" s="6" t="str">
        <f>"ATXN2-AS"</f>
        <v>ATXN2-AS</v>
      </c>
      <c r="B13944" s="6">
        <v>0.616700201207243</v>
      </c>
      <c r="C13944" s="6">
        <v>0.73926179179357798</v>
      </c>
    </row>
    <row r="13945" spans="1:3" s="7" customFormat="1" x14ac:dyDescent="0.2">
      <c r="A13945" s="6" t="str">
        <f>"Z83840.1"</f>
        <v>Z83840.1</v>
      </c>
      <c r="B13945" s="6">
        <v>0.61738261738261702</v>
      </c>
      <c r="C13945" s="6">
        <v>0.73949642159474405</v>
      </c>
    </row>
    <row r="13946" spans="1:3" s="7" customFormat="1" x14ac:dyDescent="0.2">
      <c r="A13946" s="6" t="str">
        <f>"AC010247.2"</f>
        <v>AC010247.2</v>
      </c>
      <c r="B13946" s="6">
        <v>0.61738261738261702</v>
      </c>
      <c r="C13946" s="6">
        <v>0.73949642159474405</v>
      </c>
    </row>
    <row r="13947" spans="1:3" s="7" customFormat="1" x14ac:dyDescent="0.2">
      <c r="A13947" s="6" t="str">
        <f>"AC104041.1"</f>
        <v>AC104041.1</v>
      </c>
      <c r="B13947" s="6">
        <v>0.61738261738261702</v>
      </c>
      <c r="C13947" s="6">
        <v>0.73949642159474405</v>
      </c>
    </row>
    <row r="13948" spans="1:3" s="7" customFormat="1" x14ac:dyDescent="0.2">
      <c r="A13948" s="6" t="str">
        <f>"JOSD2"</f>
        <v>JOSD2</v>
      </c>
      <c r="B13948" s="6">
        <v>0.61738261738261702</v>
      </c>
      <c r="C13948" s="6">
        <v>0.73949642159474405</v>
      </c>
    </row>
    <row r="13949" spans="1:3" s="7" customFormat="1" x14ac:dyDescent="0.2">
      <c r="A13949" s="6" t="str">
        <f>"FAM50B"</f>
        <v>FAM50B</v>
      </c>
      <c r="B13949" s="6">
        <v>0.61738261738261702</v>
      </c>
      <c r="C13949" s="6">
        <v>0.73949642159474405</v>
      </c>
    </row>
    <row r="13950" spans="1:3" s="7" customFormat="1" x14ac:dyDescent="0.2">
      <c r="A13950" s="6" t="str">
        <f>"RTRAF"</f>
        <v>RTRAF</v>
      </c>
      <c r="B13950" s="6">
        <v>0.61738261738261702</v>
      </c>
      <c r="C13950" s="6">
        <v>0.73949642159474405</v>
      </c>
    </row>
    <row r="13951" spans="1:3" s="7" customFormat="1" x14ac:dyDescent="0.2">
      <c r="A13951" s="6" t="str">
        <f>"PSMD12"</f>
        <v>PSMD12</v>
      </c>
      <c r="B13951" s="6">
        <v>0.61738261738261702</v>
      </c>
      <c r="C13951" s="6">
        <v>0.73949642159474405</v>
      </c>
    </row>
    <row r="13952" spans="1:3" s="7" customFormat="1" x14ac:dyDescent="0.2">
      <c r="A13952" s="6" t="str">
        <f>"CBSL"</f>
        <v>CBSL</v>
      </c>
      <c r="B13952" s="6">
        <v>0.61738261738261702</v>
      </c>
      <c r="C13952" s="6">
        <v>0.73949642159474405</v>
      </c>
    </row>
    <row r="13953" spans="1:3" s="7" customFormat="1" x14ac:dyDescent="0.2">
      <c r="A13953" s="6" t="str">
        <f>"GZMK"</f>
        <v>GZMK</v>
      </c>
      <c r="B13953" s="6">
        <v>0.61738261738261702</v>
      </c>
      <c r="C13953" s="6">
        <v>0.73949642159474405</v>
      </c>
    </row>
    <row r="13954" spans="1:3" s="7" customFormat="1" x14ac:dyDescent="0.2">
      <c r="A13954" s="6" t="str">
        <f>"KRT16P5"</f>
        <v>KRT16P5</v>
      </c>
      <c r="B13954" s="6">
        <v>0.61738261738261702</v>
      </c>
      <c r="C13954" s="6">
        <v>0.73949642159474405</v>
      </c>
    </row>
    <row r="13955" spans="1:3" s="7" customFormat="1" x14ac:dyDescent="0.2">
      <c r="A13955" s="6" t="str">
        <f>"CSTF3"</f>
        <v>CSTF3</v>
      </c>
      <c r="B13955" s="6">
        <v>0.61738261738261702</v>
      </c>
      <c r="C13955" s="6">
        <v>0.73949642159474405</v>
      </c>
    </row>
    <row r="13956" spans="1:3" s="7" customFormat="1" x14ac:dyDescent="0.2">
      <c r="A13956" s="6" t="str">
        <f>"RIC8A"</f>
        <v>RIC8A</v>
      </c>
      <c r="B13956" s="6">
        <v>0.61838161838161798</v>
      </c>
      <c r="C13956" s="6">
        <v>0.74000360633137896</v>
      </c>
    </row>
    <row r="13957" spans="1:3" s="7" customFormat="1" x14ac:dyDescent="0.2">
      <c r="A13957" s="6" t="str">
        <f>"TECPR2"</f>
        <v>TECPR2</v>
      </c>
      <c r="B13957" s="6">
        <v>0.61838161838161798</v>
      </c>
      <c r="C13957" s="6">
        <v>0.74000360633137896</v>
      </c>
    </row>
    <row r="13958" spans="1:3" s="7" customFormat="1" x14ac:dyDescent="0.2">
      <c r="A13958" s="6" t="str">
        <f>"AC008870.3"</f>
        <v>AC008870.3</v>
      </c>
      <c r="B13958" s="6">
        <v>0.61838161838161798</v>
      </c>
      <c r="C13958" s="6">
        <v>0.74000360633137896</v>
      </c>
    </row>
    <row r="13959" spans="1:3" s="7" customFormat="1" x14ac:dyDescent="0.2">
      <c r="A13959" s="6" t="str">
        <f>"ZNF674-AS1"</f>
        <v>ZNF674-AS1</v>
      </c>
      <c r="B13959" s="6">
        <v>0.61838161838161798</v>
      </c>
      <c r="C13959" s="6">
        <v>0.74000360633137896</v>
      </c>
    </row>
    <row r="13960" spans="1:3" s="7" customFormat="1" x14ac:dyDescent="0.2">
      <c r="A13960" s="6" t="str">
        <f>"SCARNA16"</f>
        <v>SCARNA16</v>
      </c>
      <c r="B13960" s="6">
        <v>0.61838161838161798</v>
      </c>
      <c r="C13960" s="6">
        <v>0.74000360633137896</v>
      </c>
    </row>
    <row r="13961" spans="1:3" s="7" customFormat="1" x14ac:dyDescent="0.2">
      <c r="A13961" s="6" t="str">
        <f>"CLASP1"</f>
        <v>CLASP1</v>
      </c>
      <c r="B13961" s="6">
        <v>0.61799999999999999</v>
      </c>
      <c r="C13961" s="6">
        <v>0.74000360633137896</v>
      </c>
    </row>
    <row r="13962" spans="1:3" s="7" customFormat="1" x14ac:dyDescent="0.2">
      <c r="A13962" s="6" t="str">
        <f>"CENPJ"</f>
        <v>CENPJ</v>
      </c>
      <c r="B13962" s="6">
        <v>0.61838161838161798</v>
      </c>
      <c r="C13962" s="6">
        <v>0.74000360633137896</v>
      </c>
    </row>
    <row r="13963" spans="1:3" s="7" customFormat="1" x14ac:dyDescent="0.2">
      <c r="A13963" s="6" t="str">
        <f>"LINC01344"</f>
        <v>LINC01344</v>
      </c>
      <c r="B13963" s="6">
        <v>0.61838161838161798</v>
      </c>
      <c r="C13963" s="6">
        <v>0.74000360633137896</v>
      </c>
    </row>
    <row r="13964" spans="1:3" s="7" customFormat="1" x14ac:dyDescent="0.2">
      <c r="A13964" s="6" t="str">
        <f>"SIN3B"</f>
        <v>SIN3B</v>
      </c>
      <c r="B13964" s="6">
        <v>0.61799999999999999</v>
      </c>
      <c r="C13964" s="6">
        <v>0.74000360633137896</v>
      </c>
    </row>
    <row r="13965" spans="1:3" s="7" customFormat="1" x14ac:dyDescent="0.2">
      <c r="A13965" s="6" t="str">
        <f>"NUAK1"</f>
        <v>NUAK1</v>
      </c>
      <c r="B13965" s="6">
        <v>0.61838161838161798</v>
      </c>
      <c r="C13965" s="6">
        <v>0.74000360633137896</v>
      </c>
    </row>
    <row r="13966" spans="1:3" s="7" customFormat="1" x14ac:dyDescent="0.2">
      <c r="A13966" s="6" t="str">
        <f>"AC007620.2"</f>
        <v>AC007620.2</v>
      </c>
      <c r="B13966" s="6">
        <v>0.61838161838161798</v>
      </c>
      <c r="C13966" s="6">
        <v>0.74000360633137896</v>
      </c>
    </row>
    <row r="13967" spans="1:3" s="7" customFormat="1" x14ac:dyDescent="0.2">
      <c r="A13967" s="6" t="str">
        <f>"FOXC2-AS1"</f>
        <v>FOXC2-AS1</v>
      </c>
      <c r="B13967" s="6">
        <v>0.61836734693877504</v>
      </c>
      <c r="C13967" s="6">
        <v>0.74000360633137896</v>
      </c>
    </row>
    <row r="13968" spans="1:3" s="7" customFormat="1" x14ac:dyDescent="0.2">
      <c r="A13968" s="6" t="str">
        <f>"NPIPP1"</f>
        <v>NPIPP1</v>
      </c>
      <c r="B13968" s="6">
        <v>0.61838161838161798</v>
      </c>
      <c r="C13968" s="6">
        <v>0.74000360633137896</v>
      </c>
    </row>
    <row r="13969" spans="1:3" s="7" customFormat="1" x14ac:dyDescent="0.2">
      <c r="A13969" s="6" t="str">
        <f>"AC002070.1"</f>
        <v>AC002070.1</v>
      </c>
      <c r="B13969" s="6">
        <v>0.618618618618618</v>
      </c>
      <c r="C13969" s="6">
        <v>0.74023422047477005</v>
      </c>
    </row>
    <row r="13970" spans="1:3" s="7" customFormat="1" x14ac:dyDescent="0.2">
      <c r="A13970" s="6" t="str">
        <f>"IGHV3-11"</f>
        <v>IGHV3-11</v>
      </c>
      <c r="B13970" s="6">
        <v>0.61899999999999999</v>
      </c>
      <c r="C13970" s="6">
        <v>0.74063755458515201</v>
      </c>
    </row>
    <row r="13971" spans="1:3" s="7" customFormat="1" x14ac:dyDescent="0.2">
      <c r="A13971" s="6" t="str">
        <f>"SSRP1"</f>
        <v>SSRP1</v>
      </c>
      <c r="B13971" s="6">
        <v>0.61938061938061895</v>
      </c>
      <c r="C13971" s="6">
        <v>0.74066878960632898</v>
      </c>
    </row>
    <row r="13972" spans="1:3" s="7" customFormat="1" x14ac:dyDescent="0.2">
      <c r="A13972" s="6" t="str">
        <f>"LINC01943"</f>
        <v>LINC01943</v>
      </c>
      <c r="B13972" s="6">
        <v>0.61938061938061895</v>
      </c>
      <c r="C13972" s="6">
        <v>0.74066878960632898</v>
      </c>
    </row>
    <row r="13973" spans="1:3" s="7" customFormat="1" x14ac:dyDescent="0.2">
      <c r="A13973" s="6" t="str">
        <f>"TMEM92"</f>
        <v>TMEM92</v>
      </c>
      <c r="B13973" s="6">
        <v>0.61938061938061895</v>
      </c>
      <c r="C13973" s="6">
        <v>0.74066878960632898</v>
      </c>
    </row>
    <row r="13974" spans="1:3" s="7" customFormat="1" x14ac:dyDescent="0.2">
      <c r="A13974" s="6" t="str">
        <f>"RRP7BP"</f>
        <v>RRP7BP</v>
      </c>
      <c r="B13974" s="6">
        <v>0.61938061938061895</v>
      </c>
      <c r="C13974" s="6">
        <v>0.74066878960632898</v>
      </c>
    </row>
    <row r="13975" spans="1:3" s="7" customFormat="1" x14ac:dyDescent="0.2">
      <c r="A13975" s="6" t="str">
        <f>"THG1L"</f>
        <v>THG1L</v>
      </c>
      <c r="B13975" s="6">
        <v>0.61938061938061895</v>
      </c>
      <c r="C13975" s="6">
        <v>0.74066878960632898</v>
      </c>
    </row>
    <row r="13976" spans="1:3" s="7" customFormat="1" x14ac:dyDescent="0.2">
      <c r="A13976" s="6" t="str">
        <f>"PSMD10P2"</f>
        <v>PSMD10P2</v>
      </c>
      <c r="B13976" s="6">
        <v>0.61938061938061895</v>
      </c>
      <c r="C13976" s="6">
        <v>0.74066878960632898</v>
      </c>
    </row>
    <row r="13977" spans="1:3" s="7" customFormat="1" x14ac:dyDescent="0.2">
      <c r="A13977" s="6" t="str">
        <f>"XPC"</f>
        <v>XPC</v>
      </c>
      <c r="B13977" s="6">
        <v>0.61938061938061895</v>
      </c>
      <c r="C13977" s="6">
        <v>0.74066878960632898</v>
      </c>
    </row>
    <row r="13978" spans="1:3" s="7" customFormat="1" x14ac:dyDescent="0.2">
      <c r="A13978" s="6" t="str">
        <f>"EIF3J"</f>
        <v>EIF3J</v>
      </c>
      <c r="B13978" s="6">
        <v>0.61923847695390699</v>
      </c>
      <c r="C13978" s="6">
        <v>0.74066878960632898</v>
      </c>
    </row>
    <row r="13979" spans="1:3" s="7" customFormat="1" x14ac:dyDescent="0.2">
      <c r="A13979" s="6" t="str">
        <f>"CCDC57"</f>
        <v>CCDC57</v>
      </c>
      <c r="B13979" s="6">
        <v>0.62037962037962002</v>
      </c>
      <c r="C13979" s="6">
        <v>0.74128002395088399</v>
      </c>
    </row>
    <row r="13980" spans="1:3" s="7" customFormat="1" x14ac:dyDescent="0.2">
      <c r="A13980" s="6" t="str">
        <f>"H2AZ2"</f>
        <v>H2AZ2</v>
      </c>
      <c r="B13980" s="6">
        <v>0.62037962037962002</v>
      </c>
      <c r="C13980" s="6">
        <v>0.74128002395088399</v>
      </c>
    </row>
    <row r="13981" spans="1:3" s="7" customFormat="1" x14ac:dyDescent="0.2">
      <c r="A13981" s="6" t="str">
        <f>"IGKV2-28"</f>
        <v>IGKV2-28</v>
      </c>
      <c r="B13981" s="6">
        <v>0.62037962037962002</v>
      </c>
      <c r="C13981" s="6">
        <v>0.74128002395088399</v>
      </c>
    </row>
    <row r="13982" spans="1:3" s="7" customFormat="1" x14ac:dyDescent="0.2">
      <c r="A13982" s="6" t="str">
        <f>"AC138696.1"</f>
        <v>AC138696.1</v>
      </c>
      <c r="B13982" s="6">
        <v>0.62</v>
      </c>
      <c r="C13982" s="6">
        <v>0.74128002395088399</v>
      </c>
    </row>
    <row r="13983" spans="1:3" s="7" customFormat="1" x14ac:dyDescent="0.2">
      <c r="A13983" s="6" t="str">
        <f>"AC099332.1"</f>
        <v>AC099332.1</v>
      </c>
      <c r="B13983" s="6">
        <v>0.61995967741935398</v>
      </c>
      <c r="C13983" s="6">
        <v>0.74128002395088399</v>
      </c>
    </row>
    <row r="13984" spans="1:3" s="7" customFormat="1" x14ac:dyDescent="0.2">
      <c r="A13984" s="6" t="str">
        <f>"RTN1"</f>
        <v>RTN1</v>
      </c>
      <c r="B13984" s="6">
        <v>0.62037962037962002</v>
      </c>
      <c r="C13984" s="6">
        <v>0.74128002395088399</v>
      </c>
    </row>
    <row r="13985" spans="1:3" s="7" customFormat="1" x14ac:dyDescent="0.2">
      <c r="A13985" s="6" t="str">
        <f>"SUSD5"</f>
        <v>SUSD5</v>
      </c>
      <c r="B13985" s="6">
        <v>0.62037962037962002</v>
      </c>
      <c r="C13985" s="6">
        <v>0.74128002395088399</v>
      </c>
    </row>
    <row r="13986" spans="1:3" s="7" customFormat="1" x14ac:dyDescent="0.2">
      <c r="A13986" s="6" t="str">
        <f>"AC104452.1"</f>
        <v>AC104452.1</v>
      </c>
      <c r="B13986" s="6">
        <v>0.62037962037962002</v>
      </c>
      <c r="C13986" s="6">
        <v>0.74128002395088399</v>
      </c>
    </row>
    <row r="13987" spans="1:3" s="7" customFormat="1" x14ac:dyDescent="0.2">
      <c r="A13987" s="6" t="str">
        <f>"ARIH1"</f>
        <v>ARIH1</v>
      </c>
      <c r="B13987" s="6">
        <v>0.62037962037962002</v>
      </c>
      <c r="C13987" s="6">
        <v>0.74128002395088399</v>
      </c>
    </row>
    <row r="13988" spans="1:3" s="7" customFormat="1" x14ac:dyDescent="0.2">
      <c r="A13988" s="6" t="str">
        <f>"LINC01508"</f>
        <v>LINC01508</v>
      </c>
      <c r="B13988" s="6">
        <v>0.62037962037962002</v>
      </c>
      <c r="C13988" s="6">
        <v>0.74128002395088399</v>
      </c>
    </row>
    <row r="13989" spans="1:3" s="7" customFormat="1" x14ac:dyDescent="0.2">
      <c r="A13989" s="6" t="str">
        <f>"EIF4EBP2"</f>
        <v>EIF4EBP2</v>
      </c>
      <c r="B13989" s="6">
        <v>0.62037962037962002</v>
      </c>
      <c r="C13989" s="6">
        <v>0.74128002395088399</v>
      </c>
    </row>
    <row r="13990" spans="1:3" s="7" customFormat="1" x14ac:dyDescent="0.2">
      <c r="A13990" s="6" t="str">
        <f>"THORLNC"</f>
        <v>THORLNC</v>
      </c>
      <c r="B13990" s="6">
        <v>0.62048192771084298</v>
      </c>
      <c r="C13990" s="6">
        <v>0.74134927012359897</v>
      </c>
    </row>
    <row r="13991" spans="1:3" s="7" customFormat="1" x14ac:dyDescent="0.2">
      <c r="A13991" s="6" t="str">
        <f>"AL390198.2"</f>
        <v>AL390198.2</v>
      </c>
      <c r="B13991" s="6">
        <v>0.62086258776328895</v>
      </c>
      <c r="C13991" s="6">
        <v>0.74175105731777102</v>
      </c>
    </row>
    <row r="13992" spans="1:3" s="7" customFormat="1" x14ac:dyDescent="0.2">
      <c r="A13992" s="6" t="str">
        <f>"CS"</f>
        <v>CS</v>
      </c>
      <c r="B13992" s="6">
        <v>0.62137862137862099</v>
      </c>
      <c r="C13992" s="6">
        <v>0.74199630475975398</v>
      </c>
    </row>
    <row r="13993" spans="1:3" s="7" customFormat="1" x14ac:dyDescent="0.2">
      <c r="A13993" s="6" t="str">
        <f>"PDIA6"</f>
        <v>PDIA6</v>
      </c>
      <c r="B13993" s="6">
        <v>0.62137862137862099</v>
      </c>
      <c r="C13993" s="6">
        <v>0.74199630475975398</v>
      </c>
    </row>
    <row r="13994" spans="1:3" s="7" customFormat="1" x14ac:dyDescent="0.2">
      <c r="A13994" s="6" t="str">
        <f>"SLC25A30"</f>
        <v>SLC25A30</v>
      </c>
      <c r="B13994" s="6">
        <v>0.62137862137862099</v>
      </c>
      <c r="C13994" s="6">
        <v>0.74199630475975398</v>
      </c>
    </row>
    <row r="13995" spans="1:3" s="7" customFormat="1" x14ac:dyDescent="0.2">
      <c r="A13995" s="6" t="str">
        <f>"PPP2R5C"</f>
        <v>PPP2R5C</v>
      </c>
      <c r="B13995" s="6">
        <v>0.62137862137862099</v>
      </c>
      <c r="C13995" s="6">
        <v>0.74199630475975398</v>
      </c>
    </row>
    <row r="13996" spans="1:3" s="7" customFormat="1" x14ac:dyDescent="0.2">
      <c r="A13996" s="6" t="str">
        <f>"LMAN2L"</f>
        <v>LMAN2L</v>
      </c>
      <c r="B13996" s="6">
        <v>0.62137862137862099</v>
      </c>
      <c r="C13996" s="6">
        <v>0.74199630475975398</v>
      </c>
    </row>
    <row r="13997" spans="1:3" s="7" customFormat="1" x14ac:dyDescent="0.2">
      <c r="A13997" s="6" t="str">
        <f>"NFE2L1-DT"</f>
        <v>NFE2L1-DT</v>
      </c>
      <c r="B13997" s="6">
        <v>0.62137862137862099</v>
      </c>
      <c r="C13997" s="6">
        <v>0.74199630475975398</v>
      </c>
    </row>
    <row r="13998" spans="1:3" s="7" customFormat="1" x14ac:dyDescent="0.2">
      <c r="A13998" s="6" t="str">
        <f>"HDGF"</f>
        <v>HDGF</v>
      </c>
      <c r="B13998" s="6">
        <v>0.62137862137862099</v>
      </c>
      <c r="C13998" s="6">
        <v>0.74199630475975398</v>
      </c>
    </row>
    <row r="13999" spans="1:3" s="7" customFormat="1" x14ac:dyDescent="0.2">
      <c r="A13999" s="6" t="str">
        <f>"MMADHC-DT"</f>
        <v>MMADHC-DT</v>
      </c>
      <c r="B13999" s="6">
        <v>0.62224448897795503</v>
      </c>
      <c r="C13999" s="6">
        <v>0.74255261477761303</v>
      </c>
    </row>
    <row r="14000" spans="1:3" s="7" customFormat="1" x14ac:dyDescent="0.2">
      <c r="A14000" s="6" t="str">
        <f>"LINC00323"</f>
        <v>LINC00323</v>
      </c>
      <c r="B14000" s="6">
        <v>0.62237762237762195</v>
      </c>
      <c r="C14000" s="6">
        <v>0.74255261477761303</v>
      </c>
    </row>
    <row r="14001" spans="1:3" s="7" customFormat="1" x14ac:dyDescent="0.2">
      <c r="A14001" s="6" t="str">
        <f>"SH3BP4"</f>
        <v>SH3BP4</v>
      </c>
      <c r="B14001" s="6">
        <v>0.62237762237762195</v>
      </c>
      <c r="C14001" s="6">
        <v>0.74255261477761303</v>
      </c>
    </row>
    <row r="14002" spans="1:3" s="7" customFormat="1" x14ac:dyDescent="0.2">
      <c r="A14002" s="6" t="str">
        <f>"LTC4S"</f>
        <v>LTC4S</v>
      </c>
      <c r="B14002" s="6">
        <v>0.62237762237762195</v>
      </c>
      <c r="C14002" s="6">
        <v>0.74255261477761303</v>
      </c>
    </row>
    <row r="14003" spans="1:3" s="7" customFormat="1" x14ac:dyDescent="0.2">
      <c r="A14003" s="6" t="str">
        <f>"CTAGE8"</f>
        <v>CTAGE8</v>
      </c>
      <c r="B14003" s="6">
        <v>0.62237762237762195</v>
      </c>
      <c r="C14003" s="6">
        <v>0.74255261477761303</v>
      </c>
    </row>
    <row r="14004" spans="1:3" s="7" customFormat="1" x14ac:dyDescent="0.2">
      <c r="A14004" s="6" t="str">
        <f>"U91328.1"</f>
        <v>U91328.1</v>
      </c>
      <c r="B14004" s="6">
        <v>0.62237762237762195</v>
      </c>
      <c r="C14004" s="6">
        <v>0.74255261477761303</v>
      </c>
    </row>
    <row r="14005" spans="1:3" s="7" customFormat="1" x14ac:dyDescent="0.2">
      <c r="A14005" s="6" t="str">
        <f>"LARGE2"</f>
        <v>LARGE2</v>
      </c>
      <c r="B14005" s="6">
        <v>0.62237762237762195</v>
      </c>
      <c r="C14005" s="6">
        <v>0.74255261477761303</v>
      </c>
    </row>
    <row r="14006" spans="1:3" s="7" customFormat="1" x14ac:dyDescent="0.2">
      <c r="A14006" s="6" t="str">
        <f>"AC008403.2"</f>
        <v>AC008403.2</v>
      </c>
      <c r="B14006" s="6">
        <v>0.622</v>
      </c>
      <c r="C14006" s="6">
        <v>0.74255261477761303</v>
      </c>
    </row>
    <row r="14007" spans="1:3" s="7" customFormat="1" x14ac:dyDescent="0.2">
      <c r="A14007" s="6" t="str">
        <f>"PLCXD2"</f>
        <v>PLCXD2</v>
      </c>
      <c r="B14007" s="6">
        <v>0.62237762237762195</v>
      </c>
      <c r="C14007" s="6">
        <v>0.74255261477761303</v>
      </c>
    </row>
    <row r="14008" spans="1:3" s="7" customFormat="1" x14ac:dyDescent="0.2">
      <c r="A14008" s="6" t="str">
        <f>"TMEM35A"</f>
        <v>TMEM35A</v>
      </c>
      <c r="B14008" s="6">
        <v>0.62237762237762195</v>
      </c>
      <c r="C14008" s="6">
        <v>0.74255261477761303</v>
      </c>
    </row>
    <row r="14009" spans="1:3" s="7" customFormat="1" x14ac:dyDescent="0.2">
      <c r="A14009" s="6" t="str">
        <f>"LINC01485"</f>
        <v>LINC01485</v>
      </c>
      <c r="B14009" s="6">
        <v>0.62237762237762195</v>
      </c>
      <c r="C14009" s="6">
        <v>0.74255261477761303</v>
      </c>
    </row>
    <row r="14010" spans="1:3" s="7" customFormat="1" x14ac:dyDescent="0.2">
      <c r="A14010" s="6" t="str">
        <f>"EIF2B5"</f>
        <v>EIF2B5</v>
      </c>
      <c r="B14010" s="6">
        <v>0.62237762237762195</v>
      </c>
      <c r="C14010" s="6">
        <v>0.74255261477761303</v>
      </c>
    </row>
    <row r="14011" spans="1:3" s="7" customFormat="1" x14ac:dyDescent="0.2">
      <c r="A14011" s="6" t="str">
        <f>"STRBP"</f>
        <v>STRBP</v>
      </c>
      <c r="B14011" s="6">
        <v>0.623</v>
      </c>
      <c r="C14011" s="6">
        <v>0.74313602626320296</v>
      </c>
    </row>
    <row r="14012" spans="1:3" s="7" customFormat="1" x14ac:dyDescent="0.2">
      <c r="A14012" s="6" t="str">
        <f>"AC104964.3"</f>
        <v>AC104964.3</v>
      </c>
      <c r="B14012" s="6">
        <v>0.623</v>
      </c>
      <c r="C14012" s="6">
        <v>0.74313602626320296</v>
      </c>
    </row>
    <row r="14013" spans="1:3" s="7" customFormat="1" x14ac:dyDescent="0.2">
      <c r="A14013" s="6" t="str">
        <f>"AHCTF1P1"</f>
        <v>AHCTF1P1</v>
      </c>
      <c r="B14013" s="6">
        <v>0.623</v>
      </c>
      <c r="C14013" s="6">
        <v>0.74313602626320296</v>
      </c>
    </row>
    <row r="14014" spans="1:3" s="7" customFormat="1" x14ac:dyDescent="0.2">
      <c r="A14014" s="6" t="str">
        <f>"PKN1"</f>
        <v>PKN1</v>
      </c>
      <c r="B14014" s="6">
        <v>0.62337662337662303</v>
      </c>
      <c r="C14014" s="6">
        <v>0.74342610653705898</v>
      </c>
    </row>
    <row r="14015" spans="1:3" s="7" customFormat="1" x14ac:dyDescent="0.2">
      <c r="A14015" s="6" t="str">
        <f>"AC074386.1"</f>
        <v>AC074386.1</v>
      </c>
      <c r="B14015" s="6">
        <v>0.62337662337662303</v>
      </c>
      <c r="C14015" s="6">
        <v>0.74342610653705898</v>
      </c>
    </row>
    <row r="14016" spans="1:3" s="7" customFormat="1" x14ac:dyDescent="0.2">
      <c r="A14016" s="6" t="str">
        <f>"FGFR4"</f>
        <v>FGFR4</v>
      </c>
      <c r="B14016" s="6">
        <v>0.62337662337662303</v>
      </c>
      <c r="C14016" s="6">
        <v>0.74342610653705898</v>
      </c>
    </row>
    <row r="14017" spans="1:3" s="7" customFormat="1" x14ac:dyDescent="0.2">
      <c r="A14017" s="6" t="str">
        <f>"FBXW11P1"</f>
        <v>FBXW11P1</v>
      </c>
      <c r="B14017" s="6">
        <v>0.62356621480708996</v>
      </c>
      <c r="C14017" s="6">
        <v>0.74359915198956295</v>
      </c>
    </row>
    <row r="14018" spans="1:3" s="7" customFormat="1" x14ac:dyDescent="0.2">
      <c r="A14018" s="6" t="str">
        <f>"AP002992.1"</f>
        <v>AP002992.1</v>
      </c>
      <c r="B14018" s="6">
        <v>0.624</v>
      </c>
      <c r="C14018" s="6">
        <v>0.74406335164443105</v>
      </c>
    </row>
    <row r="14019" spans="1:3" s="7" customFormat="1" x14ac:dyDescent="0.2">
      <c r="A14019" s="6" t="str">
        <f>"OR7E108P"</f>
        <v>OR7E108P</v>
      </c>
      <c r="B14019" s="6">
        <v>0.62411347517730498</v>
      </c>
      <c r="C14019" s="6">
        <v>0.74413963104778802</v>
      </c>
    </row>
    <row r="14020" spans="1:3" s="7" customFormat="1" x14ac:dyDescent="0.2">
      <c r="A14020" s="6" t="str">
        <f>"ZBTB3"</f>
        <v>ZBTB3</v>
      </c>
      <c r="B14020" s="6">
        <v>0.62437562437562399</v>
      </c>
      <c r="C14020" s="6">
        <v>0.74413963104778802</v>
      </c>
    </row>
    <row r="14021" spans="1:3" s="7" customFormat="1" x14ac:dyDescent="0.2">
      <c r="A14021" s="6" t="str">
        <f>"SATB2"</f>
        <v>SATB2</v>
      </c>
      <c r="B14021" s="6">
        <v>0.62437562437562399</v>
      </c>
      <c r="C14021" s="6">
        <v>0.74413963104778802</v>
      </c>
    </row>
    <row r="14022" spans="1:3" s="7" customFormat="1" x14ac:dyDescent="0.2">
      <c r="A14022" s="6" t="str">
        <f>"ZNF530"</f>
        <v>ZNF530</v>
      </c>
      <c r="B14022" s="6">
        <v>0.62437562437562399</v>
      </c>
      <c r="C14022" s="6">
        <v>0.74413963104778802</v>
      </c>
    </row>
    <row r="14023" spans="1:3" s="7" customFormat="1" x14ac:dyDescent="0.2">
      <c r="A14023" s="6" t="str">
        <f>"Z97989.1"</f>
        <v>Z97989.1</v>
      </c>
      <c r="B14023" s="6">
        <v>0.62437562437562399</v>
      </c>
      <c r="C14023" s="6">
        <v>0.74413963104778802</v>
      </c>
    </row>
    <row r="14024" spans="1:3" s="7" customFormat="1" x14ac:dyDescent="0.2">
      <c r="A14024" s="6" t="str">
        <f>"PRC1-AS1"</f>
        <v>PRC1-AS1</v>
      </c>
      <c r="B14024" s="6">
        <v>0.62437562437562399</v>
      </c>
      <c r="C14024" s="6">
        <v>0.74413963104778802</v>
      </c>
    </row>
    <row r="14025" spans="1:3" s="7" customFormat="1" x14ac:dyDescent="0.2">
      <c r="A14025" s="6" t="str">
        <f>"AC008870.5"</f>
        <v>AC008870.5</v>
      </c>
      <c r="B14025" s="6">
        <v>0.62437562437562399</v>
      </c>
      <c r="C14025" s="6">
        <v>0.74413963104778802</v>
      </c>
    </row>
    <row r="14026" spans="1:3" s="7" customFormat="1" x14ac:dyDescent="0.2">
      <c r="A14026" s="6" t="str">
        <f>"KIZ-AS1"</f>
        <v>KIZ-AS1</v>
      </c>
      <c r="B14026" s="6">
        <v>0.625</v>
      </c>
      <c r="C14026" s="6">
        <v>0.74483065953654104</v>
      </c>
    </row>
    <row r="14027" spans="1:3" s="7" customFormat="1" x14ac:dyDescent="0.2">
      <c r="A14027" s="6" t="str">
        <f>"EFNA4"</f>
        <v>EFNA4</v>
      </c>
      <c r="B14027" s="6">
        <v>0.62537462537462496</v>
      </c>
      <c r="C14027" s="6">
        <v>0.74485224032719199</v>
      </c>
    </row>
    <row r="14028" spans="1:3" s="7" customFormat="1" x14ac:dyDescent="0.2">
      <c r="A14028" s="6" t="str">
        <f>"EGLN2"</f>
        <v>EGLN2</v>
      </c>
      <c r="B14028" s="6">
        <v>0.62537462537462496</v>
      </c>
      <c r="C14028" s="6">
        <v>0.74485224032719199</v>
      </c>
    </row>
    <row r="14029" spans="1:3" s="7" customFormat="1" x14ac:dyDescent="0.2">
      <c r="A14029" s="6" t="str">
        <f>"ANKRD26"</f>
        <v>ANKRD26</v>
      </c>
      <c r="B14029" s="6">
        <v>0.62537462537462496</v>
      </c>
      <c r="C14029" s="6">
        <v>0.74485224032719199</v>
      </c>
    </row>
    <row r="14030" spans="1:3" s="7" customFormat="1" x14ac:dyDescent="0.2">
      <c r="A14030" s="6" t="str">
        <f>"SLC7A6OS"</f>
        <v>SLC7A6OS</v>
      </c>
      <c r="B14030" s="6">
        <v>0.62537462537462496</v>
      </c>
      <c r="C14030" s="6">
        <v>0.74485224032719199</v>
      </c>
    </row>
    <row r="14031" spans="1:3" s="7" customFormat="1" x14ac:dyDescent="0.2">
      <c r="A14031" s="6" t="str">
        <f>"CCT6P1"</f>
        <v>CCT6P1</v>
      </c>
      <c r="B14031" s="6">
        <v>0.62537462537462496</v>
      </c>
      <c r="C14031" s="6">
        <v>0.74485224032719199</v>
      </c>
    </row>
    <row r="14032" spans="1:3" s="7" customFormat="1" x14ac:dyDescent="0.2">
      <c r="A14032" s="6" t="str">
        <f>"C9orf16"</f>
        <v>C9orf16</v>
      </c>
      <c r="B14032" s="6">
        <v>0.62537462537462496</v>
      </c>
      <c r="C14032" s="6">
        <v>0.74485224032719199</v>
      </c>
    </row>
    <row r="14033" spans="1:3" s="7" customFormat="1" x14ac:dyDescent="0.2">
      <c r="A14033" s="6" t="str">
        <f>"TCOF1"</f>
        <v>TCOF1</v>
      </c>
      <c r="B14033" s="6">
        <v>0.62537462537462496</v>
      </c>
      <c r="C14033" s="6">
        <v>0.74485224032719199</v>
      </c>
    </row>
    <row r="14034" spans="1:3" s="7" customFormat="1" x14ac:dyDescent="0.2">
      <c r="A14034" s="6" t="str">
        <f>"GS1-594A7.3"</f>
        <v>GS1-594A7.3</v>
      </c>
      <c r="B14034" s="6">
        <v>0.62537462537462496</v>
      </c>
      <c r="C14034" s="6">
        <v>0.74485224032719199</v>
      </c>
    </row>
    <row r="14035" spans="1:3" s="7" customFormat="1" x14ac:dyDescent="0.2">
      <c r="A14035" s="6" t="str">
        <f>"THRIL"</f>
        <v>THRIL</v>
      </c>
      <c r="B14035" s="6">
        <v>0.62542182227221599</v>
      </c>
      <c r="C14035" s="6">
        <v>0.74485537533545798</v>
      </c>
    </row>
    <row r="14036" spans="1:3" s="7" customFormat="1" x14ac:dyDescent="0.2">
      <c r="A14036" s="6" t="str">
        <f>"CPA6"</f>
        <v>CPA6</v>
      </c>
      <c r="B14036" s="6">
        <v>0.62562562562562496</v>
      </c>
      <c r="C14036" s="6">
        <v>0.74504500938416096</v>
      </c>
    </row>
    <row r="14037" spans="1:3" s="7" customFormat="1" x14ac:dyDescent="0.2">
      <c r="A14037" s="6" t="str">
        <f>"HEATR4"</f>
        <v>HEATR4</v>
      </c>
      <c r="B14037" s="6">
        <v>0.62637362637362604</v>
      </c>
      <c r="C14037" s="6">
        <v>0.745457760695584</v>
      </c>
    </row>
    <row r="14038" spans="1:3" s="7" customFormat="1" x14ac:dyDescent="0.2">
      <c r="A14038" s="6" t="str">
        <f>"PLCH2"</f>
        <v>PLCH2</v>
      </c>
      <c r="B14038" s="6">
        <v>0.62637362637362604</v>
      </c>
      <c r="C14038" s="6">
        <v>0.745457760695584</v>
      </c>
    </row>
    <row r="14039" spans="1:3" s="7" customFormat="1" x14ac:dyDescent="0.2">
      <c r="A14039" s="6" t="str">
        <f>"NBPF25P"</f>
        <v>NBPF25P</v>
      </c>
      <c r="B14039" s="6">
        <v>0.62637362637362604</v>
      </c>
      <c r="C14039" s="6">
        <v>0.745457760695584</v>
      </c>
    </row>
    <row r="14040" spans="1:3" s="7" customFormat="1" x14ac:dyDescent="0.2">
      <c r="A14040" s="6" t="str">
        <f>"FAM225B"</f>
        <v>FAM225B</v>
      </c>
      <c r="B14040" s="6">
        <v>0.62637362637362604</v>
      </c>
      <c r="C14040" s="6">
        <v>0.745457760695584</v>
      </c>
    </row>
    <row r="14041" spans="1:3" s="7" customFormat="1" x14ac:dyDescent="0.2">
      <c r="A14041" s="6" t="str">
        <f>"CTSH"</f>
        <v>CTSH</v>
      </c>
      <c r="B14041" s="6">
        <v>0.62637362637362604</v>
      </c>
      <c r="C14041" s="6">
        <v>0.745457760695584</v>
      </c>
    </row>
    <row r="14042" spans="1:3" s="7" customFormat="1" x14ac:dyDescent="0.2">
      <c r="A14042" s="6" t="str">
        <f>"SMIM34A"</f>
        <v>SMIM34A</v>
      </c>
      <c r="B14042" s="6">
        <v>0.62637362637362604</v>
      </c>
      <c r="C14042" s="6">
        <v>0.745457760695584</v>
      </c>
    </row>
    <row r="14043" spans="1:3" s="7" customFormat="1" x14ac:dyDescent="0.2">
      <c r="A14043" s="6" t="str">
        <f>"ZNF844"</f>
        <v>ZNF844</v>
      </c>
      <c r="B14043" s="6">
        <v>0.62637362637362604</v>
      </c>
      <c r="C14043" s="6">
        <v>0.745457760695584</v>
      </c>
    </row>
    <row r="14044" spans="1:3" s="7" customFormat="1" x14ac:dyDescent="0.2">
      <c r="A14044" s="6" t="str">
        <f>"AL356019.2"</f>
        <v>AL356019.2</v>
      </c>
      <c r="B14044" s="6">
        <v>0.62637362637362604</v>
      </c>
      <c r="C14044" s="6">
        <v>0.745457760695584</v>
      </c>
    </row>
    <row r="14045" spans="1:3" s="7" customFormat="1" x14ac:dyDescent="0.2">
      <c r="A14045" s="6" t="str">
        <f>"MOGS"</f>
        <v>MOGS</v>
      </c>
      <c r="B14045" s="6">
        <v>0.62637362637362604</v>
      </c>
      <c r="C14045" s="6">
        <v>0.745457760695584</v>
      </c>
    </row>
    <row r="14046" spans="1:3" s="7" customFormat="1" x14ac:dyDescent="0.2">
      <c r="A14046" s="6" t="str">
        <f>"IL11"</f>
        <v>IL11</v>
      </c>
      <c r="B14046" s="6">
        <v>0.627372627372627</v>
      </c>
      <c r="C14046" s="6">
        <v>0.74632783586520202</v>
      </c>
    </row>
    <row r="14047" spans="1:3" s="7" customFormat="1" x14ac:dyDescent="0.2">
      <c r="A14047" s="6" t="str">
        <f>"AL049650.1"</f>
        <v>AL049650.1</v>
      </c>
      <c r="B14047" s="6">
        <v>0.627372627372627</v>
      </c>
      <c r="C14047" s="6">
        <v>0.74632783586520202</v>
      </c>
    </row>
    <row r="14048" spans="1:3" s="7" customFormat="1" x14ac:dyDescent="0.2">
      <c r="A14048" s="6" t="str">
        <f>"AC092384.2"</f>
        <v>AC092384.2</v>
      </c>
      <c r="B14048" s="6">
        <v>0.627372627372627</v>
      </c>
      <c r="C14048" s="6">
        <v>0.74632783586520202</v>
      </c>
    </row>
    <row r="14049" spans="1:3" s="7" customFormat="1" x14ac:dyDescent="0.2">
      <c r="A14049" s="6" t="str">
        <f>"VSIG10L2"</f>
        <v>VSIG10L2</v>
      </c>
      <c r="B14049" s="6">
        <v>0.627372627372627</v>
      </c>
      <c r="C14049" s="6">
        <v>0.74632783586520202</v>
      </c>
    </row>
    <row r="14050" spans="1:3" s="7" customFormat="1" x14ac:dyDescent="0.2">
      <c r="A14050" s="6" t="str">
        <f>"AC010522.1"</f>
        <v>AC010522.1</v>
      </c>
      <c r="B14050" s="6">
        <v>0.627372627372627</v>
      </c>
      <c r="C14050" s="6">
        <v>0.74632783586520202</v>
      </c>
    </row>
    <row r="14051" spans="1:3" s="7" customFormat="1" x14ac:dyDescent="0.2">
      <c r="A14051" s="6" t="str">
        <f>"HPCA"</f>
        <v>HPCA</v>
      </c>
      <c r="B14051" s="6">
        <v>0.627372627372627</v>
      </c>
      <c r="C14051" s="6">
        <v>0.74632783586520202</v>
      </c>
    </row>
    <row r="14052" spans="1:3" s="7" customFormat="1" x14ac:dyDescent="0.2">
      <c r="A14052" s="6" t="str">
        <f>"EIF4E3"</f>
        <v>EIF4E3</v>
      </c>
      <c r="B14052" s="6">
        <v>0.62837162837162797</v>
      </c>
      <c r="C14052" s="6">
        <v>0.74693146978190705</v>
      </c>
    </row>
    <row r="14053" spans="1:3" s="7" customFormat="1" x14ac:dyDescent="0.2">
      <c r="A14053" s="6" t="str">
        <f>"SLC22A15"</f>
        <v>SLC22A15</v>
      </c>
      <c r="B14053" s="6">
        <v>0.62837162837162797</v>
      </c>
      <c r="C14053" s="6">
        <v>0.74693146978190705</v>
      </c>
    </row>
    <row r="14054" spans="1:3" s="7" customFormat="1" x14ac:dyDescent="0.2">
      <c r="A14054" s="6" t="str">
        <f>"AC074051.3"</f>
        <v>AC074051.3</v>
      </c>
      <c r="B14054" s="6">
        <v>0.62793176972281395</v>
      </c>
      <c r="C14054" s="6">
        <v>0.74693146978190705</v>
      </c>
    </row>
    <row r="14055" spans="1:3" s="7" customFormat="1" x14ac:dyDescent="0.2">
      <c r="A14055" s="6" t="str">
        <f>"HELLPAR"</f>
        <v>HELLPAR</v>
      </c>
      <c r="B14055" s="6">
        <v>0.62837162837162797</v>
      </c>
      <c r="C14055" s="6">
        <v>0.74693146978190705</v>
      </c>
    </row>
    <row r="14056" spans="1:3" s="7" customFormat="1" x14ac:dyDescent="0.2">
      <c r="A14056" s="6" t="str">
        <f>"ZDHHC5"</f>
        <v>ZDHHC5</v>
      </c>
      <c r="B14056" s="6">
        <v>0.62837162837162797</v>
      </c>
      <c r="C14056" s="6">
        <v>0.74693146978190705</v>
      </c>
    </row>
    <row r="14057" spans="1:3" s="7" customFormat="1" x14ac:dyDescent="0.2">
      <c r="A14057" s="6" t="str">
        <f>"SCAT1"</f>
        <v>SCAT1</v>
      </c>
      <c r="B14057" s="6">
        <v>0.62837162837162797</v>
      </c>
      <c r="C14057" s="6">
        <v>0.74693146978190705</v>
      </c>
    </row>
    <row r="14058" spans="1:3" s="7" customFormat="1" x14ac:dyDescent="0.2">
      <c r="A14058" s="6" t="str">
        <f>"AC096564.1"</f>
        <v>AC096564.1</v>
      </c>
      <c r="B14058" s="6">
        <v>0.628218331616889</v>
      </c>
      <c r="C14058" s="6">
        <v>0.74693146978190705</v>
      </c>
    </row>
    <row r="14059" spans="1:3" s="7" customFormat="1" x14ac:dyDescent="0.2">
      <c r="A14059" s="6" t="str">
        <f>"LRRC2-AS1"</f>
        <v>LRRC2-AS1</v>
      </c>
      <c r="B14059" s="6">
        <v>0.62837162837162797</v>
      </c>
      <c r="C14059" s="6">
        <v>0.74693146978190705</v>
      </c>
    </row>
    <row r="14060" spans="1:3" s="7" customFormat="1" x14ac:dyDescent="0.2">
      <c r="A14060" s="6" t="str">
        <f>"TEX26-AS1"</f>
        <v>TEX26-AS1</v>
      </c>
      <c r="B14060" s="6">
        <v>0.62837162837162797</v>
      </c>
      <c r="C14060" s="6">
        <v>0.74693146978190705</v>
      </c>
    </row>
    <row r="14061" spans="1:3" s="7" customFormat="1" x14ac:dyDescent="0.2">
      <c r="A14061" s="6" t="str">
        <f>"PCDHB18P"</f>
        <v>PCDHB18P</v>
      </c>
      <c r="B14061" s="6">
        <v>0.628</v>
      </c>
      <c r="C14061" s="6">
        <v>0.74693146978190705</v>
      </c>
    </row>
    <row r="14062" spans="1:3" s="7" customFormat="1" x14ac:dyDescent="0.2">
      <c r="A14062" s="6" t="str">
        <f>"FBLN2"</f>
        <v>FBLN2</v>
      </c>
      <c r="B14062" s="6">
        <v>0.62837162837162797</v>
      </c>
      <c r="C14062" s="6">
        <v>0.74693146978190705</v>
      </c>
    </row>
    <row r="14063" spans="1:3" s="7" customFormat="1" x14ac:dyDescent="0.2">
      <c r="A14063" s="6" t="str">
        <f>"AL109811.2"</f>
        <v>AL109811.2</v>
      </c>
      <c r="B14063" s="6">
        <v>0.62937062937062904</v>
      </c>
      <c r="C14063" s="6">
        <v>0.74785302852983704</v>
      </c>
    </row>
    <row r="14064" spans="1:3" s="7" customFormat="1" x14ac:dyDescent="0.2">
      <c r="A14064" s="6" t="str">
        <f>"RBP5"</f>
        <v>RBP5</v>
      </c>
      <c r="B14064" s="6">
        <v>0.62937062937062904</v>
      </c>
      <c r="C14064" s="6">
        <v>0.74785302852983704</v>
      </c>
    </row>
    <row r="14065" spans="1:3" s="7" customFormat="1" x14ac:dyDescent="0.2">
      <c r="A14065" s="6" t="str">
        <f>"PHETA2"</f>
        <v>PHETA2</v>
      </c>
      <c r="B14065" s="6">
        <v>0.62937062937062904</v>
      </c>
      <c r="C14065" s="6">
        <v>0.74785302852983704</v>
      </c>
    </row>
    <row r="14066" spans="1:3" s="7" customFormat="1" x14ac:dyDescent="0.2">
      <c r="A14066" s="6" t="str">
        <f>"AC092661.1"</f>
        <v>AC092661.1</v>
      </c>
      <c r="B14066" s="6">
        <v>0.62937062937062904</v>
      </c>
      <c r="C14066" s="6">
        <v>0.74785302852983704</v>
      </c>
    </row>
    <row r="14067" spans="1:3" s="7" customFormat="1" x14ac:dyDescent="0.2">
      <c r="A14067" s="6" t="str">
        <f>"AC011455.8"</f>
        <v>AC011455.8</v>
      </c>
      <c r="B14067" s="6">
        <v>0.62937062937062904</v>
      </c>
      <c r="C14067" s="6">
        <v>0.74785302852983704</v>
      </c>
    </row>
    <row r="14068" spans="1:3" s="7" customFormat="1" x14ac:dyDescent="0.2">
      <c r="A14068" s="6" t="str">
        <f>"SLC25A30-AS1"</f>
        <v>SLC25A30-AS1</v>
      </c>
      <c r="B14068" s="6">
        <v>0.629929221435793</v>
      </c>
      <c r="C14068" s="6">
        <v>0.74846356771720002</v>
      </c>
    </row>
    <row r="14069" spans="1:3" s="7" customFormat="1" x14ac:dyDescent="0.2">
      <c r="A14069" s="6" t="str">
        <f>"PODXL"</f>
        <v>PODXL</v>
      </c>
      <c r="B14069" s="6">
        <v>0.63</v>
      </c>
      <c r="C14069" s="6">
        <v>0.74849445550184801</v>
      </c>
    </row>
    <row r="14070" spans="1:3" s="7" customFormat="1" x14ac:dyDescent="0.2">
      <c r="A14070" s="6" t="str">
        <f>"IRF3"</f>
        <v>IRF3</v>
      </c>
      <c r="B14070" s="6">
        <v>0.63036963036963001</v>
      </c>
      <c r="C14070" s="6">
        <v>0.74866751950529398</v>
      </c>
    </row>
    <row r="14071" spans="1:3" s="7" customFormat="1" x14ac:dyDescent="0.2">
      <c r="A14071" s="6" t="str">
        <f>"AC008738.7"</f>
        <v>AC008738.7</v>
      </c>
      <c r="B14071" s="6">
        <v>0.63036963036963001</v>
      </c>
      <c r="C14071" s="6">
        <v>0.74866751950529398</v>
      </c>
    </row>
    <row r="14072" spans="1:3" s="7" customFormat="1" x14ac:dyDescent="0.2">
      <c r="A14072" s="6" t="str">
        <f>"NAGPA-AS1"</f>
        <v>NAGPA-AS1</v>
      </c>
      <c r="B14072" s="6">
        <v>0.63036963036963001</v>
      </c>
      <c r="C14072" s="6">
        <v>0.74866751950529398</v>
      </c>
    </row>
    <row r="14073" spans="1:3" s="7" customFormat="1" x14ac:dyDescent="0.2">
      <c r="A14073" s="6" t="str">
        <f>"AL389889.2"</f>
        <v>AL389889.2</v>
      </c>
      <c r="B14073" s="6">
        <v>0.63036963036963001</v>
      </c>
      <c r="C14073" s="6">
        <v>0.74866751950529398</v>
      </c>
    </row>
    <row r="14074" spans="1:3" s="7" customFormat="1" x14ac:dyDescent="0.2">
      <c r="A14074" s="6" t="str">
        <f>"ZFAS1"</f>
        <v>ZFAS1</v>
      </c>
      <c r="B14074" s="6">
        <v>0.63036963036963001</v>
      </c>
      <c r="C14074" s="6">
        <v>0.74866751950529398</v>
      </c>
    </row>
    <row r="14075" spans="1:3" s="7" customFormat="1" x14ac:dyDescent="0.2">
      <c r="A14075" s="6" t="str">
        <f>"AC135178.6"</f>
        <v>AC135178.6</v>
      </c>
      <c r="B14075" s="6">
        <v>0.63104838709677402</v>
      </c>
      <c r="C14075" s="6">
        <v>0.74942040229753304</v>
      </c>
    </row>
    <row r="14076" spans="1:3" s="7" customFormat="1" x14ac:dyDescent="0.2">
      <c r="A14076" s="6" t="str">
        <f>"RBM33"</f>
        <v>RBM33</v>
      </c>
      <c r="B14076" s="6">
        <v>0.63136863136863097</v>
      </c>
      <c r="C14076" s="6">
        <v>0.74953443459729396</v>
      </c>
    </row>
    <row r="14077" spans="1:3" s="7" customFormat="1" x14ac:dyDescent="0.2">
      <c r="A14077" s="6" t="str">
        <f>"ZNF528-AS1"</f>
        <v>ZNF528-AS1</v>
      </c>
      <c r="B14077" s="6">
        <v>0.63136863136863097</v>
      </c>
      <c r="C14077" s="6">
        <v>0.74953443459729396</v>
      </c>
    </row>
    <row r="14078" spans="1:3" s="7" customFormat="1" x14ac:dyDescent="0.2">
      <c r="A14078" s="6" t="str">
        <f>"CTIF"</f>
        <v>CTIF</v>
      </c>
      <c r="B14078" s="6">
        <v>0.63136863136863097</v>
      </c>
      <c r="C14078" s="6">
        <v>0.74953443459729396</v>
      </c>
    </row>
    <row r="14079" spans="1:3" s="7" customFormat="1" x14ac:dyDescent="0.2">
      <c r="A14079" s="6" t="str">
        <f>"DIPK2A"</f>
        <v>DIPK2A</v>
      </c>
      <c r="B14079" s="6">
        <v>0.63136863136863097</v>
      </c>
      <c r="C14079" s="6">
        <v>0.74953443459729396</v>
      </c>
    </row>
    <row r="14080" spans="1:3" s="7" customFormat="1" x14ac:dyDescent="0.2">
      <c r="A14080" s="6" t="str">
        <f>"HS3ST1"</f>
        <v>HS3ST1</v>
      </c>
      <c r="B14080" s="6">
        <v>0.63136863136863097</v>
      </c>
      <c r="C14080" s="6">
        <v>0.74953443459729396</v>
      </c>
    </row>
    <row r="14081" spans="1:3" s="7" customFormat="1" x14ac:dyDescent="0.2">
      <c r="A14081" s="6" t="str">
        <f>"AC005606.2"</f>
        <v>AC005606.2</v>
      </c>
      <c r="B14081" s="6">
        <v>0.63200000000000001</v>
      </c>
      <c r="C14081" s="6">
        <v>0.75023068181818098</v>
      </c>
    </row>
    <row r="14082" spans="1:3" s="7" customFormat="1" x14ac:dyDescent="0.2">
      <c r="A14082" s="6" t="str">
        <f>"SPATA13"</f>
        <v>SPATA13</v>
      </c>
      <c r="B14082" s="6">
        <v>0.63236763236763205</v>
      </c>
      <c r="C14082" s="6">
        <v>0.75024081540265497</v>
      </c>
    </row>
    <row r="14083" spans="1:3" s="7" customFormat="1" x14ac:dyDescent="0.2">
      <c r="A14083" s="6" t="str">
        <f>"UNC13B"</f>
        <v>UNC13B</v>
      </c>
      <c r="B14083" s="6">
        <v>0.63236763236763205</v>
      </c>
      <c r="C14083" s="6">
        <v>0.75024081540265497</v>
      </c>
    </row>
    <row r="14084" spans="1:3" s="7" customFormat="1" x14ac:dyDescent="0.2">
      <c r="A14084" s="6" t="str">
        <f>"NLRP2"</f>
        <v>NLRP2</v>
      </c>
      <c r="B14084" s="6">
        <v>0.63236763236763205</v>
      </c>
      <c r="C14084" s="6">
        <v>0.75024081540265497</v>
      </c>
    </row>
    <row r="14085" spans="1:3" s="7" customFormat="1" x14ac:dyDescent="0.2">
      <c r="A14085" s="6" t="str">
        <f>"MIA"</f>
        <v>MIA</v>
      </c>
      <c r="B14085" s="6">
        <v>0.63236763236763205</v>
      </c>
      <c r="C14085" s="6">
        <v>0.75024081540265497</v>
      </c>
    </row>
    <row r="14086" spans="1:3" s="7" customFormat="1" x14ac:dyDescent="0.2">
      <c r="A14086" s="6" t="str">
        <f>"HGH1"</f>
        <v>HGH1</v>
      </c>
      <c r="B14086" s="6">
        <v>0.63236763236763205</v>
      </c>
      <c r="C14086" s="6">
        <v>0.75024081540265497</v>
      </c>
    </row>
    <row r="14087" spans="1:3" s="7" customFormat="1" x14ac:dyDescent="0.2">
      <c r="A14087" s="6" t="str">
        <f>"AC104850.2"</f>
        <v>AC104850.2</v>
      </c>
      <c r="B14087" s="6">
        <v>0.63236763236763205</v>
      </c>
      <c r="C14087" s="6">
        <v>0.75024081540265497</v>
      </c>
    </row>
    <row r="14088" spans="1:3" s="7" customFormat="1" x14ac:dyDescent="0.2">
      <c r="A14088" s="6" t="str">
        <f>"DGKZP1"</f>
        <v>DGKZP1</v>
      </c>
      <c r="B14088" s="6">
        <v>0.63236763236763205</v>
      </c>
      <c r="C14088" s="6">
        <v>0.75024081540265497</v>
      </c>
    </row>
    <row r="14089" spans="1:3" s="7" customFormat="1" x14ac:dyDescent="0.2">
      <c r="A14089" s="6" t="str">
        <f>"MYH10"</f>
        <v>MYH10</v>
      </c>
      <c r="B14089" s="6">
        <v>0.63236763236763205</v>
      </c>
      <c r="C14089" s="6">
        <v>0.75024081540265497</v>
      </c>
    </row>
    <row r="14090" spans="1:3" s="7" customFormat="1" x14ac:dyDescent="0.2">
      <c r="A14090" s="6" t="str">
        <f>"FHAD1-AS1"</f>
        <v>FHAD1-AS1</v>
      </c>
      <c r="B14090" s="6">
        <v>0.63263263263263203</v>
      </c>
      <c r="C14090" s="6">
        <v>0.75050193923073405</v>
      </c>
    </row>
    <row r="14091" spans="1:3" s="7" customFormat="1" x14ac:dyDescent="0.2">
      <c r="A14091" s="6" t="str">
        <f>"AC010624.5"</f>
        <v>AC010624.5</v>
      </c>
      <c r="B14091" s="6">
        <v>0.63300000000000001</v>
      </c>
      <c r="C14091" s="6">
        <v>0.75084018406493902</v>
      </c>
    </row>
    <row r="14092" spans="1:3" s="7" customFormat="1" x14ac:dyDescent="0.2">
      <c r="A14092" s="6" t="str">
        <f>"DUX4L50"</f>
        <v>DUX4L50</v>
      </c>
      <c r="B14092" s="6">
        <v>0.63300760043431004</v>
      </c>
      <c r="C14092" s="6">
        <v>0.75084018406493902</v>
      </c>
    </row>
    <row r="14093" spans="1:3" s="7" customFormat="1" x14ac:dyDescent="0.2">
      <c r="A14093" s="6" t="str">
        <f>"GMPPB"</f>
        <v>GMPPB</v>
      </c>
      <c r="B14093" s="6">
        <v>0.63336663336663301</v>
      </c>
      <c r="C14093" s="6">
        <v>0.75089302809546798</v>
      </c>
    </row>
    <row r="14094" spans="1:3" s="7" customFormat="1" x14ac:dyDescent="0.2">
      <c r="A14094" s="6" t="str">
        <f>"SEPTIN8"</f>
        <v>SEPTIN8</v>
      </c>
      <c r="B14094" s="6">
        <v>0.63336663336663301</v>
      </c>
      <c r="C14094" s="6">
        <v>0.75089302809546798</v>
      </c>
    </row>
    <row r="14095" spans="1:3" s="7" customFormat="1" x14ac:dyDescent="0.2">
      <c r="A14095" s="6" t="str">
        <f>"PEA15"</f>
        <v>PEA15</v>
      </c>
      <c r="B14095" s="6">
        <v>0.63336663336663301</v>
      </c>
      <c r="C14095" s="6">
        <v>0.75089302809546798</v>
      </c>
    </row>
    <row r="14096" spans="1:3" s="7" customFormat="1" x14ac:dyDescent="0.2">
      <c r="A14096" s="6" t="str">
        <f>"AC024592.3"</f>
        <v>AC024592.3</v>
      </c>
      <c r="B14096" s="6">
        <v>0.63336663336663301</v>
      </c>
      <c r="C14096" s="6">
        <v>0.75089302809546798</v>
      </c>
    </row>
    <row r="14097" spans="1:3" s="7" customFormat="1" x14ac:dyDescent="0.2">
      <c r="A14097" s="6" t="str">
        <f>"AC120057.3"</f>
        <v>AC120057.3</v>
      </c>
      <c r="B14097" s="6">
        <v>0.63336663336663301</v>
      </c>
      <c r="C14097" s="6">
        <v>0.75089302809546798</v>
      </c>
    </row>
    <row r="14098" spans="1:3" s="7" customFormat="1" x14ac:dyDescent="0.2">
      <c r="A14098" s="6" t="str">
        <f>"PNMA1"</f>
        <v>PNMA1</v>
      </c>
      <c r="B14098" s="6">
        <v>0.63336663336663301</v>
      </c>
      <c r="C14098" s="6">
        <v>0.75089302809546798</v>
      </c>
    </row>
    <row r="14099" spans="1:3" s="7" customFormat="1" x14ac:dyDescent="0.2">
      <c r="A14099" s="6" t="str">
        <f>"AP3B1"</f>
        <v>AP3B1</v>
      </c>
      <c r="B14099" s="6">
        <v>0.63336663336663301</v>
      </c>
      <c r="C14099" s="6">
        <v>0.75089302809546798</v>
      </c>
    </row>
    <row r="14100" spans="1:3" s="7" customFormat="1" x14ac:dyDescent="0.2">
      <c r="A14100" s="6" t="str">
        <f>"AC005034.4"</f>
        <v>AC005034.4</v>
      </c>
      <c r="B14100" s="6">
        <v>0.63343403826787503</v>
      </c>
      <c r="C14100" s="6">
        <v>0.75091967626138401</v>
      </c>
    </row>
    <row r="14101" spans="1:3" s="7" customFormat="1" x14ac:dyDescent="0.2">
      <c r="A14101" s="6" t="str">
        <f>"CORO1C"</f>
        <v>CORO1C</v>
      </c>
      <c r="B14101" s="6">
        <v>0.63436563436563398</v>
      </c>
      <c r="C14101" s="6">
        <v>0.75138453779230396</v>
      </c>
    </row>
    <row r="14102" spans="1:3" s="7" customFormat="1" x14ac:dyDescent="0.2">
      <c r="A14102" s="6" t="str">
        <f>"ZCCHC8"</f>
        <v>ZCCHC8</v>
      </c>
      <c r="B14102" s="6">
        <v>0.63436563436563398</v>
      </c>
      <c r="C14102" s="6">
        <v>0.75138453779230396</v>
      </c>
    </row>
    <row r="14103" spans="1:3" s="7" customFormat="1" x14ac:dyDescent="0.2">
      <c r="A14103" s="6" t="str">
        <f>"NAV1"</f>
        <v>NAV1</v>
      </c>
      <c r="B14103" s="6">
        <v>0.63436563436563398</v>
      </c>
      <c r="C14103" s="6">
        <v>0.75138453779230396</v>
      </c>
    </row>
    <row r="14104" spans="1:3" s="7" customFormat="1" x14ac:dyDescent="0.2">
      <c r="A14104" s="6" t="str">
        <f>"CCAR2"</f>
        <v>CCAR2</v>
      </c>
      <c r="B14104" s="6">
        <v>0.63436563436563398</v>
      </c>
      <c r="C14104" s="6">
        <v>0.75138453779230396</v>
      </c>
    </row>
    <row r="14105" spans="1:3" s="7" customFormat="1" x14ac:dyDescent="0.2">
      <c r="A14105" s="6" t="str">
        <f>"MSRB2"</f>
        <v>MSRB2</v>
      </c>
      <c r="B14105" s="6">
        <v>0.63436563436563398</v>
      </c>
      <c r="C14105" s="6">
        <v>0.75138453779230396</v>
      </c>
    </row>
    <row r="14106" spans="1:3" s="7" customFormat="1" x14ac:dyDescent="0.2">
      <c r="A14106" s="6" t="str">
        <f>"LINC01825"</f>
        <v>LINC01825</v>
      </c>
      <c r="B14106" s="6">
        <v>0.63436563436563398</v>
      </c>
      <c r="C14106" s="6">
        <v>0.75138453779230396</v>
      </c>
    </row>
    <row r="14107" spans="1:3" s="7" customFormat="1" x14ac:dyDescent="0.2">
      <c r="A14107" s="6" t="str">
        <f>"NASP"</f>
        <v>NASP</v>
      </c>
      <c r="B14107" s="6">
        <v>0.63436563436563398</v>
      </c>
      <c r="C14107" s="6">
        <v>0.75138453779230396</v>
      </c>
    </row>
    <row r="14108" spans="1:3" s="7" customFormat="1" x14ac:dyDescent="0.2">
      <c r="A14108" s="6" t="str">
        <f>"ZBTB39"</f>
        <v>ZBTB39</v>
      </c>
      <c r="B14108" s="6">
        <v>0.63436563436563398</v>
      </c>
      <c r="C14108" s="6">
        <v>0.75138453779230396</v>
      </c>
    </row>
    <row r="14109" spans="1:3" s="7" customFormat="1" x14ac:dyDescent="0.2">
      <c r="A14109" s="6" t="str">
        <f>"AL078590.2"</f>
        <v>AL078590.2</v>
      </c>
      <c r="B14109" s="6">
        <v>0.63436563436563398</v>
      </c>
      <c r="C14109" s="6">
        <v>0.75138453779230396</v>
      </c>
    </row>
    <row r="14110" spans="1:3" s="7" customFormat="1" x14ac:dyDescent="0.2">
      <c r="A14110" s="6" t="str">
        <f>"AC018690.1"</f>
        <v>AC018690.1</v>
      </c>
      <c r="B14110" s="6">
        <v>0.63400000000000001</v>
      </c>
      <c r="C14110" s="6">
        <v>0.75138453779230396</v>
      </c>
    </row>
    <row r="14111" spans="1:3" s="7" customFormat="1" x14ac:dyDescent="0.2">
      <c r="A14111" s="6" t="str">
        <f>"LINC01963"</f>
        <v>LINC01963</v>
      </c>
      <c r="B14111" s="6">
        <v>0.63436563436563398</v>
      </c>
      <c r="C14111" s="6">
        <v>0.75138453779230396</v>
      </c>
    </row>
    <row r="14112" spans="1:3" s="7" customFormat="1" x14ac:dyDescent="0.2">
      <c r="A14112" s="6" t="str">
        <f>"PSMB5"</f>
        <v>PSMB5</v>
      </c>
      <c r="B14112" s="6">
        <v>0.63436563436563398</v>
      </c>
      <c r="C14112" s="6">
        <v>0.75138453779230396</v>
      </c>
    </row>
    <row r="14113" spans="1:3" s="7" customFormat="1" x14ac:dyDescent="0.2">
      <c r="A14113" s="6" t="str">
        <f>"ETFDH"</f>
        <v>ETFDH</v>
      </c>
      <c r="B14113" s="6">
        <v>0.63536463536463506</v>
      </c>
      <c r="C14113" s="6">
        <v>0.75240785854361003</v>
      </c>
    </row>
    <row r="14114" spans="1:3" s="7" customFormat="1" x14ac:dyDescent="0.2">
      <c r="A14114" s="6" t="str">
        <f>"CLEC18C"</f>
        <v>CLEC18C</v>
      </c>
      <c r="B14114" s="6">
        <v>0.63536463536463506</v>
      </c>
      <c r="C14114" s="6">
        <v>0.75240785854361003</v>
      </c>
    </row>
    <row r="14115" spans="1:3" s="7" customFormat="1" x14ac:dyDescent="0.2">
      <c r="A14115" s="6" t="str">
        <f>"PSPN"</f>
        <v>PSPN</v>
      </c>
      <c r="B14115" s="6">
        <v>0.63536463536463506</v>
      </c>
      <c r="C14115" s="6">
        <v>0.75240785854361003</v>
      </c>
    </row>
    <row r="14116" spans="1:3" s="7" customFormat="1" x14ac:dyDescent="0.2">
      <c r="A14116" s="6" t="str">
        <f>"AC024361.1"</f>
        <v>AC024361.1</v>
      </c>
      <c r="B14116" s="6">
        <v>0.63600000000000001</v>
      </c>
      <c r="C14116" s="6">
        <v>0.75310690754516396</v>
      </c>
    </row>
    <row r="14117" spans="1:3" s="7" customFormat="1" x14ac:dyDescent="0.2">
      <c r="A14117" s="6" t="str">
        <f>"DDB1"</f>
        <v>DDB1</v>
      </c>
      <c r="B14117" s="6">
        <v>0.63636363636363602</v>
      </c>
      <c r="C14117" s="6">
        <v>0.75332401856943199</v>
      </c>
    </row>
    <row r="14118" spans="1:3" s="7" customFormat="1" x14ac:dyDescent="0.2">
      <c r="A14118" s="6" t="str">
        <f>"MFAP1"</f>
        <v>MFAP1</v>
      </c>
      <c r="B14118" s="6">
        <v>0.63636363636363602</v>
      </c>
      <c r="C14118" s="6">
        <v>0.75332401856943199</v>
      </c>
    </row>
    <row r="14119" spans="1:3" s="7" customFormat="1" x14ac:dyDescent="0.2">
      <c r="A14119" s="6" t="str">
        <f>"AC140121.1"</f>
        <v>AC140121.1</v>
      </c>
      <c r="B14119" s="6">
        <v>0.63636363636363602</v>
      </c>
      <c r="C14119" s="6">
        <v>0.75332401856943199</v>
      </c>
    </row>
    <row r="14120" spans="1:3" s="7" customFormat="1" x14ac:dyDescent="0.2">
      <c r="A14120" s="6" t="str">
        <f>"RNF4"</f>
        <v>RNF4</v>
      </c>
      <c r="B14120" s="6">
        <v>0.63636363636363602</v>
      </c>
      <c r="C14120" s="6">
        <v>0.75332401856943199</v>
      </c>
    </row>
    <row r="14121" spans="1:3" s="7" customFormat="1" x14ac:dyDescent="0.2">
      <c r="A14121" s="6" t="str">
        <f>"SDHB"</f>
        <v>SDHB</v>
      </c>
      <c r="B14121" s="6">
        <v>0.63736263736263699</v>
      </c>
      <c r="C14121" s="6">
        <v>0.75407936015283605</v>
      </c>
    </row>
    <row r="14122" spans="1:3" s="7" customFormat="1" x14ac:dyDescent="0.2">
      <c r="A14122" s="6" t="str">
        <f>"TLCD3A"</f>
        <v>TLCD3A</v>
      </c>
      <c r="B14122" s="6">
        <v>0.63736263736263699</v>
      </c>
      <c r="C14122" s="6">
        <v>0.75407936015283605</v>
      </c>
    </row>
    <row r="14123" spans="1:3" s="7" customFormat="1" x14ac:dyDescent="0.2">
      <c r="A14123" s="6" t="str">
        <f>"C5orf34"</f>
        <v>C5orf34</v>
      </c>
      <c r="B14123" s="6">
        <v>0.63736263736263699</v>
      </c>
      <c r="C14123" s="6">
        <v>0.75407936015283605</v>
      </c>
    </row>
    <row r="14124" spans="1:3" s="7" customFormat="1" x14ac:dyDescent="0.2">
      <c r="A14124" s="6" t="str">
        <f>"KIF5B"</f>
        <v>KIF5B</v>
      </c>
      <c r="B14124" s="6">
        <v>0.63736263736263699</v>
      </c>
      <c r="C14124" s="6">
        <v>0.75407936015283605</v>
      </c>
    </row>
    <row r="14125" spans="1:3" s="7" customFormat="1" x14ac:dyDescent="0.2">
      <c r="A14125" s="6" t="str">
        <f>"AP001347.1"</f>
        <v>AP001347.1</v>
      </c>
      <c r="B14125" s="6">
        <v>0.63736263736263699</v>
      </c>
      <c r="C14125" s="6">
        <v>0.75407936015283605</v>
      </c>
    </row>
    <row r="14126" spans="1:3" s="7" customFormat="1" x14ac:dyDescent="0.2">
      <c r="A14126" s="6" t="str">
        <f>"GFPT2"</f>
        <v>GFPT2</v>
      </c>
      <c r="B14126" s="6">
        <v>0.63736263736263699</v>
      </c>
      <c r="C14126" s="6">
        <v>0.75407936015283605</v>
      </c>
    </row>
    <row r="14127" spans="1:3" s="7" customFormat="1" x14ac:dyDescent="0.2">
      <c r="A14127" s="6" t="str">
        <f>"TCF20"</f>
        <v>TCF20</v>
      </c>
      <c r="B14127" s="6">
        <v>0.63736263736263699</v>
      </c>
      <c r="C14127" s="6">
        <v>0.75407936015283605</v>
      </c>
    </row>
    <row r="14128" spans="1:3" s="7" customFormat="1" x14ac:dyDescent="0.2">
      <c r="A14128" s="6" t="str">
        <f>"AC104667.2"</f>
        <v>AC104667.2</v>
      </c>
      <c r="B14128" s="6">
        <v>0.63736263736263699</v>
      </c>
      <c r="C14128" s="6">
        <v>0.75407936015283605</v>
      </c>
    </row>
    <row r="14129" spans="1:3" s="7" customFormat="1" x14ac:dyDescent="0.2">
      <c r="A14129" s="6" t="str">
        <f>"AC020612.4"</f>
        <v>AC020612.4</v>
      </c>
      <c r="B14129" s="6">
        <v>0.63755020080321201</v>
      </c>
      <c r="C14129" s="6">
        <v>0.75424788053686997</v>
      </c>
    </row>
    <row r="14130" spans="1:3" s="7" customFormat="1" x14ac:dyDescent="0.2">
      <c r="A14130" s="6" t="str">
        <f>"POLR1A"</f>
        <v>POLR1A</v>
      </c>
      <c r="B14130" s="6">
        <v>0.63836163836163795</v>
      </c>
      <c r="C14130" s="6">
        <v>0.75478044875328398</v>
      </c>
    </row>
    <row r="14131" spans="1:3" s="7" customFormat="1" x14ac:dyDescent="0.2">
      <c r="A14131" s="6" t="str">
        <f>"TPI1P2"</f>
        <v>TPI1P2</v>
      </c>
      <c r="B14131" s="6">
        <v>0.63836163836163795</v>
      </c>
      <c r="C14131" s="6">
        <v>0.75478044875328398</v>
      </c>
    </row>
    <row r="14132" spans="1:3" s="7" customFormat="1" x14ac:dyDescent="0.2">
      <c r="A14132" s="6" t="str">
        <f>"UBE3B"</f>
        <v>UBE3B</v>
      </c>
      <c r="B14132" s="6">
        <v>0.63836163836163795</v>
      </c>
      <c r="C14132" s="6">
        <v>0.75478044875328398</v>
      </c>
    </row>
    <row r="14133" spans="1:3" s="7" customFormat="1" x14ac:dyDescent="0.2">
      <c r="A14133" s="6" t="str">
        <f>"MMRN1"</f>
        <v>MMRN1</v>
      </c>
      <c r="B14133" s="6">
        <v>0.63836163836163795</v>
      </c>
      <c r="C14133" s="6">
        <v>0.75478044875328398</v>
      </c>
    </row>
    <row r="14134" spans="1:3" s="7" customFormat="1" x14ac:dyDescent="0.2">
      <c r="A14134" s="6" t="str">
        <f>"SPATC1L"</f>
        <v>SPATC1L</v>
      </c>
      <c r="B14134" s="6">
        <v>0.63836163836163795</v>
      </c>
      <c r="C14134" s="6">
        <v>0.75478044875328398</v>
      </c>
    </row>
    <row r="14135" spans="1:3" s="7" customFormat="1" x14ac:dyDescent="0.2">
      <c r="A14135" s="6" t="str">
        <f>"PTPRF"</f>
        <v>PTPRF</v>
      </c>
      <c r="B14135" s="6">
        <v>0.63836163836163795</v>
      </c>
      <c r="C14135" s="6">
        <v>0.75478044875328398</v>
      </c>
    </row>
    <row r="14136" spans="1:3" s="7" customFormat="1" x14ac:dyDescent="0.2">
      <c r="A14136" s="6" t="str">
        <f>"LYPD6B"</f>
        <v>LYPD6B</v>
      </c>
      <c r="B14136" s="6">
        <v>0.63836163836163795</v>
      </c>
      <c r="C14136" s="6">
        <v>0.75478044875328398</v>
      </c>
    </row>
    <row r="14137" spans="1:3" s="7" customFormat="1" x14ac:dyDescent="0.2">
      <c r="A14137" s="6" t="str">
        <f>"C8orf88"</f>
        <v>C8orf88</v>
      </c>
      <c r="B14137" s="6">
        <v>0.63836163836163795</v>
      </c>
      <c r="C14137" s="6">
        <v>0.75478044875328398</v>
      </c>
    </row>
    <row r="14138" spans="1:3" s="7" customFormat="1" x14ac:dyDescent="0.2">
      <c r="A14138" s="6" t="str">
        <f>"SUPT5H"</f>
        <v>SUPT5H</v>
      </c>
      <c r="B14138" s="6">
        <v>0.63936063936063903</v>
      </c>
      <c r="C14138" s="6">
        <v>0.75542723923891697</v>
      </c>
    </row>
    <row r="14139" spans="1:3" s="7" customFormat="1" x14ac:dyDescent="0.2">
      <c r="A14139" s="6" t="str">
        <f>"ZNF554"</f>
        <v>ZNF554</v>
      </c>
      <c r="B14139" s="6">
        <v>0.63936063936063903</v>
      </c>
      <c r="C14139" s="6">
        <v>0.75542723923891697</v>
      </c>
    </row>
    <row r="14140" spans="1:3" s="7" customFormat="1" x14ac:dyDescent="0.2">
      <c r="A14140" s="6" t="str">
        <f>"PFKL"</f>
        <v>PFKL</v>
      </c>
      <c r="B14140" s="6">
        <v>0.63936063936063903</v>
      </c>
      <c r="C14140" s="6">
        <v>0.75542723923891697</v>
      </c>
    </row>
    <row r="14141" spans="1:3" s="7" customFormat="1" x14ac:dyDescent="0.2">
      <c r="A14141" s="6" t="str">
        <f>"AL158066.1"</f>
        <v>AL158066.1</v>
      </c>
      <c r="B14141" s="6">
        <v>0.63936063936063903</v>
      </c>
      <c r="C14141" s="6">
        <v>0.75542723923891697</v>
      </c>
    </row>
    <row r="14142" spans="1:3" s="7" customFormat="1" x14ac:dyDescent="0.2">
      <c r="A14142" s="6" t="str">
        <f>"MET"</f>
        <v>MET</v>
      </c>
      <c r="B14142" s="6">
        <v>0.63936063936063903</v>
      </c>
      <c r="C14142" s="6">
        <v>0.75542723923891697</v>
      </c>
    </row>
    <row r="14143" spans="1:3" s="7" customFormat="1" x14ac:dyDescent="0.2">
      <c r="A14143" s="6" t="str">
        <f>"BGN"</f>
        <v>BGN</v>
      </c>
      <c r="B14143" s="6">
        <v>0.63936063936063903</v>
      </c>
      <c r="C14143" s="6">
        <v>0.75542723923891697</v>
      </c>
    </row>
    <row r="14144" spans="1:3" s="7" customFormat="1" x14ac:dyDescent="0.2">
      <c r="A14144" s="6" t="str">
        <f>"FAM178B"</f>
        <v>FAM178B</v>
      </c>
      <c r="B14144" s="6">
        <v>0.63936063936063903</v>
      </c>
      <c r="C14144" s="6">
        <v>0.75542723923891697</v>
      </c>
    </row>
    <row r="14145" spans="1:3" s="7" customFormat="1" x14ac:dyDescent="0.2">
      <c r="A14145" s="6" t="str">
        <f>"VRK1"</f>
        <v>VRK1</v>
      </c>
      <c r="B14145" s="6">
        <v>0.63936063936063903</v>
      </c>
      <c r="C14145" s="6">
        <v>0.75542723923891697</v>
      </c>
    </row>
    <row r="14146" spans="1:3" s="7" customFormat="1" x14ac:dyDescent="0.2">
      <c r="A14146" s="6" t="str">
        <f>"SP5"</f>
        <v>SP5</v>
      </c>
      <c r="B14146" s="6">
        <v>0.63936063936063903</v>
      </c>
      <c r="C14146" s="6">
        <v>0.75542723923891697</v>
      </c>
    </row>
    <row r="14147" spans="1:3" s="7" customFormat="1" x14ac:dyDescent="0.2">
      <c r="A14147" s="6" t="str">
        <f>"CAHM"</f>
        <v>CAHM</v>
      </c>
      <c r="B14147" s="6">
        <v>0.63919597989949695</v>
      </c>
      <c r="C14147" s="6">
        <v>0.75542723923891697</v>
      </c>
    </row>
    <row r="14148" spans="1:3" s="7" customFormat="1" x14ac:dyDescent="0.2">
      <c r="A14148" s="6" t="str">
        <f>"SEC16A"</f>
        <v>SEC16A</v>
      </c>
      <c r="B14148" s="6">
        <v>0.64</v>
      </c>
      <c r="C14148" s="6">
        <v>0.75612921467448901</v>
      </c>
    </row>
    <row r="14149" spans="1:3" s="7" customFormat="1" x14ac:dyDescent="0.2">
      <c r="A14149" s="6" t="str">
        <f>"RPS13"</f>
        <v>RPS13</v>
      </c>
      <c r="B14149" s="6">
        <v>0.64035964035963999</v>
      </c>
      <c r="C14149" s="6">
        <v>0.75623338012937302</v>
      </c>
    </row>
    <row r="14150" spans="1:3" s="7" customFormat="1" x14ac:dyDescent="0.2">
      <c r="A14150" s="6" t="str">
        <f>"MGAT4EP"</f>
        <v>MGAT4EP</v>
      </c>
      <c r="B14150" s="6">
        <v>0.64035964035963999</v>
      </c>
      <c r="C14150" s="6">
        <v>0.75623338012937302</v>
      </c>
    </row>
    <row r="14151" spans="1:3" s="7" customFormat="1" x14ac:dyDescent="0.2">
      <c r="A14151" s="6" t="str">
        <f>"AC018685.2"</f>
        <v>AC018685.2</v>
      </c>
      <c r="B14151" s="6">
        <v>0.64035964035963999</v>
      </c>
      <c r="C14151" s="6">
        <v>0.75623338012937302</v>
      </c>
    </row>
    <row r="14152" spans="1:3" s="7" customFormat="1" x14ac:dyDescent="0.2">
      <c r="A14152" s="6" t="str">
        <f>"AL033519.4"</f>
        <v>AL033519.4</v>
      </c>
      <c r="B14152" s="6">
        <v>0.64035964035963999</v>
      </c>
      <c r="C14152" s="6">
        <v>0.75623338012937302</v>
      </c>
    </row>
    <row r="14153" spans="1:3" s="7" customFormat="1" x14ac:dyDescent="0.2">
      <c r="A14153" s="6" t="str">
        <f>"AFAP1L1"</f>
        <v>AFAP1L1</v>
      </c>
      <c r="B14153" s="6">
        <v>0.64035964035963999</v>
      </c>
      <c r="C14153" s="6">
        <v>0.75623338012937302</v>
      </c>
    </row>
    <row r="14154" spans="1:3" s="7" customFormat="1" x14ac:dyDescent="0.2">
      <c r="A14154" s="6" t="str">
        <f>"ATP5MC3"</f>
        <v>ATP5MC3</v>
      </c>
      <c r="B14154" s="6">
        <v>0.64035964035963999</v>
      </c>
      <c r="C14154" s="6">
        <v>0.75623338012937302</v>
      </c>
    </row>
    <row r="14155" spans="1:3" s="7" customFormat="1" x14ac:dyDescent="0.2">
      <c r="A14155" s="6" t="str">
        <f>"PRICKLE2-DT"</f>
        <v>PRICKLE2-DT</v>
      </c>
      <c r="B14155" s="6">
        <v>0.64056224899598302</v>
      </c>
      <c r="C14155" s="6">
        <v>0.75641920515182104</v>
      </c>
    </row>
    <row r="14156" spans="1:3" s="7" customFormat="1" x14ac:dyDescent="0.2">
      <c r="A14156" s="6" t="str">
        <f>"RPL23AP25"</f>
        <v>RPL23AP25</v>
      </c>
      <c r="B14156" s="6">
        <v>0.64135864135864096</v>
      </c>
      <c r="C14156" s="6">
        <v>0.75703872398787597</v>
      </c>
    </row>
    <row r="14157" spans="1:3" s="7" customFormat="1" x14ac:dyDescent="0.2">
      <c r="A14157" s="6" t="str">
        <f>"CSNK2A2"</f>
        <v>CSNK2A2</v>
      </c>
      <c r="B14157" s="6">
        <v>0.64135864135864096</v>
      </c>
      <c r="C14157" s="6">
        <v>0.75703872398787597</v>
      </c>
    </row>
    <row r="14158" spans="1:3" s="7" customFormat="1" x14ac:dyDescent="0.2">
      <c r="A14158" s="6" t="str">
        <f>"PARP11"</f>
        <v>PARP11</v>
      </c>
      <c r="B14158" s="6">
        <v>0.64135864135864096</v>
      </c>
      <c r="C14158" s="6">
        <v>0.75703872398787597</v>
      </c>
    </row>
    <row r="14159" spans="1:3" s="7" customFormat="1" x14ac:dyDescent="0.2">
      <c r="A14159" s="6" t="str">
        <f>"C19orf47"</f>
        <v>C19orf47</v>
      </c>
      <c r="B14159" s="6">
        <v>0.64135864135864096</v>
      </c>
      <c r="C14159" s="6">
        <v>0.75703872398787597</v>
      </c>
    </row>
    <row r="14160" spans="1:3" s="7" customFormat="1" x14ac:dyDescent="0.2">
      <c r="A14160" s="6" t="str">
        <f>"BCAS1"</f>
        <v>BCAS1</v>
      </c>
      <c r="B14160" s="6">
        <v>0.64135864135864096</v>
      </c>
      <c r="C14160" s="6">
        <v>0.75703872398787597</v>
      </c>
    </row>
    <row r="14161" spans="1:3" s="7" customFormat="1" x14ac:dyDescent="0.2">
      <c r="A14161" s="6" t="str">
        <f>"GPR174"</f>
        <v>GPR174</v>
      </c>
      <c r="B14161" s="6">
        <v>0.64135864135864096</v>
      </c>
      <c r="C14161" s="6">
        <v>0.75703872398787597</v>
      </c>
    </row>
    <row r="14162" spans="1:3" s="7" customFormat="1" x14ac:dyDescent="0.2">
      <c r="A14162" s="6" t="str">
        <f>"FAM13B"</f>
        <v>FAM13B</v>
      </c>
      <c r="B14162" s="6">
        <v>0.64235764235764203</v>
      </c>
      <c r="C14162" s="6">
        <v>0.75778978221101301</v>
      </c>
    </row>
    <row r="14163" spans="1:3" s="7" customFormat="1" x14ac:dyDescent="0.2">
      <c r="A14163" s="6" t="str">
        <f>"WAC"</f>
        <v>WAC</v>
      </c>
      <c r="B14163" s="6">
        <v>0.64235764235764203</v>
      </c>
      <c r="C14163" s="6">
        <v>0.75778978221101301</v>
      </c>
    </row>
    <row r="14164" spans="1:3" s="7" customFormat="1" x14ac:dyDescent="0.2">
      <c r="A14164" s="6" t="str">
        <f>"LINC01927"</f>
        <v>LINC01927</v>
      </c>
      <c r="B14164" s="6">
        <v>0.64235764235764203</v>
      </c>
      <c r="C14164" s="6">
        <v>0.75778978221101301</v>
      </c>
    </row>
    <row r="14165" spans="1:3" s="7" customFormat="1" x14ac:dyDescent="0.2">
      <c r="A14165" s="6" t="str">
        <f>"AC092287.1"</f>
        <v>AC092287.1</v>
      </c>
      <c r="B14165" s="6">
        <v>0.64235764235764203</v>
      </c>
      <c r="C14165" s="6">
        <v>0.75778978221101301</v>
      </c>
    </row>
    <row r="14166" spans="1:3" s="7" customFormat="1" x14ac:dyDescent="0.2">
      <c r="A14166" s="6" t="str">
        <f>"ARNTL"</f>
        <v>ARNTL</v>
      </c>
      <c r="B14166" s="6">
        <v>0.64235764235764203</v>
      </c>
      <c r="C14166" s="6">
        <v>0.75778978221101301</v>
      </c>
    </row>
    <row r="14167" spans="1:3" s="7" customFormat="1" x14ac:dyDescent="0.2">
      <c r="A14167" s="6" t="str">
        <f>"PLD3"</f>
        <v>PLD3</v>
      </c>
      <c r="B14167" s="6">
        <v>0.64235764235764203</v>
      </c>
      <c r="C14167" s="6">
        <v>0.75778978221101301</v>
      </c>
    </row>
    <row r="14168" spans="1:3" s="7" customFormat="1" x14ac:dyDescent="0.2">
      <c r="A14168" s="6" t="str">
        <f>"EVC2"</f>
        <v>EVC2</v>
      </c>
      <c r="B14168" s="6">
        <v>0.64235764235764203</v>
      </c>
      <c r="C14168" s="6">
        <v>0.75778978221101301</v>
      </c>
    </row>
    <row r="14169" spans="1:3" s="7" customFormat="1" x14ac:dyDescent="0.2">
      <c r="A14169" s="6" t="str">
        <f>"POLM"</f>
        <v>POLM</v>
      </c>
      <c r="B14169" s="6">
        <v>0.64235764235764203</v>
      </c>
      <c r="C14169" s="6">
        <v>0.75778978221101301</v>
      </c>
    </row>
    <row r="14170" spans="1:3" s="7" customFormat="1" x14ac:dyDescent="0.2">
      <c r="A14170" s="6" t="str">
        <f>"PTGES2"</f>
        <v>PTGES2</v>
      </c>
      <c r="B14170" s="6">
        <v>0.64300000000000002</v>
      </c>
      <c r="C14170" s="6">
        <v>0.75849403627637801</v>
      </c>
    </row>
    <row r="14171" spans="1:3" s="7" customFormat="1" x14ac:dyDescent="0.2">
      <c r="A14171" s="6" t="str">
        <f>"LAMB4"</f>
        <v>LAMB4</v>
      </c>
      <c r="B14171" s="6">
        <v>0.643356643356643</v>
      </c>
      <c r="C14171" s="6">
        <v>0.758593505260171</v>
      </c>
    </row>
    <row r="14172" spans="1:3" s="7" customFormat="1" x14ac:dyDescent="0.2">
      <c r="A14172" s="6" t="str">
        <f>"OR7E91P"</f>
        <v>OR7E91P</v>
      </c>
      <c r="B14172" s="6">
        <v>0.643356643356643</v>
      </c>
      <c r="C14172" s="6">
        <v>0.758593505260171</v>
      </c>
    </row>
    <row r="14173" spans="1:3" s="7" customFormat="1" x14ac:dyDescent="0.2">
      <c r="A14173" s="6" t="str">
        <f>"Z94721.2"</f>
        <v>Z94721.2</v>
      </c>
      <c r="B14173" s="6">
        <v>0.643356643356643</v>
      </c>
      <c r="C14173" s="6">
        <v>0.758593505260171</v>
      </c>
    </row>
    <row r="14174" spans="1:3" s="7" customFormat="1" x14ac:dyDescent="0.2">
      <c r="A14174" s="6" t="str">
        <f>"PRDM15"</f>
        <v>PRDM15</v>
      </c>
      <c r="B14174" s="6">
        <v>0.643356643356643</v>
      </c>
      <c r="C14174" s="6">
        <v>0.758593505260171</v>
      </c>
    </row>
    <row r="14175" spans="1:3" s="7" customFormat="1" x14ac:dyDescent="0.2">
      <c r="A14175" s="6" t="str">
        <f>"ERCC2"</f>
        <v>ERCC2</v>
      </c>
      <c r="B14175" s="6">
        <v>0.643356643356643</v>
      </c>
      <c r="C14175" s="6">
        <v>0.758593505260171</v>
      </c>
    </row>
    <row r="14176" spans="1:3" s="7" customFormat="1" x14ac:dyDescent="0.2">
      <c r="A14176" s="6" t="str">
        <f>"KANSL1"</f>
        <v>KANSL1</v>
      </c>
      <c r="B14176" s="6">
        <v>0.643356643356643</v>
      </c>
      <c r="C14176" s="6">
        <v>0.758593505260171</v>
      </c>
    </row>
    <row r="14177" spans="1:3" s="7" customFormat="1" x14ac:dyDescent="0.2">
      <c r="A14177" s="6" t="str">
        <f>"AC005914.1"</f>
        <v>AC005914.1</v>
      </c>
      <c r="B14177" s="6">
        <v>0.64400000000000002</v>
      </c>
      <c r="C14177" s="6">
        <v>0.75929853273137604</v>
      </c>
    </row>
    <row r="14178" spans="1:3" s="7" customFormat="1" x14ac:dyDescent="0.2">
      <c r="A14178" s="6" t="str">
        <f>"RBM7"</f>
        <v>RBM7</v>
      </c>
      <c r="B14178" s="6">
        <v>0.64435564435564396</v>
      </c>
      <c r="C14178" s="6">
        <v>0.75934289217797601</v>
      </c>
    </row>
    <row r="14179" spans="1:3" s="7" customFormat="1" x14ac:dyDescent="0.2">
      <c r="A14179" s="6" t="str">
        <f>"RRN3P1"</f>
        <v>RRN3P1</v>
      </c>
      <c r="B14179" s="6">
        <v>0.64435564435564396</v>
      </c>
      <c r="C14179" s="6">
        <v>0.75934289217797601</v>
      </c>
    </row>
    <row r="14180" spans="1:3" s="7" customFormat="1" x14ac:dyDescent="0.2">
      <c r="A14180" s="6" t="str">
        <f>"RUSC1"</f>
        <v>RUSC1</v>
      </c>
      <c r="B14180" s="6">
        <v>0.64435564435564396</v>
      </c>
      <c r="C14180" s="6">
        <v>0.75934289217797601</v>
      </c>
    </row>
    <row r="14181" spans="1:3" s="7" customFormat="1" x14ac:dyDescent="0.2">
      <c r="A14181" s="6" t="str">
        <f>"COL1A2"</f>
        <v>COL1A2</v>
      </c>
      <c r="B14181" s="6">
        <v>0.64435564435564396</v>
      </c>
      <c r="C14181" s="6">
        <v>0.75934289217797601</v>
      </c>
    </row>
    <row r="14182" spans="1:3" s="7" customFormat="1" x14ac:dyDescent="0.2">
      <c r="A14182" s="6" t="str">
        <f>"SYCP2"</f>
        <v>SYCP2</v>
      </c>
      <c r="B14182" s="6">
        <v>0.64435564435564396</v>
      </c>
      <c r="C14182" s="6">
        <v>0.75934289217797601</v>
      </c>
    </row>
    <row r="14183" spans="1:3" s="7" customFormat="1" x14ac:dyDescent="0.2">
      <c r="A14183" s="6" t="str">
        <f>"PPP2R5D"</f>
        <v>PPP2R5D</v>
      </c>
      <c r="B14183" s="6">
        <v>0.64435564435564396</v>
      </c>
      <c r="C14183" s="6">
        <v>0.75934289217797601</v>
      </c>
    </row>
    <row r="14184" spans="1:3" s="7" customFormat="1" x14ac:dyDescent="0.2">
      <c r="A14184" s="6" t="str">
        <f>"CLIC6"</f>
        <v>CLIC6</v>
      </c>
      <c r="B14184" s="6">
        <v>0.64435564435564396</v>
      </c>
      <c r="C14184" s="6">
        <v>0.75934289217797601</v>
      </c>
    </row>
    <row r="14185" spans="1:3" s="7" customFormat="1" x14ac:dyDescent="0.2">
      <c r="A14185" s="6" t="str">
        <f>"ESR2"</f>
        <v>ESR2</v>
      </c>
      <c r="B14185" s="6">
        <v>0.64493480441323903</v>
      </c>
      <c r="C14185" s="6">
        <v>0.759971821838895</v>
      </c>
    </row>
    <row r="14186" spans="1:3" s="7" customFormat="1" x14ac:dyDescent="0.2">
      <c r="A14186" s="6" t="str">
        <f>"AL110118.1"</f>
        <v>AL110118.1</v>
      </c>
      <c r="B14186" s="6">
        <v>0.64500000000000002</v>
      </c>
      <c r="C14186" s="6">
        <v>0.75999506520972804</v>
      </c>
    </row>
    <row r="14187" spans="1:3" s="7" customFormat="1" x14ac:dyDescent="0.2">
      <c r="A14187" s="6" t="str">
        <f>"AC007842.1"</f>
        <v>AC007842.1</v>
      </c>
      <c r="B14187" s="6">
        <v>0.64509605662285097</v>
      </c>
      <c r="C14187" s="6">
        <v>0.76005466589555404</v>
      </c>
    </row>
    <row r="14188" spans="1:3" s="7" customFormat="1" x14ac:dyDescent="0.2">
      <c r="A14188" s="6" t="str">
        <f>"COX6A1"</f>
        <v>COX6A1</v>
      </c>
      <c r="B14188" s="6">
        <v>0.64535464535464504</v>
      </c>
      <c r="C14188" s="6">
        <v>0.76019857230654297</v>
      </c>
    </row>
    <row r="14189" spans="1:3" s="7" customFormat="1" x14ac:dyDescent="0.2">
      <c r="A14189" s="6" t="str">
        <f>"H2AZ2P1"</f>
        <v>H2AZ2P1</v>
      </c>
      <c r="B14189" s="6">
        <v>0.64535464535464504</v>
      </c>
      <c r="C14189" s="6">
        <v>0.76019857230654297</v>
      </c>
    </row>
    <row r="14190" spans="1:3" s="7" customFormat="1" x14ac:dyDescent="0.2">
      <c r="A14190" s="6" t="str">
        <f>"AC006077.2"</f>
        <v>AC006077.2</v>
      </c>
      <c r="B14190" s="6">
        <v>0.64532019704433496</v>
      </c>
      <c r="C14190" s="6">
        <v>0.76019857230654297</v>
      </c>
    </row>
    <row r="14191" spans="1:3" s="7" customFormat="1" x14ac:dyDescent="0.2">
      <c r="A14191" s="6" t="str">
        <f>"MYG1-AS1"</f>
        <v>MYG1-AS1</v>
      </c>
      <c r="B14191" s="6">
        <v>0.645582329317269</v>
      </c>
      <c r="C14191" s="6">
        <v>0.760413181973843</v>
      </c>
    </row>
    <row r="14192" spans="1:3" s="7" customFormat="1" x14ac:dyDescent="0.2">
      <c r="A14192" s="6" t="str">
        <f>"AC091614.1"</f>
        <v>AC091614.1</v>
      </c>
      <c r="B14192" s="6">
        <v>0.64600000000000002</v>
      </c>
      <c r="C14192" s="6">
        <v>0.76085152561482605</v>
      </c>
    </row>
    <row r="14193" spans="1:3" s="7" customFormat="1" x14ac:dyDescent="0.2">
      <c r="A14193" s="6" t="str">
        <f>"TRPV1"</f>
        <v>TRPV1</v>
      </c>
      <c r="B14193" s="6">
        <v>0.64635364635364601</v>
      </c>
      <c r="C14193" s="6">
        <v>0.76110714704486704</v>
      </c>
    </row>
    <row r="14194" spans="1:3" s="7" customFormat="1" x14ac:dyDescent="0.2">
      <c r="A14194" s="6" t="str">
        <f>"IL27RA"</f>
        <v>IL27RA</v>
      </c>
      <c r="B14194" s="6">
        <v>0.64635364635364601</v>
      </c>
      <c r="C14194" s="6">
        <v>0.76110714704486704</v>
      </c>
    </row>
    <row r="14195" spans="1:3" s="7" customFormat="1" x14ac:dyDescent="0.2">
      <c r="A14195" s="6" t="str">
        <f>"NPTXR"</f>
        <v>NPTXR</v>
      </c>
      <c r="B14195" s="6">
        <v>0.64635364635364601</v>
      </c>
      <c r="C14195" s="6">
        <v>0.76110714704486704</v>
      </c>
    </row>
    <row r="14196" spans="1:3" s="7" customFormat="1" x14ac:dyDescent="0.2">
      <c r="A14196" s="6" t="str">
        <f>"CPNE5"</f>
        <v>CPNE5</v>
      </c>
      <c r="B14196" s="6">
        <v>0.64735264735264697</v>
      </c>
      <c r="C14196" s="6">
        <v>0.76206875248993799</v>
      </c>
    </row>
    <row r="14197" spans="1:3" s="7" customFormat="1" x14ac:dyDescent="0.2">
      <c r="A14197" s="6" t="str">
        <f>"PPIP5K1"</f>
        <v>PPIP5K1</v>
      </c>
      <c r="B14197" s="6">
        <v>0.64735264735264697</v>
      </c>
      <c r="C14197" s="6">
        <v>0.76206875248993799</v>
      </c>
    </row>
    <row r="14198" spans="1:3" s="7" customFormat="1" x14ac:dyDescent="0.2">
      <c r="A14198" s="6" t="str">
        <f>"FBXL2"</f>
        <v>FBXL2</v>
      </c>
      <c r="B14198" s="6">
        <v>0.64735264735264697</v>
      </c>
      <c r="C14198" s="6">
        <v>0.76206875248993799</v>
      </c>
    </row>
    <row r="14199" spans="1:3" s="7" customFormat="1" x14ac:dyDescent="0.2">
      <c r="A14199" s="6" t="str">
        <f>"ZNF808"</f>
        <v>ZNF808</v>
      </c>
      <c r="B14199" s="6">
        <v>0.64735264735264697</v>
      </c>
      <c r="C14199" s="6">
        <v>0.76206875248993799</v>
      </c>
    </row>
    <row r="14200" spans="1:3" s="7" customFormat="1" x14ac:dyDescent="0.2">
      <c r="A14200" s="6" t="str">
        <f>"AC016582.1"</f>
        <v>AC016582.1</v>
      </c>
      <c r="B14200" s="6">
        <v>0.64764764764764704</v>
      </c>
      <c r="C14200" s="6">
        <v>0.76236233416316501</v>
      </c>
    </row>
    <row r="14201" spans="1:3" s="7" customFormat="1" x14ac:dyDescent="0.2">
      <c r="A14201" s="6" t="str">
        <f>"NUCB1"</f>
        <v>NUCB1</v>
      </c>
      <c r="B14201" s="6">
        <v>0.64835164835164805</v>
      </c>
      <c r="C14201" s="6">
        <v>0.76265391305154795</v>
      </c>
    </row>
    <row r="14202" spans="1:3" s="7" customFormat="1" x14ac:dyDescent="0.2">
      <c r="A14202" s="6" t="str">
        <f>"GSTO1"</f>
        <v>GSTO1</v>
      </c>
      <c r="B14202" s="6">
        <v>0.64835164835164805</v>
      </c>
      <c r="C14202" s="6">
        <v>0.76265391305154795</v>
      </c>
    </row>
    <row r="14203" spans="1:3" s="7" customFormat="1" x14ac:dyDescent="0.2">
      <c r="A14203" s="6" t="str">
        <f>"AC068790.8"</f>
        <v>AC068790.8</v>
      </c>
      <c r="B14203" s="6">
        <v>0.64829659318637201</v>
      </c>
      <c r="C14203" s="6">
        <v>0.76265391305154795</v>
      </c>
    </row>
    <row r="14204" spans="1:3" s="7" customFormat="1" x14ac:dyDescent="0.2">
      <c r="A14204" s="6" t="str">
        <f>"OSMR-AS1"</f>
        <v>OSMR-AS1</v>
      </c>
      <c r="B14204" s="6">
        <v>0.64835164835164805</v>
      </c>
      <c r="C14204" s="6">
        <v>0.76265391305154795</v>
      </c>
    </row>
    <row r="14205" spans="1:3" s="7" customFormat="1" x14ac:dyDescent="0.2">
      <c r="A14205" s="6" t="str">
        <f>"RN7SL455P"</f>
        <v>RN7SL455P</v>
      </c>
      <c r="B14205" s="6">
        <v>0.64835164835164805</v>
      </c>
      <c r="C14205" s="6">
        <v>0.76265391305154795</v>
      </c>
    </row>
    <row r="14206" spans="1:3" s="7" customFormat="1" x14ac:dyDescent="0.2">
      <c r="A14206" s="6" t="str">
        <f>"PPM1E"</f>
        <v>PPM1E</v>
      </c>
      <c r="B14206" s="6">
        <v>0.64835164835164805</v>
      </c>
      <c r="C14206" s="6">
        <v>0.76265391305154795</v>
      </c>
    </row>
    <row r="14207" spans="1:3" s="7" customFormat="1" x14ac:dyDescent="0.2">
      <c r="A14207" s="6" t="str">
        <f>"HSD17B4"</f>
        <v>HSD17B4</v>
      </c>
      <c r="B14207" s="6">
        <v>0.64835164835164805</v>
      </c>
      <c r="C14207" s="6">
        <v>0.76265391305154795</v>
      </c>
    </row>
    <row r="14208" spans="1:3" s="7" customFormat="1" x14ac:dyDescent="0.2">
      <c r="A14208" s="6" t="str">
        <f>"MMP11"</f>
        <v>MMP11</v>
      </c>
      <c r="B14208" s="6">
        <v>0.64835164835164805</v>
      </c>
      <c r="C14208" s="6">
        <v>0.76265391305154795</v>
      </c>
    </row>
    <row r="14209" spans="1:3" s="7" customFormat="1" x14ac:dyDescent="0.2">
      <c r="A14209" s="6" t="str">
        <f>"RNASEH2A"</f>
        <v>RNASEH2A</v>
      </c>
      <c r="B14209" s="6">
        <v>0.64835164835164805</v>
      </c>
      <c r="C14209" s="6">
        <v>0.76265391305154795</v>
      </c>
    </row>
    <row r="14210" spans="1:3" s="7" customFormat="1" x14ac:dyDescent="0.2">
      <c r="A14210" s="6" t="str">
        <f>"IQGAP2"</f>
        <v>IQGAP2</v>
      </c>
      <c r="B14210" s="6">
        <v>0.64835164835164805</v>
      </c>
      <c r="C14210" s="6">
        <v>0.76265391305154795</v>
      </c>
    </row>
    <row r="14211" spans="1:3" s="7" customFormat="1" x14ac:dyDescent="0.2">
      <c r="A14211" s="6" t="str">
        <f>"AC020663.2"</f>
        <v>AC020663.2</v>
      </c>
      <c r="B14211" s="6">
        <v>0.64900000000000002</v>
      </c>
      <c r="C14211" s="6">
        <v>0.76330912673281204</v>
      </c>
    </row>
    <row r="14212" spans="1:3" s="7" customFormat="1" x14ac:dyDescent="0.2">
      <c r="A14212" s="6" t="str">
        <f>"AC104187.1"</f>
        <v>AC104187.1</v>
      </c>
      <c r="B14212" s="6">
        <v>0.64900000000000002</v>
      </c>
      <c r="C14212" s="6">
        <v>0.76330912673281204</v>
      </c>
    </row>
    <row r="14213" spans="1:3" s="7" customFormat="1" x14ac:dyDescent="0.2">
      <c r="A14213" s="6" t="str">
        <f>"CERT1"</f>
        <v>CERT1</v>
      </c>
      <c r="B14213" s="6">
        <v>0.64935064935064901</v>
      </c>
      <c r="C14213" s="6">
        <v>0.76339922298985396</v>
      </c>
    </row>
    <row r="14214" spans="1:3" s="7" customFormat="1" x14ac:dyDescent="0.2">
      <c r="A14214" s="6" t="str">
        <f>"AC005578.1"</f>
        <v>AC005578.1</v>
      </c>
      <c r="B14214" s="6">
        <v>0.64923076923076894</v>
      </c>
      <c r="C14214" s="6">
        <v>0.76339922298985396</v>
      </c>
    </row>
    <row r="14215" spans="1:3" s="7" customFormat="1" x14ac:dyDescent="0.2">
      <c r="A14215" s="6" t="str">
        <f>"SLC41A2"</f>
        <v>SLC41A2</v>
      </c>
      <c r="B14215" s="6">
        <v>0.64935064935064901</v>
      </c>
      <c r="C14215" s="6">
        <v>0.76339922298985396</v>
      </c>
    </row>
    <row r="14216" spans="1:3" s="7" customFormat="1" x14ac:dyDescent="0.2">
      <c r="A14216" s="6" t="str">
        <f>"CGRRF1"</f>
        <v>CGRRF1</v>
      </c>
      <c r="B14216" s="6">
        <v>0.64935064935064901</v>
      </c>
      <c r="C14216" s="6">
        <v>0.76339922298985396</v>
      </c>
    </row>
    <row r="14217" spans="1:3" s="7" customFormat="1" x14ac:dyDescent="0.2">
      <c r="A14217" s="6" t="str">
        <f>"LRRC27"</f>
        <v>LRRC27</v>
      </c>
      <c r="B14217" s="6">
        <v>0.64935064935064901</v>
      </c>
      <c r="C14217" s="6">
        <v>0.76339922298985396</v>
      </c>
    </row>
    <row r="14218" spans="1:3" s="7" customFormat="1" x14ac:dyDescent="0.2">
      <c r="A14218" s="6" t="str">
        <f>"KLB"</f>
        <v>KLB</v>
      </c>
      <c r="B14218" s="6">
        <v>0.64935064935064901</v>
      </c>
      <c r="C14218" s="6">
        <v>0.76339922298985396</v>
      </c>
    </row>
    <row r="14219" spans="1:3" s="7" customFormat="1" x14ac:dyDescent="0.2">
      <c r="A14219" s="6" t="str">
        <f>"AC138028.4"</f>
        <v>AC138028.4</v>
      </c>
      <c r="B14219" s="6">
        <v>0.64994298745724</v>
      </c>
      <c r="C14219" s="6">
        <v>0.76404185485724496</v>
      </c>
    </row>
    <row r="14220" spans="1:3" s="7" customFormat="1" x14ac:dyDescent="0.2">
      <c r="A14220" s="6" t="str">
        <f>"ACTR8"</f>
        <v>ACTR8</v>
      </c>
      <c r="B14220" s="6">
        <v>0.65034965034964998</v>
      </c>
      <c r="C14220" s="6">
        <v>0.76435862850320302</v>
      </c>
    </row>
    <row r="14221" spans="1:3" s="7" customFormat="1" x14ac:dyDescent="0.2">
      <c r="A14221" s="6" t="str">
        <f>"AC010547.1"</f>
        <v>AC010547.1</v>
      </c>
      <c r="B14221" s="6">
        <v>0.65034965034964998</v>
      </c>
      <c r="C14221" s="6">
        <v>0.76435862850320302</v>
      </c>
    </row>
    <row r="14222" spans="1:3" s="7" customFormat="1" x14ac:dyDescent="0.2">
      <c r="A14222" s="6" t="str">
        <f>"AC136604.2"</f>
        <v>AC136604.2</v>
      </c>
      <c r="B14222" s="6">
        <v>0.65034965034964998</v>
      </c>
      <c r="C14222" s="6">
        <v>0.76435862850320302</v>
      </c>
    </row>
    <row r="14223" spans="1:3" s="7" customFormat="1" x14ac:dyDescent="0.2">
      <c r="A14223" s="6" t="str">
        <f>"AC090181.2"</f>
        <v>AC090181.2</v>
      </c>
      <c r="B14223" s="6">
        <v>0.65100000000000002</v>
      </c>
      <c r="C14223" s="6">
        <v>0.76506918858107098</v>
      </c>
    </row>
    <row r="14224" spans="1:3" s="7" customFormat="1" x14ac:dyDescent="0.2">
      <c r="A14224" s="6" t="str">
        <f>"NMRAL1"</f>
        <v>NMRAL1</v>
      </c>
      <c r="B14224" s="6">
        <v>0.65134865134865105</v>
      </c>
      <c r="C14224" s="6">
        <v>0.76520990782606002</v>
      </c>
    </row>
    <row r="14225" spans="1:3" s="7" customFormat="1" x14ac:dyDescent="0.2">
      <c r="A14225" s="6" t="str">
        <f>"RAB2A"</f>
        <v>RAB2A</v>
      </c>
      <c r="B14225" s="6">
        <v>0.65134865134865105</v>
      </c>
      <c r="C14225" s="6">
        <v>0.76520990782606002</v>
      </c>
    </row>
    <row r="14226" spans="1:3" s="7" customFormat="1" x14ac:dyDescent="0.2">
      <c r="A14226" s="6" t="str">
        <f>"ATG10"</f>
        <v>ATG10</v>
      </c>
      <c r="B14226" s="6">
        <v>0.65134865134865105</v>
      </c>
      <c r="C14226" s="6">
        <v>0.76520990782606002</v>
      </c>
    </row>
    <row r="14227" spans="1:3" s="7" customFormat="1" x14ac:dyDescent="0.2">
      <c r="A14227" s="6" t="str">
        <f>"TRIM35"</f>
        <v>TRIM35</v>
      </c>
      <c r="B14227" s="6">
        <v>0.65134865134865105</v>
      </c>
      <c r="C14227" s="6">
        <v>0.76520990782606002</v>
      </c>
    </row>
    <row r="14228" spans="1:3" s="7" customFormat="1" x14ac:dyDescent="0.2">
      <c r="A14228" s="6" t="str">
        <f>"CATSPER2"</f>
        <v>CATSPER2</v>
      </c>
      <c r="B14228" s="6">
        <v>0.65134865134865105</v>
      </c>
      <c r="C14228" s="6">
        <v>0.76520990782606002</v>
      </c>
    </row>
    <row r="14229" spans="1:3" s="7" customFormat="1" x14ac:dyDescent="0.2">
      <c r="A14229" s="6" t="str">
        <f>"SDHDP6"</f>
        <v>SDHDP6</v>
      </c>
      <c r="B14229" s="6">
        <v>0.65165165165165095</v>
      </c>
      <c r="C14229" s="6">
        <v>0.76551206815474404</v>
      </c>
    </row>
    <row r="14230" spans="1:3" s="7" customFormat="1" x14ac:dyDescent="0.2">
      <c r="A14230" s="6" t="str">
        <f>"NKAIN2"</f>
        <v>NKAIN2</v>
      </c>
      <c r="B14230" s="6">
        <v>0.65200000000000002</v>
      </c>
      <c r="C14230" s="6">
        <v>0.76586745379155197</v>
      </c>
    </row>
    <row r="14231" spans="1:3" s="7" customFormat="1" x14ac:dyDescent="0.2">
      <c r="A14231" s="6" t="str">
        <f>"SMG5"</f>
        <v>SMG5</v>
      </c>
      <c r="B14231" s="6">
        <v>0.65234765234765202</v>
      </c>
      <c r="C14231" s="6">
        <v>0.765899034935281</v>
      </c>
    </row>
    <row r="14232" spans="1:3" s="7" customFormat="1" x14ac:dyDescent="0.2">
      <c r="A14232" s="6" t="str">
        <f>"DAP"</f>
        <v>DAP</v>
      </c>
      <c r="B14232" s="6">
        <v>0.65234765234765202</v>
      </c>
      <c r="C14232" s="6">
        <v>0.765899034935281</v>
      </c>
    </row>
    <row r="14233" spans="1:3" s="7" customFormat="1" x14ac:dyDescent="0.2">
      <c r="A14233" s="6" t="str">
        <f>"CST6"</f>
        <v>CST6</v>
      </c>
      <c r="B14233" s="6">
        <v>0.65234765234765202</v>
      </c>
      <c r="C14233" s="6">
        <v>0.765899034935281</v>
      </c>
    </row>
    <row r="14234" spans="1:3" s="7" customFormat="1" x14ac:dyDescent="0.2">
      <c r="A14234" s="6" t="str">
        <f>"AC005696.1"</f>
        <v>AC005696.1</v>
      </c>
      <c r="B14234" s="6">
        <v>0.65234765234765202</v>
      </c>
      <c r="C14234" s="6">
        <v>0.765899034935281</v>
      </c>
    </row>
    <row r="14235" spans="1:3" s="7" customFormat="1" x14ac:dyDescent="0.2">
      <c r="A14235" s="6" t="str">
        <f>"ADAL"</f>
        <v>ADAL</v>
      </c>
      <c r="B14235" s="6">
        <v>0.65234765234765202</v>
      </c>
      <c r="C14235" s="6">
        <v>0.765899034935281</v>
      </c>
    </row>
    <row r="14236" spans="1:3" s="7" customFormat="1" x14ac:dyDescent="0.2">
      <c r="A14236" s="6" t="str">
        <f>"CALML6"</f>
        <v>CALML6</v>
      </c>
      <c r="B14236" s="6">
        <v>0.65234765234765202</v>
      </c>
      <c r="C14236" s="6">
        <v>0.765899034935281</v>
      </c>
    </row>
    <row r="14237" spans="1:3" s="7" customFormat="1" x14ac:dyDescent="0.2">
      <c r="A14237" s="6" t="str">
        <f>"ZNF768"</f>
        <v>ZNF768</v>
      </c>
      <c r="B14237" s="6">
        <v>0.65234765234765202</v>
      </c>
      <c r="C14237" s="6">
        <v>0.765899034935281</v>
      </c>
    </row>
    <row r="14238" spans="1:3" s="7" customFormat="1" x14ac:dyDescent="0.2">
      <c r="A14238" s="6" t="str">
        <f>"AC073343.1"</f>
        <v>AC073343.1</v>
      </c>
      <c r="B14238" s="6">
        <v>0.65256797583081505</v>
      </c>
      <c r="C14238" s="6">
        <v>0.766103894643271</v>
      </c>
    </row>
    <row r="14239" spans="1:3" s="7" customFormat="1" x14ac:dyDescent="0.2">
      <c r="A14239" s="6" t="str">
        <f>"AC139530.3"</f>
        <v>AC139530.3</v>
      </c>
      <c r="B14239" s="6">
        <v>0.65265265265265204</v>
      </c>
      <c r="C14239" s="6">
        <v>0.766149489846638</v>
      </c>
    </row>
    <row r="14240" spans="1:3" s="7" customFormat="1" x14ac:dyDescent="0.2">
      <c r="A14240" s="6" t="str">
        <f>"KPNA7"</f>
        <v>KPNA7</v>
      </c>
      <c r="B14240" s="6">
        <v>0.65334665334665298</v>
      </c>
      <c r="C14240" s="6">
        <v>0.76647967740829304</v>
      </c>
    </row>
    <row r="14241" spans="1:3" s="7" customFormat="1" x14ac:dyDescent="0.2">
      <c r="A14241" s="6" t="str">
        <f>"EIF5A"</f>
        <v>EIF5A</v>
      </c>
      <c r="B14241" s="6">
        <v>0.65334665334665298</v>
      </c>
      <c r="C14241" s="6">
        <v>0.76647967740829304</v>
      </c>
    </row>
    <row r="14242" spans="1:3" s="7" customFormat="1" x14ac:dyDescent="0.2">
      <c r="A14242" s="6" t="str">
        <f>"ITIH6"</f>
        <v>ITIH6</v>
      </c>
      <c r="B14242" s="6">
        <v>0.65334665334665298</v>
      </c>
      <c r="C14242" s="6">
        <v>0.76647967740829304</v>
      </c>
    </row>
    <row r="14243" spans="1:3" s="7" customFormat="1" x14ac:dyDescent="0.2">
      <c r="A14243" s="6" t="str">
        <f>"BCRP3"</f>
        <v>BCRP3</v>
      </c>
      <c r="B14243" s="6">
        <v>0.65334665334665298</v>
      </c>
      <c r="C14243" s="6">
        <v>0.76647967740829304</v>
      </c>
    </row>
    <row r="14244" spans="1:3" s="7" customFormat="1" x14ac:dyDescent="0.2">
      <c r="A14244" s="6" t="str">
        <f>"SLC50A1"</f>
        <v>SLC50A1</v>
      </c>
      <c r="B14244" s="6">
        <v>0.65334665334665298</v>
      </c>
      <c r="C14244" s="6">
        <v>0.76647967740829304</v>
      </c>
    </row>
    <row r="14245" spans="1:3" s="7" customFormat="1" x14ac:dyDescent="0.2">
      <c r="A14245" s="6" t="str">
        <f>"AL096701.3"</f>
        <v>AL096701.3</v>
      </c>
      <c r="B14245" s="6">
        <v>0.65334665334665298</v>
      </c>
      <c r="C14245" s="6">
        <v>0.76647967740829304</v>
      </c>
    </row>
    <row r="14246" spans="1:3" s="7" customFormat="1" x14ac:dyDescent="0.2">
      <c r="A14246" s="6" t="str">
        <f>"Z83844.2"</f>
        <v>Z83844.2</v>
      </c>
      <c r="B14246" s="6">
        <v>0.65334665334665298</v>
      </c>
      <c r="C14246" s="6">
        <v>0.76647967740829304</v>
      </c>
    </row>
    <row r="14247" spans="1:3" s="7" customFormat="1" x14ac:dyDescent="0.2">
      <c r="A14247" s="6" t="str">
        <f>"AC079298.3"</f>
        <v>AC079298.3</v>
      </c>
      <c r="B14247" s="6">
        <v>0.65334665334665298</v>
      </c>
      <c r="C14247" s="6">
        <v>0.76647967740829304</v>
      </c>
    </row>
    <row r="14248" spans="1:3" s="7" customFormat="1" x14ac:dyDescent="0.2">
      <c r="A14248" s="6" t="str">
        <f>"PSMC1"</f>
        <v>PSMC1</v>
      </c>
      <c r="B14248" s="6">
        <v>0.65334665334665298</v>
      </c>
      <c r="C14248" s="6">
        <v>0.76647967740829304</v>
      </c>
    </row>
    <row r="14249" spans="1:3" s="7" customFormat="1" x14ac:dyDescent="0.2">
      <c r="A14249" s="6" t="str">
        <f>"AC007614.2"</f>
        <v>AC007614.2</v>
      </c>
      <c r="B14249" s="6">
        <v>0.65400000000000003</v>
      </c>
      <c r="C14249" s="6">
        <v>0.76719230769230695</v>
      </c>
    </row>
    <row r="14250" spans="1:3" s="7" customFormat="1" x14ac:dyDescent="0.2">
      <c r="A14250" s="6" t="str">
        <f>"DOP1A"</f>
        <v>DOP1A</v>
      </c>
      <c r="B14250" s="6">
        <v>0.65434565434565395</v>
      </c>
      <c r="C14250" s="6">
        <v>0.76727467845750397</v>
      </c>
    </row>
    <row r="14251" spans="1:3" s="7" customFormat="1" x14ac:dyDescent="0.2">
      <c r="A14251" s="6" t="str">
        <f>"ETS2"</f>
        <v>ETS2</v>
      </c>
      <c r="B14251" s="6">
        <v>0.65434565434565395</v>
      </c>
      <c r="C14251" s="6">
        <v>0.76727467845750397</v>
      </c>
    </row>
    <row r="14252" spans="1:3" s="7" customFormat="1" x14ac:dyDescent="0.2">
      <c r="A14252" s="6" t="str">
        <f>"H2AZ1-DT"</f>
        <v>H2AZ1-DT</v>
      </c>
      <c r="B14252" s="6">
        <v>0.65430861723446898</v>
      </c>
      <c r="C14252" s="6">
        <v>0.76727467845750397</v>
      </c>
    </row>
    <row r="14253" spans="1:3" s="7" customFormat="1" x14ac:dyDescent="0.2">
      <c r="A14253" s="6" t="str">
        <f>"CACNA1I"</f>
        <v>CACNA1I</v>
      </c>
      <c r="B14253" s="6">
        <v>0.65434565434565395</v>
      </c>
      <c r="C14253" s="6">
        <v>0.76727467845750397</v>
      </c>
    </row>
    <row r="14254" spans="1:3" s="7" customFormat="1" x14ac:dyDescent="0.2">
      <c r="A14254" s="6" t="str">
        <f>"ANAPC1"</f>
        <v>ANAPC1</v>
      </c>
      <c r="B14254" s="6">
        <v>0.65434565434565395</v>
      </c>
      <c r="C14254" s="6">
        <v>0.76727467845750397</v>
      </c>
    </row>
    <row r="14255" spans="1:3" s="7" customFormat="1" x14ac:dyDescent="0.2">
      <c r="A14255" s="6" t="str">
        <f>"LINC02561"</f>
        <v>LINC02561</v>
      </c>
      <c r="B14255" s="6">
        <v>0.65430861723446898</v>
      </c>
      <c r="C14255" s="6">
        <v>0.76727467845750397</v>
      </c>
    </row>
    <row r="14256" spans="1:3" s="7" customFormat="1" x14ac:dyDescent="0.2">
      <c r="A14256" s="6" t="str">
        <f>"RAB27A"</f>
        <v>RAB27A</v>
      </c>
      <c r="B14256" s="6">
        <v>0.65534465534465502</v>
      </c>
      <c r="C14256" s="6">
        <v>0.76779970345090198</v>
      </c>
    </row>
    <row r="14257" spans="1:3" s="7" customFormat="1" x14ac:dyDescent="0.2">
      <c r="A14257" s="6" t="str">
        <f>"SLC2A6"</f>
        <v>SLC2A6</v>
      </c>
      <c r="B14257" s="6">
        <v>0.65534465534465502</v>
      </c>
      <c r="C14257" s="6">
        <v>0.76779970345090198</v>
      </c>
    </row>
    <row r="14258" spans="1:3" s="7" customFormat="1" x14ac:dyDescent="0.2">
      <c r="A14258" s="6" t="str">
        <f>"RNF224"</f>
        <v>RNF224</v>
      </c>
      <c r="B14258" s="6">
        <v>0.65534465534465502</v>
      </c>
      <c r="C14258" s="6">
        <v>0.76779970345090198</v>
      </c>
    </row>
    <row r="14259" spans="1:3" s="7" customFormat="1" x14ac:dyDescent="0.2">
      <c r="A14259" s="6" t="str">
        <f>"COL9A3"</f>
        <v>COL9A3</v>
      </c>
      <c r="B14259" s="6">
        <v>0.65534465534465502</v>
      </c>
      <c r="C14259" s="6">
        <v>0.76779970345090198</v>
      </c>
    </row>
    <row r="14260" spans="1:3" s="7" customFormat="1" x14ac:dyDescent="0.2">
      <c r="A14260" s="6" t="str">
        <f>"C16orf86"</f>
        <v>C16orf86</v>
      </c>
      <c r="B14260" s="6">
        <v>0.65534465534465502</v>
      </c>
      <c r="C14260" s="6">
        <v>0.76779970345090198</v>
      </c>
    </row>
    <row r="14261" spans="1:3" s="7" customFormat="1" x14ac:dyDescent="0.2">
      <c r="A14261" s="6" t="str">
        <f>"ERICD"</f>
        <v>ERICD</v>
      </c>
      <c r="B14261" s="6">
        <v>0.65489404641775895</v>
      </c>
      <c r="C14261" s="6">
        <v>0.76779970345090198</v>
      </c>
    </row>
    <row r="14262" spans="1:3" s="7" customFormat="1" x14ac:dyDescent="0.2">
      <c r="A14262" s="6" t="str">
        <f>"DPP6"</f>
        <v>DPP6</v>
      </c>
      <c r="B14262" s="6">
        <v>0.65492957746478797</v>
      </c>
      <c r="C14262" s="6">
        <v>0.76779970345090198</v>
      </c>
    </row>
    <row r="14263" spans="1:3" s="7" customFormat="1" x14ac:dyDescent="0.2">
      <c r="A14263" s="6" t="str">
        <f>"UTP23"</f>
        <v>UTP23</v>
      </c>
      <c r="B14263" s="6">
        <v>0.65534465534465502</v>
      </c>
      <c r="C14263" s="6">
        <v>0.76779970345090198</v>
      </c>
    </row>
    <row r="14264" spans="1:3" s="7" customFormat="1" x14ac:dyDescent="0.2">
      <c r="A14264" s="6" t="str">
        <f>"ANK1"</f>
        <v>ANK1</v>
      </c>
      <c r="B14264" s="6">
        <v>0.65534465534465502</v>
      </c>
      <c r="C14264" s="6">
        <v>0.76779970345090198</v>
      </c>
    </row>
    <row r="14265" spans="1:3" s="7" customFormat="1" x14ac:dyDescent="0.2">
      <c r="A14265" s="6" t="str">
        <f>"FUT1"</f>
        <v>FUT1</v>
      </c>
      <c r="B14265" s="6">
        <v>0.65534465534465502</v>
      </c>
      <c r="C14265" s="6">
        <v>0.76779970345090198</v>
      </c>
    </row>
    <row r="14266" spans="1:3" s="7" customFormat="1" x14ac:dyDescent="0.2">
      <c r="A14266" s="6" t="str">
        <f>"LAMTOR5"</f>
        <v>LAMTOR5</v>
      </c>
      <c r="B14266" s="6">
        <v>0.65534465534465502</v>
      </c>
      <c r="C14266" s="6">
        <v>0.76779970345090198</v>
      </c>
    </row>
    <row r="14267" spans="1:3" s="7" customFormat="1" x14ac:dyDescent="0.2">
      <c r="A14267" s="6" t="str">
        <f>"SLC9C2"</f>
        <v>SLC9C2</v>
      </c>
      <c r="B14267" s="6">
        <v>0.65534465534465502</v>
      </c>
      <c r="C14267" s="6">
        <v>0.76779970345090198</v>
      </c>
    </row>
    <row r="14268" spans="1:3" s="7" customFormat="1" x14ac:dyDescent="0.2">
      <c r="A14268" s="6" t="str">
        <f>"ACR"</f>
        <v>ACR</v>
      </c>
      <c r="B14268" s="6">
        <v>0.65565565565565498</v>
      </c>
      <c r="C14268" s="6">
        <v>0.76811022840321197</v>
      </c>
    </row>
    <row r="14269" spans="1:3" s="7" customFormat="1" x14ac:dyDescent="0.2">
      <c r="A14269" s="6" t="str">
        <f>"LINC02840"</f>
        <v>LINC02840</v>
      </c>
      <c r="B14269" s="6">
        <v>0.65600000000000003</v>
      </c>
      <c r="C14269" s="6">
        <v>0.76845977011494204</v>
      </c>
    </row>
    <row r="14270" spans="1:3" s="7" customFormat="1" x14ac:dyDescent="0.2">
      <c r="A14270" s="6" t="str">
        <f>"AL139042.1"</f>
        <v>AL139042.1</v>
      </c>
      <c r="B14270" s="6">
        <v>0.65634365634365599</v>
      </c>
      <c r="C14270" s="6">
        <v>0.76848531503522699</v>
      </c>
    </row>
    <row r="14271" spans="1:3" s="7" customFormat="1" x14ac:dyDescent="0.2">
      <c r="A14271" s="6" t="str">
        <f>"TMEM175"</f>
        <v>TMEM175</v>
      </c>
      <c r="B14271" s="6">
        <v>0.65634365634365599</v>
      </c>
      <c r="C14271" s="6">
        <v>0.76848531503522699</v>
      </c>
    </row>
    <row r="14272" spans="1:3" s="7" customFormat="1" x14ac:dyDescent="0.2">
      <c r="A14272" s="6" t="str">
        <f>"SLC6A10P"</f>
        <v>SLC6A10P</v>
      </c>
      <c r="B14272" s="6">
        <v>0.65634365634365599</v>
      </c>
      <c r="C14272" s="6">
        <v>0.76848531503522699</v>
      </c>
    </row>
    <row r="14273" spans="1:3" s="7" customFormat="1" x14ac:dyDescent="0.2">
      <c r="A14273" s="6" t="str">
        <f>"AC008406.3"</f>
        <v>AC008406.3</v>
      </c>
      <c r="B14273" s="6">
        <v>0.65625</v>
      </c>
      <c r="C14273" s="6">
        <v>0.76848531503522699</v>
      </c>
    </row>
    <row r="14274" spans="1:3" s="7" customFormat="1" x14ac:dyDescent="0.2">
      <c r="A14274" s="6" t="str">
        <f>"CTU2"</f>
        <v>CTU2</v>
      </c>
      <c r="B14274" s="6">
        <v>0.65634365634365599</v>
      </c>
      <c r="C14274" s="6">
        <v>0.76848531503522699</v>
      </c>
    </row>
    <row r="14275" spans="1:3" s="7" customFormat="1" x14ac:dyDescent="0.2">
      <c r="A14275" s="6" t="str">
        <f>"LINC00888"</f>
        <v>LINC00888</v>
      </c>
      <c r="B14275" s="6">
        <v>0.65634365634365599</v>
      </c>
      <c r="C14275" s="6">
        <v>0.76848531503522699</v>
      </c>
    </row>
    <row r="14276" spans="1:3" s="7" customFormat="1" x14ac:dyDescent="0.2">
      <c r="A14276" s="6" t="str">
        <f>"MRPL33"</f>
        <v>MRPL33</v>
      </c>
      <c r="B14276" s="6">
        <v>0.65634365634365599</v>
      </c>
      <c r="C14276" s="6">
        <v>0.76848531503522699</v>
      </c>
    </row>
    <row r="14277" spans="1:3" s="7" customFormat="1" x14ac:dyDescent="0.2">
      <c r="A14277" s="6" t="str">
        <f>"AC016240.1"</f>
        <v>AC016240.1</v>
      </c>
      <c r="B14277" s="6">
        <v>0.65700000000000003</v>
      </c>
      <c r="C14277" s="6">
        <v>0.76909216977167605</v>
      </c>
    </row>
    <row r="14278" spans="1:3" s="7" customFormat="1" x14ac:dyDescent="0.2">
      <c r="A14278" s="6" t="str">
        <f>"AC090772.3"</f>
        <v>AC090772.3</v>
      </c>
      <c r="B14278" s="6">
        <v>0.65700000000000003</v>
      </c>
      <c r="C14278" s="6">
        <v>0.76909216977167605</v>
      </c>
    </row>
    <row r="14279" spans="1:3" s="7" customFormat="1" x14ac:dyDescent="0.2">
      <c r="A14279" s="6" t="str">
        <f>"AL627309.3"</f>
        <v>AL627309.3</v>
      </c>
      <c r="B14279" s="6">
        <v>0.65697091273821395</v>
      </c>
      <c r="C14279" s="6">
        <v>0.76909216977167605</v>
      </c>
    </row>
    <row r="14280" spans="1:3" s="7" customFormat="1" x14ac:dyDescent="0.2">
      <c r="A14280" s="6" t="str">
        <f>"FAM118A"</f>
        <v>FAM118A</v>
      </c>
      <c r="B14280" s="6">
        <v>0.65734265734265696</v>
      </c>
      <c r="C14280" s="6">
        <v>0.76911621804866404</v>
      </c>
    </row>
    <row r="14281" spans="1:3" s="7" customFormat="1" x14ac:dyDescent="0.2">
      <c r="A14281" s="6" t="str">
        <f>"ACVR2B"</f>
        <v>ACVR2B</v>
      </c>
      <c r="B14281" s="6">
        <v>0.65734265734265696</v>
      </c>
      <c r="C14281" s="6">
        <v>0.76911621804866404</v>
      </c>
    </row>
    <row r="14282" spans="1:3" s="7" customFormat="1" x14ac:dyDescent="0.2">
      <c r="A14282" s="6" t="str">
        <f>"ERFL"</f>
        <v>ERFL</v>
      </c>
      <c r="B14282" s="6">
        <v>0.65734265734265696</v>
      </c>
      <c r="C14282" s="6">
        <v>0.76911621804866404</v>
      </c>
    </row>
    <row r="14283" spans="1:3" s="7" customFormat="1" x14ac:dyDescent="0.2">
      <c r="A14283" s="6" t="str">
        <f>"DUSP28"</f>
        <v>DUSP28</v>
      </c>
      <c r="B14283" s="6">
        <v>0.65734265734265696</v>
      </c>
      <c r="C14283" s="6">
        <v>0.76911621804866404</v>
      </c>
    </row>
    <row r="14284" spans="1:3" s="7" customFormat="1" x14ac:dyDescent="0.2">
      <c r="A14284" s="6" t="str">
        <f>"YPEL2"</f>
        <v>YPEL2</v>
      </c>
      <c r="B14284" s="6">
        <v>0.65734265734265696</v>
      </c>
      <c r="C14284" s="6">
        <v>0.76911621804866404</v>
      </c>
    </row>
    <row r="14285" spans="1:3" s="7" customFormat="1" x14ac:dyDescent="0.2">
      <c r="A14285" s="6" t="str">
        <f>"RABGAP1L-IT1"</f>
        <v>RABGAP1L-IT1</v>
      </c>
      <c r="B14285" s="6">
        <v>0.65731462925851702</v>
      </c>
      <c r="C14285" s="6">
        <v>0.76911621804866404</v>
      </c>
    </row>
    <row r="14286" spans="1:3" s="7" customFormat="1" x14ac:dyDescent="0.2">
      <c r="A14286" s="6" t="str">
        <f>"LINC01410"</f>
        <v>LINC01410</v>
      </c>
      <c r="B14286" s="6">
        <v>0.65734265734265696</v>
      </c>
      <c r="C14286" s="6">
        <v>0.76911621804866404</v>
      </c>
    </row>
    <row r="14287" spans="1:3" s="7" customFormat="1" x14ac:dyDescent="0.2">
      <c r="A14287" s="6" t="str">
        <f>"AC090469.1"</f>
        <v>AC090469.1</v>
      </c>
      <c r="B14287" s="6">
        <v>0.65834165834165803</v>
      </c>
      <c r="C14287" s="6">
        <v>0.77017725747340005</v>
      </c>
    </row>
    <row r="14288" spans="1:3" s="7" customFormat="1" x14ac:dyDescent="0.2">
      <c r="A14288" s="6" t="str">
        <f>"FIGNL2"</f>
        <v>FIGNL2</v>
      </c>
      <c r="B14288" s="6">
        <v>0.65834165834165803</v>
      </c>
      <c r="C14288" s="6">
        <v>0.77017725747340005</v>
      </c>
    </row>
    <row r="14289" spans="1:3" s="7" customFormat="1" x14ac:dyDescent="0.2">
      <c r="A14289" s="6" t="str">
        <f>"HMGB1P31"</f>
        <v>HMGB1P31</v>
      </c>
      <c r="B14289" s="6">
        <v>0.65865865865865802</v>
      </c>
      <c r="C14289" s="6">
        <v>0.77049417838891499</v>
      </c>
    </row>
    <row r="14290" spans="1:3" s="7" customFormat="1" x14ac:dyDescent="0.2">
      <c r="A14290" s="6" t="str">
        <f>"AL357075.4"</f>
        <v>AL357075.4</v>
      </c>
      <c r="B14290" s="6">
        <v>0.659340659340659</v>
      </c>
      <c r="C14290" s="6">
        <v>0.77096822304601698</v>
      </c>
    </row>
    <row r="14291" spans="1:3" s="7" customFormat="1" x14ac:dyDescent="0.2">
      <c r="A14291" s="6" t="str">
        <f>"LINC01881"</f>
        <v>LINC01881</v>
      </c>
      <c r="B14291" s="6">
        <v>0.659340659340659</v>
      </c>
      <c r="C14291" s="6">
        <v>0.77096822304601698</v>
      </c>
    </row>
    <row r="14292" spans="1:3" s="7" customFormat="1" x14ac:dyDescent="0.2">
      <c r="A14292" s="6" t="str">
        <f>"LSM12P1"</f>
        <v>LSM12P1</v>
      </c>
      <c r="B14292" s="6">
        <v>0.659340659340659</v>
      </c>
      <c r="C14292" s="6">
        <v>0.77096822304601698</v>
      </c>
    </row>
    <row r="14293" spans="1:3" s="7" customFormat="1" x14ac:dyDescent="0.2">
      <c r="A14293" s="6" t="str">
        <f>"EFNB1"</f>
        <v>EFNB1</v>
      </c>
      <c r="B14293" s="6">
        <v>0.659340659340659</v>
      </c>
      <c r="C14293" s="6">
        <v>0.77096822304601698</v>
      </c>
    </row>
    <row r="14294" spans="1:3" s="7" customFormat="1" x14ac:dyDescent="0.2">
      <c r="A14294" s="6" t="str">
        <f>"BIK"</f>
        <v>BIK</v>
      </c>
      <c r="B14294" s="6">
        <v>0.659340659340659</v>
      </c>
      <c r="C14294" s="6">
        <v>0.77096822304601698</v>
      </c>
    </row>
    <row r="14295" spans="1:3" s="7" customFormat="1" x14ac:dyDescent="0.2">
      <c r="A14295" s="6" t="str">
        <f>"INKA2"</f>
        <v>INKA2</v>
      </c>
      <c r="B14295" s="6">
        <v>0.659340659340659</v>
      </c>
      <c r="C14295" s="6">
        <v>0.77096822304601698</v>
      </c>
    </row>
    <row r="14296" spans="1:3" s="7" customFormat="1" x14ac:dyDescent="0.2">
      <c r="A14296" s="6" t="str">
        <f>"AC139149.1"</f>
        <v>AC139149.1</v>
      </c>
      <c r="B14296" s="6">
        <v>0.66</v>
      </c>
      <c r="C14296" s="6">
        <v>0.77163122551762697</v>
      </c>
    </row>
    <row r="14297" spans="1:3" s="7" customFormat="1" x14ac:dyDescent="0.2">
      <c r="A14297" s="6" t="str">
        <f>"AC110614.1"</f>
        <v>AC110614.1</v>
      </c>
      <c r="B14297" s="6">
        <v>0.66</v>
      </c>
      <c r="C14297" s="6">
        <v>0.77163122551762697</v>
      </c>
    </row>
    <row r="14298" spans="1:3" s="7" customFormat="1" x14ac:dyDescent="0.2">
      <c r="A14298" s="6" t="str">
        <f>"BIVM-ERCC5"</f>
        <v>BIVM-ERCC5</v>
      </c>
      <c r="B14298" s="6">
        <v>0.66033966033965996</v>
      </c>
      <c r="C14298" s="6">
        <v>0.77186636008931198</v>
      </c>
    </row>
    <row r="14299" spans="1:3" s="7" customFormat="1" x14ac:dyDescent="0.2">
      <c r="A14299" s="6" t="str">
        <f>"IL11RA"</f>
        <v>IL11RA</v>
      </c>
      <c r="B14299" s="6">
        <v>0.66033966033965996</v>
      </c>
      <c r="C14299" s="6">
        <v>0.77186636008931198</v>
      </c>
    </row>
    <row r="14300" spans="1:3" s="7" customFormat="1" x14ac:dyDescent="0.2">
      <c r="A14300" s="6" t="str">
        <f>"NFIX"</f>
        <v>NFIX</v>
      </c>
      <c r="B14300" s="6">
        <v>0.66033966033965996</v>
      </c>
      <c r="C14300" s="6">
        <v>0.77186636008931198</v>
      </c>
    </row>
    <row r="14301" spans="1:3" s="7" customFormat="1" x14ac:dyDescent="0.2">
      <c r="A14301" s="6" t="str">
        <f>"PPP1CB"</f>
        <v>PPP1CB</v>
      </c>
      <c r="B14301" s="6">
        <v>0.66133866133866104</v>
      </c>
      <c r="C14301" s="6">
        <v>0.77254783237450197</v>
      </c>
    </row>
    <row r="14302" spans="1:3" s="7" customFormat="1" x14ac:dyDescent="0.2">
      <c r="A14302" s="6" t="str">
        <f>"ROM1"</f>
        <v>ROM1</v>
      </c>
      <c r="B14302" s="6">
        <v>0.66133866133866104</v>
      </c>
      <c r="C14302" s="6">
        <v>0.77254783237450197</v>
      </c>
    </row>
    <row r="14303" spans="1:3" s="7" customFormat="1" x14ac:dyDescent="0.2">
      <c r="A14303" s="6" t="str">
        <f>"TSC1"</f>
        <v>TSC1</v>
      </c>
      <c r="B14303" s="6">
        <v>0.66133866133866104</v>
      </c>
      <c r="C14303" s="6">
        <v>0.77254783237450197</v>
      </c>
    </row>
    <row r="14304" spans="1:3" s="7" customFormat="1" x14ac:dyDescent="0.2">
      <c r="A14304" s="6" t="str">
        <f>"C5orf17"</f>
        <v>C5orf17</v>
      </c>
      <c r="B14304" s="6">
        <v>0.66133866133866104</v>
      </c>
      <c r="C14304" s="6">
        <v>0.77254783237450197</v>
      </c>
    </row>
    <row r="14305" spans="1:3" s="7" customFormat="1" x14ac:dyDescent="0.2">
      <c r="A14305" s="6" t="str">
        <f>"AC008687.7"</f>
        <v>AC008687.7</v>
      </c>
      <c r="B14305" s="6">
        <v>0.66133866133866104</v>
      </c>
      <c r="C14305" s="6">
        <v>0.77254783237450197</v>
      </c>
    </row>
    <row r="14306" spans="1:3" s="7" customFormat="1" x14ac:dyDescent="0.2">
      <c r="A14306" s="6" t="str">
        <f>"SAMD8"</f>
        <v>SAMD8</v>
      </c>
      <c r="B14306" s="6">
        <v>0.66133866133866104</v>
      </c>
      <c r="C14306" s="6">
        <v>0.77254783237450197</v>
      </c>
    </row>
    <row r="14307" spans="1:3" s="7" customFormat="1" x14ac:dyDescent="0.2">
      <c r="A14307" s="6" t="str">
        <f>"ANKRD49"</f>
        <v>ANKRD49</v>
      </c>
      <c r="B14307" s="6">
        <v>0.66133866133866104</v>
      </c>
      <c r="C14307" s="6">
        <v>0.77254783237450197</v>
      </c>
    </row>
    <row r="14308" spans="1:3" s="7" customFormat="1" x14ac:dyDescent="0.2">
      <c r="A14308" s="6" t="str">
        <f>"TLR9"</f>
        <v>TLR9</v>
      </c>
      <c r="B14308" s="6">
        <v>0.66100000000000003</v>
      </c>
      <c r="C14308" s="6">
        <v>0.77254783237450197</v>
      </c>
    </row>
    <row r="14309" spans="1:3" s="7" customFormat="1" x14ac:dyDescent="0.2">
      <c r="A14309" s="6" t="str">
        <f>"CCDC137"</f>
        <v>CCDC137</v>
      </c>
      <c r="B14309" s="6">
        <v>0.66133866133866104</v>
      </c>
      <c r="C14309" s="6">
        <v>0.77254783237450197</v>
      </c>
    </row>
    <row r="14310" spans="1:3" s="7" customFormat="1" x14ac:dyDescent="0.2">
      <c r="A14310" s="6" t="str">
        <f>"H2AC7"</f>
        <v>H2AC7</v>
      </c>
      <c r="B14310" s="6">
        <v>0.662337662337662</v>
      </c>
      <c r="C14310" s="6">
        <v>0.77339050498195305</v>
      </c>
    </row>
    <row r="14311" spans="1:3" s="7" customFormat="1" x14ac:dyDescent="0.2">
      <c r="A14311" s="6" t="str">
        <f>"DYRK2"</f>
        <v>DYRK2</v>
      </c>
      <c r="B14311" s="6">
        <v>0.662337662337662</v>
      </c>
      <c r="C14311" s="6">
        <v>0.77339050498195305</v>
      </c>
    </row>
    <row r="14312" spans="1:3" s="7" customFormat="1" x14ac:dyDescent="0.2">
      <c r="A14312" s="6" t="str">
        <f>"HLA-DOA"</f>
        <v>HLA-DOA</v>
      </c>
      <c r="B14312" s="6">
        <v>0.662337662337662</v>
      </c>
      <c r="C14312" s="6">
        <v>0.77339050498195305</v>
      </c>
    </row>
    <row r="14313" spans="1:3" s="7" customFormat="1" x14ac:dyDescent="0.2">
      <c r="A14313" s="6" t="str">
        <f>"NKD2"</f>
        <v>NKD2</v>
      </c>
      <c r="B14313" s="6">
        <v>0.662337662337662</v>
      </c>
      <c r="C14313" s="6">
        <v>0.77339050498195305</v>
      </c>
    </row>
    <row r="14314" spans="1:3" s="7" customFormat="1" x14ac:dyDescent="0.2">
      <c r="A14314" s="6" t="str">
        <f>"GPN2"</f>
        <v>GPN2</v>
      </c>
      <c r="B14314" s="6">
        <v>0.662337662337662</v>
      </c>
      <c r="C14314" s="6">
        <v>0.77339050498195305</v>
      </c>
    </row>
    <row r="14315" spans="1:3" s="7" customFormat="1" x14ac:dyDescent="0.2">
      <c r="A14315" s="6" t="str">
        <f>"AC119673.2"</f>
        <v>AC119673.2</v>
      </c>
      <c r="B14315" s="6">
        <v>0.662337662337662</v>
      </c>
      <c r="C14315" s="6">
        <v>0.77339050498195305</v>
      </c>
    </row>
    <row r="14316" spans="1:3" s="7" customFormat="1" x14ac:dyDescent="0.2">
      <c r="A14316" s="6" t="str">
        <f>"AC113189.4"</f>
        <v>AC113189.4</v>
      </c>
      <c r="B14316" s="6">
        <v>0.66300000000000003</v>
      </c>
      <c r="C14316" s="6">
        <v>0.77410981487949704</v>
      </c>
    </row>
    <row r="14317" spans="1:3" s="7" customFormat="1" x14ac:dyDescent="0.2">
      <c r="A14317" s="6" t="str">
        <f>"FSIP2"</f>
        <v>FSIP2</v>
      </c>
      <c r="B14317" s="6">
        <v>0.66333666333666297</v>
      </c>
      <c r="C14317" s="6">
        <v>0.77412435351270703</v>
      </c>
    </row>
    <row r="14318" spans="1:3" s="7" customFormat="1" x14ac:dyDescent="0.2">
      <c r="A14318" s="6" t="str">
        <f>"AC090739.1"</f>
        <v>AC090739.1</v>
      </c>
      <c r="B14318" s="6">
        <v>0.66333666333666297</v>
      </c>
      <c r="C14318" s="6">
        <v>0.77412435351270703</v>
      </c>
    </row>
    <row r="14319" spans="1:3" s="7" customFormat="1" x14ac:dyDescent="0.2">
      <c r="A14319" s="6" t="str">
        <f>"PAX8-AS1"</f>
        <v>PAX8-AS1</v>
      </c>
      <c r="B14319" s="6">
        <v>0.66333666333666297</v>
      </c>
      <c r="C14319" s="6">
        <v>0.77412435351270703</v>
      </c>
    </row>
    <row r="14320" spans="1:3" s="7" customFormat="1" x14ac:dyDescent="0.2">
      <c r="A14320" s="6" t="str">
        <f>"AARSD1P1"</f>
        <v>AARSD1P1</v>
      </c>
      <c r="B14320" s="6">
        <v>0.66333666333666297</v>
      </c>
      <c r="C14320" s="6">
        <v>0.77412435351270703</v>
      </c>
    </row>
    <row r="14321" spans="1:3" s="7" customFormat="1" x14ac:dyDescent="0.2">
      <c r="A14321" s="6" t="str">
        <f>"IZUMO1"</f>
        <v>IZUMO1</v>
      </c>
      <c r="B14321" s="6">
        <v>0.66333666333666297</v>
      </c>
      <c r="C14321" s="6">
        <v>0.77412435351270703</v>
      </c>
    </row>
    <row r="14322" spans="1:3" s="7" customFormat="1" x14ac:dyDescent="0.2">
      <c r="A14322" s="6" t="str">
        <f>"BFAR"</f>
        <v>BFAR</v>
      </c>
      <c r="B14322" s="6">
        <v>0.66333666333666297</v>
      </c>
      <c r="C14322" s="6">
        <v>0.77412435351270703</v>
      </c>
    </row>
    <row r="14323" spans="1:3" s="7" customFormat="1" x14ac:dyDescent="0.2">
      <c r="A14323" s="6" t="str">
        <f>"KLF10"</f>
        <v>KLF10</v>
      </c>
      <c r="B14323" s="6">
        <v>0.66333666333666297</v>
      </c>
      <c r="C14323" s="6">
        <v>0.77412435351270703</v>
      </c>
    </row>
    <row r="14324" spans="1:3" s="7" customFormat="1" x14ac:dyDescent="0.2">
      <c r="A14324" s="6" t="str">
        <f>"MAST4-AS1"</f>
        <v>MAST4-AS1</v>
      </c>
      <c r="B14324" s="6">
        <v>0.66433566433566404</v>
      </c>
      <c r="C14324" s="6">
        <v>0.77512783900218396</v>
      </c>
    </row>
    <row r="14325" spans="1:3" s="7" customFormat="1" x14ac:dyDescent="0.2">
      <c r="A14325" s="6" t="str">
        <f>"AK4P1"</f>
        <v>AK4P1</v>
      </c>
      <c r="B14325" s="6">
        <v>0.66433566433566404</v>
      </c>
      <c r="C14325" s="6">
        <v>0.77512783900218396</v>
      </c>
    </row>
    <row r="14326" spans="1:3" s="7" customFormat="1" x14ac:dyDescent="0.2">
      <c r="A14326" s="6" t="str">
        <f>"AC007743.1"</f>
        <v>AC007743.1</v>
      </c>
      <c r="B14326" s="6">
        <v>0.66433566433566404</v>
      </c>
      <c r="C14326" s="6">
        <v>0.77512783900218396</v>
      </c>
    </row>
    <row r="14327" spans="1:3" s="7" customFormat="1" x14ac:dyDescent="0.2">
      <c r="A14327" s="6" t="str">
        <f>"SBNO1"</f>
        <v>SBNO1</v>
      </c>
      <c r="B14327" s="6">
        <v>0.66533466533466501</v>
      </c>
      <c r="C14327" s="6">
        <v>0.77575190766680102</v>
      </c>
    </row>
    <row r="14328" spans="1:3" s="7" customFormat="1" x14ac:dyDescent="0.2">
      <c r="A14328" s="6" t="str">
        <f>"AC121338.2"</f>
        <v>AC121338.2</v>
      </c>
      <c r="B14328" s="6">
        <v>0.66533466533466501</v>
      </c>
      <c r="C14328" s="6">
        <v>0.77575190766680102</v>
      </c>
    </row>
    <row r="14329" spans="1:3" s="7" customFormat="1" x14ac:dyDescent="0.2">
      <c r="A14329" s="6" t="str">
        <f>"NOB1"</f>
        <v>NOB1</v>
      </c>
      <c r="B14329" s="6">
        <v>0.66533466533466501</v>
      </c>
      <c r="C14329" s="6">
        <v>0.77575190766680102</v>
      </c>
    </row>
    <row r="14330" spans="1:3" s="7" customFormat="1" x14ac:dyDescent="0.2">
      <c r="A14330" s="6" t="str">
        <f>"C4orf17"</f>
        <v>C4orf17</v>
      </c>
      <c r="B14330" s="6">
        <v>0.66533466533466501</v>
      </c>
      <c r="C14330" s="6">
        <v>0.77575190766680102</v>
      </c>
    </row>
    <row r="14331" spans="1:3" s="7" customFormat="1" x14ac:dyDescent="0.2">
      <c r="A14331" s="6" t="str">
        <f>"DUSP8"</f>
        <v>DUSP8</v>
      </c>
      <c r="B14331" s="6">
        <v>0.66533466533466501</v>
      </c>
      <c r="C14331" s="6">
        <v>0.77575190766680102</v>
      </c>
    </row>
    <row r="14332" spans="1:3" s="7" customFormat="1" x14ac:dyDescent="0.2">
      <c r="A14332" s="6" t="str">
        <f>"AL121790.1"</f>
        <v>AL121790.1</v>
      </c>
      <c r="B14332" s="6">
        <v>0.66533466533466501</v>
      </c>
      <c r="C14332" s="6">
        <v>0.77575190766680102</v>
      </c>
    </row>
    <row r="14333" spans="1:3" s="7" customFormat="1" x14ac:dyDescent="0.2">
      <c r="A14333" s="6" t="str">
        <f>"AL158151.3"</f>
        <v>AL158151.3</v>
      </c>
      <c r="B14333" s="6">
        <v>0.66533466533466501</v>
      </c>
      <c r="C14333" s="6">
        <v>0.77575190766680102</v>
      </c>
    </row>
    <row r="14334" spans="1:3" s="7" customFormat="1" x14ac:dyDescent="0.2">
      <c r="A14334" s="6" t="str">
        <f>"RHOD"</f>
        <v>RHOD</v>
      </c>
      <c r="B14334" s="6">
        <v>0.66533466533466501</v>
      </c>
      <c r="C14334" s="6">
        <v>0.77575190766680102</v>
      </c>
    </row>
    <row r="14335" spans="1:3" s="7" customFormat="1" x14ac:dyDescent="0.2">
      <c r="A14335" s="6" t="str">
        <f>"ERAP1"</f>
        <v>ERAP1</v>
      </c>
      <c r="B14335" s="6">
        <v>0.66533466533466501</v>
      </c>
      <c r="C14335" s="6">
        <v>0.77575190766680102</v>
      </c>
    </row>
    <row r="14336" spans="1:3" s="7" customFormat="1" x14ac:dyDescent="0.2">
      <c r="A14336" s="6" t="str">
        <f>"SARDH"</f>
        <v>SARDH</v>
      </c>
      <c r="B14336" s="6">
        <v>0.66533466533466501</v>
      </c>
      <c r="C14336" s="6">
        <v>0.77575190766680102</v>
      </c>
    </row>
    <row r="14337" spans="1:3" s="7" customFormat="1" x14ac:dyDescent="0.2">
      <c r="A14337" s="6" t="str">
        <f>"AC026202.3"</f>
        <v>AC026202.3</v>
      </c>
      <c r="B14337" s="6">
        <v>0.66564417177914104</v>
      </c>
      <c r="C14337" s="6">
        <v>0.77605864167944705</v>
      </c>
    </row>
    <row r="14338" spans="1:3" s="7" customFormat="1" x14ac:dyDescent="0.2">
      <c r="A14338" s="6" t="str">
        <f>"LINC01752"</f>
        <v>LINC01752</v>
      </c>
      <c r="B14338" s="6">
        <v>0.66597938144329805</v>
      </c>
      <c r="C14338" s="6">
        <v>0.77636518342865102</v>
      </c>
    </row>
    <row r="14339" spans="1:3" s="7" customFormat="1" x14ac:dyDescent="0.2">
      <c r="A14339" s="6" t="str">
        <f>"DZIP1"</f>
        <v>DZIP1</v>
      </c>
      <c r="B14339" s="6">
        <v>0.66600000000000004</v>
      </c>
      <c r="C14339" s="6">
        <v>0.77636518342865102</v>
      </c>
    </row>
    <row r="14340" spans="1:3" s="7" customFormat="1" x14ac:dyDescent="0.2">
      <c r="A14340" s="6" t="str">
        <f>"AC103760.1"</f>
        <v>AC103760.1</v>
      </c>
      <c r="B14340" s="6">
        <v>0.66633366633366597</v>
      </c>
      <c r="C14340" s="6">
        <v>0.77653750516670605</v>
      </c>
    </row>
    <row r="14341" spans="1:3" s="7" customFormat="1" x14ac:dyDescent="0.2">
      <c r="A14341" s="6" t="str">
        <f>"ADCK1"</f>
        <v>ADCK1</v>
      </c>
      <c r="B14341" s="6">
        <v>0.66633366633366597</v>
      </c>
      <c r="C14341" s="6">
        <v>0.77653750516670605</v>
      </c>
    </row>
    <row r="14342" spans="1:3" s="7" customFormat="1" x14ac:dyDescent="0.2">
      <c r="A14342" s="6" t="str">
        <f>"TRIM68"</f>
        <v>TRIM68</v>
      </c>
      <c r="B14342" s="6">
        <v>0.66633366633366597</v>
      </c>
      <c r="C14342" s="6">
        <v>0.77653750516670605</v>
      </c>
    </row>
    <row r="14343" spans="1:3" s="7" customFormat="1" x14ac:dyDescent="0.2">
      <c r="A14343" s="6" t="str">
        <f>"GP5"</f>
        <v>GP5</v>
      </c>
      <c r="B14343" s="6">
        <v>0.66633366633366597</v>
      </c>
      <c r="C14343" s="6">
        <v>0.77653750516670605</v>
      </c>
    </row>
    <row r="14344" spans="1:3" s="7" customFormat="1" x14ac:dyDescent="0.2">
      <c r="A14344" s="6" t="str">
        <f>"AC104447.1"</f>
        <v>AC104447.1</v>
      </c>
      <c r="B14344" s="6">
        <v>0.66666666666666596</v>
      </c>
      <c r="C14344" s="6">
        <v>0.77687141230333001</v>
      </c>
    </row>
    <row r="14345" spans="1:3" s="7" customFormat="1" x14ac:dyDescent="0.2">
      <c r="A14345" s="6" t="str">
        <f>"KDM4C"</f>
        <v>KDM4C</v>
      </c>
      <c r="B14345" s="6">
        <v>0.66733266733266705</v>
      </c>
      <c r="C14345" s="6">
        <v>0.77705156763258998</v>
      </c>
    </row>
    <row r="14346" spans="1:3" s="7" customFormat="1" x14ac:dyDescent="0.2">
      <c r="A14346" s="6" t="str">
        <f>"KRT8"</f>
        <v>KRT8</v>
      </c>
      <c r="B14346" s="6">
        <v>0.66733266733266705</v>
      </c>
      <c r="C14346" s="6">
        <v>0.77705156763258998</v>
      </c>
    </row>
    <row r="14347" spans="1:3" s="7" customFormat="1" x14ac:dyDescent="0.2">
      <c r="A14347" s="6" t="str">
        <f>"ZNF83"</f>
        <v>ZNF83</v>
      </c>
      <c r="B14347" s="6">
        <v>0.66733266733266705</v>
      </c>
      <c r="C14347" s="6">
        <v>0.77705156763258998</v>
      </c>
    </row>
    <row r="14348" spans="1:3" s="7" customFormat="1" x14ac:dyDescent="0.2">
      <c r="A14348" s="6" t="str">
        <f>"UPF2"</f>
        <v>UPF2</v>
      </c>
      <c r="B14348" s="6">
        <v>0.66733266733266705</v>
      </c>
      <c r="C14348" s="6">
        <v>0.77705156763258998</v>
      </c>
    </row>
    <row r="14349" spans="1:3" s="7" customFormat="1" x14ac:dyDescent="0.2">
      <c r="A14349" s="6" t="str">
        <f>"MPIG6B"</f>
        <v>MPIG6B</v>
      </c>
      <c r="B14349" s="6">
        <v>0.66733266733266705</v>
      </c>
      <c r="C14349" s="6">
        <v>0.77705156763258998</v>
      </c>
    </row>
    <row r="14350" spans="1:3" s="7" customFormat="1" x14ac:dyDescent="0.2">
      <c r="A14350" s="6" t="str">
        <f>"CALML3-AS1"</f>
        <v>CALML3-AS1</v>
      </c>
      <c r="B14350" s="6">
        <v>0.66733266733266705</v>
      </c>
      <c r="C14350" s="6">
        <v>0.77705156763258998</v>
      </c>
    </row>
    <row r="14351" spans="1:3" s="7" customFormat="1" x14ac:dyDescent="0.2">
      <c r="A14351" s="6" t="str">
        <f>"ISOC1"</f>
        <v>ISOC1</v>
      </c>
      <c r="B14351" s="6">
        <v>0.66733266733266705</v>
      </c>
      <c r="C14351" s="6">
        <v>0.77705156763258998</v>
      </c>
    </row>
    <row r="14352" spans="1:3" s="7" customFormat="1" x14ac:dyDescent="0.2">
      <c r="A14352" s="6" t="str">
        <f>"C8orf76"</f>
        <v>C8orf76</v>
      </c>
      <c r="B14352" s="6">
        <v>0.66733266733266705</v>
      </c>
      <c r="C14352" s="6">
        <v>0.77705156763258998</v>
      </c>
    </row>
    <row r="14353" spans="1:3" s="7" customFormat="1" x14ac:dyDescent="0.2">
      <c r="A14353" s="6" t="str">
        <f>"SLC37A3"</f>
        <v>SLC37A3</v>
      </c>
      <c r="B14353" s="6">
        <v>0.66733266733266705</v>
      </c>
      <c r="C14353" s="6">
        <v>0.77705156763258998</v>
      </c>
    </row>
    <row r="14354" spans="1:3" s="7" customFormat="1" x14ac:dyDescent="0.2">
      <c r="A14354" s="6" t="str">
        <f>"AL137058.1"</f>
        <v>AL137058.1</v>
      </c>
      <c r="B14354" s="6">
        <v>0.66700000000000004</v>
      </c>
      <c r="C14354" s="6">
        <v>0.77705156763258998</v>
      </c>
    </row>
    <row r="14355" spans="1:3" s="7" customFormat="1" x14ac:dyDescent="0.2">
      <c r="A14355" s="6" t="str">
        <f>"IER3IP1"</f>
        <v>IER3IP1</v>
      </c>
      <c r="B14355" s="6">
        <v>0.66733266733266705</v>
      </c>
      <c r="C14355" s="6">
        <v>0.77705156763258998</v>
      </c>
    </row>
    <row r="14356" spans="1:3" s="7" customFormat="1" x14ac:dyDescent="0.2">
      <c r="A14356" s="6" t="str">
        <f>"POLRMTP1"</f>
        <v>POLRMTP1</v>
      </c>
      <c r="B14356" s="6">
        <v>0.66806722689075604</v>
      </c>
      <c r="C14356" s="6">
        <v>0.777781332996484</v>
      </c>
    </row>
    <row r="14357" spans="1:3" s="7" customFormat="1" x14ac:dyDescent="0.2">
      <c r="A14357" s="6" t="str">
        <f>"U47924.2"</f>
        <v>U47924.2</v>
      </c>
      <c r="B14357" s="6">
        <v>0.66833166833166802</v>
      </c>
      <c r="C14357" s="6">
        <v>0.777781332996484</v>
      </c>
    </row>
    <row r="14358" spans="1:3" s="7" customFormat="1" x14ac:dyDescent="0.2">
      <c r="A14358" s="6" t="str">
        <f>"AC074194.2"</f>
        <v>AC074194.2</v>
      </c>
      <c r="B14358" s="6">
        <v>0.66833166833166802</v>
      </c>
      <c r="C14358" s="6">
        <v>0.777781332996484</v>
      </c>
    </row>
    <row r="14359" spans="1:3" s="7" customFormat="1" x14ac:dyDescent="0.2">
      <c r="A14359" s="6" t="str">
        <f>"AL121929.3"</f>
        <v>AL121929.3</v>
      </c>
      <c r="B14359" s="6">
        <v>0.66833166833166802</v>
      </c>
      <c r="C14359" s="6">
        <v>0.777781332996484</v>
      </c>
    </row>
    <row r="14360" spans="1:3" s="7" customFormat="1" x14ac:dyDescent="0.2">
      <c r="A14360" s="6" t="str">
        <f>"PVRIG"</f>
        <v>PVRIG</v>
      </c>
      <c r="B14360" s="6">
        <v>0.66833166833166802</v>
      </c>
      <c r="C14360" s="6">
        <v>0.777781332996484</v>
      </c>
    </row>
    <row r="14361" spans="1:3" s="7" customFormat="1" x14ac:dyDescent="0.2">
      <c r="A14361" s="6" t="str">
        <f>"SETD6"</f>
        <v>SETD6</v>
      </c>
      <c r="B14361" s="6">
        <v>0.66833166833166802</v>
      </c>
      <c r="C14361" s="6">
        <v>0.777781332996484</v>
      </c>
    </row>
    <row r="14362" spans="1:3" s="7" customFormat="1" x14ac:dyDescent="0.2">
      <c r="A14362" s="6" t="str">
        <f>"TMEM169"</f>
        <v>TMEM169</v>
      </c>
      <c r="B14362" s="6">
        <v>0.66833166833166802</v>
      </c>
      <c r="C14362" s="6">
        <v>0.777781332996484</v>
      </c>
    </row>
    <row r="14363" spans="1:3" s="7" customFormat="1" x14ac:dyDescent="0.2">
      <c r="A14363" s="6" t="str">
        <f>"SYNPO"</f>
        <v>SYNPO</v>
      </c>
      <c r="B14363" s="6">
        <v>0.66833166833166802</v>
      </c>
      <c r="C14363" s="6">
        <v>0.777781332996484</v>
      </c>
    </row>
    <row r="14364" spans="1:3" s="7" customFormat="1" x14ac:dyDescent="0.2">
      <c r="A14364" s="6" t="str">
        <f>"C5orf38"</f>
        <v>C5orf38</v>
      </c>
      <c r="B14364" s="6">
        <v>0.66933066933066898</v>
      </c>
      <c r="C14364" s="6">
        <v>0.77862796863214101</v>
      </c>
    </row>
    <row r="14365" spans="1:3" s="7" customFormat="1" x14ac:dyDescent="0.2">
      <c r="A14365" s="6" t="str">
        <f>"LINC02696"</f>
        <v>LINC02696</v>
      </c>
      <c r="B14365" s="6">
        <v>0.66933066933066898</v>
      </c>
      <c r="C14365" s="6">
        <v>0.77862796863214101</v>
      </c>
    </row>
    <row r="14366" spans="1:3" s="7" customFormat="1" x14ac:dyDescent="0.2">
      <c r="A14366" s="6" t="str">
        <f>"PAPPA2"</f>
        <v>PAPPA2</v>
      </c>
      <c r="B14366" s="6">
        <v>0.66933066933066898</v>
      </c>
      <c r="C14366" s="6">
        <v>0.77862796863214101</v>
      </c>
    </row>
    <row r="14367" spans="1:3" s="7" customFormat="1" x14ac:dyDescent="0.2">
      <c r="A14367" s="6" t="str">
        <f>"AC011481.3"</f>
        <v>AC011481.3</v>
      </c>
      <c r="B14367" s="6">
        <v>0.66933867735470898</v>
      </c>
      <c r="C14367" s="6">
        <v>0.77862796863214101</v>
      </c>
    </row>
    <row r="14368" spans="1:3" s="7" customFormat="1" x14ac:dyDescent="0.2">
      <c r="A14368" s="6" t="str">
        <f>"H3P4"</f>
        <v>H3P4</v>
      </c>
      <c r="B14368" s="6">
        <v>0.66933066933066898</v>
      </c>
      <c r="C14368" s="6">
        <v>0.77862796863214101</v>
      </c>
    </row>
    <row r="14369" spans="1:3" s="7" customFormat="1" x14ac:dyDescent="0.2">
      <c r="A14369" s="6" t="str">
        <f>"EXOC3-AS1"</f>
        <v>EXOC3-AS1</v>
      </c>
      <c r="B14369" s="6">
        <v>0.66933066933066898</v>
      </c>
      <c r="C14369" s="6">
        <v>0.77862796863214101</v>
      </c>
    </row>
    <row r="14370" spans="1:3" s="7" customFormat="1" x14ac:dyDescent="0.2">
      <c r="A14370" s="6" t="str">
        <f>"SNURF"</f>
        <v>SNURF</v>
      </c>
      <c r="B14370" s="6">
        <v>0.67032967032966995</v>
      </c>
      <c r="C14370" s="6">
        <v>0.77956374268648099</v>
      </c>
    </row>
    <row r="14371" spans="1:3" s="7" customFormat="1" x14ac:dyDescent="0.2">
      <c r="A14371" s="6" t="str">
        <f>"AC005840.3"</f>
        <v>AC005840.3</v>
      </c>
      <c r="B14371" s="6">
        <v>0.67032967032966995</v>
      </c>
      <c r="C14371" s="6">
        <v>0.77956374268648099</v>
      </c>
    </row>
    <row r="14372" spans="1:3" s="7" customFormat="1" x14ac:dyDescent="0.2">
      <c r="A14372" s="6" t="str">
        <f>"AC104581.4"</f>
        <v>AC104581.4</v>
      </c>
      <c r="B14372" s="6">
        <v>0.67032967032966995</v>
      </c>
      <c r="C14372" s="6">
        <v>0.77956374268648099</v>
      </c>
    </row>
    <row r="14373" spans="1:3" s="7" customFormat="1" x14ac:dyDescent="0.2">
      <c r="A14373" s="6" t="str">
        <f>"PRELID3A"</f>
        <v>PRELID3A</v>
      </c>
      <c r="B14373" s="6">
        <v>0.67032967032966995</v>
      </c>
      <c r="C14373" s="6">
        <v>0.77956374268648099</v>
      </c>
    </row>
    <row r="14374" spans="1:3" s="7" customFormat="1" x14ac:dyDescent="0.2">
      <c r="A14374" s="6" t="str">
        <f>"BCORL1"</f>
        <v>BCORL1</v>
      </c>
      <c r="B14374" s="6">
        <v>0.67132867132867102</v>
      </c>
      <c r="C14374" s="6">
        <v>0.78023693850131504</v>
      </c>
    </row>
    <row r="14375" spans="1:3" s="7" customFormat="1" x14ac:dyDescent="0.2">
      <c r="A14375" s="6" t="str">
        <f>"MTRES1"</f>
        <v>MTRES1</v>
      </c>
      <c r="B14375" s="6">
        <v>0.67132867132867102</v>
      </c>
      <c r="C14375" s="6">
        <v>0.78023693850131504</v>
      </c>
    </row>
    <row r="14376" spans="1:3" s="7" customFormat="1" x14ac:dyDescent="0.2">
      <c r="A14376" s="6" t="str">
        <f>"SMS"</f>
        <v>SMS</v>
      </c>
      <c r="B14376" s="6">
        <v>0.67132867132867102</v>
      </c>
      <c r="C14376" s="6">
        <v>0.78023693850131504</v>
      </c>
    </row>
    <row r="14377" spans="1:3" s="7" customFormat="1" x14ac:dyDescent="0.2">
      <c r="A14377" s="6" t="str">
        <f>"TPM3P9"</f>
        <v>TPM3P9</v>
      </c>
      <c r="B14377" s="6">
        <v>0.67132867132867102</v>
      </c>
      <c r="C14377" s="6">
        <v>0.78023693850131504</v>
      </c>
    </row>
    <row r="14378" spans="1:3" s="7" customFormat="1" x14ac:dyDescent="0.2">
      <c r="A14378" s="6" t="str">
        <f>"GDI2"</f>
        <v>GDI2</v>
      </c>
      <c r="B14378" s="6">
        <v>0.67132867132867102</v>
      </c>
      <c r="C14378" s="6">
        <v>0.78023693850131504</v>
      </c>
    </row>
    <row r="14379" spans="1:3" s="7" customFormat="1" x14ac:dyDescent="0.2">
      <c r="A14379" s="6" t="str">
        <f>"AL645820.1"</f>
        <v>AL645820.1</v>
      </c>
      <c r="B14379" s="6">
        <v>0.67132867132867102</v>
      </c>
      <c r="C14379" s="6">
        <v>0.78023693850131504</v>
      </c>
    </row>
    <row r="14380" spans="1:3" s="7" customFormat="1" x14ac:dyDescent="0.2">
      <c r="A14380" s="6" t="str">
        <f>"ZMAT4"</f>
        <v>ZMAT4</v>
      </c>
      <c r="B14380" s="6">
        <v>0.67132867132867102</v>
      </c>
      <c r="C14380" s="6">
        <v>0.78023693850131504</v>
      </c>
    </row>
    <row r="14381" spans="1:3" s="7" customFormat="1" x14ac:dyDescent="0.2">
      <c r="A14381" s="6" t="str">
        <f>"IMMT"</f>
        <v>IMMT</v>
      </c>
      <c r="B14381" s="6">
        <v>0.67132867132867102</v>
      </c>
      <c r="C14381" s="6">
        <v>0.78023693850131504</v>
      </c>
    </row>
    <row r="14382" spans="1:3" s="7" customFormat="1" x14ac:dyDescent="0.2">
      <c r="A14382" s="6" t="str">
        <f>"ZNF837"</f>
        <v>ZNF837</v>
      </c>
      <c r="B14382" s="6">
        <v>0.67132867132867102</v>
      </c>
      <c r="C14382" s="6">
        <v>0.78023693850131504</v>
      </c>
    </row>
    <row r="14383" spans="1:3" s="7" customFormat="1" x14ac:dyDescent="0.2">
      <c r="A14383" s="6" t="str">
        <f>"RN7SL1"</f>
        <v>RN7SL1</v>
      </c>
      <c r="B14383" s="6">
        <v>0.67232767232767199</v>
      </c>
      <c r="C14383" s="6">
        <v>0.78101784231892601</v>
      </c>
    </row>
    <row r="14384" spans="1:3" s="7" customFormat="1" x14ac:dyDescent="0.2">
      <c r="A14384" s="6" t="str">
        <f>"ATP5MF"</f>
        <v>ATP5MF</v>
      </c>
      <c r="B14384" s="6">
        <v>0.67232767232767199</v>
      </c>
      <c r="C14384" s="6">
        <v>0.78101784231892601</v>
      </c>
    </row>
    <row r="14385" spans="1:3" s="7" customFormat="1" x14ac:dyDescent="0.2">
      <c r="A14385" s="6" t="str">
        <f>"AL121845.1"</f>
        <v>AL121845.1</v>
      </c>
      <c r="B14385" s="6">
        <v>0.67232767232767199</v>
      </c>
      <c r="C14385" s="6">
        <v>0.78101784231892601</v>
      </c>
    </row>
    <row r="14386" spans="1:3" s="7" customFormat="1" x14ac:dyDescent="0.2">
      <c r="A14386" s="6" t="str">
        <f>"AL138762.1"</f>
        <v>AL138762.1</v>
      </c>
      <c r="B14386" s="6">
        <v>0.67232767232767199</v>
      </c>
      <c r="C14386" s="6">
        <v>0.78101784231892601</v>
      </c>
    </row>
    <row r="14387" spans="1:3" s="7" customFormat="1" x14ac:dyDescent="0.2">
      <c r="A14387" s="6" t="str">
        <f>"TCL6"</f>
        <v>TCL6</v>
      </c>
      <c r="B14387" s="6">
        <v>0.67232767232767199</v>
      </c>
      <c r="C14387" s="6">
        <v>0.78101784231892601</v>
      </c>
    </row>
    <row r="14388" spans="1:3" s="7" customFormat="1" x14ac:dyDescent="0.2">
      <c r="A14388" s="6" t="str">
        <f>"MMP24"</f>
        <v>MMP24</v>
      </c>
      <c r="B14388" s="6">
        <v>0.67232767232767199</v>
      </c>
      <c r="C14388" s="6">
        <v>0.78101784231892601</v>
      </c>
    </row>
    <row r="14389" spans="1:3" s="7" customFormat="1" x14ac:dyDescent="0.2">
      <c r="A14389" s="6" t="str">
        <f>"AC034238.1"</f>
        <v>AC034238.1</v>
      </c>
      <c r="B14389" s="6">
        <v>0.67232767232767199</v>
      </c>
      <c r="C14389" s="6">
        <v>0.78101784231892601</v>
      </c>
    </row>
    <row r="14390" spans="1:3" s="7" customFormat="1" x14ac:dyDescent="0.2">
      <c r="A14390" s="6" t="str">
        <f>"NIBAN1"</f>
        <v>NIBAN1</v>
      </c>
      <c r="B14390" s="6">
        <v>0.67332667332667295</v>
      </c>
      <c r="C14390" s="6">
        <v>0.78201528858189195</v>
      </c>
    </row>
    <row r="14391" spans="1:3" s="7" customFormat="1" x14ac:dyDescent="0.2">
      <c r="A14391" s="6" t="str">
        <f>"YBEY"</f>
        <v>YBEY</v>
      </c>
      <c r="B14391" s="6">
        <v>0.67332667332667295</v>
      </c>
      <c r="C14391" s="6">
        <v>0.78201528858189195</v>
      </c>
    </row>
    <row r="14392" spans="1:3" s="7" customFormat="1" x14ac:dyDescent="0.2">
      <c r="A14392" s="6" t="str">
        <f>"PCDHB11"</f>
        <v>PCDHB11</v>
      </c>
      <c r="B14392" s="6">
        <v>0.67332667332667295</v>
      </c>
      <c r="C14392" s="6">
        <v>0.78201528858189195</v>
      </c>
    </row>
    <row r="14393" spans="1:3" s="7" customFormat="1" x14ac:dyDescent="0.2">
      <c r="A14393" s="6" t="str">
        <f>"TCP11X1"</f>
        <v>TCP11X1</v>
      </c>
      <c r="B14393" s="6">
        <v>0.67400000000000004</v>
      </c>
      <c r="C14393" s="6">
        <v>0.78274291272929397</v>
      </c>
    </row>
    <row r="14394" spans="1:3" s="7" customFormat="1" x14ac:dyDescent="0.2">
      <c r="A14394" s="6" t="str">
        <f>"KCTD11"</f>
        <v>KCTD11</v>
      </c>
      <c r="B14394" s="6">
        <v>0.67432567432567403</v>
      </c>
      <c r="C14394" s="6">
        <v>0.78284915751054496</v>
      </c>
    </row>
    <row r="14395" spans="1:3" s="7" customFormat="1" x14ac:dyDescent="0.2">
      <c r="A14395" s="6" t="str">
        <f>"PDGFRA"</f>
        <v>PDGFRA</v>
      </c>
      <c r="B14395" s="6">
        <v>0.67432567432567403</v>
      </c>
      <c r="C14395" s="6">
        <v>0.78284915751054496</v>
      </c>
    </row>
    <row r="14396" spans="1:3" s="7" customFormat="1" x14ac:dyDescent="0.2">
      <c r="A14396" s="6" t="str">
        <f>"CICP18"</f>
        <v>CICP18</v>
      </c>
      <c r="B14396" s="6">
        <v>0.67432567432567403</v>
      </c>
      <c r="C14396" s="6">
        <v>0.78284915751054496</v>
      </c>
    </row>
    <row r="14397" spans="1:3" s="7" customFormat="1" x14ac:dyDescent="0.2">
      <c r="A14397" s="6" t="str">
        <f>"H2BP2"</f>
        <v>H2BP2</v>
      </c>
      <c r="B14397" s="6">
        <v>0.67432567432567403</v>
      </c>
      <c r="C14397" s="6">
        <v>0.78284915751054496</v>
      </c>
    </row>
    <row r="14398" spans="1:3" s="7" customFormat="1" x14ac:dyDescent="0.2">
      <c r="A14398" s="6" t="str">
        <f>"NDUFA8"</f>
        <v>NDUFA8</v>
      </c>
      <c r="B14398" s="6">
        <v>0.67432567432567403</v>
      </c>
      <c r="C14398" s="6">
        <v>0.78284915751054496</v>
      </c>
    </row>
    <row r="14399" spans="1:3" s="7" customFormat="1" x14ac:dyDescent="0.2">
      <c r="A14399" s="6" t="str">
        <f>"AC090946.1"</f>
        <v>AC090946.1</v>
      </c>
      <c r="B14399" s="6">
        <v>0.67472306143001004</v>
      </c>
      <c r="C14399" s="6">
        <v>0.78325609450904199</v>
      </c>
    </row>
    <row r="14400" spans="1:3" s="7" customFormat="1" x14ac:dyDescent="0.2">
      <c r="A14400" s="6" t="str">
        <f>"OLFM4"</f>
        <v>OLFM4</v>
      </c>
      <c r="B14400" s="6">
        <v>0.67532467532467499</v>
      </c>
      <c r="C14400" s="6">
        <v>0.783410370861786</v>
      </c>
    </row>
    <row r="14401" spans="1:3" s="7" customFormat="1" x14ac:dyDescent="0.2">
      <c r="A14401" s="6" t="str">
        <f>"PDS5A"</f>
        <v>PDS5A</v>
      </c>
      <c r="B14401" s="6">
        <v>0.67532467532467499</v>
      </c>
      <c r="C14401" s="6">
        <v>0.783410370861786</v>
      </c>
    </row>
    <row r="14402" spans="1:3" s="7" customFormat="1" x14ac:dyDescent="0.2">
      <c r="A14402" s="6" t="str">
        <f>"SFRP4"</f>
        <v>SFRP4</v>
      </c>
      <c r="B14402" s="6">
        <v>0.67532467532467499</v>
      </c>
      <c r="C14402" s="6">
        <v>0.783410370861786</v>
      </c>
    </row>
    <row r="14403" spans="1:3" s="7" customFormat="1" x14ac:dyDescent="0.2">
      <c r="A14403" s="6" t="str">
        <f>"AL121603.2"</f>
        <v>AL121603.2</v>
      </c>
      <c r="B14403" s="6">
        <v>0.67532467532467499</v>
      </c>
      <c r="C14403" s="6">
        <v>0.783410370861786</v>
      </c>
    </row>
    <row r="14404" spans="1:3" s="7" customFormat="1" x14ac:dyDescent="0.2">
      <c r="A14404" s="6" t="str">
        <f>"AC019257.8"</f>
        <v>AC019257.8</v>
      </c>
      <c r="B14404" s="6">
        <v>0.67532467532467499</v>
      </c>
      <c r="C14404" s="6">
        <v>0.783410370861786</v>
      </c>
    </row>
    <row r="14405" spans="1:3" s="7" customFormat="1" x14ac:dyDescent="0.2">
      <c r="A14405" s="6" t="str">
        <f>"CYP51A1-AS1"</f>
        <v>CYP51A1-AS1</v>
      </c>
      <c r="B14405" s="6">
        <v>0.67532467532467499</v>
      </c>
      <c r="C14405" s="6">
        <v>0.783410370861786</v>
      </c>
    </row>
    <row r="14406" spans="1:3" s="7" customFormat="1" x14ac:dyDescent="0.2">
      <c r="A14406" s="6" t="str">
        <f>"FN3K"</f>
        <v>FN3K</v>
      </c>
      <c r="B14406" s="6">
        <v>0.67532467532467499</v>
      </c>
      <c r="C14406" s="6">
        <v>0.783410370861786</v>
      </c>
    </row>
    <row r="14407" spans="1:3" s="7" customFormat="1" x14ac:dyDescent="0.2">
      <c r="A14407" s="6" t="str">
        <f>"LIN7B"</f>
        <v>LIN7B</v>
      </c>
      <c r="B14407" s="6">
        <v>0.67532467532467499</v>
      </c>
      <c r="C14407" s="6">
        <v>0.783410370861786</v>
      </c>
    </row>
    <row r="14408" spans="1:3" s="7" customFormat="1" x14ac:dyDescent="0.2">
      <c r="A14408" s="6" t="str">
        <f>"PEF1"</f>
        <v>PEF1</v>
      </c>
      <c r="B14408" s="6">
        <v>0.67532467532467499</v>
      </c>
      <c r="C14408" s="6">
        <v>0.783410370861786</v>
      </c>
    </row>
    <row r="14409" spans="1:3" s="7" customFormat="1" x14ac:dyDescent="0.2">
      <c r="A14409" s="6" t="str">
        <f>"STK35"</f>
        <v>STK35</v>
      </c>
      <c r="B14409" s="6">
        <v>0.67532467532467499</v>
      </c>
      <c r="C14409" s="6">
        <v>0.783410370861786</v>
      </c>
    </row>
    <row r="14410" spans="1:3" s="7" customFormat="1" x14ac:dyDescent="0.2">
      <c r="A14410" s="6" t="str">
        <f>"AC091607.2"</f>
        <v>AC091607.2</v>
      </c>
      <c r="B14410" s="6">
        <v>0.67542972699696602</v>
      </c>
      <c r="C14410" s="6">
        <v>0.783477858076709</v>
      </c>
    </row>
    <row r="14411" spans="1:3" s="7" customFormat="1" x14ac:dyDescent="0.2">
      <c r="A14411" s="6" t="str">
        <f>"ZKSCAN1"</f>
        <v>ZKSCAN1</v>
      </c>
      <c r="B14411" s="6">
        <v>0.67567567567567499</v>
      </c>
      <c r="C14411" s="6">
        <v>0.78370876080799701</v>
      </c>
    </row>
    <row r="14412" spans="1:3" s="7" customFormat="1" x14ac:dyDescent="0.2">
      <c r="A14412" s="6" t="str">
        <f>"PWAR5"</f>
        <v>PWAR5</v>
      </c>
      <c r="B14412" s="6">
        <v>0.676084762865792</v>
      </c>
      <c r="C14412" s="6">
        <v>0.78412884092282598</v>
      </c>
    </row>
    <row r="14413" spans="1:3" s="7" customFormat="1" x14ac:dyDescent="0.2">
      <c r="A14413" s="6" t="str">
        <f>"AC078880.4"</f>
        <v>AC078880.4</v>
      </c>
      <c r="B14413" s="6">
        <v>0.67635270541082104</v>
      </c>
      <c r="C14413" s="6">
        <v>0.78416753039931097</v>
      </c>
    </row>
    <row r="14414" spans="1:3" s="7" customFormat="1" x14ac:dyDescent="0.2">
      <c r="A14414" s="6" t="str">
        <f>"HECW1"</f>
        <v>HECW1</v>
      </c>
      <c r="B14414" s="6">
        <v>0.67632367632367596</v>
      </c>
      <c r="C14414" s="6">
        <v>0.78416753039931097</v>
      </c>
    </row>
    <row r="14415" spans="1:3" s="7" customFormat="1" x14ac:dyDescent="0.2">
      <c r="A14415" s="6" t="str">
        <f>"LRRC37A4P"</f>
        <v>LRRC37A4P</v>
      </c>
      <c r="B14415" s="6">
        <v>0.67632367632367596</v>
      </c>
      <c r="C14415" s="6">
        <v>0.78416753039931097</v>
      </c>
    </row>
    <row r="14416" spans="1:3" s="7" customFormat="1" x14ac:dyDescent="0.2">
      <c r="A14416" s="6" t="str">
        <f>"TM9SF4"</f>
        <v>TM9SF4</v>
      </c>
      <c r="B14416" s="6">
        <v>0.67632367632367596</v>
      </c>
      <c r="C14416" s="6">
        <v>0.78416753039931097</v>
      </c>
    </row>
    <row r="14417" spans="1:3" s="7" customFormat="1" x14ac:dyDescent="0.2">
      <c r="A14417" s="6" t="str">
        <f>"AL160006.1"</f>
        <v>AL160006.1</v>
      </c>
      <c r="B14417" s="6">
        <v>0.67632367632367596</v>
      </c>
      <c r="C14417" s="6">
        <v>0.78416753039931097</v>
      </c>
    </row>
    <row r="14418" spans="1:3" s="7" customFormat="1" x14ac:dyDescent="0.2">
      <c r="A14418" s="6" t="str">
        <f>"AC098476.1"</f>
        <v>AC098476.1</v>
      </c>
      <c r="B14418" s="6">
        <v>0.67668393782383396</v>
      </c>
      <c r="C14418" s="6">
        <v>0.78449714481428601</v>
      </c>
    </row>
    <row r="14419" spans="1:3" s="7" customFormat="1" x14ac:dyDescent="0.2">
      <c r="A14419" s="6" t="str">
        <f>"AMFR"</f>
        <v>AMFR</v>
      </c>
      <c r="B14419" s="6">
        <v>0.67732267732267704</v>
      </c>
      <c r="C14419" s="6">
        <v>0.78474776298150695</v>
      </c>
    </row>
    <row r="14420" spans="1:3" s="7" customFormat="1" x14ac:dyDescent="0.2">
      <c r="A14420" s="6" t="str">
        <f>"SLC7A5P2"</f>
        <v>SLC7A5P2</v>
      </c>
      <c r="B14420" s="6">
        <v>0.67700000000000005</v>
      </c>
      <c r="C14420" s="6">
        <v>0.78474776298150695</v>
      </c>
    </row>
    <row r="14421" spans="1:3" s="7" customFormat="1" x14ac:dyDescent="0.2">
      <c r="A14421" s="6" t="str">
        <f>"PPP1R26-AS1"</f>
        <v>PPP1R26-AS1</v>
      </c>
      <c r="B14421" s="6">
        <v>0.67732267732267704</v>
      </c>
      <c r="C14421" s="6">
        <v>0.78474776298150695</v>
      </c>
    </row>
    <row r="14422" spans="1:3" s="7" customFormat="1" x14ac:dyDescent="0.2">
      <c r="A14422" s="6" t="str">
        <f>"TOMM5"</f>
        <v>TOMM5</v>
      </c>
      <c r="B14422" s="6">
        <v>0.67732267732267704</v>
      </c>
      <c r="C14422" s="6">
        <v>0.78474776298150695</v>
      </c>
    </row>
    <row r="14423" spans="1:3" s="7" customFormat="1" x14ac:dyDescent="0.2">
      <c r="A14423" s="6" t="str">
        <f>"AF131215.6"</f>
        <v>AF131215.6</v>
      </c>
      <c r="B14423" s="6">
        <v>0.67700000000000005</v>
      </c>
      <c r="C14423" s="6">
        <v>0.78474776298150695</v>
      </c>
    </row>
    <row r="14424" spans="1:3" s="7" customFormat="1" x14ac:dyDescent="0.2">
      <c r="A14424" s="6" t="str">
        <f>"C12orf29"</f>
        <v>C12orf29</v>
      </c>
      <c r="B14424" s="6">
        <v>0.67732267732267704</v>
      </c>
      <c r="C14424" s="6">
        <v>0.78474776298150695</v>
      </c>
    </row>
    <row r="14425" spans="1:3" s="7" customFormat="1" x14ac:dyDescent="0.2">
      <c r="A14425" s="6" t="str">
        <f>"SCYL3"</f>
        <v>SCYL3</v>
      </c>
      <c r="B14425" s="6">
        <v>0.67732267732267704</v>
      </c>
      <c r="C14425" s="6">
        <v>0.78474776298150695</v>
      </c>
    </row>
    <row r="14426" spans="1:3" s="7" customFormat="1" x14ac:dyDescent="0.2">
      <c r="A14426" s="6" t="str">
        <f>"WDR44"</f>
        <v>WDR44</v>
      </c>
      <c r="B14426" s="6">
        <v>0.67732267732267704</v>
      </c>
      <c r="C14426" s="6">
        <v>0.78474776298150695</v>
      </c>
    </row>
    <row r="14427" spans="1:3" s="7" customFormat="1" x14ac:dyDescent="0.2">
      <c r="A14427" s="6" t="str">
        <f>"ELOVL4"</f>
        <v>ELOVL4</v>
      </c>
      <c r="B14427" s="6">
        <v>0.67732267732267704</v>
      </c>
      <c r="C14427" s="6">
        <v>0.78474776298150695</v>
      </c>
    </row>
    <row r="14428" spans="1:3" s="7" customFormat="1" x14ac:dyDescent="0.2">
      <c r="A14428" s="6" t="str">
        <f>"CACNA1C-AS2"</f>
        <v>CACNA1C-AS2</v>
      </c>
      <c r="B14428" s="6">
        <v>0.67738693467336597</v>
      </c>
      <c r="C14428" s="6">
        <v>0.78476781216681502</v>
      </c>
    </row>
    <row r="14429" spans="1:3" s="7" customFormat="1" x14ac:dyDescent="0.2">
      <c r="A14429" s="6" t="str">
        <f>"AC008507.1"</f>
        <v>AC008507.1</v>
      </c>
      <c r="B14429" s="6">
        <v>0.67784552845528401</v>
      </c>
      <c r="C14429" s="6">
        <v>0.78524467442484203</v>
      </c>
    </row>
    <row r="14430" spans="1:3" s="7" customFormat="1" x14ac:dyDescent="0.2">
      <c r="A14430" s="6" t="str">
        <f>"C4orf36"</f>
        <v>C4orf36</v>
      </c>
      <c r="B14430" s="6">
        <v>0.67800000000000005</v>
      </c>
      <c r="C14430" s="6">
        <v>0.78531476091476005</v>
      </c>
    </row>
    <row r="14431" spans="1:3" s="7" customFormat="1" x14ac:dyDescent="0.2">
      <c r="A14431" s="6" t="str">
        <f>"AC010476.2"</f>
        <v>AC010476.2</v>
      </c>
      <c r="B14431" s="6">
        <v>0.67800000000000005</v>
      </c>
      <c r="C14431" s="6">
        <v>0.78531476091476005</v>
      </c>
    </row>
    <row r="14432" spans="1:3" s="7" customFormat="1" x14ac:dyDescent="0.2">
      <c r="A14432" s="6" t="str">
        <f>"RFXANK"</f>
        <v>RFXANK</v>
      </c>
      <c r="B14432" s="6">
        <v>0.678321678321678</v>
      </c>
      <c r="C14432" s="6">
        <v>0.78546962252102803</v>
      </c>
    </row>
    <row r="14433" spans="1:3" s="7" customFormat="1" x14ac:dyDescent="0.2">
      <c r="A14433" s="6" t="str">
        <f>"TRAV19"</f>
        <v>TRAV19</v>
      </c>
      <c r="B14433" s="6">
        <v>0.678321678321678</v>
      </c>
      <c r="C14433" s="6">
        <v>0.78546962252102803</v>
      </c>
    </row>
    <row r="14434" spans="1:3" s="7" customFormat="1" x14ac:dyDescent="0.2">
      <c r="A14434" s="6" t="str">
        <f>"KCNN1"</f>
        <v>KCNN1</v>
      </c>
      <c r="B14434" s="6">
        <v>0.678321678321678</v>
      </c>
      <c r="C14434" s="6">
        <v>0.78546962252102803</v>
      </c>
    </row>
    <row r="14435" spans="1:3" s="7" customFormat="1" x14ac:dyDescent="0.2">
      <c r="A14435" s="6" t="str">
        <f>"ST6GALNAC4"</f>
        <v>ST6GALNAC4</v>
      </c>
      <c r="B14435" s="6">
        <v>0.678321678321678</v>
      </c>
      <c r="C14435" s="6">
        <v>0.78546962252102803</v>
      </c>
    </row>
    <row r="14436" spans="1:3" s="7" customFormat="1" x14ac:dyDescent="0.2">
      <c r="A14436" s="6" t="str">
        <f>"TOGARAM1"</f>
        <v>TOGARAM1</v>
      </c>
      <c r="B14436" s="6">
        <v>0.67932067932067897</v>
      </c>
      <c r="C14436" s="6">
        <v>0.78586419117980499</v>
      </c>
    </row>
    <row r="14437" spans="1:3" s="7" customFormat="1" x14ac:dyDescent="0.2">
      <c r="A14437" s="6" t="str">
        <f>"LINC00612"</f>
        <v>LINC00612</v>
      </c>
      <c r="B14437" s="6">
        <v>0.67900000000000005</v>
      </c>
      <c r="C14437" s="6">
        <v>0.78586419117980499</v>
      </c>
    </row>
    <row r="14438" spans="1:3" s="7" customFormat="1" x14ac:dyDescent="0.2">
      <c r="A14438" s="6" t="str">
        <f>"BCAS4"</f>
        <v>BCAS4</v>
      </c>
      <c r="B14438" s="6">
        <v>0.67932067932067897</v>
      </c>
      <c r="C14438" s="6">
        <v>0.78586419117980499</v>
      </c>
    </row>
    <row r="14439" spans="1:3" s="7" customFormat="1" x14ac:dyDescent="0.2">
      <c r="A14439" s="6" t="str">
        <f>"PRSS21"</f>
        <v>PRSS21</v>
      </c>
      <c r="B14439" s="6">
        <v>0.67932067932067897</v>
      </c>
      <c r="C14439" s="6">
        <v>0.78586419117980499</v>
      </c>
    </row>
    <row r="14440" spans="1:3" s="7" customFormat="1" x14ac:dyDescent="0.2">
      <c r="A14440" s="6" t="str">
        <f>"LINC00562"</f>
        <v>LINC00562</v>
      </c>
      <c r="B14440" s="6">
        <v>0.67897435897435898</v>
      </c>
      <c r="C14440" s="6">
        <v>0.78586419117980499</v>
      </c>
    </row>
    <row r="14441" spans="1:3" s="7" customFormat="1" x14ac:dyDescent="0.2">
      <c r="A14441" s="6" t="str">
        <f>"ZNF16"</f>
        <v>ZNF16</v>
      </c>
      <c r="B14441" s="6">
        <v>0.67932067932067897</v>
      </c>
      <c r="C14441" s="6">
        <v>0.78586419117980499</v>
      </c>
    </row>
    <row r="14442" spans="1:3" s="7" customFormat="1" x14ac:dyDescent="0.2">
      <c r="A14442" s="6" t="str">
        <f>"AC092279.2"</f>
        <v>AC092279.2</v>
      </c>
      <c r="B14442" s="6">
        <v>0.67932067932067897</v>
      </c>
      <c r="C14442" s="6">
        <v>0.78586419117980499</v>
      </c>
    </row>
    <row r="14443" spans="1:3" s="7" customFormat="1" x14ac:dyDescent="0.2">
      <c r="A14443" s="6" t="str">
        <f>"AC139795.1"</f>
        <v>AC139795.1</v>
      </c>
      <c r="B14443" s="6">
        <v>0.67932067932067897</v>
      </c>
      <c r="C14443" s="6">
        <v>0.78586419117980499</v>
      </c>
    </row>
    <row r="14444" spans="1:3" s="7" customFormat="1" x14ac:dyDescent="0.2">
      <c r="A14444" s="6" t="str">
        <f>"AL590787.1"</f>
        <v>AL590787.1</v>
      </c>
      <c r="B14444" s="6">
        <v>0.67932067932067897</v>
      </c>
      <c r="C14444" s="6">
        <v>0.78586419117980499</v>
      </c>
    </row>
    <row r="14445" spans="1:3" s="7" customFormat="1" x14ac:dyDescent="0.2">
      <c r="A14445" s="6" t="str">
        <f>"PON3"</f>
        <v>PON3</v>
      </c>
      <c r="B14445" s="6">
        <v>0.67932067932067897</v>
      </c>
      <c r="C14445" s="6">
        <v>0.78586419117980499</v>
      </c>
    </row>
    <row r="14446" spans="1:3" s="7" customFormat="1" x14ac:dyDescent="0.2">
      <c r="A14446" s="6" t="str">
        <f>"SYT12"</f>
        <v>SYT12</v>
      </c>
      <c r="B14446" s="6">
        <v>0.67932067932067897</v>
      </c>
      <c r="C14446" s="6">
        <v>0.78586419117980499</v>
      </c>
    </row>
    <row r="14447" spans="1:3" s="7" customFormat="1" x14ac:dyDescent="0.2">
      <c r="A14447" s="6" t="str">
        <f>"TUBB7P"</f>
        <v>TUBB7P</v>
      </c>
      <c r="B14447" s="6">
        <v>0.67900000000000005</v>
      </c>
      <c r="C14447" s="6">
        <v>0.78586419117980499</v>
      </c>
    </row>
    <row r="14448" spans="1:3" s="7" customFormat="1" x14ac:dyDescent="0.2">
      <c r="A14448" s="6" t="str">
        <f>"AL355916.3"</f>
        <v>AL355916.3</v>
      </c>
      <c r="B14448" s="6">
        <v>0.67932067932067897</v>
      </c>
      <c r="C14448" s="6">
        <v>0.78586419117980499</v>
      </c>
    </row>
    <row r="14449" spans="1:3" s="7" customFormat="1" x14ac:dyDescent="0.2">
      <c r="A14449" s="6" t="str">
        <f>"AC096887.2"</f>
        <v>AC096887.2</v>
      </c>
      <c r="B14449" s="6">
        <v>0.67932067932067897</v>
      </c>
      <c r="C14449" s="6">
        <v>0.78586419117980499</v>
      </c>
    </row>
    <row r="14450" spans="1:3" s="7" customFormat="1" x14ac:dyDescent="0.2">
      <c r="A14450" s="6" t="str">
        <f>"SFXN4"</f>
        <v>SFXN4</v>
      </c>
      <c r="B14450" s="6">
        <v>0.68031968031968004</v>
      </c>
      <c r="C14450" s="6">
        <v>0.78658433431538</v>
      </c>
    </row>
    <row r="14451" spans="1:3" s="7" customFormat="1" x14ac:dyDescent="0.2">
      <c r="A14451" s="6" t="str">
        <f>"TOB1-AS1"</f>
        <v>TOB1-AS1</v>
      </c>
      <c r="B14451" s="6">
        <v>0.68031968031968004</v>
      </c>
      <c r="C14451" s="6">
        <v>0.78658433431538</v>
      </c>
    </row>
    <row r="14452" spans="1:3" s="7" customFormat="1" x14ac:dyDescent="0.2">
      <c r="A14452" s="6" t="str">
        <f>"DDX25"</f>
        <v>DDX25</v>
      </c>
      <c r="B14452" s="6">
        <v>0.68031968031968004</v>
      </c>
      <c r="C14452" s="6">
        <v>0.78658433431538</v>
      </c>
    </row>
    <row r="14453" spans="1:3" s="7" customFormat="1" x14ac:dyDescent="0.2">
      <c r="A14453" s="6" t="str">
        <f>"LINC02857"</f>
        <v>LINC02857</v>
      </c>
      <c r="B14453" s="6">
        <v>0.68</v>
      </c>
      <c r="C14453" s="6">
        <v>0.78658433431538</v>
      </c>
    </row>
    <row r="14454" spans="1:3" s="7" customFormat="1" x14ac:dyDescent="0.2">
      <c r="A14454" s="6" t="str">
        <f>"AL021155.4"</f>
        <v>AL021155.4</v>
      </c>
      <c r="B14454" s="6">
        <v>0.68031968031968004</v>
      </c>
      <c r="C14454" s="6">
        <v>0.78658433431538</v>
      </c>
    </row>
    <row r="14455" spans="1:3" s="7" customFormat="1" x14ac:dyDescent="0.2">
      <c r="A14455" s="6" t="str">
        <f>"TRMT10B"</f>
        <v>TRMT10B</v>
      </c>
      <c r="B14455" s="6">
        <v>0.68031968031968004</v>
      </c>
      <c r="C14455" s="6">
        <v>0.78658433431538</v>
      </c>
    </row>
    <row r="14456" spans="1:3" s="7" customFormat="1" x14ac:dyDescent="0.2">
      <c r="A14456" s="6" t="str">
        <f>"AC040160.2"</f>
        <v>AC040160.2</v>
      </c>
      <c r="B14456" s="6">
        <v>0.68031968031968004</v>
      </c>
      <c r="C14456" s="6">
        <v>0.78658433431538</v>
      </c>
    </row>
    <row r="14457" spans="1:3" s="7" customFormat="1" x14ac:dyDescent="0.2">
      <c r="A14457" s="6" t="str">
        <f>"ACER3"</f>
        <v>ACER3</v>
      </c>
      <c r="B14457" s="6">
        <v>0.68031968031968004</v>
      </c>
      <c r="C14457" s="6">
        <v>0.78658433431538</v>
      </c>
    </row>
    <row r="14458" spans="1:3" s="7" customFormat="1" x14ac:dyDescent="0.2">
      <c r="A14458" s="6" t="str">
        <f>"ZNF736P9Y"</f>
        <v>ZNF736P9Y</v>
      </c>
      <c r="B14458" s="6">
        <v>0.68092105263157898</v>
      </c>
      <c r="C14458" s="6">
        <v>0.78722518321119195</v>
      </c>
    </row>
    <row r="14459" spans="1:3" s="7" customFormat="1" x14ac:dyDescent="0.2">
      <c r="A14459" s="6" t="str">
        <f>"DSCC1"</f>
        <v>DSCC1</v>
      </c>
      <c r="B14459" s="6">
        <v>0.68100000000000005</v>
      </c>
      <c r="C14459" s="6">
        <v>0.78726200027666304</v>
      </c>
    </row>
    <row r="14460" spans="1:3" s="7" customFormat="1" x14ac:dyDescent="0.2">
      <c r="A14460" s="6" t="str">
        <f>"CTSL"</f>
        <v>CTSL</v>
      </c>
      <c r="B14460" s="6">
        <v>0.68131868131868101</v>
      </c>
      <c r="C14460" s="6">
        <v>0.78735457640945605</v>
      </c>
    </row>
    <row r="14461" spans="1:3" s="7" customFormat="1" x14ac:dyDescent="0.2">
      <c r="A14461" s="6" t="str">
        <f>"AC092111.2"</f>
        <v>AC092111.2</v>
      </c>
      <c r="B14461" s="6">
        <v>0.68136272545090104</v>
      </c>
      <c r="C14461" s="6">
        <v>0.78735457640945605</v>
      </c>
    </row>
    <row r="14462" spans="1:3" s="7" customFormat="1" x14ac:dyDescent="0.2">
      <c r="A14462" s="6" t="str">
        <f>"TUG1"</f>
        <v>TUG1</v>
      </c>
      <c r="B14462" s="6">
        <v>0.68131868131868101</v>
      </c>
      <c r="C14462" s="6">
        <v>0.78735457640945605</v>
      </c>
    </row>
    <row r="14463" spans="1:3" s="7" customFormat="1" x14ac:dyDescent="0.2">
      <c r="A14463" s="6" t="str">
        <f>"METTL14-DT"</f>
        <v>METTL14-DT</v>
      </c>
      <c r="B14463" s="6">
        <v>0.68131868131868101</v>
      </c>
      <c r="C14463" s="6">
        <v>0.78735457640945605</v>
      </c>
    </row>
    <row r="14464" spans="1:3" s="7" customFormat="1" x14ac:dyDescent="0.2">
      <c r="A14464" s="6" t="str">
        <f>"AC099343.3"</f>
        <v>AC099343.3</v>
      </c>
      <c r="B14464" s="6">
        <v>0.68131868131868101</v>
      </c>
      <c r="C14464" s="6">
        <v>0.78735457640945605</v>
      </c>
    </row>
    <row r="14465" spans="1:3" s="7" customFormat="1" x14ac:dyDescent="0.2">
      <c r="A14465" s="6" t="str">
        <f>"MIR155HG"</f>
        <v>MIR155HG</v>
      </c>
      <c r="B14465" s="6">
        <v>0.68131868131868101</v>
      </c>
      <c r="C14465" s="6">
        <v>0.78735457640945605</v>
      </c>
    </row>
    <row r="14466" spans="1:3" s="7" customFormat="1" x14ac:dyDescent="0.2">
      <c r="A14466" s="6" t="str">
        <f>"LIPJ"</f>
        <v>LIPJ</v>
      </c>
      <c r="B14466" s="6">
        <v>0.68231768231768197</v>
      </c>
      <c r="C14466" s="6">
        <v>0.78818562044769802</v>
      </c>
    </row>
    <row r="14467" spans="1:3" s="7" customFormat="1" x14ac:dyDescent="0.2">
      <c r="A14467" s="6" t="str">
        <f>"AP1B1"</f>
        <v>AP1B1</v>
      </c>
      <c r="B14467" s="6">
        <v>0.68231768231768197</v>
      </c>
      <c r="C14467" s="6">
        <v>0.78818562044769802</v>
      </c>
    </row>
    <row r="14468" spans="1:3" s="7" customFormat="1" x14ac:dyDescent="0.2">
      <c r="A14468" s="6" t="str">
        <f>"AC099398.1"</f>
        <v>AC099398.1</v>
      </c>
      <c r="B14468" s="6">
        <v>0.68231768231768197</v>
      </c>
      <c r="C14468" s="6">
        <v>0.78818562044769802</v>
      </c>
    </row>
    <row r="14469" spans="1:3" s="7" customFormat="1" x14ac:dyDescent="0.2">
      <c r="A14469" s="6" t="str">
        <f>"DIRAS1"</f>
        <v>DIRAS1</v>
      </c>
      <c r="B14469" s="6">
        <v>0.68231768231768197</v>
      </c>
      <c r="C14469" s="6">
        <v>0.78818562044769802</v>
      </c>
    </row>
    <row r="14470" spans="1:3" s="7" customFormat="1" x14ac:dyDescent="0.2">
      <c r="A14470" s="6" t="str">
        <f>"RAB36"</f>
        <v>RAB36</v>
      </c>
      <c r="B14470" s="6">
        <v>0.68231768231768197</v>
      </c>
      <c r="C14470" s="6">
        <v>0.78818562044769802</v>
      </c>
    </row>
    <row r="14471" spans="1:3" s="7" customFormat="1" x14ac:dyDescent="0.2">
      <c r="A14471" s="6" t="str">
        <f>"MTHFD2"</f>
        <v>MTHFD2</v>
      </c>
      <c r="B14471" s="6">
        <v>0.68331668331668305</v>
      </c>
      <c r="C14471" s="6">
        <v>0.78912147066641602</v>
      </c>
    </row>
    <row r="14472" spans="1:3" s="7" customFormat="1" x14ac:dyDescent="0.2">
      <c r="A14472" s="6" t="str">
        <f>"PLCH1"</f>
        <v>PLCH1</v>
      </c>
      <c r="B14472" s="6">
        <v>0.68331668331668305</v>
      </c>
      <c r="C14472" s="6">
        <v>0.78912147066641602</v>
      </c>
    </row>
    <row r="14473" spans="1:3" s="7" customFormat="1" x14ac:dyDescent="0.2">
      <c r="A14473" s="6" t="str">
        <f>"ACSS2"</f>
        <v>ACSS2</v>
      </c>
      <c r="B14473" s="6">
        <v>0.68331668331668305</v>
      </c>
      <c r="C14473" s="6">
        <v>0.78912147066641602</v>
      </c>
    </row>
    <row r="14474" spans="1:3" s="7" customFormat="1" x14ac:dyDescent="0.2">
      <c r="A14474" s="6" t="str">
        <f>"TIPIN"</f>
        <v>TIPIN</v>
      </c>
      <c r="B14474" s="6">
        <v>0.68331668331668305</v>
      </c>
      <c r="C14474" s="6">
        <v>0.78912147066641602</v>
      </c>
    </row>
    <row r="14475" spans="1:3" s="7" customFormat="1" x14ac:dyDescent="0.2">
      <c r="A14475" s="6" t="str">
        <f>"RNU6-5P"</f>
        <v>RNU6-5P</v>
      </c>
      <c r="B14475" s="6">
        <v>0.68431568431568401</v>
      </c>
      <c r="C14475" s="6">
        <v>0.78983857106914901</v>
      </c>
    </row>
    <row r="14476" spans="1:3" s="7" customFormat="1" x14ac:dyDescent="0.2">
      <c r="A14476" s="6" t="str">
        <f>"AC091564.7"</f>
        <v>AC091564.7</v>
      </c>
      <c r="B14476" s="6">
        <v>0.68431568431568401</v>
      </c>
      <c r="C14476" s="6">
        <v>0.78983857106914901</v>
      </c>
    </row>
    <row r="14477" spans="1:3" s="7" customFormat="1" x14ac:dyDescent="0.2">
      <c r="A14477" s="6" t="str">
        <f>"AC091053.1"</f>
        <v>AC091053.1</v>
      </c>
      <c r="B14477" s="6">
        <v>0.68410256410256398</v>
      </c>
      <c r="C14477" s="6">
        <v>0.78983857106914901</v>
      </c>
    </row>
    <row r="14478" spans="1:3" s="7" customFormat="1" x14ac:dyDescent="0.2">
      <c r="A14478" s="6" t="str">
        <f>"PRRT3-AS1"</f>
        <v>PRRT3-AS1</v>
      </c>
      <c r="B14478" s="6">
        <v>0.68431568431568401</v>
      </c>
      <c r="C14478" s="6">
        <v>0.78983857106914901</v>
      </c>
    </row>
    <row r="14479" spans="1:3" s="7" customFormat="1" x14ac:dyDescent="0.2">
      <c r="A14479" s="6" t="str">
        <f>"TMED5"</f>
        <v>TMED5</v>
      </c>
      <c r="B14479" s="6">
        <v>0.68431568431568401</v>
      </c>
      <c r="C14479" s="6">
        <v>0.78983857106914901</v>
      </c>
    </row>
    <row r="14480" spans="1:3" s="7" customFormat="1" x14ac:dyDescent="0.2">
      <c r="A14480" s="6" t="str">
        <f>"WDR92"</f>
        <v>WDR92</v>
      </c>
      <c r="B14480" s="6">
        <v>0.68431568431568401</v>
      </c>
      <c r="C14480" s="6">
        <v>0.78983857106914901</v>
      </c>
    </row>
    <row r="14481" spans="1:3" s="7" customFormat="1" x14ac:dyDescent="0.2">
      <c r="A14481" s="6" t="str">
        <f>"TRIM69"</f>
        <v>TRIM69</v>
      </c>
      <c r="B14481" s="6">
        <v>0.68431568431568401</v>
      </c>
      <c r="C14481" s="6">
        <v>0.78983857106914901</v>
      </c>
    </row>
    <row r="14482" spans="1:3" s="7" customFormat="1" x14ac:dyDescent="0.2">
      <c r="A14482" s="6" t="str">
        <f>"CUZD1"</f>
        <v>CUZD1</v>
      </c>
      <c r="B14482" s="6">
        <v>0.68431568431568401</v>
      </c>
      <c r="C14482" s="6">
        <v>0.78983857106914901</v>
      </c>
    </row>
    <row r="14483" spans="1:3" s="7" customFormat="1" x14ac:dyDescent="0.2">
      <c r="A14483" s="6" t="str">
        <f>"FTH1P7"</f>
        <v>FTH1P7</v>
      </c>
      <c r="B14483" s="6">
        <v>0.68462401795735095</v>
      </c>
      <c r="C14483" s="6">
        <v>0.79013988648937705</v>
      </c>
    </row>
    <row r="14484" spans="1:3" s="7" customFormat="1" x14ac:dyDescent="0.2">
      <c r="A14484" s="6" t="str">
        <f>"LINC02315"</f>
        <v>LINC02315</v>
      </c>
      <c r="B14484" s="6">
        <v>0.68500000000000005</v>
      </c>
      <c r="C14484" s="6">
        <v>0.79051922944141395</v>
      </c>
    </row>
    <row r="14485" spans="1:3" s="7" customFormat="1" x14ac:dyDescent="0.2">
      <c r="A14485" s="6" t="str">
        <f>"RECK"</f>
        <v>RECK</v>
      </c>
      <c r="B14485" s="6">
        <v>0.68531468531468498</v>
      </c>
      <c r="C14485" s="6">
        <v>0.79060944577233905</v>
      </c>
    </row>
    <row r="14486" spans="1:3" s="7" customFormat="1" x14ac:dyDescent="0.2">
      <c r="A14486" s="6" t="str">
        <f>"FP236383.3"</f>
        <v>FP236383.3</v>
      </c>
      <c r="B14486" s="6">
        <v>0.68531468531468498</v>
      </c>
      <c r="C14486" s="6">
        <v>0.79060944577233905</v>
      </c>
    </row>
    <row r="14487" spans="1:3" s="7" customFormat="1" x14ac:dyDescent="0.2">
      <c r="A14487" s="6" t="str">
        <f>"AC020604.1"</f>
        <v>AC020604.1</v>
      </c>
      <c r="B14487" s="6">
        <v>0.68531468531468498</v>
      </c>
      <c r="C14487" s="6">
        <v>0.79060944577233905</v>
      </c>
    </row>
    <row r="14488" spans="1:3" s="7" customFormat="1" x14ac:dyDescent="0.2">
      <c r="A14488" s="6" t="str">
        <f>"PDK3"</f>
        <v>PDK3</v>
      </c>
      <c r="B14488" s="6">
        <v>0.68531468531468498</v>
      </c>
      <c r="C14488" s="6">
        <v>0.79060944577233905</v>
      </c>
    </row>
    <row r="14489" spans="1:3" s="7" customFormat="1" x14ac:dyDescent="0.2">
      <c r="A14489" s="6" t="str">
        <f>"GTF3C4"</f>
        <v>GTF3C4</v>
      </c>
      <c r="B14489" s="6">
        <v>0.68531468531468498</v>
      </c>
      <c r="C14489" s="6">
        <v>0.79060944577233905</v>
      </c>
    </row>
    <row r="14490" spans="1:3" s="7" customFormat="1" x14ac:dyDescent="0.2">
      <c r="A14490" s="6" t="str">
        <f>"ZNNT1"</f>
        <v>ZNNT1</v>
      </c>
      <c r="B14490" s="6">
        <v>0.685685685685685</v>
      </c>
      <c r="C14490" s="6">
        <v>0.79098285254679701</v>
      </c>
    </row>
    <row r="14491" spans="1:3" s="7" customFormat="1" x14ac:dyDescent="0.2">
      <c r="A14491" s="6" t="str">
        <f>"STOML2"</f>
        <v>STOML2</v>
      </c>
      <c r="B14491" s="6">
        <v>0.68631368631368606</v>
      </c>
      <c r="C14491" s="6">
        <v>0.79132498296405496</v>
      </c>
    </row>
    <row r="14492" spans="1:3" s="7" customFormat="1" x14ac:dyDescent="0.2">
      <c r="A14492" s="6" t="str">
        <f>"TONSL-AS1"</f>
        <v>TONSL-AS1</v>
      </c>
      <c r="B14492" s="6">
        <v>0.68631368631368606</v>
      </c>
      <c r="C14492" s="6">
        <v>0.79132498296405496</v>
      </c>
    </row>
    <row r="14493" spans="1:3" s="7" customFormat="1" x14ac:dyDescent="0.2">
      <c r="A14493" s="6" t="str">
        <f>"AC078795.2"</f>
        <v>AC078795.2</v>
      </c>
      <c r="B14493" s="6">
        <v>0.68605817452356999</v>
      </c>
      <c r="C14493" s="6">
        <v>0.79132498296405496</v>
      </c>
    </row>
    <row r="14494" spans="1:3" s="7" customFormat="1" x14ac:dyDescent="0.2">
      <c r="A14494" s="6" t="str">
        <f>"AMIGO3"</f>
        <v>AMIGO3</v>
      </c>
      <c r="B14494" s="6">
        <v>0.68631368631368606</v>
      </c>
      <c r="C14494" s="6">
        <v>0.79132498296405496</v>
      </c>
    </row>
    <row r="14495" spans="1:3" s="7" customFormat="1" x14ac:dyDescent="0.2">
      <c r="A14495" s="6" t="str">
        <f>"UPF1"</f>
        <v>UPF1</v>
      </c>
      <c r="B14495" s="6">
        <v>0.68631368631368606</v>
      </c>
      <c r="C14495" s="6">
        <v>0.79132498296405496</v>
      </c>
    </row>
    <row r="14496" spans="1:3" s="7" customFormat="1" x14ac:dyDescent="0.2">
      <c r="A14496" s="6" t="str">
        <f>"SLC9C1"</f>
        <v>SLC9C1</v>
      </c>
      <c r="B14496" s="6">
        <v>0.68631368631368606</v>
      </c>
      <c r="C14496" s="6">
        <v>0.79132498296405496</v>
      </c>
    </row>
    <row r="14497" spans="1:3" s="7" customFormat="1" x14ac:dyDescent="0.2">
      <c r="A14497" s="6" t="str">
        <f>"BCKDHA"</f>
        <v>BCKDHA</v>
      </c>
      <c r="B14497" s="6">
        <v>0.68631368631368606</v>
      </c>
      <c r="C14497" s="6">
        <v>0.79132498296405496</v>
      </c>
    </row>
    <row r="14498" spans="1:3" s="7" customFormat="1" x14ac:dyDescent="0.2">
      <c r="A14498" s="6" t="str">
        <f>"LINC01356"</f>
        <v>LINC01356</v>
      </c>
      <c r="B14498" s="6">
        <v>0.68668668668668598</v>
      </c>
      <c r="C14498" s="6">
        <v>0.79170044017943497</v>
      </c>
    </row>
    <row r="14499" spans="1:3" s="7" customFormat="1" x14ac:dyDescent="0.2">
      <c r="A14499" s="6" t="str">
        <f>"PCDHA9"</f>
        <v>PCDHA9</v>
      </c>
      <c r="B14499" s="6">
        <v>0.686746987951807</v>
      </c>
      <c r="C14499" s="6">
        <v>0.79171535085022104</v>
      </c>
    </row>
    <row r="14500" spans="1:3" s="7" customFormat="1" x14ac:dyDescent="0.2">
      <c r="A14500" s="6" t="str">
        <f>"RO60"</f>
        <v>RO60</v>
      </c>
      <c r="B14500" s="6">
        <v>0.68731268731268702</v>
      </c>
      <c r="C14500" s="6">
        <v>0.79187593959772895</v>
      </c>
    </row>
    <row r="14501" spans="1:3" s="7" customFormat="1" x14ac:dyDescent="0.2">
      <c r="A14501" s="6" t="str">
        <f>"MICA"</f>
        <v>MICA</v>
      </c>
      <c r="B14501" s="6">
        <v>0.68731268731268702</v>
      </c>
      <c r="C14501" s="6">
        <v>0.79187593959772895</v>
      </c>
    </row>
    <row r="14502" spans="1:3" s="7" customFormat="1" x14ac:dyDescent="0.2">
      <c r="A14502" s="6" t="str">
        <f>"UBE2D3-AS1"</f>
        <v>UBE2D3-AS1</v>
      </c>
      <c r="B14502" s="6">
        <v>0.68715083798882604</v>
      </c>
      <c r="C14502" s="6">
        <v>0.79187593959772895</v>
      </c>
    </row>
    <row r="14503" spans="1:3" s="7" customFormat="1" x14ac:dyDescent="0.2">
      <c r="A14503" s="6" t="str">
        <f>"AC122694.1"</f>
        <v>AC122694.1</v>
      </c>
      <c r="B14503" s="6">
        <v>0.68730964467004996</v>
      </c>
      <c r="C14503" s="6">
        <v>0.79187593959772895</v>
      </c>
    </row>
    <row r="14504" spans="1:3" s="7" customFormat="1" x14ac:dyDescent="0.2">
      <c r="A14504" s="6" t="str">
        <f>"AC007638.2"</f>
        <v>AC007638.2</v>
      </c>
      <c r="B14504" s="6">
        <v>0.68700000000000006</v>
      </c>
      <c r="C14504" s="6">
        <v>0.79187593959772895</v>
      </c>
    </row>
    <row r="14505" spans="1:3" s="7" customFormat="1" x14ac:dyDescent="0.2">
      <c r="A14505" s="6" t="str">
        <f>"FGF20"</f>
        <v>FGF20</v>
      </c>
      <c r="B14505" s="6">
        <v>0.68731268731268702</v>
      </c>
      <c r="C14505" s="6">
        <v>0.79187593959772895</v>
      </c>
    </row>
    <row r="14506" spans="1:3" s="7" customFormat="1" x14ac:dyDescent="0.2">
      <c r="A14506" s="6" t="str">
        <f>"AC009041.1"</f>
        <v>AC009041.1</v>
      </c>
      <c r="B14506" s="6">
        <v>0.68731268731268702</v>
      </c>
      <c r="C14506" s="6">
        <v>0.79187593959772895</v>
      </c>
    </row>
    <row r="14507" spans="1:3" s="7" customFormat="1" x14ac:dyDescent="0.2">
      <c r="A14507" s="6" t="str">
        <f>"AC139887.5"</f>
        <v>AC139887.5</v>
      </c>
      <c r="B14507" s="6">
        <v>0.68731268731268702</v>
      </c>
      <c r="C14507" s="6">
        <v>0.79187593959772895</v>
      </c>
    </row>
    <row r="14508" spans="1:3" s="7" customFormat="1" x14ac:dyDescent="0.2">
      <c r="A14508" s="6" t="str">
        <f>"KCNQ4"</f>
        <v>KCNQ4</v>
      </c>
      <c r="B14508" s="6">
        <v>0.68731268731268702</v>
      </c>
      <c r="C14508" s="6">
        <v>0.79187593959772895</v>
      </c>
    </row>
    <row r="14509" spans="1:3" s="7" customFormat="1" x14ac:dyDescent="0.2">
      <c r="A14509" s="6" t="str">
        <f>"USP9Y"</f>
        <v>USP9Y</v>
      </c>
      <c r="B14509" s="6">
        <v>0.68737060041407805</v>
      </c>
      <c r="C14509" s="6">
        <v>0.79188807660055904</v>
      </c>
    </row>
    <row r="14510" spans="1:3" s="7" customFormat="1" x14ac:dyDescent="0.2">
      <c r="A14510" s="6" t="str">
        <f>"AC005962.1"</f>
        <v>AC005962.1</v>
      </c>
      <c r="B14510" s="6">
        <v>0.68775100401606404</v>
      </c>
      <c r="C14510" s="6">
        <v>0.79227171280753295</v>
      </c>
    </row>
    <row r="14511" spans="1:3" s="7" customFormat="1" x14ac:dyDescent="0.2">
      <c r="A14511" s="6" t="str">
        <f>"POLB"</f>
        <v>POLB</v>
      </c>
      <c r="B14511" s="6">
        <v>0.68831168831168799</v>
      </c>
      <c r="C14511" s="6">
        <v>0.79242606133362403</v>
      </c>
    </row>
    <row r="14512" spans="1:3" s="7" customFormat="1" x14ac:dyDescent="0.2">
      <c r="A14512" s="6" t="str">
        <f>"SLC2A9-AS1"</f>
        <v>SLC2A9-AS1</v>
      </c>
      <c r="B14512" s="6">
        <v>0.68831168831168799</v>
      </c>
      <c r="C14512" s="6">
        <v>0.79242606133362403</v>
      </c>
    </row>
    <row r="14513" spans="1:3" s="7" customFormat="1" x14ac:dyDescent="0.2">
      <c r="A14513" s="6" t="str">
        <f>"NFKBIL1"</f>
        <v>NFKBIL1</v>
      </c>
      <c r="B14513" s="6">
        <v>0.68831168831168799</v>
      </c>
      <c r="C14513" s="6">
        <v>0.79242606133362403</v>
      </c>
    </row>
    <row r="14514" spans="1:3" s="7" customFormat="1" x14ac:dyDescent="0.2">
      <c r="A14514" s="6" t="str">
        <f>"IGLV3-10"</f>
        <v>IGLV3-10</v>
      </c>
      <c r="B14514" s="6">
        <v>0.68831168831168799</v>
      </c>
      <c r="C14514" s="6">
        <v>0.79242606133362403</v>
      </c>
    </row>
    <row r="14515" spans="1:3" s="7" customFormat="1" x14ac:dyDescent="0.2">
      <c r="A14515" s="6" t="str">
        <f>"ARNT2"</f>
        <v>ARNT2</v>
      </c>
      <c r="B14515" s="6">
        <v>0.68831168831168799</v>
      </c>
      <c r="C14515" s="6">
        <v>0.79242606133362403</v>
      </c>
    </row>
    <row r="14516" spans="1:3" s="7" customFormat="1" x14ac:dyDescent="0.2">
      <c r="A14516" s="6" t="str">
        <f>"SRSF12"</f>
        <v>SRSF12</v>
      </c>
      <c r="B14516" s="6">
        <v>0.68831168831168799</v>
      </c>
      <c r="C14516" s="6">
        <v>0.79242606133362403</v>
      </c>
    </row>
    <row r="14517" spans="1:3" s="7" customFormat="1" x14ac:dyDescent="0.2">
      <c r="A14517" s="6" t="str">
        <f>"ZNF428"</f>
        <v>ZNF428</v>
      </c>
      <c r="B14517" s="6">
        <v>0.68831168831168799</v>
      </c>
      <c r="C14517" s="6">
        <v>0.79242606133362403</v>
      </c>
    </row>
    <row r="14518" spans="1:3" s="7" customFormat="1" x14ac:dyDescent="0.2">
      <c r="A14518" s="6" t="str">
        <f>"GVQW3"</f>
        <v>GVQW3</v>
      </c>
      <c r="B14518" s="6">
        <v>0.68831168831168799</v>
      </c>
      <c r="C14518" s="6">
        <v>0.79242606133362403</v>
      </c>
    </row>
    <row r="14519" spans="1:3" s="7" customFormat="1" x14ac:dyDescent="0.2">
      <c r="A14519" s="6" t="str">
        <f>"GJA1"</f>
        <v>GJA1</v>
      </c>
      <c r="B14519" s="6">
        <v>0.68831168831168799</v>
      </c>
      <c r="C14519" s="6">
        <v>0.79242606133362403</v>
      </c>
    </row>
    <row r="14520" spans="1:3" s="7" customFormat="1" x14ac:dyDescent="0.2">
      <c r="A14520" s="6" t="str">
        <f>"AC008074.2"</f>
        <v>AC008074.2</v>
      </c>
      <c r="B14520" s="6">
        <v>0.68893528183716002</v>
      </c>
      <c r="C14520" s="6">
        <v>0.79308935192687502</v>
      </c>
    </row>
    <row r="14521" spans="1:3" s="7" customFormat="1" x14ac:dyDescent="0.2">
      <c r="A14521" s="6" t="str">
        <f>"AL117348.2"</f>
        <v>AL117348.2</v>
      </c>
      <c r="B14521" s="6">
        <v>0.68899999999999995</v>
      </c>
      <c r="C14521" s="6">
        <v>0.793109228650137</v>
      </c>
    </row>
    <row r="14522" spans="1:3" s="7" customFormat="1" x14ac:dyDescent="0.2">
      <c r="A14522" s="6" t="str">
        <f>"ADAMTS19"</f>
        <v>ADAMTS19</v>
      </c>
      <c r="B14522" s="6">
        <v>0.68931068931068895</v>
      </c>
      <c r="C14522" s="6">
        <v>0.79324833800184902</v>
      </c>
    </row>
    <row r="14523" spans="1:3" s="7" customFormat="1" x14ac:dyDescent="0.2">
      <c r="A14523" s="6" t="str">
        <f>"KNSTRN"</f>
        <v>KNSTRN</v>
      </c>
      <c r="B14523" s="6">
        <v>0.68931068931068895</v>
      </c>
      <c r="C14523" s="6">
        <v>0.79324833800184902</v>
      </c>
    </row>
    <row r="14524" spans="1:3" s="7" customFormat="1" x14ac:dyDescent="0.2">
      <c r="A14524" s="6" t="str">
        <f>"LINC01887"</f>
        <v>LINC01887</v>
      </c>
      <c r="B14524" s="6">
        <v>0.68931068931068895</v>
      </c>
      <c r="C14524" s="6">
        <v>0.79324833800184902</v>
      </c>
    </row>
    <row r="14525" spans="1:3" s="7" customFormat="1" x14ac:dyDescent="0.2">
      <c r="A14525" s="6" t="str">
        <f>"VXN"</f>
        <v>VXN</v>
      </c>
      <c r="B14525" s="6">
        <v>0.68931068931068895</v>
      </c>
      <c r="C14525" s="6">
        <v>0.79324833800184902</v>
      </c>
    </row>
    <row r="14526" spans="1:3" s="7" customFormat="1" x14ac:dyDescent="0.2">
      <c r="A14526" s="6" t="str">
        <f>"TMEM191C"</f>
        <v>TMEM191C</v>
      </c>
      <c r="B14526" s="6">
        <v>0.69</v>
      </c>
      <c r="C14526" s="6">
        <v>0.793906018291898</v>
      </c>
    </row>
    <row r="14527" spans="1:3" s="7" customFormat="1" x14ac:dyDescent="0.2">
      <c r="A14527" s="6" t="str">
        <f>"BX470111.1"</f>
        <v>BX470111.1</v>
      </c>
      <c r="B14527" s="6">
        <v>0.69030969030969003</v>
      </c>
      <c r="C14527" s="6">
        <v>0.793906018291898</v>
      </c>
    </row>
    <row r="14528" spans="1:3" s="7" customFormat="1" x14ac:dyDescent="0.2">
      <c r="A14528" s="6" t="str">
        <f>"KISS1"</f>
        <v>KISS1</v>
      </c>
      <c r="B14528" s="6">
        <v>0.69030969030969003</v>
      </c>
      <c r="C14528" s="6">
        <v>0.793906018291898</v>
      </c>
    </row>
    <row r="14529" spans="1:3" s="7" customFormat="1" x14ac:dyDescent="0.2">
      <c r="A14529" s="6" t="str">
        <f>"AC135782.3"</f>
        <v>AC135782.3</v>
      </c>
      <c r="B14529" s="6">
        <v>0.69030969030969003</v>
      </c>
      <c r="C14529" s="6">
        <v>0.793906018291898</v>
      </c>
    </row>
    <row r="14530" spans="1:3" s="7" customFormat="1" x14ac:dyDescent="0.2">
      <c r="A14530" s="6" t="str">
        <f>"SH2D2A"</f>
        <v>SH2D2A</v>
      </c>
      <c r="B14530" s="6">
        <v>0.69030969030969003</v>
      </c>
      <c r="C14530" s="6">
        <v>0.793906018291898</v>
      </c>
    </row>
    <row r="14531" spans="1:3" s="7" customFormat="1" x14ac:dyDescent="0.2">
      <c r="A14531" s="6" t="str">
        <f>"GDAP1"</f>
        <v>GDAP1</v>
      </c>
      <c r="B14531" s="6">
        <v>0.69030969030969003</v>
      </c>
      <c r="C14531" s="6">
        <v>0.793906018291898</v>
      </c>
    </row>
    <row r="14532" spans="1:3" s="7" customFormat="1" x14ac:dyDescent="0.2">
      <c r="A14532" s="6" t="str">
        <f>"MFSD4B"</f>
        <v>MFSD4B</v>
      </c>
      <c r="B14532" s="6">
        <v>0.69030969030969003</v>
      </c>
      <c r="C14532" s="6">
        <v>0.793906018291898</v>
      </c>
    </row>
    <row r="14533" spans="1:3" s="7" customFormat="1" x14ac:dyDescent="0.2">
      <c r="A14533" s="6" t="str">
        <f>"AC018630.4"</f>
        <v>AC018630.4</v>
      </c>
      <c r="B14533" s="6">
        <v>0.69030969030969003</v>
      </c>
      <c r="C14533" s="6">
        <v>0.793906018291898</v>
      </c>
    </row>
    <row r="14534" spans="1:3" s="7" customFormat="1" x14ac:dyDescent="0.2">
      <c r="A14534" s="6" t="str">
        <f>"MYH7B"</f>
        <v>MYH7B</v>
      </c>
      <c r="B14534" s="6">
        <v>0.69</v>
      </c>
      <c r="C14534" s="6">
        <v>0.793906018291898</v>
      </c>
    </row>
    <row r="14535" spans="1:3" s="7" customFormat="1" x14ac:dyDescent="0.2">
      <c r="A14535" s="6" t="str">
        <f>"AC010336.4"</f>
        <v>AC010336.4</v>
      </c>
      <c r="B14535" s="6">
        <v>0.69038076152304595</v>
      </c>
      <c r="C14535" s="6">
        <v>0.79393312564305696</v>
      </c>
    </row>
    <row r="14536" spans="1:3" s="7" customFormat="1" x14ac:dyDescent="0.2">
      <c r="A14536" s="6" t="str">
        <f>"AL355597.1"</f>
        <v>AL355597.1</v>
      </c>
      <c r="B14536" s="6">
        <v>0.69099999999999995</v>
      </c>
      <c r="C14536" s="6">
        <v>0.79459057447540404</v>
      </c>
    </row>
    <row r="14537" spans="1:3" s="7" customFormat="1" x14ac:dyDescent="0.2">
      <c r="A14537" s="6" t="str">
        <f>"WDR6"</f>
        <v>WDR6</v>
      </c>
      <c r="B14537" s="6">
        <v>0.69130869130869099</v>
      </c>
      <c r="C14537" s="6">
        <v>0.79472683585758697</v>
      </c>
    </row>
    <row r="14538" spans="1:3" s="7" customFormat="1" x14ac:dyDescent="0.2">
      <c r="A14538" s="6" t="str">
        <f>"TICAM2"</f>
        <v>TICAM2</v>
      </c>
      <c r="B14538" s="6">
        <v>0.69130869130869099</v>
      </c>
      <c r="C14538" s="6">
        <v>0.79472683585758697</v>
      </c>
    </row>
    <row r="14539" spans="1:3" s="7" customFormat="1" x14ac:dyDescent="0.2">
      <c r="A14539" s="6" t="str">
        <f>"ZNF682"</f>
        <v>ZNF682</v>
      </c>
      <c r="B14539" s="6">
        <v>0.69130869130869099</v>
      </c>
      <c r="C14539" s="6">
        <v>0.79472683585758697</v>
      </c>
    </row>
    <row r="14540" spans="1:3" s="7" customFormat="1" x14ac:dyDescent="0.2">
      <c r="A14540" s="6" t="str">
        <f>"AC036214.1"</f>
        <v>AC036214.1</v>
      </c>
      <c r="B14540" s="6">
        <v>0.69130869130869099</v>
      </c>
      <c r="C14540" s="6">
        <v>0.79472683585758697</v>
      </c>
    </row>
    <row r="14541" spans="1:3" s="7" customFormat="1" x14ac:dyDescent="0.2">
      <c r="A14541" s="6" t="str">
        <f>"BCL2L12"</f>
        <v>BCL2L12</v>
      </c>
      <c r="B14541" s="6">
        <v>0.69230769230769196</v>
      </c>
      <c r="C14541" s="6">
        <v>0.79532825412267305</v>
      </c>
    </row>
    <row r="14542" spans="1:3" s="7" customFormat="1" x14ac:dyDescent="0.2">
      <c r="A14542" s="6" t="str">
        <f>"AC005725.1"</f>
        <v>AC005725.1</v>
      </c>
      <c r="B14542" s="6">
        <v>0.69230769230769196</v>
      </c>
      <c r="C14542" s="6">
        <v>0.79532825412267305</v>
      </c>
    </row>
    <row r="14543" spans="1:3" s="7" customFormat="1" x14ac:dyDescent="0.2">
      <c r="A14543" s="6" t="str">
        <f>"FAM114A2"</f>
        <v>FAM114A2</v>
      </c>
      <c r="B14543" s="6">
        <v>0.69230769230769196</v>
      </c>
      <c r="C14543" s="6">
        <v>0.79532825412267305</v>
      </c>
    </row>
    <row r="14544" spans="1:3" s="7" customFormat="1" x14ac:dyDescent="0.2">
      <c r="A14544" s="6" t="str">
        <f>"LINC02601"</f>
        <v>LINC02601</v>
      </c>
      <c r="B14544" s="6">
        <v>0.69199999999999995</v>
      </c>
      <c r="C14544" s="6">
        <v>0.79532825412267305</v>
      </c>
    </row>
    <row r="14545" spans="1:3" s="7" customFormat="1" x14ac:dyDescent="0.2">
      <c r="A14545" s="6" t="str">
        <f>"ZNF826P"</f>
        <v>ZNF826P</v>
      </c>
      <c r="B14545" s="6">
        <v>0.69230769230769196</v>
      </c>
      <c r="C14545" s="6">
        <v>0.79532825412267305</v>
      </c>
    </row>
    <row r="14546" spans="1:3" s="7" customFormat="1" x14ac:dyDescent="0.2">
      <c r="A14546" s="6" t="str">
        <f>"LINC02328"</f>
        <v>LINC02328</v>
      </c>
      <c r="B14546" s="6">
        <v>0.69230769230769196</v>
      </c>
      <c r="C14546" s="6">
        <v>0.79532825412267305</v>
      </c>
    </row>
    <row r="14547" spans="1:3" s="7" customFormat="1" x14ac:dyDescent="0.2">
      <c r="A14547" s="6" t="str">
        <f>"ZNF789"</f>
        <v>ZNF789</v>
      </c>
      <c r="B14547" s="6">
        <v>0.69230769230769196</v>
      </c>
      <c r="C14547" s="6">
        <v>0.79532825412267305</v>
      </c>
    </row>
    <row r="14548" spans="1:3" s="7" customFormat="1" x14ac:dyDescent="0.2">
      <c r="A14548" s="6" t="str">
        <f>"SDC3"</f>
        <v>SDC3</v>
      </c>
      <c r="B14548" s="6">
        <v>0.69230769230769196</v>
      </c>
      <c r="C14548" s="6">
        <v>0.79532825412267305</v>
      </c>
    </row>
    <row r="14549" spans="1:3" s="7" customFormat="1" x14ac:dyDescent="0.2">
      <c r="A14549" s="6" t="str">
        <f>"DIRAS2"</f>
        <v>DIRAS2</v>
      </c>
      <c r="B14549" s="6">
        <v>0.69230769230769196</v>
      </c>
      <c r="C14549" s="6">
        <v>0.79532825412267305</v>
      </c>
    </row>
    <row r="14550" spans="1:3" s="7" customFormat="1" x14ac:dyDescent="0.2">
      <c r="A14550" s="6" t="str">
        <f>"CXADR"</f>
        <v>CXADR</v>
      </c>
      <c r="B14550" s="6">
        <v>0.69230769230769196</v>
      </c>
      <c r="C14550" s="6">
        <v>0.79532825412267305</v>
      </c>
    </row>
    <row r="14551" spans="1:3" s="7" customFormat="1" x14ac:dyDescent="0.2">
      <c r="A14551" s="6" t="str">
        <f>"TEAD2"</f>
        <v>TEAD2</v>
      </c>
      <c r="B14551" s="6">
        <v>0.69330669330669303</v>
      </c>
      <c r="C14551" s="6">
        <v>0.79620228610196997</v>
      </c>
    </row>
    <row r="14552" spans="1:3" s="7" customFormat="1" x14ac:dyDescent="0.2">
      <c r="A14552" s="6" t="str">
        <f>"TPST2"</f>
        <v>TPST2</v>
      </c>
      <c r="B14552" s="6">
        <v>0.69330669330669303</v>
      </c>
      <c r="C14552" s="6">
        <v>0.79620228610196997</v>
      </c>
    </row>
    <row r="14553" spans="1:3" s="7" customFormat="1" x14ac:dyDescent="0.2">
      <c r="A14553" s="6" t="str">
        <f>"EPB41L4A-DT"</f>
        <v>EPB41L4A-DT</v>
      </c>
      <c r="B14553" s="6">
        <v>0.69330669330669303</v>
      </c>
      <c r="C14553" s="6">
        <v>0.79620228610196997</v>
      </c>
    </row>
    <row r="14554" spans="1:3" s="7" customFormat="1" x14ac:dyDescent="0.2">
      <c r="A14554" s="6" t="str">
        <f>"AL359732.1"</f>
        <v>AL359732.1</v>
      </c>
      <c r="B14554" s="6">
        <v>0.69330669330669303</v>
      </c>
      <c r="C14554" s="6">
        <v>0.79620228610196997</v>
      </c>
    </row>
    <row r="14555" spans="1:3" s="7" customFormat="1" x14ac:dyDescent="0.2">
      <c r="A14555" s="6" t="str">
        <f>"PSMG4"</f>
        <v>PSMG4</v>
      </c>
      <c r="B14555" s="6">
        <v>0.69330669330669303</v>
      </c>
      <c r="C14555" s="6">
        <v>0.79620228610196997</v>
      </c>
    </row>
    <row r="14556" spans="1:3" s="7" customFormat="1" x14ac:dyDescent="0.2">
      <c r="A14556" s="6" t="str">
        <f>"TACO1"</f>
        <v>TACO1</v>
      </c>
      <c r="B14556" s="6">
        <v>0.694305694305694</v>
      </c>
      <c r="C14556" s="6">
        <v>0.79680207186386798</v>
      </c>
    </row>
    <row r="14557" spans="1:3" s="7" customFormat="1" x14ac:dyDescent="0.2">
      <c r="A14557" s="6" t="str">
        <f>"MSTO1"</f>
        <v>MSTO1</v>
      </c>
      <c r="B14557" s="6">
        <v>0.694305694305694</v>
      </c>
      <c r="C14557" s="6">
        <v>0.79680207186386798</v>
      </c>
    </row>
    <row r="14558" spans="1:3" s="7" customFormat="1" x14ac:dyDescent="0.2">
      <c r="A14558" s="6" t="str">
        <f>"AGPAT3"</f>
        <v>AGPAT3</v>
      </c>
      <c r="B14558" s="6">
        <v>0.694305694305694</v>
      </c>
      <c r="C14558" s="6">
        <v>0.79680207186386798</v>
      </c>
    </row>
    <row r="14559" spans="1:3" s="7" customFormat="1" x14ac:dyDescent="0.2">
      <c r="A14559" s="6" t="str">
        <f>"RIMBP3B"</f>
        <v>RIMBP3B</v>
      </c>
      <c r="B14559" s="6">
        <v>0.694305694305694</v>
      </c>
      <c r="C14559" s="6">
        <v>0.79680207186386798</v>
      </c>
    </row>
    <row r="14560" spans="1:3" s="7" customFormat="1" x14ac:dyDescent="0.2">
      <c r="A14560" s="6" t="str">
        <f>"AL662844.4"</f>
        <v>AL662844.4</v>
      </c>
      <c r="B14560" s="6">
        <v>0.694305694305694</v>
      </c>
      <c r="C14560" s="6">
        <v>0.79680207186386798</v>
      </c>
    </row>
    <row r="14561" spans="1:3" s="7" customFormat="1" x14ac:dyDescent="0.2">
      <c r="A14561" s="6" t="str">
        <f>"SAP30L-AS1"</f>
        <v>SAP30L-AS1</v>
      </c>
      <c r="B14561" s="6">
        <v>0.694305694305694</v>
      </c>
      <c r="C14561" s="6">
        <v>0.79680207186386798</v>
      </c>
    </row>
    <row r="14562" spans="1:3" s="7" customFormat="1" x14ac:dyDescent="0.2">
      <c r="A14562" s="6" t="str">
        <f>"ZFP2"</f>
        <v>ZFP2</v>
      </c>
      <c r="B14562" s="6">
        <v>0.694305694305694</v>
      </c>
      <c r="C14562" s="6">
        <v>0.79680207186386798</v>
      </c>
    </row>
    <row r="14563" spans="1:3" s="7" customFormat="1" x14ac:dyDescent="0.2">
      <c r="A14563" s="6" t="str">
        <f>"TAL1"</f>
        <v>TAL1</v>
      </c>
      <c r="B14563" s="6">
        <v>0.694305694305694</v>
      </c>
      <c r="C14563" s="6">
        <v>0.79680207186386798</v>
      </c>
    </row>
    <row r="14564" spans="1:3" s="7" customFormat="1" x14ac:dyDescent="0.2">
      <c r="A14564" s="6" t="str">
        <f>"ARMC9"</f>
        <v>ARMC9</v>
      </c>
      <c r="B14564" s="6">
        <v>0.694305694305694</v>
      </c>
      <c r="C14564" s="6">
        <v>0.79680207186386798</v>
      </c>
    </row>
    <row r="14565" spans="1:3" s="7" customFormat="1" x14ac:dyDescent="0.2">
      <c r="A14565" s="6" t="str">
        <f>"OR2A7"</f>
        <v>OR2A7</v>
      </c>
      <c r="B14565" s="6">
        <v>0.694305694305694</v>
      </c>
      <c r="C14565" s="6">
        <v>0.79680207186386798</v>
      </c>
    </row>
    <row r="14566" spans="1:3" s="7" customFormat="1" x14ac:dyDescent="0.2">
      <c r="A14566" s="6" t="str">
        <f>"NRIP1"</f>
        <v>NRIP1</v>
      </c>
      <c r="B14566" s="6">
        <v>0.69530469530469496</v>
      </c>
      <c r="C14566" s="6">
        <v>0.79734632434460895</v>
      </c>
    </row>
    <row r="14567" spans="1:3" s="7" customFormat="1" x14ac:dyDescent="0.2">
      <c r="A14567" s="6" t="str">
        <f>"NIBAN3"</f>
        <v>NIBAN3</v>
      </c>
      <c r="B14567" s="6">
        <v>0.69530469530469496</v>
      </c>
      <c r="C14567" s="6">
        <v>0.79734632434460895</v>
      </c>
    </row>
    <row r="14568" spans="1:3" s="7" customFormat="1" x14ac:dyDescent="0.2">
      <c r="A14568" s="6" t="str">
        <f>"AC020651.2"</f>
        <v>AC020651.2</v>
      </c>
      <c r="B14568" s="6">
        <v>0.69530469530469496</v>
      </c>
      <c r="C14568" s="6">
        <v>0.79734632434460895</v>
      </c>
    </row>
    <row r="14569" spans="1:3" s="7" customFormat="1" x14ac:dyDescent="0.2">
      <c r="A14569" s="6" t="str">
        <f>"RPS15"</f>
        <v>RPS15</v>
      </c>
      <c r="B14569" s="6">
        <v>0.69530469530469496</v>
      </c>
      <c r="C14569" s="6">
        <v>0.79734632434460895</v>
      </c>
    </row>
    <row r="14570" spans="1:3" s="7" customFormat="1" x14ac:dyDescent="0.2">
      <c r="A14570" s="6" t="str">
        <f>"RPS3AP21"</f>
        <v>RPS3AP21</v>
      </c>
      <c r="B14570" s="6">
        <v>0.69530469530469496</v>
      </c>
      <c r="C14570" s="6">
        <v>0.79734632434460895</v>
      </c>
    </row>
    <row r="14571" spans="1:3" s="7" customFormat="1" x14ac:dyDescent="0.2">
      <c r="A14571" s="6" t="str">
        <f>"AL118511.1"</f>
        <v>AL118511.1</v>
      </c>
      <c r="B14571" s="6">
        <v>0.69499999999999995</v>
      </c>
      <c r="C14571" s="6">
        <v>0.79734632434460895</v>
      </c>
    </row>
    <row r="14572" spans="1:3" s="7" customFormat="1" x14ac:dyDescent="0.2">
      <c r="A14572" s="6" t="str">
        <f>"AL035587.3"</f>
        <v>AL035587.3</v>
      </c>
      <c r="B14572" s="6">
        <v>0.69530469530469496</v>
      </c>
      <c r="C14572" s="6">
        <v>0.79734632434460895</v>
      </c>
    </row>
    <row r="14573" spans="1:3" s="7" customFormat="1" x14ac:dyDescent="0.2">
      <c r="A14573" s="6" t="str">
        <f>"ACRV1"</f>
        <v>ACRV1</v>
      </c>
      <c r="B14573" s="6">
        <v>0.69499999999999995</v>
      </c>
      <c r="C14573" s="6">
        <v>0.79734632434460895</v>
      </c>
    </row>
    <row r="14574" spans="1:3" s="7" customFormat="1" x14ac:dyDescent="0.2">
      <c r="A14574" s="6" t="str">
        <f>"MAP3K10"</f>
        <v>MAP3K10</v>
      </c>
      <c r="B14574" s="6">
        <v>0.69530469530469496</v>
      </c>
      <c r="C14574" s="6">
        <v>0.79734632434460895</v>
      </c>
    </row>
    <row r="14575" spans="1:3" s="7" customFormat="1" x14ac:dyDescent="0.2">
      <c r="A14575" s="6" t="str">
        <f>"FZD1"</f>
        <v>FZD1</v>
      </c>
      <c r="B14575" s="6">
        <v>0.69530469530469496</v>
      </c>
      <c r="C14575" s="6">
        <v>0.79734632434460895</v>
      </c>
    </row>
    <row r="14576" spans="1:3" s="7" customFormat="1" x14ac:dyDescent="0.2">
      <c r="A14576" s="6" t="str">
        <f>"FYCO1"</f>
        <v>FYCO1</v>
      </c>
      <c r="B14576" s="6">
        <v>0.69530469530469496</v>
      </c>
      <c r="C14576" s="6">
        <v>0.79734632434460895</v>
      </c>
    </row>
    <row r="14577" spans="1:3" s="7" customFormat="1" x14ac:dyDescent="0.2">
      <c r="A14577" s="6" t="str">
        <f>"SGSM1"</f>
        <v>SGSM1</v>
      </c>
      <c r="B14577" s="6">
        <v>0.69630369630369604</v>
      </c>
      <c r="C14577" s="6">
        <v>0.79827285685026195</v>
      </c>
    </row>
    <row r="14578" spans="1:3" s="7" customFormat="1" x14ac:dyDescent="0.2">
      <c r="A14578" s="6" t="str">
        <f>"LRRC37A16P"</f>
        <v>LRRC37A16P</v>
      </c>
      <c r="B14578" s="6">
        <v>0.69630369630369604</v>
      </c>
      <c r="C14578" s="6">
        <v>0.79827285685026195</v>
      </c>
    </row>
    <row r="14579" spans="1:3" s="7" customFormat="1" x14ac:dyDescent="0.2">
      <c r="A14579" s="6" t="str">
        <f>"PPID"</f>
        <v>PPID</v>
      </c>
      <c r="B14579" s="6">
        <v>0.69630369630369604</v>
      </c>
      <c r="C14579" s="6">
        <v>0.79827285685026195</v>
      </c>
    </row>
    <row r="14580" spans="1:3" s="7" customFormat="1" x14ac:dyDescent="0.2">
      <c r="A14580" s="6" t="str">
        <f>"CDC40"</f>
        <v>CDC40</v>
      </c>
      <c r="B14580" s="6">
        <v>0.69630369630369604</v>
      </c>
      <c r="C14580" s="6">
        <v>0.79827285685026195</v>
      </c>
    </row>
    <row r="14581" spans="1:3" s="7" customFormat="1" x14ac:dyDescent="0.2">
      <c r="A14581" s="6" t="str">
        <f>"AC008764.4"</f>
        <v>AC008764.4</v>
      </c>
      <c r="B14581" s="6">
        <v>0.69699999999999995</v>
      </c>
      <c r="C14581" s="6">
        <v>0.79901632373113796</v>
      </c>
    </row>
    <row r="14582" spans="1:3" s="7" customFormat="1" x14ac:dyDescent="0.2">
      <c r="A14582" s="6" t="str">
        <f>"AL158832.2"</f>
        <v>AL158832.2</v>
      </c>
      <c r="B14582" s="6">
        <v>0.69730269730269701</v>
      </c>
      <c r="C14582" s="6">
        <v>0.79908928918184996</v>
      </c>
    </row>
    <row r="14583" spans="1:3" s="7" customFormat="1" x14ac:dyDescent="0.2">
      <c r="A14583" s="6" t="str">
        <f>"SLC9A7P1"</f>
        <v>SLC9A7P1</v>
      </c>
      <c r="B14583" s="6">
        <v>0.69730269730269701</v>
      </c>
      <c r="C14583" s="6">
        <v>0.79908928918184996</v>
      </c>
    </row>
    <row r="14584" spans="1:3" s="7" customFormat="1" x14ac:dyDescent="0.2">
      <c r="A14584" s="6" t="str">
        <f>"SNCAIP"</f>
        <v>SNCAIP</v>
      </c>
      <c r="B14584" s="6">
        <v>0.69730269730269701</v>
      </c>
      <c r="C14584" s="6">
        <v>0.79908928918184996</v>
      </c>
    </row>
    <row r="14585" spans="1:3" s="7" customFormat="1" x14ac:dyDescent="0.2">
      <c r="A14585" s="6" t="str">
        <f>"KIF3B"</f>
        <v>KIF3B</v>
      </c>
      <c r="B14585" s="6">
        <v>0.69730269730269701</v>
      </c>
      <c r="C14585" s="6">
        <v>0.79908928918184996</v>
      </c>
    </row>
    <row r="14586" spans="1:3" s="7" customFormat="1" x14ac:dyDescent="0.2">
      <c r="A14586" s="6" t="str">
        <f>"AL139300.1"</f>
        <v>AL139300.1</v>
      </c>
      <c r="B14586" s="6">
        <v>0.69730269730269701</v>
      </c>
      <c r="C14586" s="6">
        <v>0.79908928918184996</v>
      </c>
    </row>
    <row r="14587" spans="1:3" s="7" customFormat="1" x14ac:dyDescent="0.2">
      <c r="A14587" s="6" t="str">
        <f>"LINC02666"</f>
        <v>LINC02666</v>
      </c>
      <c r="B14587" s="6">
        <v>0.69799999999999995</v>
      </c>
      <c r="C14587" s="6">
        <v>0.79983353901000898</v>
      </c>
    </row>
    <row r="14588" spans="1:3" s="7" customFormat="1" x14ac:dyDescent="0.2">
      <c r="A14588" s="6" t="str">
        <f>"USP19"</f>
        <v>USP19</v>
      </c>
      <c r="B14588" s="6">
        <v>0.69830169830169797</v>
      </c>
      <c r="C14588" s="6">
        <v>0.80001470871304303</v>
      </c>
    </row>
    <row r="14589" spans="1:3" s="7" customFormat="1" x14ac:dyDescent="0.2">
      <c r="A14589" s="6" t="str">
        <f>"SIAH2-AS1"</f>
        <v>SIAH2-AS1</v>
      </c>
      <c r="B14589" s="6">
        <v>0.69830169830169797</v>
      </c>
      <c r="C14589" s="6">
        <v>0.80001470871304303</v>
      </c>
    </row>
    <row r="14590" spans="1:3" s="7" customFormat="1" x14ac:dyDescent="0.2">
      <c r="A14590" s="6" t="str">
        <f>"AL109976.1"</f>
        <v>AL109976.1</v>
      </c>
      <c r="B14590" s="6">
        <v>0.69830169830169797</v>
      </c>
      <c r="C14590" s="6">
        <v>0.80001470871304303</v>
      </c>
    </row>
    <row r="14591" spans="1:3" s="7" customFormat="1" x14ac:dyDescent="0.2">
      <c r="A14591" s="6" t="str">
        <f>"AC006115.2"</f>
        <v>AC006115.2</v>
      </c>
      <c r="B14591" s="6">
        <v>0.69899999999999995</v>
      </c>
      <c r="C14591" s="6">
        <v>0.80065008223684198</v>
      </c>
    </row>
    <row r="14592" spans="1:3" s="7" customFormat="1" x14ac:dyDescent="0.2">
      <c r="A14592" s="6" t="str">
        <f>"PCDHA1"</f>
        <v>PCDHA1</v>
      </c>
      <c r="B14592" s="6">
        <v>0.69899999999999995</v>
      </c>
      <c r="C14592" s="6">
        <v>0.80065008223684198</v>
      </c>
    </row>
    <row r="14593" spans="1:3" s="7" customFormat="1" x14ac:dyDescent="0.2">
      <c r="A14593" s="6" t="str">
        <f>"AL157871.6"</f>
        <v>AL157871.6</v>
      </c>
      <c r="B14593" s="6">
        <v>0.69899999999999995</v>
      </c>
      <c r="C14593" s="6">
        <v>0.80065008223684198</v>
      </c>
    </row>
    <row r="14594" spans="1:3" s="7" customFormat="1" x14ac:dyDescent="0.2">
      <c r="A14594" s="6" t="str">
        <f>"OR6D1P"</f>
        <v>OR6D1P</v>
      </c>
      <c r="B14594" s="6">
        <v>0.69930069930069905</v>
      </c>
      <c r="C14594" s="6">
        <v>0.80093962092180404</v>
      </c>
    </row>
    <row r="14595" spans="1:3" s="7" customFormat="1" x14ac:dyDescent="0.2">
      <c r="A14595" s="6" t="str">
        <f>"IGHV4-61"</f>
        <v>IGHV4-61</v>
      </c>
      <c r="B14595" s="6">
        <v>0.70029970029970001</v>
      </c>
      <c r="C14595" s="6">
        <v>0.80191896347007297</v>
      </c>
    </row>
    <row r="14596" spans="1:3" s="7" customFormat="1" x14ac:dyDescent="0.2">
      <c r="A14596" s="6" t="str">
        <f>"AL591501.1"</f>
        <v>AL591501.1</v>
      </c>
      <c r="B14596" s="6">
        <v>0.70029970029970001</v>
      </c>
      <c r="C14596" s="6">
        <v>0.80191896347007297</v>
      </c>
    </row>
    <row r="14597" spans="1:3" s="7" customFormat="1" x14ac:dyDescent="0.2">
      <c r="A14597" s="6" t="str">
        <f>"STRA6LP"</f>
        <v>STRA6LP</v>
      </c>
      <c r="B14597" s="6">
        <v>0.70029970029970001</v>
      </c>
      <c r="C14597" s="6">
        <v>0.80191896347007297</v>
      </c>
    </row>
    <row r="14598" spans="1:3" s="7" customFormat="1" x14ac:dyDescent="0.2">
      <c r="A14598" s="6" t="str">
        <f>"LINC01482"</f>
        <v>LINC01482</v>
      </c>
      <c r="B14598" s="6">
        <v>0.70129870129870098</v>
      </c>
      <c r="C14598" s="6">
        <v>0.80278792503982499</v>
      </c>
    </row>
    <row r="14599" spans="1:3" s="7" customFormat="1" x14ac:dyDescent="0.2">
      <c r="A14599" s="6" t="str">
        <f>"MTHFD2L"</f>
        <v>MTHFD2L</v>
      </c>
      <c r="B14599" s="6">
        <v>0.70129870129870098</v>
      </c>
      <c r="C14599" s="6">
        <v>0.80278792503982499</v>
      </c>
    </row>
    <row r="14600" spans="1:3" s="7" customFormat="1" x14ac:dyDescent="0.2">
      <c r="A14600" s="6" t="str">
        <f>"ZNF675"</f>
        <v>ZNF675</v>
      </c>
      <c r="B14600" s="6">
        <v>0.70129870129870098</v>
      </c>
      <c r="C14600" s="6">
        <v>0.80278792503982499</v>
      </c>
    </row>
    <row r="14601" spans="1:3" s="7" customFormat="1" x14ac:dyDescent="0.2">
      <c r="A14601" s="6" t="str">
        <f>"LINC01537"</f>
        <v>LINC01537</v>
      </c>
      <c r="B14601" s="6">
        <v>0.70128479657387499</v>
      </c>
      <c r="C14601" s="6">
        <v>0.80278792503982499</v>
      </c>
    </row>
    <row r="14602" spans="1:3" s="7" customFormat="1" x14ac:dyDescent="0.2">
      <c r="A14602" s="6" t="str">
        <f>"FCAMR"</f>
        <v>FCAMR</v>
      </c>
      <c r="B14602" s="6">
        <v>0.70129870129870098</v>
      </c>
      <c r="C14602" s="6">
        <v>0.80278792503982499</v>
      </c>
    </row>
    <row r="14603" spans="1:3" s="7" customFormat="1" x14ac:dyDescent="0.2">
      <c r="A14603" s="6" t="str">
        <f>"AP003108.3"</f>
        <v>AP003108.3</v>
      </c>
      <c r="B14603" s="6">
        <v>0.70170170170170099</v>
      </c>
      <c r="C14603" s="6">
        <v>0.80319423655952804</v>
      </c>
    </row>
    <row r="14604" spans="1:3" s="7" customFormat="1" x14ac:dyDescent="0.2">
      <c r="A14604" s="6" t="str">
        <f>"AL034417.2"</f>
        <v>AL034417.2</v>
      </c>
      <c r="B14604" s="6">
        <v>0.70180722891566205</v>
      </c>
      <c r="C14604" s="6">
        <v>0.80326001671549496</v>
      </c>
    </row>
    <row r="14605" spans="1:3" s="7" customFormat="1" x14ac:dyDescent="0.2">
      <c r="A14605" s="6" t="str">
        <f>"SLC4A9"</f>
        <v>SLC4A9</v>
      </c>
      <c r="B14605" s="6">
        <v>0.70199999999999996</v>
      </c>
      <c r="C14605" s="6">
        <v>0.80337062649777402</v>
      </c>
    </row>
    <row r="14606" spans="1:3" s="7" customFormat="1" x14ac:dyDescent="0.2">
      <c r="A14606" s="6" t="str">
        <f>"AC006116.7"</f>
        <v>AC006116.7</v>
      </c>
      <c r="B14606" s="6">
        <v>0.70199999999999996</v>
      </c>
      <c r="C14606" s="6">
        <v>0.80337062649777402</v>
      </c>
    </row>
    <row r="14607" spans="1:3" s="7" customFormat="1" x14ac:dyDescent="0.2">
      <c r="A14607" s="6" t="str">
        <f>"CINP"</f>
        <v>CINP</v>
      </c>
      <c r="B14607" s="6">
        <v>0.70229770229770205</v>
      </c>
      <c r="C14607" s="6">
        <v>0.80338127412249605</v>
      </c>
    </row>
    <row r="14608" spans="1:3" s="7" customFormat="1" x14ac:dyDescent="0.2">
      <c r="A14608" s="6" t="str">
        <f>"FAM3C2P"</f>
        <v>FAM3C2P</v>
      </c>
      <c r="B14608" s="6">
        <v>0.70229770229770205</v>
      </c>
      <c r="C14608" s="6">
        <v>0.80338127412249605</v>
      </c>
    </row>
    <row r="14609" spans="1:3" s="7" customFormat="1" x14ac:dyDescent="0.2">
      <c r="A14609" s="6" t="str">
        <f>"AC092171.1"</f>
        <v>AC092171.1</v>
      </c>
      <c r="B14609" s="6">
        <v>0.70229770229770205</v>
      </c>
      <c r="C14609" s="6">
        <v>0.80338127412249605</v>
      </c>
    </row>
    <row r="14610" spans="1:3" s="7" customFormat="1" x14ac:dyDescent="0.2">
      <c r="A14610" s="6" t="str">
        <f>"PCDH9"</f>
        <v>PCDH9</v>
      </c>
      <c r="B14610" s="6">
        <v>0.70229770229770205</v>
      </c>
      <c r="C14610" s="6">
        <v>0.80338127412249605</v>
      </c>
    </row>
    <row r="14611" spans="1:3" s="7" customFormat="1" x14ac:dyDescent="0.2">
      <c r="A14611" s="6" t="str">
        <f>"ACY3"</f>
        <v>ACY3</v>
      </c>
      <c r="B14611" s="6">
        <v>0.70229770229770205</v>
      </c>
      <c r="C14611" s="6">
        <v>0.80338127412249605</v>
      </c>
    </row>
    <row r="14612" spans="1:3" s="7" customFormat="1" x14ac:dyDescent="0.2">
      <c r="A14612" s="6" t="str">
        <f>"SLC35F1"</f>
        <v>SLC35F1</v>
      </c>
      <c r="B14612" s="6">
        <v>0.70229770229770205</v>
      </c>
      <c r="C14612" s="6">
        <v>0.80338127412249605</v>
      </c>
    </row>
    <row r="14613" spans="1:3" s="7" customFormat="1" x14ac:dyDescent="0.2">
      <c r="A14613" s="6" t="str">
        <f>"AL691442.1"</f>
        <v>AL691442.1</v>
      </c>
      <c r="B14613" s="6">
        <v>0.70299999999999996</v>
      </c>
      <c r="C14613" s="6">
        <v>0.80412961949082895</v>
      </c>
    </row>
    <row r="14614" spans="1:3" s="7" customFormat="1" x14ac:dyDescent="0.2">
      <c r="A14614" s="6" t="str">
        <f>"AL157392.5"</f>
        <v>AL157392.5</v>
      </c>
      <c r="B14614" s="6">
        <v>0.70329670329670302</v>
      </c>
      <c r="C14614" s="6">
        <v>0.80424884365770999</v>
      </c>
    </row>
    <row r="14615" spans="1:3" s="7" customFormat="1" x14ac:dyDescent="0.2">
      <c r="A14615" s="6" t="str">
        <f>"AL590867.2"</f>
        <v>AL590867.2</v>
      </c>
      <c r="B14615" s="6">
        <v>0.70329670329670302</v>
      </c>
      <c r="C14615" s="6">
        <v>0.80424884365770999</v>
      </c>
    </row>
    <row r="14616" spans="1:3" s="7" customFormat="1" x14ac:dyDescent="0.2">
      <c r="A14616" s="6" t="str">
        <f>"TPT1P4"</f>
        <v>TPT1P4</v>
      </c>
      <c r="B14616" s="6">
        <v>0.70329670329670302</v>
      </c>
      <c r="C14616" s="6">
        <v>0.80424884365770999</v>
      </c>
    </row>
    <row r="14617" spans="1:3" s="7" customFormat="1" x14ac:dyDescent="0.2">
      <c r="A14617" s="6" t="str">
        <f>"NOL12"</f>
        <v>NOL12</v>
      </c>
      <c r="B14617" s="6">
        <v>0.70329670329670302</v>
      </c>
      <c r="C14617" s="6">
        <v>0.80424884365770999</v>
      </c>
    </row>
    <row r="14618" spans="1:3" s="7" customFormat="1" x14ac:dyDescent="0.2">
      <c r="A14618" s="6" t="str">
        <f>"C16orf96"</f>
        <v>C16orf96</v>
      </c>
      <c r="B14618" s="6">
        <v>0.70340681362725399</v>
      </c>
      <c r="C14618" s="6">
        <v>0.80431972928548401</v>
      </c>
    </row>
    <row r="14619" spans="1:3" s="7" customFormat="1" x14ac:dyDescent="0.2">
      <c r="A14619" s="6" t="str">
        <f>"KCTD21"</f>
        <v>KCTD21</v>
      </c>
      <c r="B14619" s="6">
        <v>0.70429570429570398</v>
      </c>
      <c r="C14619" s="6">
        <v>0.80500570345335398</v>
      </c>
    </row>
    <row r="14620" spans="1:3" s="7" customFormat="1" x14ac:dyDescent="0.2">
      <c r="A14620" s="6" t="str">
        <f>"ZNF165"</f>
        <v>ZNF165</v>
      </c>
      <c r="B14620" s="6">
        <v>0.70429570429570398</v>
      </c>
      <c r="C14620" s="6">
        <v>0.80500570345335398</v>
      </c>
    </row>
    <row r="14621" spans="1:3" s="7" customFormat="1" x14ac:dyDescent="0.2">
      <c r="A14621" s="6" t="str">
        <f>"ARID1B"</f>
        <v>ARID1B</v>
      </c>
      <c r="B14621" s="6">
        <v>0.70429570429570398</v>
      </c>
      <c r="C14621" s="6">
        <v>0.80500570345335398</v>
      </c>
    </row>
    <row r="14622" spans="1:3" s="7" customFormat="1" x14ac:dyDescent="0.2">
      <c r="A14622" s="6" t="str">
        <f>"MFSD5"</f>
        <v>MFSD5</v>
      </c>
      <c r="B14622" s="6">
        <v>0.70429570429570398</v>
      </c>
      <c r="C14622" s="6">
        <v>0.80500570345335398</v>
      </c>
    </row>
    <row r="14623" spans="1:3" s="7" customFormat="1" x14ac:dyDescent="0.2">
      <c r="A14623" s="6" t="str">
        <f>"RNF8"</f>
        <v>RNF8</v>
      </c>
      <c r="B14623" s="6">
        <v>0.70429570429570398</v>
      </c>
      <c r="C14623" s="6">
        <v>0.80500570345335398</v>
      </c>
    </row>
    <row r="14624" spans="1:3" s="7" customFormat="1" x14ac:dyDescent="0.2">
      <c r="A14624" s="6" t="str">
        <f>"AC007848.2"</f>
        <v>AC007848.2</v>
      </c>
      <c r="B14624" s="6">
        <v>0.70411233701103304</v>
      </c>
      <c r="C14624" s="6">
        <v>0.80500570345335398</v>
      </c>
    </row>
    <row r="14625" spans="1:3" s="7" customFormat="1" x14ac:dyDescent="0.2">
      <c r="A14625" s="6" t="str">
        <f>"EIF2B4"</f>
        <v>EIF2B4</v>
      </c>
      <c r="B14625" s="6">
        <v>0.70529470529470495</v>
      </c>
      <c r="C14625" s="6">
        <v>0.80587200603607401</v>
      </c>
    </row>
    <row r="14626" spans="1:3" s="7" customFormat="1" x14ac:dyDescent="0.2">
      <c r="A14626" s="6" t="str">
        <f>"AL021328.1"</f>
        <v>AL021328.1</v>
      </c>
      <c r="B14626" s="6">
        <v>0.70529470529470495</v>
      </c>
      <c r="C14626" s="6">
        <v>0.80587200603607401</v>
      </c>
    </row>
    <row r="14627" spans="1:3" s="7" customFormat="1" x14ac:dyDescent="0.2">
      <c r="A14627" s="6" t="str">
        <f>"LINC02609"</f>
        <v>LINC02609</v>
      </c>
      <c r="B14627" s="6">
        <v>0.70529470529470495</v>
      </c>
      <c r="C14627" s="6">
        <v>0.80587200603607401</v>
      </c>
    </row>
    <row r="14628" spans="1:3" s="7" customFormat="1" x14ac:dyDescent="0.2">
      <c r="A14628" s="6" t="str">
        <f>"LINC02614"</f>
        <v>LINC02614</v>
      </c>
      <c r="B14628" s="6">
        <v>0.70529470529470495</v>
      </c>
      <c r="C14628" s="6">
        <v>0.80587200603607401</v>
      </c>
    </row>
    <row r="14629" spans="1:3" s="7" customFormat="1" x14ac:dyDescent="0.2">
      <c r="A14629" s="6" t="str">
        <f>"CLEC12A-AS1"</f>
        <v>CLEC12A-AS1</v>
      </c>
      <c r="B14629" s="6">
        <v>0.70529470529470495</v>
      </c>
      <c r="C14629" s="6">
        <v>0.80587200603607401</v>
      </c>
    </row>
    <row r="14630" spans="1:3" s="7" customFormat="1" x14ac:dyDescent="0.2">
      <c r="A14630" s="6" t="str">
        <f>"SERPINB7"</f>
        <v>SERPINB7</v>
      </c>
      <c r="B14630" s="6">
        <v>0.70629370629370603</v>
      </c>
      <c r="C14630" s="6">
        <v>0.80668258897041101</v>
      </c>
    </row>
    <row r="14631" spans="1:3" s="7" customFormat="1" x14ac:dyDescent="0.2">
      <c r="A14631" s="6" t="str">
        <f>"LRRC59"</f>
        <v>LRRC59</v>
      </c>
      <c r="B14631" s="6">
        <v>0.70629370629370603</v>
      </c>
      <c r="C14631" s="6">
        <v>0.80668258897041101</v>
      </c>
    </row>
    <row r="14632" spans="1:3" s="7" customFormat="1" x14ac:dyDescent="0.2">
      <c r="A14632" s="6" t="str">
        <f>"LSM1"</f>
        <v>LSM1</v>
      </c>
      <c r="B14632" s="6">
        <v>0.70629370629370603</v>
      </c>
      <c r="C14632" s="6">
        <v>0.80668258897041101</v>
      </c>
    </row>
    <row r="14633" spans="1:3" s="7" customFormat="1" x14ac:dyDescent="0.2">
      <c r="A14633" s="6" t="str">
        <f>"NFASC"</f>
        <v>NFASC</v>
      </c>
      <c r="B14633" s="6">
        <v>0.70629370629370603</v>
      </c>
      <c r="C14633" s="6">
        <v>0.80668258897041101</v>
      </c>
    </row>
    <row r="14634" spans="1:3" s="7" customFormat="1" x14ac:dyDescent="0.2">
      <c r="A14634" s="6" t="str">
        <f>"WDR1"</f>
        <v>WDR1</v>
      </c>
      <c r="B14634" s="6">
        <v>0.70629370629370603</v>
      </c>
      <c r="C14634" s="6">
        <v>0.80668258897041101</v>
      </c>
    </row>
    <row r="14635" spans="1:3" s="7" customFormat="1" x14ac:dyDescent="0.2">
      <c r="A14635" s="6" t="str">
        <f>"MMP17"</f>
        <v>MMP17</v>
      </c>
      <c r="B14635" s="6">
        <v>0.70629370629370603</v>
      </c>
      <c r="C14635" s="6">
        <v>0.80668258897041101</v>
      </c>
    </row>
    <row r="14636" spans="1:3" s="7" customFormat="1" x14ac:dyDescent="0.2">
      <c r="A14636" s="6" t="str">
        <f>"AC005005.4"</f>
        <v>AC005005.4</v>
      </c>
      <c r="B14636" s="6">
        <v>0.70650887573964405</v>
      </c>
      <c r="C14636" s="6">
        <v>0.80687320458574796</v>
      </c>
    </row>
    <row r="14637" spans="1:3" s="7" customFormat="1" x14ac:dyDescent="0.2">
      <c r="A14637" s="6" t="str">
        <f>"SLC38A2"</f>
        <v>SLC38A2</v>
      </c>
      <c r="B14637" s="6">
        <v>0.70729270729270699</v>
      </c>
      <c r="C14637" s="6">
        <v>0.80732707161717598</v>
      </c>
    </row>
    <row r="14638" spans="1:3" s="7" customFormat="1" x14ac:dyDescent="0.2">
      <c r="A14638" s="6" t="str">
        <f>"SNRPD2"</f>
        <v>SNRPD2</v>
      </c>
      <c r="B14638" s="6">
        <v>0.70729270729270699</v>
      </c>
      <c r="C14638" s="6">
        <v>0.80732707161717598</v>
      </c>
    </row>
    <row r="14639" spans="1:3" s="7" customFormat="1" x14ac:dyDescent="0.2">
      <c r="A14639" s="6" t="str">
        <f>"RBMS3"</f>
        <v>RBMS3</v>
      </c>
      <c r="B14639" s="6">
        <v>0.70729270729270699</v>
      </c>
      <c r="C14639" s="6">
        <v>0.80732707161717598</v>
      </c>
    </row>
    <row r="14640" spans="1:3" s="7" customFormat="1" x14ac:dyDescent="0.2">
      <c r="A14640" s="6" t="str">
        <f>"AL136531.1"</f>
        <v>AL136531.1</v>
      </c>
      <c r="B14640" s="6">
        <v>0.70729270729270699</v>
      </c>
      <c r="C14640" s="6">
        <v>0.80732707161717598</v>
      </c>
    </row>
    <row r="14641" spans="1:3" s="7" customFormat="1" x14ac:dyDescent="0.2">
      <c r="A14641" s="6" t="str">
        <f>"ZNF738"</f>
        <v>ZNF738</v>
      </c>
      <c r="B14641" s="6">
        <v>0.70729270729270699</v>
      </c>
      <c r="C14641" s="6">
        <v>0.80732707161717598</v>
      </c>
    </row>
    <row r="14642" spans="1:3" s="7" customFormat="1" x14ac:dyDescent="0.2">
      <c r="A14642" s="6" t="str">
        <f>"SPTBN5"</f>
        <v>SPTBN5</v>
      </c>
      <c r="B14642" s="6">
        <v>0.70729270729270699</v>
      </c>
      <c r="C14642" s="6">
        <v>0.80732707161717598</v>
      </c>
    </row>
    <row r="14643" spans="1:3" s="7" customFormat="1" x14ac:dyDescent="0.2">
      <c r="A14643" s="6" t="str">
        <f>"KIF16B"</f>
        <v>KIF16B</v>
      </c>
      <c r="B14643" s="6">
        <v>0.70729270729270699</v>
      </c>
      <c r="C14643" s="6">
        <v>0.80732707161717598</v>
      </c>
    </row>
    <row r="14644" spans="1:3" s="7" customFormat="1" x14ac:dyDescent="0.2">
      <c r="A14644" s="6" t="str">
        <f>"ABO"</f>
        <v>ABO</v>
      </c>
      <c r="B14644" s="6">
        <v>0.70729270729270699</v>
      </c>
      <c r="C14644" s="6">
        <v>0.80732707161717598</v>
      </c>
    </row>
    <row r="14645" spans="1:3" s="7" customFormat="1" x14ac:dyDescent="0.2">
      <c r="A14645" s="6" t="str">
        <f>"AC005616.1"</f>
        <v>AC005616.1</v>
      </c>
      <c r="B14645" s="6">
        <v>0.70799999999999996</v>
      </c>
      <c r="C14645" s="6">
        <v>0.80807921332969102</v>
      </c>
    </row>
    <row r="14646" spans="1:3" s="7" customFormat="1" x14ac:dyDescent="0.2">
      <c r="A14646" s="6" t="str">
        <f>"PAOX"</f>
        <v>PAOX</v>
      </c>
      <c r="B14646" s="6">
        <v>0.70829170829170796</v>
      </c>
      <c r="C14646" s="6">
        <v>0.80808106569198701</v>
      </c>
    </row>
    <row r="14647" spans="1:3" s="7" customFormat="1" x14ac:dyDescent="0.2">
      <c r="A14647" s="6" t="str">
        <f>"POLR3C"</f>
        <v>POLR3C</v>
      </c>
      <c r="B14647" s="6">
        <v>0.70829170829170796</v>
      </c>
      <c r="C14647" s="6">
        <v>0.80808106569198701</v>
      </c>
    </row>
    <row r="14648" spans="1:3" s="7" customFormat="1" x14ac:dyDescent="0.2">
      <c r="A14648" s="6" t="str">
        <f>"ZNF786"</f>
        <v>ZNF786</v>
      </c>
      <c r="B14648" s="6">
        <v>0.70829170829170796</v>
      </c>
      <c r="C14648" s="6">
        <v>0.80808106569198701</v>
      </c>
    </row>
    <row r="14649" spans="1:3" s="7" customFormat="1" x14ac:dyDescent="0.2">
      <c r="A14649" s="6" t="str">
        <f>"ZNF548"</f>
        <v>ZNF548</v>
      </c>
      <c r="B14649" s="6">
        <v>0.70829170829170796</v>
      </c>
      <c r="C14649" s="6">
        <v>0.80808106569198701</v>
      </c>
    </row>
    <row r="14650" spans="1:3" s="7" customFormat="1" x14ac:dyDescent="0.2">
      <c r="A14650" s="6" t="str">
        <f>"ARL4AP2"</f>
        <v>ARL4AP2</v>
      </c>
      <c r="B14650" s="6">
        <v>0.70829170829170796</v>
      </c>
      <c r="C14650" s="6">
        <v>0.80808106569198701</v>
      </c>
    </row>
    <row r="14651" spans="1:3" s="7" customFormat="1" x14ac:dyDescent="0.2">
      <c r="A14651" s="6" t="str">
        <f>"GUCA1A"</f>
        <v>GUCA1A</v>
      </c>
      <c r="B14651" s="6">
        <v>0.70829170829170796</v>
      </c>
      <c r="C14651" s="6">
        <v>0.80808106569198701</v>
      </c>
    </row>
    <row r="14652" spans="1:3" s="7" customFormat="1" x14ac:dyDescent="0.2">
      <c r="A14652" s="6" t="str">
        <f>"ACTR3"</f>
        <v>ACTR3</v>
      </c>
      <c r="B14652" s="6">
        <v>0.70929070929070903</v>
      </c>
      <c r="C14652" s="6">
        <v>0.80905513649661598</v>
      </c>
    </row>
    <row r="14653" spans="1:3" s="7" customFormat="1" x14ac:dyDescent="0.2">
      <c r="A14653" s="6" t="str">
        <f>"TANGO6"</f>
        <v>TANGO6</v>
      </c>
      <c r="B14653" s="6">
        <v>0.70929070929070903</v>
      </c>
      <c r="C14653" s="6">
        <v>0.80905513649661598</v>
      </c>
    </row>
    <row r="14654" spans="1:3" s="7" customFormat="1" x14ac:dyDescent="0.2">
      <c r="A14654" s="6" t="str">
        <f>"LINC02354"</f>
        <v>LINC02354</v>
      </c>
      <c r="B14654" s="6">
        <v>0.70929070929070903</v>
      </c>
      <c r="C14654" s="6">
        <v>0.80905513649661598</v>
      </c>
    </row>
    <row r="14655" spans="1:3" s="7" customFormat="1" x14ac:dyDescent="0.2">
      <c r="A14655" s="6" t="str">
        <f>"MORF4L1P1"</f>
        <v>MORF4L1P1</v>
      </c>
      <c r="B14655" s="6">
        <v>0.70974358974358898</v>
      </c>
      <c r="C14655" s="6">
        <v>0.80946123227392397</v>
      </c>
    </row>
    <row r="14656" spans="1:3" s="7" customFormat="1" x14ac:dyDescent="0.2">
      <c r="A14656" s="6" t="str">
        <f>"LINC01772"</f>
        <v>LINC01772</v>
      </c>
      <c r="B14656" s="6">
        <v>0.70970970970970904</v>
      </c>
      <c r="C14656" s="6">
        <v>0.80946123227392397</v>
      </c>
    </row>
    <row r="14657" spans="1:3" s="7" customFormat="1" x14ac:dyDescent="0.2">
      <c r="A14657" s="6" t="str">
        <f>"XK"</f>
        <v>XK</v>
      </c>
      <c r="B14657" s="6">
        <v>0.71028971028971</v>
      </c>
      <c r="C14657" s="6">
        <v>0.80975255560890902</v>
      </c>
    </row>
    <row r="14658" spans="1:3" s="7" customFormat="1" x14ac:dyDescent="0.2">
      <c r="A14658" s="6" t="str">
        <f>"MSX1"</f>
        <v>MSX1</v>
      </c>
      <c r="B14658" s="6">
        <v>0.71028971028971</v>
      </c>
      <c r="C14658" s="6">
        <v>0.80975255560890902</v>
      </c>
    </row>
    <row r="14659" spans="1:3" s="7" customFormat="1" x14ac:dyDescent="0.2">
      <c r="A14659" s="6" t="str">
        <f>"OR2B11"</f>
        <v>OR2B11</v>
      </c>
      <c r="B14659" s="6">
        <v>0.71010101010101001</v>
      </c>
      <c r="C14659" s="6">
        <v>0.80975255560890902</v>
      </c>
    </row>
    <row r="14660" spans="1:3" s="7" customFormat="1" x14ac:dyDescent="0.2">
      <c r="A14660" s="6" t="str">
        <f>"ZNF703"</f>
        <v>ZNF703</v>
      </c>
      <c r="B14660" s="6">
        <v>0.71028971028971</v>
      </c>
      <c r="C14660" s="6">
        <v>0.80975255560890902</v>
      </c>
    </row>
    <row r="14661" spans="1:3" s="7" customFormat="1" x14ac:dyDescent="0.2">
      <c r="A14661" s="6" t="str">
        <f>"FAM230A"</f>
        <v>FAM230A</v>
      </c>
      <c r="B14661" s="6">
        <v>0.71028971028971</v>
      </c>
      <c r="C14661" s="6">
        <v>0.80975255560890902</v>
      </c>
    </row>
    <row r="14662" spans="1:3" s="7" customFormat="1" x14ac:dyDescent="0.2">
      <c r="A14662" s="6" t="str">
        <f>"AL359220.1"</f>
        <v>AL359220.1</v>
      </c>
      <c r="B14662" s="6">
        <v>0.71028971028971</v>
      </c>
      <c r="C14662" s="6">
        <v>0.80975255560890902</v>
      </c>
    </row>
    <row r="14663" spans="1:3" s="7" customFormat="1" x14ac:dyDescent="0.2">
      <c r="A14663" s="6" t="str">
        <f>"AC018926.1"</f>
        <v>AC018926.1</v>
      </c>
      <c r="B14663" s="6">
        <v>0.71084337349397497</v>
      </c>
      <c r="C14663" s="6">
        <v>0.81032847800970598</v>
      </c>
    </row>
    <row r="14664" spans="1:3" s="7" customFormat="1" x14ac:dyDescent="0.2">
      <c r="A14664" s="6" t="str">
        <f>"STRADA"</f>
        <v>STRADA</v>
      </c>
      <c r="B14664" s="6">
        <v>0.71128871128871096</v>
      </c>
      <c r="C14664" s="6">
        <v>0.810614995259751</v>
      </c>
    </row>
    <row r="14665" spans="1:3" s="7" customFormat="1" x14ac:dyDescent="0.2">
      <c r="A14665" s="6" t="str">
        <f>"GNB5"</f>
        <v>GNB5</v>
      </c>
      <c r="B14665" s="6">
        <v>0.71128871128871096</v>
      </c>
      <c r="C14665" s="6">
        <v>0.810614995259751</v>
      </c>
    </row>
    <row r="14666" spans="1:3" s="7" customFormat="1" x14ac:dyDescent="0.2">
      <c r="A14666" s="6" t="str">
        <f>"AC112229.3"</f>
        <v>AC112229.3</v>
      </c>
      <c r="B14666" s="6">
        <v>0.71128871128871096</v>
      </c>
      <c r="C14666" s="6">
        <v>0.810614995259751</v>
      </c>
    </row>
    <row r="14667" spans="1:3" s="7" customFormat="1" x14ac:dyDescent="0.2">
      <c r="A14667" s="6" t="str">
        <f>"ZDHHC9"</f>
        <v>ZDHHC9</v>
      </c>
      <c r="B14667" s="6">
        <v>0.71128871128871096</v>
      </c>
      <c r="C14667" s="6">
        <v>0.810614995259751</v>
      </c>
    </row>
    <row r="14668" spans="1:3" s="7" customFormat="1" x14ac:dyDescent="0.2">
      <c r="A14668" s="6" t="str">
        <f>"SOX8"</f>
        <v>SOX8</v>
      </c>
      <c r="B14668" s="6">
        <v>0.71199999999999997</v>
      </c>
      <c r="C14668" s="6">
        <v>0.81137028703892999</v>
      </c>
    </row>
    <row r="14669" spans="1:3" s="7" customFormat="1" x14ac:dyDescent="0.2">
      <c r="A14669" s="6" t="str">
        <f>"HSPB11"</f>
        <v>HSPB11</v>
      </c>
      <c r="B14669" s="6">
        <v>0.71228771228771204</v>
      </c>
      <c r="C14669" s="6">
        <v>0.81147684705724299</v>
      </c>
    </row>
    <row r="14670" spans="1:3" s="7" customFormat="1" x14ac:dyDescent="0.2">
      <c r="A14670" s="6" t="str">
        <f>"AC092718.8"</f>
        <v>AC092718.8</v>
      </c>
      <c r="B14670" s="6">
        <v>0.71228771228771204</v>
      </c>
      <c r="C14670" s="6">
        <v>0.81147684705724299</v>
      </c>
    </row>
    <row r="14671" spans="1:3" s="7" customFormat="1" x14ac:dyDescent="0.2">
      <c r="A14671" s="6" t="str">
        <f>"MESTIT1"</f>
        <v>MESTIT1</v>
      </c>
      <c r="B14671" s="6">
        <v>0.71228771228771204</v>
      </c>
      <c r="C14671" s="6">
        <v>0.81147684705724299</v>
      </c>
    </row>
    <row r="14672" spans="1:3" s="7" customFormat="1" x14ac:dyDescent="0.2">
      <c r="A14672" s="6" t="str">
        <f>"AL137782.1"</f>
        <v>AL137782.1</v>
      </c>
      <c r="B14672" s="6">
        <v>0.71228771228771204</v>
      </c>
      <c r="C14672" s="6">
        <v>0.81147684705724299</v>
      </c>
    </row>
    <row r="14673" spans="1:3" s="7" customFormat="1" x14ac:dyDescent="0.2">
      <c r="A14673" s="6" t="str">
        <f>"LUADT1"</f>
        <v>LUADT1</v>
      </c>
      <c r="B14673" s="6">
        <v>0.71269035532994895</v>
      </c>
      <c r="C14673" s="6">
        <v>0.81188022075959398</v>
      </c>
    </row>
    <row r="14674" spans="1:3" s="7" customFormat="1" x14ac:dyDescent="0.2">
      <c r="A14674" s="6" t="str">
        <f>"SLC5A4-AS1"</f>
        <v>SLC5A4-AS1</v>
      </c>
      <c r="B14674" s="6">
        <v>0.71299999999999997</v>
      </c>
      <c r="C14674" s="6">
        <v>0.81217760512505899</v>
      </c>
    </row>
    <row r="14675" spans="1:3" s="7" customFormat="1" x14ac:dyDescent="0.2">
      <c r="A14675" s="6" t="str">
        <f>"XRN2"</f>
        <v>XRN2</v>
      </c>
      <c r="B14675" s="6">
        <v>0.713286713286713</v>
      </c>
      <c r="C14675" s="6">
        <v>0.812227423754879</v>
      </c>
    </row>
    <row r="14676" spans="1:3" s="7" customFormat="1" x14ac:dyDescent="0.2">
      <c r="A14676" s="6" t="str">
        <f>"PKP4-AS1"</f>
        <v>PKP4-AS1</v>
      </c>
      <c r="B14676" s="6">
        <v>0.713286713286713</v>
      </c>
      <c r="C14676" s="6">
        <v>0.812227423754879</v>
      </c>
    </row>
    <row r="14677" spans="1:3" s="7" customFormat="1" x14ac:dyDescent="0.2">
      <c r="A14677" s="6" t="str">
        <f>"AL160269.1"</f>
        <v>AL160269.1</v>
      </c>
      <c r="B14677" s="6">
        <v>0.713286713286713</v>
      </c>
      <c r="C14677" s="6">
        <v>0.812227423754879</v>
      </c>
    </row>
    <row r="14678" spans="1:3" s="7" customFormat="1" x14ac:dyDescent="0.2">
      <c r="A14678" s="6" t="str">
        <f>"NBAS"</f>
        <v>NBAS</v>
      </c>
      <c r="B14678" s="6">
        <v>0.713286713286713</v>
      </c>
      <c r="C14678" s="6">
        <v>0.812227423754879</v>
      </c>
    </row>
    <row r="14679" spans="1:3" s="7" customFormat="1" x14ac:dyDescent="0.2">
      <c r="A14679" s="6" t="str">
        <f>"KIF3A"</f>
        <v>KIF3A</v>
      </c>
      <c r="B14679" s="6">
        <v>0.713286713286713</v>
      </c>
      <c r="C14679" s="6">
        <v>0.812227423754879</v>
      </c>
    </row>
    <row r="14680" spans="1:3" s="7" customFormat="1" x14ac:dyDescent="0.2">
      <c r="A14680" s="6" t="str">
        <f>"TRIP12"</f>
        <v>TRIP12</v>
      </c>
      <c r="B14680" s="6">
        <v>0.71428571428571397</v>
      </c>
      <c r="C14680" s="6">
        <v>0.81286657782878902</v>
      </c>
    </row>
    <row r="14681" spans="1:3" s="7" customFormat="1" x14ac:dyDescent="0.2">
      <c r="A14681" s="6" t="str">
        <f>"SPAG1"</f>
        <v>SPAG1</v>
      </c>
      <c r="B14681" s="6">
        <v>0.71428571428571397</v>
      </c>
      <c r="C14681" s="6">
        <v>0.81286657782878902</v>
      </c>
    </row>
    <row r="14682" spans="1:3" s="7" customFormat="1" x14ac:dyDescent="0.2">
      <c r="A14682" s="6" t="str">
        <f>"ST18"</f>
        <v>ST18</v>
      </c>
      <c r="B14682" s="6">
        <v>0.71428571428571397</v>
      </c>
      <c r="C14682" s="6">
        <v>0.81286657782878902</v>
      </c>
    </row>
    <row r="14683" spans="1:3" s="7" customFormat="1" x14ac:dyDescent="0.2">
      <c r="A14683" s="6" t="str">
        <f>"AL671277.2"</f>
        <v>AL671277.2</v>
      </c>
      <c r="B14683" s="6">
        <v>0.71428571428571397</v>
      </c>
      <c r="C14683" s="6">
        <v>0.81286657782878902</v>
      </c>
    </row>
    <row r="14684" spans="1:3" s="7" customFormat="1" x14ac:dyDescent="0.2">
      <c r="A14684" s="6" t="str">
        <f>"AC092073.1"</f>
        <v>AC092073.1</v>
      </c>
      <c r="B14684" s="6">
        <v>0.71399999999999997</v>
      </c>
      <c r="C14684" s="6">
        <v>0.81286657782878902</v>
      </c>
    </row>
    <row r="14685" spans="1:3" s="7" customFormat="1" x14ac:dyDescent="0.2">
      <c r="A14685" s="6" t="str">
        <f>"AC018362.3"</f>
        <v>AC018362.3</v>
      </c>
      <c r="B14685" s="6">
        <v>0.71428571428571397</v>
      </c>
      <c r="C14685" s="6">
        <v>0.81286657782878902</v>
      </c>
    </row>
    <row r="14686" spans="1:3" s="7" customFormat="1" x14ac:dyDescent="0.2">
      <c r="A14686" s="6" t="str">
        <f>"AL355312.4"</f>
        <v>AL355312.4</v>
      </c>
      <c r="B14686" s="6">
        <v>0.71393034825870605</v>
      </c>
      <c r="C14686" s="6">
        <v>0.81286657782878902</v>
      </c>
    </row>
    <row r="14687" spans="1:3" s="7" customFormat="1" x14ac:dyDescent="0.2">
      <c r="A14687" s="6" t="str">
        <f>"AC010680.2"</f>
        <v>AC010680.2</v>
      </c>
      <c r="B14687" s="6">
        <v>0.71399999999999997</v>
      </c>
      <c r="C14687" s="6">
        <v>0.81286657782878902</v>
      </c>
    </row>
    <row r="14688" spans="1:3" s="7" customFormat="1" x14ac:dyDescent="0.2">
      <c r="A14688" s="6" t="str">
        <f>"KANK1"</f>
        <v>KANK1</v>
      </c>
      <c r="B14688" s="6">
        <v>0.71428571428571397</v>
      </c>
      <c r="C14688" s="6">
        <v>0.81286657782878902</v>
      </c>
    </row>
    <row r="14689" spans="1:3" s="7" customFormat="1" x14ac:dyDescent="0.2">
      <c r="A14689" s="6" t="str">
        <f>"NRG1"</f>
        <v>NRG1</v>
      </c>
      <c r="B14689" s="6">
        <v>0.71528471528471504</v>
      </c>
      <c r="C14689" s="6">
        <v>0.81372643147758805</v>
      </c>
    </row>
    <row r="14690" spans="1:3" s="7" customFormat="1" x14ac:dyDescent="0.2">
      <c r="A14690" s="6" t="str">
        <f>"PRPF6"</f>
        <v>PRPF6</v>
      </c>
      <c r="B14690" s="6">
        <v>0.71528471528471504</v>
      </c>
      <c r="C14690" s="6">
        <v>0.81372643147758805</v>
      </c>
    </row>
    <row r="14691" spans="1:3" s="7" customFormat="1" x14ac:dyDescent="0.2">
      <c r="A14691" s="6" t="str">
        <f>"C8orf31"</f>
        <v>C8orf31</v>
      </c>
      <c r="B14691" s="6">
        <v>0.71528471528471504</v>
      </c>
      <c r="C14691" s="6">
        <v>0.81372643147758805</v>
      </c>
    </row>
    <row r="14692" spans="1:3" s="7" customFormat="1" x14ac:dyDescent="0.2">
      <c r="A14692" s="6" t="str">
        <f>"MTG2"</f>
        <v>MTG2</v>
      </c>
      <c r="B14692" s="6">
        <v>0.71528471528471504</v>
      </c>
      <c r="C14692" s="6">
        <v>0.81372643147758805</v>
      </c>
    </row>
    <row r="14693" spans="1:3" s="7" customFormat="1" x14ac:dyDescent="0.2">
      <c r="A14693" s="6" t="str">
        <f>"COPS7B"</f>
        <v>COPS7B</v>
      </c>
      <c r="B14693" s="6">
        <v>0.71528471528471504</v>
      </c>
      <c r="C14693" s="6">
        <v>0.81372643147758805</v>
      </c>
    </row>
    <row r="14694" spans="1:3" s="7" customFormat="1" x14ac:dyDescent="0.2">
      <c r="A14694" s="6" t="str">
        <f>"RAB11A"</f>
        <v>RAB11A</v>
      </c>
      <c r="B14694" s="6">
        <v>0.71628371628371601</v>
      </c>
      <c r="C14694" s="6">
        <v>0.81441945809292704</v>
      </c>
    </row>
    <row r="14695" spans="1:3" s="7" customFormat="1" x14ac:dyDescent="0.2">
      <c r="A14695" s="6" t="str">
        <f>"GP2"</f>
        <v>GP2</v>
      </c>
      <c r="B14695" s="6">
        <v>0.71628371628371601</v>
      </c>
      <c r="C14695" s="6">
        <v>0.81441945809292704</v>
      </c>
    </row>
    <row r="14696" spans="1:3" s="7" customFormat="1" x14ac:dyDescent="0.2">
      <c r="A14696" s="6" t="str">
        <f>"OSR1"</f>
        <v>OSR1</v>
      </c>
      <c r="B14696" s="6">
        <v>0.71628371628371601</v>
      </c>
      <c r="C14696" s="6">
        <v>0.81441945809292704</v>
      </c>
    </row>
    <row r="14697" spans="1:3" s="7" customFormat="1" x14ac:dyDescent="0.2">
      <c r="A14697" s="6" t="str">
        <f>"NUDT13"</f>
        <v>NUDT13</v>
      </c>
      <c r="B14697" s="6">
        <v>0.71628371628371601</v>
      </c>
      <c r="C14697" s="6">
        <v>0.81441945809292704</v>
      </c>
    </row>
    <row r="14698" spans="1:3" s="7" customFormat="1" x14ac:dyDescent="0.2">
      <c r="A14698" s="6" t="str">
        <f>"UGT3A1"</f>
        <v>UGT3A1</v>
      </c>
      <c r="B14698" s="6">
        <v>0.71628371628371601</v>
      </c>
      <c r="C14698" s="6">
        <v>0.81441945809292704</v>
      </c>
    </row>
    <row r="14699" spans="1:3" s="7" customFormat="1" x14ac:dyDescent="0.2">
      <c r="A14699" s="6" t="str">
        <f>"COQ6"</f>
        <v>COQ6</v>
      </c>
      <c r="B14699" s="6">
        <v>0.71628371628371601</v>
      </c>
      <c r="C14699" s="6">
        <v>0.81441945809292704</v>
      </c>
    </row>
    <row r="14700" spans="1:3" s="7" customFormat="1" x14ac:dyDescent="0.2">
      <c r="A14700" s="6" t="str">
        <f>"PJA1"</f>
        <v>PJA1</v>
      </c>
      <c r="B14700" s="6">
        <v>0.71628371628371601</v>
      </c>
      <c r="C14700" s="6">
        <v>0.81441945809292704</v>
      </c>
    </row>
    <row r="14701" spans="1:3" s="7" customFormat="1" x14ac:dyDescent="0.2">
      <c r="A14701" s="6" t="str">
        <f>"SCAF8"</f>
        <v>SCAF8</v>
      </c>
      <c r="B14701" s="6">
        <v>0.71628371628371601</v>
      </c>
      <c r="C14701" s="6">
        <v>0.81441945809292704</v>
      </c>
    </row>
    <row r="14702" spans="1:3" s="7" customFormat="1" x14ac:dyDescent="0.2">
      <c r="A14702" s="6" t="str">
        <f>"AL589787.2"</f>
        <v>AL589787.2</v>
      </c>
      <c r="B14702" s="6">
        <v>0.71658291457286405</v>
      </c>
      <c r="C14702" s="6">
        <v>0.81470422652682495</v>
      </c>
    </row>
    <row r="14703" spans="1:3" s="7" customFormat="1" x14ac:dyDescent="0.2">
      <c r="A14703" s="6" t="str">
        <f>"RPL18"</f>
        <v>RPL18</v>
      </c>
      <c r="B14703" s="6">
        <v>0.71728271728271698</v>
      </c>
      <c r="C14703" s="6">
        <v>0.81500090663924796</v>
      </c>
    </row>
    <row r="14704" spans="1:3" s="7" customFormat="1" x14ac:dyDescent="0.2">
      <c r="A14704" s="6" t="str">
        <f>"TCP11L1"</f>
        <v>TCP11L1</v>
      </c>
      <c r="B14704" s="6">
        <v>0.71728271728271698</v>
      </c>
      <c r="C14704" s="6">
        <v>0.81500090663924796</v>
      </c>
    </row>
    <row r="14705" spans="1:3" s="7" customFormat="1" x14ac:dyDescent="0.2">
      <c r="A14705" s="6" t="str">
        <f>"CPAMD8"</f>
        <v>CPAMD8</v>
      </c>
      <c r="B14705" s="6">
        <v>0.71728271728271698</v>
      </c>
      <c r="C14705" s="6">
        <v>0.81500090663924796</v>
      </c>
    </row>
    <row r="14706" spans="1:3" s="7" customFormat="1" x14ac:dyDescent="0.2">
      <c r="A14706" s="6" t="str">
        <f>"AC025437.2"</f>
        <v>AC025437.2</v>
      </c>
      <c r="B14706" s="6">
        <v>0.71699999999999997</v>
      </c>
      <c r="C14706" s="6">
        <v>0.81500090663924796</v>
      </c>
    </row>
    <row r="14707" spans="1:3" s="7" customFormat="1" x14ac:dyDescent="0.2">
      <c r="A14707" s="6" t="str">
        <f>"EGFLAM"</f>
        <v>EGFLAM</v>
      </c>
      <c r="B14707" s="6">
        <v>0.71728271728271698</v>
      </c>
      <c r="C14707" s="6">
        <v>0.81500090663924796</v>
      </c>
    </row>
    <row r="14708" spans="1:3" s="7" customFormat="1" x14ac:dyDescent="0.2">
      <c r="A14708" s="6" t="str">
        <f>"RPS2P55"</f>
        <v>RPS2P55</v>
      </c>
      <c r="B14708" s="6">
        <v>0.71728271728271698</v>
      </c>
      <c r="C14708" s="6">
        <v>0.81500090663924796</v>
      </c>
    </row>
    <row r="14709" spans="1:3" s="7" customFormat="1" x14ac:dyDescent="0.2">
      <c r="A14709" s="6" t="str">
        <f>"ZNF524"</f>
        <v>ZNF524</v>
      </c>
      <c r="B14709" s="6">
        <v>0.71728271728271698</v>
      </c>
      <c r="C14709" s="6">
        <v>0.81500090663924796</v>
      </c>
    </row>
    <row r="14710" spans="1:3" s="7" customFormat="1" x14ac:dyDescent="0.2">
      <c r="A14710" s="6" t="str">
        <f>"FRMD1"</f>
        <v>FRMD1</v>
      </c>
      <c r="B14710" s="6">
        <v>0.71728271728271698</v>
      </c>
      <c r="C14710" s="6">
        <v>0.81500090663924796</v>
      </c>
    </row>
    <row r="14711" spans="1:3" s="7" customFormat="1" x14ac:dyDescent="0.2">
      <c r="A14711" s="6" t="str">
        <f>"SNUPN"</f>
        <v>SNUPN</v>
      </c>
      <c r="B14711" s="6">
        <v>0.71728271728271698</v>
      </c>
      <c r="C14711" s="6">
        <v>0.81500090663924796</v>
      </c>
    </row>
    <row r="14712" spans="1:3" s="7" customFormat="1" x14ac:dyDescent="0.2">
      <c r="A14712" s="6" t="str">
        <f>"RPL12P27"</f>
        <v>RPL12P27</v>
      </c>
      <c r="B14712" s="6">
        <v>0.71799999999999997</v>
      </c>
      <c r="C14712" s="6">
        <v>0.81570500271886803</v>
      </c>
    </row>
    <row r="14713" spans="1:3" s="7" customFormat="1" x14ac:dyDescent="0.2">
      <c r="A14713" s="6" t="str">
        <f>"SIRT4"</f>
        <v>SIRT4</v>
      </c>
      <c r="B14713" s="6">
        <v>0.71799999999999997</v>
      </c>
      <c r="C14713" s="6">
        <v>0.81570500271886803</v>
      </c>
    </row>
    <row r="14714" spans="1:3" s="7" customFormat="1" x14ac:dyDescent="0.2">
      <c r="A14714" s="6" t="str">
        <f>"STIM2"</f>
        <v>STIM2</v>
      </c>
      <c r="B14714" s="6">
        <v>0.71828171828171805</v>
      </c>
      <c r="C14714" s="6">
        <v>0.81585869108804798</v>
      </c>
    </row>
    <row r="14715" spans="1:3" s="7" customFormat="1" x14ac:dyDescent="0.2">
      <c r="A14715" s="6" t="str">
        <f>"CORO7"</f>
        <v>CORO7</v>
      </c>
      <c r="B14715" s="6">
        <v>0.71828171828171805</v>
      </c>
      <c r="C14715" s="6">
        <v>0.81585869108804798</v>
      </c>
    </row>
    <row r="14716" spans="1:3" s="7" customFormat="1" x14ac:dyDescent="0.2">
      <c r="A14716" s="6" t="str">
        <f>"DPYSL4"</f>
        <v>DPYSL4</v>
      </c>
      <c r="B14716" s="6">
        <v>0.71828171828171805</v>
      </c>
      <c r="C14716" s="6">
        <v>0.81585869108804798</v>
      </c>
    </row>
    <row r="14717" spans="1:3" s="7" customFormat="1" x14ac:dyDescent="0.2">
      <c r="A14717" s="6" t="str">
        <f>"AC002116.2"</f>
        <v>AC002116.2</v>
      </c>
      <c r="B14717" s="6">
        <v>0.71847826086956501</v>
      </c>
      <c r="C14717" s="6">
        <v>0.81602647813087203</v>
      </c>
    </row>
    <row r="14718" spans="1:3" s="7" customFormat="1" x14ac:dyDescent="0.2">
      <c r="A14718" s="6" t="str">
        <f>"RBM15-AS1"</f>
        <v>RBM15-AS1</v>
      </c>
      <c r="B14718" s="6">
        <v>0.71897435897435902</v>
      </c>
      <c r="C14718" s="6">
        <v>0.81653444560015198</v>
      </c>
    </row>
    <row r="14719" spans="1:3" s="7" customFormat="1" x14ac:dyDescent="0.2">
      <c r="A14719" s="6" t="str">
        <f>"NCBP2L"</f>
        <v>NCBP2L</v>
      </c>
      <c r="B14719" s="6">
        <v>0.71928071928071902</v>
      </c>
      <c r="C14719" s="6">
        <v>0.81671589280284895</v>
      </c>
    </row>
    <row r="14720" spans="1:3" s="7" customFormat="1" x14ac:dyDescent="0.2">
      <c r="A14720" s="6" t="str">
        <f>"SNHG7"</f>
        <v>SNHG7</v>
      </c>
      <c r="B14720" s="6">
        <v>0.71928071928071902</v>
      </c>
      <c r="C14720" s="6">
        <v>0.81671589280284895</v>
      </c>
    </row>
    <row r="14721" spans="1:3" s="7" customFormat="1" x14ac:dyDescent="0.2">
      <c r="A14721" s="6" t="str">
        <f>"AL590560.2"</f>
        <v>AL590560.2</v>
      </c>
      <c r="B14721" s="6">
        <v>0.71928071928071902</v>
      </c>
      <c r="C14721" s="6">
        <v>0.81671589280284895</v>
      </c>
    </row>
    <row r="14722" spans="1:3" s="7" customFormat="1" x14ac:dyDescent="0.2">
      <c r="A14722" s="6" t="str">
        <f>"AC011462.4"</f>
        <v>AC011462.4</v>
      </c>
      <c r="B14722" s="6">
        <v>0.719758064516129</v>
      </c>
      <c r="C14722" s="6">
        <v>0.8172023836915</v>
      </c>
    </row>
    <row r="14723" spans="1:3" s="7" customFormat="1" x14ac:dyDescent="0.2">
      <c r="A14723" s="6" t="str">
        <f>"SLBP"</f>
        <v>SLBP</v>
      </c>
      <c r="B14723" s="6">
        <v>0.72027972027971998</v>
      </c>
      <c r="C14723" s="6">
        <v>0.81740597805236503</v>
      </c>
    </row>
    <row r="14724" spans="1:3" s="7" customFormat="1" x14ac:dyDescent="0.2">
      <c r="A14724" s="6" t="str">
        <f>"FUBP3"</f>
        <v>FUBP3</v>
      </c>
      <c r="B14724" s="6">
        <v>0.72027972027971998</v>
      </c>
      <c r="C14724" s="6">
        <v>0.81740597805236503</v>
      </c>
    </row>
    <row r="14725" spans="1:3" s="7" customFormat="1" x14ac:dyDescent="0.2">
      <c r="A14725" s="6" t="str">
        <f>"ANKRD36BP2"</f>
        <v>ANKRD36BP2</v>
      </c>
      <c r="B14725" s="6">
        <v>0.72027972027971998</v>
      </c>
      <c r="C14725" s="6">
        <v>0.81740597805236503</v>
      </c>
    </row>
    <row r="14726" spans="1:3" s="7" customFormat="1" x14ac:dyDescent="0.2">
      <c r="A14726" s="6" t="str">
        <f>"PRSS23"</f>
        <v>PRSS23</v>
      </c>
      <c r="B14726" s="6">
        <v>0.72027972027971998</v>
      </c>
      <c r="C14726" s="6">
        <v>0.81740597805236503</v>
      </c>
    </row>
    <row r="14727" spans="1:3" s="7" customFormat="1" x14ac:dyDescent="0.2">
      <c r="A14727" s="6" t="str">
        <f>"UBL7"</f>
        <v>UBL7</v>
      </c>
      <c r="B14727" s="6">
        <v>0.72027972027971998</v>
      </c>
      <c r="C14727" s="6">
        <v>0.81740597805236503</v>
      </c>
    </row>
    <row r="14728" spans="1:3" s="7" customFormat="1" x14ac:dyDescent="0.2">
      <c r="A14728" s="6" t="str">
        <f>"AC006116.9"</f>
        <v>AC006116.9</v>
      </c>
      <c r="B14728" s="6">
        <v>0.72027972027971998</v>
      </c>
      <c r="C14728" s="6">
        <v>0.81740597805236503</v>
      </c>
    </row>
    <row r="14729" spans="1:3" s="7" customFormat="1" x14ac:dyDescent="0.2">
      <c r="A14729" s="6" t="str">
        <f>"COQ9"</f>
        <v>COQ9</v>
      </c>
      <c r="B14729" s="6">
        <v>0.72027972027971998</v>
      </c>
      <c r="C14729" s="6">
        <v>0.81740597805236503</v>
      </c>
    </row>
    <row r="14730" spans="1:3" s="7" customFormat="1" x14ac:dyDescent="0.2">
      <c r="A14730" s="6" t="str">
        <f>"TMEM191B"</f>
        <v>TMEM191B</v>
      </c>
      <c r="B14730" s="6">
        <v>0.72127872127872095</v>
      </c>
      <c r="C14730" s="6">
        <v>0.81809531402365199</v>
      </c>
    </row>
    <row r="14731" spans="1:3" s="7" customFormat="1" x14ac:dyDescent="0.2">
      <c r="A14731" s="6" t="str">
        <f>"PAPSS2"</f>
        <v>PAPSS2</v>
      </c>
      <c r="B14731" s="6">
        <v>0.72127872127872095</v>
      </c>
      <c r="C14731" s="6">
        <v>0.81809531402365199</v>
      </c>
    </row>
    <row r="14732" spans="1:3" s="7" customFormat="1" x14ac:dyDescent="0.2">
      <c r="A14732" s="6" t="str">
        <f>"TBX18"</f>
        <v>TBX18</v>
      </c>
      <c r="B14732" s="6">
        <v>0.72127872127872095</v>
      </c>
      <c r="C14732" s="6">
        <v>0.81809531402365199</v>
      </c>
    </row>
    <row r="14733" spans="1:3" s="7" customFormat="1" x14ac:dyDescent="0.2">
      <c r="A14733" s="6" t="str">
        <f>"AC003005.1"</f>
        <v>AC003005.1</v>
      </c>
      <c r="B14733" s="6">
        <v>0.72127872127872095</v>
      </c>
      <c r="C14733" s="6">
        <v>0.81809531402365199</v>
      </c>
    </row>
    <row r="14734" spans="1:3" s="7" customFormat="1" x14ac:dyDescent="0.2">
      <c r="A14734" s="6" t="str">
        <f>"AC114490.1"</f>
        <v>AC114490.1</v>
      </c>
      <c r="B14734" s="6">
        <v>0.72127872127872095</v>
      </c>
      <c r="C14734" s="6">
        <v>0.81809531402365199</v>
      </c>
    </row>
    <row r="14735" spans="1:3" s="7" customFormat="1" x14ac:dyDescent="0.2">
      <c r="A14735" s="6" t="str">
        <f>"ZNF142"</f>
        <v>ZNF142</v>
      </c>
      <c r="B14735" s="6">
        <v>0.72127872127872095</v>
      </c>
      <c r="C14735" s="6">
        <v>0.81809531402365199</v>
      </c>
    </row>
    <row r="14736" spans="1:3" s="7" customFormat="1" x14ac:dyDescent="0.2">
      <c r="A14736" s="6" t="str">
        <f>"STK4-AS1"</f>
        <v>STK4-AS1</v>
      </c>
      <c r="B14736" s="6">
        <v>0.72127872127872095</v>
      </c>
      <c r="C14736" s="6">
        <v>0.81809531402365199</v>
      </c>
    </row>
    <row r="14737" spans="1:3" s="7" customFormat="1" x14ac:dyDescent="0.2">
      <c r="A14737" s="6" t="str">
        <f>"ZFP41"</f>
        <v>ZFP41</v>
      </c>
      <c r="B14737" s="6">
        <v>0.72127872127872095</v>
      </c>
      <c r="C14737" s="6">
        <v>0.81809531402365199</v>
      </c>
    </row>
    <row r="14738" spans="1:3" s="7" customFormat="1" x14ac:dyDescent="0.2">
      <c r="A14738" s="6" t="str">
        <f>"AC017050.1"</f>
        <v>AC017050.1</v>
      </c>
      <c r="B14738" s="6">
        <v>0.721721721721721</v>
      </c>
      <c r="C14738" s="6">
        <v>0.81854223090567002</v>
      </c>
    </row>
    <row r="14739" spans="1:3" s="7" customFormat="1" x14ac:dyDescent="0.2">
      <c r="A14739" s="6" t="str">
        <f>"CSTF1"</f>
        <v>CSTF1</v>
      </c>
      <c r="B14739" s="6">
        <v>0.72227772227772202</v>
      </c>
      <c r="C14739" s="6">
        <v>0.818839439065987</v>
      </c>
    </row>
    <row r="14740" spans="1:3" s="7" customFormat="1" x14ac:dyDescent="0.2">
      <c r="A14740" s="6" t="str">
        <f>"FBXW11"</f>
        <v>FBXW11</v>
      </c>
      <c r="B14740" s="6">
        <v>0.72227772227772202</v>
      </c>
      <c r="C14740" s="6">
        <v>0.818839439065987</v>
      </c>
    </row>
    <row r="14741" spans="1:3" s="7" customFormat="1" x14ac:dyDescent="0.2">
      <c r="A14741" s="6" t="str">
        <f>"NAP1L1P1"</f>
        <v>NAP1L1P1</v>
      </c>
      <c r="B14741" s="6">
        <v>0.72222222222222199</v>
      </c>
      <c r="C14741" s="6">
        <v>0.818839439065987</v>
      </c>
    </row>
    <row r="14742" spans="1:3" s="7" customFormat="1" x14ac:dyDescent="0.2">
      <c r="A14742" s="6" t="str">
        <f>"MUC7"</f>
        <v>MUC7</v>
      </c>
      <c r="B14742" s="6">
        <v>0.72227772227772202</v>
      </c>
      <c r="C14742" s="6">
        <v>0.818839439065987</v>
      </c>
    </row>
    <row r="14743" spans="1:3" s="7" customFormat="1" x14ac:dyDescent="0.2">
      <c r="A14743" s="6" t="str">
        <f>"AC069544.2"</f>
        <v>AC069544.2</v>
      </c>
      <c r="B14743" s="6">
        <v>0.72227772227772202</v>
      </c>
      <c r="C14743" s="6">
        <v>0.818839439065987</v>
      </c>
    </row>
    <row r="14744" spans="1:3" s="7" customFormat="1" x14ac:dyDescent="0.2">
      <c r="A14744" s="6" t="str">
        <f>"TCEAL4"</f>
        <v>TCEAL4</v>
      </c>
      <c r="B14744" s="6">
        <v>0.72227772227772202</v>
      </c>
      <c r="C14744" s="6">
        <v>0.818839439065987</v>
      </c>
    </row>
    <row r="14745" spans="1:3" s="7" customFormat="1" x14ac:dyDescent="0.2">
      <c r="A14745" s="6" t="str">
        <f>"ACTRT3"</f>
        <v>ACTRT3</v>
      </c>
      <c r="B14745" s="6">
        <v>0.72249388753056198</v>
      </c>
      <c r="C14745" s="6">
        <v>0.81902894982269503</v>
      </c>
    </row>
    <row r="14746" spans="1:3" s="7" customFormat="1" x14ac:dyDescent="0.2">
      <c r="A14746" s="6" t="str">
        <f>"ATP1A3"</f>
        <v>ATP1A3</v>
      </c>
      <c r="B14746" s="6">
        <v>0.72272272272272198</v>
      </c>
      <c r="C14746" s="6">
        <v>0.81923279671668903</v>
      </c>
    </row>
    <row r="14747" spans="1:3" s="7" customFormat="1" x14ac:dyDescent="0.2">
      <c r="A14747" s="6" t="str">
        <f>"SNRNP200"</f>
        <v>SNRNP200</v>
      </c>
      <c r="B14747" s="6">
        <v>0.72327672327672299</v>
      </c>
      <c r="C14747" s="6">
        <v>0.81941619689874201</v>
      </c>
    </row>
    <row r="14748" spans="1:3" s="7" customFormat="1" x14ac:dyDescent="0.2">
      <c r="A14748" s="6" t="str">
        <f>"FCSK"</f>
        <v>FCSK</v>
      </c>
      <c r="B14748" s="6">
        <v>0.72327672327672299</v>
      </c>
      <c r="C14748" s="6">
        <v>0.81941619689874201</v>
      </c>
    </row>
    <row r="14749" spans="1:3" s="7" customFormat="1" x14ac:dyDescent="0.2">
      <c r="A14749" s="6" t="str">
        <f>"HOXB1"</f>
        <v>HOXB1</v>
      </c>
      <c r="B14749" s="6">
        <v>0.72327672327672299</v>
      </c>
      <c r="C14749" s="6">
        <v>0.81941619689874201</v>
      </c>
    </row>
    <row r="14750" spans="1:3" s="7" customFormat="1" x14ac:dyDescent="0.2">
      <c r="A14750" s="6" t="str">
        <f>"DUSP15"</f>
        <v>DUSP15</v>
      </c>
      <c r="B14750" s="6">
        <v>0.72327672327672299</v>
      </c>
      <c r="C14750" s="6">
        <v>0.81941619689874201</v>
      </c>
    </row>
    <row r="14751" spans="1:3" s="7" customFormat="1" x14ac:dyDescent="0.2">
      <c r="A14751" s="6" t="str">
        <f>"KIAA1328"</f>
        <v>KIAA1328</v>
      </c>
      <c r="B14751" s="6">
        <v>0.72327672327672299</v>
      </c>
      <c r="C14751" s="6">
        <v>0.81941619689874201</v>
      </c>
    </row>
    <row r="14752" spans="1:3" s="7" customFormat="1" x14ac:dyDescent="0.2">
      <c r="A14752" s="6" t="str">
        <f>"NPR2"</f>
        <v>NPR2</v>
      </c>
      <c r="B14752" s="6">
        <v>0.72327672327672299</v>
      </c>
      <c r="C14752" s="6">
        <v>0.81941619689874201</v>
      </c>
    </row>
    <row r="14753" spans="1:3" s="7" customFormat="1" x14ac:dyDescent="0.2">
      <c r="A14753" s="6" t="str">
        <f>"C18orf54"</f>
        <v>C18orf54</v>
      </c>
      <c r="B14753" s="6">
        <v>0.72327672327672299</v>
      </c>
      <c r="C14753" s="6">
        <v>0.81941619689874201</v>
      </c>
    </row>
    <row r="14754" spans="1:3" s="7" customFormat="1" x14ac:dyDescent="0.2">
      <c r="A14754" s="6" t="str">
        <f>"ICOSLG"</f>
        <v>ICOSLG</v>
      </c>
      <c r="B14754" s="6">
        <v>0.72327672327672299</v>
      </c>
      <c r="C14754" s="6">
        <v>0.81941619689874201</v>
      </c>
    </row>
    <row r="14755" spans="1:3" s="7" customFormat="1" x14ac:dyDescent="0.2">
      <c r="A14755" s="6" t="str">
        <f>"AC092119.3"</f>
        <v>AC092119.3</v>
      </c>
      <c r="B14755" s="6">
        <v>0.72344689378757498</v>
      </c>
      <c r="C14755" s="6">
        <v>0.81955343518811996</v>
      </c>
    </row>
    <row r="14756" spans="1:3" s="7" customFormat="1" x14ac:dyDescent="0.2">
      <c r="A14756" s="6" t="str">
        <f>"NR1I3"</f>
        <v>NR1I3</v>
      </c>
      <c r="B14756" s="6">
        <v>0.72399999999999998</v>
      </c>
      <c r="C14756" s="6">
        <v>0.82012443239579802</v>
      </c>
    </row>
    <row r="14757" spans="1:3" s="7" customFormat="1" x14ac:dyDescent="0.2">
      <c r="A14757" s="6" t="str">
        <f>"NRDC"</f>
        <v>NRDC</v>
      </c>
      <c r="B14757" s="6">
        <v>0.72427572427572395</v>
      </c>
      <c r="C14757" s="6">
        <v>0.82015883845152104</v>
      </c>
    </row>
    <row r="14758" spans="1:3" s="7" customFormat="1" x14ac:dyDescent="0.2">
      <c r="A14758" s="6" t="str">
        <f>"MRM2"</f>
        <v>MRM2</v>
      </c>
      <c r="B14758" s="6">
        <v>0.72427572427572395</v>
      </c>
      <c r="C14758" s="6">
        <v>0.82015883845152104</v>
      </c>
    </row>
    <row r="14759" spans="1:3" s="7" customFormat="1" x14ac:dyDescent="0.2">
      <c r="A14759" s="6" t="str">
        <f>"AMBRA1"</f>
        <v>AMBRA1</v>
      </c>
      <c r="B14759" s="6">
        <v>0.72427572427572395</v>
      </c>
      <c r="C14759" s="6">
        <v>0.82015883845152104</v>
      </c>
    </row>
    <row r="14760" spans="1:3" s="7" customFormat="1" x14ac:dyDescent="0.2">
      <c r="A14760" s="6" t="str">
        <f>"WARS1"</f>
        <v>WARS1</v>
      </c>
      <c r="B14760" s="6">
        <v>0.72427572427572395</v>
      </c>
      <c r="C14760" s="6">
        <v>0.82015883845152104</v>
      </c>
    </row>
    <row r="14761" spans="1:3" s="7" customFormat="1" x14ac:dyDescent="0.2">
      <c r="A14761" s="6" t="str">
        <f>"TAS2R5"</f>
        <v>TAS2R5</v>
      </c>
      <c r="B14761" s="6">
        <v>0.72427572427572395</v>
      </c>
      <c r="C14761" s="6">
        <v>0.82015883845152104</v>
      </c>
    </row>
    <row r="14762" spans="1:3" s="7" customFormat="1" x14ac:dyDescent="0.2">
      <c r="A14762" s="6" t="str">
        <f>"GTF2H4"</f>
        <v>GTF2H4</v>
      </c>
      <c r="B14762" s="6">
        <v>0.72527472527472503</v>
      </c>
      <c r="C14762" s="6">
        <v>0.82090077593565103</v>
      </c>
    </row>
    <row r="14763" spans="1:3" s="7" customFormat="1" x14ac:dyDescent="0.2">
      <c r="A14763" s="6" t="str">
        <f>"GBP1P1"</f>
        <v>GBP1P1</v>
      </c>
      <c r="B14763" s="6">
        <v>0.72527472527472503</v>
      </c>
      <c r="C14763" s="6">
        <v>0.82090077593565103</v>
      </c>
    </row>
    <row r="14764" spans="1:3" s="7" customFormat="1" x14ac:dyDescent="0.2">
      <c r="A14764" s="6" t="str">
        <f>"CAB39"</f>
        <v>CAB39</v>
      </c>
      <c r="B14764" s="6">
        <v>0.72527472527472503</v>
      </c>
      <c r="C14764" s="6">
        <v>0.82090077593565103</v>
      </c>
    </row>
    <row r="14765" spans="1:3" s="7" customFormat="1" x14ac:dyDescent="0.2">
      <c r="A14765" s="6" t="str">
        <f>"MPZL1"</f>
        <v>MPZL1</v>
      </c>
      <c r="B14765" s="6">
        <v>0.72527472527472503</v>
      </c>
      <c r="C14765" s="6">
        <v>0.82090077593565103</v>
      </c>
    </row>
    <row r="14766" spans="1:3" s="7" customFormat="1" x14ac:dyDescent="0.2">
      <c r="A14766" s="6" t="str">
        <f>"STIMATE"</f>
        <v>STIMATE</v>
      </c>
      <c r="B14766" s="6">
        <v>0.72527472527472503</v>
      </c>
      <c r="C14766" s="6">
        <v>0.82090077593565103</v>
      </c>
    </row>
    <row r="14767" spans="1:3" s="7" customFormat="1" x14ac:dyDescent="0.2">
      <c r="A14767" s="6" t="str">
        <f>"MBNL3"</f>
        <v>MBNL3</v>
      </c>
      <c r="B14767" s="6">
        <v>0.72527472527472503</v>
      </c>
      <c r="C14767" s="6">
        <v>0.82090077593565103</v>
      </c>
    </row>
    <row r="14768" spans="1:3" s="7" customFormat="1" x14ac:dyDescent="0.2">
      <c r="A14768" s="6" t="str">
        <f>"DHX33"</f>
        <v>DHX33</v>
      </c>
      <c r="B14768" s="6">
        <v>0.72527472527472503</v>
      </c>
      <c r="C14768" s="6">
        <v>0.82090077593565103</v>
      </c>
    </row>
    <row r="14769" spans="1:3" s="7" customFormat="1" x14ac:dyDescent="0.2">
      <c r="A14769" s="6" t="str">
        <f>"SMPDL3A"</f>
        <v>SMPDL3A</v>
      </c>
      <c r="B14769" s="6">
        <v>0.72627372627372599</v>
      </c>
      <c r="C14769" s="6">
        <v>0.82186452680697697</v>
      </c>
    </row>
    <row r="14770" spans="1:3" s="7" customFormat="1" x14ac:dyDescent="0.2">
      <c r="A14770" s="6" t="str">
        <f>"NOA1"</f>
        <v>NOA1</v>
      </c>
      <c r="B14770" s="6">
        <v>0.72627372627372599</v>
      </c>
      <c r="C14770" s="6">
        <v>0.82186452680697697</v>
      </c>
    </row>
    <row r="14771" spans="1:3" s="7" customFormat="1" x14ac:dyDescent="0.2">
      <c r="A14771" s="6" t="str">
        <f>"CLEC4F"</f>
        <v>CLEC4F</v>
      </c>
      <c r="B14771" s="6">
        <v>0.72627372627372599</v>
      </c>
      <c r="C14771" s="6">
        <v>0.82186452680697697</v>
      </c>
    </row>
    <row r="14772" spans="1:3" s="7" customFormat="1" x14ac:dyDescent="0.2">
      <c r="A14772" s="6" t="str">
        <f>"PANK2-AS1"</f>
        <v>PANK2-AS1</v>
      </c>
      <c r="B14772" s="6">
        <v>0.726726726726726</v>
      </c>
      <c r="C14772" s="6">
        <v>0.82232147522242904</v>
      </c>
    </row>
    <row r="14773" spans="1:3" s="7" customFormat="1" x14ac:dyDescent="0.2">
      <c r="A14773" s="6" t="str">
        <f>"SNHG17"</f>
        <v>SNHG17</v>
      </c>
      <c r="B14773" s="6">
        <v>0.72727272727272696</v>
      </c>
      <c r="C14773" s="6">
        <v>0.822382542699165</v>
      </c>
    </row>
    <row r="14774" spans="1:3" s="7" customFormat="1" x14ac:dyDescent="0.2">
      <c r="A14774" s="6" t="str">
        <f>"FAM219B"</f>
        <v>FAM219B</v>
      </c>
      <c r="B14774" s="6">
        <v>0.72727272727272696</v>
      </c>
      <c r="C14774" s="6">
        <v>0.822382542699165</v>
      </c>
    </row>
    <row r="14775" spans="1:3" s="7" customFormat="1" x14ac:dyDescent="0.2">
      <c r="A14775" s="6" t="str">
        <f>"SLC35B2"</f>
        <v>SLC35B2</v>
      </c>
      <c r="B14775" s="6">
        <v>0.72727272727272696</v>
      </c>
      <c r="C14775" s="6">
        <v>0.822382542699165</v>
      </c>
    </row>
    <row r="14776" spans="1:3" s="7" customFormat="1" x14ac:dyDescent="0.2">
      <c r="A14776" s="6" t="str">
        <f>"SMIM33"</f>
        <v>SMIM33</v>
      </c>
      <c r="B14776" s="6">
        <v>0.72727272727272696</v>
      </c>
      <c r="C14776" s="6">
        <v>0.822382542699165</v>
      </c>
    </row>
    <row r="14777" spans="1:3" s="7" customFormat="1" x14ac:dyDescent="0.2">
      <c r="A14777" s="6" t="str">
        <f>"LINC02635"</f>
        <v>LINC02635</v>
      </c>
      <c r="B14777" s="6">
        <v>0.72727272727272696</v>
      </c>
      <c r="C14777" s="6">
        <v>0.822382542699165</v>
      </c>
    </row>
    <row r="14778" spans="1:3" s="7" customFormat="1" x14ac:dyDescent="0.2">
      <c r="A14778" s="6" t="str">
        <f>"AC133552.2"</f>
        <v>AC133552.2</v>
      </c>
      <c r="B14778" s="6">
        <v>0.72718154463390094</v>
      </c>
      <c r="C14778" s="6">
        <v>0.822382542699165</v>
      </c>
    </row>
    <row r="14779" spans="1:3" s="7" customFormat="1" x14ac:dyDescent="0.2">
      <c r="A14779" s="6" t="str">
        <f>"ARMCX5-GPRASP2"</f>
        <v>ARMCX5-GPRASP2</v>
      </c>
      <c r="B14779" s="6">
        <v>0.72727272727272696</v>
      </c>
      <c r="C14779" s="6">
        <v>0.822382542699165</v>
      </c>
    </row>
    <row r="14780" spans="1:3" s="7" customFormat="1" x14ac:dyDescent="0.2">
      <c r="A14780" s="6" t="str">
        <f>"CD1A"</f>
        <v>CD1A</v>
      </c>
      <c r="B14780" s="6">
        <v>0.72727272727272696</v>
      </c>
      <c r="C14780" s="6">
        <v>0.822382542699165</v>
      </c>
    </row>
    <row r="14781" spans="1:3" s="7" customFormat="1" x14ac:dyDescent="0.2">
      <c r="A14781" s="6" t="str">
        <f>"IRF2BP1"</f>
        <v>IRF2BP1</v>
      </c>
      <c r="B14781" s="6">
        <v>0.72727272727272696</v>
      </c>
      <c r="C14781" s="6">
        <v>0.822382542699165</v>
      </c>
    </row>
    <row r="14782" spans="1:3" s="7" customFormat="1" x14ac:dyDescent="0.2">
      <c r="A14782" s="6" t="str">
        <f>"NHLH2"</f>
        <v>NHLH2</v>
      </c>
      <c r="B14782" s="6">
        <v>0.72727272727272696</v>
      </c>
      <c r="C14782" s="6">
        <v>0.822382542699165</v>
      </c>
    </row>
    <row r="14783" spans="1:3" s="7" customFormat="1" x14ac:dyDescent="0.2">
      <c r="A14783" s="6" t="str">
        <f>"AL139317.3"</f>
        <v>AL139317.3</v>
      </c>
      <c r="B14783" s="6">
        <v>0.72745490981963901</v>
      </c>
      <c r="C14783" s="6">
        <v>0.82253290236270105</v>
      </c>
    </row>
    <row r="14784" spans="1:3" s="7" customFormat="1" x14ac:dyDescent="0.2">
      <c r="A14784" s="6" t="str">
        <f>"OLA1P3"</f>
        <v>OLA1P3</v>
      </c>
      <c r="B14784" s="6">
        <v>0.727638190954773</v>
      </c>
      <c r="C14784" s="6">
        <v>0.82268448377312298</v>
      </c>
    </row>
    <row r="14785" spans="1:3" s="7" customFormat="1" x14ac:dyDescent="0.2">
      <c r="A14785" s="6" t="str">
        <f>"AC024337.1"</f>
        <v>AC024337.1</v>
      </c>
      <c r="B14785" s="6">
        <v>0.72772772772772698</v>
      </c>
      <c r="C14785" s="6">
        <v>0.82273006231339496</v>
      </c>
    </row>
    <row r="14786" spans="1:3" s="7" customFormat="1" x14ac:dyDescent="0.2">
      <c r="A14786" s="6" t="str">
        <f>"MIA2"</f>
        <v>MIA2</v>
      </c>
      <c r="B14786" s="6">
        <v>0.72827172827172804</v>
      </c>
      <c r="C14786" s="6">
        <v>0.82278854037675098</v>
      </c>
    </row>
    <row r="14787" spans="1:3" s="7" customFormat="1" x14ac:dyDescent="0.2">
      <c r="A14787" s="6" t="str">
        <f>"GNAS"</f>
        <v>GNAS</v>
      </c>
      <c r="B14787" s="6">
        <v>0.72827172827172804</v>
      </c>
      <c r="C14787" s="6">
        <v>0.82278854037675098</v>
      </c>
    </row>
    <row r="14788" spans="1:3" s="7" customFormat="1" x14ac:dyDescent="0.2">
      <c r="A14788" s="6" t="str">
        <f>"AC100861.1"</f>
        <v>AC100861.1</v>
      </c>
      <c r="B14788" s="6">
        <v>0.72827172827172804</v>
      </c>
      <c r="C14788" s="6">
        <v>0.82278854037675098</v>
      </c>
    </row>
    <row r="14789" spans="1:3" s="7" customFormat="1" x14ac:dyDescent="0.2">
      <c r="A14789" s="6" t="str">
        <f>"UTP14A"</f>
        <v>UTP14A</v>
      </c>
      <c r="B14789" s="6">
        <v>0.72827172827172804</v>
      </c>
      <c r="C14789" s="6">
        <v>0.82278854037675098</v>
      </c>
    </row>
    <row r="14790" spans="1:3" s="7" customFormat="1" x14ac:dyDescent="0.2">
      <c r="A14790" s="6" t="str">
        <f>"AL033527.2"</f>
        <v>AL033527.2</v>
      </c>
      <c r="B14790" s="6">
        <v>0.72827172827172804</v>
      </c>
      <c r="C14790" s="6">
        <v>0.82278854037675098</v>
      </c>
    </row>
    <row r="14791" spans="1:3" s="7" customFormat="1" x14ac:dyDescent="0.2">
      <c r="A14791" s="6" t="str">
        <f>"AL139142.2"</f>
        <v>AL139142.2</v>
      </c>
      <c r="B14791" s="6">
        <v>0.72827172827172804</v>
      </c>
      <c r="C14791" s="6">
        <v>0.82278854037675098</v>
      </c>
    </row>
    <row r="14792" spans="1:3" s="7" customFormat="1" x14ac:dyDescent="0.2">
      <c r="A14792" s="6" t="str">
        <f>"PAK1IP1"</f>
        <v>PAK1IP1</v>
      </c>
      <c r="B14792" s="6">
        <v>0.72827172827172804</v>
      </c>
      <c r="C14792" s="6">
        <v>0.82278854037675098</v>
      </c>
    </row>
    <row r="14793" spans="1:3" s="7" customFormat="1" x14ac:dyDescent="0.2">
      <c r="A14793" s="6" t="str">
        <f>"TIRAP"</f>
        <v>TIRAP</v>
      </c>
      <c r="B14793" s="6">
        <v>0.72827172827172804</v>
      </c>
      <c r="C14793" s="6">
        <v>0.82278854037675098</v>
      </c>
    </row>
    <row r="14794" spans="1:3" s="7" customFormat="1" x14ac:dyDescent="0.2">
      <c r="A14794" s="6" t="str">
        <f>"LINC01301"</f>
        <v>LINC01301</v>
      </c>
      <c r="B14794" s="6">
        <v>0.72827172827172804</v>
      </c>
      <c r="C14794" s="6">
        <v>0.82278854037675098</v>
      </c>
    </row>
    <row r="14795" spans="1:3" s="7" customFormat="1" x14ac:dyDescent="0.2">
      <c r="A14795" s="6" t="str">
        <f>"DNAJB2"</f>
        <v>DNAJB2</v>
      </c>
      <c r="B14795" s="6">
        <v>0.72827172827172804</v>
      </c>
      <c r="C14795" s="6">
        <v>0.82278854037675098</v>
      </c>
    </row>
    <row r="14796" spans="1:3" s="7" customFormat="1" x14ac:dyDescent="0.2">
      <c r="A14796" s="6" t="str">
        <f>"AL136981.2"</f>
        <v>AL136981.2</v>
      </c>
      <c r="B14796" s="6">
        <v>0.72863247863247804</v>
      </c>
      <c r="C14796" s="6">
        <v>0.82314046960887099</v>
      </c>
    </row>
    <row r="14797" spans="1:3" s="7" customFormat="1" x14ac:dyDescent="0.2">
      <c r="A14797" s="6" t="str">
        <f>"TOMM20"</f>
        <v>TOMM20</v>
      </c>
      <c r="B14797" s="6">
        <v>0.729270729270729</v>
      </c>
      <c r="C14797" s="6">
        <v>0.82336064367947603</v>
      </c>
    </row>
    <row r="14798" spans="1:3" s="7" customFormat="1" x14ac:dyDescent="0.2">
      <c r="A14798" s="6" t="str">
        <f>"AL590560.3"</f>
        <v>AL590560.3</v>
      </c>
      <c r="B14798" s="6">
        <v>0.729270729270729</v>
      </c>
      <c r="C14798" s="6">
        <v>0.82336064367947603</v>
      </c>
    </row>
    <row r="14799" spans="1:3" s="7" customFormat="1" x14ac:dyDescent="0.2">
      <c r="A14799" s="6" t="str">
        <f>"THAP9"</f>
        <v>THAP9</v>
      </c>
      <c r="B14799" s="6">
        <v>0.729270729270729</v>
      </c>
      <c r="C14799" s="6">
        <v>0.82336064367947603</v>
      </c>
    </row>
    <row r="14800" spans="1:3" s="7" customFormat="1" x14ac:dyDescent="0.2">
      <c r="A14800" s="6" t="str">
        <f>"PRKAB1"</f>
        <v>PRKAB1</v>
      </c>
      <c r="B14800" s="6">
        <v>0.729270729270729</v>
      </c>
      <c r="C14800" s="6">
        <v>0.82336064367947603</v>
      </c>
    </row>
    <row r="14801" spans="1:3" s="7" customFormat="1" x14ac:dyDescent="0.2">
      <c r="A14801" s="6" t="str">
        <f>"AL096854.1"</f>
        <v>AL096854.1</v>
      </c>
      <c r="B14801" s="6">
        <v>0.72910372608257801</v>
      </c>
      <c r="C14801" s="6">
        <v>0.82336064367947603</v>
      </c>
    </row>
    <row r="14802" spans="1:3" s="7" customFormat="1" x14ac:dyDescent="0.2">
      <c r="A14802" s="6" t="str">
        <f>"OR52K1"</f>
        <v>OR52K1</v>
      </c>
      <c r="B14802" s="6">
        <v>0.72899999999999998</v>
      </c>
      <c r="C14802" s="6">
        <v>0.82336064367947603</v>
      </c>
    </row>
    <row r="14803" spans="1:3" s="7" customFormat="1" x14ac:dyDescent="0.2">
      <c r="A14803" s="6" t="str">
        <f>"LINC00526"</f>
        <v>LINC00526</v>
      </c>
      <c r="B14803" s="6">
        <v>0.729270729270729</v>
      </c>
      <c r="C14803" s="6">
        <v>0.82336064367947603</v>
      </c>
    </row>
    <row r="14804" spans="1:3" s="7" customFormat="1" x14ac:dyDescent="0.2">
      <c r="A14804" s="6" t="str">
        <f>"AP001372.4"</f>
        <v>AP001372.4</v>
      </c>
      <c r="B14804" s="6">
        <v>0.729270729270729</v>
      </c>
      <c r="C14804" s="6">
        <v>0.82336064367947603</v>
      </c>
    </row>
    <row r="14805" spans="1:3" s="7" customFormat="1" x14ac:dyDescent="0.2">
      <c r="A14805" s="6" t="str">
        <f>"AC138207.4"</f>
        <v>AC138207.4</v>
      </c>
      <c r="B14805" s="6">
        <v>0.729270729270729</v>
      </c>
      <c r="C14805" s="6">
        <v>0.82336064367947603</v>
      </c>
    </row>
    <row r="14806" spans="1:3" s="7" customFormat="1" x14ac:dyDescent="0.2">
      <c r="A14806" s="6" t="str">
        <f>"AL139039.3"</f>
        <v>AL139039.3</v>
      </c>
      <c r="B14806" s="6">
        <v>0.72972972972972905</v>
      </c>
      <c r="C14806" s="6">
        <v>0.823767574139045</v>
      </c>
    </row>
    <row r="14807" spans="1:3" s="7" customFormat="1" x14ac:dyDescent="0.2">
      <c r="A14807" s="6" t="str">
        <f>"PMS2P7"</f>
        <v>PMS2P7</v>
      </c>
      <c r="B14807" s="6">
        <v>0.72972972972972905</v>
      </c>
      <c r="C14807" s="6">
        <v>0.823767574139045</v>
      </c>
    </row>
    <row r="14808" spans="1:3" s="7" customFormat="1" x14ac:dyDescent="0.2">
      <c r="A14808" s="6" t="str">
        <f>"TOP3B"</f>
        <v>TOP3B</v>
      </c>
      <c r="B14808" s="6">
        <v>0.73026973026972997</v>
      </c>
      <c r="C14808" s="6">
        <v>0.82393197460026102</v>
      </c>
    </row>
    <row r="14809" spans="1:3" s="7" customFormat="1" x14ac:dyDescent="0.2">
      <c r="A14809" s="6" t="str">
        <f>"ATP6V1FNB"</f>
        <v>ATP6V1FNB</v>
      </c>
      <c r="B14809" s="6">
        <v>0.73026973026972997</v>
      </c>
      <c r="C14809" s="6">
        <v>0.82393197460026102</v>
      </c>
    </row>
    <row r="14810" spans="1:3" s="7" customFormat="1" x14ac:dyDescent="0.2">
      <c r="A14810" s="6" t="str">
        <f>"POLR1C"</f>
        <v>POLR1C</v>
      </c>
      <c r="B14810" s="6">
        <v>0.73026973026972997</v>
      </c>
      <c r="C14810" s="6">
        <v>0.82393197460026102</v>
      </c>
    </row>
    <row r="14811" spans="1:3" s="7" customFormat="1" x14ac:dyDescent="0.2">
      <c r="A14811" s="6" t="str">
        <f>"IGHV3-43"</f>
        <v>IGHV3-43</v>
      </c>
      <c r="B14811" s="6">
        <v>0.73026973026972997</v>
      </c>
      <c r="C14811" s="6">
        <v>0.82393197460026102</v>
      </c>
    </row>
    <row r="14812" spans="1:3" s="7" customFormat="1" x14ac:dyDescent="0.2">
      <c r="A14812" s="6" t="str">
        <f>"LINC01258"</f>
        <v>LINC01258</v>
      </c>
      <c r="B14812" s="6">
        <v>0.73026973026972997</v>
      </c>
      <c r="C14812" s="6">
        <v>0.82393197460026102</v>
      </c>
    </row>
    <row r="14813" spans="1:3" s="7" customFormat="1" x14ac:dyDescent="0.2">
      <c r="A14813" s="6" t="str">
        <f>"TENM3"</f>
        <v>TENM3</v>
      </c>
      <c r="B14813" s="6">
        <v>0.73026973026972997</v>
      </c>
      <c r="C14813" s="6">
        <v>0.82393197460026102</v>
      </c>
    </row>
    <row r="14814" spans="1:3" s="7" customFormat="1" x14ac:dyDescent="0.2">
      <c r="A14814" s="6" t="str">
        <f>"AC137936.2"</f>
        <v>AC137936.2</v>
      </c>
      <c r="B14814" s="6">
        <v>0.73026973026972997</v>
      </c>
      <c r="C14814" s="6">
        <v>0.82393197460026102</v>
      </c>
    </row>
    <row r="14815" spans="1:3" s="7" customFormat="1" x14ac:dyDescent="0.2">
      <c r="A14815" s="6" t="str">
        <f>"PRKAG2"</f>
        <v>PRKAG2</v>
      </c>
      <c r="B14815" s="6">
        <v>0.73026973026972997</v>
      </c>
      <c r="C14815" s="6">
        <v>0.82393197460026102</v>
      </c>
    </row>
    <row r="14816" spans="1:3" s="7" customFormat="1" x14ac:dyDescent="0.2">
      <c r="A14816" s="6" t="str">
        <f>"AL121832.1"</f>
        <v>AL121832.1</v>
      </c>
      <c r="B14816" s="6">
        <v>0.73073073073073003</v>
      </c>
      <c r="C14816" s="6">
        <v>0.82439645180110899</v>
      </c>
    </row>
    <row r="14817" spans="1:3" s="7" customFormat="1" x14ac:dyDescent="0.2">
      <c r="A14817" s="6" t="str">
        <f>"KCTD10"</f>
        <v>KCTD10</v>
      </c>
      <c r="B14817" s="6">
        <v>0.73126873126873104</v>
      </c>
      <c r="C14817" s="6">
        <v>0.824613788586262</v>
      </c>
    </row>
    <row r="14818" spans="1:3" s="7" customFormat="1" x14ac:dyDescent="0.2">
      <c r="A14818" s="6" t="str">
        <f>"DSTN"</f>
        <v>DSTN</v>
      </c>
      <c r="B14818" s="6">
        <v>0.73126873126873104</v>
      </c>
      <c r="C14818" s="6">
        <v>0.824613788586262</v>
      </c>
    </row>
    <row r="14819" spans="1:3" s="7" customFormat="1" x14ac:dyDescent="0.2">
      <c r="A14819" s="6" t="str">
        <f>"AC005252.4"</f>
        <v>AC005252.4</v>
      </c>
      <c r="B14819" s="6">
        <v>0.73099999999999998</v>
      </c>
      <c r="C14819" s="6">
        <v>0.824613788586262</v>
      </c>
    </row>
    <row r="14820" spans="1:3" s="7" customFormat="1" x14ac:dyDescent="0.2">
      <c r="A14820" s="6" t="str">
        <f>"ZG16B"</f>
        <v>ZG16B</v>
      </c>
      <c r="B14820" s="6">
        <v>0.73126873126873104</v>
      </c>
      <c r="C14820" s="6">
        <v>0.824613788586262</v>
      </c>
    </row>
    <row r="14821" spans="1:3" s="7" customFormat="1" x14ac:dyDescent="0.2">
      <c r="A14821" s="6" t="str">
        <f>"AP002840.2"</f>
        <v>AP002840.2</v>
      </c>
      <c r="B14821" s="6">
        <v>0.73126873126873104</v>
      </c>
      <c r="C14821" s="6">
        <v>0.824613788586262</v>
      </c>
    </row>
    <row r="14822" spans="1:3" s="7" customFormat="1" x14ac:dyDescent="0.2">
      <c r="A14822" s="6" t="str">
        <f>"OR2A9P"</f>
        <v>OR2A9P</v>
      </c>
      <c r="B14822" s="6">
        <v>0.73126873126873104</v>
      </c>
      <c r="C14822" s="6">
        <v>0.824613788586262</v>
      </c>
    </row>
    <row r="14823" spans="1:3" s="7" customFormat="1" x14ac:dyDescent="0.2">
      <c r="A14823" s="6" t="str">
        <f>"AC015987.1"</f>
        <v>AC015987.1</v>
      </c>
      <c r="B14823" s="6">
        <v>0.73126873126873104</v>
      </c>
      <c r="C14823" s="6">
        <v>0.824613788586262</v>
      </c>
    </row>
    <row r="14824" spans="1:3" s="7" customFormat="1" x14ac:dyDescent="0.2">
      <c r="A14824" s="6" t="str">
        <f>"FP565260.3"</f>
        <v>FP565260.3</v>
      </c>
      <c r="B14824" s="6">
        <v>0.73226773226773201</v>
      </c>
      <c r="C14824" s="6">
        <v>0.82512794964760094</v>
      </c>
    </row>
    <row r="14825" spans="1:3" s="7" customFormat="1" x14ac:dyDescent="0.2">
      <c r="A14825" s="6" t="str">
        <f>"ARIH2"</f>
        <v>ARIH2</v>
      </c>
      <c r="B14825" s="6">
        <v>0.73226773226773201</v>
      </c>
      <c r="C14825" s="6">
        <v>0.82512794964760094</v>
      </c>
    </row>
    <row r="14826" spans="1:3" s="7" customFormat="1" x14ac:dyDescent="0.2">
      <c r="A14826" s="6" t="str">
        <f>"ATOX1"</f>
        <v>ATOX1</v>
      </c>
      <c r="B14826" s="6">
        <v>0.73226773226773201</v>
      </c>
      <c r="C14826" s="6">
        <v>0.82512794964760094</v>
      </c>
    </row>
    <row r="14827" spans="1:3" s="7" customFormat="1" x14ac:dyDescent="0.2">
      <c r="A14827" s="6" t="str">
        <f>"LINC01422"</f>
        <v>LINC01422</v>
      </c>
      <c r="B14827" s="6">
        <v>0.73226773226773201</v>
      </c>
      <c r="C14827" s="6">
        <v>0.82512794964760094</v>
      </c>
    </row>
    <row r="14828" spans="1:3" s="7" customFormat="1" x14ac:dyDescent="0.2">
      <c r="A14828" s="6" t="str">
        <f>"AC027801.2"</f>
        <v>AC027801.2</v>
      </c>
      <c r="B14828" s="6">
        <v>0.73226773226773201</v>
      </c>
      <c r="C14828" s="6">
        <v>0.82512794964760094</v>
      </c>
    </row>
    <row r="14829" spans="1:3" s="7" customFormat="1" x14ac:dyDescent="0.2">
      <c r="A14829" s="6" t="str">
        <f>"RASGEF1B"</f>
        <v>RASGEF1B</v>
      </c>
      <c r="B14829" s="6">
        <v>0.73226773226773201</v>
      </c>
      <c r="C14829" s="6">
        <v>0.82512794964760094</v>
      </c>
    </row>
    <row r="14830" spans="1:3" s="7" customFormat="1" x14ac:dyDescent="0.2">
      <c r="A14830" s="6" t="str">
        <f>"AL161629.1"</f>
        <v>AL161629.1</v>
      </c>
      <c r="B14830" s="6">
        <v>0.73199999999999998</v>
      </c>
      <c r="C14830" s="6">
        <v>0.82512794964760094</v>
      </c>
    </row>
    <row r="14831" spans="1:3" s="7" customFormat="1" x14ac:dyDescent="0.2">
      <c r="A14831" s="6" t="str">
        <f>"AL049629.1"</f>
        <v>AL049629.1</v>
      </c>
      <c r="B14831" s="6">
        <v>0.73226773226773201</v>
      </c>
      <c r="C14831" s="6">
        <v>0.82512794964760094</v>
      </c>
    </row>
    <row r="14832" spans="1:3" s="7" customFormat="1" x14ac:dyDescent="0.2">
      <c r="A14832" s="6" t="str">
        <f>"SPG11"</f>
        <v>SPG11</v>
      </c>
      <c r="B14832" s="6">
        <v>0.73226773226773201</v>
      </c>
      <c r="C14832" s="6">
        <v>0.82512794964760094</v>
      </c>
    </row>
    <row r="14833" spans="1:3" s="7" customFormat="1" x14ac:dyDescent="0.2">
      <c r="A14833" s="6" t="str">
        <f>"GNA12"</f>
        <v>GNA12</v>
      </c>
      <c r="B14833" s="6">
        <v>0.73226773226773201</v>
      </c>
      <c r="C14833" s="6">
        <v>0.82512794964760094</v>
      </c>
    </row>
    <row r="14834" spans="1:3" s="7" customFormat="1" x14ac:dyDescent="0.2">
      <c r="A14834" s="6" t="str">
        <f>"SATB1-AS1"</f>
        <v>SATB1-AS1</v>
      </c>
      <c r="B14834" s="6">
        <v>0.73214285714285698</v>
      </c>
      <c r="C14834" s="6">
        <v>0.82512794964760094</v>
      </c>
    </row>
    <row r="14835" spans="1:3" s="7" customFormat="1" x14ac:dyDescent="0.2">
      <c r="A14835" s="6" t="str">
        <f>"AP005262.1"</f>
        <v>AP005262.1</v>
      </c>
      <c r="B14835" s="6">
        <v>0.73273273273273198</v>
      </c>
      <c r="C14835" s="6">
        <v>0.82559625825097005</v>
      </c>
    </row>
    <row r="14836" spans="1:3" s="7" customFormat="1" x14ac:dyDescent="0.2">
      <c r="A14836" s="6" t="str">
        <f>"GOLGA6L22"</f>
        <v>GOLGA6L22</v>
      </c>
      <c r="B14836" s="6">
        <v>0.73299999999999998</v>
      </c>
      <c r="C14836" s="6">
        <v>0.82584172564880298</v>
      </c>
    </row>
    <row r="14837" spans="1:3" s="7" customFormat="1" x14ac:dyDescent="0.2">
      <c r="A14837" s="6" t="str">
        <f>"ZFP42"</f>
        <v>ZFP42</v>
      </c>
      <c r="B14837" s="6">
        <v>0.73326673326673297</v>
      </c>
      <c r="C14837" s="6">
        <v>0.82591954847497595</v>
      </c>
    </row>
    <row r="14838" spans="1:3" s="7" customFormat="1" x14ac:dyDescent="0.2">
      <c r="A14838" s="6" t="str">
        <f>"RBPMS-AS1"</f>
        <v>RBPMS-AS1</v>
      </c>
      <c r="B14838" s="6">
        <v>0.73326673326673297</v>
      </c>
      <c r="C14838" s="6">
        <v>0.82591954847497595</v>
      </c>
    </row>
    <row r="14839" spans="1:3" s="7" customFormat="1" x14ac:dyDescent="0.2">
      <c r="A14839" s="6" t="str">
        <f>"AC135352.1"</f>
        <v>AC135352.1</v>
      </c>
      <c r="B14839" s="6">
        <v>0.73326673326673297</v>
      </c>
      <c r="C14839" s="6">
        <v>0.82591954847497595</v>
      </c>
    </row>
    <row r="14840" spans="1:3" s="7" customFormat="1" x14ac:dyDescent="0.2">
      <c r="A14840" s="6" t="str">
        <f>"SNAPC5"</f>
        <v>SNAPC5</v>
      </c>
      <c r="B14840" s="6">
        <v>0.73326673326673297</v>
      </c>
      <c r="C14840" s="6">
        <v>0.82591954847497595</v>
      </c>
    </row>
    <row r="14841" spans="1:3" s="7" customFormat="1" x14ac:dyDescent="0.2">
      <c r="A14841" s="6" t="str">
        <f>"NAPEPLD"</f>
        <v>NAPEPLD</v>
      </c>
      <c r="B14841" s="6">
        <v>0.73373373373373296</v>
      </c>
      <c r="C14841" s="6">
        <v>0.826389866955904</v>
      </c>
    </row>
    <row r="14842" spans="1:3" s="7" customFormat="1" x14ac:dyDescent="0.2">
      <c r="A14842" s="6" t="str">
        <f>"ZNF708"</f>
        <v>ZNF708</v>
      </c>
      <c r="B14842" s="6">
        <v>0.73426573426573405</v>
      </c>
      <c r="C14842" s="6">
        <v>0.82648780944962497</v>
      </c>
    </row>
    <row r="14843" spans="1:3" s="7" customFormat="1" x14ac:dyDescent="0.2">
      <c r="A14843" s="6" t="str">
        <f>"OR10H5"</f>
        <v>OR10H5</v>
      </c>
      <c r="B14843" s="6">
        <v>0.73399999999999999</v>
      </c>
      <c r="C14843" s="6">
        <v>0.82648780944962497</v>
      </c>
    </row>
    <row r="14844" spans="1:3" s="7" customFormat="1" x14ac:dyDescent="0.2">
      <c r="A14844" s="6" t="str">
        <f>"MIER1"</f>
        <v>MIER1</v>
      </c>
      <c r="B14844" s="6">
        <v>0.73426573426573405</v>
      </c>
      <c r="C14844" s="6">
        <v>0.82648780944962497</v>
      </c>
    </row>
    <row r="14845" spans="1:3" s="7" customFormat="1" x14ac:dyDescent="0.2">
      <c r="A14845" s="6" t="str">
        <f>"PCDHGA4"</f>
        <v>PCDHGA4</v>
      </c>
      <c r="B14845" s="6">
        <v>0.73426573426573405</v>
      </c>
      <c r="C14845" s="6">
        <v>0.82648780944962497</v>
      </c>
    </row>
    <row r="14846" spans="1:3" s="7" customFormat="1" x14ac:dyDescent="0.2">
      <c r="A14846" s="6" t="str">
        <f>"CEP78"</f>
        <v>CEP78</v>
      </c>
      <c r="B14846" s="6">
        <v>0.73426573426573405</v>
      </c>
      <c r="C14846" s="6">
        <v>0.82648780944962497</v>
      </c>
    </row>
    <row r="14847" spans="1:3" s="7" customFormat="1" x14ac:dyDescent="0.2">
      <c r="A14847" s="6" t="str">
        <f>"ACVR2B-AS1"</f>
        <v>ACVR2B-AS1</v>
      </c>
      <c r="B14847" s="6">
        <v>0.73426573426573405</v>
      </c>
      <c r="C14847" s="6">
        <v>0.82648780944962497</v>
      </c>
    </row>
    <row r="14848" spans="1:3" s="7" customFormat="1" x14ac:dyDescent="0.2">
      <c r="A14848" s="6" t="str">
        <f>"POM121L8P"</f>
        <v>POM121L8P</v>
      </c>
      <c r="B14848" s="6">
        <v>0.73399999999999999</v>
      </c>
      <c r="C14848" s="6">
        <v>0.82648780944962497</v>
      </c>
    </row>
    <row r="14849" spans="1:3" s="7" customFormat="1" x14ac:dyDescent="0.2">
      <c r="A14849" s="6" t="str">
        <f>"CCDC51"</f>
        <v>CCDC51</v>
      </c>
      <c r="B14849" s="6">
        <v>0.73426573426573405</v>
      </c>
      <c r="C14849" s="6">
        <v>0.82648780944962497</v>
      </c>
    </row>
    <row r="14850" spans="1:3" s="7" customFormat="1" x14ac:dyDescent="0.2">
      <c r="A14850" s="6" t="str">
        <f>"UQCRQ"</f>
        <v>UQCRQ</v>
      </c>
      <c r="B14850" s="6">
        <v>0.73426573426573405</v>
      </c>
      <c r="C14850" s="6">
        <v>0.82648780944962497</v>
      </c>
    </row>
    <row r="14851" spans="1:3" s="7" customFormat="1" x14ac:dyDescent="0.2">
      <c r="A14851" s="6" t="str">
        <f>"AC008938.1"</f>
        <v>AC008938.1</v>
      </c>
      <c r="B14851" s="6">
        <v>0.734927234927234</v>
      </c>
      <c r="C14851" s="6">
        <v>0.82717668717668702</v>
      </c>
    </row>
    <row r="14852" spans="1:3" s="7" customFormat="1" x14ac:dyDescent="0.2">
      <c r="A14852" s="6" t="str">
        <f>"DMD"</f>
        <v>DMD</v>
      </c>
      <c r="B14852" s="6">
        <v>0.73526473526473501</v>
      </c>
      <c r="C14852" s="6">
        <v>0.82722231995253004</v>
      </c>
    </row>
    <row r="14853" spans="1:3" s="7" customFormat="1" x14ac:dyDescent="0.2">
      <c r="A14853" s="6" t="str">
        <f>"CLYBL"</f>
        <v>CLYBL</v>
      </c>
      <c r="B14853" s="6">
        <v>0.73526473526473501</v>
      </c>
      <c r="C14853" s="6">
        <v>0.82722231995253004</v>
      </c>
    </row>
    <row r="14854" spans="1:3" s="7" customFormat="1" x14ac:dyDescent="0.2">
      <c r="A14854" s="6" t="str">
        <f>"FBN3"</f>
        <v>FBN3</v>
      </c>
      <c r="B14854" s="6">
        <v>0.73526473526473501</v>
      </c>
      <c r="C14854" s="6">
        <v>0.82722231995253004</v>
      </c>
    </row>
    <row r="14855" spans="1:3" s="7" customFormat="1" x14ac:dyDescent="0.2">
      <c r="A14855" s="6" t="str">
        <f>"LRRC69"</f>
        <v>LRRC69</v>
      </c>
      <c r="B14855" s="6">
        <v>0.73526473526473501</v>
      </c>
      <c r="C14855" s="6">
        <v>0.82722231995253004</v>
      </c>
    </row>
    <row r="14856" spans="1:3" s="7" customFormat="1" x14ac:dyDescent="0.2">
      <c r="A14856" s="6" t="str">
        <f>"AC119674.1"</f>
        <v>AC119674.1</v>
      </c>
      <c r="B14856" s="6">
        <v>0.73526473526473501</v>
      </c>
      <c r="C14856" s="6">
        <v>0.82722231995253004</v>
      </c>
    </row>
    <row r="14857" spans="1:3" s="7" customFormat="1" x14ac:dyDescent="0.2">
      <c r="A14857" s="6" t="str">
        <f>"LINC02763"</f>
        <v>LINC02763</v>
      </c>
      <c r="B14857" s="6">
        <v>0.73526473526473501</v>
      </c>
      <c r="C14857" s="6">
        <v>0.82722231995253004</v>
      </c>
    </row>
    <row r="14858" spans="1:3" s="7" customFormat="1" x14ac:dyDescent="0.2">
      <c r="A14858" s="6" t="str">
        <f>"AC097634.4"</f>
        <v>AC097634.4</v>
      </c>
      <c r="B14858" s="6">
        <v>0.73626373626373598</v>
      </c>
      <c r="C14858" s="6">
        <v>0.82806756529924497</v>
      </c>
    </row>
    <row r="14859" spans="1:3" s="7" customFormat="1" x14ac:dyDescent="0.2">
      <c r="A14859" s="6" t="str">
        <f>"AL356481.2"</f>
        <v>AL356481.2</v>
      </c>
      <c r="B14859" s="6">
        <v>0.73620862587763203</v>
      </c>
      <c r="C14859" s="6">
        <v>0.82806756529924497</v>
      </c>
    </row>
    <row r="14860" spans="1:3" s="7" customFormat="1" x14ac:dyDescent="0.2">
      <c r="A14860" s="6" t="str">
        <f>"GOLGA6L1"</f>
        <v>GOLGA6L1</v>
      </c>
      <c r="B14860" s="6">
        <v>0.73626373626373598</v>
      </c>
      <c r="C14860" s="6">
        <v>0.82806756529924497</v>
      </c>
    </row>
    <row r="14861" spans="1:3" s="7" customFormat="1" x14ac:dyDescent="0.2">
      <c r="A14861" s="6" t="str">
        <f>"HTT"</f>
        <v>HTT</v>
      </c>
      <c r="B14861" s="6">
        <v>0.73626373626373598</v>
      </c>
      <c r="C14861" s="6">
        <v>0.82806756529924497</v>
      </c>
    </row>
    <row r="14862" spans="1:3" s="7" customFormat="1" x14ac:dyDescent="0.2">
      <c r="A14862" s="6" t="str">
        <f>"SLC31A1"</f>
        <v>SLC31A1</v>
      </c>
      <c r="B14862" s="6">
        <v>0.73626373626373598</v>
      </c>
      <c r="C14862" s="6">
        <v>0.82806756529924497</v>
      </c>
    </row>
    <row r="14863" spans="1:3" s="7" customFormat="1" x14ac:dyDescent="0.2">
      <c r="A14863" s="6" t="str">
        <f>"LINC02611"</f>
        <v>LINC02611</v>
      </c>
      <c r="B14863" s="6">
        <v>0.73726273726273694</v>
      </c>
      <c r="C14863" s="6">
        <v>0.82891224206978198</v>
      </c>
    </row>
    <row r="14864" spans="1:3" s="7" customFormat="1" x14ac:dyDescent="0.2">
      <c r="A14864" s="6" t="str">
        <f>"Z82195.3"</f>
        <v>Z82195.3</v>
      </c>
      <c r="B14864" s="6">
        <v>0.73726273726273694</v>
      </c>
      <c r="C14864" s="6">
        <v>0.82891224206978198</v>
      </c>
    </row>
    <row r="14865" spans="1:3" s="7" customFormat="1" x14ac:dyDescent="0.2">
      <c r="A14865" s="6" t="str">
        <f>"NAAA"</f>
        <v>NAAA</v>
      </c>
      <c r="B14865" s="6">
        <v>0.73726273726273694</v>
      </c>
      <c r="C14865" s="6">
        <v>0.82891224206978198</v>
      </c>
    </row>
    <row r="14866" spans="1:3" s="7" customFormat="1" x14ac:dyDescent="0.2">
      <c r="A14866" s="6" t="str">
        <f>"ESPNP"</f>
        <v>ESPNP</v>
      </c>
      <c r="B14866" s="6">
        <v>0.73726273726273694</v>
      </c>
      <c r="C14866" s="6">
        <v>0.82891224206978198</v>
      </c>
    </row>
    <row r="14867" spans="1:3" s="7" customFormat="1" x14ac:dyDescent="0.2">
      <c r="A14867" s="6" t="str">
        <f>"ELP5"</f>
        <v>ELP5</v>
      </c>
      <c r="B14867" s="6">
        <v>0.73726273726273694</v>
      </c>
      <c r="C14867" s="6">
        <v>0.82891224206978198</v>
      </c>
    </row>
    <row r="14868" spans="1:3" s="7" customFormat="1" x14ac:dyDescent="0.2">
      <c r="A14868" s="6" t="str">
        <f>"C19orf25"</f>
        <v>C19orf25</v>
      </c>
      <c r="B14868" s="6">
        <v>0.73826173826173802</v>
      </c>
      <c r="C14868" s="6">
        <v>0.82992377544435603</v>
      </c>
    </row>
    <row r="14869" spans="1:3" s="7" customFormat="1" x14ac:dyDescent="0.2">
      <c r="A14869" s="6" t="str">
        <f>"DLG1-AS1"</f>
        <v>DLG1-AS1</v>
      </c>
      <c r="B14869" s="6">
        <v>0.73826173826173802</v>
      </c>
      <c r="C14869" s="6">
        <v>0.82992377544435603</v>
      </c>
    </row>
    <row r="14870" spans="1:3" s="7" customFormat="1" x14ac:dyDescent="0.2">
      <c r="A14870" s="6" t="str">
        <f>"RUSF1"</f>
        <v>RUSF1</v>
      </c>
      <c r="B14870" s="6">
        <v>0.73926073926073899</v>
      </c>
      <c r="C14870" s="6">
        <v>0.83032081150487103</v>
      </c>
    </row>
    <row r="14871" spans="1:3" s="7" customFormat="1" x14ac:dyDescent="0.2">
      <c r="A14871" s="6" t="str">
        <f>"GASK1B"</f>
        <v>GASK1B</v>
      </c>
      <c r="B14871" s="6">
        <v>0.73926073926073899</v>
      </c>
      <c r="C14871" s="6">
        <v>0.83032081150487103</v>
      </c>
    </row>
    <row r="14872" spans="1:3" s="7" customFormat="1" x14ac:dyDescent="0.2">
      <c r="A14872" s="6" t="str">
        <f>"NR1H2"</f>
        <v>NR1H2</v>
      </c>
      <c r="B14872" s="6">
        <v>0.73926073926073899</v>
      </c>
      <c r="C14872" s="6">
        <v>0.83032081150487103</v>
      </c>
    </row>
    <row r="14873" spans="1:3" s="7" customFormat="1" x14ac:dyDescent="0.2">
      <c r="A14873" s="6" t="str">
        <f>"TINF2"</f>
        <v>TINF2</v>
      </c>
      <c r="B14873" s="6">
        <v>0.73926073926073899</v>
      </c>
      <c r="C14873" s="6">
        <v>0.83032081150487103</v>
      </c>
    </row>
    <row r="14874" spans="1:3" s="7" customFormat="1" x14ac:dyDescent="0.2">
      <c r="A14874" s="6" t="str">
        <f>"IL3RA"</f>
        <v>IL3RA</v>
      </c>
      <c r="B14874" s="6">
        <v>0.73926073926073899</v>
      </c>
      <c r="C14874" s="6">
        <v>0.83032081150487103</v>
      </c>
    </row>
    <row r="14875" spans="1:3" s="7" customFormat="1" x14ac:dyDescent="0.2">
      <c r="A14875" s="6" t="str">
        <f>"RAPGEF5"</f>
        <v>RAPGEF5</v>
      </c>
      <c r="B14875" s="6">
        <v>0.73926073926073899</v>
      </c>
      <c r="C14875" s="6">
        <v>0.83032081150487103</v>
      </c>
    </row>
    <row r="14876" spans="1:3" s="7" customFormat="1" x14ac:dyDescent="0.2">
      <c r="A14876" s="6" t="str">
        <f>"WBP4"</f>
        <v>WBP4</v>
      </c>
      <c r="B14876" s="6">
        <v>0.73926073926073899</v>
      </c>
      <c r="C14876" s="6">
        <v>0.83032081150487103</v>
      </c>
    </row>
    <row r="14877" spans="1:3" s="7" customFormat="1" x14ac:dyDescent="0.2">
      <c r="A14877" s="6" t="str">
        <f>"SNHG21"</f>
        <v>SNHG21</v>
      </c>
      <c r="B14877" s="6">
        <v>0.73918575063613201</v>
      </c>
      <c r="C14877" s="6">
        <v>0.83032081150487103</v>
      </c>
    </row>
    <row r="14878" spans="1:3" s="7" customFormat="1" x14ac:dyDescent="0.2">
      <c r="A14878" s="6" t="str">
        <f>"LINC01545"</f>
        <v>LINC01545</v>
      </c>
      <c r="B14878" s="6">
        <v>0.73899999999999999</v>
      </c>
      <c r="C14878" s="6">
        <v>0.83032081150487103</v>
      </c>
    </row>
    <row r="14879" spans="1:3" s="7" customFormat="1" x14ac:dyDescent="0.2">
      <c r="A14879" s="6" t="str">
        <f>"BMS1P12"</f>
        <v>BMS1P12</v>
      </c>
      <c r="B14879" s="6">
        <v>0.73899999999999999</v>
      </c>
      <c r="C14879" s="6">
        <v>0.83032081150487103</v>
      </c>
    </row>
    <row r="14880" spans="1:3" s="7" customFormat="1" x14ac:dyDescent="0.2">
      <c r="A14880" s="6" t="str">
        <f>"AL355347.1"</f>
        <v>AL355347.1</v>
      </c>
      <c r="B14880" s="6">
        <v>0.73926073926073899</v>
      </c>
      <c r="C14880" s="6">
        <v>0.83032081150487103</v>
      </c>
    </row>
    <row r="14881" spans="1:3" s="7" customFormat="1" x14ac:dyDescent="0.2">
      <c r="A14881" s="6" t="str">
        <f>"RASA4DP"</f>
        <v>RASA4DP</v>
      </c>
      <c r="B14881" s="6">
        <v>0.73926073926073899</v>
      </c>
      <c r="C14881" s="6">
        <v>0.83032081150487103</v>
      </c>
    </row>
    <row r="14882" spans="1:3" s="7" customFormat="1" x14ac:dyDescent="0.2">
      <c r="A14882" s="6" t="str">
        <f>"C17orf67"</f>
        <v>C17orf67</v>
      </c>
      <c r="B14882" s="6">
        <v>0.73917634635691598</v>
      </c>
      <c r="C14882" s="6">
        <v>0.83032081150487103</v>
      </c>
    </row>
    <row r="14883" spans="1:3" s="7" customFormat="1" x14ac:dyDescent="0.2">
      <c r="A14883" s="6" t="str">
        <f>"AC068669.1"</f>
        <v>AC068669.1</v>
      </c>
      <c r="B14883" s="6">
        <v>0.73965691220988905</v>
      </c>
      <c r="C14883" s="6">
        <v>0.83070996040022005</v>
      </c>
    </row>
    <row r="14884" spans="1:3" s="7" customFormat="1" x14ac:dyDescent="0.2">
      <c r="A14884" s="6" t="str">
        <f>"ARL17A"</f>
        <v>ARL17A</v>
      </c>
      <c r="B14884" s="6">
        <v>0.74025974025973995</v>
      </c>
      <c r="C14884" s="6">
        <v>0.83082872003097596</v>
      </c>
    </row>
    <row r="14885" spans="1:3" s="7" customFormat="1" x14ac:dyDescent="0.2">
      <c r="A14885" s="6" t="str">
        <f>"PCAT5"</f>
        <v>PCAT5</v>
      </c>
      <c r="B14885" s="6">
        <v>0.74025974025973995</v>
      </c>
      <c r="C14885" s="6">
        <v>0.83082872003097596</v>
      </c>
    </row>
    <row r="14886" spans="1:3" s="7" customFormat="1" x14ac:dyDescent="0.2">
      <c r="A14886" s="6" t="str">
        <f>"ABHD14A-ACY1"</f>
        <v>ABHD14A-ACY1</v>
      </c>
      <c r="B14886" s="6">
        <v>0.74</v>
      </c>
      <c r="C14886" s="6">
        <v>0.83082872003097596</v>
      </c>
    </row>
    <row r="14887" spans="1:3" s="7" customFormat="1" x14ac:dyDescent="0.2">
      <c r="A14887" s="6" t="str">
        <f>"AC010896.1"</f>
        <v>AC010896.1</v>
      </c>
      <c r="B14887" s="6">
        <v>0.74025974025973995</v>
      </c>
      <c r="C14887" s="6">
        <v>0.83082872003097596</v>
      </c>
    </row>
    <row r="14888" spans="1:3" s="7" customFormat="1" x14ac:dyDescent="0.2">
      <c r="A14888" s="6" t="str">
        <f>"NQO2-AS1"</f>
        <v>NQO2-AS1</v>
      </c>
      <c r="B14888" s="6">
        <v>0.74025974025973995</v>
      </c>
      <c r="C14888" s="6">
        <v>0.83082872003097596</v>
      </c>
    </row>
    <row r="14889" spans="1:3" s="7" customFormat="1" x14ac:dyDescent="0.2">
      <c r="A14889" s="6" t="str">
        <f>"YTHDC1"</f>
        <v>YTHDC1</v>
      </c>
      <c r="B14889" s="6">
        <v>0.74025974025973995</v>
      </c>
      <c r="C14889" s="6">
        <v>0.83082872003097596</v>
      </c>
    </row>
    <row r="14890" spans="1:3" s="7" customFormat="1" x14ac:dyDescent="0.2">
      <c r="A14890" s="6" t="str">
        <f>"TMEM105"</f>
        <v>TMEM105</v>
      </c>
      <c r="B14890" s="6">
        <v>0.74025974025973995</v>
      </c>
      <c r="C14890" s="6">
        <v>0.83082872003097596</v>
      </c>
    </row>
    <row r="14891" spans="1:3" s="7" customFormat="1" x14ac:dyDescent="0.2">
      <c r="A14891" s="6" t="str">
        <f>"Z97056.2"</f>
        <v>Z97056.2</v>
      </c>
      <c r="B14891" s="6">
        <v>0.74025974025973995</v>
      </c>
      <c r="C14891" s="6">
        <v>0.83082872003097596</v>
      </c>
    </row>
    <row r="14892" spans="1:3" s="7" customFormat="1" x14ac:dyDescent="0.2">
      <c r="A14892" s="6" t="str">
        <f>"GNL1"</f>
        <v>GNL1</v>
      </c>
      <c r="B14892" s="6">
        <v>0.74025974025973995</v>
      </c>
      <c r="C14892" s="6">
        <v>0.83082872003097596</v>
      </c>
    </row>
    <row r="14893" spans="1:3" s="7" customFormat="1" x14ac:dyDescent="0.2">
      <c r="A14893" s="6" t="str">
        <f>"AC073332.1"</f>
        <v>AC073332.1</v>
      </c>
      <c r="B14893" s="6">
        <v>0.74025974025973995</v>
      </c>
      <c r="C14893" s="6">
        <v>0.83082872003097596</v>
      </c>
    </row>
    <row r="14894" spans="1:3" s="7" customFormat="1" x14ac:dyDescent="0.2">
      <c r="A14894" s="6" t="str">
        <f>"AC008915.1"</f>
        <v>AC008915.1</v>
      </c>
      <c r="B14894" s="6">
        <v>0.74077868852458995</v>
      </c>
      <c r="C14894" s="6">
        <v>0.83135533472100898</v>
      </c>
    </row>
    <row r="14895" spans="1:3" s="7" customFormat="1" x14ac:dyDescent="0.2">
      <c r="A14895" s="6" t="str">
        <f>"UBIAD1"</f>
        <v>UBIAD1</v>
      </c>
      <c r="B14895" s="6">
        <v>0.74125874125874103</v>
      </c>
      <c r="C14895" s="6">
        <v>0.83139166564210099</v>
      </c>
    </row>
    <row r="14896" spans="1:3" s="7" customFormat="1" x14ac:dyDescent="0.2">
      <c r="A14896" s="6" t="str">
        <f>"NAGS"</f>
        <v>NAGS</v>
      </c>
      <c r="B14896" s="6">
        <v>0.74125874125874103</v>
      </c>
      <c r="C14896" s="6">
        <v>0.83139166564210099</v>
      </c>
    </row>
    <row r="14897" spans="1:3" s="7" customFormat="1" x14ac:dyDescent="0.2">
      <c r="A14897" s="6" t="str">
        <f>"COMT"</f>
        <v>COMT</v>
      </c>
      <c r="B14897" s="6">
        <v>0.74125874125874103</v>
      </c>
      <c r="C14897" s="6">
        <v>0.83139166564210099</v>
      </c>
    </row>
    <row r="14898" spans="1:3" s="7" customFormat="1" x14ac:dyDescent="0.2">
      <c r="A14898" s="6" t="str">
        <f>"AL137798.2"</f>
        <v>AL137798.2</v>
      </c>
      <c r="B14898" s="6">
        <v>0.74125874125874103</v>
      </c>
      <c r="C14898" s="6">
        <v>0.83139166564210099</v>
      </c>
    </row>
    <row r="14899" spans="1:3" s="7" customFormat="1" x14ac:dyDescent="0.2">
      <c r="A14899" s="6" t="str">
        <f>"MANEA-DT"</f>
        <v>MANEA-DT</v>
      </c>
      <c r="B14899" s="6">
        <v>0.74125874125874103</v>
      </c>
      <c r="C14899" s="6">
        <v>0.83139166564210099</v>
      </c>
    </row>
    <row r="14900" spans="1:3" s="7" customFormat="1" x14ac:dyDescent="0.2">
      <c r="A14900" s="6" t="str">
        <f>"TCEANC"</f>
        <v>TCEANC</v>
      </c>
      <c r="B14900" s="6">
        <v>0.74125874125874103</v>
      </c>
      <c r="C14900" s="6">
        <v>0.83139166564210099</v>
      </c>
    </row>
    <row r="14901" spans="1:3" s="7" customFormat="1" x14ac:dyDescent="0.2">
      <c r="A14901" s="6" t="str">
        <f>"AF235103.3"</f>
        <v>AF235103.3</v>
      </c>
      <c r="B14901" s="6">
        <v>0.74125874125874103</v>
      </c>
      <c r="C14901" s="6">
        <v>0.83139166564210099</v>
      </c>
    </row>
    <row r="14902" spans="1:3" s="7" customFormat="1" x14ac:dyDescent="0.2">
      <c r="A14902" s="6" t="str">
        <f>"DHRS4L1"</f>
        <v>DHRS4L1</v>
      </c>
      <c r="B14902" s="6">
        <v>0.74125874125874103</v>
      </c>
      <c r="C14902" s="6">
        <v>0.83139166564210099</v>
      </c>
    </row>
    <row r="14903" spans="1:3" s="7" customFormat="1" x14ac:dyDescent="0.2">
      <c r="A14903" s="6" t="str">
        <f>"PPP3CC"</f>
        <v>PPP3CC</v>
      </c>
      <c r="B14903" s="6">
        <v>0.74125874125874103</v>
      </c>
      <c r="C14903" s="6">
        <v>0.83139166564210099</v>
      </c>
    </row>
    <row r="14904" spans="1:3" s="7" customFormat="1" x14ac:dyDescent="0.2">
      <c r="A14904" s="6" t="str">
        <f>"SYCP2L"</f>
        <v>SYCP2L</v>
      </c>
      <c r="B14904" s="6">
        <v>0.74225774225774199</v>
      </c>
      <c r="C14904" s="6">
        <v>0.83223290427959296</v>
      </c>
    </row>
    <row r="14905" spans="1:3" s="7" customFormat="1" x14ac:dyDescent="0.2">
      <c r="A14905" s="6" t="str">
        <f>"AC027601.5"</f>
        <v>AC027601.5</v>
      </c>
      <c r="B14905" s="6">
        <v>0.74225774225774199</v>
      </c>
      <c r="C14905" s="6">
        <v>0.83223290427959296</v>
      </c>
    </row>
    <row r="14906" spans="1:3" s="7" customFormat="1" x14ac:dyDescent="0.2">
      <c r="A14906" s="6" t="str">
        <f>"GAPDHP62"</f>
        <v>GAPDHP62</v>
      </c>
      <c r="B14906" s="6">
        <v>0.74225774225774199</v>
      </c>
      <c r="C14906" s="6">
        <v>0.83223290427959296</v>
      </c>
    </row>
    <row r="14907" spans="1:3" s="7" customFormat="1" x14ac:dyDescent="0.2">
      <c r="A14907" s="6" t="str">
        <f>"EVA1A"</f>
        <v>EVA1A</v>
      </c>
      <c r="B14907" s="6">
        <v>0.74225774225774199</v>
      </c>
      <c r="C14907" s="6">
        <v>0.83223290427959296</v>
      </c>
    </row>
    <row r="14908" spans="1:3" s="7" customFormat="1" x14ac:dyDescent="0.2">
      <c r="A14908" s="6" t="str">
        <f>"NMT1"</f>
        <v>NMT1</v>
      </c>
      <c r="B14908" s="6">
        <v>0.74225774225774199</v>
      </c>
      <c r="C14908" s="6">
        <v>0.83223290427959296</v>
      </c>
    </row>
    <row r="14909" spans="1:3" s="7" customFormat="1" x14ac:dyDescent="0.2">
      <c r="A14909" s="6" t="str">
        <f>"PCA3"</f>
        <v>PCA3</v>
      </c>
      <c r="B14909" s="6">
        <v>0.74322968906720099</v>
      </c>
      <c r="C14909" s="6">
        <v>0.83290601453524604</v>
      </c>
    </row>
    <row r="14910" spans="1:3" s="7" customFormat="1" x14ac:dyDescent="0.2">
      <c r="A14910" s="6" t="str">
        <f>"AC120114.4"</f>
        <v>AC120114.4</v>
      </c>
      <c r="B14910" s="6">
        <v>0.74325674325674296</v>
      </c>
      <c r="C14910" s="6">
        <v>0.83290601453524604</v>
      </c>
    </row>
    <row r="14911" spans="1:3" s="7" customFormat="1" x14ac:dyDescent="0.2">
      <c r="A14911" s="6" t="str">
        <f>"ETV2"</f>
        <v>ETV2</v>
      </c>
      <c r="B14911" s="6">
        <v>0.74299999999999999</v>
      </c>
      <c r="C14911" s="6">
        <v>0.83290601453524604</v>
      </c>
    </row>
    <row r="14912" spans="1:3" s="7" customFormat="1" x14ac:dyDescent="0.2">
      <c r="A14912" s="6" t="str">
        <f>"ATP8A1"</f>
        <v>ATP8A1</v>
      </c>
      <c r="B14912" s="6">
        <v>0.74325674325674296</v>
      </c>
      <c r="C14912" s="6">
        <v>0.83290601453524604</v>
      </c>
    </row>
    <row r="14913" spans="1:3" s="7" customFormat="1" x14ac:dyDescent="0.2">
      <c r="A14913" s="6" t="str">
        <f>"SPOCK2"</f>
        <v>SPOCK2</v>
      </c>
      <c r="B14913" s="6">
        <v>0.74325674325674296</v>
      </c>
      <c r="C14913" s="6">
        <v>0.83290601453524604</v>
      </c>
    </row>
    <row r="14914" spans="1:3" s="7" customFormat="1" x14ac:dyDescent="0.2">
      <c r="A14914" s="6" t="str">
        <f>"AL390879.1"</f>
        <v>AL390879.1</v>
      </c>
      <c r="B14914" s="6">
        <v>0.74325674325674296</v>
      </c>
      <c r="C14914" s="6">
        <v>0.83290601453524604</v>
      </c>
    </row>
    <row r="14915" spans="1:3" s="7" customFormat="1" x14ac:dyDescent="0.2">
      <c r="A14915" s="6" t="str">
        <f>"RPAP3"</f>
        <v>RPAP3</v>
      </c>
      <c r="B14915" s="6">
        <v>0.74325674325674296</v>
      </c>
      <c r="C14915" s="6">
        <v>0.83290601453524604</v>
      </c>
    </row>
    <row r="14916" spans="1:3" s="7" customFormat="1" x14ac:dyDescent="0.2">
      <c r="A14916" s="6" t="str">
        <f>"GNB4"</f>
        <v>GNB4</v>
      </c>
      <c r="B14916" s="6">
        <v>0.74325674325674296</v>
      </c>
      <c r="C14916" s="6">
        <v>0.83290601453524604</v>
      </c>
    </row>
    <row r="14917" spans="1:3" s="7" customFormat="1" x14ac:dyDescent="0.2">
      <c r="A14917" s="6" t="str">
        <f>"ZNRF3-AS1"</f>
        <v>ZNRF3-AS1</v>
      </c>
      <c r="B14917" s="6">
        <v>0.74366767983789195</v>
      </c>
      <c r="C14917" s="6">
        <v>0.83331064634020702</v>
      </c>
    </row>
    <row r="14918" spans="1:3" s="7" customFormat="1" x14ac:dyDescent="0.2">
      <c r="A14918" s="6" t="str">
        <f>"SCAMP2"</f>
        <v>SCAMP2</v>
      </c>
      <c r="B14918" s="6">
        <v>0.74425574425574403</v>
      </c>
      <c r="C14918" s="6">
        <v>0.83374601270043602</v>
      </c>
    </row>
    <row r="14919" spans="1:3" s="7" customFormat="1" x14ac:dyDescent="0.2">
      <c r="A14919" s="6" t="str">
        <f>"ZNF835"</f>
        <v>ZNF835</v>
      </c>
      <c r="B14919" s="6">
        <v>0.74425574425574403</v>
      </c>
      <c r="C14919" s="6">
        <v>0.83374601270043602</v>
      </c>
    </row>
    <row r="14920" spans="1:3" s="7" customFormat="1" x14ac:dyDescent="0.2">
      <c r="A14920" s="6" t="str">
        <f>"FAM160A1"</f>
        <v>FAM160A1</v>
      </c>
      <c r="B14920" s="6">
        <v>0.74425574425574403</v>
      </c>
      <c r="C14920" s="6">
        <v>0.83374601270043602</v>
      </c>
    </row>
    <row r="14921" spans="1:3" s="7" customFormat="1" x14ac:dyDescent="0.2">
      <c r="A14921" s="6" t="str">
        <f>"ORC5"</f>
        <v>ORC5</v>
      </c>
      <c r="B14921" s="6">
        <v>0.74425574425574403</v>
      </c>
      <c r="C14921" s="6">
        <v>0.83374601270043602</v>
      </c>
    </row>
    <row r="14922" spans="1:3" s="7" customFormat="1" x14ac:dyDescent="0.2">
      <c r="A14922" s="6" t="str">
        <f>"NSFP1"</f>
        <v>NSFP1</v>
      </c>
      <c r="B14922" s="6">
        <v>0.74463738508682298</v>
      </c>
      <c r="C14922" s="6">
        <v>0.83411763650835502</v>
      </c>
    </row>
    <row r="14923" spans="1:3" s="7" customFormat="1" x14ac:dyDescent="0.2">
      <c r="A14923" s="6" t="str">
        <f>"TPRXL"</f>
        <v>TPRXL</v>
      </c>
      <c r="B14923" s="6">
        <v>0.745254745254745</v>
      </c>
      <c r="C14923" s="6">
        <v>0.83452953317618905</v>
      </c>
    </row>
    <row r="14924" spans="1:3" s="7" customFormat="1" x14ac:dyDescent="0.2">
      <c r="A14924" s="6" t="str">
        <f>"POLR3F"</f>
        <v>POLR3F</v>
      </c>
      <c r="B14924" s="6">
        <v>0.745254745254745</v>
      </c>
      <c r="C14924" s="6">
        <v>0.83452953317618905</v>
      </c>
    </row>
    <row r="14925" spans="1:3" s="7" customFormat="1" x14ac:dyDescent="0.2">
      <c r="A14925" s="6" t="str">
        <f>"THSD1"</f>
        <v>THSD1</v>
      </c>
      <c r="B14925" s="6">
        <v>0.74515800203873594</v>
      </c>
      <c r="C14925" s="6">
        <v>0.83452953317618905</v>
      </c>
    </row>
    <row r="14926" spans="1:3" s="7" customFormat="1" x14ac:dyDescent="0.2">
      <c r="A14926" s="6" t="str">
        <f>"AP006621.5"</f>
        <v>AP006621.5</v>
      </c>
      <c r="B14926" s="6">
        <v>0.745254745254745</v>
      </c>
      <c r="C14926" s="6">
        <v>0.83452953317618905</v>
      </c>
    </row>
    <row r="14927" spans="1:3" s="7" customFormat="1" x14ac:dyDescent="0.2">
      <c r="A14927" s="6" t="str">
        <f>"AL589765.7"</f>
        <v>AL589765.7</v>
      </c>
      <c r="B14927" s="6">
        <v>0.745254745254745</v>
      </c>
      <c r="C14927" s="6">
        <v>0.83452953317618905</v>
      </c>
    </row>
    <row r="14928" spans="1:3" s="7" customFormat="1" x14ac:dyDescent="0.2">
      <c r="A14928" s="6" t="str">
        <f>"LINC01871"</f>
        <v>LINC01871</v>
      </c>
      <c r="B14928" s="6">
        <v>0.74625374625374596</v>
      </c>
      <c r="C14928" s="6">
        <v>0.83520055677548599</v>
      </c>
    </row>
    <row r="14929" spans="1:3" s="7" customFormat="1" x14ac:dyDescent="0.2">
      <c r="A14929" s="6" t="str">
        <f>"TMIE"</f>
        <v>TMIE</v>
      </c>
      <c r="B14929" s="6">
        <v>0.74593495934959297</v>
      </c>
      <c r="C14929" s="6">
        <v>0.83520055677548599</v>
      </c>
    </row>
    <row r="14930" spans="1:3" s="7" customFormat="1" x14ac:dyDescent="0.2">
      <c r="A14930" s="6" t="str">
        <f>"ZNF687"</f>
        <v>ZNF687</v>
      </c>
      <c r="B14930" s="6">
        <v>0.74625374625374596</v>
      </c>
      <c r="C14930" s="6">
        <v>0.83520055677548599</v>
      </c>
    </row>
    <row r="14931" spans="1:3" s="7" customFormat="1" x14ac:dyDescent="0.2">
      <c r="A14931" s="6" t="str">
        <f>"CEP162"</f>
        <v>CEP162</v>
      </c>
      <c r="B14931" s="6">
        <v>0.74625374625374596</v>
      </c>
      <c r="C14931" s="6">
        <v>0.83520055677548599</v>
      </c>
    </row>
    <row r="14932" spans="1:3" s="7" customFormat="1" x14ac:dyDescent="0.2">
      <c r="A14932" s="6" t="str">
        <f>"AC011912.1"</f>
        <v>AC011912.1</v>
      </c>
      <c r="B14932" s="6">
        <v>0.74623871614844495</v>
      </c>
      <c r="C14932" s="6">
        <v>0.83520055677548599</v>
      </c>
    </row>
    <row r="14933" spans="1:3" s="7" customFormat="1" x14ac:dyDescent="0.2">
      <c r="A14933" s="6" t="str">
        <f>"AC123595.2"</f>
        <v>AC123595.2</v>
      </c>
      <c r="B14933" s="6">
        <v>0.74625374625374596</v>
      </c>
      <c r="C14933" s="6">
        <v>0.83520055677548599</v>
      </c>
    </row>
    <row r="14934" spans="1:3" s="7" customFormat="1" x14ac:dyDescent="0.2">
      <c r="A14934" s="6" t="str">
        <f>"FBXO2"</f>
        <v>FBXO2</v>
      </c>
      <c r="B14934" s="6">
        <v>0.74625374625374596</v>
      </c>
      <c r="C14934" s="6">
        <v>0.83520055677548599</v>
      </c>
    </row>
    <row r="14935" spans="1:3" s="7" customFormat="1" x14ac:dyDescent="0.2">
      <c r="A14935" s="6" t="str">
        <f>"ZNF500"</f>
        <v>ZNF500</v>
      </c>
      <c r="B14935" s="6">
        <v>0.74625374625374596</v>
      </c>
      <c r="C14935" s="6">
        <v>0.83520055677548599</v>
      </c>
    </row>
    <row r="14936" spans="1:3" s="7" customFormat="1" x14ac:dyDescent="0.2">
      <c r="A14936" s="6" t="str">
        <f>"CADM2"</f>
        <v>CADM2</v>
      </c>
      <c r="B14936" s="6">
        <v>0.74725274725274704</v>
      </c>
      <c r="C14936" s="6">
        <v>0.83603871862791401</v>
      </c>
    </row>
    <row r="14937" spans="1:3" s="7" customFormat="1" x14ac:dyDescent="0.2">
      <c r="A14937" s="6" t="str">
        <f>"HEG1"</f>
        <v>HEG1</v>
      </c>
      <c r="B14937" s="6">
        <v>0.74725274725274704</v>
      </c>
      <c r="C14937" s="6">
        <v>0.83603871862791401</v>
      </c>
    </row>
    <row r="14938" spans="1:3" s="7" customFormat="1" x14ac:dyDescent="0.2">
      <c r="A14938" s="6" t="str">
        <f>"ARL6IP4"</f>
        <v>ARL6IP4</v>
      </c>
      <c r="B14938" s="6">
        <v>0.74725274725274704</v>
      </c>
      <c r="C14938" s="6">
        <v>0.83603871862791401</v>
      </c>
    </row>
    <row r="14939" spans="1:3" s="7" customFormat="1" x14ac:dyDescent="0.2">
      <c r="A14939" s="6" t="str">
        <f>"AL513320.1"</f>
        <v>AL513320.1</v>
      </c>
      <c r="B14939" s="6">
        <v>0.74723061430009996</v>
      </c>
      <c r="C14939" s="6">
        <v>0.83603871862791401</v>
      </c>
    </row>
    <row r="14940" spans="1:3" s="7" customFormat="1" x14ac:dyDescent="0.2">
      <c r="A14940" s="6" t="str">
        <f>"ATP6AP1L"</f>
        <v>ATP6AP1L</v>
      </c>
      <c r="B14940" s="6">
        <v>0.74725274725274704</v>
      </c>
      <c r="C14940" s="6">
        <v>0.83603871862791401</v>
      </c>
    </row>
    <row r="14941" spans="1:3" s="7" customFormat="1" x14ac:dyDescent="0.2">
      <c r="A14941" s="6" t="str">
        <f>"ATF4"</f>
        <v>ATF4</v>
      </c>
      <c r="B14941" s="6">
        <v>0.74825174825174801</v>
      </c>
      <c r="C14941" s="6">
        <v>0.83654044951703799</v>
      </c>
    </row>
    <row r="14942" spans="1:3" s="7" customFormat="1" x14ac:dyDescent="0.2">
      <c r="A14942" s="6" t="str">
        <f>"PRPF40A"</f>
        <v>PRPF40A</v>
      </c>
      <c r="B14942" s="6">
        <v>0.74825174825174801</v>
      </c>
      <c r="C14942" s="6">
        <v>0.83654044951703799</v>
      </c>
    </row>
    <row r="14943" spans="1:3" s="7" customFormat="1" x14ac:dyDescent="0.2">
      <c r="A14943" s="6" t="str">
        <f>"GGNBP2"</f>
        <v>GGNBP2</v>
      </c>
      <c r="B14943" s="6">
        <v>0.74825174825174801</v>
      </c>
      <c r="C14943" s="6">
        <v>0.83654044951703799</v>
      </c>
    </row>
    <row r="14944" spans="1:3" s="7" customFormat="1" x14ac:dyDescent="0.2">
      <c r="A14944" s="6" t="str">
        <f>"FRG1DP"</f>
        <v>FRG1DP</v>
      </c>
      <c r="B14944" s="6">
        <v>0.748</v>
      </c>
      <c r="C14944" s="6">
        <v>0.83654044951703799</v>
      </c>
    </row>
    <row r="14945" spans="1:3" s="7" customFormat="1" x14ac:dyDescent="0.2">
      <c r="A14945" s="6" t="str">
        <f>"PARD3B"</f>
        <v>PARD3B</v>
      </c>
      <c r="B14945" s="6">
        <v>0.74825174825174801</v>
      </c>
      <c r="C14945" s="6">
        <v>0.83654044951703799</v>
      </c>
    </row>
    <row r="14946" spans="1:3" s="7" customFormat="1" x14ac:dyDescent="0.2">
      <c r="A14946" s="6" t="str">
        <f>"LINC00313"</f>
        <v>LINC00313</v>
      </c>
      <c r="B14946" s="6">
        <v>0.74825174825174801</v>
      </c>
      <c r="C14946" s="6">
        <v>0.83654044951703799</v>
      </c>
    </row>
    <row r="14947" spans="1:3" s="7" customFormat="1" x14ac:dyDescent="0.2">
      <c r="A14947" s="6" t="str">
        <f>"CU633967.1"</f>
        <v>CU633967.1</v>
      </c>
      <c r="B14947" s="6">
        <v>0.74825174825174801</v>
      </c>
      <c r="C14947" s="6">
        <v>0.83654044951703799</v>
      </c>
    </row>
    <row r="14948" spans="1:3" s="7" customFormat="1" x14ac:dyDescent="0.2">
      <c r="A14948" s="6" t="str">
        <f>"TMEM190"</f>
        <v>TMEM190</v>
      </c>
      <c r="B14948" s="6">
        <v>0.74825174825174801</v>
      </c>
      <c r="C14948" s="6">
        <v>0.83654044951703799</v>
      </c>
    </row>
    <row r="14949" spans="1:3" s="7" customFormat="1" x14ac:dyDescent="0.2">
      <c r="A14949" s="6" t="str">
        <f>"AL078621.1"</f>
        <v>AL078621.1</v>
      </c>
      <c r="B14949" s="6">
        <v>0.74825174825174801</v>
      </c>
      <c r="C14949" s="6">
        <v>0.83654044951703799</v>
      </c>
    </row>
    <row r="14950" spans="1:3" s="7" customFormat="1" x14ac:dyDescent="0.2">
      <c r="A14950" s="6" t="str">
        <f>"ARHGEF38-IT1"</f>
        <v>ARHGEF38-IT1</v>
      </c>
      <c r="B14950" s="6">
        <v>0.74825174825174801</v>
      </c>
      <c r="C14950" s="6">
        <v>0.83654044951703799</v>
      </c>
    </row>
    <row r="14951" spans="1:3" s="7" customFormat="1" x14ac:dyDescent="0.2">
      <c r="A14951" s="6" t="str">
        <f>"AC034102.6"</f>
        <v>AC034102.6</v>
      </c>
      <c r="B14951" s="6">
        <v>0.74825174825174801</v>
      </c>
      <c r="C14951" s="6">
        <v>0.83654044951703799</v>
      </c>
    </row>
    <row r="14952" spans="1:3" s="7" customFormat="1" x14ac:dyDescent="0.2">
      <c r="A14952" s="6" t="str">
        <f>"POR"</f>
        <v>POR</v>
      </c>
      <c r="B14952" s="6">
        <v>0.74925074925074897</v>
      </c>
      <c r="C14952" s="6">
        <v>0.83715335403282398</v>
      </c>
    </row>
    <row r="14953" spans="1:3" s="7" customFormat="1" x14ac:dyDescent="0.2">
      <c r="A14953" s="6" t="str">
        <f>"NFKB1"</f>
        <v>NFKB1</v>
      </c>
      <c r="B14953" s="6">
        <v>0.74925074925074897</v>
      </c>
      <c r="C14953" s="6">
        <v>0.83715335403282398</v>
      </c>
    </row>
    <row r="14954" spans="1:3" s="7" customFormat="1" x14ac:dyDescent="0.2">
      <c r="A14954" s="6" t="str">
        <f>"TNNT1"</f>
        <v>TNNT1</v>
      </c>
      <c r="B14954" s="6">
        <v>0.74925074925074897</v>
      </c>
      <c r="C14954" s="6">
        <v>0.83715335403282398</v>
      </c>
    </row>
    <row r="14955" spans="1:3" s="7" customFormat="1" x14ac:dyDescent="0.2">
      <c r="A14955" s="6" t="str">
        <f>"SCARA3"</f>
        <v>SCARA3</v>
      </c>
      <c r="B14955" s="6">
        <v>0.74925074925074897</v>
      </c>
      <c r="C14955" s="6">
        <v>0.83715335403282398</v>
      </c>
    </row>
    <row r="14956" spans="1:3" s="7" customFormat="1" x14ac:dyDescent="0.2">
      <c r="A14956" s="6" t="str">
        <f>"PIP5K1C"</f>
        <v>PIP5K1C</v>
      </c>
      <c r="B14956" s="6">
        <v>0.74925074925074897</v>
      </c>
      <c r="C14956" s="6">
        <v>0.83715335403282398</v>
      </c>
    </row>
    <row r="14957" spans="1:3" s="7" customFormat="1" x14ac:dyDescent="0.2">
      <c r="A14957" s="6" t="str">
        <f>"AC136944.2"</f>
        <v>AC136944.2</v>
      </c>
      <c r="B14957" s="6">
        <v>0.74925074925074897</v>
      </c>
      <c r="C14957" s="6">
        <v>0.83715335403282398</v>
      </c>
    </row>
    <row r="14958" spans="1:3" s="7" customFormat="1" x14ac:dyDescent="0.2">
      <c r="A14958" s="6" t="str">
        <f>"LRP4"</f>
        <v>LRP4</v>
      </c>
      <c r="B14958" s="6">
        <v>0.74925074925074897</v>
      </c>
      <c r="C14958" s="6">
        <v>0.83715335403282398</v>
      </c>
    </row>
    <row r="14959" spans="1:3" s="7" customFormat="1" x14ac:dyDescent="0.2">
      <c r="A14959" s="6" t="str">
        <f>"TERT"</f>
        <v>TERT</v>
      </c>
      <c r="B14959" s="6">
        <v>0.74925074925074897</v>
      </c>
      <c r="C14959" s="6">
        <v>0.83715335403282398</v>
      </c>
    </row>
    <row r="14960" spans="1:3" s="7" customFormat="1" x14ac:dyDescent="0.2">
      <c r="A14960" s="6" t="str">
        <f>"EPS15"</f>
        <v>EPS15</v>
      </c>
      <c r="B14960" s="6">
        <v>0.74925074925074897</v>
      </c>
      <c r="C14960" s="6">
        <v>0.83715335403282398</v>
      </c>
    </row>
    <row r="14961" spans="1:3" s="7" customFormat="1" x14ac:dyDescent="0.2">
      <c r="A14961" s="6" t="str">
        <f>"TMEM185B"</f>
        <v>TMEM185B</v>
      </c>
      <c r="B14961" s="6">
        <v>0.75024975024975005</v>
      </c>
      <c r="C14961" s="6">
        <v>0.83798946308970301</v>
      </c>
    </row>
    <row r="14962" spans="1:3" s="7" customFormat="1" x14ac:dyDescent="0.2">
      <c r="A14962" s="6" t="str">
        <f>"GCFC2"</f>
        <v>GCFC2</v>
      </c>
      <c r="B14962" s="6">
        <v>0.75024975024975005</v>
      </c>
      <c r="C14962" s="6">
        <v>0.83798946308970301</v>
      </c>
    </row>
    <row r="14963" spans="1:3" s="7" customFormat="1" x14ac:dyDescent="0.2">
      <c r="A14963" s="6" t="str">
        <f>"AL137003.1"</f>
        <v>AL137003.1</v>
      </c>
      <c r="B14963" s="6">
        <v>0.75024975024975005</v>
      </c>
      <c r="C14963" s="6">
        <v>0.83798946308970301</v>
      </c>
    </row>
    <row r="14964" spans="1:3" s="7" customFormat="1" x14ac:dyDescent="0.2">
      <c r="A14964" s="6" t="str">
        <f>"TMEM18"</f>
        <v>TMEM18</v>
      </c>
      <c r="B14964" s="6">
        <v>0.75024975024975005</v>
      </c>
      <c r="C14964" s="6">
        <v>0.83798946308970301</v>
      </c>
    </row>
    <row r="14965" spans="1:3" s="7" customFormat="1" x14ac:dyDescent="0.2">
      <c r="A14965" s="6" t="str">
        <f>"PRSS53"</f>
        <v>PRSS53</v>
      </c>
      <c r="B14965" s="6">
        <v>0.75024975024975005</v>
      </c>
      <c r="C14965" s="6">
        <v>0.83798946308970301</v>
      </c>
    </row>
    <row r="14966" spans="1:3" s="7" customFormat="1" x14ac:dyDescent="0.2">
      <c r="A14966" s="6" t="str">
        <f>"DDR1-DT"</f>
        <v>DDR1-DT</v>
      </c>
      <c r="B14966" s="6">
        <v>0.75075075075075004</v>
      </c>
      <c r="C14966" s="6">
        <v>0.83849302025045402</v>
      </c>
    </row>
    <row r="14967" spans="1:3" s="7" customFormat="1" x14ac:dyDescent="0.2">
      <c r="A14967" s="6" t="str">
        <f>"AGGF1"</f>
        <v>AGGF1</v>
      </c>
      <c r="B14967" s="6">
        <v>0.75124875124875101</v>
      </c>
      <c r="C14967" s="6">
        <v>0.83854491975234502</v>
      </c>
    </row>
    <row r="14968" spans="1:3" s="7" customFormat="1" x14ac:dyDescent="0.2">
      <c r="A14968" s="6" t="str">
        <f>"TAS1R1"</f>
        <v>TAS1R1</v>
      </c>
      <c r="B14968" s="6">
        <v>0.751</v>
      </c>
      <c r="C14968" s="6">
        <v>0.83854491975234502</v>
      </c>
    </row>
    <row r="14969" spans="1:3" s="7" customFormat="1" x14ac:dyDescent="0.2">
      <c r="A14969" s="6" t="str">
        <f>"HECW2-AS1"</f>
        <v>HECW2-AS1</v>
      </c>
      <c r="B14969" s="6">
        <v>0.75124875124875101</v>
      </c>
      <c r="C14969" s="6">
        <v>0.83854491975234502</v>
      </c>
    </row>
    <row r="14970" spans="1:3" s="7" customFormat="1" x14ac:dyDescent="0.2">
      <c r="A14970" s="6" t="str">
        <f>"MEIOC"</f>
        <v>MEIOC</v>
      </c>
      <c r="B14970" s="6">
        <v>0.751</v>
      </c>
      <c r="C14970" s="6">
        <v>0.83854491975234502</v>
      </c>
    </row>
    <row r="14971" spans="1:3" s="7" customFormat="1" x14ac:dyDescent="0.2">
      <c r="A14971" s="6" t="str">
        <f>"CORO2A"</f>
        <v>CORO2A</v>
      </c>
      <c r="B14971" s="6">
        <v>0.751</v>
      </c>
      <c r="C14971" s="6">
        <v>0.83854491975234502</v>
      </c>
    </row>
    <row r="14972" spans="1:3" s="7" customFormat="1" x14ac:dyDescent="0.2">
      <c r="A14972" s="6" t="str">
        <f>"PMS2P2"</f>
        <v>PMS2P2</v>
      </c>
      <c r="B14972" s="6">
        <v>0.75124875124875101</v>
      </c>
      <c r="C14972" s="6">
        <v>0.83854491975234502</v>
      </c>
    </row>
    <row r="14973" spans="1:3" s="7" customFormat="1" x14ac:dyDescent="0.2">
      <c r="A14973" s="6" t="str">
        <f>"HEATR5B"</f>
        <v>HEATR5B</v>
      </c>
      <c r="B14973" s="6">
        <v>0.75124875124875101</v>
      </c>
      <c r="C14973" s="6">
        <v>0.83854491975234502</v>
      </c>
    </row>
    <row r="14974" spans="1:3" s="7" customFormat="1" x14ac:dyDescent="0.2">
      <c r="A14974" s="6" t="str">
        <f>"PMS2P6"</f>
        <v>PMS2P6</v>
      </c>
      <c r="B14974" s="6">
        <v>0.75124875124875101</v>
      </c>
      <c r="C14974" s="6">
        <v>0.83854491975234502</v>
      </c>
    </row>
    <row r="14975" spans="1:3" s="7" customFormat="1" x14ac:dyDescent="0.2">
      <c r="A14975" s="6" t="str">
        <f>"CCDC136"</f>
        <v>CCDC136</v>
      </c>
      <c r="B14975" s="6">
        <v>0.75124875124875101</v>
      </c>
      <c r="C14975" s="6">
        <v>0.83854491975234502</v>
      </c>
    </row>
    <row r="14976" spans="1:3" s="7" customFormat="1" x14ac:dyDescent="0.2">
      <c r="A14976" s="6" t="str">
        <f>"AC138776.1"</f>
        <v>AC138776.1</v>
      </c>
      <c r="B14976" s="6">
        <v>0.752</v>
      </c>
      <c r="C14976" s="6">
        <v>0.83909963501527796</v>
      </c>
    </row>
    <row r="14977" spans="1:3" s="7" customFormat="1" x14ac:dyDescent="0.2">
      <c r="A14977" s="6" t="str">
        <f>"VANGL2"</f>
        <v>VANGL2</v>
      </c>
      <c r="B14977" s="6">
        <v>0.75224775224775198</v>
      </c>
      <c r="C14977" s="6">
        <v>0.83909963501527796</v>
      </c>
    </row>
    <row r="14978" spans="1:3" s="7" customFormat="1" x14ac:dyDescent="0.2">
      <c r="A14978" s="6" t="str">
        <f>"NUDT19"</f>
        <v>NUDT19</v>
      </c>
      <c r="B14978" s="6">
        <v>0.75224775224775198</v>
      </c>
      <c r="C14978" s="6">
        <v>0.83909963501527796</v>
      </c>
    </row>
    <row r="14979" spans="1:3" s="7" customFormat="1" x14ac:dyDescent="0.2">
      <c r="A14979" s="6" t="str">
        <f>"PTGER2"</f>
        <v>PTGER2</v>
      </c>
      <c r="B14979" s="6">
        <v>0.75224775224775198</v>
      </c>
      <c r="C14979" s="6">
        <v>0.83909963501527796</v>
      </c>
    </row>
    <row r="14980" spans="1:3" s="7" customFormat="1" x14ac:dyDescent="0.2">
      <c r="A14980" s="6" t="str">
        <f>"AC005261.3"</f>
        <v>AC005261.3</v>
      </c>
      <c r="B14980" s="6">
        <v>0.752</v>
      </c>
      <c r="C14980" s="6">
        <v>0.83909963501527796</v>
      </c>
    </row>
    <row r="14981" spans="1:3" s="7" customFormat="1" x14ac:dyDescent="0.2">
      <c r="A14981" s="6" t="str">
        <f>"HTR1F"</f>
        <v>HTR1F</v>
      </c>
      <c r="B14981" s="6">
        <v>0.75224775224775198</v>
      </c>
      <c r="C14981" s="6">
        <v>0.83909963501527796</v>
      </c>
    </row>
    <row r="14982" spans="1:3" s="7" customFormat="1" x14ac:dyDescent="0.2">
      <c r="A14982" s="6" t="str">
        <f>"LINC00506"</f>
        <v>LINC00506</v>
      </c>
      <c r="B14982" s="6">
        <v>0.75224775224775198</v>
      </c>
      <c r="C14982" s="6">
        <v>0.83909963501527796</v>
      </c>
    </row>
    <row r="14983" spans="1:3" s="7" customFormat="1" x14ac:dyDescent="0.2">
      <c r="A14983" s="6" t="str">
        <f>"FTSJ1"</f>
        <v>FTSJ1</v>
      </c>
      <c r="B14983" s="6">
        <v>0.75224775224775198</v>
      </c>
      <c r="C14983" s="6">
        <v>0.83909963501527796</v>
      </c>
    </row>
    <row r="14984" spans="1:3" s="7" customFormat="1" x14ac:dyDescent="0.2">
      <c r="A14984" s="6" t="str">
        <f>"PARP3"</f>
        <v>PARP3</v>
      </c>
      <c r="B14984" s="6">
        <v>0.75224775224775198</v>
      </c>
      <c r="C14984" s="6">
        <v>0.83909963501527796</v>
      </c>
    </row>
    <row r="14985" spans="1:3" s="7" customFormat="1" x14ac:dyDescent="0.2">
      <c r="A14985" s="6" t="str">
        <f>"MCM3"</f>
        <v>MCM3</v>
      </c>
      <c r="B14985" s="6">
        <v>0.75224775224775198</v>
      </c>
      <c r="C14985" s="6">
        <v>0.83909963501527796</v>
      </c>
    </row>
    <row r="14986" spans="1:3" s="7" customFormat="1" x14ac:dyDescent="0.2">
      <c r="A14986" s="6" t="str">
        <f>"C1orf127"</f>
        <v>C1orf127</v>
      </c>
      <c r="B14986" s="6">
        <v>0.75324675324675305</v>
      </c>
      <c r="C14986" s="6">
        <v>0.83982164190288999</v>
      </c>
    </row>
    <row r="14987" spans="1:3" s="7" customFormat="1" x14ac:dyDescent="0.2">
      <c r="A14987" s="6" t="str">
        <f>"CEP120"</f>
        <v>CEP120</v>
      </c>
      <c r="B14987" s="6">
        <v>0.75324675324675305</v>
      </c>
      <c r="C14987" s="6">
        <v>0.83982164190288999</v>
      </c>
    </row>
    <row r="14988" spans="1:3" s="7" customFormat="1" x14ac:dyDescent="0.2">
      <c r="A14988" s="6" t="str">
        <f>"ELF3-AS1"</f>
        <v>ELF3-AS1</v>
      </c>
      <c r="B14988" s="6">
        <v>0.75324675324675305</v>
      </c>
      <c r="C14988" s="6">
        <v>0.83982164190288999</v>
      </c>
    </row>
    <row r="14989" spans="1:3" s="7" customFormat="1" x14ac:dyDescent="0.2">
      <c r="A14989" s="6" t="str">
        <f>"NR5A2"</f>
        <v>NR5A2</v>
      </c>
      <c r="B14989" s="6">
        <v>0.75324675324675305</v>
      </c>
      <c r="C14989" s="6">
        <v>0.83982164190288999</v>
      </c>
    </row>
    <row r="14990" spans="1:3" s="7" customFormat="1" x14ac:dyDescent="0.2">
      <c r="A14990" s="6" t="str">
        <f>"GUSBP9"</f>
        <v>GUSBP9</v>
      </c>
      <c r="B14990" s="6">
        <v>0.75324675324675305</v>
      </c>
      <c r="C14990" s="6">
        <v>0.83982164190288999</v>
      </c>
    </row>
    <row r="14991" spans="1:3" s="7" customFormat="1" x14ac:dyDescent="0.2">
      <c r="A14991" s="6" t="str">
        <f>"Z95114.1"</f>
        <v>Z95114.1</v>
      </c>
      <c r="B14991" s="6">
        <v>0.75301204819277101</v>
      </c>
      <c r="C14991" s="6">
        <v>0.83982164190288999</v>
      </c>
    </row>
    <row r="14992" spans="1:3" s="7" customFormat="1" x14ac:dyDescent="0.2">
      <c r="A14992" s="6" t="str">
        <f>"AKR1C4"</f>
        <v>AKR1C4</v>
      </c>
      <c r="B14992" s="6">
        <v>0.753</v>
      </c>
      <c r="C14992" s="6">
        <v>0.83982164190288999</v>
      </c>
    </row>
    <row r="14993" spans="1:3" s="7" customFormat="1" x14ac:dyDescent="0.2">
      <c r="A14993" s="6" t="str">
        <f>"AP004609.3"</f>
        <v>AP004609.3</v>
      </c>
      <c r="B14993" s="6">
        <v>0.75424575424575402</v>
      </c>
      <c r="C14993" s="6">
        <v>0.84043090243090202</v>
      </c>
    </row>
    <row r="14994" spans="1:3" s="7" customFormat="1" x14ac:dyDescent="0.2">
      <c r="A14994" s="6" t="str">
        <f>"POLG2"</f>
        <v>POLG2</v>
      </c>
      <c r="B14994" s="6">
        <v>0.75424575424575402</v>
      </c>
      <c r="C14994" s="6">
        <v>0.84043090243090202</v>
      </c>
    </row>
    <row r="14995" spans="1:3" s="7" customFormat="1" x14ac:dyDescent="0.2">
      <c r="A14995" s="6" t="str">
        <f>"VAPB"</f>
        <v>VAPB</v>
      </c>
      <c r="B14995" s="6">
        <v>0.75424575424575402</v>
      </c>
      <c r="C14995" s="6">
        <v>0.84043090243090202</v>
      </c>
    </row>
    <row r="14996" spans="1:3" s="7" customFormat="1" x14ac:dyDescent="0.2">
      <c r="A14996" s="6" t="str">
        <f>"PPP4R2"</f>
        <v>PPP4R2</v>
      </c>
      <c r="B14996" s="6">
        <v>0.75424575424575402</v>
      </c>
      <c r="C14996" s="6">
        <v>0.84043090243090202</v>
      </c>
    </row>
    <row r="14997" spans="1:3" s="7" customFormat="1" x14ac:dyDescent="0.2">
      <c r="A14997" s="6" t="str">
        <f>"SLC39A3"</f>
        <v>SLC39A3</v>
      </c>
      <c r="B14997" s="6">
        <v>0.75424575424575402</v>
      </c>
      <c r="C14997" s="6">
        <v>0.84043090243090202</v>
      </c>
    </row>
    <row r="14998" spans="1:3" s="7" customFormat="1" x14ac:dyDescent="0.2">
      <c r="A14998" s="6" t="str">
        <f>"AC009078.3"</f>
        <v>AC009078.3</v>
      </c>
      <c r="B14998" s="6">
        <v>0.75424575424575402</v>
      </c>
      <c r="C14998" s="6">
        <v>0.84043090243090202</v>
      </c>
    </row>
    <row r="14999" spans="1:3" s="7" customFormat="1" x14ac:dyDescent="0.2">
      <c r="A14999" s="6" t="str">
        <f>"ATP23"</f>
        <v>ATP23</v>
      </c>
      <c r="B14999" s="6">
        <v>0.75424575424575402</v>
      </c>
      <c r="C14999" s="6">
        <v>0.84043090243090202</v>
      </c>
    </row>
    <row r="15000" spans="1:3" s="7" customFormat="1" x14ac:dyDescent="0.2">
      <c r="A15000" s="6" t="str">
        <f>"TMEM106C"</f>
        <v>TMEM106C</v>
      </c>
      <c r="B15000" s="6">
        <v>0.75424575424575402</v>
      </c>
      <c r="C15000" s="6">
        <v>0.84043090243090202</v>
      </c>
    </row>
    <row r="15001" spans="1:3" s="7" customFormat="1" x14ac:dyDescent="0.2">
      <c r="A15001" s="6" t="str">
        <f>"GOLGA8IP"</f>
        <v>GOLGA8IP</v>
      </c>
      <c r="B15001" s="6">
        <v>0.75424575424575402</v>
      </c>
      <c r="C15001" s="6">
        <v>0.84043090243090202</v>
      </c>
    </row>
    <row r="15002" spans="1:3" s="7" customFormat="1" x14ac:dyDescent="0.2">
      <c r="A15002" s="6" t="str">
        <f>"LINC00884"</f>
        <v>LINC00884</v>
      </c>
      <c r="B15002" s="6">
        <v>0.75524475524475498</v>
      </c>
      <c r="C15002" s="6">
        <v>0.84092737586841904</v>
      </c>
    </row>
    <row r="15003" spans="1:3" s="7" customFormat="1" x14ac:dyDescent="0.2">
      <c r="A15003" s="6" t="str">
        <f>"DLEU2"</f>
        <v>DLEU2</v>
      </c>
      <c r="B15003" s="6">
        <v>0.75524475524475498</v>
      </c>
      <c r="C15003" s="6">
        <v>0.84092737586841904</v>
      </c>
    </row>
    <row r="15004" spans="1:3" s="7" customFormat="1" x14ac:dyDescent="0.2">
      <c r="A15004" s="6" t="str">
        <f>"ZNF91"</f>
        <v>ZNF91</v>
      </c>
      <c r="B15004" s="6">
        <v>0.75524475524475498</v>
      </c>
      <c r="C15004" s="6">
        <v>0.84092737586841904</v>
      </c>
    </row>
    <row r="15005" spans="1:3" s="7" customFormat="1" x14ac:dyDescent="0.2">
      <c r="A15005" s="6" t="str">
        <f>"AL669918.1"</f>
        <v>AL669918.1</v>
      </c>
      <c r="B15005" s="6">
        <v>0.75524475524475498</v>
      </c>
      <c r="C15005" s="6">
        <v>0.84092737586841904</v>
      </c>
    </row>
    <row r="15006" spans="1:3" s="7" customFormat="1" x14ac:dyDescent="0.2">
      <c r="A15006" s="6" t="str">
        <f>"AC010642.2"</f>
        <v>AC010642.2</v>
      </c>
      <c r="B15006" s="6">
        <v>0.75524475524475498</v>
      </c>
      <c r="C15006" s="6">
        <v>0.84092737586841904</v>
      </c>
    </row>
    <row r="15007" spans="1:3" s="7" customFormat="1" x14ac:dyDescent="0.2">
      <c r="A15007" s="6" t="str">
        <f>"CALHM2"</f>
        <v>CALHM2</v>
      </c>
      <c r="B15007" s="6">
        <v>0.75524475524475498</v>
      </c>
      <c r="C15007" s="6">
        <v>0.84092737586841904</v>
      </c>
    </row>
    <row r="15008" spans="1:3" s="7" customFormat="1" x14ac:dyDescent="0.2">
      <c r="A15008" s="6" t="str">
        <f>"GPC1"</f>
        <v>GPC1</v>
      </c>
      <c r="B15008" s="6">
        <v>0.75524475524475498</v>
      </c>
      <c r="C15008" s="6">
        <v>0.84092737586841904</v>
      </c>
    </row>
    <row r="15009" spans="1:3" s="7" customFormat="1" x14ac:dyDescent="0.2">
      <c r="A15009" s="6" t="str">
        <f>"COX11"</f>
        <v>COX11</v>
      </c>
      <c r="B15009" s="6">
        <v>0.75524475524475498</v>
      </c>
      <c r="C15009" s="6">
        <v>0.84092737586841904</v>
      </c>
    </row>
    <row r="15010" spans="1:3" s="7" customFormat="1" x14ac:dyDescent="0.2">
      <c r="A15010" s="6" t="str">
        <f>"HRCT1"</f>
        <v>HRCT1</v>
      </c>
      <c r="B15010" s="6">
        <v>0.75524475524475498</v>
      </c>
      <c r="C15010" s="6">
        <v>0.84092737586841904</v>
      </c>
    </row>
    <row r="15011" spans="1:3" s="7" customFormat="1" x14ac:dyDescent="0.2">
      <c r="A15011" s="6" t="str">
        <f>"ELMOD1"</f>
        <v>ELMOD1</v>
      </c>
      <c r="B15011" s="6">
        <v>0.75524475524475498</v>
      </c>
      <c r="C15011" s="6">
        <v>0.84092737586841904</v>
      </c>
    </row>
    <row r="15012" spans="1:3" s="7" customFormat="1" x14ac:dyDescent="0.2">
      <c r="A15012" s="6" t="str">
        <f>"PRAL"</f>
        <v>PRAL</v>
      </c>
      <c r="B15012" s="6">
        <v>0.755</v>
      </c>
      <c r="C15012" s="6">
        <v>0.84092737586841904</v>
      </c>
    </row>
    <row r="15013" spans="1:3" s="7" customFormat="1" x14ac:dyDescent="0.2">
      <c r="A15013" s="6" t="str">
        <f>"AL513122.2"</f>
        <v>AL513122.2</v>
      </c>
      <c r="B15013" s="6">
        <v>0.75600000000000001</v>
      </c>
      <c r="C15013" s="6">
        <v>0.84171223021582697</v>
      </c>
    </row>
    <row r="15014" spans="1:3" s="7" customFormat="1" x14ac:dyDescent="0.2">
      <c r="A15014" s="6" t="str">
        <f>"OR1L8"</f>
        <v>OR1L8</v>
      </c>
      <c r="B15014" s="6">
        <v>0.75624375624375595</v>
      </c>
      <c r="C15014" s="6">
        <v>0.84178721566938397</v>
      </c>
    </row>
    <row r="15015" spans="1:3" s="7" customFormat="1" x14ac:dyDescent="0.2">
      <c r="A15015" s="6" t="str">
        <f>"AC025165.5"</f>
        <v>AC025165.5</v>
      </c>
      <c r="B15015" s="6">
        <v>0.75626880641925698</v>
      </c>
      <c r="C15015" s="6">
        <v>0.84178721566938397</v>
      </c>
    </row>
    <row r="15016" spans="1:3" s="7" customFormat="1" x14ac:dyDescent="0.2">
      <c r="A15016" s="6" t="str">
        <f>"RDH13"</f>
        <v>RDH13</v>
      </c>
      <c r="B15016" s="6">
        <v>0.75624375624375595</v>
      </c>
      <c r="C15016" s="6">
        <v>0.84178721566938397</v>
      </c>
    </row>
    <row r="15017" spans="1:3" s="7" customFormat="1" x14ac:dyDescent="0.2">
      <c r="A15017" s="6" t="str">
        <f>"AC010226.1"</f>
        <v>AC010226.1</v>
      </c>
      <c r="B15017" s="6">
        <v>0.75624375624375595</v>
      </c>
      <c r="C15017" s="6">
        <v>0.84178721566938397</v>
      </c>
    </row>
    <row r="15018" spans="1:3" s="7" customFormat="1" x14ac:dyDescent="0.2">
      <c r="A15018" s="6" t="str">
        <f>"VPS13C"</f>
        <v>VPS13C</v>
      </c>
      <c r="B15018" s="6">
        <v>0.75724275724275703</v>
      </c>
      <c r="C15018" s="6">
        <v>0.84259073594004696</v>
      </c>
    </row>
    <row r="15019" spans="1:3" s="7" customFormat="1" x14ac:dyDescent="0.2">
      <c r="A15019" s="6" t="str">
        <f>"AC139887.2"</f>
        <v>AC139887.2</v>
      </c>
      <c r="B15019" s="6">
        <v>0.75724275724275703</v>
      </c>
      <c r="C15019" s="6">
        <v>0.84259073594004696</v>
      </c>
    </row>
    <row r="15020" spans="1:3" s="7" customFormat="1" x14ac:dyDescent="0.2">
      <c r="A15020" s="6" t="str">
        <f>"AC027575.2"</f>
        <v>AC027575.2</v>
      </c>
      <c r="B15020" s="6">
        <v>0.75707547169811296</v>
      </c>
      <c r="C15020" s="6">
        <v>0.84259073594004696</v>
      </c>
    </row>
    <row r="15021" spans="1:3" s="7" customFormat="1" x14ac:dyDescent="0.2">
      <c r="A15021" s="6" t="str">
        <f>"C1DP1"</f>
        <v>C1DP1</v>
      </c>
      <c r="B15021" s="6">
        <v>0.75724275724275703</v>
      </c>
      <c r="C15021" s="6">
        <v>0.84259073594004696</v>
      </c>
    </row>
    <row r="15022" spans="1:3" s="7" customFormat="1" x14ac:dyDescent="0.2">
      <c r="A15022" s="6" t="str">
        <f>"PCDHGC4"</f>
        <v>PCDHGC4</v>
      </c>
      <c r="B15022" s="6">
        <v>0.75724275724275703</v>
      </c>
      <c r="C15022" s="6">
        <v>0.84259073594004696</v>
      </c>
    </row>
    <row r="15023" spans="1:3" s="7" customFormat="1" x14ac:dyDescent="0.2">
      <c r="A15023" s="6" t="str">
        <f>"LINC01492"</f>
        <v>LINC01492</v>
      </c>
      <c r="B15023" s="6">
        <v>0.75754527162977803</v>
      </c>
      <c r="C15023" s="6">
        <v>0.84287123352550397</v>
      </c>
    </row>
    <row r="15024" spans="1:3" s="7" customFormat="1" x14ac:dyDescent="0.2">
      <c r="A15024" s="6" t="str">
        <f>"TMOD2"</f>
        <v>TMOD2</v>
      </c>
      <c r="B15024" s="6">
        <v>0.75824175824175799</v>
      </c>
      <c r="C15024" s="6">
        <v>0.843421585734909</v>
      </c>
    </row>
    <row r="15025" spans="1:3" s="7" customFormat="1" x14ac:dyDescent="0.2">
      <c r="A15025" s="6" t="str">
        <f>"UBE2L5"</f>
        <v>UBE2L5</v>
      </c>
      <c r="B15025" s="6">
        <v>0.75824175824175799</v>
      </c>
      <c r="C15025" s="6">
        <v>0.843421585734909</v>
      </c>
    </row>
    <row r="15026" spans="1:3" s="7" customFormat="1" x14ac:dyDescent="0.2">
      <c r="A15026" s="6" t="str">
        <f>"AC090616.6"</f>
        <v>AC090616.6</v>
      </c>
      <c r="B15026" s="6">
        <v>0.75824175824175799</v>
      </c>
      <c r="C15026" s="6">
        <v>0.843421585734909</v>
      </c>
    </row>
    <row r="15027" spans="1:3" s="7" customFormat="1" x14ac:dyDescent="0.2">
      <c r="A15027" s="6" t="str">
        <f>"CAMK4"</f>
        <v>CAMK4</v>
      </c>
      <c r="B15027" s="6">
        <v>0.75824175824175799</v>
      </c>
      <c r="C15027" s="6">
        <v>0.843421585734909</v>
      </c>
    </row>
    <row r="15028" spans="1:3" s="7" customFormat="1" x14ac:dyDescent="0.2">
      <c r="A15028" s="6" t="str">
        <f>"AC019171.1"</f>
        <v>AC019171.1</v>
      </c>
      <c r="B15028" s="6">
        <v>0.75830815709969701</v>
      </c>
      <c r="C15028" s="6">
        <v>0.84343931175646103</v>
      </c>
    </row>
    <row r="15029" spans="1:3" s="7" customFormat="1" x14ac:dyDescent="0.2">
      <c r="A15029" s="6" t="str">
        <f>"AP002498.1"</f>
        <v>AP002498.1</v>
      </c>
      <c r="B15029" s="6">
        <v>0.75875875875875798</v>
      </c>
      <c r="C15029" s="6">
        <v>0.84388434215423802</v>
      </c>
    </row>
    <row r="15030" spans="1:3" s="7" customFormat="1" x14ac:dyDescent="0.2">
      <c r="A15030" s="6" t="str">
        <f>"SCAF1"</f>
        <v>SCAF1</v>
      </c>
      <c r="B15030" s="6">
        <v>0.75924075924075896</v>
      </c>
      <c r="C15030" s="6">
        <v>0.84413956295816195</v>
      </c>
    </row>
    <row r="15031" spans="1:3" s="7" customFormat="1" x14ac:dyDescent="0.2">
      <c r="A15031" s="6" t="str">
        <f>"MT1H"</f>
        <v>MT1H</v>
      </c>
      <c r="B15031" s="6">
        <v>0.75924075924075896</v>
      </c>
      <c r="C15031" s="6">
        <v>0.84413956295816195</v>
      </c>
    </row>
    <row r="15032" spans="1:3" s="7" customFormat="1" x14ac:dyDescent="0.2">
      <c r="A15032" s="6" t="str">
        <f>"RHBDD1"</f>
        <v>RHBDD1</v>
      </c>
      <c r="B15032" s="6">
        <v>0.75924075924075896</v>
      </c>
      <c r="C15032" s="6">
        <v>0.84413956295816195</v>
      </c>
    </row>
    <row r="15033" spans="1:3" s="7" customFormat="1" x14ac:dyDescent="0.2">
      <c r="A15033" s="6" t="str">
        <f>"ACVR1C"</f>
        <v>ACVR1C</v>
      </c>
      <c r="B15033" s="6">
        <v>0.75924075924075896</v>
      </c>
      <c r="C15033" s="6">
        <v>0.84413956295816195</v>
      </c>
    </row>
    <row r="15034" spans="1:3" s="7" customFormat="1" x14ac:dyDescent="0.2">
      <c r="A15034" s="6" t="str">
        <f>"GJA3"</f>
        <v>GJA3</v>
      </c>
      <c r="B15034" s="6">
        <v>0.75924075924075896</v>
      </c>
      <c r="C15034" s="6">
        <v>0.84413956295816195</v>
      </c>
    </row>
    <row r="15035" spans="1:3" s="7" customFormat="1" x14ac:dyDescent="0.2">
      <c r="A15035" s="6" t="str">
        <f>"AC008695.1"</f>
        <v>AC008695.1</v>
      </c>
      <c r="B15035" s="6">
        <v>0.759533898305084</v>
      </c>
      <c r="C15035" s="6">
        <v>0.84440931064727798</v>
      </c>
    </row>
    <row r="15036" spans="1:3" s="7" customFormat="1" x14ac:dyDescent="0.2">
      <c r="A15036" s="6" t="str">
        <f>"ERN2"</f>
        <v>ERN2</v>
      </c>
      <c r="B15036" s="6">
        <v>0.76023976023976003</v>
      </c>
      <c r="C15036" s="6">
        <v>0.84480070159213805</v>
      </c>
    </row>
    <row r="15037" spans="1:3" s="7" customFormat="1" x14ac:dyDescent="0.2">
      <c r="A15037" s="6" t="str">
        <f>"POLR2K"</f>
        <v>POLR2K</v>
      </c>
      <c r="B15037" s="6">
        <v>0.76023976023976003</v>
      </c>
      <c r="C15037" s="6">
        <v>0.84480070159213805</v>
      </c>
    </row>
    <row r="15038" spans="1:3" s="7" customFormat="1" x14ac:dyDescent="0.2">
      <c r="A15038" s="6" t="str">
        <f>"CCDC171"</f>
        <v>CCDC171</v>
      </c>
      <c r="B15038" s="6">
        <v>0.76023976023976003</v>
      </c>
      <c r="C15038" s="6">
        <v>0.84480070159213805</v>
      </c>
    </row>
    <row r="15039" spans="1:3" s="7" customFormat="1" x14ac:dyDescent="0.2">
      <c r="A15039" s="6" t="str">
        <f>"RPS26P31"</f>
        <v>RPS26P31</v>
      </c>
      <c r="B15039" s="6">
        <v>0.76023976023976003</v>
      </c>
      <c r="C15039" s="6">
        <v>0.84480070159213805</v>
      </c>
    </row>
    <row r="15040" spans="1:3" s="7" customFormat="1" x14ac:dyDescent="0.2">
      <c r="A15040" s="6" t="str">
        <f>"C16orf91"</f>
        <v>C16orf91</v>
      </c>
      <c r="B15040" s="6">
        <v>0.76023976023976003</v>
      </c>
      <c r="C15040" s="6">
        <v>0.84480070159213805</v>
      </c>
    </row>
    <row r="15041" spans="1:3" s="7" customFormat="1" x14ac:dyDescent="0.2">
      <c r="A15041" s="6" t="str">
        <f>"MHENCR"</f>
        <v>MHENCR</v>
      </c>
      <c r="B15041" s="6">
        <v>0.76023976023976003</v>
      </c>
      <c r="C15041" s="6">
        <v>0.84480070159213805</v>
      </c>
    </row>
    <row r="15042" spans="1:3" s="7" customFormat="1" x14ac:dyDescent="0.2">
      <c r="A15042" s="6" t="str">
        <f>"NDUFAF1"</f>
        <v>NDUFAF1</v>
      </c>
      <c r="B15042" s="6">
        <v>0.76023976023976003</v>
      </c>
      <c r="C15042" s="6">
        <v>0.84480070159213805</v>
      </c>
    </row>
    <row r="15043" spans="1:3" s="7" customFormat="1" x14ac:dyDescent="0.2">
      <c r="A15043" s="6" t="str">
        <f>"AC138393.1"</f>
        <v>AC138393.1</v>
      </c>
      <c r="B15043" s="6">
        <v>0.761238761238761</v>
      </c>
      <c r="C15043" s="6">
        <v>0.84512418833242398</v>
      </c>
    </row>
    <row r="15044" spans="1:3" s="7" customFormat="1" x14ac:dyDescent="0.2">
      <c r="A15044" s="6" t="str">
        <f>"NMB"</f>
        <v>NMB</v>
      </c>
      <c r="B15044" s="6">
        <v>0.761238761238761</v>
      </c>
      <c r="C15044" s="6">
        <v>0.84512418833242398</v>
      </c>
    </row>
    <row r="15045" spans="1:3" s="7" customFormat="1" x14ac:dyDescent="0.2">
      <c r="A15045" s="6" t="str">
        <f>"SLC13A2"</f>
        <v>SLC13A2</v>
      </c>
      <c r="B15045" s="6">
        <v>0.761238761238761</v>
      </c>
      <c r="C15045" s="6">
        <v>0.84512418833242398</v>
      </c>
    </row>
    <row r="15046" spans="1:3" s="7" customFormat="1" x14ac:dyDescent="0.2">
      <c r="A15046" s="6" t="str">
        <f>"TRAM2"</f>
        <v>TRAM2</v>
      </c>
      <c r="B15046" s="6">
        <v>0.761238761238761</v>
      </c>
      <c r="C15046" s="6">
        <v>0.84512418833242398</v>
      </c>
    </row>
    <row r="15047" spans="1:3" s="7" customFormat="1" x14ac:dyDescent="0.2">
      <c r="A15047" s="6" t="str">
        <f>"ANAPC10"</f>
        <v>ANAPC10</v>
      </c>
      <c r="B15047" s="6">
        <v>0.761238761238761</v>
      </c>
      <c r="C15047" s="6">
        <v>0.84512418833242398</v>
      </c>
    </row>
    <row r="15048" spans="1:3" s="7" customFormat="1" x14ac:dyDescent="0.2">
      <c r="A15048" s="6" t="str">
        <f>"SYNE4"</f>
        <v>SYNE4</v>
      </c>
      <c r="B15048" s="6">
        <v>0.761238761238761</v>
      </c>
      <c r="C15048" s="6">
        <v>0.84512418833242398</v>
      </c>
    </row>
    <row r="15049" spans="1:3" s="7" customFormat="1" x14ac:dyDescent="0.2">
      <c r="A15049" s="6" t="str">
        <f>"ABCB8"</f>
        <v>ABCB8</v>
      </c>
      <c r="B15049" s="6">
        <v>0.761238761238761</v>
      </c>
      <c r="C15049" s="6">
        <v>0.84512418833242398</v>
      </c>
    </row>
    <row r="15050" spans="1:3" s="7" customFormat="1" x14ac:dyDescent="0.2">
      <c r="A15050" s="6" t="str">
        <f>"C15orf61"</f>
        <v>C15orf61</v>
      </c>
      <c r="B15050" s="6">
        <v>0.761238761238761</v>
      </c>
      <c r="C15050" s="6">
        <v>0.84512418833242398</v>
      </c>
    </row>
    <row r="15051" spans="1:3" s="7" customFormat="1" x14ac:dyDescent="0.2">
      <c r="A15051" s="6" t="str">
        <f>"NGFR"</f>
        <v>NGFR</v>
      </c>
      <c r="B15051" s="6">
        <v>0.761238761238761</v>
      </c>
      <c r="C15051" s="6">
        <v>0.84512418833242398</v>
      </c>
    </row>
    <row r="15052" spans="1:3" s="7" customFormat="1" x14ac:dyDescent="0.2">
      <c r="A15052" s="6" t="str">
        <f>"COX14"</f>
        <v>COX14</v>
      </c>
      <c r="B15052" s="6">
        <v>0.761238761238761</v>
      </c>
      <c r="C15052" s="6">
        <v>0.84512418833242398</v>
      </c>
    </row>
    <row r="15053" spans="1:3" s="7" customFormat="1" x14ac:dyDescent="0.2">
      <c r="A15053" s="6" t="str">
        <f>"LINC00319"</f>
        <v>LINC00319</v>
      </c>
      <c r="B15053" s="6">
        <v>0.761238761238761</v>
      </c>
      <c r="C15053" s="6">
        <v>0.84512418833242398</v>
      </c>
    </row>
    <row r="15054" spans="1:3" s="7" customFormat="1" x14ac:dyDescent="0.2">
      <c r="A15054" s="6" t="str">
        <f>"SLC23A3"</f>
        <v>SLC23A3</v>
      </c>
      <c r="B15054" s="6">
        <v>0.761238761238761</v>
      </c>
      <c r="C15054" s="6">
        <v>0.84512418833242398</v>
      </c>
    </row>
    <row r="15055" spans="1:3" s="7" customFormat="1" x14ac:dyDescent="0.2">
      <c r="A15055" s="6" t="str">
        <f>"AC012081.2"</f>
        <v>AC012081.2</v>
      </c>
      <c r="B15055" s="6">
        <v>0.76100000000000001</v>
      </c>
      <c r="C15055" s="6">
        <v>0.84512418833242398</v>
      </c>
    </row>
    <row r="15056" spans="1:3" s="7" customFormat="1" x14ac:dyDescent="0.2">
      <c r="A15056" s="6" t="str">
        <f>"EPB41L2"</f>
        <v>EPB41L2</v>
      </c>
      <c r="B15056" s="6">
        <v>0.761238761238761</v>
      </c>
      <c r="C15056" s="6">
        <v>0.84512418833242398</v>
      </c>
    </row>
    <row r="15057" spans="1:3" s="7" customFormat="1" x14ac:dyDescent="0.2">
      <c r="A15057" s="6" t="str">
        <f>"KIF1B"</f>
        <v>KIF1B</v>
      </c>
      <c r="B15057" s="6">
        <v>0.76223776223776196</v>
      </c>
      <c r="C15057" s="6">
        <v>0.84572769238196699</v>
      </c>
    </row>
    <row r="15058" spans="1:3" s="7" customFormat="1" x14ac:dyDescent="0.2">
      <c r="A15058" s="6" t="str">
        <f>"CPEB2"</f>
        <v>CPEB2</v>
      </c>
      <c r="B15058" s="6">
        <v>0.76223776223776196</v>
      </c>
      <c r="C15058" s="6">
        <v>0.84572769238196699</v>
      </c>
    </row>
    <row r="15059" spans="1:3" s="7" customFormat="1" x14ac:dyDescent="0.2">
      <c r="A15059" s="6" t="str">
        <f>"CISD1"</f>
        <v>CISD1</v>
      </c>
      <c r="B15059" s="6">
        <v>0.76223776223776196</v>
      </c>
      <c r="C15059" s="6">
        <v>0.84572769238196699</v>
      </c>
    </row>
    <row r="15060" spans="1:3" s="7" customFormat="1" x14ac:dyDescent="0.2">
      <c r="A15060" s="6" t="str">
        <f>"TMEM238L"</f>
        <v>TMEM238L</v>
      </c>
      <c r="B15060" s="6">
        <v>0.76223776223776196</v>
      </c>
      <c r="C15060" s="6">
        <v>0.84572769238196699</v>
      </c>
    </row>
    <row r="15061" spans="1:3" s="7" customFormat="1" x14ac:dyDescent="0.2">
      <c r="A15061" s="6" t="str">
        <f>"DUOXA1"</f>
        <v>DUOXA1</v>
      </c>
      <c r="B15061" s="6">
        <v>0.76223776223776196</v>
      </c>
      <c r="C15061" s="6">
        <v>0.84572769238196699</v>
      </c>
    </row>
    <row r="15062" spans="1:3" s="7" customFormat="1" x14ac:dyDescent="0.2">
      <c r="A15062" s="6" t="str">
        <f>"MAP7D2"</f>
        <v>MAP7D2</v>
      </c>
      <c r="B15062" s="6">
        <v>0.76223776223776196</v>
      </c>
      <c r="C15062" s="6">
        <v>0.84572769238196699</v>
      </c>
    </row>
    <row r="15063" spans="1:3" s="7" customFormat="1" x14ac:dyDescent="0.2">
      <c r="A15063" s="6" t="str">
        <f>"TSHZ1"</f>
        <v>TSHZ1</v>
      </c>
      <c r="B15063" s="6">
        <v>0.76223776223776196</v>
      </c>
      <c r="C15063" s="6">
        <v>0.84572769238196699</v>
      </c>
    </row>
    <row r="15064" spans="1:3" s="7" customFormat="1" x14ac:dyDescent="0.2">
      <c r="A15064" s="6" t="str">
        <f>"SLC12A3"</f>
        <v>SLC12A3</v>
      </c>
      <c r="B15064" s="6">
        <v>0.76223776223776196</v>
      </c>
      <c r="C15064" s="6">
        <v>0.84572769238196699</v>
      </c>
    </row>
    <row r="15065" spans="1:3" s="7" customFormat="1" x14ac:dyDescent="0.2">
      <c r="A15065" s="6" t="str">
        <f>"NRXN2"</f>
        <v>NRXN2</v>
      </c>
      <c r="B15065" s="6">
        <v>0.76200000000000001</v>
      </c>
      <c r="C15065" s="6">
        <v>0.84572769238196699</v>
      </c>
    </row>
    <row r="15066" spans="1:3" s="7" customFormat="1" x14ac:dyDescent="0.2">
      <c r="A15066" s="6" t="str">
        <f>"VPS29"</f>
        <v>VPS29</v>
      </c>
      <c r="B15066" s="6">
        <v>0.76300000000000001</v>
      </c>
      <c r="C15066" s="6">
        <v>0.84638662823376198</v>
      </c>
    </row>
    <row r="15067" spans="1:3" s="7" customFormat="1" x14ac:dyDescent="0.2">
      <c r="A15067" s="6" t="str">
        <f>"RPS26P19"</f>
        <v>RPS26P19</v>
      </c>
      <c r="B15067" s="6">
        <v>0.76300000000000001</v>
      </c>
      <c r="C15067" s="6">
        <v>0.84638662823376198</v>
      </c>
    </row>
    <row r="15068" spans="1:3" s="7" customFormat="1" x14ac:dyDescent="0.2">
      <c r="A15068" s="6" t="str">
        <f>"HDX"</f>
        <v>HDX</v>
      </c>
      <c r="B15068" s="6">
        <v>0.76300000000000001</v>
      </c>
      <c r="C15068" s="6">
        <v>0.84638662823376198</v>
      </c>
    </row>
    <row r="15069" spans="1:3" s="7" customFormat="1" x14ac:dyDescent="0.2">
      <c r="A15069" s="6" t="str">
        <f>"AC138907.8"</f>
        <v>AC138907.8</v>
      </c>
      <c r="B15069" s="6">
        <v>0.76323676323676304</v>
      </c>
      <c r="C15069" s="6">
        <v>0.84638662823376198</v>
      </c>
    </row>
    <row r="15070" spans="1:3" s="7" customFormat="1" x14ac:dyDescent="0.2">
      <c r="A15070" s="6" t="str">
        <f>"CTHRC1"</f>
        <v>CTHRC1</v>
      </c>
      <c r="B15070" s="6">
        <v>0.76323676323676304</v>
      </c>
      <c r="C15070" s="6">
        <v>0.84638662823376198</v>
      </c>
    </row>
    <row r="15071" spans="1:3" s="7" customFormat="1" x14ac:dyDescent="0.2">
      <c r="A15071" s="6" t="str">
        <f>"ABCG2"</f>
        <v>ABCG2</v>
      </c>
      <c r="B15071" s="6">
        <v>0.76323676323676304</v>
      </c>
      <c r="C15071" s="6">
        <v>0.84638662823376198</v>
      </c>
    </row>
    <row r="15072" spans="1:3" s="7" customFormat="1" x14ac:dyDescent="0.2">
      <c r="A15072" s="6" t="str">
        <f>"MYCL"</f>
        <v>MYCL</v>
      </c>
      <c r="B15072" s="6">
        <v>0.76323676323676304</v>
      </c>
      <c r="C15072" s="6">
        <v>0.84638662823376198</v>
      </c>
    </row>
    <row r="15073" spans="1:3" s="7" customFormat="1" x14ac:dyDescent="0.2">
      <c r="A15073" s="6" t="str">
        <f>"DDX56"</f>
        <v>DDX56</v>
      </c>
      <c r="B15073" s="6">
        <v>0.76323676323676304</v>
      </c>
      <c r="C15073" s="6">
        <v>0.84638662823376198</v>
      </c>
    </row>
    <row r="15074" spans="1:3" s="7" customFormat="1" x14ac:dyDescent="0.2">
      <c r="A15074" s="6" t="str">
        <f>"LAMTOR1"</f>
        <v>LAMTOR1</v>
      </c>
      <c r="B15074" s="6">
        <v>0.764235764235764</v>
      </c>
      <c r="C15074" s="6">
        <v>0.84721340873095197</v>
      </c>
    </row>
    <row r="15075" spans="1:3" s="7" customFormat="1" x14ac:dyDescent="0.2">
      <c r="A15075" s="6" t="str">
        <f>"ZNF469"</f>
        <v>ZNF469</v>
      </c>
      <c r="B15075" s="6">
        <v>0.764235764235764</v>
      </c>
      <c r="C15075" s="6">
        <v>0.84721340873095197</v>
      </c>
    </row>
    <row r="15076" spans="1:3" s="7" customFormat="1" x14ac:dyDescent="0.2">
      <c r="A15076" s="6" t="str">
        <f>"KHDRBS3"</f>
        <v>KHDRBS3</v>
      </c>
      <c r="B15076" s="6">
        <v>0.764235764235764</v>
      </c>
      <c r="C15076" s="6">
        <v>0.84721340873095197</v>
      </c>
    </row>
    <row r="15077" spans="1:3" s="7" customFormat="1" x14ac:dyDescent="0.2">
      <c r="A15077" s="6" t="str">
        <f>"ERFE"</f>
        <v>ERFE</v>
      </c>
      <c r="B15077" s="6">
        <v>0.764235764235764</v>
      </c>
      <c r="C15077" s="6">
        <v>0.84721340873095197</v>
      </c>
    </row>
    <row r="15078" spans="1:3" s="7" customFormat="1" x14ac:dyDescent="0.2">
      <c r="A15078" s="6" t="str">
        <f>"PARD3"</f>
        <v>PARD3</v>
      </c>
      <c r="B15078" s="6">
        <v>0.764235764235764</v>
      </c>
      <c r="C15078" s="6">
        <v>0.84721340873095197</v>
      </c>
    </row>
    <row r="15079" spans="1:3" s="7" customFormat="1" x14ac:dyDescent="0.2">
      <c r="A15079" s="6" t="str">
        <f>"CKAP5"</f>
        <v>CKAP5</v>
      </c>
      <c r="B15079" s="6">
        <v>0.76523476523476497</v>
      </c>
      <c r="C15079" s="6">
        <v>0.84787098880569201</v>
      </c>
    </row>
    <row r="15080" spans="1:3" s="7" customFormat="1" x14ac:dyDescent="0.2">
      <c r="A15080" s="6" t="str">
        <f>"ZNF410"</f>
        <v>ZNF410</v>
      </c>
      <c r="B15080" s="6">
        <v>0.76523476523476497</v>
      </c>
      <c r="C15080" s="6">
        <v>0.84787098880569201</v>
      </c>
    </row>
    <row r="15081" spans="1:3" s="7" customFormat="1" x14ac:dyDescent="0.2">
      <c r="A15081" s="6" t="str">
        <f>"PLS3-AS1"</f>
        <v>PLS3-AS1</v>
      </c>
      <c r="B15081" s="6">
        <v>0.76523476523476497</v>
      </c>
      <c r="C15081" s="6">
        <v>0.84787098880569201</v>
      </c>
    </row>
    <row r="15082" spans="1:3" s="7" customFormat="1" x14ac:dyDescent="0.2">
      <c r="A15082" s="6" t="str">
        <f>"AC023632.2"</f>
        <v>AC023632.2</v>
      </c>
      <c r="B15082" s="6">
        <v>0.76523476523476497</v>
      </c>
      <c r="C15082" s="6">
        <v>0.84787098880569201</v>
      </c>
    </row>
    <row r="15083" spans="1:3" s="7" customFormat="1" x14ac:dyDescent="0.2">
      <c r="A15083" s="6" t="str">
        <f>"MUC19"</f>
        <v>MUC19</v>
      </c>
      <c r="B15083" s="6">
        <v>0.76523476523476497</v>
      </c>
      <c r="C15083" s="6">
        <v>0.84787098880569201</v>
      </c>
    </row>
    <row r="15084" spans="1:3" s="7" customFormat="1" x14ac:dyDescent="0.2">
      <c r="A15084" s="6" t="str">
        <f>"ZNF143"</f>
        <v>ZNF143</v>
      </c>
      <c r="B15084" s="6">
        <v>0.76523476523476497</v>
      </c>
      <c r="C15084" s="6">
        <v>0.84787098880569201</v>
      </c>
    </row>
    <row r="15085" spans="1:3" s="7" customFormat="1" x14ac:dyDescent="0.2">
      <c r="A15085" s="6" t="str">
        <f>"LRRC47"</f>
        <v>LRRC47</v>
      </c>
      <c r="B15085" s="6">
        <v>0.76523476523476497</v>
      </c>
      <c r="C15085" s="6">
        <v>0.84787098880569201</v>
      </c>
    </row>
    <row r="15086" spans="1:3" s="7" customFormat="1" x14ac:dyDescent="0.2">
      <c r="A15086" s="6" t="str">
        <f>"MYCBP2-AS1"</f>
        <v>MYCBP2-AS1</v>
      </c>
      <c r="B15086" s="6">
        <v>0.76523476523476497</v>
      </c>
      <c r="C15086" s="6">
        <v>0.84787098880569201</v>
      </c>
    </row>
    <row r="15087" spans="1:3" s="7" customFormat="1" x14ac:dyDescent="0.2">
      <c r="A15087" s="6" t="str">
        <f>"FBXO11"</f>
        <v>FBXO11</v>
      </c>
      <c r="B15087" s="6">
        <v>0.76623376623376604</v>
      </c>
      <c r="C15087" s="6">
        <v>0.84824686507028502</v>
      </c>
    </row>
    <row r="15088" spans="1:3" s="7" customFormat="1" x14ac:dyDescent="0.2">
      <c r="A15088" s="6" t="str">
        <f>"ABHD8"</f>
        <v>ABHD8</v>
      </c>
      <c r="B15088" s="6">
        <v>0.76623376623376604</v>
      </c>
      <c r="C15088" s="6">
        <v>0.84824686507028502</v>
      </c>
    </row>
    <row r="15089" spans="1:3" s="7" customFormat="1" x14ac:dyDescent="0.2">
      <c r="A15089" s="6" t="str">
        <f>"PIWIL4"</f>
        <v>PIWIL4</v>
      </c>
      <c r="B15089" s="6">
        <v>0.76623376623376604</v>
      </c>
      <c r="C15089" s="6">
        <v>0.84824686507028502</v>
      </c>
    </row>
    <row r="15090" spans="1:3" s="7" customFormat="1" x14ac:dyDescent="0.2">
      <c r="A15090" s="6" t="str">
        <f>"ILDR1"</f>
        <v>ILDR1</v>
      </c>
      <c r="B15090" s="6">
        <v>0.76623376623376604</v>
      </c>
      <c r="C15090" s="6">
        <v>0.84824686507028502</v>
      </c>
    </row>
    <row r="15091" spans="1:3" s="7" customFormat="1" x14ac:dyDescent="0.2">
      <c r="A15091" s="6" t="str">
        <f>"AC011476.2"</f>
        <v>AC011476.2</v>
      </c>
      <c r="B15091" s="6">
        <v>0.76600000000000001</v>
      </c>
      <c r="C15091" s="6">
        <v>0.84824686507028502</v>
      </c>
    </row>
    <row r="15092" spans="1:3" s="7" customFormat="1" x14ac:dyDescent="0.2">
      <c r="A15092" s="6" t="str">
        <f>"FOXP4"</f>
        <v>FOXP4</v>
      </c>
      <c r="B15092" s="6">
        <v>0.76623376623376604</v>
      </c>
      <c r="C15092" s="6">
        <v>0.84824686507028502</v>
      </c>
    </row>
    <row r="15093" spans="1:3" s="7" customFormat="1" x14ac:dyDescent="0.2">
      <c r="A15093" s="6" t="str">
        <f>"AL158070.1"</f>
        <v>AL158070.1</v>
      </c>
      <c r="B15093" s="6">
        <v>0.76600000000000001</v>
      </c>
      <c r="C15093" s="6">
        <v>0.84824686507028502</v>
      </c>
    </row>
    <row r="15094" spans="1:3" s="7" customFormat="1" x14ac:dyDescent="0.2">
      <c r="A15094" s="6" t="str">
        <f>"LINC02331"</f>
        <v>LINC02331</v>
      </c>
      <c r="B15094" s="6">
        <v>0.76623376623376604</v>
      </c>
      <c r="C15094" s="6">
        <v>0.84824686507028502</v>
      </c>
    </row>
    <row r="15095" spans="1:3" s="7" customFormat="1" x14ac:dyDescent="0.2">
      <c r="A15095" s="6" t="str">
        <f>"CTNNA3"</f>
        <v>CTNNA3</v>
      </c>
      <c r="B15095" s="6">
        <v>0.76623376623376604</v>
      </c>
      <c r="C15095" s="6">
        <v>0.84824686507028502</v>
      </c>
    </row>
    <row r="15096" spans="1:3" s="7" customFormat="1" x14ac:dyDescent="0.2">
      <c r="A15096" s="6" t="str">
        <f>"CYP4F35P"</f>
        <v>CYP4F35P</v>
      </c>
      <c r="B15096" s="6">
        <v>0.76623376623376604</v>
      </c>
      <c r="C15096" s="6">
        <v>0.84824686507028502</v>
      </c>
    </row>
    <row r="15097" spans="1:3" s="7" customFormat="1" x14ac:dyDescent="0.2">
      <c r="A15097" s="6" t="str">
        <f>"AC138951.2"</f>
        <v>AC138951.2</v>
      </c>
      <c r="B15097" s="6">
        <v>0.76623376623376604</v>
      </c>
      <c r="C15097" s="6">
        <v>0.84824686507028502</v>
      </c>
    </row>
    <row r="15098" spans="1:3" s="7" customFormat="1" x14ac:dyDescent="0.2">
      <c r="A15098" s="6" t="str">
        <f>"NDUFA4L2"</f>
        <v>NDUFA4L2</v>
      </c>
      <c r="B15098" s="6">
        <v>0.76623376623376604</v>
      </c>
      <c r="C15098" s="6">
        <v>0.84824686507028502</v>
      </c>
    </row>
    <row r="15099" spans="1:3" s="7" customFormat="1" x14ac:dyDescent="0.2">
      <c r="A15099" s="6" t="str">
        <f>"NDUFA13"</f>
        <v>NDUFA13</v>
      </c>
      <c r="B15099" s="6">
        <v>0.76623376623376604</v>
      </c>
      <c r="C15099" s="6">
        <v>0.84824686507028502</v>
      </c>
    </row>
    <row r="15100" spans="1:3" s="7" customFormat="1" x14ac:dyDescent="0.2">
      <c r="A15100" s="6" t="str">
        <f>"AC148476.1"</f>
        <v>AC148476.1</v>
      </c>
      <c r="B15100" s="6">
        <v>0.76700000000000002</v>
      </c>
      <c r="C15100" s="6">
        <v>0.84903887674680401</v>
      </c>
    </row>
    <row r="15101" spans="1:3" s="7" customFormat="1" x14ac:dyDescent="0.2">
      <c r="A15101" s="6" t="str">
        <f>"JDP2"</f>
        <v>JDP2</v>
      </c>
      <c r="B15101" s="6">
        <v>0.76723276723276701</v>
      </c>
      <c r="C15101" s="6">
        <v>0.84907160640458601</v>
      </c>
    </row>
    <row r="15102" spans="1:3" s="7" customFormat="1" x14ac:dyDescent="0.2">
      <c r="A15102" s="6" t="str">
        <f>"TNXB"</f>
        <v>TNXB</v>
      </c>
      <c r="B15102" s="6">
        <v>0.76723276723276701</v>
      </c>
      <c r="C15102" s="6">
        <v>0.84907160640458601</v>
      </c>
    </row>
    <row r="15103" spans="1:3" s="7" customFormat="1" x14ac:dyDescent="0.2">
      <c r="A15103" s="6" t="str">
        <f>"EHD2"</f>
        <v>EHD2</v>
      </c>
      <c r="B15103" s="6">
        <v>0.76723276723276701</v>
      </c>
      <c r="C15103" s="6">
        <v>0.84907160640458601</v>
      </c>
    </row>
    <row r="15104" spans="1:3" s="7" customFormat="1" x14ac:dyDescent="0.2">
      <c r="A15104" s="6" t="str">
        <f>"FSTL4"</f>
        <v>FSTL4</v>
      </c>
      <c r="B15104" s="6">
        <v>0.76723276723276701</v>
      </c>
      <c r="C15104" s="6">
        <v>0.84907160640458601</v>
      </c>
    </row>
    <row r="15105" spans="1:3" s="7" customFormat="1" x14ac:dyDescent="0.2">
      <c r="A15105" s="6" t="str">
        <f>"NDE1"</f>
        <v>NDE1</v>
      </c>
      <c r="B15105" s="6">
        <v>0.76823176823176798</v>
      </c>
      <c r="C15105" s="6">
        <v>0.84972707128752301</v>
      </c>
    </row>
    <row r="15106" spans="1:3" s="7" customFormat="1" x14ac:dyDescent="0.2">
      <c r="A15106" s="6" t="str">
        <f>"SIX5"</f>
        <v>SIX5</v>
      </c>
      <c r="B15106" s="6">
        <v>0.76823176823176798</v>
      </c>
      <c r="C15106" s="6">
        <v>0.84972707128752301</v>
      </c>
    </row>
    <row r="15107" spans="1:3" s="7" customFormat="1" x14ac:dyDescent="0.2">
      <c r="A15107" s="6" t="str">
        <f>"AL139246.2"</f>
        <v>AL139246.2</v>
      </c>
      <c r="B15107" s="6">
        <v>0.76823176823176798</v>
      </c>
      <c r="C15107" s="6">
        <v>0.84972707128752301</v>
      </c>
    </row>
    <row r="15108" spans="1:3" s="7" customFormat="1" x14ac:dyDescent="0.2">
      <c r="A15108" s="6" t="str">
        <f>"AHNAK2"</f>
        <v>AHNAK2</v>
      </c>
      <c r="B15108" s="6">
        <v>0.76823176823176798</v>
      </c>
      <c r="C15108" s="6">
        <v>0.84972707128752301</v>
      </c>
    </row>
    <row r="15109" spans="1:3" s="7" customFormat="1" x14ac:dyDescent="0.2">
      <c r="A15109" s="6" t="str">
        <f>"LINC01801"</f>
        <v>LINC01801</v>
      </c>
      <c r="B15109" s="6">
        <v>0.76823176823176798</v>
      </c>
      <c r="C15109" s="6">
        <v>0.84972707128752301</v>
      </c>
    </row>
    <row r="15110" spans="1:3" s="7" customFormat="1" x14ac:dyDescent="0.2">
      <c r="A15110" s="6" t="str">
        <f>"AC122688.3"</f>
        <v>AC122688.3</v>
      </c>
      <c r="B15110" s="6">
        <v>0.76823176823176798</v>
      </c>
      <c r="C15110" s="6">
        <v>0.84972707128752301</v>
      </c>
    </row>
    <row r="15111" spans="1:3" s="7" customFormat="1" x14ac:dyDescent="0.2">
      <c r="A15111" s="6" t="str">
        <f>"RORB"</f>
        <v>RORB</v>
      </c>
      <c r="B15111" s="6">
        <v>0.76823176823176798</v>
      </c>
      <c r="C15111" s="6">
        <v>0.84972707128752301</v>
      </c>
    </row>
    <row r="15112" spans="1:3" s="7" customFormat="1" x14ac:dyDescent="0.2">
      <c r="A15112" s="6" t="str">
        <f>"SPATA45"</f>
        <v>SPATA45</v>
      </c>
      <c r="B15112" s="6">
        <v>0.76800000000000002</v>
      </c>
      <c r="C15112" s="6">
        <v>0.84972707128752301</v>
      </c>
    </row>
    <row r="15113" spans="1:3" s="7" customFormat="1" x14ac:dyDescent="0.2">
      <c r="A15113" s="6" t="str">
        <f>"FAM122B"</f>
        <v>FAM122B</v>
      </c>
      <c r="B15113" s="6">
        <v>0.76923076923076905</v>
      </c>
      <c r="C15113" s="6">
        <v>0.85066316507364503</v>
      </c>
    </row>
    <row r="15114" spans="1:3" s="7" customFormat="1" x14ac:dyDescent="0.2">
      <c r="A15114" s="6" t="str">
        <f>"OR7E155P"</f>
        <v>OR7E155P</v>
      </c>
      <c r="B15114" s="6">
        <v>0.76923076923076905</v>
      </c>
      <c r="C15114" s="6">
        <v>0.85066316507364503</v>
      </c>
    </row>
    <row r="15115" spans="1:3" s="7" customFormat="1" x14ac:dyDescent="0.2">
      <c r="A15115" s="6" t="str">
        <f>"GNL3L"</f>
        <v>GNL3L</v>
      </c>
      <c r="B15115" s="6">
        <v>0.76923076923076905</v>
      </c>
      <c r="C15115" s="6">
        <v>0.85066316507364503</v>
      </c>
    </row>
    <row r="15116" spans="1:3" s="7" customFormat="1" x14ac:dyDescent="0.2">
      <c r="A15116" s="6" t="str">
        <f>"AC005253.1"</f>
        <v>AC005253.1</v>
      </c>
      <c r="B15116" s="6">
        <v>0.76976976976976896</v>
      </c>
      <c r="C15116" s="6">
        <v>0.85120290651220099</v>
      </c>
    </row>
    <row r="15117" spans="1:3" s="7" customFormat="1" x14ac:dyDescent="0.2">
      <c r="A15117" s="6" t="str">
        <f>"XCL1"</f>
        <v>XCL1</v>
      </c>
      <c r="B15117" s="6">
        <v>0.77022977022977002</v>
      </c>
      <c r="C15117" s="6">
        <v>0.85126101829136902</v>
      </c>
    </row>
    <row r="15118" spans="1:3" s="7" customFormat="1" x14ac:dyDescent="0.2">
      <c r="A15118" s="6" t="str">
        <f>"SLCO1B3-SLCO1B7"</f>
        <v>SLCO1B3-SLCO1B7</v>
      </c>
      <c r="B15118" s="6">
        <v>0.77022977022977002</v>
      </c>
      <c r="C15118" s="6">
        <v>0.85126101829136902</v>
      </c>
    </row>
    <row r="15119" spans="1:3" s="7" customFormat="1" x14ac:dyDescent="0.2">
      <c r="A15119" s="6" t="str">
        <f>"CSPG4"</f>
        <v>CSPG4</v>
      </c>
      <c r="B15119" s="6">
        <v>0.77022977022977002</v>
      </c>
      <c r="C15119" s="6">
        <v>0.85126101829136902</v>
      </c>
    </row>
    <row r="15120" spans="1:3" s="7" customFormat="1" x14ac:dyDescent="0.2">
      <c r="A15120" s="6" t="str">
        <f>"MFAP3"</f>
        <v>MFAP3</v>
      </c>
      <c r="B15120" s="6">
        <v>0.77022977022977002</v>
      </c>
      <c r="C15120" s="6">
        <v>0.85126101829136902</v>
      </c>
    </row>
    <row r="15121" spans="1:3" s="7" customFormat="1" x14ac:dyDescent="0.2">
      <c r="A15121" s="6" t="str">
        <f>"AC116158.3"</f>
        <v>AC116158.3</v>
      </c>
      <c r="B15121" s="6">
        <v>0.77022977022977002</v>
      </c>
      <c r="C15121" s="6">
        <v>0.85126101829136902</v>
      </c>
    </row>
    <row r="15122" spans="1:3" s="7" customFormat="1" x14ac:dyDescent="0.2">
      <c r="A15122" s="6" t="str">
        <f>"SEC23IP"</f>
        <v>SEC23IP</v>
      </c>
      <c r="B15122" s="6">
        <v>0.77022977022977002</v>
      </c>
      <c r="C15122" s="6">
        <v>0.85126101829136902</v>
      </c>
    </row>
    <row r="15123" spans="1:3" s="7" customFormat="1" x14ac:dyDescent="0.2">
      <c r="A15123" s="6" t="str">
        <f>"AC091057.3"</f>
        <v>AC091057.3</v>
      </c>
      <c r="B15123" s="6">
        <v>0.77022977022977002</v>
      </c>
      <c r="C15123" s="6">
        <v>0.85126101829136902</v>
      </c>
    </row>
    <row r="15124" spans="1:3" s="7" customFormat="1" x14ac:dyDescent="0.2">
      <c r="A15124" s="6" t="str">
        <f>"GAS2L1"</f>
        <v>GAS2L1</v>
      </c>
      <c r="B15124" s="6">
        <v>0.77022977022977002</v>
      </c>
      <c r="C15124" s="6">
        <v>0.85126101829136902</v>
      </c>
    </row>
    <row r="15125" spans="1:3" s="7" customFormat="1" x14ac:dyDescent="0.2">
      <c r="A15125" s="6" t="str">
        <f>"KDM4A"</f>
        <v>KDM4A</v>
      </c>
      <c r="B15125" s="6">
        <v>0.77122877122877098</v>
      </c>
      <c r="C15125" s="6">
        <v>0.851801868916783</v>
      </c>
    </row>
    <row r="15126" spans="1:3" s="7" customFormat="1" x14ac:dyDescent="0.2">
      <c r="A15126" s="6" t="str">
        <f>"LINC00294"</f>
        <v>LINC00294</v>
      </c>
      <c r="B15126" s="6">
        <v>0.77122877122877098</v>
      </c>
      <c r="C15126" s="6">
        <v>0.851801868916783</v>
      </c>
    </row>
    <row r="15127" spans="1:3" s="7" customFormat="1" x14ac:dyDescent="0.2">
      <c r="A15127" s="6" t="str">
        <f>"FGD6"</f>
        <v>FGD6</v>
      </c>
      <c r="B15127" s="6">
        <v>0.77122877122877098</v>
      </c>
      <c r="C15127" s="6">
        <v>0.851801868916783</v>
      </c>
    </row>
    <row r="15128" spans="1:3" s="7" customFormat="1" x14ac:dyDescent="0.2">
      <c r="A15128" s="6" t="str">
        <f>"AC124045.1"</f>
        <v>AC124045.1</v>
      </c>
      <c r="B15128" s="6">
        <v>0.77122877122877098</v>
      </c>
      <c r="C15128" s="6">
        <v>0.851801868916783</v>
      </c>
    </row>
    <row r="15129" spans="1:3" s="7" customFormat="1" x14ac:dyDescent="0.2">
      <c r="A15129" s="6" t="str">
        <f>"CSNK2A3"</f>
        <v>CSNK2A3</v>
      </c>
      <c r="B15129" s="6">
        <v>0.77122877122877098</v>
      </c>
      <c r="C15129" s="6">
        <v>0.851801868916783</v>
      </c>
    </row>
    <row r="15130" spans="1:3" s="7" customFormat="1" x14ac:dyDescent="0.2">
      <c r="A15130" s="6" t="str">
        <f>"ITGBL1"</f>
        <v>ITGBL1</v>
      </c>
      <c r="B15130" s="6">
        <v>0.77122877122877098</v>
      </c>
      <c r="C15130" s="6">
        <v>0.851801868916783</v>
      </c>
    </row>
    <row r="15131" spans="1:3" s="7" customFormat="1" x14ac:dyDescent="0.2">
      <c r="A15131" s="6" t="str">
        <f>"OGFR"</f>
        <v>OGFR</v>
      </c>
      <c r="B15131" s="6">
        <v>0.77100000000000002</v>
      </c>
      <c r="C15131" s="6">
        <v>0.851801868916783</v>
      </c>
    </row>
    <row r="15132" spans="1:3" s="7" customFormat="1" x14ac:dyDescent="0.2">
      <c r="A15132" s="6" t="str">
        <f>"UBLCP1"</f>
        <v>UBLCP1</v>
      </c>
      <c r="B15132" s="6">
        <v>0.77122877122877098</v>
      </c>
      <c r="C15132" s="6">
        <v>0.851801868916783</v>
      </c>
    </row>
    <row r="15133" spans="1:3" s="7" customFormat="1" x14ac:dyDescent="0.2">
      <c r="A15133" s="6" t="str">
        <f>"AC137695.3"</f>
        <v>AC137695.3</v>
      </c>
      <c r="B15133" s="6">
        <v>0.77100000000000002</v>
      </c>
      <c r="C15133" s="6">
        <v>0.851801868916783</v>
      </c>
    </row>
    <row r="15134" spans="1:3" s="7" customFormat="1" x14ac:dyDescent="0.2">
      <c r="A15134" s="6" t="str">
        <f>"ISM1"</f>
        <v>ISM1</v>
      </c>
      <c r="B15134" s="6">
        <v>0.77122877122877098</v>
      </c>
      <c r="C15134" s="6">
        <v>0.851801868916783</v>
      </c>
    </row>
    <row r="15135" spans="1:3" s="7" customFormat="1" x14ac:dyDescent="0.2">
      <c r="A15135" s="6" t="str">
        <f>"7SK"</f>
        <v>7SK</v>
      </c>
      <c r="B15135" s="6">
        <v>0.77154308617234402</v>
      </c>
      <c r="C15135" s="6">
        <v>0.85209271456882296</v>
      </c>
    </row>
    <row r="15136" spans="1:3" s="7" customFormat="1" x14ac:dyDescent="0.2">
      <c r="A15136" s="6" t="str">
        <f>"ZNF629"</f>
        <v>ZNF629</v>
      </c>
      <c r="B15136" s="6">
        <v>0.77222777222777195</v>
      </c>
      <c r="C15136" s="6">
        <v>0.85239829514033705</v>
      </c>
    </row>
    <row r="15137" spans="1:3" s="7" customFormat="1" x14ac:dyDescent="0.2">
      <c r="A15137" s="6" t="str">
        <f>"AL139407.1"</f>
        <v>AL139407.1</v>
      </c>
      <c r="B15137" s="6">
        <v>0.77222777222777195</v>
      </c>
      <c r="C15137" s="6">
        <v>0.85239829514033705</v>
      </c>
    </row>
    <row r="15138" spans="1:3" s="7" customFormat="1" x14ac:dyDescent="0.2">
      <c r="A15138" s="6" t="str">
        <f>"AC134407.3"</f>
        <v>AC134407.3</v>
      </c>
      <c r="B15138" s="6">
        <v>0.77222777222777195</v>
      </c>
      <c r="C15138" s="6">
        <v>0.85239829514033705</v>
      </c>
    </row>
    <row r="15139" spans="1:3" s="7" customFormat="1" x14ac:dyDescent="0.2">
      <c r="A15139" s="6" t="str">
        <f>"ZNF516"</f>
        <v>ZNF516</v>
      </c>
      <c r="B15139" s="6">
        <v>0.77222777222777195</v>
      </c>
      <c r="C15139" s="6">
        <v>0.85239829514033705</v>
      </c>
    </row>
    <row r="15140" spans="1:3" s="7" customFormat="1" x14ac:dyDescent="0.2">
      <c r="A15140" s="6" t="str">
        <f>"KMT5B"</f>
        <v>KMT5B</v>
      </c>
      <c r="B15140" s="6">
        <v>0.77222777222777195</v>
      </c>
      <c r="C15140" s="6">
        <v>0.85239829514033705</v>
      </c>
    </row>
    <row r="15141" spans="1:3" s="7" customFormat="1" x14ac:dyDescent="0.2">
      <c r="A15141" s="6" t="str">
        <f>"LINC02801"</f>
        <v>LINC02801</v>
      </c>
      <c r="B15141" s="6">
        <v>0.77222777222777195</v>
      </c>
      <c r="C15141" s="6">
        <v>0.85239829514033705</v>
      </c>
    </row>
    <row r="15142" spans="1:3" s="7" customFormat="1" x14ac:dyDescent="0.2">
      <c r="A15142" s="6" t="str">
        <f>"AC011773.3"</f>
        <v>AC011773.3</v>
      </c>
      <c r="B15142" s="6">
        <v>0.77222777222777195</v>
      </c>
      <c r="C15142" s="6">
        <v>0.85239829514033705</v>
      </c>
    </row>
    <row r="15143" spans="1:3" s="7" customFormat="1" x14ac:dyDescent="0.2">
      <c r="A15143" s="6" t="str">
        <f>"TNKS2"</f>
        <v>TNKS2</v>
      </c>
      <c r="B15143" s="6">
        <v>0.77222777222777195</v>
      </c>
      <c r="C15143" s="6">
        <v>0.85239829514033705</v>
      </c>
    </row>
    <row r="15144" spans="1:3" s="7" customFormat="1" x14ac:dyDescent="0.2">
      <c r="A15144" s="6" t="str">
        <f>"AL035653.1"</f>
        <v>AL035653.1</v>
      </c>
      <c r="B15144" s="6">
        <v>0.77231695085255703</v>
      </c>
      <c r="C15144" s="6">
        <v>0.85244043561709304</v>
      </c>
    </row>
    <row r="15145" spans="1:3" s="7" customFormat="1" x14ac:dyDescent="0.2">
      <c r="A15145" s="6" t="str">
        <f>"SAP30"</f>
        <v>SAP30</v>
      </c>
      <c r="B15145" s="6">
        <v>0.77322677322677302</v>
      </c>
      <c r="C15145" s="6">
        <v>0.85310662668904103</v>
      </c>
    </row>
    <row r="15146" spans="1:3" s="7" customFormat="1" x14ac:dyDescent="0.2">
      <c r="A15146" s="6" t="str">
        <f>"AC010491.1"</f>
        <v>AC010491.1</v>
      </c>
      <c r="B15146" s="6">
        <v>0.77322677322677302</v>
      </c>
      <c r="C15146" s="6">
        <v>0.85310662668904103</v>
      </c>
    </row>
    <row r="15147" spans="1:3" s="7" customFormat="1" x14ac:dyDescent="0.2">
      <c r="A15147" s="6" t="str">
        <f>"ARL15"</f>
        <v>ARL15</v>
      </c>
      <c r="B15147" s="6">
        <v>0.77322677322677302</v>
      </c>
      <c r="C15147" s="6">
        <v>0.85310662668904103</v>
      </c>
    </row>
    <row r="15148" spans="1:3" s="7" customFormat="1" x14ac:dyDescent="0.2">
      <c r="A15148" s="6" t="str">
        <f>"AP005717.1"</f>
        <v>AP005717.1</v>
      </c>
      <c r="B15148" s="6">
        <v>0.77322677322677302</v>
      </c>
      <c r="C15148" s="6">
        <v>0.85310662668904103</v>
      </c>
    </row>
    <row r="15149" spans="1:3" s="7" customFormat="1" x14ac:dyDescent="0.2">
      <c r="A15149" s="6" t="str">
        <f>"VTA1"</f>
        <v>VTA1</v>
      </c>
      <c r="B15149" s="6">
        <v>0.77322677322677302</v>
      </c>
      <c r="C15149" s="6">
        <v>0.85310662668904103</v>
      </c>
    </row>
    <row r="15150" spans="1:3" s="7" customFormat="1" x14ac:dyDescent="0.2">
      <c r="A15150" s="6" t="str">
        <f>"DDX55"</f>
        <v>DDX55</v>
      </c>
      <c r="B15150" s="6">
        <v>0.77322677322677302</v>
      </c>
      <c r="C15150" s="6">
        <v>0.85310662668904103</v>
      </c>
    </row>
    <row r="15151" spans="1:3" s="7" customFormat="1" x14ac:dyDescent="0.2">
      <c r="A15151" s="6" t="str">
        <f>"ETV3"</f>
        <v>ETV3</v>
      </c>
      <c r="B15151" s="6">
        <v>0.77422577422577399</v>
      </c>
      <c r="C15151" s="6">
        <v>0.85342014050053305</v>
      </c>
    </row>
    <row r="15152" spans="1:3" s="7" customFormat="1" x14ac:dyDescent="0.2">
      <c r="A15152" s="6" t="str">
        <f>"LAMTOR4"</f>
        <v>LAMTOR4</v>
      </c>
      <c r="B15152" s="6">
        <v>0.77400000000000002</v>
      </c>
      <c r="C15152" s="6">
        <v>0.85342014050053305</v>
      </c>
    </row>
    <row r="15153" spans="1:3" s="7" customFormat="1" x14ac:dyDescent="0.2">
      <c r="A15153" s="6" t="str">
        <f>"KPNA1"</f>
        <v>KPNA1</v>
      </c>
      <c r="B15153" s="6">
        <v>0.77422577422577399</v>
      </c>
      <c r="C15153" s="6">
        <v>0.85342014050053305</v>
      </c>
    </row>
    <row r="15154" spans="1:3" s="7" customFormat="1" x14ac:dyDescent="0.2">
      <c r="A15154" s="6" t="str">
        <f>"THEM6"</f>
        <v>THEM6</v>
      </c>
      <c r="B15154" s="6">
        <v>0.77422577422577399</v>
      </c>
      <c r="C15154" s="6">
        <v>0.85342014050053305</v>
      </c>
    </row>
    <row r="15155" spans="1:3" s="7" customFormat="1" x14ac:dyDescent="0.2">
      <c r="A15155" s="6" t="str">
        <f>"LIMS1"</f>
        <v>LIMS1</v>
      </c>
      <c r="B15155" s="6">
        <v>0.77422577422577399</v>
      </c>
      <c r="C15155" s="6">
        <v>0.85342014050053305</v>
      </c>
    </row>
    <row r="15156" spans="1:3" s="7" customFormat="1" x14ac:dyDescent="0.2">
      <c r="A15156" s="6" t="str">
        <f>"RHOXF1P3"</f>
        <v>RHOXF1P3</v>
      </c>
      <c r="B15156" s="6">
        <v>0.77409638554216798</v>
      </c>
      <c r="C15156" s="6">
        <v>0.85342014050053305</v>
      </c>
    </row>
    <row r="15157" spans="1:3" s="7" customFormat="1" x14ac:dyDescent="0.2">
      <c r="A15157" s="6" t="str">
        <f>"AC090204.1"</f>
        <v>AC090204.1</v>
      </c>
      <c r="B15157" s="6">
        <v>0.77422577422577399</v>
      </c>
      <c r="C15157" s="6">
        <v>0.85342014050053305</v>
      </c>
    </row>
    <row r="15158" spans="1:3" s="7" customFormat="1" x14ac:dyDescent="0.2">
      <c r="A15158" s="6" t="str">
        <f>"IGIP"</f>
        <v>IGIP</v>
      </c>
      <c r="B15158" s="6">
        <v>0.77422577422577399</v>
      </c>
      <c r="C15158" s="6">
        <v>0.85342014050053305</v>
      </c>
    </row>
    <row r="15159" spans="1:3" s="7" customFormat="1" x14ac:dyDescent="0.2">
      <c r="A15159" s="6" t="str">
        <f>"AC036214.3"</f>
        <v>AC036214.3</v>
      </c>
      <c r="B15159" s="6">
        <v>0.77422577422577399</v>
      </c>
      <c r="C15159" s="6">
        <v>0.85342014050053305</v>
      </c>
    </row>
    <row r="15160" spans="1:3" s="7" customFormat="1" x14ac:dyDescent="0.2">
      <c r="A15160" s="6" t="str">
        <f>"PIH1D1"</f>
        <v>PIH1D1</v>
      </c>
      <c r="B15160" s="6">
        <v>0.77422577422577399</v>
      </c>
      <c r="C15160" s="6">
        <v>0.85342014050053305</v>
      </c>
    </row>
    <row r="15161" spans="1:3" s="7" customFormat="1" x14ac:dyDescent="0.2">
      <c r="A15161" s="6" t="str">
        <f>"CCDC134"</f>
        <v>CCDC134</v>
      </c>
      <c r="B15161" s="6">
        <v>0.77422577422577399</v>
      </c>
      <c r="C15161" s="6">
        <v>0.85342014050053305</v>
      </c>
    </row>
    <row r="15162" spans="1:3" s="7" customFormat="1" x14ac:dyDescent="0.2">
      <c r="A15162" s="6" t="str">
        <f>"GP9"</f>
        <v>GP9</v>
      </c>
      <c r="B15162" s="6">
        <v>0.77422577422577399</v>
      </c>
      <c r="C15162" s="6">
        <v>0.85342014050053305</v>
      </c>
    </row>
    <row r="15163" spans="1:3" s="7" customFormat="1" x14ac:dyDescent="0.2">
      <c r="A15163" s="6" t="str">
        <f>"GPAT2"</f>
        <v>GPAT2</v>
      </c>
      <c r="B15163" s="6">
        <v>0.77422577422577399</v>
      </c>
      <c r="C15163" s="6">
        <v>0.85342014050053305</v>
      </c>
    </row>
    <row r="15164" spans="1:3" s="7" customFormat="1" x14ac:dyDescent="0.2">
      <c r="A15164" s="6" t="str">
        <f>"PDE9A"</f>
        <v>PDE9A</v>
      </c>
      <c r="B15164" s="6">
        <v>0.77422577422577399</v>
      </c>
      <c r="C15164" s="6">
        <v>0.85342014050053305</v>
      </c>
    </row>
    <row r="15165" spans="1:3" s="7" customFormat="1" x14ac:dyDescent="0.2">
      <c r="A15165" s="6" t="str">
        <f>"RBM14"</f>
        <v>RBM14</v>
      </c>
      <c r="B15165" s="6">
        <v>0.77522477522477495</v>
      </c>
      <c r="C15165" s="6">
        <v>0.85412701998067797</v>
      </c>
    </row>
    <row r="15166" spans="1:3" s="7" customFormat="1" x14ac:dyDescent="0.2">
      <c r="A15166" s="6" t="str">
        <f>"LINC00299"</f>
        <v>LINC00299</v>
      </c>
      <c r="B15166" s="6">
        <v>0.77522477522477495</v>
      </c>
      <c r="C15166" s="6">
        <v>0.85412701998067797</v>
      </c>
    </row>
    <row r="15167" spans="1:3" s="7" customFormat="1" x14ac:dyDescent="0.2">
      <c r="A15167" s="6" t="str">
        <f>"PPP1R3D"</f>
        <v>PPP1R3D</v>
      </c>
      <c r="B15167" s="6">
        <v>0.77522477522477495</v>
      </c>
      <c r="C15167" s="6">
        <v>0.85412701998067797</v>
      </c>
    </row>
    <row r="15168" spans="1:3" s="7" customFormat="1" x14ac:dyDescent="0.2">
      <c r="A15168" s="6" t="str">
        <f>"ANKRD20A21P"</f>
        <v>ANKRD20A21P</v>
      </c>
      <c r="B15168" s="6">
        <v>0.77522477522477495</v>
      </c>
      <c r="C15168" s="6">
        <v>0.85412701998067797</v>
      </c>
    </row>
    <row r="15169" spans="1:3" s="7" customFormat="1" x14ac:dyDescent="0.2">
      <c r="A15169" s="6" t="str">
        <f>"AC016821.1"</f>
        <v>AC016821.1</v>
      </c>
      <c r="B15169" s="6">
        <v>0.77522477522477495</v>
      </c>
      <c r="C15169" s="6">
        <v>0.85412701998067797</v>
      </c>
    </row>
    <row r="15170" spans="1:3" s="7" customFormat="1" x14ac:dyDescent="0.2">
      <c r="A15170" s="6" t="str">
        <f>"STAU2"</f>
        <v>STAU2</v>
      </c>
      <c r="B15170" s="6">
        <v>0.77522477522477495</v>
      </c>
      <c r="C15170" s="6">
        <v>0.85412701998067797</v>
      </c>
    </row>
    <row r="15171" spans="1:3" s="7" customFormat="1" x14ac:dyDescent="0.2">
      <c r="A15171" s="6" t="str">
        <f>"L3MBTL2-AS1"</f>
        <v>L3MBTL2-AS1</v>
      </c>
      <c r="B15171" s="6">
        <v>0.77522477522477495</v>
      </c>
      <c r="C15171" s="6">
        <v>0.85412701998067797</v>
      </c>
    </row>
    <row r="15172" spans="1:3" s="7" customFormat="1" x14ac:dyDescent="0.2">
      <c r="A15172" s="6" t="str">
        <f>"PTGES2-AS1"</f>
        <v>PTGES2-AS1</v>
      </c>
      <c r="B15172" s="6">
        <v>0.77555110220440804</v>
      </c>
      <c r="C15172" s="6">
        <v>0.85443023678363195</v>
      </c>
    </row>
    <row r="15173" spans="1:3" s="7" customFormat="1" x14ac:dyDescent="0.2">
      <c r="A15173" s="6" t="str">
        <f>"AC027307.3"</f>
        <v>AC027307.3</v>
      </c>
      <c r="B15173" s="6">
        <v>0.77577577577577495</v>
      </c>
      <c r="C15173" s="6">
        <v>0.85462142870526703</v>
      </c>
    </row>
    <row r="15174" spans="1:3" s="7" customFormat="1" x14ac:dyDescent="0.2">
      <c r="A15174" s="6" t="str">
        <f>"AC010970.1"</f>
        <v>AC010970.1</v>
      </c>
      <c r="B15174" s="6">
        <v>0.77622377622377603</v>
      </c>
      <c r="C15174" s="6">
        <v>0.85494591076139603</v>
      </c>
    </row>
    <row r="15175" spans="1:3" s="7" customFormat="1" x14ac:dyDescent="0.2">
      <c r="A15175" s="6" t="str">
        <f>"STEAP1"</f>
        <v>STEAP1</v>
      </c>
      <c r="B15175" s="6">
        <v>0.77622377622377603</v>
      </c>
      <c r="C15175" s="6">
        <v>0.85494591076139603</v>
      </c>
    </row>
    <row r="15176" spans="1:3" s="7" customFormat="1" x14ac:dyDescent="0.2">
      <c r="A15176" s="6" t="str">
        <f>"WASHC2A"</f>
        <v>WASHC2A</v>
      </c>
      <c r="B15176" s="6">
        <v>0.77622377622377603</v>
      </c>
      <c r="C15176" s="6">
        <v>0.85494591076139603</v>
      </c>
    </row>
    <row r="15177" spans="1:3" s="7" customFormat="1" x14ac:dyDescent="0.2">
      <c r="A15177" s="6" t="str">
        <f>"AC091691.3"</f>
        <v>AC091691.3</v>
      </c>
      <c r="B15177" s="6">
        <v>0.77655310621242402</v>
      </c>
      <c r="C15177" s="6">
        <v>0.85525228105129603</v>
      </c>
    </row>
    <row r="15178" spans="1:3" s="7" customFormat="1" x14ac:dyDescent="0.2">
      <c r="A15178" s="6" t="str">
        <f>"PSMD4"</f>
        <v>PSMD4</v>
      </c>
      <c r="B15178" s="6">
        <v>0.77722277722277699</v>
      </c>
      <c r="C15178" s="6">
        <v>0.85536982277615703</v>
      </c>
    </row>
    <row r="15179" spans="1:3" s="7" customFormat="1" x14ac:dyDescent="0.2">
      <c r="A15179" s="6" t="str">
        <f>"WDR77"</f>
        <v>WDR77</v>
      </c>
      <c r="B15179" s="6">
        <v>0.77722277722277699</v>
      </c>
      <c r="C15179" s="6">
        <v>0.85536982277615703</v>
      </c>
    </row>
    <row r="15180" spans="1:3" s="7" customFormat="1" x14ac:dyDescent="0.2">
      <c r="A15180" s="6" t="str">
        <f>"FMR1"</f>
        <v>FMR1</v>
      </c>
      <c r="B15180" s="6">
        <v>0.77722277722277699</v>
      </c>
      <c r="C15180" s="6">
        <v>0.85536982277615703</v>
      </c>
    </row>
    <row r="15181" spans="1:3" s="7" customFormat="1" x14ac:dyDescent="0.2">
      <c r="A15181" s="6" t="str">
        <f>"TRAPPC2B"</f>
        <v>TRAPPC2B</v>
      </c>
      <c r="B15181" s="6">
        <v>0.77722277722277699</v>
      </c>
      <c r="C15181" s="6">
        <v>0.85536982277615703</v>
      </c>
    </row>
    <row r="15182" spans="1:3" s="7" customFormat="1" x14ac:dyDescent="0.2">
      <c r="A15182" s="6" t="str">
        <f>"NEO1"</f>
        <v>NEO1</v>
      </c>
      <c r="B15182" s="6">
        <v>0.77722277722277699</v>
      </c>
      <c r="C15182" s="6">
        <v>0.85536982277615703</v>
      </c>
    </row>
    <row r="15183" spans="1:3" s="7" customFormat="1" x14ac:dyDescent="0.2">
      <c r="A15183" s="6" t="str">
        <f>"IL31RA"</f>
        <v>IL31RA</v>
      </c>
      <c r="B15183" s="6">
        <v>0.77722277722277699</v>
      </c>
      <c r="C15183" s="6">
        <v>0.85536982277615703</v>
      </c>
    </row>
    <row r="15184" spans="1:3" s="7" customFormat="1" x14ac:dyDescent="0.2">
      <c r="A15184" s="6" t="str">
        <f>"AL662899.2"</f>
        <v>AL662899.2</v>
      </c>
      <c r="B15184" s="6">
        <v>0.77722277722277699</v>
      </c>
      <c r="C15184" s="6">
        <v>0.85536982277615703</v>
      </c>
    </row>
    <row r="15185" spans="1:3" s="7" customFormat="1" x14ac:dyDescent="0.2">
      <c r="A15185" s="6" t="str">
        <f>"NT5C"</f>
        <v>NT5C</v>
      </c>
      <c r="B15185" s="6">
        <v>0.77722277722277699</v>
      </c>
      <c r="C15185" s="6">
        <v>0.85536982277615703</v>
      </c>
    </row>
    <row r="15186" spans="1:3" s="7" customFormat="1" x14ac:dyDescent="0.2">
      <c r="A15186" s="6" t="str">
        <f>"CSNK1G1"</f>
        <v>CSNK1G1</v>
      </c>
      <c r="B15186" s="6">
        <v>0.77722277722277699</v>
      </c>
      <c r="C15186" s="6">
        <v>0.85536982277615703</v>
      </c>
    </row>
    <row r="15187" spans="1:3" s="7" customFormat="1" x14ac:dyDescent="0.2">
      <c r="A15187" s="6" t="str">
        <f>"TNPO3"</f>
        <v>TNPO3</v>
      </c>
      <c r="B15187" s="6">
        <v>0.77722277722277699</v>
      </c>
      <c r="C15187" s="6">
        <v>0.85536982277615703</v>
      </c>
    </row>
    <row r="15188" spans="1:3" s="7" customFormat="1" x14ac:dyDescent="0.2">
      <c r="A15188" s="6" t="str">
        <f>"TNNC1"</f>
        <v>TNNC1</v>
      </c>
      <c r="B15188" s="6">
        <v>0.77722277722277699</v>
      </c>
      <c r="C15188" s="6">
        <v>0.85536982277615703</v>
      </c>
    </row>
    <row r="15189" spans="1:3" s="7" customFormat="1" x14ac:dyDescent="0.2">
      <c r="A15189" s="6" t="str">
        <f>"AC008878.3"</f>
        <v>AC008878.3</v>
      </c>
      <c r="B15189" s="6">
        <v>0.77755511022043999</v>
      </c>
      <c r="C15189" s="6">
        <v>0.85567922782620798</v>
      </c>
    </row>
    <row r="15190" spans="1:3" s="7" customFormat="1" x14ac:dyDescent="0.2">
      <c r="A15190" s="6" t="str">
        <f>"CPB2-AS1"</f>
        <v>CPB2-AS1</v>
      </c>
      <c r="B15190" s="6">
        <v>0.77800000000000002</v>
      </c>
      <c r="C15190" s="6">
        <v>0.85584937499663105</v>
      </c>
    </row>
    <row r="15191" spans="1:3" s="7" customFormat="1" x14ac:dyDescent="0.2">
      <c r="A15191" s="6" t="str">
        <f>"AL390728.6"</f>
        <v>AL390728.6</v>
      </c>
      <c r="B15191" s="6">
        <v>0.77822177822177796</v>
      </c>
      <c r="C15191" s="6">
        <v>0.85584937499663105</v>
      </c>
    </row>
    <row r="15192" spans="1:3" s="7" customFormat="1" x14ac:dyDescent="0.2">
      <c r="A15192" s="6" t="str">
        <f>"CXCL13"</f>
        <v>CXCL13</v>
      </c>
      <c r="B15192" s="6">
        <v>0.77822177822177796</v>
      </c>
      <c r="C15192" s="6">
        <v>0.85584937499663105</v>
      </c>
    </row>
    <row r="15193" spans="1:3" s="7" customFormat="1" x14ac:dyDescent="0.2">
      <c r="A15193" s="6" t="str">
        <f>"LINC02532"</f>
        <v>LINC02532</v>
      </c>
      <c r="B15193" s="6">
        <v>0.77822177822177796</v>
      </c>
      <c r="C15193" s="6">
        <v>0.85584937499663105</v>
      </c>
    </row>
    <row r="15194" spans="1:3" s="7" customFormat="1" x14ac:dyDescent="0.2">
      <c r="A15194" s="6" t="str">
        <f>"HRG"</f>
        <v>HRG</v>
      </c>
      <c r="B15194" s="6">
        <v>0.77822177822177796</v>
      </c>
      <c r="C15194" s="6">
        <v>0.85584937499663105</v>
      </c>
    </row>
    <row r="15195" spans="1:3" s="7" customFormat="1" x14ac:dyDescent="0.2">
      <c r="A15195" s="6" t="str">
        <f>"CCDC144A"</f>
        <v>CCDC144A</v>
      </c>
      <c r="B15195" s="6">
        <v>0.77822177822177796</v>
      </c>
      <c r="C15195" s="6">
        <v>0.85584937499663105</v>
      </c>
    </row>
    <row r="15196" spans="1:3" s="7" customFormat="1" x14ac:dyDescent="0.2">
      <c r="A15196" s="6" t="str">
        <f>"AL356481.3"</f>
        <v>AL356481.3</v>
      </c>
      <c r="B15196" s="6">
        <v>0.77800000000000002</v>
      </c>
      <c r="C15196" s="6">
        <v>0.85584937499663105</v>
      </c>
    </row>
    <row r="15197" spans="1:3" s="7" customFormat="1" x14ac:dyDescent="0.2">
      <c r="A15197" s="6" t="str">
        <f>"OSGEP"</f>
        <v>OSGEP</v>
      </c>
      <c r="B15197" s="6">
        <v>0.77822177822177796</v>
      </c>
      <c r="C15197" s="6">
        <v>0.85584937499663105</v>
      </c>
    </row>
    <row r="15198" spans="1:3" s="7" customFormat="1" x14ac:dyDescent="0.2">
      <c r="A15198" s="6" t="str">
        <f>"TEX261"</f>
        <v>TEX261</v>
      </c>
      <c r="B15198" s="6">
        <v>0.77822177822177796</v>
      </c>
      <c r="C15198" s="6">
        <v>0.85584937499663105</v>
      </c>
    </row>
    <row r="15199" spans="1:3" s="7" customFormat="1" x14ac:dyDescent="0.2">
      <c r="A15199" s="6" t="str">
        <f>"LINC00607"</f>
        <v>LINC00607</v>
      </c>
      <c r="B15199" s="6">
        <v>0.77822177822177796</v>
      </c>
      <c r="C15199" s="6">
        <v>0.85584937499663105</v>
      </c>
    </row>
    <row r="15200" spans="1:3" s="7" customFormat="1" x14ac:dyDescent="0.2">
      <c r="A15200" s="6" t="str">
        <f>"LANCL2"</f>
        <v>LANCL2</v>
      </c>
      <c r="B15200" s="6">
        <v>0.77922077922077904</v>
      </c>
      <c r="C15200" s="6">
        <v>0.85621564025350705</v>
      </c>
    </row>
    <row r="15201" spans="1:3" s="7" customFormat="1" x14ac:dyDescent="0.2">
      <c r="A15201" s="6" t="str">
        <f>"AP001994.3"</f>
        <v>AP001994.3</v>
      </c>
      <c r="B15201" s="6">
        <v>0.77922077922077904</v>
      </c>
      <c r="C15201" s="6">
        <v>0.85621564025350705</v>
      </c>
    </row>
    <row r="15202" spans="1:3" s="7" customFormat="1" x14ac:dyDescent="0.2">
      <c r="A15202" s="6" t="str">
        <f>"MUCL3"</f>
        <v>MUCL3</v>
      </c>
      <c r="B15202" s="6">
        <v>0.77922077922077904</v>
      </c>
      <c r="C15202" s="6">
        <v>0.85621564025350705</v>
      </c>
    </row>
    <row r="15203" spans="1:3" s="7" customFormat="1" x14ac:dyDescent="0.2">
      <c r="A15203" s="6" t="str">
        <f>"OLFM5P"</f>
        <v>OLFM5P</v>
      </c>
      <c r="B15203" s="6">
        <v>0.77922077922077904</v>
      </c>
      <c r="C15203" s="6">
        <v>0.85621564025350705</v>
      </c>
    </row>
    <row r="15204" spans="1:3" s="7" customFormat="1" x14ac:dyDescent="0.2">
      <c r="A15204" s="6" t="str">
        <f>"AC091551.1"</f>
        <v>AC091551.1</v>
      </c>
      <c r="B15204" s="6">
        <v>0.77922077922077904</v>
      </c>
      <c r="C15204" s="6">
        <v>0.85621564025350705</v>
      </c>
    </row>
    <row r="15205" spans="1:3" s="7" customFormat="1" x14ac:dyDescent="0.2">
      <c r="A15205" s="6" t="str">
        <f>"PLS1"</f>
        <v>PLS1</v>
      </c>
      <c r="B15205" s="6">
        <v>0.77922077922077904</v>
      </c>
      <c r="C15205" s="6">
        <v>0.85621564025350705</v>
      </c>
    </row>
    <row r="15206" spans="1:3" s="7" customFormat="1" x14ac:dyDescent="0.2">
      <c r="A15206" s="6" t="str">
        <f>"PARD6G"</f>
        <v>PARD6G</v>
      </c>
      <c r="B15206" s="6">
        <v>0.77922077922077904</v>
      </c>
      <c r="C15206" s="6">
        <v>0.85621564025350705</v>
      </c>
    </row>
    <row r="15207" spans="1:3" s="7" customFormat="1" x14ac:dyDescent="0.2">
      <c r="A15207" s="6" t="str">
        <f>"CFHR2"</f>
        <v>CFHR2</v>
      </c>
      <c r="B15207" s="6">
        <v>0.77922077922077904</v>
      </c>
      <c r="C15207" s="6">
        <v>0.85621564025350705</v>
      </c>
    </row>
    <row r="15208" spans="1:3" s="7" customFormat="1" x14ac:dyDescent="0.2">
      <c r="A15208" s="6" t="str">
        <f>"LINC00486"</f>
        <v>LINC00486</v>
      </c>
      <c r="B15208" s="6">
        <v>0.77889447236180898</v>
      </c>
      <c r="C15208" s="6">
        <v>0.85621564025350705</v>
      </c>
    </row>
    <row r="15209" spans="1:3" s="7" customFormat="1" x14ac:dyDescent="0.2">
      <c r="A15209" s="6" t="str">
        <f>"CDCA7"</f>
        <v>CDCA7</v>
      </c>
      <c r="B15209" s="6">
        <v>0.77922077922077904</v>
      </c>
      <c r="C15209" s="6">
        <v>0.85621564025350705</v>
      </c>
    </row>
    <row r="15210" spans="1:3" s="7" customFormat="1" x14ac:dyDescent="0.2">
      <c r="A15210" s="6" t="str">
        <f>"HEXIM2"</f>
        <v>HEXIM2</v>
      </c>
      <c r="B15210" s="6">
        <v>0.77922077922077904</v>
      </c>
      <c r="C15210" s="6">
        <v>0.85621564025350705</v>
      </c>
    </row>
    <row r="15211" spans="1:3" s="7" customFormat="1" x14ac:dyDescent="0.2">
      <c r="A15211" s="6" t="str">
        <f>"AC003070.2"</f>
        <v>AC003070.2</v>
      </c>
      <c r="B15211" s="6">
        <v>0.77922077922077904</v>
      </c>
      <c r="C15211" s="6">
        <v>0.85621564025350705</v>
      </c>
    </row>
    <row r="15212" spans="1:3" s="7" customFormat="1" x14ac:dyDescent="0.2">
      <c r="A15212" s="6" t="str">
        <f>"TRMU"</f>
        <v>TRMU</v>
      </c>
      <c r="B15212" s="6">
        <v>0.77922077922077904</v>
      </c>
      <c r="C15212" s="6">
        <v>0.85621564025350705</v>
      </c>
    </row>
    <row r="15213" spans="1:3" s="7" customFormat="1" x14ac:dyDescent="0.2">
      <c r="A15213" s="6" t="str">
        <f>"EEF1E1-BLOC1S5"</f>
        <v>EEF1E1-BLOC1S5</v>
      </c>
      <c r="B15213" s="6">
        <v>0.78002018163471198</v>
      </c>
      <c r="C15213" s="6">
        <v>0.85697531751287404</v>
      </c>
    </row>
    <row r="15214" spans="1:3" s="7" customFormat="1" x14ac:dyDescent="0.2">
      <c r="A15214" s="6" t="str">
        <f>"AL136981.3"</f>
        <v>AL136981.3</v>
      </c>
      <c r="B15214" s="6">
        <v>0.78</v>
      </c>
      <c r="C15214" s="6">
        <v>0.85697531751287404</v>
      </c>
    </row>
    <row r="15215" spans="1:3" s="7" customFormat="1" x14ac:dyDescent="0.2">
      <c r="A15215" s="6" t="str">
        <f>"RASEF"</f>
        <v>RASEF</v>
      </c>
      <c r="B15215" s="6">
        <v>0.78021978021978</v>
      </c>
      <c r="C15215" s="6">
        <v>0.85697531751287404</v>
      </c>
    </row>
    <row r="15216" spans="1:3" s="7" customFormat="1" x14ac:dyDescent="0.2">
      <c r="A15216" s="6" t="str">
        <f>"MIER3"</f>
        <v>MIER3</v>
      </c>
      <c r="B15216" s="6">
        <v>0.78021978021978</v>
      </c>
      <c r="C15216" s="6">
        <v>0.85697531751287404</v>
      </c>
    </row>
    <row r="15217" spans="1:3" s="7" customFormat="1" x14ac:dyDescent="0.2">
      <c r="A15217" s="6" t="str">
        <f>"ZNF532"</f>
        <v>ZNF532</v>
      </c>
      <c r="B15217" s="6">
        <v>0.78021978021978</v>
      </c>
      <c r="C15217" s="6">
        <v>0.85697531751287404</v>
      </c>
    </row>
    <row r="15218" spans="1:3" s="7" customFormat="1" x14ac:dyDescent="0.2">
      <c r="A15218" s="6" t="str">
        <f>"NOC2L"</f>
        <v>NOC2L</v>
      </c>
      <c r="B15218" s="6">
        <v>0.78021978021978</v>
      </c>
      <c r="C15218" s="6">
        <v>0.85697531751287404</v>
      </c>
    </row>
    <row r="15219" spans="1:3" s="7" customFormat="1" x14ac:dyDescent="0.2">
      <c r="A15219" s="6" t="str">
        <f>"LINC00702"</f>
        <v>LINC00702</v>
      </c>
      <c r="B15219" s="6">
        <v>0.78100000000000003</v>
      </c>
      <c r="C15219" s="6">
        <v>0.857621721464086</v>
      </c>
    </row>
    <row r="15220" spans="1:3" s="7" customFormat="1" x14ac:dyDescent="0.2">
      <c r="A15220" s="6" t="str">
        <f>"PRICKLE2-AS1"</f>
        <v>PRICKLE2-AS1</v>
      </c>
      <c r="B15220" s="6">
        <v>0.78121878121878097</v>
      </c>
      <c r="C15220" s="6">
        <v>0.857621721464086</v>
      </c>
    </row>
    <row r="15221" spans="1:3" s="7" customFormat="1" x14ac:dyDescent="0.2">
      <c r="A15221" s="6" t="str">
        <f>"ACTG1P17"</f>
        <v>ACTG1P17</v>
      </c>
      <c r="B15221" s="6">
        <v>0.78100000000000003</v>
      </c>
      <c r="C15221" s="6">
        <v>0.857621721464086</v>
      </c>
    </row>
    <row r="15222" spans="1:3" s="7" customFormat="1" x14ac:dyDescent="0.2">
      <c r="A15222" s="6" t="str">
        <f>"CDC25A"</f>
        <v>CDC25A</v>
      </c>
      <c r="B15222" s="6">
        <v>0.78121878121878097</v>
      </c>
      <c r="C15222" s="6">
        <v>0.857621721464086</v>
      </c>
    </row>
    <row r="15223" spans="1:3" s="7" customFormat="1" x14ac:dyDescent="0.2">
      <c r="A15223" s="6" t="str">
        <f>"CCDC85A"</f>
        <v>CCDC85A</v>
      </c>
      <c r="B15223" s="6">
        <v>0.78121878121878097</v>
      </c>
      <c r="C15223" s="6">
        <v>0.857621721464086</v>
      </c>
    </row>
    <row r="15224" spans="1:3" s="7" customFormat="1" x14ac:dyDescent="0.2">
      <c r="A15224" s="6" t="str">
        <f>"COX5A"</f>
        <v>COX5A</v>
      </c>
      <c r="B15224" s="6">
        <v>0.78121878121878097</v>
      </c>
      <c r="C15224" s="6">
        <v>0.857621721464086</v>
      </c>
    </row>
    <row r="15225" spans="1:3" s="7" customFormat="1" x14ac:dyDescent="0.2">
      <c r="A15225" s="6" t="str">
        <f>"MARVELD2"</f>
        <v>MARVELD2</v>
      </c>
      <c r="B15225" s="6">
        <v>0.78121878121878097</v>
      </c>
      <c r="C15225" s="6">
        <v>0.857621721464086</v>
      </c>
    </row>
    <row r="15226" spans="1:3" s="7" customFormat="1" x14ac:dyDescent="0.2">
      <c r="A15226" s="6" t="str">
        <f>"EXD1"</f>
        <v>EXD1</v>
      </c>
      <c r="B15226" s="6">
        <v>0.78100000000000003</v>
      </c>
      <c r="C15226" s="6">
        <v>0.857621721464086</v>
      </c>
    </row>
    <row r="15227" spans="1:3" s="7" customFormat="1" x14ac:dyDescent="0.2">
      <c r="A15227" s="6" t="str">
        <f>"AL355388.1"</f>
        <v>AL355388.1</v>
      </c>
      <c r="B15227" s="6">
        <v>0.78156312625250501</v>
      </c>
      <c r="C15227" s="6">
        <v>0.85794339236729</v>
      </c>
    </row>
    <row r="15228" spans="1:3" s="7" customFormat="1" x14ac:dyDescent="0.2">
      <c r="A15228" s="6" t="str">
        <f>"AC074011.1"</f>
        <v>AC074011.1</v>
      </c>
      <c r="B15228" s="6">
        <v>0.78185524974515797</v>
      </c>
      <c r="C15228" s="6">
        <v>0.85820769975967404</v>
      </c>
    </row>
    <row r="15229" spans="1:3" s="7" customFormat="1" x14ac:dyDescent="0.2">
      <c r="A15229" s="6" t="str">
        <f>"AL080276.2"</f>
        <v>AL080276.2</v>
      </c>
      <c r="B15229" s="6">
        <v>0.78221778221778204</v>
      </c>
      <c r="C15229" s="6">
        <v>0.85826744646412401</v>
      </c>
    </row>
    <row r="15230" spans="1:3" s="7" customFormat="1" x14ac:dyDescent="0.2">
      <c r="A15230" s="6" t="str">
        <f>"AC000120.3"</f>
        <v>AC000120.3</v>
      </c>
      <c r="B15230" s="6">
        <v>0.78221778221778204</v>
      </c>
      <c r="C15230" s="6">
        <v>0.85826744646412401</v>
      </c>
    </row>
    <row r="15231" spans="1:3" s="7" customFormat="1" x14ac:dyDescent="0.2">
      <c r="A15231" s="6" t="str">
        <f>"DHCR24-DT"</f>
        <v>DHCR24-DT</v>
      </c>
      <c r="B15231" s="6">
        <v>0.78221778221778204</v>
      </c>
      <c r="C15231" s="6">
        <v>0.85826744646412401</v>
      </c>
    </row>
    <row r="15232" spans="1:3" s="7" customFormat="1" x14ac:dyDescent="0.2">
      <c r="A15232" s="6" t="str">
        <f>"DDX12P"</f>
        <v>DDX12P</v>
      </c>
      <c r="B15232" s="6">
        <v>0.78200000000000003</v>
      </c>
      <c r="C15232" s="6">
        <v>0.85826744646412401</v>
      </c>
    </row>
    <row r="15233" spans="1:3" s="7" customFormat="1" x14ac:dyDescent="0.2">
      <c r="A15233" s="6" t="str">
        <f>"USP39"</f>
        <v>USP39</v>
      </c>
      <c r="B15233" s="6">
        <v>0.78221778221778204</v>
      </c>
      <c r="C15233" s="6">
        <v>0.85826744646412401</v>
      </c>
    </row>
    <row r="15234" spans="1:3" s="7" customFormat="1" x14ac:dyDescent="0.2">
      <c r="A15234" s="6" t="str">
        <f>"FAM71E2"</f>
        <v>FAM71E2</v>
      </c>
      <c r="B15234" s="6">
        <v>0.78221778221778204</v>
      </c>
      <c r="C15234" s="6">
        <v>0.85826744646412401</v>
      </c>
    </row>
    <row r="15235" spans="1:3" s="7" customFormat="1" x14ac:dyDescent="0.2">
      <c r="A15235" s="6" t="str">
        <f>"FNTB"</f>
        <v>FNTB</v>
      </c>
      <c r="B15235" s="6">
        <v>0.78321678321678301</v>
      </c>
      <c r="C15235" s="6">
        <v>0.859137974318127</v>
      </c>
    </row>
    <row r="15236" spans="1:3" s="7" customFormat="1" x14ac:dyDescent="0.2">
      <c r="A15236" s="6" t="str">
        <f>"AC006008.1"</f>
        <v>AC006008.1</v>
      </c>
      <c r="B15236" s="6">
        <v>0.78321678321678301</v>
      </c>
      <c r="C15236" s="6">
        <v>0.859137974318127</v>
      </c>
    </row>
    <row r="15237" spans="1:3" s="7" customFormat="1" x14ac:dyDescent="0.2">
      <c r="A15237" s="6" t="str">
        <f>"AC019080.4"</f>
        <v>AC019080.4</v>
      </c>
      <c r="B15237" s="6">
        <v>0.78321678321678301</v>
      </c>
      <c r="C15237" s="6">
        <v>0.859137974318127</v>
      </c>
    </row>
    <row r="15238" spans="1:3" s="7" customFormat="1" x14ac:dyDescent="0.2">
      <c r="A15238" s="6" t="str">
        <f>"SIL1"</f>
        <v>SIL1</v>
      </c>
      <c r="B15238" s="6">
        <v>0.78321678321678301</v>
      </c>
      <c r="C15238" s="6">
        <v>0.859137974318127</v>
      </c>
    </row>
    <row r="15239" spans="1:3" s="7" customFormat="1" x14ac:dyDescent="0.2">
      <c r="A15239" s="6" t="str">
        <f>"TTC1"</f>
        <v>TTC1</v>
      </c>
      <c r="B15239" s="6">
        <v>0.78421578421578397</v>
      </c>
      <c r="C15239" s="6">
        <v>0.85972600140250599</v>
      </c>
    </row>
    <row r="15240" spans="1:3" s="7" customFormat="1" x14ac:dyDescent="0.2">
      <c r="A15240" s="6" t="str">
        <f>"TMEM47"</f>
        <v>TMEM47</v>
      </c>
      <c r="B15240" s="6">
        <v>0.78421578421578397</v>
      </c>
      <c r="C15240" s="6">
        <v>0.85972600140250599</v>
      </c>
    </row>
    <row r="15241" spans="1:3" s="7" customFormat="1" x14ac:dyDescent="0.2">
      <c r="A15241" s="6" t="str">
        <f>"ARRB1"</f>
        <v>ARRB1</v>
      </c>
      <c r="B15241" s="6">
        <v>0.78421578421578397</v>
      </c>
      <c r="C15241" s="6">
        <v>0.85972600140250599</v>
      </c>
    </row>
    <row r="15242" spans="1:3" s="7" customFormat="1" x14ac:dyDescent="0.2">
      <c r="A15242" s="6" t="str">
        <f>"LINC02700"</f>
        <v>LINC02700</v>
      </c>
      <c r="B15242" s="6">
        <v>0.78421578421578397</v>
      </c>
      <c r="C15242" s="6">
        <v>0.85972600140250599</v>
      </c>
    </row>
    <row r="15243" spans="1:3" s="7" customFormat="1" x14ac:dyDescent="0.2">
      <c r="A15243" s="6" t="str">
        <f>"GNAT2"</f>
        <v>GNAT2</v>
      </c>
      <c r="B15243" s="6">
        <v>0.78421578421578397</v>
      </c>
      <c r="C15243" s="6">
        <v>0.85972600140250599</v>
      </c>
    </row>
    <row r="15244" spans="1:3" s="7" customFormat="1" x14ac:dyDescent="0.2">
      <c r="A15244" s="6" t="str">
        <f>"RBM5"</f>
        <v>RBM5</v>
      </c>
      <c r="B15244" s="6">
        <v>0.78421578421578397</v>
      </c>
      <c r="C15244" s="6">
        <v>0.85972600140250599</v>
      </c>
    </row>
    <row r="15245" spans="1:3" s="7" customFormat="1" x14ac:dyDescent="0.2">
      <c r="A15245" s="6" t="str">
        <f>"ZNF324B"</f>
        <v>ZNF324B</v>
      </c>
      <c r="B15245" s="6">
        <v>0.78421578421578397</v>
      </c>
      <c r="C15245" s="6">
        <v>0.85972600140250599</v>
      </c>
    </row>
    <row r="15246" spans="1:3" s="7" customFormat="1" x14ac:dyDescent="0.2">
      <c r="A15246" s="6" t="str">
        <f>"PCDHGC5"</f>
        <v>PCDHGC5</v>
      </c>
      <c r="B15246" s="6">
        <v>0.78421578421578397</v>
      </c>
      <c r="C15246" s="6">
        <v>0.85972600140250599</v>
      </c>
    </row>
    <row r="15247" spans="1:3" s="7" customFormat="1" x14ac:dyDescent="0.2">
      <c r="A15247" s="6" t="str">
        <f>"LMO3"</f>
        <v>LMO3</v>
      </c>
      <c r="B15247" s="6">
        <v>0.78421578421578397</v>
      </c>
      <c r="C15247" s="6">
        <v>0.85972600140250599</v>
      </c>
    </row>
    <row r="15248" spans="1:3" s="7" customFormat="1" x14ac:dyDescent="0.2">
      <c r="A15248" s="6" t="str">
        <f>"ELMO2"</f>
        <v>ELMO2</v>
      </c>
      <c r="B15248" s="6">
        <v>0.78521478521478505</v>
      </c>
      <c r="C15248" s="6">
        <v>0.86025694284739895</v>
      </c>
    </row>
    <row r="15249" spans="1:3" s="7" customFormat="1" x14ac:dyDescent="0.2">
      <c r="A15249" s="6" t="str">
        <f>"ARFGAP3"</f>
        <v>ARFGAP3</v>
      </c>
      <c r="B15249" s="6">
        <v>0.78521478521478505</v>
      </c>
      <c r="C15249" s="6">
        <v>0.86025694284739895</v>
      </c>
    </row>
    <row r="15250" spans="1:3" s="7" customFormat="1" x14ac:dyDescent="0.2">
      <c r="A15250" s="6" t="str">
        <f>"AL513477.1"</f>
        <v>AL513477.1</v>
      </c>
      <c r="B15250" s="6">
        <v>0.78521478521478505</v>
      </c>
      <c r="C15250" s="6">
        <v>0.86025694284739895</v>
      </c>
    </row>
    <row r="15251" spans="1:3" s="7" customFormat="1" x14ac:dyDescent="0.2">
      <c r="A15251" s="6" t="str">
        <f>"AC140125.2"</f>
        <v>AC140125.2</v>
      </c>
      <c r="B15251" s="6">
        <v>0.78521478521478505</v>
      </c>
      <c r="C15251" s="6">
        <v>0.86025694284739895</v>
      </c>
    </row>
    <row r="15252" spans="1:3" s="7" customFormat="1" x14ac:dyDescent="0.2">
      <c r="A15252" s="6" t="str">
        <f>"AC135721.1"</f>
        <v>AC135721.1</v>
      </c>
      <c r="B15252" s="6">
        <v>0.78500000000000003</v>
      </c>
      <c r="C15252" s="6">
        <v>0.86025694284739895</v>
      </c>
    </row>
    <row r="15253" spans="1:3" s="7" customFormat="1" x14ac:dyDescent="0.2">
      <c r="A15253" s="6" t="str">
        <f>"PSMG3-AS1"</f>
        <v>PSMG3-AS1</v>
      </c>
      <c r="B15253" s="6">
        <v>0.78521478521478505</v>
      </c>
      <c r="C15253" s="6">
        <v>0.86025694284739895</v>
      </c>
    </row>
    <row r="15254" spans="1:3" s="7" customFormat="1" x14ac:dyDescent="0.2">
      <c r="A15254" s="6" t="str">
        <f>"SLC16A14"</f>
        <v>SLC16A14</v>
      </c>
      <c r="B15254" s="6">
        <v>0.78521478521478505</v>
      </c>
      <c r="C15254" s="6">
        <v>0.86025694284739895</v>
      </c>
    </row>
    <row r="15255" spans="1:3" s="7" customFormat="1" x14ac:dyDescent="0.2">
      <c r="A15255" s="6" t="str">
        <f>"SLC38A3"</f>
        <v>SLC38A3</v>
      </c>
      <c r="B15255" s="6">
        <v>0.78521478521478505</v>
      </c>
      <c r="C15255" s="6">
        <v>0.86025694284739895</v>
      </c>
    </row>
    <row r="15256" spans="1:3" s="7" customFormat="1" x14ac:dyDescent="0.2">
      <c r="A15256" s="6" t="str">
        <f>"SPPL3"</f>
        <v>SPPL3</v>
      </c>
      <c r="B15256" s="6">
        <v>0.78521478521478505</v>
      </c>
      <c r="C15256" s="6">
        <v>0.86025694284739895</v>
      </c>
    </row>
    <row r="15257" spans="1:3" s="7" customFormat="1" x14ac:dyDescent="0.2">
      <c r="A15257" s="6" t="str">
        <f>"AC018754.1"</f>
        <v>AC018754.1</v>
      </c>
      <c r="B15257" s="6">
        <v>0.78521478521478505</v>
      </c>
      <c r="C15257" s="6">
        <v>0.86025694284739895</v>
      </c>
    </row>
    <row r="15258" spans="1:3" s="7" customFormat="1" x14ac:dyDescent="0.2">
      <c r="A15258" s="6" t="str">
        <f>"LINC02709"</f>
        <v>LINC02709</v>
      </c>
      <c r="B15258" s="6">
        <v>0.78528225806451601</v>
      </c>
      <c r="C15258" s="6">
        <v>0.86027447475193797</v>
      </c>
    </row>
    <row r="15259" spans="1:3" s="7" customFormat="1" x14ac:dyDescent="0.2">
      <c r="A15259" s="6" t="str">
        <f>"ARHGAP31-AS1"</f>
        <v>ARHGAP31-AS1</v>
      </c>
      <c r="B15259" s="6">
        <v>0.78578578578578495</v>
      </c>
      <c r="C15259" s="6">
        <v>0.86076966991896797</v>
      </c>
    </row>
    <row r="15260" spans="1:3" s="7" customFormat="1" x14ac:dyDescent="0.2">
      <c r="A15260" s="6" t="str">
        <f>"SLC25A35"</f>
        <v>SLC25A35</v>
      </c>
      <c r="B15260" s="6">
        <v>0.78621378621378601</v>
      </c>
      <c r="C15260" s="6">
        <v>0.86112563714136403</v>
      </c>
    </row>
    <row r="15261" spans="1:3" s="7" customFormat="1" x14ac:dyDescent="0.2">
      <c r="A15261" s="6" t="str">
        <f>"FIGN"</f>
        <v>FIGN</v>
      </c>
      <c r="B15261" s="6">
        <v>0.78621378621378601</v>
      </c>
      <c r="C15261" s="6">
        <v>0.86112563714136403</v>
      </c>
    </row>
    <row r="15262" spans="1:3" s="7" customFormat="1" x14ac:dyDescent="0.2">
      <c r="A15262" s="6" t="str">
        <f>"NBEA"</f>
        <v>NBEA</v>
      </c>
      <c r="B15262" s="6">
        <v>0.78700000000000003</v>
      </c>
      <c r="C15262" s="6">
        <v>0.86181733604140698</v>
      </c>
    </row>
    <row r="15263" spans="1:3" s="7" customFormat="1" x14ac:dyDescent="0.2">
      <c r="A15263" s="6" t="str">
        <f>"AC078815.1"</f>
        <v>AC078815.1</v>
      </c>
      <c r="B15263" s="6">
        <v>0.78700000000000003</v>
      </c>
      <c r="C15263" s="6">
        <v>0.86181733604140698</v>
      </c>
    </row>
    <row r="15264" spans="1:3" s="7" customFormat="1" x14ac:dyDescent="0.2">
      <c r="A15264" s="6" t="str">
        <f>"COLEC10"</f>
        <v>COLEC10</v>
      </c>
      <c r="B15264" s="6">
        <v>0.78700000000000003</v>
      </c>
      <c r="C15264" s="6">
        <v>0.86181733604140698</v>
      </c>
    </row>
    <row r="15265" spans="1:3" s="7" customFormat="1" x14ac:dyDescent="0.2">
      <c r="A15265" s="6" t="str">
        <f>"SPTBN1"</f>
        <v>SPTBN1</v>
      </c>
      <c r="B15265" s="6">
        <v>0.78721278721278698</v>
      </c>
      <c r="C15265" s="6">
        <v>0.86182449240024395</v>
      </c>
    </row>
    <row r="15266" spans="1:3" s="7" customFormat="1" x14ac:dyDescent="0.2">
      <c r="A15266" s="6" t="str">
        <f>"AC011751.1"</f>
        <v>AC011751.1</v>
      </c>
      <c r="B15266" s="6">
        <v>0.78721278721278698</v>
      </c>
      <c r="C15266" s="6">
        <v>0.86182449240024395</v>
      </c>
    </row>
    <row r="15267" spans="1:3" s="7" customFormat="1" x14ac:dyDescent="0.2">
      <c r="A15267" s="6" t="str">
        <f>"VPS45"</f>
        <v>VPS45</v>
      </c>
      <c r="B15267" s="6">
        <v>0.78721278721278698</v>
      </c>
      <c r="C15267" s="6">
        <v>0.86182449240024395</v>
      </c>
    </row>
    <row r="15268" spans="1:3" s="7" customFormat="1" x14ac:dyDescent="0.2">
      <c r="A15268" s="6" t="str">
        <f>"NUFIP1"</f>
        <v>NUFIP1</v>
      </c>
      <c r="B15268" s="6">
        <v>0.78721278721278698</v>
      </c>
      <c r="C15268" s="6">
        <v>0.86182449240024395</v>
      </c>
    </row>
    <row r="15269" spans="1:3" s="7" customFormat="1" x14ac:dyDescent="0.2">
      <c r="A15269" s="6" t="str">
        <f>"AC116407.4"</f>
        <v>AC116407.4</v>
      </c>
      <c r="B15269" s="6">
        <v>0.78757515030060099</v>
      </c>
      <c r="C15269" s="6">
        <v>0.862164727673843</v>
      </c>
    </row>
    <row r="15270" spans="1:3" s="7" customFormat="1" x14ac:dyDescent="0.2">
      <c r="A15270" s="6" t="str">
        <f>"AL513318.1"</f>
        <v>AL513318.1</v>
      </c>
      <c r="B15270" s="6">
        <v>0.78821178821178794</v>
      </c>
      <c r="C15270" s="6">
        <v>0.86246624079684597</v>
      </c>
    </row>
    <row r="15271" spans="1:3" s="7" customFormat="1" x14ac:dyDescent="0.2">
      <c r="A15271" s="6" t="str">
        <f>"ZNF48"</f>
        <v>ZNF48</v>
      </c>
      <c r="B15271" s="6">
        <v>0.78821178821178794</v>
      </c>
      <c r="C15271" s="6">
        <v>0.86246624079684597</v>
      </c>
    </row>
    <row r="15272" spans="1:3" s="7" customFormat="1" x14ac:dyDescent="0.2">
      <c r="A15272" s="6" t="str">
        <f>"SH3GL1P1"</f>
        <v>SH3GL1P1</v>
      </c>
      <c r="B15272" s="6">
        <v>0.78821178821178794</v>
      </c>
      <c r="C15272" s="6">
        <v>0.86246624079684597</v>
      </c>
    </row>
    <row r="15273" spans="1:3" s="7" customFormat="1" x14ac:dyDescent="0.2">
      <c r="A15273" s="6" t="str">
        <f>"ATPAF2"</f>
        <v>ATPAF2</v>
      </c>
      <c r="B15273" s="6">
        <v>0.78821178821178794</v>
      </c>
      <c r="C15273" s="6">
        <v>0.86246624079684597</v>
      </c>
    </row>
    <row r="15274" spans="1:3" s="7" customFormat="1" x14ac:dyDescent="0.2">
      <c r="A15274" s="6" t="str">
        <f>"MGAT5"</f>
        <v>MGAT5</v>
      </c>
      <c r="B15274" s="6">
        <v>0.78800000000000003</v>
      </c>
      <c r="C15274" s="6">
        <v>0.86246624079684597</v>
      </c>
    </row>
    <row r="15275" spans="1:3" s="7" customFormat="1" x14ac:dyDescent="0.2">
      <c r="A15275" s="6" t="str">
        <f>"AC079594.1"</f>
        <v>AC079594.1</v>
      </c>
      <c r="B15275" s="6">
        <v>0.78821178821178794</v>
      </c>
      <c r="C15275" s="6">
        <v>0.86246624079684597</v>
      </c>
    </row>
    <row r="15276" spans="1:3" s="7" customFormat="1" x14ac:dyDescent="0.2">
      <c r="A15276" s="6" t="str">
        <f>"ZDHHC16"</f>
        <v>ZDHHC16</v>
      </c>
      <c r="B15276" s="6">
        <v>0.78821178821178794</v>
      </c>
      <c r="C15276" s="6">
        <v>0.86246624079684597</v>
      </c>
    </row>
    <row r="15277" spans="1:3" s="7" customFormat="1" x14ac:dyDescent="0.2">
      <c r="A15277" s="6" t="str">
        <f>"PAXIP1-AS1"</f>
        <v>PAXIP1-AS1</v>
      </c>
      <c r="B15277" s="6">
        <v>0.78921078921078902</v>
      </c>
      <c r="C15277" s="6">
        <v>0.86305084603959203</v>
      </c>
    </row>
    <row r="15278" spans="1:3" s="7" customFormat="1" x14ac:dyDescent="0.2">
      <c r="A15278" s="6" t="str">
        <f>"IGHV4-34"</f>
        <v>IGHV4-34</v>
      </c>
      <c r="B15278" s="6">
        <v>0.78921078921078902</v>
      </c>
      <c r="C15278" s="6">
        <v>0.86305084603959203</v>
      </c>
    </row>
    <row r="15279" spans="1:3" s="7" customFormat="1" x14ac:dyDescent="0.2">
      <c r="A15279" s="6" t="str">
        <f>"AGAP6"</f>
        <v>AGAP6</v>
      </c>
      <c r="B15279" s="6">
        <v>0.78921078921078902</v>
      </c>
      <c r="C15279" s="6">
        <v>0.86305084603959203</v>
      </c>
    </row>
    <row r="15280" spans="1:3" s="7" customFormat="1" x14ac:dyDescent="0.2">
      <c r="A15280" s="6" t="str">
        <f>"TM9SF1"</f>
        <v>TM9SF1</v>
      </c>
      <c r="B15280" s="6">
        <v>0.78900000000000003</v>
      </c>
      <c r="C15280" s="6">
        <v>0.86305084603959203</v>
      </c>
    </row>
    <row r="15281" spans="1:3" s="7" customFormat="1" x14ac:dyDescent="0.2">
      <c r="A15281" s="6" t="str">
        <f>"MAP9"</f>
        <v>MAP9</v>
      </c>
      <c r="B15281" s="6">
        <v>0.78900000000000003</v>
      </c>
      <c r="C15281" s="6">
        <v>0.86305084603959203</v>
      </c>
    </row>
    <row r="15282" spans="1:3" s="7" customFormat="1" x14ac:dyDescent="0.2">
      <c r="A15282" s="6" t="str">
        <f>"NAT2"</f>
        <v>NAT2</v>
      </c>
      <c r="B15282" s="6">
        <v>0.78921078921078902</v>
      </c>
      <c r="C15282" s="6">
        <v>0.86305084603959203</v>
      </c>
    </row>
    <row r="15283" spans="1:3" s="7" customFormat="1" x14ac:dyDescent="0.2">
      <c r="A15283" s="6" t="str">
        <f>"SUZ12P1"</f>
        <v>SUZ12P1</v>
      </c>
      <c r="B15283" s="6">
        <v>0.78921078921078902</v>
      </c>
      <c r="C15283" s="6">
        <v>0.86305084603959203</v>
      </c>
    </row>
    <row r="15284" spans="1:3" s="7" customFormat="1" x14ac:dyDescent="0.2">
      <c r="A15284" s="6" t="str">
        <f>"ZNF286B"</f>
        <v>ZNF286B</v>
      </c>
      <c r="B15284" s="6">
        <v>0.78921078921078902</v>
      </c>
      <c r="C15284" s="6">
        <v>0.86305084603959203</v>
      </c>
    </row>
    <row r="15285" spans="1:3" s="7" customFormat="1" x14ac:dyDescent="0.2">
      <c r="A15285" s="6" t="str">
        <f>"TOPORS"</f>
        <v>TOPORS</v>
      </c>
      <c r="B15285" s="6">
        <v>0.78921078921078902</v>
      </c>
      <c r="C15285" s="6">
        <v>0.86305084603959203</v>
      </c>
    </row>
    <row r="15286" spans="1:3" s="7" customFormat="1" x14ac:dyDescent="0.2">
      <c r="A15286" s="6" t="str">
        <f>"AC020910.5"</f>
        <v>AC020910.5</v>
      </c>
      <c r="B15286" s="6">
        <v>0.79001135073779705</v>
      </c>
      <c r="C15286" s="6">
        <v>0.86386978843516804</v>
      </c>
    </row>
    <row r="15287" spans="1:3" s="7" customFormat="1" x14ac:dyDescent="0.2">
      <c r="A15287" s="6" t="str">
        <f>"AC118553.1"</f>
        <v>AC118553.1</v>
      </c>
      <c r="B15287" s="6">
        <v>0.79020979020978999</v>
      </c>
      <c r="C15287" s="6">
        <v>0.86397373150823797</v>
      </c>
    </row>
    <row r="15288" spans="1:3" s="7" customFormat="1" x14ac:dyDescent="0.2">
      <c r="A15288" s="6" t="str">
        <f>"GIGYF2"</f>
        <v>GIGYF2</v>
      </c>
      <c r="B15288" s="6">
        <v>0.79020979020978999</v>
      </c>
      <c r="C15288" s="6">
        <v>0.86397373150823797</v>
      </c>
    </row>
    <row r="15289" spans="1:3" s="7" customFormat="1" x14ac:dyDescent="0.2">
      <c r="A15289" s="6" t="str">
        <f>"SPECC1L-ADORA2A"</f>
        <v>SPECC1L-ADORA2A</v>
      </c>
      <c r="B15289" s="6">
        <v>0.79079079079078995</v>
      </c>
      <c r="C15289" s="6">
        <v>0.86455241217145895</v>
      </c>
    </row>
    <row r="15290" spans="1:3" s="7" customFormat="1" x14ac:dyDescent="0.2">
      <c r="A15290" s="6" t="str">
        <f>"CCDC22"</f>
        <v>CCDC22</v>
      </c>
      <c r="B15290" s="6">
        <v>0.79120879120879095</v>
      </c>
      <c r="C15290" s="6">
        <v>0.86478313734395296</v>
      </c>
    </row>
    <row r="15291" spans="1:3" s="7" customFormat="1" x14ac:dyDescent="0.2">
      <c r="A15291" s="6" t="str">
        <f>"CADM4"</f>
        <v>CADM4</v>
      </c>
      <c r="B15291" s="6">
        <v>0.79120879120879095</v>
      </c>
      <c r="C15291" s="6">
        <v>0.86478313734395296</v>
      </c>
    </row>
    <row r="15292" spans="1:3" s="7" customFormat="1" x14ac:dyDescent="0.2">
      <c r="A15292" s="6" t="str">
        <f>"AC010973.2"</f>
        <v>AC010973.2</v>
      </c>
      <c r="B15292" s="6">
        <v>0.79120879120879095</v>
      </c>
      <c r="C15292" s="6">
        <v>0.86478313734395296</v>
      </c>
    </row>
    <row r="15293" spans="1:3" s="7" customFormat="1" x14ac:dyDescent="0.2">
      <c r="A15293" s="6" t="str">
        <f>"ELL3"</f>
        <v>ELL3</v>
      </c>
      <c r="B15293" s="6">
        <v>0.79120879120879095</v>
      </c>
      <c r="C15293" s="6">
        <v>0.86478313734395296</v>
      </c>
    </row>
    <row r="15294" spans="1:3" s="7" customFormat="1" x14ac:dyDescent="0.2">
      <c r="A15294" s="6" t="str">
        <f>"AC010201.2"</f>
        <v>AC010201.2</v>
      </c>
      <c r="B15294" s="6">
        <v>0.79179179179179104</v>
      </c>
      <c r="C15294" s="6">
        <v>0.86530717980959904</v>
      </c>
    </row>
    <row r="15295" spans="1:3" s="7" customFormat="1" x14ac:dyDescent="0.2">
      <c r="A15295" s="6" t="str">
        <f>"AC034111.2"</f>
        <v>AC034111.2</v>
      </c>
      <c r="B15295" s="6">
        <v>0.79175475687103503</v>
      </c>
      <c r="C15295" s="6">
        <v>0.86530717980959904</v>
      </c>
    </row>
    <row r="15296" spans="1:3" s="7" customFormat="1" x14ac:dyDescent="0.2">
      <c r="A15296" s="6" t="str">
        <f>"AL137060.1"</f>
        <v>AL137060.1</v>
      </c>
      <c r="B15296" s="6">
        <v>0.79220779220779203</v>
      </c>
      <c r="C15296" s="6">
        <v>0.86547885737375196</v>
      </c>
    </row>
    <row r="15297" spans="1:3" s="7" customFormat="1" x14ac:dyDescent="0.2">
      <c r="A15297" s="6" t="str">
        <f>"LINC01393"</f>
        <v>LINC01393</v>
      </c>
      <c r="B15297" s="6">
        <v>0.79220779220779203</v>
      </c>
      <c r="C15297" s="6">
        <v>0.86547885737375196</v>
      </c>
    </row>
    <row r="15298" spans="1:3" s="7" customFormat="1" x14ac:dyDescent="0.2">
      <c r="A15298" s="6" t="str">
        <f>"MRAS"</f>
        <v>MRAS</v>
      </c>
      <c r="B15298" s="6">
        <v>0.79220779220779203</v>
      </c>
      <c r="C15298" s="6">
        <v>0.86547885737375196</v>
      </c>
    </row>
    <row r="15299" spans="1:3" s="7" customFormat="1" x14ac:dyDescent="0.2">
      <c r="A15299" s="6" t="str">
        <f>"AGPAT4"</f>
        <v>AGPAT4</v>
      </c>
      <c r="B15299" s="6">
        <v>0.79220779220779203</v>
      </c>
      <c r="C15299" s="6">
        <v>0.86547885737375196</v>
      </c>
    </row>
    <row r="15300" spans="1:3" s="7" customFormat="1" x14ac:dyDescent="0.2">
      <c r="A15300" s="6" t="str">
        <f>"PPP1R7"</f>
        <v>PPP1R7</v>
      </c>
      <c r="B15300" s="6">
        <v>0.79220779220779203</v>
      </c>
      <c r="C15300" s="6">
        <v>0.86547885737375196</v>
      </c>
    </row>
    <row r="15301" spans="1:3" s="7" customFormat="1" x14ac:dyDescent="0.2">
      <c r="A15301" s="6" t="str">
        <f>"PLPP5"</f>
        <v>PLPP5</v>
      </c>
      <c r="B15301" s="6">
        <v>0.79320679320679299</v>
      </c>
      <c r="C15301" s="6">
        <v>0.866117354260034</v>
      </c>
    </row>
    <row r="15302" spans="1:3" s="7" customFormat="1" x14ac:dyDescent="0.2">
      <c r="A15302" s="6" t="str">
        <f>"CEP250"</f>
        <v>CEP250</v>
      </c>
      <c r="B15302" s="6">
        <v>0.79320679320679299</v>
      </c>
      <c r="C15302" s="6">
        <v>0.866117354260034</v>
      </c>
    </row>
    <row r="15303" spans="1:3" s="7" customFormat="1" x14ac:dyDescent="0.2">
      <c r="A15303" s="6" t="str">
        <f>"KIAA0408"</f>
        <v>KIAA0408</v>
      </c>
      <c r="B15303" s="6">
        <v>0.79320679320679299</v>
      </c>
      <c r="C15303" s="6">
        <v>0.866117354260034</v>
      </c>
    </row>
    <row r="15304" spans="1:3" s="7" customFormat="1" x14ac:dyDescent="0.2">
      <c r="A15304" s="6" t="str">
        <f>"AP003559.1"</f>
        <v>AP003559.1</v>
      </c>
      <c r="B15304" s="6">
        <v>0.79320679320679299</v>
      </c>
      <c r="C15304" s="6">
        <v>0.866117354260034</v>
      </c>
    </row>
    <row r="15305" spans="1:3" s="7" customFormat="1" x14ac:dyDescent="0.2">
      <c r="A15305" s="6" t="str">
        <f>"AL138828.1"</f>
        <v>AL138828.1</v>
      </c>
      <c r="B15305" s="6">
        <v>0.79320679320679299</v>
      </c>
      <c r="C15305" s="6">
        <v>0.866117354260034</v>
      </c>
    </row>
    <row r="15306" spans="1:3" s="7" customFormat="1" x14ac:dyDescent="0.2">
      <c r="A15306" s="6" t="str">
        <f>"AC006001.2"</f>
        <v>AC006001.2</v>
      </c>
      <c r="B15306" s="6">
        <v>0.79320679320679299</v>
      </c>
      <c r="C15306" s="6">
        <v>0.866117354260034</v>
      </c>
    </row>
    <row r="15307" spans="1:3" s="7" customFormat="1" x14ac:dyDescent="0.2">
      <c r="A15307" s="6" t="str">
        <f>"WASH2P"</f>
        <v>WASH2P</v>
      </c>
      <c r="B15307" s="6">
        <v>0.79320679320679299</v>
      </c>
      <c r="C15307" s="6">
        <v>0.866117354260034</v>
      </c>
    </row>
    <row r="15308" spans="1:3" s="7" customFormat="1" x14ac:dyDescent="0.2">
      <c r="A15308" s="6" t="str">
        <f>"AL590807.1"</f>
        <v>AL590807.1</v>
      </c>
      <c r="B15308" s="6">
        <v>0.79320679320679299</v>
      </c>
      <c r="C15308" s="6">
        <v>0.866117354260034</v>
      </c>
    </row>
    <row r="15309" spans="1:3" s="7" customFormat="1" x14ac:dyDescent="0.2">
      <c r="A15309" s="6" t="str">
        <f>"DARS-AS1"</f>
        <v>DARS-AS1</v>
      </c>
      <c r="B15309" s="6">
        <v>0.79400000000000004</v>
      </c>
      <c r="C15309" s="6">
        <v>0.86692683564149398</v>
      </c>
    </row>
    <row r="15310" spans="1:3" s="7" customFormat="1" x14ac:dyDescent="0.2">
      <c r="A15310" s="6" t="str">
        <f>"SPCS3"</f>
        <v>SPCS3</v>
      </c>
      <c r="B15310" s="6">
        <v>0.79420579420579396</v>
      </c>
      <c r="C15310" s="6">
        <v>0.86698162395373501</v>
      </c>
    </row>
    <row r="15311" spans="1:3" s="7" customFormat="1" x14ac:dyDescent="0.2">
      <c r="A15311" s="6" t="str">
        <f>"RNF216"</f>
        <v>RNF216</v>
      </c>
      <c r="B15311" s="6">
        <v>0.79420579420579396</v>
      </c>
      <c r="C15311" s="6">
        <v>0.86698162395373501</v>
      </c>
    </row>
    <row r="15312" spans="1:3" s="7" customFormat="1" x14ac:dyDescent="0.2">
      <c r="A15312" s="6" t="str">
        <f>"ZMYM2"</f>
        <v>ZMYM2</v>
      </c>
      <c r="B15312" s="6">
        <v>0.79420579420579396</v>
      </c>
      <c r="C15312" s="6">
        <v>0.86698162395373501</v>
      </c>
    </row>
    <row r="15313" spans="1:3" s="7" customFormat="1" x14ac:dyDescent="0.2">
      <c r="A15313" s="6" t="str">
        <f>"ZNF107"</f>
        <v>ZNF107</v>
      </c>
      <c r="B15313" s="6">
        <v>0.79520479520479503</v>
      </c>
      <c r="C15313" s="6">
        <v>0.86750557711983201</v>
      </c>
    </row>
    <row r="15314" spans="1:3" s="7" customFormat="1" x14ac:dyDescent="0.2">
      <c r="A15314" s="6" t="str">
        <f>"AL033543.1"</f>
        <v>AL033543.1</v>
      </c>
      <c r="B15314" s="6">
        <v>0.79515640766902096</v>
      </c>
      <c r="C15314" s="6">
        <v>0.86750557711983201</v>
      </c>
    </row>
    <row r="15315" spans="1:3" s="7" customFormat="1" x14ac:dyDescent="0.2">
      <c r="A15315" s="6" t="str">
        <f>"SYNCRIP"</f>
        <v>SYNCRIP</v>
      </c>
      <c r="B15315" s="6">
        <v>0.79520479520479503</v>
      </c>
      <c r="C15315" s="6">
        <v>0.86750557711983201</v>
      </c>
    </row>
    <row r="15316" spans="1:3" s="7" customFormat="1" x14ac:dyDescent="0.2">
      <c r="A15316" s="6" t="str">
        <f>"DRAM1"</f>
        <v>DRAM1</v>
      </c>
      <c r="B15316" s="6">
        <v>0.79500000000000004</v>
      </c>
      <c r="C15316" s="6">
        <v>0.86750557711983201</v>
      </c>
    </row>
    <row r="15317" spans="1:3" s="7" customFormat="1" x14ac:dyDescent="0.2">
      <c r="A15317" s="6" t="str">
        <f>"MFSD14C"</f>
        <v>MFSD14C</v>
      </c>
      <c r="B15317" s="6">
        <v>0.79520479520479503</v>
      </c>
      <c r="C15317" s="6">
        <v>0.86750557711983201</v>
      </c>
    </row>
    <row r="15318" spans="1:3" s="7" customFormat="1" x14ac:dyDescent="0.2">
      <c r="A15318" s="6" t="str">
        <f>"SLA2"</f>
        <v>SLA2</v>
      </c>
      <c r="B15318" s="6">
        <v>0.79520479520479503</v>
      </c>
      <c r="C15318" s="6">
        <v>0.86750557711983201</v>
      </c>
    </row>
    <row r="15319" spans="1:3" s="7" customFormat="1" x14ac:dyDescent="0.2">
      <c r="A15319" s="6" t="str">
        <f>"GPR161"</f>
        <v>GPR161</v>
      </c>
      <c r="B15319" s="6">
        <v>0.79520479520479503</v>
      </c>
      <c r="C15319" s="6">
        <v>0.86750557711983201</v>
      </c>
    </row>
    <row r="15320" spans="1:3" s="7" customFormat="1" x14ac:dyDescent="0.2">
      <c r="A15320" s="6" t="str">
        <f>"CSTF3-DT"</f>
        <v>CSTF3-DT</v>
      </c>
      <c r="B15320" s="6">
        <v>0.79520479520479503</v>
      </c>
      <c r="C15320" s="6">
        <v>0.86750557711983201</v>
      </c>
    </row>
    <row r="15321" spans="1:3" s="7" customFormat="1" x14ac:dyDescent="0.2">
      <c r="A15321" s="6" t="str">
        <f>"AC139019.1"</f>
        <v>AC139019.1</v>
      </c>
      <c r="B15321" s="6">
        <v>0.79520479520479503</v>
      </c>
      <c r="C15321" s="6">
        <v>0.86750557711983201</v>
      </c>
    </row>
    <row r="15322" spans="1:3" s="7" customFormat="1" x14ac:dyDescent="0.2">
      <c r="A15322" s="6" t="str">
        <f>"LYPD1"</f>
        <v>LYPD1</v>
      </c>
      <c r="B15322" s="6">
        <v>0.79520479520479503</v>
      </c>
      <c r="C15322" s="6">
        <v>0.86750557711983201</v>
      </c>
    </row>
    <row r="15323" spans="1:3" s="7" customFormat="1" x14ac:dyDescent="0.2">
      <c r="A15323" s="6" t="str">
        <f>"TMEM170A"</f>
        <v>TMEM170A</v>
      </c>
      <c r="B15323" s="6">
        <v>0.796203796203796</v>
      </c>
      <c r="C15323" s="6">
        <v>0.86831203508744903</v>
      </c>
    </row>
    <row r="15324" spans="1:3" s="7" customFormat="1" x14ac:dyDescent="0.2">
      <c r="A15324" s="6" t="str">
        <f>"PPP1R1C"</f>
        <v>PPP1R1C</v>
      </c>
      <c r="B15324" s="6">
        <v>0.796203796203796</v>
      </c>
      <c r="C15324" s="6">
        <v>0.86831203508744903</v>
      </c>
    </row>
    <row r="15325" spans="1:3" s="7" customFormat="1" x14ac:dyDescent="0.2">
      <c r="A15325" s="6" t="str">
        <f>"SCUBE1"</f>
        <v>SCUBE1</v>
      </c>
      <c r="B15325" s="6">
        <v>0.796203796203796</v>
      </c>
      <c r="C15325" s="6">
        <v>0.86831203508744903</v>
      </c>
    </row>
    <row r="15326" spans="1:3" s="7" customFormat="1" x14ac:dyDescent="0.2">
      <c r="A15326" s="6" t="str">
        <f>"XKR5"</f>
        <v>XKR5</v>
      </c>
      <c r="B15326" s="6">
        <v>0.796203796203796</v>
      </c>
      <c r="C15326" s="6">
        <v>0.86831203508744903</v>
      </c>
    </row>
    <row r="15327" spans="1:3" s="7" customFormat="1" x14ac:dyDescent="0.2">
      <c r="A15327" s="6" t="str">
        <f>"PSMD7"</f>
        <v>PSMD7</v>
      </c>
      <c r="B15327" s="6">
        <v>0.796203796203796</v>
      </c>
      <c r="C15327" s="6">
        <v>0.86831203508744903</v>
      </c>
    </row>
    <row r="15328" spans="1:3" s="7" customFormat="1" x14ac:dyDescent="0.2">
      <c r="A15328" s="6" t="str">
        <f>"ADAMTS9"</f>
        <v>ADAMTS9</v>
      </c>
      <c r="B15328" s="6">
        <v>0.79720279720279696</v>
      </c>
      <c r="C15328" s="6">
        <v>0.86906128048836095</v>
      </c>
    </row>
    <row r="15329" spans="1:3" s="7" customFormat="1" x14ac:dyDescent="0.2">
      <c r="A15329" s="6" t="str">
        <f>"HHIP-AS1"</f>
        <v>HHIP-AS1</v>
      </c>
      <c r="B15329" s="6">
        <v>0.79720279720279696</v>
      </c>
      <c r="C15329" s="6">
        <v>0.86906128048836095</v>
      </c>
    </row>
    <row r="15330" spans="1:3" s="7" customFormat="1" x14ac:dyDescent="0.2">
      <c r="A15330" s="6" t="str">
        <f>"AC079781.4"</f>
        <v>AC079781.4</v>
      </c>
      <c r="B15330" s="6">
        <v>0.79720279720279696</v>
      </c>
      <c r="C15330" s="6">
        <v>0.86906128048836095</v>
      </c>
    </row>
    <row r="15331" spans="1:3" s="7" customFormat="1" x14ac:dyDescent="0.2">
      <c r="A15331" s="6" t="str">
        <f>"ADAMTS3"</f>
        <v>ADAMTS3</v>
      </c>
      <c r="B15331" s="6">
        <v>0.79720279720279696</v>
      </c>
      <c r="C15331" s="6">
        <v>0.86906128048836095</v>
      </c>
    </row>
    <row r="15332" spans="1:3" s="7" customFormat="1" x14ac:dyDescent="0.2">
      <c r="A15332" s="6" t="str">
        <f>"LINC02572"</f>
        <v>LINC02572</v>
      </c>
      <c r="B15332" s="6">
        <v>0.79720279720279696</v>
      </c>
      <c r="C15332" s="6">
        <v>0.86906128048836095</v>
      </c>
    </row>
    <row r="15333" spans="1:3" s="7" customFormat="1" x14ac:dyDescent="0.2">
      <c r="A15333" s="6" t="str">
        <f>"ZNF778"</f>
        <v>ZNF778</v>
      </c>
      <c r="B15333" s="6">
        <v>0.79720279720279696</v>
      </c>
      <c r="C15333" s="6">
        <v>0.86906128048836095</v>
      </c>
    </row>
    <row r="15334" spans="1:3" s="7" customFormat="1" x14ac:dyDescent="0.2">
      <c r="A15334" s="6" t="str">
        <f>"AC009053.2"</f>
        <v>AC009053.2</v>
      </c>
      <c r="B15334" s="6">
        <v>0.79779779779779703</v>
      </c>
      <c r="C15334" s="6">
        <v>0.86959647791785499</v>
      </c>
    </row>
    <row r="15335" spans="1:3" s="7" customFormat="1" x14ac:dyDescent="0.2">
      <c r="A15335" s="6" t="str">
        <f>"AC024337.2"</f>
        <v>AC024337.2</v>
      </c>
      <c r="B15335" s="6">
        <v>0.79777553083923103</v>
      </c>
      <c r="C15335" s="6">
        <v>0.86959647791785499</v>
      </c>
    </row>
    <row r="15336" spans="1:3" s="7" customFormat="1" x14ac:dyDescent="0.2">
      <c r="A15336" s="6" t="str">
        <f>"AC011591.1"</f>
        <v>AC011591.1</v>
      </c>
      <c r="B15336" s="6">
        <v>0.79800000000000004</v>
      </c>
      <c r="C15336" s="6">
        <v>0.86970344287949897</v>
      </c>
    </row>
    <row r="15337" spans="1:3" s="7" customFormat="1" x14ac:dyDescent="0.2">
      <c r="A15337" s="6" t="str">
        <f>"GSTM1"</f>
        <v>GSTM1</v>
      </c>
      <c r="B15337" s="6">
        <v>0.79796954314720803</v>
      </c>
      <c r="C15337" s="6">
        <v>0.86970344287949897</v>
      </c>
    </row>
    <row r="15338" spans="1:3" s="7" customFormat="1" x14ac:dyDescent="0.2">
      <c r="A15338" s="6" t="str">
        <f>"FCRL6"</f>
        <v>FCRL6</v>
      </c>
      <c r="B15338" s="6">
        <v>0.79820179820179804</v>
      </c>
      <c r="C15338" s="6">
        <v>0.86975323392299697</v>
      </c>
    </row>
    <row r="15339" spans="1:3" s="7" customFormat="1" x14ac:dyDescent="0.2">
      <c r="A15339" s="6" t="str">
        <f>"PRR5"</f>
        <v>PRR5</v>
      </c>
      <c r="B15339" s="6">
        <v>0.79820179820179804</v>
      </c>
      <c r="C15339" s="6">
        <v>0.86975323392299697</v>
      </c>
    </row>
    <row r="15340" spans="1:3" s="7" customFormat="1" x14ac:dyDescent="0.2">
      <c r="A15340" s="6" t="str">
        <f>"OR5A1"</f>
        <v>OR5A1</v>
      </c>
      <c r="B15340" s="6">
        <v>0.79820179820179804</v>
      </c>
      <c r="C15340" s="6">
        <v>0.86975323392299697</v>
      </c>
    </row>
    <row r="15341" spans="1:3" s="7" customFormat="1" x14ac:dyDescent="0.2">
      <c r="A15341" s="6" t="str">
        <f>"AC011379.1"</f>
        <v>AC011379.1</v>
      </c>
      <c r="B15341" s="6">
        <v>0.79920079920079901</v>
      </c>
      <c r="C15341" s="6">
        <v>0.87021773015258297</v>
      </c>
    </row>
    <row r="15342" spans="1:3" s="7" customFormat="1" x14ac:dyDescent="0.2">
      <c r="A15342" s="6" t="str">
        <f>"SMIM26"</f>
        <v>SMIM26</v>
      </c>
      <c r="B15342" s="6">
        <v>0.79920079920079901</v>
      </c>
      <c r="C15342" s="6">
        <v>0.87021773015258297</v>
      </c>
    </row>
    <row r="15343" spans="1:3" s="7" customFormat="1" x14ac:dyDescent="0.2">
      <c r="A15343" s="6" t="str">
        <f>"RNF214"</f>
        <v>RNF214</v>
      </c>
      <c r="B15343" s="6">
        <v>0.79920079920079901</v>
      </c>
      <c r="C15343" s="6">
        <v>0.87021773015258297</v>
      </c>
    </row>
    <row r="15344" spans="1:3" s="7" customFormat="1" x14ac:dyDescent="0.2">
      <c r="A15344" s="6" t="str">
        <f>"AHI1"</f>
        <v>AHI1</v>
      </c>
      <c r="B15344" s="6">
        <v>0.79920079920079901</v>
      </c>
      <c r="C15344" s="6">
        <v>0.87021773015258297</v>
      </c>
    </row>
    <row r="15345" spans="1:3" s="7" customFormat="1" x14ac:dyDescent="0.2">
      <c r="A15345" s="6" t="str">
        <f>"TMEM62"</f>
        <v>TMEM62</v>
      </c>
      <c r="B15345" s="6">
        <v>0.79920079920079901</v>
      </c>
      <c r="C15345" s="6">
        <v>0.87021773015258297</v>
      </c>
    </row>
    <row r="15346" spans="1:3" s="7" customFormat="1" x14ac:dyDescent="0.2">
      <c r="A15346" s="6" t="str">
        <f>"TRPV4"</f>
        <v>TRPV4</v>
      </c>
      <c r="B15346" s="6">
        <v>0.79920079920079901</v>
      </c>
      <c r="C15346" s="6">
        <v>0.87021773015258297</v>
      </c>
    </row>
    <row r="15347" spans="1:3" s="7" customFormat="1" x14ac:dyDescent="0.2">
      <c r="A15347" s="6" t="str">
        <f>"AL121938.1"</f>
        <v>AL121938.1</v>
      </c>
      <c r="B15347" s="6">
        <v>0.79920079920079901</v>
      </c>
      <c r="C15347" s="6">
        <v>0.87021773015258297</v>
      </c>
    </row>
    <row r="15348" spans="1:3" s="7" customFormat="1" x14ac:dyDescent="0.2">
      <c r="A15348" s="6" t="str">
        <f>"SIK1"</f>
        <v>SIK1</v>
      </c>
      <c r="B15348" s="6">
        <v>0.79920079920079901</v>
      </c>
      <c r="C15348" s="6">
        <v>0.87021773015258297</v>
      </c>
    </row>
    <row r="15349" spans="1:3" s="7" customFormat="1" x14ac:dyDescent="0.2">
      <c r="A15349" s="6" t="str">
        <f>"PUM3"</f>
        <v>PUM3</v>
      </c>
      <c r="B15349" s="6">
        <v>0.79920079920079901</v>
      </c>
      <c r="C15349" s="6">
        <v>0.87021773015258297</v>
      </c>
    </row>
    <row r="15350" spans="1:3" s="7" customFormat="1" x14ac:dyDescent="0.2">
      <c r="A15350" s="6" t="str">
        <f>"GTF3C2"</f>
        <v>GTF3C2</v>
      </c>
      <c r="B15350" s="6">
        <v>0.79920079920079901</v>
      </c>
      <c r="C15350" s="6">
        <v>0.87021773015258297</v>
      </c>
    </row>
    <row r="15351" spans="1:3" s="7" customFormat="1" x14ac:dyDescent="0.2">
      <c r="A15351" s="6" t="str">
        <f>"AL390728.4"</f>
        <v>AL390728.4</v>
      </c>
      <c r="B15351" s="6">
        <v>0.79920079920079901</v>
      </c>
      <c r="C15351" s="6">
        <v>0.87021773015258297</v>
      </c>
    </row>
    <row r="15352" spans="1:3" s="7" customFormat="1" x14ac:dyDescent="0.2">
      <c r="A15352" s="6" t="str">
        <f>"TRIM56"</f>
        <v>TRIM56</v>
      </c>
      <c r="B15352" s="6">
        <v>0.8</v>
      </c>
      <c r="C15352" s="6">
        <v>0.87096505994656503</v>
      </c>
    </row>
    <row r="15353" spans="1:3" s="7" customFormat="1" x14ac:dyDescent="0.2">
      <c r="A15353" s="6" t="str">
        <f>"FBXO33"</f>
        <v>FBXO33</v>
      </c>
      <c r="B15353" s="6">
        <v>0.80019980019979997</v>
      </c>
      <c r="C15353" s="6">
        <v>0.87096505994656503</v>
      </c>
    </row>
    <row r="15354" spans="1:3" s="7" customFormat="1" x14ac:dyDescent="0.2">
      <c r="A15354" s="6" t="str">
        <f>"OMD"</f>
        <v>OMD</v>
      </c>
      <c r="B15354" s="6">
        <v>0.80019980019979997</v>
      </c>
      <c r="C15354" s="6">
        <v>0.87096505994656503</v>
      </c>
    </row>
    <row r="15355" spans="1:3" s="7" customFormat="1" x14ac:dyDescent="0.2">
      <c r="A15355" s="6" t="str">
        <f>"AC091181.1"</f>
        <v>AC091181.1</v>
      </c>
      <c r="B15355" s="6">
        <v>0.80019980019979997</v>
      </c>
      <c r="C15355" s="6">
        <v>0.87096505994656503</v>
      </c>
    </row>
    <row r="15356" spans="1:3" s="7" customFormat="1" x14ac:dyDescent="0.2">
      <c r="A15356" s="6" t="str">
        <f>"PREB"</f>
        <v>PREB</v>
      </c>
      <c r="B15356" s="6">
        <v>0.80019980019979997</v>
      </c>
      <c r="C15356" s="6">
        <v>0.87096505994656503</v>
      </c>
    </row>
    <row r="15357" spans="1:3" s="7" customFormat="1" x14ac:dyDescent="0.2">
      <c r="A15357" s="6" t="str">
        <f>"MPND"</f>
        <v>MPND</v>
      </c>
      <c r="B15357" s="6">
        <v>0.80019980019979997</v>
      </c>
      <c r="C15357" s="6">
        <v>0.87096505994656503</v>
      </c>
    </row>
    <row r="15358" spans="1:3" s="7" customFormat="1" x14ac:dyDescent="0.2">
      <c r="A15358" s="6" t="str">
        <f>"AC008537.3"</f>
        <v>AC008537.3</v>
      </c>
      <c r="B15358" s="6">
        <v>0.800401203610832</v>
      </c>
      <c r="C15358" s="6">
        <v>0.87112754555912297</v>
      </c>
    </row>
    <row r="15359" spans="1:3" s="7" customFormat="1" x14ac:dyDescent="0.2">
      <c r="A15359" s="6" t="str">
        <f>"AIMP1"</f>
        <v>AIMP1</v>
      </c>
      <c r="B15359" s="6">
        <v>0.80119880119880105</v>
      </c>
      <c r="C15359" s="6">
        <v>0.87176855434130296</v>
      </c>
    </row>
    <row r="15360" spans="1:3" s="7" customFormat="1" x14ac:dyDescent="0.2">
      <c r="A15360" s="6" t="str">
        <f>"ACTBL2"</f>
        <v>ACTBL2</v>
      </c>
      <c r="B15360" s="6">
        <v>0.80119880119880105</v>
      </c>
      <c r="C15360" s="6">
        <v>0.87176855434130296</v>
      </c>
    </row>
    <row r="15361" spans="1:3" s="7" customFormat="1" x14ac:dyDescent="0.2">
      <c r="A15361" s="6" t="str">
        <f>"RNF32-AS1"</f>
        <v>RNF32-AS1</v>
      </c>
      <c r="B15361" s="6">
        <v>0.80119880119880105</v>
      </c>
      <c r="C15361" s="6">
        <v>0.87176855434130296</v>
      </c>
    </row>
    <row r="15362" spans="1:3" s="7" customFormat="1" x14ac:dyDescent="0.2">
      <c r="A15362" s="6" t="str">
        <f>"SEMA6A"</f>
        <v>SEMA6A</v>
      </c>
      <c r="B15362" s="6">
        <v>0.80119880119880105</v>
      </c>
      <c r="C15362" s="6">
        <v>0.87176855434130296</v>
      </c>
    </row>
    <row r="15363" spans="1:3" s="7" customFormat="1" x14ac:dyDescent="0.2">
      <c r="A15363" s="6" t="str">
        <f>"AL355353.1"</f>
        <v>AL355353.1</v>
      </c>
      <c r="B15363" s="6">
        <v>0.80182926829268297</v>
      </c>
      <c r="C15363" s="6">
        <v>0.87239776007316105</v>
      </c>
    </row>
    <row r="15364" spans="1:3" s="7" customFormat="1" x14ac:dyDescent="0.2">
      <c r="A15364" s="6" t="str">
        <f>"SRSF3"</f>
        <v>SRSF3</v>
      </c>
      <c r="B15364" s="6">
        <v>0.80219780219780201</v>
      </c>
      <c r="C15364" s="6">
        <v>0.87268511233624402</v>
      </c>
    </row>
    <row r="15365" spans="1:3" s="7" customFormat="1" x14ac:dyDescent="0.2">
      <c r="A15365" s="6" t="str">
        <f>"EIF3CL"</f>
        <v>EIF3CL</v>
      </c>
      <c r="B15365" s="6">
        <v>0.80219780219780201</v>
      </c>
      <c r="C15365" s="6">
        <v>0.87268511233624402</v>
      </c>
    </row>
    <row r="15366" spans="1:3" s="7" customFormat="1" x14ac:dyDescent="0.2">
      <c r="A15366" s="6" t="str">
        <f>"ARHGEF6"</f>
        <v>ARHGEF6</v>
      </c>
      <c r="B15366" s="6">
        <v>0.80319680319680298</v>
      </c>
      <c r="C15366" s="6">
        <v>0.87348762890437603</v>
      </c>
    </row>
    <row r="15367" spans="1:3" s="7" customFormat="1" x14ac:dyDescent="0.2">
      <c r="A15367" s="6" t="str">
        <f>"ZNF81"</f>
        <v>ZNF81</v>
      </c>
      <c r="B15367" s="6">
        <v>0.80319680319680298</v>
      </c>
      <c r="C15367" s="6">
        <v>0.87348762890437603</v>
      </c>
    </row>
    <row r="15368" spans="1:3" s="7" customFormat="1" x14ac:dyDescent="0.2">
      <c r="A15368" s="6" t="str">
        <f>"ZNF43"</f>
        <v>ZNF43</v>
      </c>
      <c r="B15368" s="6">
        <v>0.80319680319680298</v>
      </c>
      <c r="C15368" s="6">
        <v>0.87348762890437603</v>
      </c>
    </row>
    <row r="15369" spans="1:3" s="7" customFormat="1" x14ac:dyDescent="0.2">
      <c r="A15369" s="6" t="str">
        <f>"AC211486.3"</f>
        <v>AC211486.3</v>
      </c>
      <c r="B15369" s="6">
        <v>0.80319680319680298</v>
      </c>
      <c r="C15369" s="6">
        <v>0.87348762890437603</v>
      </c>
    </row>
    <row r="15370" spans="1:3" s="7" customFormat="1" x14ac:dyDescent="0.2">
      <c r="A15370" s="6" t="str">
        <f>"HSPA1A"</f>
        <v>HSPA1A</v>
      </c>
      <c r="B15370" s="6">
        <v>0.80319680319680298</v>
      </c>
      <c r="C15370" s="6">
        <v>0.87348762890437603</v>
      </c>
    </row>
    <row r="15371" spans="1:3" s="7" customFormat="1" x14ac:dyDescent="0.2">
      <c r="A15371" s="6" t="str">
        <f>"UBA6"</f>
        <v>UBA6</v>
      </c>
      <c r="B15371" s="6">
        <v>0.80419580419580405</v>
      </c>
      <c r="C15371" s="6">
        <v>0.87406221038682996</v>
      </c>
    </row>
    <row r="15372" spans="1:3" s="7" customFormat="1" x14ac:dyDescent="0.2">
      <c r="A15372" s="6" t="str">
        <f>"AP001531.1"</f>
        <v>AP001531.1</v>
      </c>
      <c r="B15372" s="6">
        <v>0.80396475770925102</v>
      </c>
      <c r="C15372" s="6">
        <v>0.87406221038682996</v>
      </c>
    </row>
    <row r="15373" spans="1:3" s="7" customFormat="1" x14ac:dyDescent="0.2">
      <c r="A15373" s="6" t="str">
        <f>"C1orf116"</f>
        <v>C1orf116</v>
      </c>
      <c r="B15373" s="6">
        <v>0.80419580419580405</v>
      </c>
      <c r="C15373" s="6">
        <v>0.87406221038682996</v>
      </c>
    </row>
    <row r="15374" spans="1:3" s="7" customFormat="1" x14ac:dyDescent="0.2">
      <c r="A15374" s="6" t="str">
        <f>"AL139260.3"</f>
        <v>AL139260.3</v>
      </c>
      <c r="B15374" s="6">
        <v>0.80419580419580405</v>
      </c>
      <c r="C15374" s="6">
        <v>0.87406221038682996</v>
      </c>
    </row>
    <row r="15375" spans="1:3" s="7" customFormat="1" x14ac:dyDescent="0.2">
      <c r="A15375" s="6" t="str">
        <f>"FP671120.4"</f>
        <v>FP671120.4</v>
      </c>
      <c r="B15375" s="6">
        <v>0.80400000000000005</v>
      </c>
      <c r="C15375" s="6">
        <v>0.87406221038682996</v>
      </c>
    </row>
    <row r="15376" spans="1:3" s="7" customFormat="1" x14ac:dyDescent="0.2">
      <c r="A15376" s="6" t="str">
        <f>"AP001273.2"</f>
        <v>AP001273.2</v>
      </c>
      <c r="B15376" s="6">
        <v>0.80419580419580405</v>
      </c>
      <c r="C15376" s="6">
        <v>0.87406221038682996</v>
      </c>
    </row>
    <row r="15377" spans="1:3" s="7" customFormat="1" x14ac:dyDescent="0.2">
      <c r="A15377" s="6" t="str">
        <f>"PAK4"</f>
        <v>PAK4</v>
      </c>
      <c r="B15377" s="6">
        <v>0.80419580419580405</v>
      </c>
      <c r="C15377" s="6">
        <v>0.87406221038682996</v>
      </c>
    </row>
    <row r="15378" spans="1:3" s="7" customFormat="1" x14ac:dyDescent="0.2">
      <c r="A15378" s="6" t="str">
        <f>"AKR7L"</f>
        <v>AKR7L</v>
      </c>
      <c r="B15378" s="6">
        <v>0.80400000000000005</v>
      </c>
      <c r="C15378" s="6">
        <v>0.87406221038682996</v>
      </c>
    </row>
    <row r="15379" spans="1:3" s="7" customFormat="1" x14ac:dyDescent="0.2">
      <c r="A15379" s="6" t="str">
        <f>"PCF11"</f>
        <v>PCF11</v>
      </c>
      <c r="B15379" s="6">
        <v>0.80419580419580405</v>
      </c>
      <c r="C15379" s="6">
        <v>0.87406221038682996</v>
      </c>
    </row>
    <row r="15380" spans="1:3" s="7" customFormat="1" x14ac:dyDescent="0.2">
      <c r="A15380" s="6" t="str">
        <f>"AL139353.2"</f>
        <v>AL139353.2</v>
      </c>
      <c r="B15380" s="6">
        <v>0.80434782608695599</v>
      </c>
      <c r="C15380" s="6">
        <v>0.87417059400594199</v>
      </c>
    </row>
    <row r="15381" spans="1:3" s="7" customFormat="1" x14ac:dyDescent="0.2">
      <c r="A15381" s="6" t="str">
        <f>"AC079341.1"</f>
        <v>AC079341.1</v>
      </c>
      <c r="B15381" s="6">
        <v>0.80460921843687305</v>
      </c>
      <c r="C15381" s="6">
        <v>0.87439782034810798</v>
      </c>
    </row>
    <row r="15382" spans="1:3" s="7" customFormat="1" x14ac:dyDescent="0.2">
      <c r="A15382" s="6" t="str">
        <f>"COPS5"</f>
        <v>COPS5</v>
      </c>
      <c r="B15382" s="6">
        <v>0.80519480519480502</v>
      </c>
      <c r="C15382" s="6">
        <v>0.87463611971313204</v>
      </c>
    </row>
    <row r="15383" spans="1:3" s="7" customFormat="1" x14ac:dyDescent="0.2">
      <c r="A15383" s="6" t="str">
        <f>"AL357556.3"</f>
        <v>AL357556.3</v>
      </c>
      <c r="B15383" s="6">
        <v>0.80519480519480502</v>
      </c>
      <c r="C15383" s="6">
        <v>0.87463611971313204</v>
      </c>
    </row>
    <row r="15384" spans="1:3" s="7" customFormat="1" x14ac:dyDescent="0.2">
      <c r="A15384" s="6" t="str">
        <f>"AC005332.6"</f>
        <v>AC005332.6</v>
      </c>
      <c r="B15384" s="6">
        <v>0.80519480519480502</v>
      </c>
      <c r="C15384" s="6">
        <v>0.87463611971313204</v>
      </c>
    </row>
    <row r="15385" spans="1:3" s="7" customFormat="1" x14ac:dyDescent="0.2">
      <c r="A15385" s="6" t="str">
        <f>"OR1A1"</f>
        <v>OR1A1</v>
      </c>
      <c r="B15385" s="6">
        <v>0.80500000000000005</v>
      </c>
      <c r="C15385" s="6">
        <v>0.87463611971313204</v>
      </c>
    </row>
    <row r="15386" spans="1:3" s="7" customFormat="1" x14ac:dyDescent="0.2">
      <c r="A15386" s="6" t="str">
        <f>"LINC01427"</f>
        <v>LINC01427</v>
      </c>
      <c r="B15386" s="6">
        <v>0.80519480519480502</v>
      </c>
      <c r="C15386" s="6">
        <v>0.87463611971313204</v>
      </c>
    </row>
    <row r="15387" spans="1:3" s="7" customFormat="1" x14ac:dyDescent="0.2">
      <c r="A15387" s="6" t="str">
        <f>"KMO"</f>
        <v>KMO</v>
      </c>
      <c r="B15387" s="6">
        <v>0.80519480519480502</v>
      </c>
      <c r="C15387" s="6">
        <v>0.87463611971313204</v>
      </c>
    </row>
    <row r="15388" spans="1:3" s="7" customFormat="1" x14ac:dyDescent="0.2">
      <c r="A15388" s="6" t="str">
        <f>"MRPL41"</f>
        <v>MRPL41</v>
      </c>
      <c r="B15388" s="6">
        <v>0.80519480519480502</v>
      </c>
      <c r="C15388" s="6">
        <v>0.87463611971313204</v>
      </c>
    </row>
    <row r="15389" spans="1:3" s="7" customFormat="1" x14ac:dyDescent="0.2">
      <c r="A15389" s="6" t="str">
        <f>"CICP27"</f>
        <v>CICP27</v>
      </c>
      <c r="B15389" s="6">
        <v>0.80580580580580496</v>
      </c>
      <c r="C15389" s="6">
        <v>0.87524293204043602</v>
      </c>
    </row>
    <row r="15390" spans="1:3" s="7" customFormat="1" x14ac:dyDescent="0.2">
      <c r="A15390" s="6" t="str">
        <f>"AC024597.1"</f>
        <v>AC024597.1</v>
      </c>
      <c r="B15390" s="6">
        <v>0.80603015075376805</v>
      </c>
      <c r="C15390" s="6">
        <v>0.87532306591680298</v>
      </c>
    </row>
    <row r="15391" spans="1:3" s="7" customFormat="1" x14ac:dyDescent="0.2">
      <c r="A15391" s="6" t="str">
        <f>"KIF26B"</f>
        <v>KIF26B</v>
      </c>
      <c r="B15391" s="6">
        <v>0.80619380619380598</v>
      </c>
      <c r="C15391" s="6">
        <v>0.87532306591680298</v>
      </c>
    </row>
    <row r="15392" spans="1:3" s="7" customFormat="1" x14ac:dyDescent="0.2">
      <c r="A15392" s="6" t="str">
        <f>"COX10"</f>
        <v>COX10</v>
      </c>
      <c r="B15392" s="6">
        <v>0.80619380619380598</v>
      </c>
      <c r="C15392" s="6">
        <v>0.87532306591680298</v>
      </c>
    </row>
    <row r="15393" spans="1:3" s="7" customFormat="1" x14ac:dyDescent="0.2">
      <c r="A15393" s="6" t="str">
        <f>"THOC7"</f>
        <v>THOC7</v>
      </c>
      <c r="B15393" s="6">
        <v>0.80619380619380598</v>
      </c>
      <c r="C15393" s="6">
        <v>0.87532306591680298</v>
      </c>
    </row>
    <row r="15394" spans="1:3" s="7" customFormat="1" x14ac:dyDescent="0.2">
      <c r="A15394" s="6" t="str">
        <f>"MRPL39"</f>
        <v>MRPL39</v>
      </c>
      <c r="B15394" s="6">
        <v>0.80619380619380598</v>
      </c>
      <c r="C15394" s="6">
        <v>0.87532306591680298</v>
      </c>
    </row>
    <row r="15395" spans="1:3" s="7" customFormat="1" x14ac:dyDescent="0.2">
      <c r="A15395" s="6" t="str">
        <f>"HMG20A"</f>
        <v>HMG20A</v>
      </c>
      <c r="B15395" s="6">
        <v>0.80619380619380598</v>
      </c>
      <c r="C15395" s="6">
        <v>0.87532306591680298</v>
      </c>
    </row>
    <row r="15396" spans="1:3" s="7" customFormat="1" x14ac:dyDescent="0.2">
      <c r="A15396" s="6" t="str">
        <f>"TFAP2E-AS1"</f>
        <v>TFAP2E-AS1</v>
      </c>
      <c r="B15396" s="6">
        <v>0.80661322645290501</v>
      </c>
      <c r="C15396" s="6">
        <v>0.87572156329547701</v>
      </c>
    </row>
    <row r="15397" spans="1:3" s="7" customFormat="1" x14ac:dyDescent="0.2">
      <c r="A15397" s="6" t="str">
        <f>"CLEC10A"</f>
        <v>CLEC10A</v>
      </c>
      <c r="B15397" s="6">
        <v>0.80719280719280695</v>
      </c>
      <c r="C15397" s="6">
        <v>0.87612316250539501</v>
      </c>
    </row>
    <row r="15398" spans="1:3" s="7" customFormat="1" x14ac:dyDescent="0.2">
      <c r="A15398" s="6" t="str">
        <f>"PHEX"</f>
        <v>PHEX</v>
      </c>
      <c r="B15398" s="6">
        <v>0.80719280719280695</v>
      </c>
      <c r="C15398" s="6">
        <v>0.87612316250539501</v>
      </c>
    </row>
    <row r="15399" spans="1:3" s="7" customFormat="1" x14ac:dyDescent="0.2">
      <c r="A15399" s="6" t="str">
        <f>"ABRAXAS2"</f>
        <v>ABRAXAS2</v>
      </c>
      <c r="B15399" s="6">
        <v>0.80719280719280695</v>
      </c>
      <c r="C15399" s="6">
        <v>0.87612316250539501</v>
      </c>
    </row>
    <row r="15400" spans="1:3" s="7" customFormat="1" x14ac:dyDescent="0.2">
      <c r="A15400" s="6" t="str">
        <f>"AL050343.2"</f>
        <v>AL050343.2</v>
      </c>
      <c r="B15400" s="6">
        <v>0.80719280719280695</v>
      </c>
      <c r="C15400" s="6">
        <v>0.87612316250539501</v>
      </c>
    </row>
    <row r="15401" spans="1:3" s="7" customFormat="1" x14ac:dyDescent="0.2">
      <c r="A15401" s="6" t="str">
        <f>"AL590666.3"</f>
        <v>AL590666.3</v>
      </c>
      <c r="B15401" s="6">
        <v>0.80749746707193504</v>
      </c>
      <c r="C15401" s="6">
        <v>0.87639692627534505</v>
      </c>
    </row>
    <row r="15402" spans="1:3" s="7" customFormat="1" x14ac:dyDescent="0.2">
      <c r="A15402" s="6" t="str">
        <f>"PKD2L2"</f>
        <v>PKD2L2</v>
      </c>
      <c r="B15402" s="6">
        <v>0.80769230769230704</v>
      </c>
      <c r="C15402" s="6">
        <v>0.87649456114590496</v>
      </c>
    </row>
    <row r="15403" spans="1:3" s="7" customFormat="1" x14ac:dyDescent="0.2">
      <c r="A15403" s="6" t="str">
        <f>"AC091825.3"</f>
        <v>AC091825.3</v>
      </c>
      <c r="B15403" s="6">
        <v>0.80769230769230704</v>
      </c>
      <c r="C15403" s="6">
        <v>0.87649456114590496</v>
      </c>
    </row>
    <row r="15404" spans="1:3" s="7" customFormat="1" x14ac:dyDescent="0.2">
      <c r="A15404" s="6" t="str">
        <f>"FBXL5"</f>
        <v>FBXL5</v>
      </c>
      <c r="B15404" s="6">
        <v>0.80819180819180803</v>
      </c>
      <c r="C15404" s="6">
        <v>0.87680889796948402</v>
      </c>
    </row>
    <row r="15405" spans="1:3" s="7" customFormat="1" x14ac:dyDescent="0.2">
      <c r="A15405" s="6" t="str">
        <f>"PSD"</f>
        <v>PSD</v>
      </c>
      <c r="B15405" s="6">
        <v>0.80819180819180803</v>
      </c>
      <c r="C15405" s="6">
        <v>0.87680889796948402</v>
      </c>
    </row>
    <row r="15406" spans="1:3" s="7" customFormat="1" x14ac:dyDescent="0.2">
      <c r="A15406" s="6" t="str">
        <f>"AC007998.4"</f>
        <v>AC007998.4</v>
      </c>
      <c r="B15406" s="6">
        <v>0.80819180819180803</v>
      </c>
      <c r="C15406" s="6">
        <v>0.87680889796948402</v>
      </c>
    </row>
    <row r="15407" spans="1:3" s="7" customFormat="1" x14ac:dyDescent="0.2">
      <c r="A15407" s="6" t="str">
        <f>"PLOD1"</f>
        <v>PLOD1</v>
      </c>
      <c r="B15407" s="6">
        <v>0.80819180819180803</v>
      </c>
      <c r="C15407" s="6">
        <v>0.87680889796948402</v>
      </c>
    </row>
    <row r="15408" spans="1:3" s="7" customFormat="1" x14ac:dyDescent="0.2">
      <c r="A15408" s="6" t="str">
        <f>"PRRX1"</f>
        <v>PRRX1</v>
      </c>
      <c r="B15408" s="6">
        <v>0.80919080919080899</v>
      </c>
      <c r="C15408" s="6">
        <v>0.87738016119462703</v>
      </c>
    </row>
    <row r="15409" spans="1:3" s="7" customFormat="1" x14ac:dyDescent="0.2">
      <c r="A15409" s="6" t="str">
        <f>"YBX1P1"</f>
        <v>YBX1P1</v>
      </c>
      <c r="B15409" s="6">
        <v>0.80919080919080899</v>
      </c>
      <c r="C15409" s="6">
        <v>0.87738016119462703</v>
      </c>
    </row>
    <row r="15410" spans="1:3" s="7" customFormat="1" x14ac:dyDescent="0.2">
      <c r="A15410" s="6" t="str">
        <f>"LINC01907"</f>
        <v>LINC01907</v>
      </c>
      <c r="B15410" s="6">
        <v>0.80919080919080899</v>
      </c>
      <c r="C15410" s="6">
        <v>0.87738016119462703</v>
      </c>
    </row>
    <row r="15411" spans="1:3" s="7" customFormat="1" x14ac:dyDescent="0.2">
      <c r="A15411" s="6" t="str">
        <f>"SCARNA7"</f>
        <v>SCARNA7</v>
      </c>
      <c r="B15411" s="6">
        <v>0.80919080919080899</v>
      </c>
      <c r="C15411" s="6">
        <v>0.87738016119462703</v>
      </c>
    </row>
    <row r="15412" spans="1:3" s="7" customFormat="1" x14ac:dyDescent="0.2">
      <c r="A15412" s="6" t="str">
        <f>"AC069287.1"</f>
        <v>AC069287.1</v>
      </c>
      <c r="B15412" s="6">
        <v>0.80880880880880801</v>
      </c>
      <c r="C15412" s="6">
        <v>0.87738016119462703</v>
      </c>
    </row>
    <row r="15413" spans="1:3" s="7" customFormat="1" x14ac:dyDescent="0.2">
      <c r="A15413" s="6" t="str">
        <f>"Z83843.1"</f>
        <v>Z83843.1</v>
      </c>
      <c r="B15413" s="6">
        <v>0.80919080919080899</v>
      </c>
      <c r="C15413" s="6">
        <v>0.87738016119462703</v>
      </c>
    </row>
    <row r="15414" spans="1:3" s="7" customFormat="1" x14ac:dyDescent="0.2">
      <c r="A15414" s="6" t="str">
        <f>"AL158071.3"</f>
        <v>AL158071.3</v>
      </c>
      <c r="B15414" s="6">
        <v>0.80919080919080899</v>
      </c>
      <c r="C15414" s="6">
        <v>0.87738016119462703</v>
      </c>
    </row>
    <row r="15415" spans="1:3" s="7" customFormat="1" x14ac:dyDescent="0.2">
      <c r="A15415" s="6" t="str">
        <f>"BICD1"</f>
        <v>BICD1</v>
      </c>
      <c r="B15415" s="6">
        <v>0.80919080919080899</v>
      </c>
      <c r="C15415" s="6">
        <v>0.87738016119462703</v>
      </c>
    </row>
    <row r="15416" spans="1:3" s="7" customFormat="1" x14ac:dyDescent="0.2">
      <c r="A15416" s="6" t="str">
        <f>"TBC1D8B"</f>
        <v>TBC1D8B</v>
      </c>
      <c r="B15416" s="6">
        <v>0.80919080919080899</v>
      </c>
      <c r="C15416" s="6">
        <v>0.87738016119462703</v>
      </c>
    </row>
    <row r="15417" spans="1:3" s="7" customFormat="1" x14ac:dyDescent="0.2">
      <c r="A15417" s="6" t="str">
        <f>"AL358113.1"</f>
        <v>AL358113.1</v>
      </c>
      <c r="B15417" s="6">
        <v>0.81018981018980996</v>
      </c>
      <c r="C15417" s="6">
        <v>0.87840636270838601</v>
      </c>
    </row>
    <row r="15418" spans="1:3" s="7" customFormat="1" x14ac:dyDescent="0.2">
      <c r="A15418" s="6" t="str">
        <f>"AC034229.1"</f>
        <v>AC034229.1</v>
      </c>
      <c r="B15418" s="6">
        <v>0.811055276381909</v>
      </c>
      <c r="C15418" s="6">
        <v>0.87891934333007804</v>
      </c>
    </row>
    <row r="15419" spans="1:3" s="7" customFormat="1" x14ac:dyDescent="0.2">
      <c r="A15419" s="6" t="str">
        <f>"TBRG4"</f>
        <v>TBRG4</v>
      </c>
      <c r="B15419" s="6">
        <v>0.81118881118881103</v>
      </c>
      <c r="C15419" s="6">
        <v>0.87891934333007804</v>
      </c>
    </row>
    <row r="15420" spans="1:3" s="7" customFormat="1" x14ac:dyDescent="0.2">
      <c r="A15420" s="6" t="str">
        <f>"AC008132.1"</f>
        <v>AC008132.1</v>
      </c>
      <c r="B15420" s="6">
        <v>0.81118881118881103</v>
      </c>
      <c r="C15420" s="6">
        <v>0.87891934333007804</v>
      </c>
    </row>
    <row r="15421" spans="1:3" s="7" customFormat="1" x14ac:dyDescent="0.2">
      <c r="A15421" s="6" t="str">
        <f>"METTL7B"</f>
        <v>METTL7B</v>
      </c>
      <c r="B15421" s="6">
        <v>0.81118881118881103</v>
      </c>
      <c r="C15421" s="6">
        <v>0.87891934333007804</v>
      </c>
    </row>
    <row r="15422" spans="1:3" s="7" customFormat="1" x14ac:dyDescent="0.2">
      <c r="A15422" s="6" t="str">
        <f>"AC091965.1"</f>
        <v>AC091965.1</v>
      </c>
      <c r="B15422" s="6">
        <v>0.81118881118881103</v>
      </c>
      <c r="C15422" s="6">
        <v>0.87891934333007804</v>
      </c>
    </row>
    <row r="15423" spans="1:3" s="7" customFormat="1" x14ac:dyDescent="0.2">
      <c r="A15423" s="6" t="str">
        <f>"TNPO1"</f>
        <v>TNPO1</v>
      </c>
      <c r="B15423" s="6">
        <v>0.81118881118881103</v>
      </c>
      <c r="C15423" s="6">
        <v>0.87891934333007804</v>
      </c>
    </row>
    <row r="15424" spans="1:3" s="7" customFormat="1" x14ac:dyDescent="0.2">
      <c r="A15424" s="6" t="str">
        <f>"TNS1-AS1"</f>
        <v>TNS1-AS1</v>
      </c>
      <c r="B15424" s="6">
        <v>0.81100000000000005</v>
      </c>
      <c r="C15424" s="6">
        <v>0.87891934333007804</v>
      </c>
    </row>
    <row r="15425" spans="1:3" s="7" customFormat="1" x14ac:dyDescent="0.2">
      <c r="A15425" s="6" t="str">
        <f>"SURF6"</f>
        <v>SURF6</v>
      </c>
      <c r="B15425" s="6">
        <v>0.81118881118881103</v>
      </c>
      <c r="C15425" s="6">
        <v>0.87891934333007804</v>
      </c>
    </row>
    <row r="15426" spans="1:3" s="7" customFormat="1" x14ac:dyDescent="0.2">
      <c r="A15426" s="6" t="str">
        <f>"ZNHIT3"</f>
        <v>ZNHIT3</v>
      </c>
      <c r="B15426" s="6">
        <v>0.81118881118881103</v>
      </c>
      <c r="C15426" s="6">
        <v>0.87891934333007804</v>
      </c>
    </row>
    <row r="15427" spans="1:3" s="7" customFormat="1" x14ac:dyDescent="0.2">
      <c r="A15427" s="6" t="str">
        <f>"GIMAP1-GIMAP5"</f>
        <v>GIMAP1-GIMAP5</v>
      </c>
      <c r="B15427" s="6">
        <v>0.81118881118881103</v>
      </c>
      <c r="C15427" s="6">
        <v>0.87891934333007804</v>
      </c>
    </row>
    <row r="15428" spans="1:3" s="7" customFormat="1" x14ac:dyDescent="0.2">
      <c r="A15428" s="6" t="str">
        <f>"AL161630.1"</f>
        <v>AL161630.1</v>
      </c>
      <c r="B15428" s="6">
        <v>0.81155015197568303</v>
      </c>
      <c r="C15428" s="6">
        <v>0.879253856233978</v>
      </c>
    </row>
    <row r="15429" spans="1:3" s="7" customFormat="1" x14ac:dyDescent="0.2">
      <c r="A15429" s="6" t="str">
        <f>"NISCH"</f>
        <v>NISCH</v>
      </c>
      <c r="B15429" s="6">
        <v>0.812187812187812</v>
      </c>
      <c r="C15429" s="6">
        <v>0.87971661544339896</v>
      </c>
    </row>
    <row r="15430" spans="1:3" s="7" customFormat="1" x14ac:dyDescent="0.2">
      <c r="A15430" s="6" t="str">
        <f>"AGO4"</f>
        <v>AGO4</v>
      </c>
      <c r="B15430" s="6">
        <v>0.812187812187812</v>
      </c>
      <c r="C15430" s="6">
        <v>0.87971661544339896</v>
      </c>
    </row>
    <row r="15431" spans="1:3" s="7" customFormat="1" x14ac:dyDescent="0.2">
      <c r="A15431" s="6" t="str">
        <f>"SPDL1"</f>
        <v>SPDL1</v>
      </c>
      <c r="B15431" s="6">
        <v>0.812187812187812</v>
      </c>
      <c r="C15431" s="6">
        <v>0.87971661544339896</v>
      </c>
    </row>
    <row r="15432" spans="1:3" s="7" customFormat="1" x14ac:dyDescent="0.2">
      <c r="A15432" s="6" t="str">
        <f>"GOLGA8Q"</f>
        <v>GOLGA8Q</v>
      </c>
      <c r="B15432" s="6">
        <v>0.812187812187812</v>
      </c>
      <c r="C15432" s="6">
        <v>0.87971661544339896</v>
      </c>
    </row>
    <row r="15433" spans="1:3" s="7" customFormat="1" x14ac:dyDescent="0.2">
      <c r="A15433" s="6" t="str">
        <f>"FBXO27"</f>
        <v>FBXO27</v>
      </c>
      <c r="B15433" s="6">
        <v>0.81318681318681296</v>
      </c>
      <c r="C15433" s="6">
        <v>0.88022824918103704</v>
      </c>
    </row>
    <row r="15434" spans="1:3" s="7" customFormat="1" x14ac:dyDescent="0.2">
      <c r="A15434" s="6" t="str">
        <f>"AC114730.1"</f>
        <v>AC114730.1</v>
      </c>
      <c r="B15434" s="6">
        <v>0.81281281281281204</v>
      </c>
      <c r="C15434" s="6">
        <v>0.88022824918103704</v>
      </c>
    </row>
    <row r="15435" spans="1:3" s="7" customFormat="1" x14ac:dyDescent="0.2">
      <c r="A15435" s="6" t="str">
        <f>"SYCE2"</f>
        <v>SYCE2</v>
      </c>
      <c r="B15435" s="6">
        <v>0.81318681318681296</v>
      </c>
      <c r="C15435" s="6">
        <v>0.88022824918103704</v>
      </c>
    </row>
    <row r="15436" spans="1:3" s="7" customFormat="1" x14ac:dyDescent="0.2">
      <c r="A15436" s="6" t="str">
        <f>"TVP23C-CDRT4"</f>
        <v>TVP23C-CDRT4</v>
      </c>
      <c r="B15436" s="6">
        <v>0.81318681318681296</v>
      </c>
      <c r="C15436" s="6">
        <v>0.88022824918103704</v>
      </c>
    </row>
    <row r="15437" spans="1:3" s="7" customFormat="1" x14ac:dyDescent="0.2">
      <c r="A15437" s="6" t="str">
        <f>"LINC02600"</f>
        <v>LINC02600</v>
      </c>
      <c r="B15437" s="6">
        <v>0.81318681318681296</v>
      </c>
      <c r="C15437" s="6">
        <v>0.88022824918103704</v>
      </c>
    </row>
    <row r="15438" spans="1:3" s="7" customFormat="1" x14ac:dyDescent="0.2">
      <c r="A15438" s="6" t="str">
        <f>"DUOXA2"</f>
        <v>DUOXA2</v>
      </c>
      <c r="B15438" s="6">
        <v>0.81318681318681296</v>
      </c>
      <c r="C15438" s="6">
        <v>0.88022824918103704</v>
      </c>
    </row>
    <row r="15439" spans="1:3" s="7" customFormat="1" x14ac:dyDescent="0.2">
      <c r="A15439" s="6" t="str">
        <f>"AL034379.1"</f>
        <v>AL034379.1</v>
      </c>
      <c r="B15439" s="6">
        <v>0.81296493092454802</v>
      </c>
      <c r="C15439" s="6">
        <v>0.88022824918103704</v>
      </c>
    </row>
    <row r="15440" spans="1:3" s="7" customFormat="1" x14ac:dyDescent="0.2">
      <c r="A15440" s="6" t="str">
        <f>"KCTD15"</f>
        <v>KCTD15</v>
      </c>
      <c r="B15440" s="6">
        <v>0.81318681318681296</v>
      </c>
      <c r="C15440" s="6">
        <v>0.88022824918103704</v>
      </c>
    </row>
    <row r="15441" spans="1:3" s="7" customFormat="1" x14ac:dyDescent="0.2">
      <c r="A15441" s="6" t="str">
        <f>"TOMM20L"</f>
        <v>TOMM20L</v>
      </c>
      <c r="B15441" s="6">
        <v>0.81272084805653699</v>
      </c>
      <c r="C15441" s="6">
        <v>0.88022824918103704</v>
      </c>
    </row>
    <row r="15442" spans="1:3" s="7" customFormat="1" x14ac:dyDescent="0.2">
      <c r="A15442" s="6" t="str">
        <f>"LINC01703"</f>
        <v>LINC01703</v>
      </c>
      <c r="B15442" s="6">
        <v>0.81318681318681296</v>
      </c>
      <c r="C15442" s="6">
        <v>0.88022824918103704</v>
      </c>
    </row>
    <row r="15443" spans="1:3" s="7" customFormat="1" x14ac:dyDescent="0.2">
      <c r="A15443" s="6" t="str">
        <f>"CEP85"</f>
        <v>CEP85</v>
      </c>
      <c r="B15443" s="6">
        <v>0.81418581418581404</v>
      </c>
      <c r="C15443" s="6">
        <v>0.88113841610345101</v>
      </c>
    </row>
    <row r="15444" spans="1:3" s="7" customFormat="1" x14ac:dyDescent="0.2">
      <c r="A15444" s="6" t="str">
        <f>"RBM18"</f>
        <v>RBM18</v>
      </c>
      <c r="B15444" s="6">
        <v>0.81418581418581404</v>
      </c>
      <c r="C15444" s="6">
        <v>0.88113841610345101</v>
      </c>
    </row>
    <row r="15445" spans="1:3" s="7" customFormat="1" x14ac:dyDescent="0.2">
      <c r="A15445" s="6" t="str">
        <f>"SUMO2P21"</f>
        <v>SUMO2P21</v>
      </c>
      <c r="B15445" s="6">
        <v>0.81418581418581404</v>
      </c>
      <c r="C15445" s="6">
        <v>0.88113841610345101</v>
      </c>
    </row>
    <row r="15446" spans="1:3" s="7" customFormat="1" x14ac:dyDescent="0.2">
      <c r="A15446" s="6" t="str">
        <f>"GBAP1"</f>
        <v>GBAP1</v>
      </c>
      <c r="B15446" s="6">
        <v>0.815184815184815</v>
      </c>
      <c r="C15446" s="6">
        <v>0.88210533477916597</v>
      </c>
    </row>
    <row r="15447" spans="1:3" s="7" customFormat="1" x14ac:dyDescent="0.2">
      <c r="A15447" s="6" t="str">
        <f>"RBM26"</f>
        <v>RBM26</v>
      </c>
      <c r="B15447" s="6">
        <v>0.815184815184815</v>
      </c>
      <c r="C15447" s="6">
        <v>0.88210533477916597</v>
      </c>
    </row>
    <row r="15448" spans="1:3" s="7" customFormat="1" x14ac:dyDescent="0.2">
      <c r="A15448" s="6" t="str">
        <f>"ZNF503"</f>
        <v>ZNF503</v>
      </c>
      <c r="B15448" s="6">
        <v>0.81618381618381597</v>
      </c>
      <c r="C15448" s="6">
        <v>0.88290054389335904</v>
      </c>
    </row>
    <row r="15449" spans="1:3" s="7" customFormat="1" x14ac:dyDescent="0.2">
      <c r="A15449" s="6" t="str">
        <f>"AP002754.1"</f>
        <v>AP002754.1</v>
      </c>
      <c r="B15449" s="6">
        <v>0.81618381618381597</v>
      </c>
      <c r="C15449" s="6">
        <v>0.88290054389335904</v>
      </c>
    </row>
    <row r="15450" spans="1:3" s="7" customFormat="1" x14ac:dyDescent="0.2">
      <c r="A15450" s="6" t="str">
        <f>"HSD17B1"</f>
        <v>HSD17B1</v>
      </c>
      <c r="B15450" s="6">
        <v>0.81618381618381597</v>
      </c>
      <c r="C15450" s="6">
        <v>0.88290054389335904</v>
      </c>
    </row>
    <row r="15451" spans="1:3" s="7" customFormat="1" x14ac:dyDescent="0.2">
      <c r="A15451" s="6" t="str">
        <f>"ICA1"</f>
        <v>ICA1</v>
      </c>
      <c r="B15451" s="6">
        <v>0.81618381618381597</v>
      </c>
      <c r="C15451" s="6">
        <v>0.88290054389335904</v>
      </c>
    </row>
    <row r="15452" spans="1:3" s="7" customFormat="1" x14ac:dyDescent="0.2">
      <c r="A15452" s="6" t="str">
        <f>"EARS2"</f>
        <v>EARS2</v>
      </c>
      <c r="B15452" s="6">
        <v>0.81618381618381597</v>
      </c>
      <c r="C15452" s="6">
        <v>0.88290054389335904</v>
      </c>
    </row>
    <row r="15453" spans="1:3" s="7" customFormat="1" x14ac:dyDescent="0.2">
      <c r="A15453" s="6" t="str">
        <f>"AL078459.1"</f>
        <v>AL078459.1</v>
      </c>
      <c r="B15453" s="6">
        <v>0.81718281718281705</v>
      </c>
      <c r="C15453" s="6">
        <v>0.88323807594371395</v>
      </c>
    </row>
    <row r="15454" spans="1:3" s="7" customFormat="1" x14ac:dyDescent="0.2">
      <c r="A15454" s="6" t="str">
        <f>"ANKH"</f>
        <v>ANKH</v>
      </c>
      <c r="B15454" s="6">
        <v>0.81718281718281705</v>
      </c>
      <c r="C15454" s="6">
        <v>0.88323807594371395</v>
      </c>
    </row>
    <row r="15455" spans="1:3" s="7" customFormat="1" x14ac:dyDescent="0.2">
      <c r="A15455" s="6" t="str">
        <f>"ARHGAP11B"</f>
        <v>ARHGAP11B</v>
      </c>
      <c r="B15455" s="6">
        <v>0.81718281718281705</v>
      </c>
      <c r="C15455" s="6">
        <v>0.88323807594371395</v>
      </c>
    </row>
    <row r="15456" spans="1:3" s="7" customFormat="1" x14ac:dyDescent="0.2">
      <c r="A15456" s="6" t="str">
        <f>"BUB1B"</f>
        <v>BUB1B</v>
      </c>
      <c r="B15456" s="6">
        <v>0.81718281718281705</v>
      </c>
      <c r="C15456" s="6">
        <v>0.88323807594371395</v>
      </c>
    </row>
    <row r="15457" spans="1:3" s="7" customFormat="1" x14ac:dyDescent="0.2">
      <c r="A15457" s="6" t="str">
        <f>"EPB41L3"</f>
        <v>EPB41L3</v>
      </c>
      <c r="B15457" s="6">
        <v>0.81718281718281705</v>
      </c>
      <c r="C15457" s="6">
        <v>0.88323807594371395</v>
      </c>
    </row>
    <row r="15458" spans="1:3" s="7" customFormat="1" x14ac:dyDescent="0.2">
      <c r="A15458" s="6" t="str">
        <f>"BX537318.2"</f>
        <v>BX537318.2</v>
      </c>
      <c r="B15458" s="6">
        <v>0.81718281718281705</v>
      </c>
      <c r="C15458" s="6">
        <v>0.88323807594371395</v>
      </c>
    </row>
    <row r="15459" spans="1:3" s="7" customFormat="1" x14ac:dyDescent="0.2">
      <c r="A15459" s="6" t="str">
        <f>"PNMA8B"</f>
        <v>PNMA8B</v>
      </c>
      <c r="B15459" s="6">
        <v>0.81718281718281705</v>
      </c>
      <c r="C15459" s="6">
        <v>0.88323807594371395</v>
      </c>
    </row>
    <row r="15460" spans="1:3" s="7" customFormat="1" x14ac:dyDescent="0.2">
      <c r="A15460" s="6" t="str">
        <f>"NHS"</f>
        <v>NHS</v>
      </c>
      <c r="B15460" s="6">
        <v>0.81718281718281705</v>
      </c>
      <c r="C15460" s="6">
        <v>0.88323807594371395</v>
      </c>
    </row>
    <row r="15461" spans="1:3" s="7" customFormat="1" x14ac:dyDescent="0.2">
      <c r="A15461" s="6" t="str">
        <f>"JPX"</f>
        <v>JPX</v>
      </c>
      <c r="B15461" s="6">
        <v>0.81718281718281705</v>
      </c>
      <c r="C15461" s="6">
        <v>0.88323807594371395</v>
      </c>
    </row>
    <row r="15462" spans="1:3" s="7" customFormat="1" x14ac:dyDescent="0.2">
      <c r="A15462" s="6" t="str">
        <f>"NDRG3"</f>
        <v>NDRG3</v>
      </c>
      <c r="B15462" s="6">
        <v>0.81718281718281705</v>
      </c>
      <c r="C15462" s="6">
        <v>0.88323807594371395</v>
      </c>
    </row>
    <row r="15463" spans="1:3" s="7" customFormat="1" x14ac:dyDescent="0.2">
      <c r="A15463" s="6" t="str">
        <f>"PLA2G4C"</f>
        <v>PLA2G4C</v>
      </c>
      <c r="B15463" s="6">
        <v>0.81699999999999995</v>
      </c>
      <c r="C15463" s="6">
        <v>0.88323807594371395</v>
      </c>
    </row>
    <row r="15464" spans="1:3" s="7" customFormat="1" x14ac:dyDescent="0.2">
      <c r="A15464" s="6" t="str">
        <f>"LINC00623"</f>
        <v>LINC00623</v>
      </c>
      <c r="B15464" s="6">
        <v>0.81718281718281705</v>
      </c>
      <c r="C15464" s="6">
        <v>0.88323807594371395</v>
      </c>
    </row>
    <row r="15465" spans="1:3" s="7" customFormat="1" x14ac:dyDescent="0.2">
      <c r="A15465" s="6" t="str">
        <f>"INE1"</f>
        <v>INE1</v>
      </c>
      <c r="B15465" s="6">
        <v>0.81718281718281705</v>
      </c>
      <c r="C15465" s="6">
        <v>0.88323807594371395</v>
      </c>
    </row>
    <row r="15466" spans="1:3" s="7" customFormat="1" x14ac:dyDescent="0.2">
      <c r="A15466" s="6" t="str">
        <f>"AC092645.1"</f>
        <v>AC092645.1</v>
      </c>
      <c r="B15466" s="6">
        <v>0.81734693877551001</v>
      </c>
      <c r="C15466" s="6">
        <v>0.88335834042637396</v>
      </c>
    </row>
    <row r="15467" spans="1:3" s="7" customFormat="1" x14ac:dyDescent="0.2">
      <c r="A15467" s="6" t="str">
        <f>"TIPARP"</f>
        <v>TIPARP</v>
      </c>
      <c r="B15467" s="6">
        <v>0.81818181818181801</v>
      </c>
      <c r="C15467" s="6">
        <v>0.88380345822341499</v>
      </c>
    </row>
    <row r="15468" spans="1:3" s="7" customFormat="1" x14ac:dyDescent="0.2">
      <c r="A15468" s="6" t="str">
        <f>"ADAM12"</f>
        <v>ADAM12</v>
      </c>
      <c r="B15468" s="6">
        <v>0.81818181818181801</v>
      </c>
      <c r="C15468" s="6">
        <v>0.88380345822341499</v>
      </c>
    </row>
    <row r="15469" spans="1:3" s="7" customFormat="1" x14ac:dyDescent="0.2">
      <c r="A15469" s="6" t="str">
        <f>"CENPV"</f>
        <v>CENPV</v>
      </c>
      <c r="B15469" s="6">
        <v>0.81818181818181801</v>
      </c>
      <c r="C15469" s="6">
        <v>0.88380345822341499</v>
      </c>
    </row>
    <row r="15470" spans="1:3" s="7" customFormat="1" x14ac:dyDescent="0.2">
      <c r="A15470" s="6" t="str">
        <f>"RN7SK"</f>
        <v>RN7SK</v>
      </c>
      <c r="B15470" s="6">
        <v>0.81818181818181801</v>
      </c>
      <c r="C15470" s="6">
        <v>0.88380345822341499</v>
      </c>
    </row>
    <row r="15471" spans="1:3" s="7" customFormat="1" x14ac:dyDescent="0.2">
      <c r="A15471" s="6" t="str">
        <f>"CLTCL1"</f>
        <v>CLTCL1</v>
      </c>
      <c r="B15471" s="6">
        <v>0.81818181818181801</v>
      </c>
      <c r="C15471" s="6">
        <v>0.88380345822341499</v>
      </c>
    </row>
    <row r="15472" spans="1:3" s="7" customFormat="1" x14ac:dyDescent="0.2">
      <c r="A15472" s="6" t="str">
        <f>"XKR7"</f>
        <v>XKR7</v>
      </c>
      <c r="B15472" s="6">
        <v>0.81799999999999995</v>
      </c>
      <c r="C15472" s="6">
        <v>0.88380345822341499</v>
      </c>
    </row>
    <row r="15473" spans="1:3" s="7" customFormat="1" x14ac:dyDescent="0.2">
      <c r="A15473" s="6" t="str">
        <f>"GCNT2"</f>
        <v>GCNT2</v>
      </c>
      <c r="B15473" s="6">
        <v>0.81818181818181801</v>
      </c>
      <c r="C15473" s="6">
        <v>0.88380345822341499</v>
      </c>
    </row>
    <row r="15474" spans="1:3" s="7" customFormat="1" x14ac:dyDescent="0.2">
      <c r="A15474" s="6" t="str">
        <f>"UBE4B"</f>
        <v>UBE4B</v>
      </c>
      <c r="B15474" s="6">
        <v>0.81818181818181801</v>
      </c>
      <c r="C15474" s="6">
        <v>0.88380345822341499</v>
      </c>
    </row>
    <row r="15475" spans="1:3" s="7" customFormat="1" x14ac:dyDescent="0.2">
      <c r="A15475" s="6" t="str">
        <f>"FAM168B"</f>
        <v>FAM168B</v>
      </c>
      <c r="B15475" s="6">
        <v>0.81918081918081898</v>
      </c>
      <c r="C15475" s="6">
        <v>0.88413975279531198</v>
      </c>
    </row>
    <row r="15476" spans="1:3" s="7" customFormat="1" x14ac:dyDescent="0.2">
      <c r="A15476" s="6" t="str">
        <f>"AC092720.3"</f>
        <v>AC092720.3</v>
      </c>
      <c r="B15476" s="6">
        <v>0.81918081918081898</v>
      </c>
      <c r="C15476" s="6">
        <v>0.88413975279531198</v>
      </c>
    </row>
    <row r="15477" spans="1:3" s="7" customFormat="1" x14ac:dyDescent="0.2">
      <c r="A15477" s="6" t="str">
        <f>"ESCO1"</f>
        <v>ESCO1</v>
      </c>
      <c r="B15477" s="6">
        <v>0.81918081918081898</v>
      </c>
      <c r="C15477" s="6">
        <v>0.88413975279531198</v>
      </c>
    </row>
    <row r="15478" spans="1:3" s="7" customFormat="1" x14ac:dyDescent="0.2">
      <c r="A15478" s="6" t="str">
        <f>"DBN1"</f>
        <v>DBN1</v>
      </c>
      <c r="B15478" s="6">
        <v>0.81918081918081898</v>
      </c>
      <c r="C15478" s="6">
        <v>0.88413975279531198</v>
      </c>
    </row>
    <row r="15479" spans="1:3" s="7" customFormat="1" x14ac:dyDescent="0.2">
      <c r="A15479" s="6" t="str">
        <f>"UBE2Q2P1"</f>
        <v>UBE2Q2P1</v>
      </c>
      <c r="B15479" s="6">
        <v>0.81918081918081898</v>
      </c>
      <c r="C15479" s="6">
        <v>0.88413975279531198</v>
      </c>
    </row>
    <row r="15480" spans="1:3" s="7" customFormat="1" x14ac:dyDescent="0.2">
      <c r="A15480" s="6" t="str">
        <f>"PPP1R3E"</f>
        <v>PPP1R3E</v>
      </c>
      <c r="B15480" s="6">
        <v>0.81918081918081898</v>
      </c>
      <c r="C15480" s="6">
        <v>0.88413975279531198</v>
      </c>
    </row>
    <row r="15481" spans="1:3" s="7" customFormat="1" x14ac:dyDescent="0.2">
      <c r="A15481" s="6" t="str">
        <f>"AC072026.2"</f>
        <v>AC072026.2</v>
      </c>
      <c r="B15481" s="6">
        <v>0.81918081918081898</v>
      </c>
      <c r="C15481" s="6">
        <v>0.88413975279531198</v>
      </c>
    </row>
    <row r="15482" spans="1:3" s="7" customFormat="1" x14ac:dyDescent="0.2">
      <c r="A15482" s="6" t="str">
        <f>"DKC1"</f>
        <v>DKC1</v>
      </c>
      <c r="B15482" s="6">
        <v>0.81918081918081898</v>
      </c>
      <c r="C15482" s="6">
        <v>0.88413975279531198</v>
      </c>
    </row>
    <row r="15483" spans="1:3" s="7" customFormat="1" x14ac:dyDescent="0.2">
      <c r="A15483" s="6" t="str">
        <f>"LINC00895"</f>
        <v>LINC00895</v>
      </c>
      <c r="B15483" s="6">
        <v>0.81918081918081898</v>
      </c>
      <c r="C15483" s="6">
        <v>0.88413975279531198</v>
      </c>
    </row>
    <row r="15484" spans="1:3" s="7" customFormat="1" x14ac:dyDescent="0.2">
      <c r="A15484" s="6" t="str">
        <f>"HIPK1-AS1"</f>
        <v>HIPK1-AS1</v>
      </c>
      <c r="B15484" s="6">
        <v>0.81918081918081898</v>
      </c>
      <c r="C15484" s="6">
        <v>0.88413975279531198</v>
      </c>
    </row>
    <row r="15485" spans="1:3" s="7" customFormat="1" x14ac:dyDescent="0.2">
      <c r="A15485" s="6" t="str">
        <f>"SNHG16"</f>
        <v>SNHG16</v>
      </c>
      <c r="B15485" s="6">
        <v>0.81918081918081898</v>
      </c>
      <c r="C15485" s="6">
        <v>0.88413975279531198</v>
      </c>
    </row>
    <row r="15486" spans="1:3" s="7" customFormat="1" x14ac:dyDescent="0.2">
      <c r="A15486" s="6" t="str">
        <f>"GPR171"</f>
        <v>GPR171</v>
      </c>
      <c r="B15486" s="6">
        <v>0.81918081918081898</v>
      </c>
      <c r="C15486" s="6">
        <v>0.88413975279531198</v>
      </c>
    </row>
    <row r="15487" spans="1:3" s="7" customFormat="1" x14ac:dyDescent="0.2">
      <c r="A15487" s="6" t="str">
        <f>"NRAD1"</f>
        <v>NRAD1</v>
      </c>
      <c r="B15487" s="6">
        <v>0.81918081918081898</v>
      </c>
      <c r="C15487" s="6">
        <v>0.88413975279531198</v>
      </c>
    </row>
    <row r="15488" spans="1:3" s="7" customFormat="1" x14ac:dyDescent="0.2">
      <c r="A15488" s="6" t="str">
        <f>"HSPBAP1"</f>
        <v>HSPBAP1</v>
      </c>
      <c r="B15488" s="6">
        <v>0.82017982017982005</v>
      </c>
      <c r="C15488" s="6">
        <v>0.88453255352210003</v>
      </c>
    </row>
    <row r="15489" spans="1:3" s="7" customFormat="1" x14ac:dyDescent="0.2">
      <c r="A15489" s="6" t="str">
        <f>"RPL21P75"</f>
        <v>RPL21P75</v>
      </c>
      <c r="B15489" s="6">
        <v>0.82017982017982005</v>
      </c>
      <c r="C15489" s="6">
        <v>0.88453255352210003</v>
      </c>
    </row>
    <row r="15490" spans="1:3" s="7" customFormat="1" x14ac:dyDescent="0.2">
      <c r="A15490" s="6" t="str">
        <f>"ADAM28"</f>
        <v>ADAM28</v>
      </c>
      <c r="B15490" s="6">
        <v>0.82017982017982005</v>
      </c>
      <c r="C15490" s="6">
        <v>0.88453255352210003</v>
      </c>
    </row>
    <row r="15491" spans="1:3" s="7" customFormat="1" x14ac:dyDescent="0.2">
      <c r="A15491" s="6" t="str">
        <f>"AC090825.1"</f>
        <v>AC090825.1</v>
      </c>
      <c r="B15491" s="6">
        <v>0.82</v>
      </c>
      <c r="C15491" s="6">
        <v>0.88453255352210003</v>
      </c>
    </row>
    <row r="15492" spans="1:3" s="7" customFormat="1" x14ac:dyDescent="0.2">
      <c r="A15492" s="6" t="str">
        <f>"ZNF878"</f>
        <v>ZNF878</v>
      </c>
      <c r="B15492" s="6">
        <v>0.819819819819819</v>
      </c>
      <c r="C15492" s="6">
        <v>0.88453255352210003</v>
      </c>
    </row>
    <row r="15493" spans="1:3" s="7" customFormat="1" x14ac:dyDescent="0.2">
      <c r="A15493" s="6" t="str">
        <f>"SLC4A4"</f>
        <v>SLC4A4</v>
      </c>
      <c r="B15493" s="6">
        <v>0.82017982017982005</v>
      </c>
      <c r="C15493" s="6">
        <v>0.88453255352210003</v>
      </c>
    </row>
    <row r="15494" spans="1:3" s="7" customFormat="1" x14ac:dyDescent="0.2">
      <c r="A15494" s="6" t="str">
        <f>"AC073082.1"</f>
        <v>AC073082.1</v>
      </c>
      <c r="B15494" s="6">
        <v>0.82017982017982005</v>
      </c>
      <c r="C15494" s="6">
        <v>0.88453255352210003</v>
      </c>
    </row>
    <row r="15495" spans="1:3" s="7" customFormat="1" x14ac:dyDescent="0.2">
      <c r="A15495" s="6" t="str">
        <f>"SMIM11B"</f>
        <v>SMIM11B</v>
      </c>
      <c r="B15495" s="6">
        <v>0.82017982017982005</v>
      </c>
      <c r="C15495" s="6">
        <v>0.88453255352210003</v>
      </c>
    </row>
    <row r="15496" spans="1:3" s="7" customFormat="1" x14ac:dyDescent="0.2">
      <c r="A15496" s="6" t="str">
        <f>"TBCCD1"</f>
        <v>TBCCD1</v>
      </c>
      <c r="B15496" s="6">
        <v>0.82017982017982005</v>
      </c>
      <c r="C15496" s="6">
        <v>0.88453255352210003</v>
      </c>
    </row>
    <row r="15497" spans="1:3" s="7" customFormat="1" x14ac:dyDescent="0.2">
      <c r="A15497" s="6" t="str">
        <f>"AC092634.3"</f>
        <v>AC092634.3</v>
      </c>
      <c r="B15497" s="6">
        <v>0.82017982017982005</v>
      </c>
      <c r="C15497" s="6">
        <v>0.88453255352210003</v>
      </c>
    </row>
    <row r="15498" spans="1:3" s="7" customFormat="1" x14ac:dyDescent="0.2">
      <c r="A15498" s="6" t="str">
        <f>"CPSF2"</f>
        <v>CPSF2</v>
      </c>
      <c r="B15498" s="6">
        <v>0.82017982017982005</v>
      </c>
      <c r="C15498" s="6">
        <v>0.88453255352210003</v>
      </c>
    </row>
    <row r="15499" spans="1:3" s="7" customFormat="1" x14ac:dyDescent="0.2">
      <c r="A15499" s="6" t="str">
        <f>"ZNF182"</f>
        <v>ZNF182</v>
      </c>
      <c r="B15499" s="6">
        <v>0.82017982017982005</v>
      </c>
      <c r="C15499" s="6">
        <v>0.88453255352210003</v>
      </c>
    </row>
    <row r="15500" spans="1:3" s="7" customFormat="1" x14ac:dyDescent="0.2">
      <c r="A15500" s="6" t="str">
        <f>"AC008972.2"</f>
        <v>AC008972.2</v>
      </c>
      <c r="B15500" s="6">
        <v>0.82072538860103605</v>
      </c>
      <c r="C15500" s="6">
        <v>0.88506381992887995</v>
      </c>
    </row>
    <row r="15501" spans="1:3" s="7" customFormat="1" x14ac:dyDescent="0.2">
      <c r="A15501" s="6" t="str">
        <f>"MXRA8"</f>
        <v>MXRA8</v>
      </c>
      <c r="B15501" s="6">
        <v>0.82117882117882102</v>
      </c>
      <c r="C15501" s="6">
        <v>0.885267209570615</v>
      </c>
    </row>
    <row r="15502" spans="1:3" s="7" customFormat="1" x14ac:dyDescent="0.2">
      <c r="A15502" s="6" t="str">
        <f>"AC015921.1"</f>
        <v>AC015921.1</v>
      </c>
      <c r="B15502" s="6">
        <v>0.82117882117882102</v>
      </c>
      <c r="C15502" s="6">
        <v>0.885267209570615</v>
      </c>
    </row>
    <row r="15503" spans="1:3" s="7" customFormat="1" x14ac:dyDescent="0.2">
      <c r="A15503" s="6" t="str">
        <f>"AC136475.1"</f>
        <v>AC136475.1</v>
      </c>
      <c r="B15503" s="6">
        <v>0.82117882117882102</v>
      </c>
      <c r="C15503" s="6">
        <v>0.885267209570615</v>
      </c>
    </row>
    <row r="15504" spans="1:3" s="7" customFormat="1" x14ac:dyDescent="0.2">
      <c r="A15504" s="6" t="str">
        <f>"AL137058.2"</f>
        <v>AL137058.2</v>
      </c>
      <c r="B15504" s="6">
        <v>0.82117882117882102</v>
      </c>
      <c r="C15504" s="6">
        <v>0.885267209570615</v>
      </c>
    </row>
    <row r="15505" spans="1:3" s="7" customFormat="1" x14ac:dyDescent="0.2">
      <c r="A15505" s="6" t="str">
        <f>"ANKRD42"</f>
        <v>ANKRD42</v>
      </c>
      <c r="B15505" s="6">
        <v>0.82117882117882102</v>
      </c>
      <c r="C15505" s="6">
        <v>0.885267209570615</v>
      </c>
    </row>
    <row r="15506" spans="1:3" s="7" customFormat="1" x14ac:dyDescent="0.2">
      <c r="A15506" s="6" t="str">
        <f>"AL592146.2"</f>
        <v>AL592146.2</v>
      </c>
      <c r="B15506" s="6">
        <v>0.82157258064516103</v>
      </c>
      <c r="C15506" s="6">
        <v>0.885634576775441</v>
      </c>
    </row>
    <row r="15507" spans="1:3" s="7" customFormat="1" x14ac:dyDescent="0.2">
      <c r="A15507" s="6" t="str">
        <f>"AL590560.5"</f>
        <v>AL590560.5</v>
      </c>
      <c r="B15507" s="6">
        <v>0.82182182182182095</v>
      </c>
      <c r="C15507" s="6">
        <v>0.88584611956210002</v>
      </c>
    </row>
    <row r="15508" spans="1:3" s="7" customFormat="1" x14ac:dyDescent="0.2">
      <c r="A15508" s="6" t="str">
        <f>"ELAVL4"</f>
        <v>ELAVL4</v>
      </c>
      <c r="B15508" s="6">
        <v>0.82217782217782198</v>
      </c>
      <c r="C15508" s="6">
        <v>0.88594417638321898</v>
      </c>
    </row>
    <row r="15509" spans="1:3" s="7" customFormat="1" x14ac:dyDescent="0.2">
      <c r="A15509" s="6" t="str">
        <f>"UTP4"</f>
        <v>UTP4</v>
      </c>
      <c r="B15509" s="6">
        <v>0.82217782217782198</v>
      </c>
      <c r="C15509" s="6">
        <v>0.88594417638321898</v>
      </c>
    </row>
    <row r="15510" spans="1:3" s="7" customFormat="1" x14ac:dyDescent="0.2">
      <c r="A15510" s="6" t="str">
        <f>"RPL26L1"</f>
        <v>RPL26L1</v>
      </c>
      <c r="B15510" s="6">
        <v>0.82217782217782198</v>
      </c>
      <c r="C15510" s="6">
        <v>0.88594417638321898</v>
      </c>
    </row>
    <row r="15511" spans="1:3" s="7" customFormat="1" x14ac:dyDescent="0.2">
      <c r="A15511" s="6" t="str">
        <f>"TMEM270"</f>
        <v>TMEM270</v>
      </c>
      <c r="B15511" s="6">
        <v>0.82217782217782198</v>
      </c>
      <c r="C15511" s="6">
        <v>0.88594417638321898</v>
      </c>
    </row>
    <row r="15512" spans="1:3" s="7" customFormat="1" x14ac:dyDescent="0.2">
      <c r="A15512" s="6" t="str">
        <f>"TLK1"</f>
        <v>TLK1</v>
      </c>
      <c r="B15512" s="6">
        <v>0.82217782217782198</v>
      </c>
      <c r="C15512" s="6">
        <v>0.88594417638321898</v>
      </c>
    </row>
    <row r="15513" spans="1:3" s="7" customFormat="1" x14ac:dyDescent="0.2">
      <c r="A15513" s="6" t="str">
        <f>"XPA"</f>
        <v>XPA</v>
      </c>
      <c r="B15513" s="6">
        <v>0.82317682317682295</v>
      </c>
      <c r="C15513" s="6">
        <v>0.88662053245118</v>
      </c>
    </row>
    <row r="15514" spans="1:3" s="7" customFormat="1" x14ac:dyDescent="0.2">
      <c r="A15514" s="6" t="str">
        <f>"FST"</f>
        <v>FST</v>
      </c>
      <c r="B15514" s="6">
        <v>0.82317682317682295</v>
      </c>
      <c r="C15514" s="6">
        <v>0.88662053245118</v>
      </c>
    </row>
    <row r="15515" spans="1:3" s="7" customFormat="1" x14ac:dyDescent="0.2">
      <c r="A15515" s="6" t="str">
        <f>"AL591379.1"</f>
        <v>AL591379.1</v>
      </c>
      <c r="B15515" s="6">
        <v>0.82317682317682295</v>
      </c>
      <c r="C15515" s="6">
        <v>0.88662053245118</v>
      </c>
    </row>
    <row r="15516" spans="1:3" s="7" customFormat="1" x14ac:dyDescent="0.2">
      <c r="A15516" s="6" t="str">
        <f>"NSUN5"</f>
        <v>NSUN5</v>
      </c>
      <c r="B15516" s="6">
        <v>0.82317682317682295</v>
      </c>
      <c r="C15516" s="6">
        <v>0.88662053245118</v>
      </c>
    </row>
    <row r="15517" spans="1:3" s="7" customFormat="1" x14ac:dyDescent="0.2">
      <c r="A15517" s="6" t="str">
        <f>"TAS2R4"</f>
        <v>TAS2R4</v>
      </c>
      <c r="B15517" s="6">
        <v>0.82299999999999995</v>
      </c>
      <c r="C15517" s="6">
        <v>0.88662053245118</v>
      </c>
    </row>
    <row r="15518" spans="1:3" s="7" customFormat="1" x14ac:dyDescent="0.2">
      <c r="A15518" s="6" t="str">
        <f>"DIPK1B"</f>
        <v>DIPK1B</v>
      </c>
      <c r="B15518" s="6">
        <v>0.82317682317682295</v>
      </c>
      <c r="C15518" s="6">
        <v>0.88662053245118</v>
      </c>
    </row>
    <row r="15519" spans="1:3" s="7" customFormat="1" x14ac:dyDescent="0.2">
      <c r="A15519" s="6" t="str">
        <f>"ZNF211"</f>
        <v>ZNF211</v>
      </c>
      <c r="B15519" s="6">
        <v>0.82317682317682295</v>
      </c>
      <c r="C15519" s="6">
        <v>0.88662053245118</v>
      </c>
    </row>
    <row r="15520" spans="1:3" s="7" customFormat="1" x14ac:dyDescent="0.2">
      <c r="A15520" s="6" t="str">
        <f>"AC120498.9"</f>
        <v>AC120498.9</v>
      </c>
      <c r="B15520" s="6">
        <v>0.82366863905325405</v>
      </c>
      <c r="C15520" s="6">
        <v>0.88709308802990405</v>
      </c>
    </row>
    <row r="15521" spans="1:3" s="7" customFormat="1" x14ac:dyDescent="0.2">
      <c r="A15521" s="6" t="str">
        <f>"MAP4K5"</f>
        <v>MAP4K5</v>
      </c>
      <c r="B15521" s="6">
        <v>0.82417582417582402</v>
      </c>
      <c r="C15521" s="6">
        <v>0.88735343502156105</v>
      </c>
    </row>
    <row r="15522" spans="1:3" s="7" customFormat="1" x14ac:dyDescent="0.2">
      <c r="A15522" s="6" t="str">
        <f>"GUSBP15"</f>
        <v>GUSBP15</v>
      </c>
      <c r="B15522" s="6">
        <v>0.82417582417582402</v>
      </c>
      <c r="C15522" s="6">
        <v>0.88735343502156105</v>
      </c>
    </row>
    <row r="15523" spans="1:3" s="7" customFormat="1" x14ac:dyDescent="0.2">
      <c r="A15523" s="6" t="str">
        <f>"CGREF1"</f>
        <v>CGREF1</v>
      </c>
      <c r="B15523" s="6">
        <v>0.82417582417582402</v>
      </c>
      <c r="C15523" s="6">
        <v>0.88735343502156105</v>
      </c>
    </row>
    <row r="15524" spans="1:3" s="7" customFormat="1" x14ac:dyDescent="0.2">
      <c r="A15524" s="6" t="str">
        <f>"TMPOP2"</f>
        <v>TMPOP2</v>
      </c>
      <c r="B15524" s="6">
        <v>0.82399999999999995</v>
      </c>
      <c r="C15524" s="6">
        <v>0.88735343502156105</v>
      </c>
    </row>
    <row r="15525" spans="1:3" s="7" customFormat="1" x14ac:dyDescent="0.2">
      <c r="A15525" s="6" t="str">
        <f>"SNX16"</f>
        <v>SNX16</v>
      </c>
      <c r="B15525" s="6">
        <v>0.82417582417582402</v>
      </c>
      <c r="C15525" s="6">
        <v>0.88735343502156105</v>
      </c>
    </row>
    <row r="15526" spans="1:3" s="7" customFormat="1" x14ac:dyDescent="0.2">
      <c r="A15526" s="6" t="str">
        <f>"SLC35B1"</f>
        <v>SLC35B1</v>
      </c>
      <c r="B15526" s="6">
        <v>0.82499999999999996</v>
      </c>
      <c r="C15526" s="6">
        <v>0.88818357487922694</v>
      </c>
    </row>
    <row r="15527" spans="1:3" s="7" customFormat="1" x14ac:dyDescent="0.2">
      <c r="A15527" s="6" t="str">
        <f>"SAPCD1-AS1"</f>
        <v>SAPCD1-AS1</v>
      </c>
      <c r="B15527" s="6">
        <v>0.82517482517482499</v>
      </c>
      <c r="C15527" s="6">
        <v>0.888200156360898</v>
      </c>
    </row>
    <row r="15528" spans="1:3" s="7" customFormat="1" x14ac:dyDescent="0.2">
      <c r="A15528" s="6" t="str">
        <f>"EIF2B1"</f>
        <v>EIF2B1</v>
      </c>
      <c r="B15528" s="6">
        <v>0.82517482517482499</v>
      </c>
      <c r="C15528" s="6">
        <v>0.888200156360898</v>
      </c>
    </row>
    <row r="15529" spans="1:3" s="7" customFormat="1" x14ac:dyDescent="0.2">
      <c r="A15529" s="6" t="str">
        <f>"HMBS"</f>
        <v>HMBS</v>
      </c>
      <c r="B15529" s="6">
        <v>0.82517482517482499</v>
      </c>
      <c r="C15529" s="6">
        <v>0.888200156360898</v>
      </c>
    </row>
    <row r="15530" spans="1:3" s="7" customFormat="1" x14ac:dyDescent="0.2">
      <c r="A15530" s="6" t="str">
        <f>"AP003717.4"</f>
        <v>AP003717.4</v>
      </c>
      <c r="B15530" s="6">
        <v>0.82547642928786302</v>
      </c>
      <c r="C15530" s="6">
        <v>0.88846757931079601</v>
      </c>
    </row>
    <row r="15531" spans="1:3" s="7" customFormat="1" x14ac:dyDescent="0.2">
      <c r="A15531" s="6" t="str">
        <f>"PFDN2"</f>
        <v>PFDN2</v>
      </c>
      <c r="B15531" s="6">
        <v>0.82617382617382595</v>
      </c>
      <c r="C15531" s="6">
        <v>0.88864594444103995</v>
      </c>
    </row>
    <row r="15532" spans="1:3" s="7" customFormat="1" x14ac:dyDescent="0.2">
      <c r="A15532" s="6" t="str">
        <f>"RFWD3"</f>
        <v>RFWD3</v>
      </c>
      <c r="B15532" s="6">
        <v>0.82617382617382595</v>
      </c>
      <c r="C15532" s="6">
        <v>0.88864594444103995</v>
      </c>
    </row>
    <row r="15533" spans="1:3" s="7" customFormat="1" x14ac:dyDescent="0.2">
      <c r="A15533" s="6" t="str">
        <f>"ANKEF1"</f>
        <v>ANKEF1</v>
      </c>
      <c r="B15533" s="6">
        <v>0.82617382617382595</v>
      </c>
      <c r="C15533" s="6">
        <v>0.88864594444103995</v>
      </c>
    </row>
    <row r="15534" spans="1:3" s="7" customFormat="1" x14ac:dyDescent="0.2">
      <c r="A15534" s="6" t="str">
        <f>"FAM156B"</f>
        <v>FAM156B</v>
      </c>
      <c r="B15534" s="6">
        <v>0.82617382617382595</v>
      </c>
      <c r="C15534" s="6">
        <v>0.88864594444103995</v>
      </c>
    </row>
    <row r="15535" spans="1:3" s="7" customFormat="1" x14ac:dyDescent="0.2">
      <c r="A15535" s="6" t="str">
        <f>"UBOX5"</f>
        <v>UBOX5</v>
      </c>
      <c r="B15535" s="6">
        <v>0.82617382617382595</v>
      </c>
      <c r="C15535" s="6">
        <v>0.88864594444103995</v>
      </c>
    </row>
    <row r="15536" spans="1:3" s="7" customFormat="1" x14ac:dyDescent="0.2">
      <c r="A15536" s="6" t="str">
        <f>"RPL23AP47"</f>
        <v>RPL23AP47</v>
      </c>
      <c r="B15536" s="6">
        <v>0.82599999999999996</v>
      </c>
      <c r="C15536" s="6">
        <v>0.88864594444103995</v>
      </c>
    </row>
    <row r="15537" spans="1:3" s="7" customFormat="1" x14ac:dyDescent="0.2">
      <c r="A15537" s="6" t="str">
        <f>"AC104109.3"</f>
        <v>AC104109.3</v>
      </c>
      <c r="B15537" s="6">
        <v>0.82617382617382595</v>
      </c>
      <c r="C15537" s="6">
        <v>0.88864594444103995</v>
      </c>
    </row>
    <row r="15538" spans="1:3" s="7" customFormat="1" x14ac:dyDescent="0.2">
      <c r="A15538" s="6" t="str">
        <f>"LINC00668"</f>
        <v>LINC00668</v>
      </c>
      <c r="B15538" s="6">
        <v>0.82617382617382595</v>
      </c>
      <c r="C15538" s="6">
        <v>0.88864594444103995</v>
      </c>
    </row>
    <row r="15539" spans="1:3" s="7" customFormat="1" x14ac:dyDescent="0.2">
      <c r="A15539" s="6" t="str">
        <f>"AL033523.1"</f>
        <v>AL033523.1</v>
      </c>
      <c r="B15539" s="6">
        <v>0.82617382617382595</v>
      </c>
      <c r="C15539" s="6">
        <v>0.88864594444103995</v>
      </c>
    </row>
    <row r="15540" spans="1:3" s="7" customFormat="1" x14ac:dyDescent="0.2">
      <c r="A15540" s="6" t="str">
        <f>"FTX"</f>
        <v>FTX</v>
      </c>
      <c r="B15540" s="6">
        <v>0.82617382617382595</v>
      </c>
      <c r="C15540" s="6">
        <v>0.88864594444103995</v>
      </c>
    </row>
    <row r="15541" spans="1:3" s="7" customFormat="1" x14ac:dyDescent="0.2">
      <c r="A15541" s="6" t="str">
        <f>"GBA3"</f>
        <v>GBA3</v>
      </c>
      <c r="B15541" s="6">
        <v>0.82717282717282703</v>
      </c>
      <c r="C15541" s="6">
        <v>0.88937707516028497</v>
      </c>
    </row>
    <row r="15542" spans="1:3" s="7" customFormat="1" x14ac:dyDescent="0.2">
      <c r="A15542" s="6" t="str">
        <f>"GET4"</f>
        <v>GET4</v>
      </c>
      <c r="B15542" s="6">
        <v>0.82717282717282703</v>
      </c>
      <c r="C15542" s="6">
        <v>0.88937707516028497</v>
      </c>
    </row>
    <row r="15543" spans="1:3" s="7" customFormat="1" x14ac:dyDescent="0.2">
      <c r="A15543" s="6" t="str">
        <f>"SLFN12"</f>
        <v>SLFN12</v>
      </c>
      <c r="B15543" s="6">
        <v>0.82717282717282703</v>
      </c>
      <c r="C15543" s="6">
        <v>0.88937707516028497</v>
      </c>
    </row>
    <row r="15544" spans="1:3" s="7" customFormat="1" x14ac:dyDescent="0.2">
      <c r="A15544" s="6" t="str">
        <f>"POGLUT2"</f>
        <v>POGLUT2</v>
      </c>
      <c r="B15544" s="6">
        <v>0.82699999999999996</v>
      </c>
      <c r="C15544" s="6">
        <v>0.88937707516028497</v>
      </c>
    </row>
    <row r="15545" spans="1:3" s="7" customFormat="1" x14ac:dyDescent="0.2">
      <c r="A15545" s="6" t="str">
        <f>"TCAF1P1"</f>
        <v>TCAF1P1</v>
      </c>
      <c r="B15545" s="6">
        <v>0.82717282717282703</v>
      </c>
      <c r="C15545" s="6">
        <v>0.88937707516028497</v>
      </c>
    </row>
    <row r="15546" spans="1:3" s="7" customFormat="1" x14ac:dyDescent="0.2">
      <c r="A15546" s="6" t="str">
        <f>"AL137100.3"</f>
        <v>AL137100.3</v>
      </c>
      <c r="B15546" s="6">
        <v>0.82717282717282703</v>
      </c>
      <c r="C15546" s="6">
        <v>0.88937707516028497</v>
      </c>
    </row>
    <row r="15547" spans="1:3" s="7" customFormat="1" x14ac:dyDescent="0.2">
      <c r="A15547" s="6" t="str">
        <f>"AL096701.4"</f>
        <v>AL096701.4</v>
      </c>
      <c r="B15547" s="6">
        <v>0.82730923694779102</v>
      </c>
      <c r="C15547" s="6">
        <v>0.88946652427282702</v>
      </c>
    </row>
    <row r="15548" spans="1:3" s="7" customFormat="1" x14ac:dyDescent="0.2">
      <c r="A15548" s="6" t="str">
        <f>"SDHAF2"</f>
        <v>SDHAF2</v>
      </c>
      <c r="B15548" s="6">
        <v>0.828171828171828</v>
      </c>
      <c r="C15548" s="6">
        <v>0.88970715619385099</v>
      </c>
    </row>
    <row r="15549" spans="1:3" s="7" customFormat="1" x14ac:dyDescent="0.2">
      <c r="A15549" s="6" t="str">
        <f>"IGHV1-3"</f>
        <v>IGHV1-3</v>
      </c>
      <c r="B15549" s="6">
        <v>0.82782782782782705</v>
      </c>
      <c r="C15549" s="6">
        <v>0.88970715619385099</v>
      </c>
    </row>
    <row r="15550" spans="1:3" s="7" customFormat="1" x14ac:dyDescent="0.2">
      <c r="A15550" s="6" t="str">
        <f>"GID4"</f>
        <v>GID4</v>
      </c>
      <c r="B15550" s="6">
        <v>0.828171828171828</v>
      </c>
      <c r="C15550" s="6">
        <v>0.88970715619385099</v>
      </c>
    </row>
    <row r="15551" spans="1:3" s="7" customFormat="1" x14ac:dyDescent="0.2">
      <c r="A15551" s="6" t="str">
        <f>"RPL12P16"</f>
        <v>RPL12P16</v>
      </c>
      <c r="B15551" s="6">
        <v>0.828171828171828</v>
      </c>
      <c r="C15551" s="6">
        <v>0.88970715619385099</v>
      </c>
    </row>
    <row r="15552" spans="1:3" s="7" customFormat="1" x14ac:dyDescent="0.2">
      <c r="A15552" s="6" t="str">
        <f>"CALD1"</f>
        <v>CALD1</v>
      </c>
      <c r="B15552" s="6">
        <v>0.828171828171828</v>
      </c>
      <c r="C15552" s="6">
        <v>0.88970715619385099</v>
      </c>
    </row>
    <row r="15553" spans="1:3" s="7" customFormat="1" x14ac:dyDescent="0.2">
      <c r="A15553" s="6" t="str">
        <f>"MAPK6"</f>
        <v>MAPK6</v>
      </c>
      <c r="B15553" s="6">
        <v>0.828171828171828</v>
      </c>
      <c r="C15553" s="6">
        <v>0.88970715619385099</v>
      </c>
    </row>
    <row r="15554" spans="1:3" s="7" customFormat="1" x14ac:dyDescent="0.2">
      <c r="A15554" s="6" t="str">
        <f>"PAPLN"</f>
        <v>PAPLN</v>
      </c>
      <c r="B15554" s="6">
        <v>0.828171828171828</v>
      </c>
      <c r="C15554" s="6">
        <v>0.88970715619385099</v>
      </c>
    </row>
    <row r="15555" spans="1:3" s="7" customFormat="1" x14ac:dyDescent="0.2">
      <c r="A15555" s="6" t="str">
        <f>"SLC12A2"</f>
        <v>SLC12A2</v>
      </c>
      <c r="B15555" s="6">
        <v>0.828171828171828</v>
      </c>
      <c r="C15555" s="6">
        <v>0.88970715619385099</v>
      </c>
    </row>
    <row r="15556" spans="1:3" s="7" customFormat="1" x14ac:dyDescent="0.2">
      <c r="A15556" s="6" t="str">
        <f>"CFAP300"</f>
        <v>CFAP300</v>
      </c>
      <c r="B15556" s="6">
        <v>0.828171828171828</v>
      </c>
      <c r="C15556" s="6">
        <v>0.88970715619385099</v>
      </c>
    </row>
    <row r="15557" spans="1:3" s="7" customFormat="1" x14ac:dyDescent="0.2">
      <c r="A15557" s="6" t="str">
        <f>"AC040162.1"</f>
        <v>AC040162.1</v>
      </c>
      <c r="B15557" s="6">
        <v>0.828171828171828</v>
      </c>
      <c r="C15557" s="6">
        <v>0.88970715619385099</v>
      </c>
    </row>
    <row r="15558" spans="1:3" s="7" customFormat="1" x14ac:dyDescent="0.2">
      <c r="A15558" s="6" t="str">
        <f>"AC078881.1"</f>
        <v>AC078881.1</v>
      </c>
      <c r="B15558" s="6">
        <v>0.828171828171828</v>
      </c>
      <c r="C15558" s="6">
        <v>0.88970715619385099</v>
      </c>
    </row>
    <row r="15559" spans="1:3" s="7" customFormat="1" x14ac:dyDescent="0.2">
      <c r="A15559" s="6" t="str">
        <f>"AKR1C1"</f>
        <v>AKR1C1</v>
      </c>
      <c r="B15559" s="6">
        <v>0.828171828171828</v>
      </c>
      <c r="C15559" s="6">
        <v>0.88970715619385099</v>
      </c>
    </row>
    <row r="15560" spans="1:3" s="7" customFormat="1" x14ac:dyDescent="0.2">
      <c r="A15560" s="6" t="str">
        <f>"DPYSL2"</f>
        <v>DPYSL2</v>
      </c>
      <c r="B15560" s="6">
        <v>0.82917082917082896</v>
      </c>
      <c r="C15560" s="6">
        <v>0.89020819878990398</v>
      </c>
    </row>
    <row r="15561" spans="1:3" s="7" customFormat="1" x14ac:dyDescent="0.2">
      <c r="A15561" s="6" t="str">
        <f>"DUXAP9"</f>
        <v>DUXAP9</v>
      </c>
      <c r="B15561" s="6">
        <v>0.82917082917082896</v>
      </c>
      <c r="C15561" s="6">
        <v>0.89020819878990398</v>
      </c>
    </row>
    <row r="15562" spans="1:3" s="7" customFormat="1" x14ac:dyDescent="0.2">
      <c r="A15562" s="6" t="str">
        <f>"PDPR"</f>
        <v>PDPR</v>
      </c>
      <c r="B15562" s="6">
        <v>0.82917082917082896</v>
      </c>
      <c r="C15562" s="6">
        <v>0.89020819878990398</v>
      </c>
    </row>
    <row r="15563" spans="1:3" s="7" customFormat="1" x14ac:dyDescent="0.2">
      <c r="A15563" s="6" t="str">
        <f>"MAPK9"</f>
        <v>MAPK9</v>
      </c>
      <c r="B15563" s="6">
        <v>0.82917082917082896</v>
      </c>
      <c r="C15563" s="6">
        <v>0.89020819878990398</v>
      </c>
    </row>
    <row r="15564" spans="1:3" s="7" customFormat="1" x14ac:dyDescent="0.2">
      <c r="A15564" s="6" t="str">
        <f>"PRELID2"</f>
        <v>PRELID2</v>
      </c>
      <c r="B15564" s="6">
        <v>0.82917082917082896</v>
      </c>
      <c r="C15564" s="6">
        <v>0.89020819878990398</v>
      </c>
    </row>
    <row r="15565" spans="1:3" s="7" customFormat="1" x14ac:dyDescent="0.2">
      <c r="A15565" s="6" t="str">
        <f>"AP001160.1"</f>
        <v>AP001160.1</v>
      </c>
      <c r="B15565" s="6">
        <v>0.82917082917082896</v>
      </c>
      <c r="C15565" s="6">
        <v>0.89020819878990398</v>
      </c>
    </row>
    <row r="15566" spans="1:3" s="7" customFormat="1" x14ac:dyDescent="0.2">
      <c r="A15566" s="6" t="str">
        <f>"AF131216.4"</f>
        <v>AF131216.4</v>
      </c>
      <c r="B15566" s="6">
        <v>0.82900432900432897</v>
      </c>
      <c r="C15566" s="6">
        <v>0.89020819878990398</v>
      </c>
    </row>
    <row r="15567" spans="1:3" s="7" customFormat="1" x14ac:dyDescent="0.2">
      <c r="A15567" s="6" t="str">
        <f>"AL358472.4"</f>
        <v>AL358472.4</v>
      </c>
      <c r="B15567" s="6">
        <v>0.82902137232845896</v>
      </c>
      <c r="C15567" s="6">
        <v>0.89020819878990398</v>
      </c>
    </row>
    <row r="15568" spans="1:3" s="7" customFormat="1" x14ac:dyDescent="0.2">
      <c r="A15568" s="6" t="str">
        <f>"AC073648.5"</f>
        <v>AC073648.5</v>
      </c>
      <c r="B15568" s="6">
        <v>0.82917082917082896</v>
      </c>
      <c r="C15568" s="6">
        <v>0.89020819878990398</v>
      </c>
    </row>
    <row r="15569" spans="1:3" s="7" customFormat="1" x14ac:dyDescent="0.2">
      <c r="A15569" s="6" t="str">
        <f>"PIGM"</f>
        <v>PIGM</v>
      </c>
      <c r="B15569" s="6">
        <v>0.82917082917082896</v>
      </c>
      <c r="C15569" s="6">
        <v>0.89020819878990398</v>
      </c>
    </row>
    <row r="15570" spans="1:3" s="7" customFormat="1" x14ac:dyDescent="0.2">
      <c r="A15570" s="6" t="str">
        <f>"AC114980.1"</f>
        <v>AC114980.1</v>
      </c>
      <c r="B15570" s="6">
        <v>0.82961460446247404</v>
      </c>
      <c r="C15570" s="6">
        <v>0.89062743265372202</v>
      </c>
    </row>
    <row r="15571" spans="1:3" s="7" customFormat="1" x14ac:dyDescent="0.2">
      <c r="A15571" s="6" t="str">
        <f>"OR7E7P"</f>
        <v>OR7E7P</v>
      </c>
      <c r="B15571" s="6">
        <v>0.83</v>
      </c>
      <c r="C15571" s="6">
        <v>0.89098394348105303</v>
      </c>
    </row>
    <row r="15572" spans="1:3" s="7" customFormat="1" x14ac:dyDescent="0.2">
      <c r="A15572" s="6" t="str">
        <f>"TMEM43"</f>
        <v>TMEM43</v>
      </c>
      <c r="B15572" s="6">
        <v>0.83016983016983004</v>
      </c>
      <c r="C15572" s="6">
        <v>0.89099457660428505</v>
      </c>
    </row>
    <row r="15573" spans="1:3" s="7" customFormat="1" x14ac:dyDescent="0.2">
      <c r="A15573" s="6" t="str">
        <f>"SLC35B4"</f>
        <v>SLC35B4</v>
      </c>
      <c r="B15573" s="6">
        <v>0.83016983016983004</v>
      </c>
      <c r="C15573" s="6">
        <v>0.89099457660428505</v>
      </c>
    </row>
    <row r="15574" spans="1:3" s="7" customFormat="1" x14ac:dyDescent="0.2">
      <c r="A15574" s="6" t="str">
        <f>"AC027020.2"</f>
        <v>AC027020.2</v>
      </c>
      <c r="B15574" s="6">
        <v>0.83016983016983004</v>
      </c>
      <c r="C15574" s="6">
        <v>0.89099457660428505</v>
      </c>
    </row>
    <row r="15575" spans="1:3" s="7" customFormat="1" x14ac:dyDescent="0.2">
      <c r="A15575" s="6" t="str">
        <f>"C17orf107"</f>
        <v>C17orf107</v>
      </c>
      <c r="B15575" s="6">
        <v>0.831168831168831</v>
      </c>
      <c r="C15575" s="6">
        <v>0.89126553179931001</v>
      </c>
    </row>
    <row r="15576" spans="1:3" s="7" customFormat="1" x14ac:dyDescent="0.2">
      <c r="A15576" s="6" t="str">
        <f>"DUSP23"</f>
        <v>DUSP23</v>
      </c>
      <c r="B15576" s="6">
        <v>0.831168831168831</v>
      </c>
      <c r="C15576" s="6">
        <v>0.89126553179931001</v>
      </c>
    </row>
    <row r="15577" spans="1:3" s="7" customFormat="1" x14ac:dyDescent="0.2">
      <c r="A15577" s="6" t="str">
        <f>"AL359636.2"</f>
        <v>AL359636.2</v>
      </c>
      <c r="B15577" s="6">
        <v>0.831168831168831</v>
      </c>
      <c r="C15577" s="6">
        <v>0.89126553179931001</v>
      </c>
    </row>
    <row r="15578" spans="1:3" s="7" customFormat="1" x14ac:dyDescent="0.2">
      <c r="A15578" s="6" t="str">
        <f>"SFTPD-AS1"</f>
        <v>SFTPD-AS1</v>
      </c>
      <c r="B15578" s="6">
        <v>0.83083083083082998</v>
      </c>
      <c r="C15578" s="6">
        <v>0.89126553179931001</v>
      </c>
    </row>
    <row r="15579" spans="1:3" s="7" customFormat="1" x14ac:dyDescent="0.2">
      <c r="A15579" s="6" t="str">
        <f>"ZNF843"</f>
        <v>ZNF843</v>
      </c>
      <c r="B15579" s="6">
        <v>0.831168831168831</v>
      </c>
      <c r="C15579" s="6">
        <v>0.89126553179931001</v>
      </c>
    </row>
    <row r="15580" spans="1:3" s="7" customFormat="1" x14ac:dyDescent="0.2">
      <c r="A15580" s="6" t="str">
        <f>"ZNF45"</f>
        <v>ZNF45</v>
      </c>
      <c r="B15580" s="6">
        <v>0.831168831168831</v>
      </c>
      <c r="C15580" s="6">
        <v>0.89126553179931001</v>
      </c>
    </row>
    <row r="15581" spans="1:3" s="7" customFormat="1" x14ac:dyDescent="0.2">
      <c r="A15581" s="6" t="str">
        <f>"SCHIP1"</f>
        <v>SCHIP1</v>
      </c>
      <c r="B15581" s="6">
        <v>0.831168831168831</v>
      </c>
      <c r="C15581" s="6">
        <v>0.89126553179931001</v>
      </c>
    </row>
    <row r="15582" spans="1:3" s="7" customFormat="1" x14ac:dyDescent="0.2">
      <c r="A15582" s="6" t="str">
        <f>"AC024940.5"</f>
        <v>AC024940.5</v>
      </c>
      <c r="B15582" s="6">
        <v>0.831168831168831</v>
      </c>
      <c r="C15582" s="6">
        <v>0.89126553179931001</v>
      </c>
    </row>
    <row r="15583" spans="1:3" s="7" customFormat="1" x14ac:dyDescent="0.2">
      <c r="A15583" s="6" t="str">
        <f>"AC090970.2"</f>
        <v>AC090970.2</v>
      </c>
      <c r="B15583" s="6">
        <v>0.831168831168831</v>
      </c>
      <c r="C15583" s="6">
        <v>0.89126553179931001</v>
      </c>
    </row>
    <row r="15584" spans="1:3" s="7" customFormat="1" x14ac:dyDescent="0.2">
      <c r="A15584" s="6" t="str">
        <f>"CDHR5"</f>
        <v>CDHR5</v>
      </c>
      <c r="B15584" s="6">
        <v>0.831168831168831</v>
      </c>
      <c r="C15584" s="6">
        <v>0.89126553179931001</v>
      </c>
    </row>
    <row r="15585" spans="1:3" s="7" customFormat="1" x14ac:dyDescent="0.2">
      <c r="A15585" s="6" t="str">
        <f>"AC005954.2"</f>
        <v>AC005954.2</v>
      </c>
      <c r="B15585" s="6">
        <v>0.831168831168831</v>
      </c>
      <c r="C15585" s="6">
        <v>0.89126553179931001</v>
      </c>
    </row>
    <row r="15586" spans="1:3" s="7" customFormat="1" x14ac:dyDescent="0.2">
      <c r="A15586" s="6" t="str">
        <f>"AC023818.1"</f>
        <v>AC023818.1</v>
      </c>
      <c r="B15586" s="6">
        <v>0.831168831168831</v>
      </c>
      <c r="C15586" s="6">
        <v>0.89126553179931001</v>
      </c>
    </row>
    <row r="15587" spans="1:3" s="7" customFormat="1" x14ac:dyDescent="0.2">
      <c r="A15587" s="6" t="str">
        <f>"TM2D2"</f>
        <v>TM2D2</v>
      </c>
      <c r="B15587" s="6">
        <v>0.831168831168831</v>
      </c>
      <c r="C15587" s="6">
        <v>0.89126553179931001</v>
      </c>
    </row>
    <row r="15588" spans="1:3" s="7" customFormat="1" x14ac:dyDescent="0.2">
      <c r="A15588" s="6" t="str">
        <f>"FAM72D"</f>
        <v>FAM72D</v>
      </c>
      <c r="B15588" s="6">
        <v>0.831168831168831</v>
      </c>
      <c r="C15588" s="6">
        <v>0.89126553179931001</v>
      </c>
    </row>
    <row r="15589" spans="1:3" s="7" customFormat="1" x14ac:dyDescent="0.2">
      <c r="A15589" s="6" t="str">
        <f>"RPS7P1"</f>
        <v>RPS7P1</v>
      </c>
      <c r="B15589" s="6">
        <v>0.83149448345035104</v>
      </c>
      <c r="C15589" s="6">
        <v>0.89155753120279402</v>
      </c>
    </row>
    <row r="15590" spans="1:3" s="7" customFormat="1" x14ac:dyDescent="0.2">
      <c r="A15590" s="6" t="str">
        <f>"CDIP1"</f>
        <v>CDIP1</v>
      </c>
      <c r="B15590" s="6">
        <v>0.83216783216783197</v>
      </c>
      <c r="C15590" s="6">
        <v>0.89193620282500596</v>
      </c>
    </row>
    <row r="15591" spans="1:3" s="7" customFormat="1" x14ac:dyDescent="0.2">
      <c r="A15591" s="6" t="str">
        <f>"AP001269.4"</f>
        <v>AP001269.4</v>
      </c>
      <c r="B15591" s="6">
        <v>0.83199999999999996</v>
      </c>
      <c r="C15591" s="6">
        <v>0.89193620282500596</v>
      </c>
    </row>
    <row r="15592" spans="1:3" s="7" customFormat="1" x14ac:dyDescent="0.2">
      <c r="A15592" s="6" t="str">
        <f>"COMMD8"</f>
        <v>COMMD8</v>
      </c>
      <c r="B15592" s="6">
        <v>0.83216783216783197</v>
      </c>
      <c r="C15592" s="6">
        <v>0.89193620282500596</v>
      </c>
    </row>
    <row r="15593" spans="1:3" s="7" customFormat="1" x14ac:dyDescent="0.2">
      <c r="A15593" s="6" t="str">
        <f>"RBFA"</f>
        <v>RBFA</v>
      </c>
      <c r="B15593" s="6">
        <v>0.83216783216783197</v>
      </c>
      <c r="C15593" s="6">
        <v>0.89193620282500596</v>
      </c>
    </row>
    <row r="15594" spans="1:3" s="7" customFormat="1" x14ac:dyDescent="0.2">
      <c r="A15594" s="6" t="str">
        <f>"SMC1B"</f>
        <v>SMC1B</v>
      </c>
      <c r="B15594" s="6">
        <v>0.83216783216783197</v>
      </c>
      <c r="C15594" s="6">
        <v>0.89193620282500596</v>
      </c>
    </row>
    <row r="15595" spans="1:3" s="7" customFormat="1" x14ac:dyDescent="0.2">
      <c r="A15595" s="6" t="str">
        <f>"ADAP1"</f>
        <v>ADAP1</v>
      </c>
      <c r="B15595" s="6">
        <v>0.83216783216783197</v>
      </c>
      <c r="C15595" s="6">
        <v>0.89193620282500596</v>
      </c>
    </row>
    <row r="15596" spans="1:3" s="7" customFormat="1" x14ac:dyDescent="0.2">
      <c r="A15596" s="6" t="str">
        <f>"AL158850.1"</f>
        <v>AL158850.1</v>
      </c>
      <c r="B15596" s="6">
        <v>0.83266533066132198</v>
      </c>
      <c r="C15596" s="6">
        <v>0.89241220498065699</v>
      </c>
    </row>
    <row r="15597" spans="1:3" s="7" customFormat="1" x14ac:dyDescent="0.2">
      <c r="A15597" s="6" t="str">
        <f>"MOSPD2"</f>
        <v>MOSPD2</v>
      </c>
      <c r="B15597" s="6">
        <v>0.83316683316683304</v>
      </c>
      <c r="C15597" s="6">
        <v>0.89243466095555302</v>
      </c>
    </row>
    <row r="15598" spans="1:3" s="7" customFormat="1" x14ac:dyDescent="0.2">
      <c r="A15598" s="6" t="str">
        <f>"AC145207.5"</f>
        <v>AC145207.5</v>
      </c>
      <c r="B15598" s="6">
        <v>0.83316683316683304</v>
      </c>
      <c r="C15598" s="6">
        <v>0.89243466095555302</v>
      </c>
    </row>
    <row r="15599" spans="1:3" s="7" customFormat="1" x14ac:dyDescent="0.2">
      <c r="A15599" s="6" t="str">
        <f>"RAB4B-EGLN2"</f>
        <v>RAB4B-EGLN2</v>
      </c>
      <c r="B15599" s="6">
        <v>0.83316683316683304</v>
      </c>
      <c r="C15599" s="6">
        <v>0.89243466095555302</v>
      </c>
    </row>
    <row r="15600" spans="1:3" s="7" customFormat="1" x14ac:dyDescent="0.2">
      <c r="A15600" s="6" t="str">
        <f>"CCDC154"</f>
        <v>CCDC154</v>
      </c>
      <c r="B15600" s="6">
        <v>0.83316683316683304</v>
      </c>
      <c r="C15600" s="6">
        <v>0.89243466095555302</v>
      </c>
    </row>
    <row r="15601" spans="1:3" s="7" customFormat="1" x14ac:dyDescent="0.2">
      <c r="A15601" s="6" t="str">
        <f>"RIMBP2"</f>
        <v>RIMBP2</v>
      </c>
      <c r="B15601" s="6">
        <v>0.83316683316683304</v>
      </c>
      <c r="C15601" s="6">
        <v>0.89243466095555302</v>
      </c>
    </row>
    <row r="15602" spans="1:3" s="7" customFormat="1" x14ac:dyDescent="0.2">
      <c r="A15602" s="6" t="str">
        <f>"LINC00470"</f>
        <v>LINC00470</v>
      </c>
      <c r="B15602" s="6">
        <v>0.83316683316683304</v>
      </c>
      <c r="C15602" s="6">
        <v>0.89243466095555302</v>
      </c>
    </row>
    <row r="15603" spans="1:3" s="7" customFormat="1" x14ac:dyDescent="0.2">
      <c r="A15603" s="6" t="str">
        <f>"GORASP2"</f>
        <v>GORASP2</v>
      </c>
      <c r="B15603" s="6">
        <v>0.83316683316683304</v>
      </c>
      <c r="C15603" s="6">
        <v>0.89243466095555302</v>
      </c>
    </row>
    <row r="15604" spans="1:3" s="7" customFormat="1" x14ac:dyDescent="0.2">
      <c r="A15604" s="6" t="str">
        <f>"RCAN1"</f>
        <v>RCAN1</v>
      </c>
      <c r="B15604" s="6">
        <v>0.83316683316683304</v>
      </c>
      <c r="C15604" s="6">
        <v>0.89243466095555302</v>
      </c>
    </row>
    <row r="15605" spans="1:3" s="7" customFormat="1" x14ac:dyDescent="0.2">
      <c r="A15605" s="6" t="str">
        <f>"MEF2A"</f>
        <v>MEF2A</v>
      </c>
      <c r="B15605" s="6">
        <v>0.83316683316683304</v>
      </c>
      <c r="C15605" s="6">
        <v>0.89243466095555302</v>
      </c>
    </row>
    <row r="15606" spans="1:3" s="7" customFormat="1" x14ac:dyDescent="0.2">
      <c r="A15606" s="6" t="str">
        <f>"AP005205.2"</f>
        <v>AP005205.2</v>
      </c>
      <c r="B15606" s="6">
        <v>0.83333333333333304</v>
      </c>
      <c r="C15606" s="6">
        <v>0.89255580476342999</v>
      </c>
    </row>
    <row r="15607" spans="1:3" s="7" customFormat="1" x14ac:dyDescent="0.2">
      <c r="A15607" s="6" t="str">
        <f>"TAS1R3"</f>
        <v>TAS1R3</v>
      </c>
      <c r="B15607" s="6">
        <v>0.83383383383383303</v>
      </c>
      <c r="C15607" s="6">
        <v>0.89303464684728295</v>
      </c>
    </row>
    <row r="15608" spans="1:3" s="7" customFormat="1" x14ac:dyDescent="0.2">
      <c r="A15608" s="6" t="str">
        <f>"SSH1"</f>
        <v>SSH1</v>
      </c>
      <c r="B15608" s="6">
        <v>0.83416583416583401</v>
      </c>
      <c r="C15608" s="6">
        <v>0.89304687114064496</v>
      </c>
    </row>
    <row r="15609" spans="1:3" s="7" customFormat="1" x14ac:dyDescent="0.2">
      <c r="A15609" s="6" t="str">
        <f>"ZMYM3"</f>
        <v>ZMYM3</v>
      </c>
      <c r="B15609" s="6">
        <v>0.83416583416583401</v>
      </c>
      <c r="C15609" s="6">
        <v>0.89304687114064496</v>
      </c>
    </row>
    <row r="15610" spans="1:3" s="7" customFormat="1" x14ac:dyDescent="0.2">
      <c r="A15610" s="6" t="str">
        <f>"ABCC2"</f>
        <v>ABCC2</v>
      </c>
      <c r="B15610" s="6">
        <v>0.83416583416583401</v>
      </c>
      <c r="C15610" s="6">
        <v>0.89304687114064496</v>
      </c>
    </row>
    <row r="15611" spans="1:3" s="7" customFormat="1" x14ac:dyDescent="0.2">
      <c r="A15611" s="6" t="str">
        <f>"RBFOX1"</f>
        <v>RBFOX1</v>
      </c>
      <c r="B15611" s="6">
        <v>0.83416583416583401</v>
      </c>
      <c r="C15611" s="6">
        <v>0.89304687114064496</v>
      </c>
    </row>
    <row r="15612" spans="1:3" s="7" customFormat="1" x14ac:dyDescent="0.2">
      <c r="A15612" s="6" t="str">
        <f>"AC138470.1"</f>
        <v>AC138470.1</v>
      </c>
      <c r="B15612" s="6">
        <v>0.83399999999999996</v>
      </c>
      <c r="C15612" s="6">
        <v>0.89304687114064496</v>
      </c>
    </row>
    <row r="15613" spans="1:3" s="7" customFormat="1" x14ac:dyDescent="0.2">
      <c r="A15613" s="6" t="str">
        <f>"UBE2Q1"</f>
        <v>UBE2Q1</v>
      </c>
      <c r="B15613" s="6">
        <v>0.83416583416583401</v>
      </c>
      <c r="C15613" s="6">
        <v>0.89304687114064496</v>
      </c>
    </row>
    <row r="15614" spans="1:3" s="7" customFormat="1" x14ac:dyDescent="0.2">
      <c r="A15614" s="6" t="str">
        <f>"AC005165.3"</f>
        <v>AC005165.3</v>
      </c>
      <c r="B15614" s="6">
        <v>0.83516483516483497</v>
      </c>
      <c r="C15614" s="6">
        <v>0.89383012454024802</v>
      </c>
    </row>
    <row r="15615" spans="1:3" s="7" customFormat="1" x14ac:dyDescent="0.2">
      <c r="A15615" s="6" t="str">
        <f>"KRT17P2"</f>
        <v>KRT17P2</v>
      </c>
      <c r="B15615" s="6">
        <v>0.83516483516483497</v>
      </c>
      <c r="C15615" s="6">
        <v>0.89383012454024802</v>
      </c>
    </row>
    <row r="15616" spans="1:3" s="7" customFormat="1" x14ac:dyDescent="0.2">
      <c r="A15616" s="6" t="str">
        <f>"AC097375.3"</f>
        <v>AC097375.3</v>
      </c>
      <c r="B15616" s="6">
        <v>0.83499999999999996</v>
      </c>
      <c r="C15616" s="6">
        <v>0.89383012454024802</v>
      </c>
    </row>
    <row r="15617" spans="1:3" s="7" customFormat="1" x14ac:dyDescent="0.2">
      <c r="A15617" s="6" t="str">
        <f>"AC100860.1"</f>
        <v>AC100860.1</v>
      </c>
      <c r="B15617" s="6">
        <v>0.83516483516483497</v>
      </c>
      <c r="C15617" s="6">
        <v>0.89383012454024802</v>
      </c>
    </row>
    <row r="15618" spans="1:3" s="7" customFormat="1" x14ac:dyDescent="0.2">
      <c r="A15618" s="6" t="str">
        <f>"USH2A"</f>
        <v>USH2A</v>
      </c>
      <c r="B15618" s="6">
        <v>0.83516483516483497</v>
      </c>
      <c r="C15618" s="6">
        <v>0.89383012454024802</v>
      </c>
    </row>
    <row r="15619" spans="1:3" s="7" customFormat="1" x14ac:dyDescent="0.2">
      <c r="A15619" s="6" t="str">
        <f>"TPT1"</f>
        <v>TPT1</v>
      </c>
      <c r="B15619" s="6">
        <v>0.83599999999999997</v>
      </c>
      <c r="C15619" s="6">
        <v>0.89462661106532904</v>
      </c>
    </row>
    <row r="15620" spans="1:3" s="7" customFormat="1" x14ac:dyDescent="0.2">
      <c r="A15620" s="6" t="str">
        <f>"SLC30A10"</f>
        <v>SLC30A10</v>
      </c>
      <c r="B15620" s="6">
        <v>0.83601609657947595</v>
      </c>
      <c r="C15620" s="6">
        <v>0.89462661106532904</v>
      </c>
    </row>
    <row r="15621" spans="1:3" s="7" customFormat="1" x14ac:dyDescent="0.2">
      <c r="A15621" s="6" t="str">
        <f>"USP5"</f>
        <v>USP5</v>
      </c>
      <c r="B15621" s="6">
        <v>0.83616383616383605</v>
      </c>
      <c r="C15621" s="6">
        <v>0.89472742366468305</v>
      </c>
    </row>
    <row r="15622" spans="1:3" s="7" customFormat="1" x14ac:dyDescent="0.2">
      <c r="A15622" s="6" t="str">
        <f>"SDE2"</f>
        <v>SDE2</v>
      </c>
      <c r="B15622" s="6">
        <v>0.83716283716283701</v>
      </c>
      <c r="C15622" s="6">
        <v>0.89528054644184896</v>
      </c>
    </row>
    <row r="15623" spans="1:3" s="7" customFormat="1" x14ac:dyDescent="0.2">
      <c r="A15623" s="6" t="str">
        <f>"MTG1"</f>
        <v>MTG1</v>
      </c>
      <c r="B15623" s="6">
        <v>0.83716283716283701</v>
      </c>
      <c r="C15623" s="6">
        <v>0.89528054644184896</v>
      </c>
    </row>
    <row r="15624" spans="1:3" s="7" customFormat="1" x14ac:dyDescent="0.2">
      <c r="A15624" s="6" t="str">
        <f>"NCBP3"</f>
        <v>NCBP3</v>
      </c>
      <c r="B15624" s="6">
        <v>0.83716283716283701</v>
      </c>
      <c r="C15624" s="6">
        <v>0.89528054644184896</v>
      </c>
    </row>
    <row r="15625" spans="1:3" s="7" customFormat="1" x14ac:dyDescent="0.2">
      <c r="A15625" s="6" t="str">
        <f>"PKD1L1"</f>
        <v>PKD1L1</v>
      </c>
      <c r="B15625" s="6">
        <v>0.83716283716283701</v>
      </c>
      <c r="C15625" s="6">
        <v>0.89528054644184896</v>
      </c>
    </row>
    <row r="15626" spans="1:3" s="7" customFormat="1" x14ac:dyDescent="0.2">
      <c r="A15626" s="6" t="str">
        <f>"TSPAN4"</f>
        <v>TSPAN4</v>
      </c>
      <c r="B15626" s="6">
        <v>0.83716283716283701</v>
      </c>
      <c r="C15626" s="6">
        <v>0.89528054644184896</v>
      </c>
    </row>
    <row r="15627" spans="1:3" s="7" customFormat="1" x14ac:dyDescent="0.2">
      <c r="A15627" s="6" t="str">
        <f>"ARMCX6"</f>
        <v>ARMCX6</v>
      </c>
      <c r="B15627" s="6">
        <v>0.83716283716283701</v>
      </c>
      <c r="C15627" s="6">
        <v>0.89528054644184896</v>
      </c>
    </row>
    <row r="15628" spans="1:3" s="7" customFormat="1" x14ac:dyDescent="0.2">
      <c r="A15628" s="6" t="str">
        <f>"RIMBP3C"</f>
        <v>RIMBP3C</v>
      </c>
      <c r="B15628" s="6">
        <v>0.83699999999999997</v>
      </c>
      <c r="C15628" s="6">
        <v>0.89528054644184896</v>
      </c>
    </row>
    <row r="15629" spans="1:3" s="7" customFormat="1" x14ac:dyDescent="0.2">
      <c r="A15629" s="6" t="str">
        <f>"FAM241B"</f>
        <v>FAM241B</v>
      </c>
      <c r="B15629" s="6">
        <v>0.83716283716283701</v>
      </c>
      <c r="C15629" s="6">
        <v>0.89528054644184896</v>
      </c>
    </row>
    <row r="15630" spans="1:3" s="7" customFormat="1" x14ac:dyDescent="0.2">
      <c r="A15630" s="6" t="str">
        <f>"AC073063.1"</f>
        <v>AC073063.1</v>
      </c>
      <c r="B15630" s="6">
        <v>0.83683683683683596</v>
      </c>
      <c r="C15630" s="6">
        <v>0.89528054644184896</v>
      </c>
    </row>
    <row r="15631" spans="1:3" s="7" customFormat="1" x14ac:dyDescent="0.2">
      <c r="A15631" s="6" t="str">
        <f>"AC068787.3"</f>
        <v>AC068787.3</v>
      </c>
      <c r="B15631" s="6">
        <v>0.83737373737373699</v>
      </c>
      <c r="C15631" s="6">
        <v>0.89544879375973396</v>
      </c>
    </row>
    <row r="15632" spans="1:3" s="7" customFormat="1" x14ac:dyDescent="0.2">
      <c r="A15632" s="6" t="str">
        <f>"AC010422.8"</f>
        <v>AC010422.8</v>
      </c>
      <c r="B15632" s="6">
        <v>0.83816183816183798</v>
      </c>
      <c r="C15632" s="6">
        <v>0.89577575056186198</v>
      </c>
    </row>
    <row r="15633" spans="1:3" s="7" customFormat="1" x14ac:dyDescent="0.2">
      <c r="A15633" s="6" t="str">
        <f>"PLA2G10"</f>
        <v>PLA2G10</v>
      </c>
      <c r="B15633" s="6">
        <v>0.83816183816183798</v>
      </c>
      <c r="C15633" s="6">
        <v>0.89577575056186198</v>
      </c>
    </row>
    <row r="15634" spans="1:3" s="7" customFormat="1" x14ac:dyDescent="0.2">
      <c r="A15634" s="6" t="str">
        <f>"CCDC77"</f>
        <v>CCDC77</v>
      </c>
      <c r="B15634" s="6">
        <v>0.83816183816183798</v>
      </c>
      <c r="C15634" s="6">
        <v>0.89577575056186198</v>
      </c>
    </row>
    <row r="15635" spans="1:3" s="7" customFormat="1" x14ac:dyDescent="0.2">
      <c r="A15635" s="6" t="str">
        <f>"AC008622.2"</f>
        <v>AC008622.2</v>
      </c>
      <c r="B15635" s="6">
        <v>0.83816183816183798</v>
      </c>
      <c r="C15635" s="6">
        <v>0.89577575056186198</v>
      </c>
    </row>
    <row r="15636" spans="1:3" s="7" customFormat="1" x14ac:dyDescent="0.2">
      <c r="A15636" s="6" t="str">
        <f>"AC091806.1"</f>
        <v>AC091806.1</v>
      </c>
      <c r="B15636" s="6">
        <v>0.83816183816183798</v>
      </c>
      <c r="C15636" s="6">
        <v>0.89577575056186198</v>
      </c>
    </row>
    <row r="15637" spans="1:3" s="7" customFormat="1" x14ac:dyDescent="0.2">
      <c r="A15637" s="6" t="str">
        <f>"GATA6-AS1"</f>
        <v>GATA6-AS1</v>
      </c>
      <c r="B15637" s="6">
        <v>0.83816183816183798</v>
      </c>
      <c r="C15637" s="6">
        <v>0.89577575056186198</v>
      </c>
    </row>
    <row r="15638" spans="1:3" s="7" customFormat="1" x14ac:dyDescent="0.2">
      <c r="A15638" s="6" t="str">
        <f>"ANKRD34B"</f>
        <v>ANKRD34B</v>
      </c>
      <c r="B15638" s="6">
        <v>0.83816183816183798</v>
      </c>
      <c r="C15638" s="6">
        <v>0.89577575056186198</v>
      </c>
    </row>
    <row r="15639" spans="1:3" s="7" customFormat="1" x14ac:dyDescent="0.2">
      <c r="A15639" s="6" t="str">
        <f>"AC027682.7"</f>
        <v>AC027682.7</v>
      </c>
      <c r="B15639" s="6">
        <v>0.83816183816183798</v>
      </c>
      <c r="C15639" s="6">
        <v>0.89577575056186198</v>
      </c>
    </row>
    <row r="15640" spans="1:3" s="7" customFormat="1" x14ac:dyDescent="0.2">
      <c r="A15640" s="6" t="str">
        <f>"AL356512.1"</f>
        <v>AL356512.1</v>
      </c>
      <c r="B15640" s="6">
        <v>0.83816183816183798</v>
      </c>
      <c r="C15640" s="6">
        <v>0.89577575056186198</v>
      </c>
    </row>
    <row r="15641" spans="1:3" s="7" customFormat="1" x14ac:dyDescent="0.2">
      <c r="A15641" s="6" t="str">
        <f>"BLOC1S1"</f>
        <v>BLOC1S1</v>
      </c>
      <c r="B15641" s="6">
        <v>0.83916083916083895</v>
      </c>
      <c r="C15641" s="6">
        <v>0.89638488309160003</v>
      </c>
    </row>
    <row r="15642" spans="1:3" s="7" customFormat="1" x14ac:dyDescent="0.2">
      <c r="A15642" s="6" t="str">
        <f>"RAB33A"</f>
        <v>RAB33A</v>
      </c>
      <c r="B15642" s="6">
        <v>0.83916083916083895</v>
      </c>
      <c r="C15642" s="6">
        <v>0.89638488309160003</v>
      </c>
    </row>
    <row r="15643" spans="1:3" s="7" customFormat="1" x14ac:dyDescent="0.2">
      <c r="A15643" s="6" t="str">
        <f>"HPS5"</f>
        <v>HPS5</v>
      </c>
      <c r="B15643" s="6">
        <v>0.83916083916083895</v>
      </c>
      <c r="C15643" s="6">
        <v>0.89638488309160003</v>
      </c>
    </row>
    <row r="15644" spans="1:3" s="7" customFormat="1" x14ac:dyDescent="0.2">
      <c r="A15644" s="6" t="str">
        <f>"MGA"</f>
        <v>MGA</v>
      </c>
      <c r="B15644" s="6">
        <v>0.83916083916083895</v>
      </c>
      <c r="C15644" s="6">
        <v>0.89638488309160003</v>
      </c>
    </row>
    <row r="15645" spans="1:3" s="7" customFormat="1" x14ac:dyDescent="0.2">
      <c r="A15645" s="6" t="str">
        <f>"FRG1BP"</f>
        <v>FRG1BP</v>
      </c>
      <c r="B15645" s="6">
        <v>0.83916083916083895</v>
      </c>
      <c r="C15645" s="6">
        <v>0.89638488309160003</v>
      </c>
    </row>
    <row r="15646" spans="1:3" s="7" customFormat="1" x14ac:dyDescent="0.2">
      <c r="A15646" s="6" t="str">
        <f>"TXNL4B"</f>
        <v>TXNL4B</v>
      </c>
      <c r="B15646" s="6">
        <v>0.83916083916083895</v>
      </c>
      <c r="C15646" s="6">
        <v>0.89638488309160003</v>
      </c>
    </row>
    <row r="15647" spans="1:3" s="7" customFormat="1" x14ac:dyDescent="0.2">
      <c r="A15647" s="6" t="str">
        <f>"POP7"</f>
        <v>POP7</v>
      </c>
      <c r="B15647" s="6">
        <v>0.83916083916083895</v>
      </c>
      <c r="C15647" s="6">
        <v>0.89638488309160003</v>
      </c>
    </row>
    <row r="15648" spans="1:3" s="7" customFormat="1" x14ac:dyDescent="0.2">
      <c r="A15648" s="6" t="str">
        <f>"PAXIP1"</f>
        <v>PAXIP1</v>
      </c>
      <c r="B15648" s="6">
        <v>0.83916083916083895</v>
      </c>
      <c r="C15648" s="6">
        <v>0.89638488309160003</v>
      </c>
    </row>
    <row r="15649" spans="1:3" s="7" customFormat="1" x14ac:dyDescent="0.2">
      <c r="A15649" s="6" t="str">
        <f>"IRAK4"</f>
        <v>IRAK4</v>
      </c>
      <c r="B15649" s="6">
        <v>0.84015984015984002</v>
      </c>
      <c r="C15649" s="6">
        <v>0.89710800283853298</v>
      </c>
    </row>
    <row r="15650" spans="1:3" s="7" customFormat="1" x14ac:dyDescent="0.2">
      <c r="A15650" s="6" t="str">
        <f>"PLCL1"</f>
        <v>PLCL1</v>
      </c>
      <c r="B15650" s="6">
        <v>0.84015984015984002</v>
      </c>
      <c r="C15650" s="6">
        <v>0.89710800283853298</v>
      </c>
    </row>
    <row r="15651" spans="1:3" s="7" customFormat="1" x14ac:dyDescent="0.2">
      <c r="A15651" s="6" t="str">
        <f>"ELK4"</f>
        <v>ELK4</v>
      </c>
      <c r="B15651" s="6">
        <v>0.84015984015984002</v>
      </c>
      <c r="C15651" s="6">
        <v>0.89710800283853298</v>
      </c>
    </row>
    <row r="15652" spans="1:3" s="7" customFormat="1" x14ac:dyDescent="0.2">
      <c r="A15652" s="6" t="str">
        <f>"RAB43P1"</f>
        <v>RAB43P1</v>
      </c>
      <c r="B15652" s="6">
        <v>0.84015984015984002</v>
      </c>
      <c r="C15652" s="6">
        <v>0.89710800283853298</v>
      </c>
    </row>
    <row r="15653" spans="1:3" s="7" customFormat="1" x14ac:dyDescent="0.2">
      <c r="A15653" s="6" t="str">
        <f>"KRT81"</f>
        <v>KRT81</v>
      </c>
      <c r="B15653" s="6">
        <v>0.84015984015984002</v>
      </c>
      <c r="C15653" s="6">
        <v>0.89710800283853298</v>
      </c>
    </row>
    <row r="15654" spans="1:3" s="7" customFormat="1" x14ac:dyDescent="0.2">
      <c r="A15654" s="6" t="str">
        <f>"SLC25A14"</f>
        <v>SLC25A14</v>
      </c>
      <c r="B15654" s="6">
        <v>0.84015984015984002</v>
      </c>
      <c r="C15654" s="6">
        <v>0.89710800283853298</v>
      </c>
    </row>
    <row r="15655" spans="1:3" s="7" customFormat="1" x14ac:dyDescent="0.2">
      <c r="A15655" s="6" t="str">
        <f>"AC025449.1"</f>
        <v>AC025449.1</v>
      </c>
      <c r="B15655" s="6">
        <v>0.84068136272545002</v>
      </c>
      <c r="C15655" s="6">
        <v>0.89760753140367799</v>
      </c>
    </row>
    <row r="15656" spans="1:3" s="7" customFormat="1" x14ac:dyDescent="0.2">
      <c r="A15656" s="6" t="str">
        <f>"TPTE2P2"</f>
        <v>TPTE2P2</v>
      </c>
      <c r="B15656" s="6">
        <v>0.84115884115884099</v>
      </c>
      <c r="C15656" s="6">
        <v>0.89788790848951705</v>
      </c>
    </row>
    <row r="15657" spans="1:3" s="7" customFormat="1" x14ac:dyDescent="0.2">
      <c r="A15657" s="6" t="str">
        <f>"TPP2"</f>
        <v>TPP2</v>
      </c>
      <c r="B15657" s="6">
        <v>0.84115884115884099</v>
      </c>
      <c r="C15657" s="6">
        <v>0.89788790848951705</v>
      </c>
    </row>
    <row r="15658" spans="1:3" s="7" customFormat="1" x14ac:dyDescent="0.2">
      <c r="A15658" s="6" t="str">
        <f>"AC115522.1"</f>
        <v>AC115522.1</v>
      </c>
      <c r="B15658" s="6">
        <v>0.84115884115884099</v>
      </c>
      <c r="C15658" s="6">
        <v>0.89788790848951705</v>
      </c>
    </row>
    <row r="15659" spans="1:3" s="7" customFormat="1" x14ac:dyDescent="0.2">
      <c r="A15659" s="6" t="str">
        <f>"DUSP13"</f>
        <v>DUSP13</v>
      </c>
      <c r="B15659" s="6">
        <v>0.84115884115884099</v>
      </c>
      <c r="C15659" s="6">
        <v>0.89788790848951705</v>
      </c>
    </row>
    <row r="15660" spans="1:3" s="7" customFormat="1" x14ac:dyDescent="0.2">
      <c r="A15660" s="6" t="str">
        <f>"AC211476.6"</f>
        <v>AC211476.6</v>
      </c>
      <c r="B15660" s="6">
        <v>0.841683366733466</v>
      </c>
      <c r="C15660" s="6">
        <v>0.89839043307894195</v>
      </c>
    </row>
    <row r="15661" spans="1:3" s="7" customFormat="1" x14ac:dyDescent="0.2">
      <c r="A15661" s="6" t="str">
        <f>"ANAPC7"</f>
        <v>ANAPC7</v>
      </c>
      <c r="B15661" s="6">
        <v>0.84215784215784195</v>
      </c>
      <c r="C15661" s="6">
        <v>0.89843787411924203</v>
      </c>
    </row>
    <row r="15662" spans="1:3" s="7" customFormat="1" x14ac:dyDescent="0.2">
      <c r="A15662" s="6" t="str">
        <f>"SLC16A13"</f>
        <v>SLC16A13</v>
      </c>
      <c r="B15662" s="6">
        <v>0.84215784215784195</v>
      </c>
      <c r="C15662" s="6">
        <v>0.89843787411924203</v>
      </c>
    </row>
    <row r="15663" spans="1:3" s="7" customFormat="1" x14ac:dyDescent="0.2">
      <c r="A15663" s="6" t="str">
        <f>"RIPOR3"</f>
        <v>RIPOR3</v>
      </c>
      <c r="B15663" s="6">
        <v>0.84215784215784195</v>
      </c>
      <c r="C15663" s="6">
        <v>0.89843787411924203</v>
      </c>
    </row>
    <row r="15664" spans="1:3" s="7" customFormat="1" x14ac:dyDescent="0.2">
      <c r="A15664" s="6" t="str">
        <f>"AC005865.1"</f>
        <v>AC005865.1</v>
      </c>
      <c r="B15664" s="6">
        <v>0.84199999999999997</v>
      </c>
      <c r="C15664" s="6">
        <v>0.89843787411924203</v>
      </c>
    </row>
    <row r="15665" spans="1:3" s="7" customFormat="1" x14ac:dyDescent="0.2">
      <c r="A15665" s="6" t="str">
        <f>"CU634019.1"</f>
        <v>CU634019.1</v>
      </c>
      <c r="B15665" s="6">
        <v>0.84199999999999997</v>
      </c>
      <c r="C15665" s="6">
        <v>0.89843787411924203</v>
      </c>
    </row>
    <row r="15666" spans="1:3" s="7" customFormat="1" x14ac:dyDescent="0.2">
      <c r="A15666" s="6" t="str">
        <f>"ANKRD20A3P"</f>
        <v>ANKRD20A3P</v>
      </c>
      <c r="B15666" s="6">
        <v>0.84215784215784195</v>
      </c>
      <c r="C15666" s="6">
        <v>0.89843787411924203</v>
      </c>
    </row>
    <row r="15667" spans="1:3" s="7" customFormat="1" x14ac:dyDescent="0.2">
      <c r="A15667" s="6" t="str">
        <f>"SHROOM4"</f>
        <v>SHROOM4</v>
      </c>
      <c r="B15667" s="6">
        <v>0.84215784215784195</v>
      </c>
      <c r="C15667" s="6">
        <v>0.89843787411924203</v>
      </c>
    </row>
    <row r="15668" spans="1:3" s="7" customFormat="1" x14ac:dyDescent="0.2">
      <c r="A15668" s="6" t="str">
        <f>"FBXL7"</f>
        <v>FBXL7</v>
      </c>
      <c r="B15668" s="6">
        <v>0.84215784215784195</v>
      </c>
      <c r="C15668" s="6">
        <v>0.89843787411924203</v>
      </c>
    </row>
    <row r="15669" spans="1:3" s="7" customFormat="1" x14ac:dyDescent="0.2">
      <c r="A15669" s="6" t="str">
        <f>"PRPF18"</f>
        <v>PRPF18</v>
      </c>
      <c r="B15669" s="6">
        <v>0.84315684315684303</v>
      </c>
      <c r="C15669" s="6">
        <v>0.89915928517344901</v>
      </c>
    </row>
    <row r="15670" spans="1:3" s="7" customFormat="1" x14ac:dyDescent="0.2">
      <c r="A15670" s="6" t="str">
        <f>"TIMM8B"</f>
        <v>TIMM8B</v>
      </c>
      <c r="B15670" s="6">
        <v>0.84315684315684303</v>
      </c>
      <c r="C15670" s="6">
        <v>0.89915928517344901</v>
      </c>
    </row>
    <row r="15671" spans="1:3" s="7" customFormat="1" x14ac:dyDescent="0.2">
      <c r="A15671" s="6" t="str">
        <f>"PIGL"</f>
        <v>PIGL</v>
      </c>
      <c r="B15671" s="6">
        <v>0.84315684315684303</v>
      </c>
      <c r="C15671" s="6">
        <v>0.89915928517344901</v>
      </c>
    </row>
    <row r="15672" spans="1:3" s="7" customFormat="1" x14ac:dyDescent="0.2">
      <c r="A15672" s="6" t="str">
        <f>"FRG1CP"</f>
        <v>FRG1CP</v>
      </c>
      <c r="B15672" s="6">
        <v>0.84315684315684303</v>
      </c>
      <c r="C15672" s="6">
        <v>0.89915928517344901</v>
      </c>
    </row>
    <row r="15673" spans="1:3" s="7" customFormat="1" x14ac:dyDescent="0.2">
      <c r="A15673" s="6" t="str">
        <f>"CEP170B"</f>
        <v>CEP170B</v>
      </c>
      <c r="B15673" s="6">
        <v>0.84315684315684303</v>
      </c>
      <c r="C15673" s="6">
        <v>0.89915928517344901</v>
      </c>
    </row>
    <row r="15674" spans="1:3" s="7" customFormat="1" x14ac:dyDescent="0.2">
      <c r="A15674" s="6" t="str">
        <f>"LINC01949"</f>
        <v>LINC01949</v>
      </c>
      <c r="B15674" s="6">
        <v>0.84315684315684303</v>
      </c>
      <c r="C15674" s="6">
        <v>0.89915928517344901</v>
      </c>
    </row>
    <row r="15675" spans="1:3" s="7" customFormat="1" x14ac:dyDescent="0.2">
      <c r="A15675" s="6" t="str">
        <f>"VANGL1"</f>
        <v>VANGL1</v>
      </c>
      <c r="B15675" s="6">
        <v>0.84415584415584399</v>
      </c>
      <c r="C15675" s="6">
        <v>0.89976537078124896</v>
      </c>
    </row>
    <row r="15676" spans="1:3" s="7" customFormat="1" x14ac:dyDescent="0.2">
      <c r="A15676" s="6" t="str">
        <f>"AC073896.1"</f>
        <v>AC073896.1</v>
      </c>
      <c r="B15676" s="6">
        <v>0.84415584415584399</v>
      </c>
      <c r="C15676" s="6">
        <v>0.89976537078124896</v>
      </c>
    </row>
    <row r="15677" spans="1:3" s="7" customFormat="1" x14ac:dyDescent="0.2">
      <c r="A15677" s="6" t="str">
        <f>"AL136982.4"</f>
        <v>AL136982.4</v>
      </c>
      <c r="B15677" s="6">
        <v>0.84415584415584399</v>
      </c>
      <c r="C15677" s="6">
        <v>0.89976537078124896</v>
      </c>
    </row>
    <row r="15678" spans="1:3" s="7" customFormat="1" x14ac:dyDescent="0.2">
      <c r="A15678" s="6" t="str">
        <f>"FOXN1"</f>
        <v>FOXN1</v>
      </c>
      <c r="B15678" s="6">
        <v>0.84415584415584399</v>
      </c>
      <c r="C15678" s="6">
        <v>0.89976537078124896</v>
      </c>
    </row>
    <row r="15679" spans="1:3" s="7" customFormat="1" x14ac:dyDescent="0.2">
      <c r="A15679" s="6" t="str">
        <f>"EGFL8"</f>
        <v>EGFL8</v>
      </c>
      <c r="B15679" s="6">
        <v>0.84415584415584399</v>
      </c>
      <c r="C15679" s="6">
        <v>0.89976537078124896</v>
      </c>
    </row>
    <row r="15680" spans="1:3" s="7" customFormat="1" x14ac:dyDescent="0.2">
      <c r="A15680" s="6" t="str">
        <f>"AC113143.2"</f>
        <v>AC113143.2</v>
      </c>
      <c r="B15680" s="6">
        <v>0.84399999999999997</v>
      </c>
      <c r="C15680" s="6">
        <v>0.89976537078124896</v>
      </c>
    </row>
    <row r="15681" spans="1:3" s="7" customFormat="1" x14ac:dyDescent="0.2">
      <c r="A15681" s="6" t="str">
        <f>"SMG1P6"</f>
        <v>SMG1P6</v>
      </c>
      <c r="B15681" s="6">
        <v>0.84415584415584399</v>
      </c>
      <c r="C15681" s="6">
        <v>0.89976537078124896</v>
      </c>
    </row>
    <row r="15682" spans="1:3" s="7" customFormat="1" x14ac:dyDescent="0.2">
      <c r="A15682" s="6" t="str">
        <f>"PKDCC"</f>
        <v>PKDCC</v>
      </c>
      <c r="B15682" s="6">
        <v>0.84415584415584399</v>
      </c>
      <c r="C15682" s="6">
        <v>0.89976537078124896</v>
      </c>
    </row>
    <row r="15683" spans="1:3" s="7" customFormat="1" x14ac:dyDescent="0.2">
      <c r="A15683" s="6" t="str">
        <f>"ORMDL2"</f>
        <v>ORMDL2</v>
      </c>
      <c r="B15683" s="6">
        <v>0.84515484515484496</v>
      </c>
      <c r="C15683" s="6">
        <v>0.90054303722542905</v>
      </c>
    </row>
    <row r="15684" spans="1:3" s="7" customFormat="1" x14ac:dyDescent="0.2">
      <c r="A15684" s="6" t="str">
        <f>"OSGIN1"</f>
        <v>OSGIN1</v>
      </c>
      <c r="B15684" s="6">
        <v>0.84515484515484496</v>
      </c>
      <c r="C15684" s="6">
        <v>0.90054303722542905</v>
      </c>
    </row>
    <row r="15685" spans="1:3" s="7" customFormat="1" x14ac:dyDescent="0.2">
      <c r="A15685" s="6" t="str">
        <f>"AC020658.7"</f>
        <v>AC020658.7</v>
      </c>
      <c r="B15685" s="6">
        <v>0.84507042253521103</v>
      </c>
      <c r="C15685" s="6">
        <v>0.90054303722542905</v>
      </c>
    </row>
    <row r="15686" spans="1:3" s="7" customFormat="1" x14ac:dyDescent="0.2">
      <c r="A15686" s="6" t="str">
        <f>"TOB2P1"</f>
        <v>TOB2P1</v>
      </c>
      <c r="B15686" s="6">
        <v>0.84507042253521103</v>
      </c>
      <c r="C15686" s="6">
        <v>0.90054303722542905</v>
      </c>
    </row>
    <row r="15687" spans="1:3" s="7" customFormat="1" x14ac:dyDescent="0.2">
      <c r="A15687" s="6" t="str">
        <f>"AL157392.3"</f>
        <v>AL157392.3</v>
      </c>
      <c r="B15687" s="6">
        <v>0.84515484515484496</v>
      </c>
      <c r="C15687" s="6">
        <v>0.90054303722542905</v>
      </c>
    </row>
    <row r="15688" spans="1:3" s="7" customFormat="1" x14ac:dyDescent="0.2">
      <c r="A15688" s="6" t="str">
        <f>"PEG3"</f>
        <v>PEG3</v>
      </c>
      <c r="B15688" s="6">
        <v>0.84615384615384603</v>
      </c>
      <c r="C15688" s="6">
        <v>0.901320208056553</v>
      </c>
    </row>
    <row r="15689" spans="1:3" s="7" customFormat="1" x14ac:dyDescent="0.2">
      <c r="A15689" s="6" t="str">
        <f>"GPATCH1"</f>
        <v>GPATCH1</v>
      </c>
      <c r="B15689" s="6">
        <v>0.84615384615384603</v>
      </c>
      <c r="C15689" s="6">
        <v>0.901320208056553</v>
      </c>
    </row>
    <row r="15690" spans="1:3" s="7" customFormat="1" x14ac:dyDescent="0.2">
      <c r="A15690" s="6" t="str">
        <f>"RASSF1"</f>
        <v>RASSF1</v>
      </c>
      <c r="B15690" s="6">
        <v>0.84615384615384603</v>
      </c>
      <c r="C15690" s="6">
        <v>0.901320208056553</v>
      </c>
    </row>
    <row r="15691" spans="1:3" s="7" customFormat="1" x14ac:dyDescent="0.2">
      <c r="A15691" s="6" t="str">
        <f>"SPESP1"</f>
        <v>SPESP1</v>
      </c>
      <c r="B15691" s="6">
        <v>0.84615384615384603</v>
      </c>
      <c r="C15691" s="6">
        <v>0.901320208056553</v>
      </c>
    </row>
    <row r="15692" spans="1:3" s="7" customFormat="1" x14ac:dyDescent="0.2">
      <c r="A15692" s="6" t="str">
        <f>"SPATS2"</f>
        <v>SPATS2</v>
      </c>
      <c r="B15692" s="6">
        <v>0.84615384615384603</v>
      </c>
      <c r="C15692" s="6">
        <v>0.901320208056553</v>
      </c>
    </row>
    <row r="15693" spans="1:3" s="7" customFormat="1" x14ac:dyDescent="0.2">
      <c r="A15693" s="6" t="str">
        <f>"AC092143.1"</f>
        <v>AC092143.1</v>
      </c>
      <c r="B15693" s="6">
        <v>0.84648648648648595</v>
      </c>
      <c r="C15693" s="6">
        <v>0.90161707463262297</v>
      </c>
    </row>
    <row r="15694" spans="1:3" s="7" customFormat="1" x14ac:dyDescent="0.2">
      <c r="A15694" s="6" t="str">
        <f>"GOLT1A"</f>
        <v>GOLT1A</v>
      </c>
      <c r="B15694" s="6">
        <v>0.847152847152847</v>
      </c>
      <c r="C15694" s="6">
        <v>0.90186705014730395</v>
      </c>
    </row>
    <row r="15695" spans="1:3" s="7" customFormat="1" x14ac:dyDescent="0.2">
      <c r="A15695" s="6" t="str">
        <f>"KCTD17"</f>
        <v>KCTD17</v>
      </c>
      <c r="B15695" s="6">
        <v>0.847152847152847</v>
      </c>
      <c r="C15695" s="6">
        <v>0.90186705014730395</v>
      </c>
    </row>
    <row r="15696" spans="1:3" s="7" customFormat="1" x14ac:dyDescent="0.2">
      <c r="A15696" s="6" t="str">
        <f>"NRBF2P6"</f>
        <v>NRBF2P6</v>
      </c>
      <c r="B15696" s="6">
        <v>0.84699999999999998</v>
      </c>
      <c r="C15696" s="6">
        <v>0.90186705014730395</v>
      </c>
    </row>
    <row r="15697" spans="1:3" s="7" customFormat="1" x14ac:dyDescent="0.2">
      <c r="A15697" s="6" t="str">
        <f>"AL591441.1"</f>
        <v>AL591441.1</v>
      </c>
      <c r="B15697" s="6">
        <v>0.847152847152847</v>
      </c>
      <c r="C15697" s="6">
        <v>0.90186705014730395</v>
      </c>
    </row>
    <row r="15698" spans="1:3" s="7" customFormat="1" x14ac:dyDescent="0.2">
      <c r="A15698" s="6" t="str">
        <f>"AP002847.1"</f>
        <v>AP002847.1</v>
      </c>
      <c r="B15698" s="6">
        <v>0.847152847152847</v>
      </c>
      <c r="C15698" s="6">
        <v>0.90186705014730395</v>
      </c>
    </row>
    <row r="15699" spans="1:3" s="7" customFormat="1" x14ac:dyDescent="0.2">
      <c r="A15699" s="6" t="str">
        <f>"PRRC1"</f>
        <v>PRRC1</v>
      </c>
      <c r="B15699" s="6">
        <v>0.847152847152847</v>
      </c>
      <c r="C15699" s="6">
        <v>0.90186705014730395</v>
      </c>
    </row>
    <row r="15700" spans="1:3" s="7" customFormat="1" x14ac:dyDescent="0.2">
      <c r="A15700" s="6" t="str">
        <f>"LINC01551"</f>
        <v>LINC01551</v>
      </c>
      <c r="B15700" s="6">
        <v>0.847152847152847</v>
      </c>
      <c r="C15700" s="6">
        <v>0.90186705014730395</v>
      </c>
    </row>
    <row r="15701" spans="1:3" s="7" customFormat="1" x14ac:dyDescent="0.2">
      <c r="A15701" s="6" t="str">
        <f>"CDH15"</f>
        <v>CDH15</v>
      </c>
      <c r="B15701" s="6">
        <v>0.847152847152847</v>
      </c>
      <c r="C15701" s="6">
        <v>0.90186705014730395</v>
      </c>
    </row>
    <row r="15702" spans="1:3" s="7" customFormat="1" x14ac:dyDescent="0.2">
      <c r="A15702" s="6" t="str">
        <f>"TAMALIN"</f>
        <v>TAMALIN</v>
      </c>
      <c r="B15702" s="6">
        <v>0.84815184815184796</v>
      </c>
      <c r="C15702" s="6">
        <v>0.90275807106985795</v>
      </c>
    </row>
    <row r="15703" spans="1:3" s="7" customFormat="1" x14ac:dyDescent="0.2">
      <c r="A15703" s="6" t="str">
        <f>"AC018553.1"</f>
        <v>AC018553.1</v>
      </c>
      <c r="B15703" s="6">
        <v>0.84815184815184796</v>
      </c>
      <c r="C15703" s="6">
        <v>0.90275807106985795</v>
      </c>
    </row>
    <row r="15704" spans="1:3" s="7" customFormat="1" x14ac:dyDescent="0.2">
      <c r="A15704" s="6" t="str">
        <f>"ID2-AS1"</f>
        <v>ID2-AS1</v>
      </c>
      <c r="B15704" s="6">
        <v>0.84815184815184796</v>
      </c>
      <c r="C15704" s="6">
        <v>0.90275807106985795</v>
      </c>
    </row>
    <row r="15705" spans="1:3" s="7" customFormat="1" x14ac:dyDescent="0.2">
      <c r="A15705" s="6" t="str">
        <f>"ATP5PBP5"</f>
        <v>ATP5PBP5</v>
      </c>
      <c r="B15705" s="6">
        <v>0.84915084915084904</v>
      </c>
      <c r="C15705" s="6">
        <v>0.90359122001065095</v>
      </c>
    </row>
    <row r="15706" spans="1:3" s="7" customFormat="1" x14ac:dyDescent="0.2">
      <c r="A15706" s="6" t="str">
        <f>"DCAF1"</f>
        <v>DCAF1</v>
      </c>
      <c r="B15706" s="6">
        <v>0.84915084915084904</v>
      </c>
      <c r="C15706" s="6">
        <v>0.90359122001065095</v>
      </c>
    </row>
    <row r="15707" spans="1:3" s="7" customFormat="1" x14ac:dyDescent="0.2">
      <c r="A15707" s="6" t="str">
        <f>"ITFG2"</f>
        <v>ITFG2</v>
      </c>
      <c r="B15707" s="6">
        <v>0.84915084915084904</v>
      </c>
      <c r="C15707" s="6">
        <v>0.90359122001065095</v>
      </c>
    </row>
    <row r="15708" spans="1:3" s="7" customFormat="1" x14ac:dyDescent="0.2">
      <c r="A15708" s="6" t="str">
        <f>"TAF9"</f>
        <v>TAF9</v>
      </c>
      <c r="B15708" s="6">
        <v>0.84915084915084904</v>
      </c>
      <c r="C15708" s="6">
        <v>0.90359122001065095</v>
      </c>
    </row>
    <row r="15709" spans="1:3" s="7" customFormat="1" x14ac:dyDescent="0.2">
      <c r="A15709" s="6" t="str">
        <f>"ARID4B"</f>
        <v>ARID4B</v>
      </c>
      <c r="B15709" s="6">
        <v>0.85014985014985001</v>
      </c>
      <c r="C15709" s="6">
        <v>0.90419373817401105</v>
      </c>
    </row>
    <row r="15710" spans="1:3" s="7" customFormat="1" x14ac:dyDescent="0.2">
      <c r="A15710" s="6" t="str">
        <f>"KIF3C"</f>
        <v>KIF3C</v>
      </c>
      <c r="B15710" s="6">
        <v>0.85014985014985001</v>
      </c>
      <c r="C15710" s="6">
        <v>0.90419373817401105</v>
      </c>
    </row>
    <row r="15711" spans="1:3" s="7" customFormat="1" x14ac:dyDescent="0.2">
      <c r="A15711" s="6" t="str">
        <f>"UQCC3"</f>
        <v>UQCC3</v>
      </c>
      <c r="B15711" s="6">
        <v>0.85014985014985001</v>
      </c>
      <c r="C15711" s="6">
        <v>0.90419373817401105</v>
      </c>
    </row>
    <row r="15712" spans="1:3" s="7" customFormat="1" x14ac:dyDescent="0.2">
      <c r="A15712" s="6" t="str">
        <f>"AL157700.1"</f>
        <v>AL157700.1</v>
      </c>
      <c r="B15712" s="6">
        <v>0.84984984984984902</v>
      </c>
      <c r="C15712" s="6">
        <v>0.90419373817401105</v>
      </c>
    </row>
    <row r="15713" spans="1:3" s="7" customFormat="1" x14ac:dyDescent="0.2">
      <c r="A15713" s="6" t="str">
        <f>"TXNRD1"</f>
        <v>TXNRD1</v>
      </c>
      <c r="B15713" s="6">
        <v>0.85014985014985001</v>
      </c>
      <c r="C15713" s="6">
        <v>0.90419373817401105</v>
      </c>
    </row>
    <row r="15714" spans="1:3" s="7" customFormat="1" x14ac:dyDescent="0.2">
      <c r="A15714" s="6" t="str">
        <f>"IGSF5"</f>
        <v>IGSF5</v>
      </c>
      <c r="B15714" s="6">
        <v>0.85014985014985001</v>
      </c>
      <c r="C15714" s="6">
        <v>0.90419373817401105</v>
      </c>
    </row>
    <row r="15715" spans="1:3" s="7" customFormat="1" x14ac:dyDescent="0.2">
      <c r="A15715" s="6" t="str">
        <f>"MTERF4"</f>
        <v>MTERF4</v>
      </c>
      <c r="B15715" s="6">
        <v>0.85014985014985001</v>
      </c>
      <c r="C15715" s="6">
        <v>0.90419373817401105</v>
      </c>
    </row>
    <row r="15716" spans="1:3" s="7" customFormat="1" x14ac:dyDescent="0.2">
      <c r="A15716" s="6" t="str">
        <f>"SNX15"</f>
        <v>SNX15</v>
      </c>
      <c r="B15716" s="6">
        <v>0.85014985014985001</v>
      </c>
      <c r="C15716" s="6">
        <v>0.90419373817401105</v>
      </c>
    </row>
    <row r="15717" spans="1:3" s="7" customFormat="1" x14ac:dyDescent="0.2">
      <c r="A15717" s="6" t="str">
        <f>"PPIP5K2"</f>
        <v>PPIP5K2</v>
      </c>
      <c r="B15717" s="6">
        <v>0.85114885114885097</v>
      </c>
      <c r="C15717" s="6">
        <v>0.90445049895745999</v>
      </c>
    </row>
    <row r="15718" spans="1:3" s="7" customFormat="1" x14ac:dyDescent="0.2">
      <c r="A15718" s="6" t="str">
        <f>"RASGRF1"</f>
        <v>RASGRF1</v>
      </c>
      <c r="B15718" s="6">
        <v>0.85114885114885097</v>
      </c>
      <c r="C15718" s="6">
        <v>0.90445049895745999</v>
      </c>
    </row>
    <row r="15719" spans="1:3" s="7" customFormat="1" x14ac:dyDescent="0.2">
      <c r="A15719" s="6" t="str">
        <f>"PCCA-DT"</f>
        <v>PCCA-DT</v>
      </c>
      <c r="B15719" s="6">
        <v>0.85114885114885097</v>
      </c>
      <c r="C15719" s="6">
        <v>0.90445049895745999</v>
      </c>
    </row>
    <row r="15720" spans="1:3" s="7" customFormat="1" x14ac:dyDescent="0.2">
      <c r="A15720" s="6" t="str">
        <f>"GSPT2"</f>
        <v>GSPT2</v>
      </c>
      <c r="B15720" s="6">
        <v>0.85114885114885097</v>
      </c>
      <c r="C15720" s="6">
        <v>0.90445049895745999</v>
      </c>
    </row>
    <row r="15721" spans="1:3" s="7" customFormat="1" x14ac:dyDescent="0.2">
      <c r="A15721" s="6" t="str">
        <f>"PNMA6B"</f>
        <v>PNMA6B</v>
      </c>
      <c r="B15721" s="6">
        <v>0.85070140280561102</v>
      </c>
      <c r="C15721" s="6">
        <v>0.90445049895745999</v>
      </c>
    </row>
    <row r="15722" spans="1:3" s="7" customFormat="1" x14ac:dyDescent="0.2">
      <c r="A15722" s="6" t="str">
        <f>"AMPH"</f>
        <v>AMPH</v>
      </c>
      <c r="B15722" s="6">
        <v>0.85114885114885097</v>
      </c>
      <c r="C15722" s="6">
        <v>0.90445049895745999</v>
      </c>
    </row>
    <row r="15723" spans="1:3" s="7" customFormat="1" x14ac:dyDescent="0.2">
      <c r="A15723" s="6" t="str">
        <f>"NR2F2-AS1"</f>
        <v>NR2F2-AS1</v>
      </c>
      <c r="B15723" s="6">
        <v>0.85114885114885097</v>
      </c>
      <c r="C15723" s="6">
        <v>0.90445049895745999</v>
      </c>
    </row>
    <row r="15724" spans="1:3" s="7" customFormat="1" x14ac:dyDescent="0.2">
      <c r="A15724" s="6" t="str">
        <f>"ARHGAP32"</f>
        <v>ARHGAP32</v>
      </c>
      <c r="B15724" s="6">
        <v>0.85114885114885097</v>
      </c>
      <c r="C15724" s="6">
        <v>0.90445049895745999</v>
      </c>
    </row>
    <row r="15725" spans="1:3" s="7" customFormat="1" x14ac:dyDescent="0.2">
      <c r="A15725" s="6" t="str">
        <f>"LIPC"</f>
        <v>LIPC</v>
      </c>
      <c r="B15725" s="6">
        <v>0.85114885114885097</v>
      </c>
      <c r="C15725" s="6">
        <v>0.90445049895745999</v>
      </c>
    </row>
    <row r="15726" spans="1:3" s="7" customFormat="1" x14ac:dyDescent="0.2">
      <c r="A15726" s="6" t="str">
        <f>"AC099508.1"</f>
        <v>AC099508.1</v>
      </c>
      <c r="B15726" s="6">
        <v>0.85114885114885097</v>
      </c>
      <c r="C15726" s="6">
        <v>0.90445049895745999</v>
      </c>
    </row>
    <row r="15727" spans="1:3" s="7" customFormat="1" x14ac:dyDescent="0.2">
      <c r="A15727" s="6" t="str">
        <f>"AC025283.2"</f>
        <v>AC025283.2</v>
      </c>
      <c r="B15727" s="6">
        <v>0.85091277890466499</v>
      </c>
      <c r="C15727" s="6">
        <v>0.90445049895745999</v>
      </c>
    </row>
    <row r="15728" spans="1:3" s="7" customFormat="1" x14ac:dyDescent="0.2">
      <c r="A15728" s="6" t="str">
        <f>"TMEM256-PLSCR3"</f>
        <v>TMEM256-PLSCR3</v>
      </c>
      <c r="B15728" s="6">
        <v>0.85114885114885097</v>
      </c>
      <c r="C15728" s="6">
        <v>0.90445049895745999</v>
      </c>
    </row>
    <row r="15729" spans="1:3" s="7" customFormat="1" x14ac:dyDescent="0.2">
      <c r="A15729" s="6" t="str">
        <f>"LDC1P"</f>
        <v>LDC1P</v>
      </c>
      <c r="B15729" s="6">
        <v>0.85114885114885097</v>
      </c>
      <c r="C15729" s="6">
        <v>0.90445049895745999</v>
      </c>
    </row>
    <row r="15730" spans="1:3" s="7" customFormat="1" x14ac:dyDescent="0.2">
      <c r="A15730" s="6" t="str">
        <f>"MED7"</f>
        <v>MED7</v>
      </c>
      <c r="B15730" s="6">
        <v>0.85114885114885097</v>
      </c>
      <c r="C15730" s="6">
        <v>0.90445049895745999</v>
      </c>
    </row>
    <row r="15731" spans="1:3" s="7" customFormat="1" x14ac:dyDescent="0.2">
      <c r="A15731" s="6" t="str">
        <f>"SERTAD1"</f>
        <v>SERTAD1</v>
      </c>
      <c r="B15731" s="6">
        <v>0.85214785214785205</v>
      </c>
      <c r="C15731" s="6">
        <v>0.90510845929334505</v>
      </c>
    </row>
    <row r="15732" spans="1:3" s="7" customFormat="1" x14ac:dyDescent="0.2">
      <c r="A15732" s="6" t="str">
        <f>"H2BC18"</f>
        <v>H2BC18</v>
      </c>
      <c r="B15732" s="6">
        <v>0.85214785214785205</v>
      </c>
      <c r="C15732" s="6">
        <v>0.90510845929334505</v>
      </c>
    </row>
    <row r="15733" spans="1:3" s="7" customFormat="1" x14ac:dyDescent="0.2">
      <c r="A15733" s="6" t="str">
        <f>"ARHGEF7"</f>
        <v>ARHGEF7</v>
      </c>
      <c r="B15733" s="6">
        <v>0.85214785214785205</v>
      </c>
      <c r="C15733" s="6">
        <v>0.90510845929334505</v>
      </c>
    </row>
    <row r="15734" spans="1:3" s="7" customFormat="1" x14ac:dyDescent="0.2">
      <c r="A15734" s="6" t="str">
        <f>"VPS52"</f>
        <v>VPS52</v>
      </c>
      <c r="B15734" s="6">
        <v>0.85214785214785205</v>
      </c>
      <c r="C15734" s="6">
        <v>0.90510845929334505</v>
      </c>
    </row>
    <row r="15735" spans="1:3" s="7" customFormat="1" x14ac:dyDescent="0.2">
      <c r="A15735" s="6" t="str">
        <f>"SLC25A21"</f>
        <v>SLC25A21</v>
      </c>
      <c r="B15735" s="6">
        <v>0.85214785214785205</v>
      </c>
      <c r="C15735" s="6">
        <v>0.90510845929334505</v>
      </c>
    </row>
    <row r="15736" spans="1:3" s="7" customFormat="1" x14ac:dyDescent="0.2">
      <c r="A15736" s="6" t="str">
        <f>"SNRPA"</f>
        <v>SNRPA</v>
      </c>
      <c r="B15736" s="6">
        <v>0.85214785214785205</v>
      </c>
      <c r="C15736" s="6">
        <v>0.90510845929334505</v>
      </c>
    </row>
    <row r="15737" spans="1:3" s="7" customFormat="1" x14ac:dyDescent="0.2">
      <c r="A15737" s="6" t="str">
        <f>"H2AC18"</f>
        <v>H2AC18</v>
      </c>
      <c r="B15737" s="6">
        <v>0.85220125786163503</v>
      </c>
      <c r="C15737" s="6">
        <v>0.90510845929334505</v>
      </c>
    </row>
    <row r="15738" spans="1:3" s="7" customFormat="1" x14ac:dyDescent="0.2">
      <c r="A15738" s="6" t="str">
        <f>"AC100781.1"</f>
        <v>AC100781.1</v>
      </c>
      <c r="B15738" s="6">
        <v>0.85214785214785205</v>
      </c>
      <c r="C15738" s="6">
        <v>0.90510845929334505</v>
      </c>
    </row>
    <row r="15739" spans="1:3" s="7" customFormat="1" x14ac:dyDescent="0.2">
      <c r="A15739" s="6" t="str">
        <f>"VWC2"</f>
        <v>VWC2</v>
      </c>
      <c r="B15739" s="6">
        <v>0.85314685314685301</v>
      </c>
      <c r="C15739" s="6">
        <v>0.90542234449784098</v>
      </c>
    </row>
    <row r="15740" spans="1:3" s="7" customFormat="1" x14ac:dyDescent="0.2">
      <c r="A15740" s="6" t="str">
        <f>"SLC9B2"</f>
        <v>SLC9B2</v>
      </c>
      <c r="B15740" s="6">
        <v>0.85314685314685301</v>
      </c>
      <c r="C15740" s="6">
        <v>0.90542234449784098</v>
      </c>
    </row>
    <row r="15741" spans="1:3" s="7" customFormat="1" x14ac:dyDescent="0.2">
      <c r="A15741" s="6" t="str">
        <f>"TMEM182"</f>
        <v>TMEM182</v>
      </c>
      <c r="B15741" s="6">
        <v>0.85314685314685301</v>
      </c>
      <c r="C15741" s="6">
        <v>0.90542234449784098</v>
      </c>
    </row>
    <row r="15742" spans="1:3" s="7" customFormat="1" x14ac:dyDescent="0.2">
      <c r="A15742" s="6" t="str">
        <f>"MEIOB"</f>
        <v>MEIOB</v>
      </c>
      <c r="B15742" s="6">
        <v>0.85314685314685301</v>
      </c>
      <c r="C15742" s="6">
        <v>0.90542234449784098</v>
      </c>
    </row>
    <row r="15743" spans="1:3" s="7" customFormat="1" x14ac:dyDescent="0.2">
      <c r="A15743" s="6" t="str">
        <f>"SPIC"</f>
        <v>SPIC</v>
      </c>
      <c r="B15743" s="6">
        <v>0.85314685314685301</v>
      </c>
      <c r="C15743" s="6">
        <v>0.90542234449784098</v>
      </c>
    </row>
    <row r="15744" spans="1:3" s="7" customFormat="1" x14ac:dyDescent="0.2">
      <c r="A15744" s="6" t="str">
        <f>"ZNF430"</f>
        <v>ZNF430</v>
      </c>
      <c r="B15744" s="6">
        <v>0.85314685314685301</v>
      </c>
      <c r="C15744" s="6">
        <v>0.90542234449784098</v>
      </c>
    </row>
    <row r="15745" spans="1:3" s="7" customFormat="1" x14ac:dyDescent="0.2">
      <c r="A15745" s="6" t="str">
        <f>"MAPK8IP2"</f>
        <v>MAPK8IP2</v>
      </c>
      <c r="B15745" s="6">
        <v>0.85314685314685301</v>
      </c>
      <c r="C15745" s="6">
        <v>0.90542234449784098</v>
      </c>
    </row>
    <row r="15746" spans="1:3" s="7" customFormat="1" x14ac:dyDescent="0.2">
      <c r="A15746" s="6" t="str">
        <f>"AC025287.1"</f>
        <v>AC025287.1</v>
      </c>
      <c r="B15746" s="6">
        <v>0.85266457680250696</v>
      </c>
      <c r="C15746" s="6">
        <v>0.90542234449784098</v>
      </c>
    </row>
    <row r="15747" spans="1:3" s="7" customFormat="1" x14ac:dyDescent="0.2">
      <c r="A15747" s="6" t="str">
        <f>"PFN1P2"</f>
        <v>PFN1P2</v>
      </c>
      <c r="B15747" s="6">
        <v>0.85314685314685301</v>
      </c>
      <c r="C15747" s="6">
        <v>0.90542234449784098</v>
      </c>
    </row>
    <row r="15748" spans="1:3" s="7" customFormat="1" x14ac:dyDescent="0.2">
      <c r="A15748" s="6" t="str">
        <f>"AC005041.2"</f>
        <v>AC005041.2</v>
      </c>
      <c r="B15748" s="6">
        <v>0.85314685314685301</v>
      </c>
      <c r="C15748" s="6">
        <v>0.90542234449784098</v>
      </c>
    </row>
    <row r="15749" spans="1:3" s="7" customFormat="1" x14ac:dyDescent="0.2">
      <c r="A15749" s="6" t="str">
        <f>"LINC02610"</f>
        <v>LINC02610</v>
      </c>
      <c r="B15749" s="6">
        <v>0.85314685314685301</v>
      </c>
      <c r="C15749" s="6">
        <v>0.90542234449784098</v>
      </c>
    </row>
    <row r="15750" spans="1:3" s="7" customFormat="1" x14ac:dyDescent="0.2">
      <c r="A15750" s="6" t="str">
        <f>"AC112172.2"</f>
        <v>AC112172.2</v>
      </c>
      <c r="B15750" s="6">
        <v>0.85270541082164297</v>
      </c>
      <c r="C15750" s="6">
        <v>0.90542234449784098</v>
      </c>
    </row>
    <row r="15751" spans="1:3" s="7" customFormat="1" x14ac:dyDescent="0.2">
      <c r="A15751" s="6" t="str">
        <f>"LINC01237"</f>
        <v>LINC01237</v>
      </c>
      <c r="B15751" s="6">
        <v>0.85353535353535304</v>
      </c>
      <c r="C15751" s="6">
        <v>0.90577713644380298</v>
      </c>
    </row>
    <row r="15752" spans="1:3" s="7" customFormat="1" x14ac:dyDescent="0.2">
      <c r="A15752" s="6" t="str">
        <f>"PIGA"</f>
        <v>PIGA</v>
      </c>
      <c r="B15752" s="6">
        <v>0.85399999999999998</v>
      </c>
      <c r="C15752" s="6">
        <v>0.90602232697809204</v>
      </c>
    </row>
    <row r="15753" spans="1:3" s="7" customFormat="1" x14ac:dyDescent="0.2">
      <c r="A15753" s="6" t="str">
        <f>"TNK1"</f>
        <v>TNK1</v>
      </c>
      <c r="B15753" s="6">
        <v>0.85414585414585398</v>
      </c>
      <c r="C15753" s="6">
        <v>0.90602232697809204</v>
      </c>
    </row>
    <row r="15754" spans="1:3" s="7" customFormat="1" x14ac:dyDescent="0.2">
      <c r="A15754" s="6" t="str">
        <f>"ACKR4P1"</f>
        <v>ACKR4P1</v>
      </c>
      <c r="B15754" s="6">
        <v>0.85414585414585398</v>
      </c>
      <c r="C15754" s="6">
        <v>0.90602232697809204</v>
      </c>
    </row>
    <row r="15755" spans="1:3" s="7" customFormat="1" x14ac:dyDescent="0.2">
      <c r="A15755" s="6" t="str">
        <f>"PEBP4"</f>
        <v>PEBP4</v>
      </c>
      <c r="B15755" s="6">
        <v>0.85414585414585398</v>
      </c>
      <c r="C15755" s="6">
        <v>0.90602232697809204</v>
      </c>
    </row>
    <row r="15756" spans="1:3" s="7" customFormat="1" x14ac:dyDescent="0.2">
      <c r="A15756" s="6" t="str">
        <f>"HIC2"</f>
        <v>HIC2</v>
      </c>
      <c r="B15756" s="6">
        <v>0.85414585414585398</v>
      </c>
      <c r="C15756" s="6">
        <v>0.90602232697809204</v>
      </c>
    </row>
    <row r="15757" spans="1:3" s="7" customFormat="1" x14ac:dyDescent="0.2">
      <c r="A15757" s="6" t="str">
        <f>"COPS3"</f>
        <v>COPS3</v>
      </c>
      <c r="B15757" s="6">
        <v>0.85414585414585398</v>
      </c>
      <c r="C15757" s="6">
        <v>0.90602232697809204</v>
      </c>
    </row>
    <row r="15758" spans="1:3" s="7" customFormat="1" x14ac:dyDescent="0.2">
      <c r="A15758" s="6" t="str">
        <f>"DHRS3"</f>
        <v>DHRS3</v>
      </c>
      <c r="B15758" s="6">
        <v>0.85414585414585398</v>
      </c>
      <c r="C15758" s="6">
        <v>0.90602232697809204</v>
      </c>
    </row>
    <row r="15759" spans="1:3" s="7" customFormat="1" x14ac:dyDescent="0.2">
      <c r="A15759" s="6" t="str">
        <f>"SEC22B3P"</f>
        <v>SEC22B3P</v>
      </c>
      <c r="B15759" s="6">
        <v>0.85431841831425603</v>
      </c>
      <c r="C15759" s="6">
        <v>0.90614786417721005</v>
      </c>
    </row>
    <row r="15760" spans="1:3" s="7" customFormat="1" x14ac:dyDescent="0.2">
      <c r="A15760" s="6" t="str">
        <f>"AC005005.3"</f>
        <v>AC005005.3</v>
      </c>
      <c r="B15760" s="6">
        <v>0.85485485485485402</v>
      </c>
      <c r="C15760" s="6">
        <v>0.90665930858836496</v>
      </c>
    </row>
    <row r="15761" spans="1:3" s="7" customFormat="1" x14ac:dyDescent="0.2">
      <c r="A15761" s="6" t="str">
        <f>"SFPQ"</f>
        <v>SFPQ</v>
      </c>
      <c r="B15761" s="6">
        <v>0.85514485514485505</v>
      </c>
      <c r="C15761" s="6">
        <v>0.90667921269291396</v>
      </c>
    </row>
    <row r="15762" spans="1:3" s="7" customFormat="1" x14ac:dyDescent="0.2">
      <c r="A15762" s="6" t="str">
        <f>"AC073283.3"</f>
        <v>AC073283.3</v>
      </c>
      <c r="B15762" s="6">
        <v>0.85499999999999998</v>
      </c>
      <c r="C15762" s="6">
        <v>0.90667921269291396</v>
      </c>
    </row>
    <row r="15763" spans="1:3" s="7" customFormat="1" x14ac:dyDescent="0.2">
      <c r="A15763" s="6" t="str">
        <f>"SPON2"</f>
        <v>SPON2</v>
      </c>
      <c r="B15763" s="6">
        <v>0.85514485514485505</v>
      </c>
      <c r="C15763" s="6">
        <v>0.90667921269291396</v>
      </c>
    </row>
    <row r="15764" spans="1:3" s="7" customFormat="1" x14ac:dyDescent="0.2">
      <c r="A15764" s="6" t="str">
        <f>"PALM3"</f>
        <v>PALM3</v>
      </c>
      <c r="B15764" s="6">
        <v>0.85514485514485505</v>
      </c>
      <c r="C15764" s="6">
        <v>0.90667921269291396</v>
      </c>
    </row>
    <row r="15765" spans="1:3" s="7" customFormat="1" x14ac:dyDescent="0.2">
      <c r="A15765" s="6" t="str">
        <f>"C1orf122"</f>
        <v>C1orf122</v>
      </c>
      <c r="B15765" s="6">
        <v>0.85514485514485505</v>
      </c>
      <c r="C15765" s="6">
        <v>0.90667921269291396</v>
      </c>
    </row>
    <row r="15766" spans="1:3" s="7" customFormat="1" x14ac:dyDescent="0.2">
      <c r="A15766" s="6" t="str">
        <f>"AC010531.1"</f>
        <v>AC010531.1</v>
      </c>
      <c r="B15766" s="6">
        <v>0.85614385614385602</v>
      </c>
      <c r="C15766" s="6">
        <v>0.90727798703958895</v>
      </c>
    </row>
    <row r="15767" spans="1:3" s="7" customFormat="1" x14ac:dyDescent="0.2">
      <c r="A15767" s="6" t="str">
        <f>"UXS1"</f>
        <v>UXS1</v>
      </c>
      <c r="B15767" s="6">
        <v>0.85614385614385602</v>
      </c>
      <c r="C15767" s="6">
        <v>0.90727798703958895</v>
      </c>
    </row>
    <row r="15768" spans="1:3" s="7" customFormat="1" x14ac:dyDescent="0.2">
      <c r="A15768" s="6" t="str">
        <f>"HLA-DPB2"</f>
        <v>HLA-DPB2</v>
      </c>
      <c r="B15768" s="6">
        <v>0.85614385614385602</v>
      </c>
      <c r="C15768" s="6">
        <v>0.90727798703958895</v>
      </c>
    </row>
    <row r="15769" spans="1:3" s="7" customFormat="1" x14ac:dyDescent="0.2">
      <c r="A15769" s="6" t="str">
        <f>"SPOCD1"</f>
        <v>SPOCD1</v>
      </c>
      <c r="B15769" s="6">
        <v>0.85614385614385602</v>
      </c>
      <c r="C15769" s="6">
        <v>0.90727798703958895</v>
      </c>
    </row>
    <row r="15770" spans="1:3" s="7" customFormat="1" x14ac:dyDescent="0.2">
      <c r="A15770" s="6" t="str">
        <f>"SMCR8"</f>
        <v>SMCR8</v>
      </c>
      <c r="B15770" s="6">
        <v>0.85614385614385602</v>
      </c>
      <c r="C15770" s="6">
        <v>0.90727798703958895</v>
      </c>
    </row>
    <row r="15771" spans="1:3" s="7" customFormat="1" x14ac:dyDescent="0.2">
      <c r="A15771" s="6" t="str">
        <f>"SLC44A3"</f>
        <v>SLC44A3</v>
      </c>
      <c r="B15771" s="6">
        <v>0.85614385614385602</v>
      </c>
      <c r="C15771" s="6">
        <v>0.90727798703958895</v>
      </c>
    </row>
    <row r="15772" spans="1:3" s="7" customFormat="1" x14ac:dyDescent="0.2">
      <c r="A15772" s="6" t="str">
        <f>"BX004807.1"</f>
        <v>BX004807.1</v>
      </c>
      <c r="B15772" s="6">
        <v>0.85614385614385602</v>
      </c>
      <c r="C15772" s="6">
        <v>0.90727798703958895</v>
      </c>
    </row>
    <row r="15773" spans="1:3" s="7" customFormat="1" x14ac:dyDescent="0.2">
      <c r="A15773" s="6" t="str">
        <f>"CMC1"</f>
        <v>CMC1</v>
      </c>
      <c r="B15773" s="6">
        <v>0.85614385614385602</v>
      </c>
      <c r="C15773" s="6">
        <v>0.90727798703958895</v>
      </c>
    </row>
    <row r="15774" spans="1:3" s="7" customFormat="1" x14ac:dyDescent="0.2">
      <c r="A15774" s="6" t="str">
        <f>"NR6A1"</f>
        <v>NR6A1</v>
      </c>
      <c r="B15774" s="6">
        <v>0.85714285714285698</v>
      </c>
      <c r="C15774" s="6">
        <v>0.90793369125329304</v>
      </c>
    </row>
    <row r="15775" spans="1:3" s="7" customFormat="1" x14ac:dyDescent="0.2">
      <c r="A15775" s="6" t="str">
        <f>"AL669942.1"</f>
        <v>AL669942.1</v>
      </c>
      <c r="B15775" s="6">
        <v>0.85714285714285698</v>
      </c>
      <c r="C15775" s="6">
        <v>0.90793369125329304</v>
      </c>
    </row>
    <row r="15776" spans="1:3" s="7" customFormat="1" x14ac:dyDescent="0.2">
      <c r="A15776" s="6" t="str">
        <f>"NLRX1"</f>
        <v>NLRX1</v>
      </c>
      <c r="B15776" s="6">
        <v>0.85714285714285698</v>
      </c>
      <c r="C15776" s="6">
        <v>0.90793369125329304</v>
      </c>
    </row>
    <row r="15777" spans="1:3" s="7" customFormat="1" x14ac:dyDescent="0.2">
      <c r="A15777" s="6" t="str">
        <f>"TCEA1P2"</f>
        <v>TCEA1P2</v>
      </c>
      <c r="B15777" s="6">
        <v>0.85714285714285698</v>
      </c>
      <c r="C15777" s="6">
        <v>0.90793369125329304</v>
      </c>
    </row>
    <row r="15778" spans="1:3" s="7" customFormat="1" x14ac:dyDescent="0.2">
      <c r="A15778" s="6" t="str">
        <f>"AC073840.1"</f>
        <v>AC073840.1</v>
      </c>
      <c r="B15778" s="6">
        <v>0.85699999999999998</v>
      </c>
      <c r="C15778" s="6">
        <v>0.90793369125329304</v>
      </c>
    </row>
    <row r="15779" spans="1:3" s="7" customFormat="1" x14ac:dyDescent="0.2">
      <c r="A15779" s="6" t="str">
        <f>"BMS1P7"</f>
        <v>BMS1P7</v>
      </c>
      <c r="B15779" s="6">
        <v>0.85699999999999998</v>
      </c>
      <c r="C15779" s="6">
        <v>0.90793369125329304</v>
      </c>
    </row>
    <row r="15780" spans="1:3" s="7" customFormat="1" x14ac:dyDescent="0.2">
      <c r="A15780" s="6" t="str">
        <f>"DGKE"</f>
        <v>DGKE</v>
      </c>
      <c r="B15780" s="6">
        <v>0.85714285714285698</v>
      </c>
      <c r="C15780" s="6">
        <v>0.90793369125329304</v>
      </c>
    </row>
    <row r="15781" spans="1:3" s="7" customFormat="1" x14ac:dyDescent="0.2">
      <c r="A15781" s="6" t="str">
        <f>"H3P16"</f>
        <v>H3P16</v>
      </c>
      <c r="B15781" s="6">
        <v>0.85728643216080402</v>
      </c>
      <c r="C15781" s="6">
        <v>0.908028227321652</v>
      </c>
    </row>
    <row r="15782" spans="1:3" s="7" customFormat="1" x14ac:dyDescent="0.2">
      <c r="A15782" s="6" t="str">
        <f>"C6orf62"</f>
        <v>C6orf62</v>
      </c>
      <c r="B15782" s="6">
        <v>0.85814185814185795</v>
      </c>
      <c r="C15782" s="6">
        <v>0.90830112196713397</v>
      </c>
    </row>
    <row r="15783" spans="1:3" s="7" customFormat="1" x14ac:dyDescent="0.2">
      <c r="A15783" s="6" t="str">
        <f>"TMEM44"</f>
        <v>TMEM44</v>
      </c>
      <c r="B15783" s="6">
        <v>0.85814185814185795</v>
      </c>
      <c r="C15783" s="6">
        <v>0.90830112196713397</v>
      </c>
    </row>
    <row r="15784" spans="1:3" s="7" customFormat="1" x14ac:dyDescent="0.2">
      <c r="A15784" s="6" t="str">
        <f>"TIMM22"</f>
        <v>TIMM22</v>
      </c>
      <c r="B15784" s="6">
        <v>0.85814185814185795</v>
      </c>
      <c r="C15784" s="6">
        <v>0.90830112196713397</v>
      </c>
    </row>
    <row r="15785" spans="1:3" s="7" customFormat="1" x14ac:dyDescent="0.2">
      <c r="A15785" s="6" t="str">
        <f>"ZNRF2P2"</f>
        <v>ZNRF2P2</v>
      </c>
      <c r="B15785" s="6">
        <v>0.85814185814185795</v>
      </c>
      <c r="C15785" s="6">
        <v>0.90830112196713397</v>
      </c>
    </row>
    <row r="15786" spans="1:3" s="7" customFormat="1" x14ac:dyDescent="0.2">
      <c r="A15786" s="6" t="str">
        <f>"BX664727.3"</f>
        <v>BX664727.3</v>
      </c>
      <c r="B15786" s="6">
        <v>0.85814185814185795</v>
      </c>
      <c r="C15786" s="6">
        <v>0.90830112196713397</v>
      </c>
    </row>
    <row r="15787" spans="1:3" s="7" customFormat="1" x14ac:dyDescent="0.2">
      <c r="A15787" s="6" t="str">
        <f>"ZNF442"</f>
        <v>ZNF442</v>
      </c>
      <c r="B15787" s="6">
        <v>0.85814185814185795</v>
      </c>
      <c r="C15787" s="6">
        <v>0.90830112196713397</v>
      </c>
    </row>
    <row r="15788" spans="1:3" s="7" customFormat="1" x14ac:dyDescent="0.2">
      <c r="A15788" s="6" t="str">
        <f>"AC138866.1"</f>
        <v>AC138866.1</v>
      </c>
      <c r="B15788" s="6">
        <v>0.85814185814185795</v>
      </c>
      <c r="C15788" s="6">
        <v>0.90830112196713397</v>
      </c>
    </row>
    <row r="15789" spans="1:3" s="7" customFormat="1" x14ac:dyDescent="0.2">
      <c r="A15789" s="6" t="str">
        <f>"GEMIN6"</f>
        <v>GEMIN6</v>
      </c>
      <c r="B15789" s="6">
        <v>0.85814185814185795</v>
      </c>
      <c r="C15789" s="6">
        <v>0.90830112196713397</v>
      </c>
    </row>
    <row r="15790" spans="1:3" s="7" customFormat="1" x14ac:dyDescent="0.2">
      <c r="A15790" s="6" t="str">
        <f>"PRB2"</f>
        <v>PRB2</v>
      </c>
      <c r="B15790" s="6">
        <v>0.85814185814185795</v>
      </c>
      <c r="C15790" s="6">
        <v>0.90830112196713397</v>
      </c>
    </row>
    <row r="15791" spans="1:3" s="7" customFormat="1" x14ac:dyDescent="0.2">
      <c r="A15791" s="6" t="str">
        <f>"PDSS2"</f>
        <v>PDSS2</v>
      </c>
      <c r="B15791" s="6">
        <v>0.85814185814185795</v>
      </c>
      <c r="C15791" s="6">
        <v>0.90830112196713397</v>
      </c>
    </row>
    <row r="15792" spans="1:3" s="7" customFormat="1" x14ac:dyDescent="0.2">
      <c r="A15792" s="6" t="str">
        <f>"LINC01977"</f>
        <v>LINC01977</v>
      </c>
      <c r="B15792" s="6">
        <v>0.85814185814185795</v>
      </c>
      <c r="C15792" s="6">
        <v>0.90830112196713397</v>
      </c>
    </row>
    <row r="15793" spans="1:3" s="7" customFormat="1" x14ac:dyDescent="0.2">
      <c r="A15793" s="6" t="str">
        <f>"AL356805.1"</f>
        <v>AL356805.1</v>
      </c>
      <c r="B15793" s="6">
        <v>0.85914085914085903</v>
      </c>
      <c r="C15793" s="6">
        <v>0.90895558423093503</v>
      </c>
    </row>
    <row r="15794" spans="1:3" s="7" customFormat="1" x14ac:dyDescent="0.2">
      <c r="A15794" s="6" t="str">
        <f>"AC111000.4"</f>
        <v>AC111000.4</v>
      </c>
      <c r="B15794" s="6">
        <v>0.85914085914085903</v>
      </c>
      <c r="C15794" s="6">
        <v>0.90895558423093503</v>
      </c>
    </row>
    <row r="15795" spans="1:3" s="7" customFormat="1" x14ac:dyDescent="0.2">
      <c r="A15795" s="6" t="str">
        <f>"PTBP1P"</f>
        <v>PTBP1P</v>
      </c>
      <c r="B15795" s="6">
        <v>0.85899999999999999</v>
      </c>
      <c r="C15795" s="6">
        <v>0.90895558423093503</v>
      </c>
    </row>
    <row r="15796" spans="1:3" s="7" customFormat="1" x14ac:dyDescent="0.2">
      <c r="A15796" s="6" t="str">
        <f>"SPTLC1"</f>
        <v>SPTLC1</v>
      </c>
      <c r="B15796" s="6">
        <v>0.85914085914085903</v>
      </c>
      <c r="C15796" s="6">
        <v>0.90895558423093503</v>
      </c>
    </row>
    <row r="15797" spans="1:3" s="7" customFormat="1" x14ac:dyDescent="0.2">
      <c r="A15797" s="6" t="str">
        <f>"AL355312.5"</f>
        <v>AL355312.5</v>
      </c>
      <c r="B15797" s="6">
        <v>0.85914085914085903</v>
      </c>
      <c r="C15797" s="6">
        <v>0.90895558423093503</v>
      </c>
    </row>
    <row r="15798" spans="1:3" s="7" customFormat="1" x14ac:dyDescent="0.2">
      <c r="A15798" s="6" t="str">
        <f>"AL691447.2"</f>
        <v>AL691447.2</v>
      </c>
      <c r="B15798" s="6">
        <v>0.85914085914085903</v>
      </c>
      <c r="C15798" s="6">
        <v>0.90895558423093503</v>
      </c>
    </row>
    <row r="15799" spans="1:3" s="7" customFormat="1" x14ac:dyDescent="0.2">
      <c r="A15799" s="6" t="str">
        <f>"H3C6"</f>
        <v>H3C6</v>
      </c>
      <c r="B15799" s="6">
        <v>0.85914085914085903</v>
      </c>
      <c r="C15799" s="6">
        <v>0.90895558423093503</v>
      </c>
    </row>
    <row r="15800" spans="1:3" s="7" customFormat="1" x14ac:dyDescent="0.2">
      <c r="A15800" s="6" t="str">
        <f>"RPS2"</f>
        <v>RPS2</v>
      </c>
      <c r="B15800" s="6">
        <v>0.86013986013985999</v>
      </c>
      <c r="C15800" s="6">
        <v>0.90989731787200101</v>
      </c>
    </row>
    <row r="15801" spans="1:3" s="7" customFormat="1" x14ac:dyDescent="0.2">
      <c r="A15801" s="6" t="str">
        <f>"AC074194.1"</f>
        <v>AC074194.1</v>
      </c>
      <c r="B15801" s="6">
        <v>0.86013986013985999</v>
      </c>
      <c r="C15801" s="6">
        <v>0.90989731787200101</v>
      </c>
    </row>
    <row r="15802" spans="1:3" s="7" customFormat="1" x14ac:dyDescent="0.2">
      <c r="A15802" s="6" t="str">
        <f>"NFYA"</f>
        <v>NFYA</v>
      </c>
      <c r="B15802" s="6">
        <v>0.86113886113886096</v>
      </c>
      <c r="C15802" s="6">
        <v>0.91049310001739103</v>
      </c>
    </row>
    <row r="15803" spans="1:3" s="7" customFormat="1" x14ac:dyDescent="0.2">
      <c r="A15803" s="6" t="str">
        <f>"NABP2"</f>
        <v>NABP2</v>
      </c>
      <c r="B15803" s="6">
        <v>0.86113886113886096</v>
      </c>
      <c r="C15803" s="6">
        <v>0.91049310001739103</v>
      </c>
    </row>
    <row r="15804" spans="1:3" s="7" customFormat="1" x14ac:dyDescent="0.2">
      <c r="A15804" s="6" t="str">
        <f>"CD1E"</f>
        <v>CD1E</v>
      </c>
      <c r="B15804" s="6">
        <v>0.86113886113886096</v>
      </c>
      <c r="C15804" s="6">
        <v>0.91049310001739103</v>
      </c>
    </row>
    <row r="15805" spans="1:3" s="7" customFormat="1" x14ac:dyDescent="0.2">
      <c r="A15805" s="6" t="str">
        <f>"GAPLINC"</f>
        <v>GAPLINC</v>
      </c>
      <c r="B15805" s="6">
        <v>0.86113886113886096</v>
      </c>
      <c r="C15805" s="6">
        <v>0.91049310001739103</v>
      </c>
    </row>
    <row r="15806" spans="1:3" s="7" customFormat="1" x14ac:dyDescent="0.2">
      <c r="A15806" s="6" t="str">
        <f>"NID2"</f>
        <v>NID2</v>
      </c>
      <c r="B15806" s="6">
        <v>0.86113886113886096</v>
      </c>
      <c r="C15806" s="6">
        <v>0.91049310001739103</v>
      </c>
    </row>
    <row r="15807" spans="1:3" s="7" customFormat="1" x14ac:dyDescent="0.2">
      <c r="A15807" s="6" t="str">
        <f>"ZNF767P"</f>
        <v>ZNF767P</v>
      </c>
      <c r="B15807" s="6">
        <v>0.86113886113886096</v>
      </c>
      <c r="C15807" s="6">
        <v>0.91049310001739103</v>
      </c>
    </row>
    <row r="15808" spans="1:3" s="7" customFormat="1" x14ac:dyDescent="0.2">
      <c r="A15808" s="6" t="str">
        <f>"AC018638.6"</f>
        <v>AC018638.6</v>
      </c>
      <c r="B15808" s="6">
        <v>0.86113886113886096</v>
      </c>
      <c r="C15808" s="6">
        <v>0.91049310001739103</v>
      </c>
    </row>
    <row r="15809" spans="1:3" s="7" customFormat="1" x14ac:dyDescent="0.2">
      <c r="A15809" s="6" t="str">
        <f>"LINC00937"</f>
        <v>LINC00937</v>
      </c>
      <c r="B15809" s="6">
        <v>0.86113886113886096</v>
      </c>
      <c r="C15809" s="6">
        <v>0.91049310001739103</v>
      </c>
    </row>
    <row r="15810" spans="1:3" s="7" customFormat="1" x14ac:dyDescent="0.2">
      <c r="A15810" s="6" t="str">
        <f>"AC137630.1"</f>
        <v>AC137630.1</v>
      </c>
      <c r="B15810" s="6">
        <v>0.86213786213786203</v>
      </c>
      <c r="C15810" s="6">
        <v>0.91120350498116998</v>
      </c>
    </row>
    <row r="15811" spans="1:3" s="7" customFormat="1" x14ac:dyDescent="0.2">
      <c r="A15811" s="6" t="str">
        <f>"ZNF492"</f>
        <v>ZNF492</v>
      </c>
      <c r="B15811" s="6">
        <v>0.86213786213786203</v>
      </c>
      <c r="C15811" s="6">
        <v>0.91120350498116998</v>
      </c>
    </row>
    <row r="15812" spans="1:3" s="7" customFormat="1" x14ac:dyDescent="0.2">
      <c r="A15812" s="6" t="str">
        <f>"TRMT12"</f>
        <v>TRMT12</v>
      </c>
      <c r="B15812" s="6">
        <v>0.86213786213786203</v>
      </c>
      <c r="C15812" s="6">
        <v>0.91120350498116998</v>
      </c>
    </row>
    <row r="15813" spans="1:3" s="7" customFormat="1" x14ac:dyDescent="0.2">
      <c r="A15813" s="6" t="str">
        <f>"KRT16P4"</f>
        <v>KRT16P4</v>
      </c>
      <c r="B15813" s="6">
        <v>0.86213786213786203</v>
      </c>
      <c r="C15813" s="6">
        <v>0.91120350498116998</v>
      </c>
    </row>
    <row r="15814" spans="1:3" s="7" customFormat="1" x14ac:dyDescent="0.2">
      <c r="A15814" s="6" t="str">
        <f>"FAM3A"</f>
        <v>FAM3A</v>
      </c>
      <c r="B15814" s="6">
        <v>0.86213786213786203</v>
      </c>
      <c r="C15814" s="6">
        <v>0.91120350498116998</v>
      </c>
    </row>
    <row r="15815" spans="1:3" s="7" customFormat="1" x14ac:dyDescent="0.2">
      <c r="A15815" s="6" t="str">
        <f>"FZD3"</f>
        <v>FZD3</v>
      </c>
      <c r="B15815" s="6">
        <v>0.86213786213786203</v>
      </c>
      <c r="C15815" s="6">
        <v>0.91120350498116998</v>
      </c>
    </row>
    <row r="15816" spans="1:3" s="7" customFormat="1" x14ac:dyDescent="0.2">
      <c r="A15816" s="6" t="str">
        <f>"RHOC"</f>
        <v>RHOC</v>
      </c>
      <c r="B15816" s="6">
        <v>0.863136863136863</v>
      </c>
      <c r="C15816" s="6">
        <v>0.91179809951141</v>
      </c>
    </row>
    <row r="15817" spans="1:3" s="7" customFormat="1" x14ac:dyDescent="0.2">
      <c r="A15817" s="6" t="str">
        <f>"AC010889.2"</f>
        <v>AC010889.2</v>
      </c>
      <c r="B15817" s="6">
        <v>0.86286286286286196</v>
      </c>
      <c r="C15817" s="6">
        <v>0.91179809951141</v>
      </c>
    </row>
    <row r="15818" spans="1:3" s="7" customFormat="1" x14ac:dyDescent="0.2">
      <c r="A15818" s="6" t="str">
        <f>"REC8"</f>
        <v>REC8</v>
      </c>
      <c r="B15818" s="6">
        <v>0.863136863136863</v>
      </c>
      <c r="C15818" s="6">
        <v>0.91179809951141</v>
      </c>
    </row>
    <row r="15819" spans="1:3" s="7" customFormat="1" x14ac:dyDescent="0.2">
      <c r="A15819" s="6" t="str">
        <f>"AL357673.1"</f>
        <v>AL357673.1</v>
      </c>
      <c r="B15819" s="6">
        <v>0.863136863136863</v>
      </c>
      <c r="C15819" s="6">
        <v>0.91179809951141</v>
      </c>
    </row>
    <row r="15820" spans="1:3" s="7" customFormat="1" x14ac:dyDescent="0.2">
      <c r="A15820" s="6" t="str">
        <f>"MEG3"</f>
        <v>MEG3</v>
      </c>
      <c r="B15820" s="6">
        <v>0.863136863136863</v>
      </c>
      <c r="C15820" s="6">
        <v>0.91179809951141</v>
      </c>
    </row>
    <row r="15821" spans="1:3" s="7" customFormat="1" x14ac:dyDescent="0.2">
      <c r="A15821" s="6" t="str">
        <f>"FRZB"</f>
        <v>FRZB</v>
      </c>
      <c r="B15821" s="6">
        <v>0.863136863136863</v>
      </c>
      <c r="C15821" s="6">
        <v>0.91179809951141</v>
      </c>
    </row>
    <row r="15822" spans="1:3" s="7" customFormat="1" x14ac:dyDescent="0.2">
      <c r="A15822" s="6" t="str">
        <f>"DGKB"</f>
        <v>DGKB</v>
      </c>
      <c r="B15822" s="6">
        <v>0.863136863136863</v>
      </c>
      <c r="C15822" s="6">
        <v>0.91179809951141</v>
      </c>
    </row>
    <row r="15823" spans="1:3" s="7" customFormat="1" x14ac:dyDescent="0.2">
      <c r="A15823" s="6" t="str">
        <f>"MSTO2P"</f>
        <v>MSTO2P</v>
      </c>
      <c r="B15823" s="6">
        <v>0.863136863136863</v>
      </c>
      <c r="C15823" s="6">
        <v>0.91179809951141</v>
      </c>
    </row>
    <row r="15824" spans="1:3" s="7" customFormat="1" x14ac:dyDescent="0.2">
      <c r="A15824" s="6" t="str">
        <f>"CPLX1"</f>
        <v>CPLX1</v>
      </c>
      <c r="B15824" s="6">
        <v>0.86413586413586396</v>
      </c>
      <c r="C15824" s="6">
        <v>0.91268036860453905</v>
      </c>
    </row>
    <row r="15825" spans="1:3" s="7" customFormat="1" x14ac:dyDescent="0.2">
      <c r="A15825" s="6" t="str">
        <f>"MVB12A"</f>
        <v>MVB12A</v>
      </c>
      <c r="B15825" s="6">
        <v>0.86413586413586396</v>
      </c>
      <c r="C15825" s="6">
        <v>0.91268036860453905</v>
      </c>
    </row>
    <row r="15826" spans="1:3" s="7" customFormat="1" x14ac:dyDescent="0.2">
      <c r="A15826" s="6" t="str">
        <f>"EP400"</f>
        <v>EP400</v>
      </c>
      <c r="B15826" s="6">
        <v>0.86413586413586396</v>
      </c>
      <c r="C15826" s="6">
        <v>0.91268036860453905</v>
      </c>
    </row>
    <row r="15827" spans="1:3" s="7" customFormat="1" x14ac:dyDescent="0.2">
      <c r="A15827" s="6" t="str">
        <f>"RGS4"</f>
        <v>RGS4</v>
      </c>
      <c r="B15827" s="6">
        <v>0.86513486513486504</v>
      </c>
      <c r="C15827" s="6">
        <v>0.91304313543373905</v>
      </c>
    </row>
    <row r="15828" spans="1:3" s="7" customFormat="1" x14ac:dyDescent="0.2">
      <c r="A15828" s="6" t="str">
        <f>"MFSD2A"</f>
        <v>MFSD2A</v>
      </c>
      <c r="B15828" s="6">
        <v>0.86513486513486504</v>
      </c>
      <c r="C15828" s="6">
        <v>0.91304313543373905</v>
      </c>
    </row>
    <row r="15829" spans="1:3" s="7" customFormat="1" x14ac:dyDescent="0.2">
      <c r="A15829" s="6" t="str">
        <f>"BX088651.4"</f>
        <v>BX088651.4</v>
      </c>
      <c r="B15829" s="6">
        <v>0.86499999999999999</v>
      </c>
      <c r="C15829" s="6">
        <v>0.91304313543373905</v>
      </c>
    </row>
    <row r="15830" spans="1:3" s="7" customFormat="1" x14ac:dyDescent="0.2">
      <c r="A15830" s="6" t="str">
        <f>"MTUS1"</f>
        <v>MTUS1</v>
      </c>
      <c r="B15830" s="6">
        <v>0.86513486513486504</v>
      </c>
      <c r="C15830" s="6">
        <v>0.91304313543373905</v>
      </c>
    </row>
    <row r="15831" spans="1:3" s="7" customFormat="1" x14ac:dyDescent="0.2">
      <c r="A15831" s="6" t="str">
        <f>"OTOP1"</f>
        <v>OTOP1</v>
      </c>
      <c r="B15831" s="6">
        <v>0.86513486513486504</v>
      </c>
      <c r="C15831" s="6">
        <v>0.91304313543373905</v>
      </c>
    </row>
    <row r="15832" spans="1:3" s="7" customFormat="1" x14ac:dyDescent="0.2">
      <c r="A15832" s="6" t="str">
        <f>"CCDC42"</f>
        <v>CCDC42</v>
      </c>
      <c r="B15832" s="6">
        <v>0.86513486513486504</v>
      </c>
      <c r="C15832" s="6">
        <v>0.91304313543373905</v>
      </c>
    </row>
    <row r="15833" spans="1:3" s="7" customFormat="1" x14ac:dyDescent="0.2">
      <c r="A15833" s="6" t="str">
        <f>"ZNF431"</f>
        <v>ZNF431</v>
      </c>
      <c r="B15833" s="6">
        <v>0.86513486513486504</v>
      </c>
      <c r="C15833" s="6">
        <v>0.91304313543373905</v>
      </c>
    </row>
    <row r="15834" spans="1:3" s="7" customFormat="1" x14ac:dyDescent="0.2">
      <c r="A15834" s="6" t="str">
        <f>"BMS1P4-AGAP5"</f>
        <v>BMS1P4-AGAP5</v>
      </c>
      <c r="B15834" s="6">
        <v>0.86513486513486504</v>
      </c>
      <c r="C15834" s="6">
        <v>0.91304313543373905</v>
      </c>
    </row>
    <row r="15835" spans="1:3" s="7" customFormat="1" x14ac:dyDescent="0.2">
      <c r="A15835" s="6" t="str">
        <f>"SLC1A3"</f>
        <v>SLC1A3</v>
      </c>
      <c r="B15835" s="6">
        <v>0.86513486513486504</v>
      </c>
      <c r="C15835" s="6">
        <v>0.91304313543373905</v>
      </c>
    </row>
    <row r="15836" spans="1:3" s="7" customFormat="1" x14ac:dyDescent="0.2">
      <c r="A15836" s="6" t="str">
        <f>"GTPBP4"</f>
        <v>GTPBP4</v>
      </c>
      <c r="B15836" s="6">
        <v>0.86513486513486504</v>
      </c>
      <c r="C15836" s="6">
        <v>0.91304313543373905</v>
      </c>
    </row>
    <row r="15837" spans="1:3" s="7" customFormat="1" x14ac:dyDescent="0.2">
      <c r="A15837" s="6" t="str">
        <f>"WDR7"</f>
        <v>WDR7</v>
      </c>
      <c r="B15837" s="6">
        <v>0.86513486513486504</v>
      </c>
      <c r="C15837" s="6">
        <v>0.91304313543373905</v>
      </c>
    </row>
    <row r="15838" spans="1:3" s="7" customFormat="1" x14ac:dyDescent="0.2">
      <c r="A15838" s="6" t="str">
        <f>"SNRNP48"</f>
        <v>SNRNP48</v>
      </c>
      <c r="B15838" s="6">
        <v>0.86513486513486504</v>
      </c>
      <c r="C15838" s="6">
        <v>0.91304313543373905</v>
      </c>
    </row>
    <row r="15839" spans="1:3" s="7" customFormat="1" x14ac:dyDescent="0.2">
      <c r="A15839" s="6" t="str">
        <f>"SUGT1-DT"</f>
        <v>SUGT1-DT</v>
      </c>
      <c r="B15839" s="6">
        <v>0.86559679037111303</v>
      </c>
      <c r="C15839" s="6">
        <v>0.913472960870235</v>
      </c>
    </row>
    <row r="15840" spans="1:3" s="7" customFormat="1" x14ac:dyDescent="0.2">
      <c r="A15840" s="6" t="str">
        <f>"NPPC"</f>
        <v>NPPC</v>
      </c>
      <c r="B15840" s="6">
        <v>0.866133866133866</v>
      </c>
      <c r="C15840" s="6">
        <v>0.91386663964152703</v>
      </c>
    </row>
    <row r="15841" spans="1:3" s="7" customFormat="1" x14ac:dyDescent="0.2">
      <c r="A15841" s="6" t="str">
        <f>"AL365181.1"</f>
        <v>AL365181.1</v>
      </c>
      <c r="B15841" s="6">
        <v>0.866133866133866</v>
      </c>
      <c r="C15841" s="6">
        <v>0.91386663964152703</v>
      </c>
    </row>
    <row r="15842" spans="1:3" s="7" customFormat="1" x14ac:dyDescent="0.2">
      <c r="A15842" s="6" t="str">
        <f>"NPTN-IT1"</f>
        <v>NPTN-IT1</v>
      </c>
      <c r="B15842" s="6">
        <v>0.866133866133866</v>
      </c>
      <c r="C15842" s="6">
        <v>0.91386663964152703</v>
      </c>
    </row>
    <row r="15843" spans="1:3" s="7" customFormat="1" x14ac:dyDescent="0.2">
      <c r="A15843" s="6" t="str">
        <f>"C13orf42"</f>
        <v>C13orf42</v>
      </c>
      <c r="B15843" s="6">
        <v>0.86713286713286697</v>
      </c>
      <c r="C15843" s="6">
        <v>0.91463200437073899</v>
      </c>
    </row>
    <row r="15844" spans="1:3" s="7" customFormat="1" x14ac:dyDescent="0.2">
      <c r="A15844" s="6" t="str">
        <f>"NALCN"</f>
        <v>NALCN</v>
      </c>
      <c r="B15844" s="6">
        <v>0.86713286713286697</v>
      </c>
      <c r="C15844" s="6">
        <v>0.91463200437073899</v>
      </c>
    </row>
    <row r="15845" spans="1:3" s="7" customFormat="1" x14ac:dyDescent="0.2">
      <c r="A15845" s="6" t="str">
        <f>"TLNRD1"</f>
        <v>TLNRD1</v>
      </c>
      <c r="B15845" s="6">
        <v>0.86713286713286697</v>
      </c>
      <c r="C15845" s="6">
        <v>0.91463200437073899</v>
      </c>
    </row>
    <row r="15846" spans="1:3" s="7" customFormat="1" x14ac:dyDescent="0.2">
      <c r="A15846" s="6" t="str">
        <f>"RSKR"</f>
        <v>RSKR</v>
      </c>
      <c r="B15846" s="6">
        <v>0.86699999999999999</v>
      </c>
      <c r="C15846" s="6">
        <v>0.91463200437073899</v>
      </c>
    </row>
    <row r="15847" spans="1:3" s="7" customFormat="1" x14ac:dyDescent="0.2">
      <c r="A15847" s="6" t="str">
        <f>"ZER1"</f>
        <v>ZER1</v>
      </c>
      <c r="B15847" s="6">
        <v>0.86713286713286697</v>
      </c>
      <c r="C15847" s="6">
        <v>0.91463200437073899</v>
      </c>
    </row>
    <row r="15848" spans="1:3" s="7" customFormat="1" x14ac:dyDescent="0.2">
      <c r="A15848" s="6" t="str">
        <f>"PDIA4"</f>
        <v>PDIA4</v>
      </c>
      <c r="B15848" s="6">
        <v>0.86813186813186805</v>
      </c>
      <c r="C15848" s="6">
        <v>0.91528140061540597</v>
      </c>
    </row>
    <row r="15849" spans="1:3" s="7" customFormat="1" x14ac:dyDescent="0.2">
      <c r="A15849" s="6" t="str">
        <f>"AC114271.1"</f>
        <v>AC114271.1</v>
      </c>
      <c r="B15849" s="6">
        <v>0.86813186813186805</v>
      </c>
      <c r="C15849" s="6">
        <v>0.91528140061540597</v>
      </c>
    </row>
    <row r="15850" spans="1:3" s="7" customFormat="1" x14ac:dyDescent="0.2">
      <c r="A15850" s="6" t="str">
        <f>"GDPD1"</f>
        <v>GDPD1</v>
      </c>
      <c r="B15850" s="6">
        <v>0.86813186813186805</v>
      </c>
      <c r="C15850" s="6">
        <v>0.91528140061540597</v>
      </c>
    </row>
    <row r="15851" spans="1:3" s="7" customFormat="1" x14ac:dyDescent="0.2">
      <c r="A15851" s="6" t="str">
        <f>"TLK2"</f>
        <v>TLK2</v>
      </c>
      <c r="B15851" s="6">
        <v>0.86813186813186805</v>
      </c>
      <c r="C15851" s="6">
        <v>0.91528140061540597</v>
      </c>
    </row>
    <row r="15852" spans="1:3" s="7" customFormat="1" x14ac:dyDescent="0.2">
      <c r="A15852" s="6" t="str">
        <f>"GID8"</f>
        <v>GID8</v>
      </c>
      <c r="B15852" s="6">
        <v>0.86813186813186805</v>
      </c>
      <c r="C15852" s="6">
        <v>0.91528140061540597</v>
      </c>
    </row>
    <row r="15853" spans="1:3" s="7" customFormat="1" x14ac:dyDescent="0.2">
      <c r="A15853" s="6" t="str">
        <f>"USP54"</f>
        <v>USP54</v>
      </c>
      <c r="B15853" s="6">
        <v>0.86813186813186805</v>
      </c>
      <c r="C15853" s="6">
        <v>0.91528140061540597</v>
      </c>
    </row>
    <row r="15854" spans="1:3" s="7" customFormat="1" x14ac:dyDescent="0.2">
      <c r="A15854" s="6" t="str">
        <f>"AP001631.2"</f>
        <v>AP001631.2</v>
      </c>
      <c r="B15854" s="6">
        <v>0.86813186813186805</v>
      </c>
      <c r="C15854" s="6">
        <v>0.91528140061540597</v>
      </c>
    </row>
    <row r="15855" spans="1:3" s="7" customFormat="1" x14ac:dyDescent="0.2">
      <c r="A15855" s="6" t="str">
        <f>"TPH1"</f>
        <v>TPH1</v>
      </c>
      <c r="B15855" s="6">
        <v>0.86913086913086901</v>
      </c>
      <c r="C15855" s="6">
        <v>0.91593022362253096</v>
      </c>
    </row>
    <row r="15856" spans="1:3" s="7" customFormat="1" x14ac:dyDescent="0.2">
      <c r="A15856" s="6" t="str">
        <f>"SPATA9"</f>
        <v>SPATA9</v>
      </c>
      <c r="B15856" s="6">
        <v>0.86913086913086901</v>
      </c>
      <c r="C15856" s="6">
        <v>0.91593022362253096</v>
      </c>
    </row>
    <row r="15857" spans="1:3" s="7" customFormat="1" x14ac:dyDescent="0.2">
      <c r="A15857" s="6" t="str">
        <f>"BX571818.1"</f>
        <v>BX571818.1</v>
      </c>
      <c r="B15857" s="6">
        <v>0.86913086913086901</v>
      </c>
      <c r="C15857" s="6">
        <v>0.91593022362253096</v>
      </c>
    </row>
    <row r="15858" spans="1:3" s="7" customFormat="1" x14ac:dyDescent="0.2">
      <c r="A15858" s="6" t="str">
        <f>"RMND5A"</f>
        <v>RMND5A</v>
      </c>
      <c r="B15858" s="6">
        <v>0.86899999999999999</v>
      </c>
      <c r="C15858" s="6">
        <v>0.91593022362253096</v>
      </c>
    </row>
    <row r="15859" spans="1:3" s="7" customFormat="1" x14ac:dyDescent="0.2">
      <c r="A15859" s="6" t="str">
        <f>"AL096711.2"</f>
        <v>AL096711.2</v>
      </c>
      <c r="B15859" s="6">
        <v>0.86899999999999999</v>
      </c>
      <c r="C15859" s="6">
        <v>0.91593022362253096</v>
      </c>
    </row>
    <row r="15860" spans="1:3" s="7" customFormat="1" x14ac:dyDescent="0.2">
      <c r="A15860" s="6" t="str">
        <f>"ZNF821"</f>
        <v>ZNF821</v>
      </c>
      <c r="B15860" s="6">
        <v>0.86913086913086901</v>
      </c>
      <c r="C15860" s="6">
        <v>0.91593022362253096</v>
      </c>
    </row>
    <row r="15861" spans="1:3" s="7" customFormat="1" x14ac:dyDescent="0.2">
      <c r="A15861" s="6" t="str">
        <f>"GJA9"</f>
        <v>GJA9</v>
      </c>
      <c r="B15861" s="6">
        <v>0.86913086913086901</v>
      </c>
      <c r="C15861" s="6">
        <v>0.91593022362253096</v>
      </c>
    </row>
    <row r="15862" spans="1:3" s="7" customFormat="1" x14ac:dyDescent="0.2">
      <c r="A15862" s="6" t="str">
        <f>"OR5H14"</f>
        <v>OR5H14</v>
      </c>
      <c r="B15862" s="6">
        <v>0.86981566820276501</v>
      </c>
      <c r="C15862" s="6">
        <v>0.91659410367196303</v>
      </c>
    </row>
    <row r="15863" spans="1:3" s="7" customFormat="1" x14ac:dyDescent="0.2">
      <c r="A15863" s="6" t="str">
        <f>"GCSAML"</f>
        <v>GCSAML</v>
      </c>
      <c r="B15863" s="6">
        <v>0.87012987012986998</v>
      </c>
      <c r="C15863" s="6">
        <v>0.91663624412899503</v>
      </c>
    </row>
    <row r="15864" spans="1:3" s="7" customFormat="1" x14ac:dyDescent="0.2">
      <c r="A15864" s="6" t="str">
        <f>"PRECSIT"</f>
        <v>PRECSIT</v>
      </c>
      <c r="B15864" s="6">
        <v>0.87012987012986998</v>
      </c>
      <c r="C15864" s="6">
        <v>0.91663624412899503</v>
      </c>
    </row>
    <row r="15865" spans="1:3" s="7" customFormat="1" x14ac:dyDescent="0.2">
      <c r="A15865" s="6" t="str">
        <f>"FOXO1"</f>
        <v>FOXO1</v>
      </c>
      <c r="B15865" s="6">
        <v>0.87012987012986998</v>
      </c>
      <c r="C15865" s="6">
        <v>0.91663624412899503</v>
      </c>
    </row>
    <row r="15866" spans="1:3" s="7" customFormat="1" x14ac:dyDescent="0.2">
      <c r="A15866" s="6" t="str">
        <f>"ANKRD17"</f>
        <v>ANKRD17</v>
      </c>
      <c r="B15866" s="6">
        <v>0.87012987012986998</v>
      </c>
      <c r="C15866" s="6">
        <v>0.91663624412899503</v>
      </c>
    </row>
    <row r="15867" spans="1:3" s="7" customFormat="1" x14ac:dyDescent="0.2">
      <c r="A15867" s="6" t="str">
        <f>"LAMP5"</f>
        <v>LAMP5</v>
      </c>
      <c r="B15867" s="6">
        <v>0.87012987012986998</v>
      </c>
      <c r="C15867" s="6">
        <v>0.91663624412899503</v>
      </c>
    </row>
    <row r="15868" spans="1:3" s="7" customFormat="1" x14ac:dyDescent="0.2">
      <c r="A15868" s="6" t="str">
        <f>"PSMC2"</f>
        <v>PSMC2</v>
      </c>
      <c r="B15868" s="6">
        <v>0.87112887112887105</v>
      </c>
      <c r="C15868" s="6">
        <v>0.91728393826295895</v>
      </c>
    </row>
    <row r="15869" spans="1:3" s="7" customFormat="1" x14ac:dyDescent="0.2">
      <c r="A15869" s="6" t="str">
        <f>"LINC00484"</f>
        <v>LINC00484</v>
      </c>
      <c r="B15869" s="6">
        <v>0.87112887112887105</v>
      </c>
      <c r="C15869" s="6">
        <v>0.91728393826295895</v>
      </c>
    </row>
    <row r="15870" spans="1:3" s="7" customFormat="1" x14ac:dyDescent="0.2">
      <c r="A15870" s="6" t="str">
        <f>"AC092279.1"</f>
        <v>AC092279.1</v>
      </c>
      <c r="B15870" s="6">
        <v>0.87112887112887105</v>
      </c>
      <c r="C15870" s="6">
        <v>0.91728393826295895</v>
      </c>
    </row>
    <row r="15871" spans="1:3" s="7" customFormat="1" x14ac:dyDescent="0.2">
      <c r="A15871" s="6" t="str">
        <f>"AC073610.2"</f>
        <v>AC073610.2</v>
      </c>
      <c r="B15871" s="6">
        <v>0.87112887112887105</v>
      </c>
      <c r="C15871" s="6">
        <v>0.91728393826295895</v>
      </c>
    </row>
    <row r="15872" spans="1:3" s="7" customFormat="1" x14ac:dyDescent="0.2">
      <c r="A15872" s="6" t="str">
        <f>"AC138123.1"</f>
        <v>AC138123.1</v>
      </c>
      <c r="B15872" s="6">
        <v>0.87112887112887105</v>
      </c>
      <c r="C15872" s="6">
        <v>0.91728393826295895</v>
      </c>
    </row>
    <row r="15873" spans="1:3" s="7" customFormat="1" x14ac:dyDescent="0.2">
      <c r="A15873" s="6" t="str">
        <f>"AC073257.2"</f>
        <v>AC073257.2</v>
      </c>
      <c r="B15873" s="6">
        <v>0.87112887112887105</v>
      </c>
      <c r="C15873" s="6">
        <v>0.91728393826295895</v>
      </c>
    </row>
    <row r="15874" spans="1:3" s="7" customFormat="1" x14ac:dyDescent="0.2">
      <c r="A15874" s="6" t="str">
        <f>"RN7SL3"</f>
        <v>RN7SL3</v>
      </c>
      <c r="B15874" s="6">
        <v>0.87112887112887105</v>
      </c>
      <c r="C15874" s="6">
        <v>0.91728393826295895</v>
      </c>
    </row>
    <row r="15875" spans="1:3" s="7" customFormat="1" x14ac:dyDescent="0.2">
      <c r="A15875" s="6" t="str">
        <f>"COL27A1"</f>
        <v>COL27A1</v>
      </c>
      <c r="B15875" s="6">
        <v>0.87212787212787202</v>
      </c>
      <c r="C15875" s="6">
        <v>0.91804668439005199</v>
      </c>
    </row>
    <row r="15876" spans="1:3" s="7" customFormat="1" x14ac:dyDescent="0.2">
      <c r="A15876" s="6" t="str">
        <f>"BBX"</f>
        <v>BBX</v>
      </c>
      <c r="B15876" s="6">
        <v>0.87212787212787202</v>
      </c>
      <c r="C15876" s="6">
        <v>0.91804668439005199</v>
      </c>
    </row>
    <row r="15877" spans="1:3" s="7" customFormat="1" x14ac:dyDescent="0.2">
      <c r="A15877" s="6" t="str">
        <f>"AC069213.1"</f>
        <v>AC069213.1</v>
      </c>
      <c r="B15877" s="6">
        <v>0.87212787212787202</v>
      </c>
      <c r="C15877" s="6">
        <v>0.91804668439005199</v>
      </c>
    </row>
    <row r="15878" spans="1:3" s="7" customFormat="1" x14ac:dyDescent="0.2">
      <c r="A15878" s="6" t="str">
        <f>"MRPL22"</f>
        <v>MRPL22</v>
      </c>
      <c r="B15878" s="6">
        <v>0.87212787212787202</v>
      </c>
      <c r="C15878" s="6">
        <v>0.91804668439005199</v>
      </c>
    </row>
    <row r="15879" spans="1:3" s="7" customFormat="1" x14ac:dyDescent="0.2">
      <c r="A15879" s="6" t="str">
        <f>"RAB22A"</f>
        <v>RAB22A</v>
      </c>
      <c r="B15879" s="6">
        <v>0.87212787212787202</v>
      </c>
      <c r="C15879" s="6">
        <v>0.91804668439005199</v>
      </c>
    </row>
    <row r="15880" spans="1:3" s="7" customFormat="1" x14ac:dyDescent="0.2">
      <c r="A15880" s="6" t="str">
        <f>"TRA2B"</f>
        <v>TRA2B</v>
      </c>
      <c r="B15880" s="6">
        <v>0.87312687312687298</v>
      </c>
      <c r="C15880" s="6">
        <v>0.91851979842916298</v>
      </c>
    </row>
    <row r="15881" spans="1:3" s="7" customFormat="1" x14ac:dyDescent="0.2">
      <c r="A15881" s="6" t="str">
        <f>"AC103955.1"</f>
        <v>AC103955.1</v>
      </c>
      <c r="B15881" s="6">
        <v>0.873</v>
      </c>
      <c r="C15881" s="6">
        <v>0.91851979842916298</v>
      </c>
    </row>
    <row r="15882" spans="1:3" s="7" customFormat="1" x14ac:dyDescent="0.2">
      <c r="A15882" s="6" t="str">
        <f>"NR1H3"</f>
        <v>NR1H3</v>
      </c>
      <c r="B15882" s="6">
        <v>0.87312687312687298</v>
      </c>
      <c r="C15882" s="6">
        <v>0.91851979842916298</v>
      </c>
    </row>
    <row r="15883" spans="1:3" s="7" customFormat="1" x14ac:dyDescent="0.2">
      <c r="A15883" s="6" t="str">
        <f>"RAB34"</f>
        <v>RAB34</v>
      </c>
      <c r="B15883" s="6">
        <v>0.87312687312687298</v>
      </c>
      <c r="C15883" s="6">
        <v>0.91851979842916298</v>
      </c>
    </row>
    <row r="15884" spans="1:3" s="7" customFormat="1" x14ac:dyDescent="0.2">
      <c r="A15884" s="6" t="str">
        <f>"COL5A1"</f>
        <v>COL5A1</v>
      </c>
      <c r="B15884" s="6">
        <v>0.87312687312687298</v>
      </c>
      <c r="C15884" s="6">
        <v>0.91851979842916298</v>
      </c>
    </row>
    <row r="15885" spans="1:3" s="7" customFormat="1" x14ac:dyDescent="0.2">
      <c r="A15885" s="6" t="str">
        <f>"DPF3"</f>
        <v>DPF3</v>
      </c>
      <c r="B15885" s="6">
        <v>0.87312687312687298</v>
      </c>
      <c r="C15885" s="6">
        <v>0.91851979842916298</v>
      </c>
    </row>
    <row r="15886" spans="1:3" s="7" customFormat="1" x14ac:dyDescent="0.2">
      <c r="A15886" s="6" t="str">
        <f>"AC007878.1"</f>
        <v>AC007878.1</v>
      </c>
      <c r="B15886" s="6">
        <v>0.87312687312687298</v>
      </c>
      <c r="C15886" s="6">
        <v>0.91851979842916298</v>
      </c>
    </row>
    <row r="15887" spans="1:3" s="7" customFormat="1" x14ac:dyDescent="0.2">
      <c r="A15887" s="6" t="str">
        <f>"TLL1"</f>
        <v>TLL1</v>
      </c>
      <c r="B15887" s="6">
        <v>0.87312687312687298</v>
      </c>
      <c r="C15887" s="6">
        <v>0.91851979842916298</v>
      </c>
    </row>
    <row r="15888" spans="1:3" s="7" customFormat="1" x14ac:dyDescent="0.2">
      <c r="A15888" s="6" t="str">
        <f>"SMIM41"</f>
        <v>SMIM41</v>
      </c>
      <c r="B15888" s="6">
        <v>0.87312687312687298</v>
      </c>
      <c r="C15888" s="6">
        <v>0.91851979842916298</v>
      </c>
    </row>
    <row r="15889" spans="1:3" s="7" customFormat="1" x14ac:dyDescent="0.2">
      <c r="A15889" s="6" t="str">
        <f>"KDM4D"</f>
        <v>KDM4D</v>
      </c>
      <c r="B15889" s="6">
        <v>0.87312687312687298</v>
      </c>
      <c r="C15889" s="6">
        <v>0.91851979842916298</v>
      </c>
    </row>
    <row r="15890" spans="1:3" s="7" customFormat="1" x14ac:dyDescent="0.2">
      <c r="A15890" s="6" t="str">
        <f>"MARCHF2"</f>
        <v>MARCHF2</v>
      </c>
      <c r="B15890" s="6">
        <v>0.874</v>
      </c>
      <c r="C15890" s="6">
        <v>0.91922359759279304</v>
      </c>
    </row>
    <row r="15891" spans="1:3" s="7" customFormat="1" x14ac:dyDescent="0.2">
      <c r="A15891" s="6" t="str">
        <f>"MPHOSPH10"</f>
        <v>MPHOSPH10</v>
      </c>
      <c r="B15891" s="6">
        <v>0.87412587412587395</v>
      </c>
      <c r="C15891" s="6">
        <v>0.91922359759279304</v>
      </c>
    </row>
    <row r="15892" spans="1:3" s="7" customFormat="1" x14ac:dyDescent="0.2">
      <c r="A15892" s="6" t="str">
        <f>"TSPYL5"</f>
        <v>TSPYL5</v>
      </c>
      <c r="B15892" s="6">
        <v>0.87412587412587395</v>
      </c>
      <c r="C15892" s="6">
        <v>0.91922359759279304</v>
      </c>
    </row>
    <row r="15893" spans="1:3" s="7" customFormat="1" x14ac:dyDescent="0.2">
      <c r="A15893" s="6" t="str">
        <f>"RBIS"</f>
        <v>RBIS</v>
      </c>
      <c r="B15893" s="6">
        <v>0.87412587412587395</v>
      </c>
      <c r="C15893" s="6">
        <v>0.91922359759279304</v>
      </c>
    </row>
    <row r="15894" spans="1:3" s="7" customFormat="1" x14ac:dyDescent="0.2">
      <c r="A15894" s="6" t="str">
        <f>"PKNOX2"</f>
        <v>PKNOX2</v>
      </c>
      <c r="B15894" s="6">
        <v>0.87412587412587395</v>
      </c>
      <c r="C15894" s="6">
        <v>0.91922359759279304</v>
      </c>
    </row>
    <row r="15895" spans="1:3" s="7" customFormat="1" x14ac:dyDescent="0.2">
      <c r="A15895" s="6" t="str">
        <f>"SIKE1"</f>
        <v>SIKE1</v>
      </c>
      <c r="B15895" s="6">
        <v>0.87412587412587395</v>
      </c>
      <c r="C15895" s="6">
        <v>0.91922359759279304</v>
      </c>
    </row>
    <row r="15896" spans="1:3" s="7" customFormat="1" x14ac:dyDescent="0.2">
      <c r="A15896" s="6" t="str">
        <f>"ZFYVE27"</f>
        <v>ZFYVE27</v>
      </c>
      <c r="B15896" s="6">
        <v>0.87512487512487502</v>
      </c>
      <c r="C15896" s="6">
        <v>0.91963767135096897</v>
      </c>
    </row>
    <row r="15897" spans="1:3" s="7" customFormat="1" x14ac:dyDescent="0.2">
      <c r="A15897" s="6" t="str">
        <f>"AC008966.3"</f>
        <v>AC008966.3</v>
      </c>
      <c r="B15897" s="6">
        <v>0.87512487512487502</v>
      </c>
      <c r="C15897" s="6">
        <v>0.91963767135096897</v>
      </c>
    </row>
    <row r="15898" spans="1:3" s="7" customFormat="1" x14ac:dyDescent="0.2">
      <c r="A15898" s="6" t="str">
        <f>"AC124290.1"</f>
        <v>AC124290.1</v>
      </c>
      <c r="B15898" s="6">
        <v>0.87487487487487403</v>
      </c>
      <c r="C15898" s="6">
        <v>0.91963767135096897</v>
      </c>
    </row>
    <row r="15899" spans="1:3" s="7" customFormat="1" x14ac:dyDescent="0.2">
      <c r="A15899" s="6" t="str">
        <f>"RBAK-RBAKDN"</f>
        <v>RBAK-RBAKDN</v>
      </c>
      <c r="B15899" s="6">
        <v>0.87512487512487502</v>
      </c>
      <c r="C15899" s="6">
        <v>0.91963767135096897</v>
      </c>
    </row>
    <row r="15900" spans="1:3" s="7" customFormat="1" x14ac:dyDescent="0.2">
      <c r="A15900" s="6" t="str">
        <f>"TMSB15B-AS1"</f>
        <v>TMSB15B-AS1</v>
      </c>
      <c r="B15900" s="6">
        <v>0.87512487512487502</v>
      </c>
      <c r="C15900" s="6">
        <v>0.91963767135096897</v>
      </c>
    </row>
    <row r="15901" spans="1:3" s="7" customFormat="1" x14ac:dyDescent="0.2">
      <c r="A15901" s="6" t="str">
        <f>"AC018629.1"</f>
        <v>AC018629.1</v>
      </c>
      <c r="B15901" s="6">
        <v>0.87512487512487502</v>
      </c>
      <c r="C15901" s="6">
        <v>0.91963767135096897</v>
      </c>
    </row>
    <row r="15902" spans="1:3" s="7" customFormat="1" x14ac:dyDescent="0.2">
      <c r="A15902" s="6" t="str">
        <f>"ZNF565"</f>
        <v>ZNF565</v>
      </c>
      <c r="B15902" s="6">
        <v>0.87512487512487502</v>
      </c>
      <c r="C15902" s="6">
        <v>0.91963767135096897</v>
      </c>
    </row>
    <row r="15903" spans="1:3" s="7" customFormat="1" x14ac:dyDescent="0.2">
      <c r="A15903" s="6" t="str">
        <f>"AC096536.2"</f>
        <v>AC096536.2</v>
      </c>
      <c r="B15903" s="6">
        <v>0.875</v>
      </c>
      <c r="C15903" s="6">
        <v>0.91963767135096897</v>
      </c>
    </row>
    <row r="15904" spans="1:3" s="7" customFormat="1" x14ac:dyDescent="0.2">
      <c r="A15904" s="6" t="str">
        <f>"RIC1"</f>
        <v>RIC1</v>
      </c>
      <c r="B15904" s="6">
        <v>0.87512487512487502</v>
      </c>
      <c r="C15904" s="6">
        <v>0.91963767135096897</v>
      </c>
    </row>
    <row r="15905" spans="1:3" s="7" customFormat="1" x14ac:dyDescent="0.2">
      <c r="A15905" s="6" t="str">
        <f>"GPR176"</f>
        <v>GPR176</v>
      </c>
      <c r="B15905" s="6">
        <v>0.87512487512487502</v>
      </c>
      <c r="C15905" s="6">
        <v>0.91963767135096897</v>
      </c>
    </row>
    <row r="15906" spans="1:3" s="7" customFormat="1" x14ac:dyDescent="0.2">
      <c r="A15906" s="6" t="str">
        <f>"JUND"</f>
        <v>JUND</v>
      </c>
      <c r="B15906" s="6">
        <v>0.87512487512487502</v>
      </c>
      <c r="C15906" s="6">
        <v>0.91963767135096897</v>
      </c>
    </row>
    <row r="15907" spans="1:3" s="7" customFormat="1" x14ac:dyDescent="0.2">
      <c r="A15907" s="6" t="str">
        <f>"INGX"</f>
        <v>INGX</v>
      </c>
      <c r="B15907" s="6">
        <v>0.87562688064192495</v>
      </c>
      <c r="C15907" s="6">
        <v>0.92010736093607104</v>
      </c>
    </row>
    <row r="15908" spans="1:3" s="7" customFormat="1" x14ac:dyDescent="0.2">
      <c r="A15908" s="6" t="str">
        <f>"MAZ"</f>
        <v>MAZ</v>
      </c>
      <c r="B15908" s="6">
        <v>0.876</v>
      </c>
      <c r="C15908" s="6">
        <v>0.92043713380022696</v>
      </c>
    </row>
    <row r="15909" spans="1:3" s="7" customFormat="1" x14ac:dyDescent="0.2">
      <c r="A15909" s="6" t="str">
        <f>"C9orf50"</f>
        <v>C9orf50</v>
      </c>
      <c r="B15909" s="6">
        <v>0.87612387612387599</v>
      </c>
      <c r="C15909" s="6">
        <v>0.92043713380022696</v>
      </c>
    </row>
    <row r="15910" spans="1:3" s="7" customFormat="1" x14ac:dyDescent="0.2">
      <c r="A15910" s="6" t="str">
        <f>"AC068860.1"</f>
        <v>AC068860.1</v>
      </c>
      <c r="B15910" s="6">
        <v>0.87616099071207398</v>
      </c>
      <c r="C15910" s="6">
        <v>0.92043713380022696</v>
      </c>
    </row>
    <row r="15911" spans="1:3" s="7" customFormat="1" x14ac:dyDescent="0.2">
      <c r="A15911" s="6" t="str">
        <f>"FAM118B"</f>
        <v>FAM118B</v>
      </c>
      <c r="B15911" s="6">
        <v>0.87612387612387599</v>
      </c>
      <c r="C15911" s="6">
        <v>0.92043713380022696</v>
      </c>
    </row>
    <row r="15912" spans="1:3" s="7" customFormat="1" x14ac:dyDescent="0.2">
      <c r="A15912" s="6" t="str">
        <f>"ANO5"</f>
        <v>ANO5</v>
      </c>
      <c r="B15912" s="6">
        <v>0.87712287712287695</v>
      </c>
      <c r="C15912" s="6">
        <v>0.92122676450769303</v>
      </c>
    </row>
    <row r="15913" spans="1:3" s="7" customFormat="1" x14ac:dyDescent="0.2">
      <c r="A15913" s="6" t="str">
        <f>"RPL13AP20"</f>
        <v>RPL13AP20</v>
      </c>
      <c r="B15913" s="6">
        <v>0.87713310580204695</v>
      </c>
      <c r="C15913" s="6">
        <v>0.92122676450769303</v>
      </c>
    </row>
    <row r="15914" spans="1:3" s="7" customFormat="1" x14ac:dyDescent="0.2">
      <c r="A15914" s="6" t="str">
        <f>"LSM2"</f>
        <v>LSM2</v>
      </c>
      <c r="B15914" s="6">
        <v>0.87712287712287695</v>
      </c>
      <c r="C15914" s="6">
        <v>0.92122676450769303</v>
      </c>
    </row>
    <row r="15915" spans="1:3" s="7" customFormat="1" x14ac:dyDescent="0.2">
      <c r="A15915" s="6" t="str">
        <f>"CTCF"</f>
        <v>CTCF</v>
      </c>
      <c r="B15915" s="6">
        <v>0.87712287712287695</v>
      </c>
      <c r="C15915" s="6">
        <v>0.92122676450769303</v>
      </c>
    </row>
    <row r="15916" spans="1:3" s="7" customFormat="1" x14ac:dyDescent="0.2">
      <c r="A15916" s="6" t="str">
        <f>"AP002770.1"</f>
        <v>AP002770.1</v>
      </c>
      <c r="B15916" s="6">
        <v>0.87763289869608796</v>
      </c>
      <c r="C15916" s="6">
        <v>0.92163585503935797</v>
      </c>
    </row>
    <row r="15917" spans="1:3" s="7" customFormat="1" x14ac:dyDescent="0.2">
      <c r="A15917" s="6" t="str">
        <f>"AL109933.5"</f>
        <v>AL109933.5</v>
      </c>
      <c r="B15917" s="6">
        <v>0.87763289869608796</v>
      </c>
      <c r="C15917" s="6">
        <v>0.92163585503935797</v>
      </c>
    </row>
    <row r="15918" spans="1:3" s="7" customFormat="1" x14ac:dyDescent="0.2">
      <c r="A15918" s="6" t="str">
        <f>"WDR59"</f>
        <v>WDR59</v>
      </c>
      <c r="B15918" s="6">
        <v>0.87812187812187803</v>
      </c>
      <c r="C15918" s="6">
        <v>0.92180185095647904</v>
      </c>
    </row>
    <row r="15919" spans="1:3" s="7" customFormat="1" x14ac:dyDescent="0.2">
      <c r="A15919" s="6" t="str">
        <f>"ARHGEF34P"</f>
        <v>ARHGEF34P</v>
      </c>
      <c r="B15919" s="6">
        <v>0.87812187812187803</v>
      </c>
      <c r="C15919" s="6">
        <v>0.92180185095647904</v>
      </c>
    </row>
    <row r="15920" spans="1:3" s="7" customFormat="1" x14ac:dyDescent="0.2">
      <c r="A15920" s="6" t="str">
        <f>"OR7E25P"</f>
        <v>OR7E25P</v>
      </c>
      <c r="B15920" s="6">
        <v>0.878</v>
      </c>
      <c r="C15920" s="6">
        <v>0.92180185095647904</v>
      </c>
    </row>
    <row r="15921" spans="1:3" s="7" customFormat="1" x14ac:dyDescent="0.2">
      <c r="A15921" s="6" t="str">
        <f>"BIRC7"</f>
        <v>BIRC7</v>
      </c>
      <c r="B15921" s="6">
        <v>0.87812187812187803</v>
      </c>
      <c r="C15921" s="6">
        <v>0.92180185095647904</v>
      </c>
    </row>
    <row r="15922" spans="1:3" s="7" customFormat="1" x14ac:dyDescent="0.2">
      <c r="A15922" s="6" t="str">
        <f>"VSTM2A"</f>
        <v>VSTM2A</v>
      </c>
      <c r="B15922" s="6">
        <v>0.87812187812187803</v>
      </c>
      <c r="C15922" s="6">
        <v>0.92180185095647904</v>
      </c>
    </row>
    <row r="15923" spans="1:3" s="7" customFormat="1" x14ac:dyDescent="0.2">
      <c r="A15923" s="6" t="str">
        <f>"AC005696.4"</f>
        <v>AC005696.4</v>
      </c>
      <c r="B15923" s="6">
        <v>0.878</v>
      </c>
      <c r="C15923" s="6">
        <v>0.92180185095647904</v>
      </c>
    </row>
    <row r="15924" spans="1:3" s="7" customFormat="1" x14ac:dyDescent="0.2">
      <c r="A15924" s="6" t="str">
        <f>"CDC73"</f>
        <v>CDC73</v>
      </c>
      <c r="B15924" s="6">
        <v>0.879120879120879</v>
      </c>
      <c r="C15924" s="6">
        <v>0.922387091878617</v>
      </c>
    </row>
    <row r="15925" spans="1:3" s="7" customFormat="1" x14ac:dyDescent="0.2">
      <c r="A15925" s="6" t="str">
        <f>"UBE2O"</f>
        <v>UBE2O</v>
      </c>
      <c r="B15925" s="6">
        <v>0.879120879120879</v>
      </c>
      <c r="C15925" s="6">
        <v>0.922387091878617</v>
      </c>
    </row>
    <row r="15926" spans="1:3" s="7" customFormat="1" x14ac:dyDescent="0.2">
      <c r="A15926" s="6" t="str">
        <f>"GDPD4"</f>
        <v>GDPD4</v>
      </c>
      <c r="B15926" s="6">
        <v>0.879120879120879</v>
      </c>
      <c r="C15926" s="6">
        <v>0.922387091878617</v>
      </c>
    </row>
    <row r="15927" spans="1:3" s="7" customFormat="1" x14ac:dyDescent="0.2">
      <c r="A15927" s="6" t="str">
        <f>"AC096720.2"</f>
        <v>AC096720.2</v>
      </c>
      <c r="B15927" s="6">
        <v>0.87887887887887794</v>
      </c>
      <c r="C15927" s="6">
        <v>0.922387091878617</v>
      </c>
    </row>
    <row r="15928" spans="1:3" s="7" customFormat="1" x14ac:dyDescent="0.2">
      <c r="A15928" s="6" t="str">
        <f>"AC016949.1"</f>
        <v>AC016949.1</v>
      </c>
      <c r="B15928" s="6">
        <v>0.879120879120879</v>
      </c>
      <c r="C15928" s="6">
        <v>0.922387091878617</v>
      </c>
    </row>
    <row r="15929" spans="1:3" s="7" customFormat="1" x14ac:dyDescent="0.2">
      <c r="A15929" s="6" t="str">
        <f>"LINC00507"</f>
        <v>LINC00507</v>
      </c>
      <c r="B15929" s="6">
        <v>0.879120879120879</v>
      </c>
      <c r="C15929" s="6">
        <v>0.922387091878617</v>
      </c>
    </row>
    <row r="15930" spans="1:3" s="7" customFormat="1" x14ac:dyDescent="0.2">
      <c r="A15930" s="6" t="str">
        <f>"OR7C1"</f>
        <v>OR7C1</v>
      </c>
      <c r="B15930" s="6">
        <v>0.87887887887887794</v>
      </c>
      <c r="C15930" s="6">
        <v>0.922387091878617</v>
      </c>
    </row>
    <row r="15931" spans="1:3" s="7" customFormat="1" x14ac:dyDescent="0.2">
      <c r="A15931" s="6" t="str">
        <f>"AL390198.1"</f>
        <v>AL390198.1</v>
      </c>
      <c r="B15931" s="6">
        <v>0.879120879120879</v>
      </c>
      <c r="C15931" s="6">
        <v>0.922387091878617</v>
      </c>
    </row>
    <row r="15932" spans="1:3" s="7" customFormat="1" x14ac:dyDescent="0.2">
      <c r="A15932" s="6" t="str">
        <f>"FAM174B"</f>
        <v>FAM174B</v>
      </c>
      <c r="B15932" s="6">
        <v>0.88011988011987996</v>
      </c>
      <c r="C15932" s="6">
        <v>0.92274016286059901</v>
      </c>
    </row>
    <row r="15933" spans="1:3" s="7" customFormat="1" x14ac:dyDescent="0.2">
      <c r="A15933" s="6" t="str">
        <f>"BIRC3"</f>
        <v>BIRC3</v>
      </c>
      <c r="B15933" s="6">
        <v>0.88011988011987996</v>
      </c>
      <c r="C15933" s="6">
        <v>0.92274016286059901</v>
      </c>
    </row>
    <row r="15934" spans="1:3" s="7" customFormat="1" x14ac:dyDescent="0.2">
      <c r="A15934" s="6" t="str">
        <f>"EPCAM"</f>
        <v>EPCAM</v>
      </c>
      <c r="B15934" s="6">
        <v>0.88011988011987996</v>
      </c>
      <c r="C15934" s="6">
        <v>0.92274016286059901</v>
      </c>
    </row>
    <row r="15935" spans="1:3" s="7" customFormat="1" x14ac:dyDescent="0.2">
      <c r="A15935" s="6" t="str">
        <f>"DLC1"</f>
        <v>DLC1</v>
      </c>
      <c r="B15935" s="6">
        <v>0.88011988011987996</v>
      </c>
      <c r="C15935" s="6">
        <v>0.92274016286059901</v>
      </c>
    </row>
    <row r="15936" spans="1:3" s="7" customFormat="1" x14ac:dyDescent="0.2">
      <c r="A15936" s="6" t="str">
        <f>"AC005593.1"</f>
        <v>AC005593.1</v>
      </c>
      <c r="B15936" s="6">
        <v>0.87951807228915602</v>
      </c>
      <c r="C15936" s="6">
        <v>0.92274016286059901</v>
      </c>
    </row>
    <row r="15937" spans="1:3" s="7" customFormat="1" x14ac:dyDescent="0.2">
      <c r="A15937" s="6" t="str">
        <f>"AL590326.1"</f>
        <v>AL590326.1</v>
      </c>
      <c r="B15937" s="6">
        <v>0.88011988011987996</v>
      </c>
      <c r="C15937" s="6">
        <v>0.92274016286059901</v>
      </c>
    </row>
    <row r="15938" spans="1:3" s="7" customFormat="1" x14ac:dyDescent="0.2">
      <c r="A15938" s="6" t="str">
        <f>"EIF4EBP3"</f>
        <v>EIF4EBP3</v>
      </c>
      <c r="B15938" s="6">
        <v>0.88011988011987996</v>
      </c>
      <c r="C15938" s="6">
        <v>0.92274016286059901</v>
      </c>
    </row>
    <row r="15939" spans="1:3" s="7" customFormat="1" x14ac:dyDescent="0.2">
      <c r="A15939" s="6" t="str">
        <f>"SLC4A7"</f>
        <v>SLC4A7</v>
      </c>
      <c r="B15939" s="6">
        <v>0.88011988011987996</v>
      </c>
      <c r="C15939" s="6">
        <v>0.92274016286059901</v>
      </c>
    </row>
    <row r="15940" spans="1:3" s="7" customFormat="1" x14ac:dyDescent="0.2">
      <c r="A15940" s="6" t="str">
        <f>"AC008280.2"</f>
        <v>AC008280.2</v>
      </c>
      <c r="B15940" s="6">
        <v>0.87987987987987903</v>
      </c>
      <c r="C15940" s="6">
        <v>0.92274016286059901</v>
      </c>
    </row>
    <row r="15941" spans="1:3" s="7" customFormat="1" x14ac:dyDescent="0.2">
      <c r="A15941" s="6" t="str">
        <f>"AC011997.1"</f>
        <v>AC011997.1</v>
      </c>
      <c r="B15941" s="6">
        <v>0.88011988011987996</v>
      </c>
      <c r="C15941" s="6">
        <v>0.92274016286059901</v>
      </c>
    </row>
    <row r="15942" spans="1:3" s="7" customFormat="1" x14ac:dyDescent="0.2">
      <c r="A15942" s="6" t="str">
        <f>"CD200R1L-AS1"</f>
        <v>CD200R1L-AS1</v>
      </c>
      <c r="B15942" s="6">
        <v>0.88011988011987996</v>
      </c>
      <c r="C15942" s="6">
        <v>0.92274016286059901</v>
      </c>
    </row>
    <row r="15943" spans="1:3" s="7" customFormat="1" x14ac:dyDescent="0.2">
      <c r="A15943" s="6" t="str">
        <f>"ABHD18"</f>
        <v>ABHD18</v>
      </c>
      <c r="B15943" s="6">
        <v>0.88011988011987996</v>
      </c>
      <c r="C15943" s="6">
        <v>0.92274016286059901</v>
      </c>
    </row>
    <row r="15944" spans="1:3" s="7" customFormat="1" x14ac:dyDescent="0.2">
      <c r="A15944" s="6" t="str">
        <f>"AL121832.3"</f>
        <v>AL121832.3</v>
      </c>
      <c r="B15944" s="6">
        <v>0.88100000000000001</v>
      </c>
      <c r="C15944" s="6">
        <v>0.92320843649830597</v>
      </c>
    </row>
    <row r="15945" spans="1:3" s="7" customFormat="1" x14ac:dyDescent="0.2">
      <c r="A15945" s="6" t="str">
        <f>"LINC01521"</f>
        <v>LINC01521</v>
      </c>
      <c r="B15945" s="6">
        <v>0.88111888111888104</v>
      </c>
      <c r="C15945" s="6">
        <v>0.92320843649830597</v>
      </c>
    </row>
    <row r="15946" spans="1:3" s="7" customFormat="1" x14ac:dyDescent="0.2">
      <c r="A15946" s="6" t="str">
        <f>"ZNF462"</f>
        <v>ZNF462</v>
      </c>
      <c r="B15946" s="6">
        <v>0.88111888111888104</v>
      </c>
      <c r="C15946" s="6">
        <v>0.92320843649830597</v>
      </c>
    </row>
    <row r="15947" spans="1:3" s="7" customFormat="1" x14ac:dyDescent="0.2">
      <c r="A15947" s="6" t="str">
        <f>"TARBP2"</f>
        <v>TARBP2</v>
      </c>
      <c r="B15947" s="6">
        <v>0.88111888111888104</v>
      </c>
      <c r="C15947" s="6">
        <v>0.92320843649830597</v>
      </c>
    </row>
    <row r="15948" spans="1:3" s="7" customFormat="1" x14ac:dyDescent="0.2">
      <c r="A15948" s="6" t="str">
        <f>"AP001625.3"</f>
        <v>AP001625.3</v>
      </c>
      <c r="B15948" s="6">
        <v>0.88111888111888104</v>
      </c>
      <c r="C15948" s="6">
        <v>0.92320843649830597</v>
      </c>
    </row>
    <row r="15949" spans="1:3" s="7" customFormat="1" x14ac:dyDescent="0.2">
      <c r="A15949" s="6" t="str">
        <f>"LINC01684"</f>
        <v>LINC01684</v>
      </c>
      <c r="B15949" s="6">
        <v>0.88111888111888104</v>
      </c>
      <c r="C15949" s="6">
        <v>0.92320843649830597</v>
      </c>
    </row>
    <row r="15950" spans="1:3" s="7" customFormat="1" x14ac:dyDescent="0.2">
      <c r="A15950" s="6" t="str">
        <f>"TXNDC9"</f>
        <v>TXNDC9</v>
      </c>
      <c r="B15950" s="6">
        <v>0.88111888111888104</v>
      </c>
      <c r="C15950" s="6">
        <v>0.92320843649830597</v>
      </c>
    </row>
    <row r="15951" spans="1:3" s="7" customFormat="1" x14ac:dyDescent="0.2">
      <c r="A15951" s="6" t="str">
        <f>"AC003002.3"</f>
        <v>AC003002.3</v>
      </c>
      <c r="B15951" s="6">
        <v>0.88111888111888104</v>
      </c>
      <c r="C15951" s="6">
        <v>0.92320843649830597</v>
      </c>
    </row>
    <row r="15952" spans="1:3" s="7" customFormat="1" x14ac:dyDescent="0.2">
      <c r="A15952" s="6" t="str">
        <f>"CLP1"</f>
        <v>CLP1</v>
      </c>
      <c r="B15952" s="6">
        <v>0.88111888111888104</v>
      </c>
      <c r="C15952" s="6">
        <v>0.92320843649830597</v>
      </c>
    </row>
    <row r="15953" spans="1:3" s="7" customFormat="1" x14ac:dyDescent="0.2">
      <c r="A15953" s="6" t="str">
        <f>"KIF22"</f>
        <v>KIF22</v>
      </c>
      <c r="B15953" s="6">
        <v>0.88111888111888104</v>
      </c>
      <c r="C15953" s="6">
        <v>0.92320843649830597</v>
      </c>
    </row>
    <row r="15954" spans="1:3" s="7" customFormat="1" x14ac:dyDescent="0.2">
      <c r="A15954" s="6" t="str">
        <f>"SUGT1P1"</f>
        <v>SUGT1P1</v>
      </c>
      <c r="B15954" s="6">
        <v>0.88164493480441297</v>
      </c>
      <c r="C15954" s="6">
        <v>0.92370171380435995</v>
      </c>
    </row>
    <row r="15955" spans="1:3" s="7" customFormat="1" x14ac:dyDescent="0.2">
      <c r="A15955" s="6" t="str">
        <f>"SPCS1"</f>
        <v>SPCS1</v>
      </c>
      <c r="B15955" s="6">
        <v>0.882117882117882</v>
      </c>
      <c r="C15955" s="6">
        <v>0.92379187228811199</v>
      </c>
    </row>
    <row r="15956" spans="1:3" s="7" customFormat="1" x14ac:dyDescent="0.2">
      <c r="A15956" s="6" t="str">
        <f>"DCN"</f>
        <v>DCN</v>
      </c>
      <c r="B15956" s="6">
        <v>0.882117882117882</v>
      </c>
      <c r="C15956" s="6">
        <v>0.92379187228811199</v>
      </c>
    </row>
    <row r="15957" spans="1:3" s="7" customFormat="1" x14ac:dyDescent="0.2">
      <c r="A15957" s="6" t="str">
        <f>"ZBTB21"</f>
        <v>ZBTB21</v>
      </c>
      <c r="B15957" s="6">
        <v>0.882117882117882</v>
      </c>
      <c r="C15957" s="6">
        <v>0.92379187228811199</v>
      </c>
    </row>
    <row r="15958" spans="1:3" s="7" customFormat="1" x14ac:dyDescent="0.2">
      <c r="A15958" s="6" t="str">
        <f>"GHET1"</f>
        <v>GHET1</v>
      </c>
      <c r="B15958" s="6">
        <v>0.882117882117882</v>
      </c>
      <c r="C15958" s="6">
        <v>0.92379187228811199</v>
      </c>
    </row>
    <row r="15959" spans="1:3" s="7" customFormat="1" x14ac:dyDescent="0.2">
      <c r="A15959" s="6" t="str">
        <f>"ULBP3"</f>
        <v>ULBP3</v>
      </c>
      <c r="B15959" s="6">
        <v>0.882117882117882</v>
      </c>
      <c r="C15959" s="6">
        <v>0.92379187228811199</v>
      </c>
    </row>
    <row r="15960" spans="1:3" s="7" customFormat="1" x14ac:dyDescent="0.2">
      <c r="A15960" s="6" t="str">
        <f>"RPL21P16"</f>
        <v>RPL21P16</v>
      </c>
      <c r="B15960" s="6">
        <v>0.882117882117882</v>
      </c>
      <c r="C15960" s="6">
        <v>0.92379187228811199</v>
      </c>
    </row>
    <row r="15961" spans="1:3" s="7" customFormat="1" x14ac:dyDescent="0.2">
      <c r="A15961" s="6" t="str">
        <f>"LINC00899"</f>
        <v>LINC00899</v>
      </c>
      <c r="B15961" s="6">
        <v>0.882117882117882</v>
      </c>
      <c r="C15961" s="6">
        <v>0.92379187228811199</v>
      </c>
    </row>
    <row r="15962" spans="1:3" s="7" customFormat="1" x14ac:dyDescent="0.2">
      <c r="A15962" s="6" t="str">
        <f>"AL603962.1"</f>
        <v>AL603962.1</v>
      </c>
      <c r="B15962" s="6">
        <v>0.88276553106212396</v>
      </c>
      <c r="C15962" s="6">
        <v>0.92441219761746396</v>
      </c>
    </row>
    <row r="15963" spans="1:3" s="7" customFormat="1" x14ac:dyDescent="0.2">
      <c r="A15963" s="6" t="str">
        <f>"HPN-AS1"</f>
        <v>HPN-AS1</v>
      </c>
      <c r="B15963" s="6">
        <v>0.88311688311688297</v>
      </c>
      <c r="C15963" s="6">
        <v>0.92449051637326696</v>
      </c>
    </row>
    <row r="15964" spans="1:3" s="7" customFormat="1" x14ac:dyDescent="0.2">
      <c r="A15964" s="6" t="str">
        <f>"AL157400.3"</f>
        <v>AL157400.3</v>
      </c>
      <c r="B15964" s="6">
        <v>0.88311688311688297</v>
      </c>
      <c r="C15964" s="6">
        <v>0.92449051637326696</v>
      </c>
    </row>
    <row r="15965" spans="1:3" s="7" customFormat="1" x14ac:dyDescent="0.2">
      <c r="A15965" s="6" t="str">
        <f>"DISP3"</f>
        <v>DISP3</v>
      </c>
      <c r="B15965" s="6">
        <v>0.88311688311688297</v>
      </c>
      <c r="C15965" s="6">
        <v>0.92449051637326696</v>
      </c>
    </row>
    <row r="15966" spans="1:3" s="7" customFormat="1" x14ac:dyDescent="0.2">
      <c r="A15966" s="6" t="str">
        <f>"AL592295.1"</f>
        <v>AL592295.1</v>
      </c>
      <c r="B15966" s="6">
        <v>0.88311688311688297</v>
      </c>
      <c r="C15966" s="6">
        <v>0.92449051637326696</v>
      </c>
    </row>
    <row r="15967" spans="1:3" s="7" customFormat="1" x14ac:dyDescent="0.2">
      <c r="A15967" s="6" t="str">
        <f>"MIR100HG"</f>
        <v>MIR100HG</v>
      </c>
      <c r="B15967" s="6">
        <v>0.88311688311688297</v>
      </c>
      <c r="C15967" s="6">
        <v>0.92449051637326696</v>
      </c>
    </row>
    <row r="15968" spans="1:3" s="7" customFormat="1" x14ac:dyDescent="0.2">
      <c r="A15968" s="6" t="str">
        <f>"ZKSCAN2"</f>
        <v>ZKSCAN2</v>
      </c>
      <c r="B15968" s="6">
        <v>0.88411588411588404</v>
      </c>
      <c r="C15968" s="6">
        <v>0.92513071352362597</v>
      </c>
    </row>
    <row r="15969" spans="1:3" s="7" customFormat="1" x14ac:dyDescent="0.2">
      <c r="A15969" s="6" t="str">
        <f>"C7orf26"</f>
        <v>C7orf26</v>
      </c>
      <c r="B15969" s="6">
        <v>0.88411588411588404</v>
      </c>
      <c r="C15969" s="6">
        <v>0.92513071352362597</v>
      </c>
    </row>
    <row r="15970" spans="1:3" s="7" customFormat="1" x14ac:dyDescent="0.2">
      <c r="A15970" s="6" t="str">
        <f>"HYAL3"</f>
        <v>HYAL3</v>
      </c>
      <c r="B15970" s="6">
        <v>0.88411588411588404</v>
      </c>
      <c r="C15970" s="6">
        <v>0.92513071352362597</v>
      </c>
    </row>
    <row r="15971" spans="1:3" s="7" customFormat="1" x14ac:dyDescent="0.2">
      <c r="A15971" s="6" t="str">
        <f>"RASL11B"</f>
        <v>RASL11B</v>
      </c>
      <c r="B15971" s="6">
        <v>0.88411588411588404</v>
      </c>
      <c r="C15971" s="6">
        <v>0.92513071352362597</v>
      </c>
    </row>
    <row r="15972" spans="1:3" s="7" customFormat="1" x14ac:dyDescent="0.2">
      <c r="A15972" s="6" t="str">
        <f>"RN7SL4P"</f>
        <v>RN7SL4P</v>
      </c>
      <c r="B15972" s="6">
        <v>0.88400000000000001</v>
      </c>
      <c r="C15972" s="6">
        <v>0.92513071352362597</v>
      </c>
    </row>
    <row r="15973" spans="1:3" s="7" customFormat="1" x14ac:dyDescent="0.2">
      <c r="A15973" s="6" t="str">
        <f>"AC008883.3"</f>
        <v>AC008883.3</v>
      </c>
      <c r="B15973" s="6">
        <v>0.88411588411588404</v>
      </c>
      <c r="C15973" s="6">
        <v>0.92513071352362597</v>
      </c>
    </row>
    <row r="15974" spans="1:3" s="7" customFormat="1" x14ac:dyDescent="0.2">
      <c r="A15974" s="6" t="str">
        <f>"AL645939.5"</f>
        <v>AL645939.5</v>
      </c>
      <c r="B15974" s="6">
        <v>0.88411588411588404</v>
      </c>
      <c r="C15974" s="6">
        <v>0.92513071352362597</v>
      </c>
    </row>
    <row r="15975" spans="1:3" s="7" customFormat="1" x14ac:dyDescent="0.2">
      <c r="A15975" s="6" t="str">
        <f>"AC006059.4"</f>
        <v>AC006059.4</v>
      </c>
      <c r="B15975" s="6">
        <v>0.88442211055276299</v>
      </c>
      <c r="C15975" s="6">
        <v>0.925393211204388</v>
      </c>
    </row>
    <row r="15976" spans="1:3" s="7" customFormat="1" x14ac:dyDescent="0.2">
      <c r="A15976" s="6" t="str">
        <f>"AC099521.1"</f>
        <v>AC099521.1</v>
      </c>
      <c r="B15976" s="6">
        <v>0.88511488511488501</v>
      </c>
      <c r="C15976" s="6">
        <v>0.92577034980038697</v>
      </c>
    </row>
    <row r="15977" spans="1:3" s="7" customFormat="1" x14ac:dyDescent="0.2">
      <c r="A15977" s="6" t="str">
        <f>"SLC36A4"</f>
        <v>SLC36A4</v>
      </c>
      <c r="B15977" s="6">
        <v>0.88511488511488501</v>
      </c>
      <c r="C15977" s="6">
        <v>0.92577034980038697</v>
      </c>
    </row>
    <row r="15978" spans="1:3" s="7" customFormat="1" x14ac:dyDescent="0.2">
      <c r="A15978" s="6" t="str">
        <f>"SCYL2P1"</f>
        <v>SCYL2P1</v>
      </c>
      <c r="B15978" s="6">
        <v>0.88500000000000001</v>
      </c>
      <c r="C15978" s="6">
        <v>0.92577034980038697</v>
      </c>
    </row>
    <row r="15979" spans="1:3" s="7" customFormat="1" x14ac:dyDescent="0.2">
      <c r="A15979" s="6" t="str">
        <f>"AC027801.1"</f>
        <v>AC027801.1</v>
      </c>
      <c r="B15979" s="6">
        <v>0.88511488511488501</v>
      </c>
      <c r="C15979" s="6">
        <v>0.92577034980038697</v>
      </c>
    </row>
    <row r="15980" spans="1:3" s="7" customFormat="1" x14ac:dyDescent="0.2">
      <c r="A15980" s="6" t="str">
        <f>"AL356488.1"</f>
        <v>AL356488.1</v>
      </c>
      <c r="B15980" s="6">
        <v>0.88511488511488501</v>
      </c>
      <c r="C15980" s="6">
        <v>0.92577034980038697</v>
      </c>
    </row>
    <row r="15981" spans="1:3" s="7" customFormat="1" x14ac:dyDescent="0.2">
      <c r="A15981" s="6" t="str">
        <f>"AC008875.3"</f>
        <v>AC008875.3</v>
      </c>
      <c r="B15981" s="6">
        <v>0.88511488511488501</v>
      </c>
      <c r="C15981" s="6">
        <v>0.92577034980038697</v>
      </c>
    </row>
    <row r="15982" spans="1:3" s="7" customFormat="1" x14ac:dyDescent="0.2">
      <c r="A15982" s="6" t="str">
        <f>"AL359715.4"</f>
        <v>AL359715.4</v>
      </c>
      <c r="B15982" s="6">
        <v>0.88611388611388597</v>
      </c>
      <c r="C15982" s="6">
        <v>0.926699254943529</v>
      </c>
    </row>
    <row r="15983" spans="1:3" s="7" customFormat="1" x14ac:dyDescent="0.2">
      <c r="A15983" s="6" t="str">
        <f>"NOL3"</f>
        <v>NOL3</v>
      </c>
      <c r="B15983" s="6">
        <v>0.88611388611388597</v>
      </c>
      <c r="C15983" s="6">
        <v>0.926699254943529</v>
      </c>
    </row>
    <row r="15984" spans="1:3" s="7" customFormat="1" x14ac:dyDescent="0.2">
      <c r="A15984" s="6" t="str">
        <f>"BLOC1S5-TXNDC5"</f>
        <v>BLOC1S5-TXNDC5</v>
      </c>
      <c r="B15984" s="6">
        <v>0.88638689866939602</v>
      </c>
      <c r="C15984" s="6">
        <v>0.92692677371959498</v>
      </c>
    </row>
    <row r="15985" spans="1:3" s="7" customFormat="1" x14ac:dyDescent="0.2">
      <c r="A15985" s="6" t="str">
        <f>"AC138356.1"</f>
        <v>AC138356.1</v>
      </c>
      <c r="B15985" s="6">
        <v>0.88646288209606905</v>
      </c>
      <c r="C15985" s="6">
        <v>0.92694823644605295</v>
      </c>
    </row>
    <row r="15986" spans="1:3" s="7" customFormat="1" x14ac:dyDescent="0.2">
      <c r="A15986" s="6" t="str">
        <f>"RBM39"</f>
        <v>RBM39</v>
      </c>
      <c r="B15986" s="6">
        <v>0.88711288711288705</v>
      </c>
      <c r="C15986" s="6">
        <v>0.92739584658523799</v>
      </c>
    </row>
    <row r="15987" spans="1:3" s="7" customFormat="1" x14ac:dyDescent="0.2">
      <c r="A15987" s="6" t="str">
        <f>"POF1B"</f>
        <v>POF1B</v>
      </c>
      <c r="B15987" s="6">
        <v>0.88711288711288705</v>
      </c>
      <c r="C15987" s="6">
        <v>0.92739584658523799</v>
      </c>
    </row>
    <row r="15988" spans="1:3" s="7" customFormat="1" x14ac:dyDescent="0.2">
      <c r="A15988" s="6" t="str">
        <f>"MARCHF3"</f>
        <v>MARCHF3</v>
      </c>
      <c r="B15988" s="6">
        <v>0.88711288711288705</v>
      </c>
      <c r="C15988" s="6">
        <v>0.92739584658523799</v>
      </c>
    </row>
    <row r="15989" spans="1:3" s="7" customFormat="1" x14ac:dyDescent="0.2">
      <c r="A15989" s="6" t="str">
        <f>"ZNF521"</f>
        <v>ZNF521</v>
      </c>
      <c r="B15989" s="6">
        <v>0.88711288711288705</v>
      </c>
      <c r="C15989" s="6">
        <v>0.92739584658523799</v>
      </c>
    </row>
    <row r="15990" spans="1:3" s="7" customFormat="1" x14ac:dyDescent="0.2">
      <c r="A15990" s="6" t="str">
        <f>"ARL16"</f>
        <v>ARL16</v>
      </c>
      <c r="B15990" s="6">
        <v>0.88811188811188801</v>
      </c>
      <c r="C15990" s="6">
        <v>0.92809191558722604</v>
      </c>
    </row>
    <row r="15991" spans="1:3" s="7" customFormat="1" x14ac:dyDescent="0.2">
      <c r="A15991" s="6" t="str">
        <f>"RC3H2"</f>
        <v>RC3H2</v>
      </c>
      <c r="B15991" s="6">
        <v>0.88811188811188801</v>
      </c>
      <c r="C15991" s="6">
        <v>0.92809191558722604</v>
      </c>
    </row>
    <row r="15992" spans="1:3" s="7" customFormat="1" x14ac:dyDescent="0.2">
      <c r="A15992" s="6" t="str">
        <f>"PCDHA7"</f>
        <v>PCDHA7</v>
      </c>
      <c r="B15992" s="6">
        <v>0.88811188811188801</v>
      </c>
      <c r="C15992" s="6">
        <v>0.92809191558722604</v>
      </c>
    </row>
    <row r="15993" spans="1:3" s="7" customFormat="1" x14ac:dyDescent="0.2">
      <c r="A15993" s="6" t="str">
        <f>"ACO2"</f>
        <v>ACO2</v>
      </c>
      <c r="B15993" s="6">
        <v>0.88811188811188801</v>
      </c>
      <c r="C15993" s="6">
        <v>0.92809191558722604</v>
      </c>
    </row>
    <row r="15994" spans="1:3" s="7" customFormat="1" x14ac:dyDescent="0.2">
      <c r="A15994" s="6" t="str">
        <f>"AC073857.1"</f>
        <v>AC073857.1</v>
      </c>
      <c r="B15994" s="6">
        <v>0.88811188811188801</v>
      </c>
      <c r="C15994" s="6">
        <v>0.92809191558722604</v>
      </c>
    </row>
    <row r="15995" spans="1:3" s="7" customFormat="1" x14ac:dyDescent="0.2">
      <c r="A15995" s="6" t="str">
        <f>"ZNF30-AS1"</f>
        <v>ZNF30-AS1</v>
      </c>
      <c r="B15995" s="6">
        <v>0.88799192734611498</v>
      </c>
      <c r="C15995" s="6">
        <v>0.92809191558722604</v>
      </c>
    </row>
    <row r="15996" spans="1:3" s="7" customFormat="1" x14ac:dyDescent="0.2">
      <c r="A15996" s="6" t="str">
        <f>"HSFX1"</f>
        <v>HSFX1</v>
      </c>
      <c r="B15996" s="6">
        <v>0.88911088911088898</v>
      </c>
      <c r="C15996" s="6">
        <v>0.92884551538217397</v>
      </c>
    </row>
    <row r="15997" spans="1:3" s="7" customFormat="1" x14ac:dyDescent="0.2">
      <c r="A15997" s="6" t="str">
        <f>"LBHD1"</f>
        <v>LBHD1</v>
      </c>
      <c r="B15997" s="6">
        <v>0.88911088911088898</v>
      </c>
      <c r="C15997" s="6">
        <v>0.92884551538217397</v>
      </c>
    </row>
    <row r="15998" spans="1:3" s="7" customFormat="1" x14ac:dyDescent="0.2">
      <c r="A15998" s="6" t="str">
        <f>"CEP95"</f>
        <v>CEP95</v>
      </c>
      <c r="B15998" s="6">
        <v>0.88911088911088898</v>
      </c>
      <c r="C15998" s="6">
        <v>0.92884551538217397</v>
      </c>
    </row>
    <row r="15999" spans="1:3" s="7" customFormat="1" x14ac:dyDescent="0.2">
      <c r="A15999" s="6" t="str">
        <f>"NKTR"</f>
        <v>NKTR</v>
      </c>
      <c r="B15999" s="6">
        <v>0.88911088911088898</v>
      </c>
      <c r="C15999" s="6">
        <v>0.92884551538217397</v>
      </c>
    </row>
    <row r="16000" spans="1:3" s="7" customFormat="1" x14ac:dyDescent="0.2">
      <c r="A16000" s="6" t="str">
        <f>"ZNF215"</f>
        <v>ZNF215</v>
      </c>
      <c r="B16000" s="6">
        <v>0.88911088911088898</v>
      </c>
      <c r="C16000" s="6">
        <v>0.92884551538217397</v>
      </c>
    </row>
    <row r="16001" spans="1:3" s="7" customFormat="1" x14ac:dyDescent="0.2">
      <c r="A16001" s="6" t="str">
        <f>"ABCB4"</f>
        <v>ABCB4</v>
      </c>
      <c r="B16001" s="6">
        <v>0.89010989010988995</v>
      </c>
      <c r="C16001" s="6">
        <v>0.92954056253025297</v>
      </c>
    </row>
    <row r="16002" spans="1:3" s="7" customFormat="1" x14ac:dyDescent="0.2">
      <c r="A16002" s="6" t="str">
        <f>"NR2E3"</f>
        <v>NR2E3</v>
      </c>
      <c r="B16002" s="6">
        <v>0.89010989010988995</v>
      </c>
      <c r="C16002" s="6">
        <v>0.92954056253025297</v>
      </c>
    </row>
    <row r="16003" spans="1:3" s="7" customFormat="1" x14ac:dyDescent="0.2">
      <c r="A16003" s="6" t="str">
        <f>"ERCC4"</f>
        <v>ERCC4</v>
      </c>
      <c r="B16003" s="6">
        <v>0.89010989010988995</v>
      </c>
      <c r="C16003" s="6">
        <v>0.92954056253025297</v>
      </c>
    </row>
    <row r="16004" spans="1:3" s="7" customFormat="1" x14ac:dyDescent="0.2">
      <c r="A16004" s="6" t="str">
        <f>"TMDD1"</f>
        <v>TMDD1</v>
      </c>
      <c r="B16004" s="6">
        <v>0.89010989010988995</v>
      </c>
      <c r="C16004" s="6">
        <v>0.92954056253025297</v>
      </c>
    </row>
    <row r="16005" spans="1:3" s="7" customFormat="1" x14ac:dyDescent="0.2">
      <c r="A16005" s="6" t="str">
        <f>"PANK4"</f>
        <v>PANK4</v>
      </c>
      <c r="B16005" s="6">
        <v>0.89010989010988995</v>
      </c>
      <c r="C16005" s="6">
        <v>0.92954056253025297</v>
      </c>
    </row>
    <row r="16006" spans="1:3" s="7" customFormat="1" x14ac:dyDescent="0.2">
      <c r="A16006" s="6" t="str">
        <f>"STBD1"</f>
        <v>STBD1</v>
      </c>
      <c r="B16006" s="6">
        <v>0.89010989010988995</v>
      </c>
      <c r="C16006" s="6">
        <v>0.92954056253025297</v>
      </c>
    </row>
    <row r="16007" spans="1:3" s="7" customFormat="1" x14ac:dyDescent="0.2">
      <c r="A16007" s="6" t="str">
        <f>"ZNF100"</f>
        <v>ZNF100</v>
      </c>
      <c r="B16007" s="6">
        <v>0.89110889110889102</v>
      </c>
      <c r="C16007" s="6">
        <v>0.93029319212954398</v>
      </c>
    </row>
    <row r="16008" spans="1:3" s="7" customFormat="1" x14ac:dyDescent="0.2">
      <c r="A16008" s="6" t="str">
        <f>"AC008808.1"</f>
        <v>AC008808.1</v>
      </c>
      <c r="B16008" s="6">
        <v>0.89110889110889102</v>
      </c>
      <c r="C16008" s="6">
        <v>0.93029319212954398</v>
      </c>
    </row>
    <row r="16009" spans="1:3" s="7" customFormat="1" x14ac:dyDescent="0.2">
      <c r="A16009" s="6" t="str">
        <f>"ZPBP"</f>
        <v>ZPBP</v>
      </c>
      <c r="B16009" s="6">
        <v>0.89110889110889102</v>
      </c>
      <c r="C16009" s="6">
        <v>0.93029319212954398</v>
      </c>
    </row>
    <row r="16010" spans="1:3" s="7" customFormat="1" x14ac:dyDescent="0.2">
      <c r="A16010" s="6" t="str">
        <f>"AC002310.5"</f>
        <v>AC002310.5</v>
      </c>
      <c r="B16010" s="6">
        <v>0.89100529100529102</v>
      </c>
      <c r="C16010" s="6">
        <v>0.93029319212954398</v>
      </c>
    </row>
    <row r="16011" spans="1:3" s="7" customFormat="1" x14ac:dyDescent="0.2">
      <c r="A16011" s="6" t="str">
        <f>"AL158167.1"</f>
        <v>AL158167.1</v>
      </c>
      <c r="B16011" s="6">
        <v>0.89110889110889102</v>
      </c>
      <c r="C16011" s="6">
        <v>0.93029319212954398</v>
      </c>
    </row>
    <row r="16012" spans="1:3" s="7" customFormat="1" x14ac:dyDescent="0.2">
      <c r="A16012" s="6" t="str">
        <f>"LINC01303"</f>
        <v>LINC01303</v>
      </c>
      <c r="B16012" s="6">
        <v>0.89210789210789199</v>
      </c>
      <c r="C16012" s="6">
        <v>0.93092909463016205</v>
      </c>
    </row>
    <row r="16013" spans="1:3" s="7" customFormat="1" x14ac:dyDescent="0.2">
      <c r="A16013" s="6" t="str">
        <f>"AC008687.4"</f>
        <v>AC008687.4</v>
      </c>
      <c r="B16013" s="6">
        <v>0.89200000000000002</v>
      </c>
      <c r="C16013" s="6">
        <v>0.93092909463016205</v>
      </c>
    </row>
    <row r="16014" spans="1:3" s="7" customFormat="1" x14ac:dyDescent="0.2">
      <c r="A16014" s="6" t="str">
        <f>"ATP2B4"</f>
        <v>ATP2B4</v>
      </c>
      <c r="B16014" s="6">
        <v>0.89210789210789199</v>
      </c>
      <c r="C16014" s="6">
        <v>0.93092909463016205</v>
      </c>
    </row>
    <row r="16015" spans="1:3" s="7" customFormat="1" x14ac:dyDescent="0.2">
      <c r="A16015" s="6" t="str">
        <f>"H2BC15"</f>
        <v>H2BC15</v>
      </c>
      <c r="B16015" s="6">
        <v>0.89210789210789199</v>
      </c>
      <c r="C16015" s="6">
        <v>0.93092909463016205</v>
      </c>
    </row>
    <row r="16016" spans="1:3" s="7" customFormat="1" x14ac:dyDescent="0.2">
      <c r="A16016" s="6" t="str">
        <f>"AC027288.3"</f>
        <v>AC027288.3</v>
      </c>
      <c r="B16016" s="6">
        <v>0.89200000000000002</v>
      </c>
      <c r="C16016" s="6">
        <v>0.93092909463016205</v>
      </c>
    </row>
    <row r="16017" spans="1:3" s="7" customFormat="1" x14ac:dyDescent="0.2">
      <c r="A16017" s="6" t="str">
        <f>"ERP27"</f>
        <v>ERP27</v>
      </c>
      <c r="B16017" s="6">
        <v>0.89210789210789199</v>
      </c>
      <c r="C16017" s="6">
        <v>0.93092909463016205</v>
      </c>
    </row>
    <row r="16018" spans="1:3" s="7" customFormat="1" x14ac:dyDescent="0.2">
      <c r="A16018" s="6" t="str">
        <f>"AC117457.1"</f>
        <v>AC117457.1</v>
      </c>
      <c r="B16018" s="6">
        <v>0.891891891891891</v>
      </c>
      <c r="C16018" s="6">
        <v>0.93092909463016205</v>
      </c>
    </row>
    <row r="16019" spans="1:3" s="7" customFormat="1" x14ac:dyDescent="0.2">
      <c r="A16019" s="6" t="str">
        <f>"ZNF790-AS1"</f>
        <v>ZNF790-AS1</v>
      </c>
      <c r="B16019" s="6">
        <v>0.89310689310689295</v>
      </c>
      <c r="C16019" s="6">
        <v>0.93150630960303304</v>
      </c>
    </row>
    <row r="16020" spans="1:3" s="7" customFormat="1" x14ac:dyDescent="0.2">
      <c r="A16020" s="6" t="str">
        <f>"AC092587.1"</f>
        <v>AC092587.1</v>
      </c>
      <c r="B16020" s="6">
        <v>0.89310689310689295</v>
      </c>
      <c r="C16020" s="6">
        <v>0.93150630960303304</v>
      </c>
    </row>
    <row r="16021" spans="1:3" s="7" customFormat="1" x14ac:dyDescent="0.2">
      <c r="A16021" s="6" t="str">
        <f>"ACSM5"</f>
        <v>ACSM5</v>
      </c>
      <c r="B16021" s="6">
        <v>0.89310689310689295</v>
      </c>
      <c r="C16021" s="6">
        <v>0.93150630960303304</v>
      </c>
    </row>
    <row r="16022" spans="1:3" s="7" customFormat="1" x14ac:dyDescent="0.2">
      <c r="A16022" s="6" t="str">
        <f>"CEP170P1"</f>
        <v>CEP170P1</v>
      </c>
      <c r="B16022" s="6">
        <v>0.89310689310689295</v>
      </c>
      <c r="C16022" s="6">
        <v>0.93150630960303304</v>
      </c>
    </row>
    <row r="16023" spans="1:3" s="7" customFormat="1" x14ac:dyDescent="0.2">
      <c r="A16023" s="6" t="str">
        <f>"AC145285.2"</f>
        <v>AC145285.2</v>
      </c>
      <c r="B16023" s="6">
        <v>0.89310689310689295</v>
      </c>
      <c r="C16023" s="6">
        <v>0.93150630960303304</v>
      </c>
    </row>
    <row r="16024" spans="1:3" s="7" customFormat="1" x14ac:dyDescent="0.2">
      <c r="A16024" s="6" t="str">
        <f>"SFR1"</f>
        <v>SFR1</v>
      </c>
      <c r="B16024" s="6">
        <v>0.89310689310689295</v>
      </c>
      <c r="C16024" s="6">
        <v>0.93150630960303304</v>
      </c>
    </row>
    <row r="16025" spans="1:3" s="7" customFormat="1" x14ac:dyDescent="0.2">
      <c r="A16025" s="6" t="str">
        <f>"AL139424.2"</f>
        <v>AL139424.2</v>
      </c>
      <c r="B16025" s="6">
        <v>0.89300000000000002</v>
      </c>
      <c r="C16025" s="6">
        <v>0.93150630960303304</v>
      </c>
    </row>
    <row r="16026" spans="1:3" s="7" customFormat="1" x14ac:dyDescent="0.2">
      <c r="A16026" s="6" t="str">
        <f>"PTGDR"</f>
        <v>PTGDR</v>
      </c>
      <c r="B16026" s="6">
        <v>0.89310689310689295</v>
      </c>
      <c r="C16026" s="6">
        <v>0.93150630960303304</v>
      </c>
    </row>
    <row r="16027" spans="1:3" s="7" customFormat="1" x14ac:dyDescent="0.2">
      <c r="A16027" s="6" t="str">
        <f>"C19orf73"</f>
        <v>C19orf73</v>
      </c>
      <c r="B16027" s="6">
        <v>0.89357429718875503</v>
      </c>
      <c r="C16027" s="6">
        <v>0.93193565476181495</v>
      </c>
    </row>
    <row r="16028" spans="1:3" s="7" customFormat="1" x14ac:dyDescent="0.2">
      <c r="A16028" s="6" t="str">
        <f>"TSPAN32"</f>
        <v>TSPAN32</v>
      </c>
      <c r="B16028" s="6">
        <v>0.89410589410589403</v>
      </c>
      <c r="C16028" s="6">
        <v>0.93208294854898699</v>
      </c>
    </row>
    <row r="16029" spans="1:3" s="7" customFormat="1" x14ac:dyDescent="0.2">
      <c r="A16029" s="6" t="str">
        <f>"OR5A2"</f>
        <v>OR5A2</v>
      </c>
      <c r="B16029" s="6">
        <v>0.89397089397089402</v>
      </c>
      <c r="C16029" s="6">
        <v>0.93208294854898699</v>
      </c>
    </row>
    <row r="16030" spans="1:3" s="7" customFormat="1" x14ac:dyDescent="0.2">
      <c r="A16030" s="6" t="str">
        <f>"NPM1P25"</f>
        <v>NPM1P25</v>
      </c>
      <c r="B16030" s="6">
        <v>0.89389389389389295</v>
      </c>
      <c r="C16030" s="6">
        <v>0.93208294854898699</v>
      </c>
    </row>
    <row r="16031" spans="1:3" s="7" customFormat="1" x14ac:dyDescent="0.2">
      <c r="A16031" s="6" t="str">
        <f>"WDR75"</f>
        <v>WDR75</v>
      </c>
      <c r="B16031" s="6">
        <v>0.89410589410589403</v>
      </c>
      <c r="C16031" s="6">
        <v>0.93208294854898699</v>
      </c>
    </row>
    <row r="16032" spans="1:3" s="7" customFormat="1" x14ac:dyDescent="0.2">
      <c r="A16032" s="6" t="str">
        <f>"PINK1-AS"</f>
        <v>PINK1-AS</v>
      </c>
      <c r="B16032" s="6">
        <v>0.89410589410589403</v>
      </c>
      <c r="C16032" s="6">
        <v>0.93208294854898699</v>
      </c>
    </row>
    <row r="16033" spans="1:3" s="7" customFormat="1" x14ac:dyDescent="0.2">
      <c r="A16033" s="6" t="str">
        <f>"AC104806.2"</f>
        <v>AC104806.2</v>
      </c>
      <c r="B16033" s="6">
        <v>0.89410589410589403</v>
      </c>
      <c r="C16033" s="6">
        <v>0.93208294854898699</v>
      </c>
    </row>
    <row r="16034" spans="1:3" s="7" customFormat="1" x14ac:dyDescent="0.2">
      <c r="A16034" s="6" t="str">
        <f>"LINC00924"</f>
        <v>LINC00924</v>
      </c>
      <c r="B16034" s="6">
        <v>0.89404641775983795</v>
      </c>
      <c r="C16034" s="6">
        <v>0.93208294854898699</v>
      </c>
    </row>
    <row r="16035" spans="1:3" s="7" customFormat="1" x14ac:dyDescent="0.2">
      <c r="A16035" s="6" t="str">
        <f>"SMG1P1"</f>
        <v>SMG1P1</v>
      </c>
      <c r="B16035" s="6">
        <v>0.89510489510489499</v>
      </c>
      <c r="C16035" s="6">
        <v>0.93289163913345496</v>
      </c>
    </row>
    <row r="16036" spans="1:3" s="7" customFormat="1" x14ac:dyDescent="0.2">
      <c r="A16036" s="6" t="str">
        <f>"MEN1"</f>
        <v>MEN1</v>
      </c>
      <c r="B16036" s="6">
        <v>0.89510489510489499</v>
      </c>
      <c r="C16036" s="6">
        <v>0.93289163913345496</v>
      </c>
    </row>
    <row r="16037" spans="1:3" s="7" customFormat="1" x14ac:dyDescent="0.2">
      <c r="A16037" s="6" t="str">
        <f>"AC104561.4"</f>
        <v>AC104561.4</v>
      </c>
      <c r="B16037" s="6">
        <v>0.89510489510489499</v>
      </c>
      <c r="C16037" s="6">
        <v>0.93289163913345496</v>
      </c>
    </row>
    <row r="16038" spans="1:3" s="7" customFormat="1" x14ac:dyDescent="0.2">
      <c r="A16038" s="6" t="str">
        <f>"AC024580.1"</f>
        <v>AC024580.1</v>
      </c>
      <c r="B16038" s="6">
        <v>0.89510489510489499</v>
      </c>
      <c r="C16038" s="6">
        <v>0.93289163913345496</v>
      </c>
    </row>
    <row r="16039" spans="1:3" s="7" customFormat="1" x14ac:dyDescent="0.2">
      <c r="A16039" s="6" t="str">
        <f>"AC011676.1"</f>
        <v>AC011676.1</v>
      </c>
      <c r="B16039" s="6">
        <v>0.89610389610389596</v>
      </c>
      <c r="C16039" s="6">
        <v>0.93358352673942002</v>
      </c>
    </row>
    <row r="16040" spans="1:3" s="7" customFormat="1" x14ac:dyDescent="0.2">
      <c r="A16040" s="6" t="str">
        <f>"AC092445.1"</f>
        <v>AC092445.1</v>
      </c>
      <c r="B16040" s="6">
        <v>0.89610389610389596</v>
      </c>
      <c r="C16040" s="6">
        <v>0.93358352673942002</v>
      </c>
    </row>
    <row r="16041" spans="1:3" s="7" customFormat="1" x14ac:dyDescent="0.2">
      <c r="A16041" s="6" t="str">
        <f>"AL356235.1"</f>
        <v>AL356235.1</v>
      </c>
      <c r="B16041" s="6">
        <v>0.89589589589589502</v>
      </c>
      <c r="C16041" s="6">
        <v>0.93358352673942002</v>
      </c>
    </row>
    <row r="16042" spans="1:3" s="7" customFormat="1" x14ac:dyDescent="0.2">
      <c r="A16042" s="6" t="str">
        <f>"TMEM229B"</f>
        <v>TMEM229B</v>
      </c>
      <c r="B16042" s="6">
        <v>0.89610389610389596</v>
      </c>
      <c r="C16042" s="6">
        <v>0.93358352673942002</v>
      </c>
    </row>
    <row r="16043" spans="1:3" s="7" customFormat="1" x14ac:dyDescent="0.2">
      <c r="A16043" s="6" t="str">
        <f>"NLGN4Y"</f>
        <v>NLGN4Y</v>
      </c>
      <c r="B16043" s="6">
        <v>0.89607635206786795</v>
      </c>
      <c r="C16043" s="6">
        <v>0.93358352673942002</v>
      </c>
    </row>
    <row r="16044" spans="1:3" s="7" customFormat="1" x14ac:dyDescent="0.2">
      <c r="A16044" s="6" t="str">
        <f>"LINC00960"</f>
        <v>LINC00960</v>
      </c>
      <c r="B16044" s="6">
        <v>0.89610389610389596</v>
      </c>
      <c r="C16044" s="6">
        <v>0.93358352673942002</v>
      </c>
    </row>
    <row r="16045" spans="1:3" s="7" customFormat="1" x14ac:dyDescent="0.2">
      <c r="A16045" s="6" t="str">
        <f>"AL050309.1"</f>
        <v>AL050309.1</v>
      </c>
      <c r="B16045" s="6">
        <v>0.89710289710289703</v>
      </c>
      <c r="C16045" s="6">
        <v>0.93427489701400801</v>
      </c>
    </row>
    <row r="16046" spans="1:3" s="7" customFormat="1" x14ac:dyDescent="0.2">
      <c r="A16046" s="6" t="str">
        <f>"TEX55"</f>
        <v>TEX55</v>
      </c>
      <c r="B16046" s="6">
        <v>0.89710289710289703</v>
      </c>
      <c r="C16046" s="6">
        <v>0.93427489701400801</v>
      </c>
    </row>
    <row r="16047" spans="1:3" s="7" customFormat="1" x14ac:dyDescent="0.2">
      <c r="A16047" s="6" t="str">
        <f>"CD160"</f>
        <v>CD160</v>
      </c>
      <c r="B16047" s="6">
        <v>0.89710289710289703</v>
      </c>
      <c r="C16047" s="6">
        <v>0.93427489701400801</v>
      </c>
    </row>
    <row r="16048" spans="1:3" s="7" customFormat="1" x14ac:dyDescent="0.2">
      <c r="A16048" s="6" t="str">
        <f>"UNC93B4"</f>
        <v>UNC93B4</v>
      </c>
      <c r="B16048" s="6">
        <v>0.89700000000000002</v>
      </c>
      <c r="C16048" s="6">
        <v>0.93427489701400801</v>
      </c>
    </row>
    <row r="16049" spans="1:3" s="7" customFormat="1" x14ac:dyDescent="0.2">
      <c r="A16049" s="6" t="str">
        <f>"AL390726.2"</f>
        <v>AL390726.2</v>
      </c>
      <c r="B16049" s="6">
        <v>0.89710289710289703</v>
      </c>
      <c r="C16049" s="6">
        <v>0.93427489701400801</v>
      </c>
    </row>
    <row r="16050" spans="1:3" s="7" customFormat="1" x14ac:dyDescent="0.2">
      <c r="A16050" s="6" t="str">
        <f>"LINC02827"</f>
        <v>LINC02827</v>
      </c>
      <c r="B16050" s="6">
        <v>0.89710289710289703</v>
      </c>
      <c r="C16050" s="6">
        <v>0.93427489701400801</v>
      </c>
    </row>
    <row r="16051" spans="1:3" s="7" customFormat="1" x14ac:dyDescent="0.2">
      <c r="A16051" s="6" t="str">
        <f>"AC005162.2"</f>
        <v>AC005162.2</v>
      </c>
      <c r="B16051" s="6">
        <v>0.898101898101898</v>
      </c>
      <c r="C16051" s="6">
        <v>0.93472279876389397</v>
      </c>
    </row>
    <row r="16052" spans="1:3" s="7" customFormat="1" x14ac:dyDescent="0.2">
      <c r="A16052" s="6" t="str">
        <f>"TOLLIP"</f>
        <v>TOLLIP</v>
      </c>
      <c r="B16052" s="6">
        <v>0.89800000000000002</v>
      </c>
      <c r="C16052" s="6">
        <v>0.93472279876389397</v>
      </c>
    </row>
    <row r="16053" spans="1:3" s="7" customFormat="1" x14ac:dyDescent="0.2">
      <c r="A16053" s="6" t="str">
        <f>"PRICKLE2-AS3"</f>
        <v>PRICKLE2-AS3</v>
      </c>
      <c r="B16053" s="6">
        <v>0.89814814814814803</v>
      </c>
      <c r="C16053" s="6">
        <v>0.93472279876389397</v>
      </c>
    </row>
    <row r="16054" spans="1:3" s="7" customFormat="1" x14ac:dyDescent="0.2">
      <c r="A16054" s="6" t="str">
        <f>"KREMEN2"</f>
        <v>KREMEN2</v>
      </c>
      <c r="B16054" s="6">
        <v>0.898101898101898</v>
      </c>
      <c r="C16054" s="6">
        <v>0.93472279876389397</v>
      </c>
    </row>
    <row r="16055" spans="1:3" s="7" customFormat="1" x14ac:dyDescent="0.2">
      <c r="A16055" s="6" t="str">
        <f>"TTC28"</f>
        <v>TTC28</v>
      </c>
      <c r="B16055" s="6">
        <v>0.898101898101898</v>
      </c>
      <c r="C16055" s="6">
        <v>0.93472279876389397</v>
      </c>
    </row>
    <row r="16056" spans="1:3" s="7" customFormat="1" x14ac:dyDescent="0.2">
      <c r="A16056" s="6" t="str">
        <f>"SUV39H1"</f>
        <v>SUV39H1</v>
      </c>
      <c r="B16056" s="6">
        <v>0.898101898101898</v>
      </c>
      <c r="C16056" s="6">
        <v>0.93472279876389397</v>
      </c>
    </row>
    <row r="16057" spans="1:3" s="7" customFormat="1" x14ac:dyDescent="0.2">
      <c r="A16057" s="6" t="str">
        <f>"C6orf141"</f>
        <v>C6orf141</v>
      </c>
      <c r="B16057" s="6">
        <v>0.898101898101898</v>
      </c>
      <c r="C16057" s="6">
        <v>0.93472279876389397</v>
      </c>
    </row>
    <row r="16058" spans="1:3" s="7" customFormat="1" x14ac:dyDescent="0.2">
      <c r="A16058" s="6" t="str">
        <f>"PSENEN"</f>
        <v>PSENEN</v>
      </c>
      <c r="B16058" s="6">
        <v>0.898101898101898</v>
      </c>
      <c r="C16058" s="6">
        <v>0.93472279876389397</v>
      </c>
    </row>
    <row r="16059" spans="1:3" s="7" customFormat="1" x14ac:dyDescent="0.2">
      <c r="A16059" s="6" t="str">
        <f>"MUC20-OT1"</f>
        <v>MUC20-OT1</v>
      </c>
      <c r="B16059" s="6">
        <v>0.898101898101898</v>
      </c>
      <c r="C16059" s="6">
        <v>0.93472279876389397</v>
      </c>
    </row>
    <row r="16060" spans="1:3" s="7" customFormat="1" x14ac:dyDescent="0.2">
      <c r="A16060" s="6" t="str">
        <f>"NTNG1"</f>
        <v>NTNG1</v>
      </c>
      <c r="B16060" s="6">
        <v>0.898101898101898</v>
      </c>
      <c r="C16060" s="6">
        <v>0.93472279876389397</v>
      </c>
    </row>
    <row r="16061" spans="1:3" s="7" customFormat="1" x14ac:dyDescent="0.2">
      <c r="A16061" s="6" t="str">
        <f>"AC140479.3"</f>
        <v>AC140479.3</v>
      </c>
      <c r="B16061" s="6">
        <v>0.898101898101898</v>
      </c>
      <c r="C16061" s="6">
        <v>0.93472279876389397</v>
      </c>
    </row>
    <row r="16062" spans="1:3" s="7" customFormat="1" x14ac:dyDescent="0.2">
      <c r="A16062" s="6" t="str">
        <f>"AFF1"</f>
        <v>AFF1</v>
      </c>
      <c r="B16062" s="6">
        <v>0.89910089910089896</v>
      </c>
      <c r="C16062" s="6">
        <v>0.93548135131800403</v>
      </c>
    </row>
    <row r="16063" spans="1:3" s="7" customFormat="1" x14ac:dyDescent="0.2">
      <c r="A16063" s="6" t="str">
        <f>"AC069257.3"</f>
        <v>AC069257.3</v>
      </c>
      <c r="B16063" s="6">
        <v>0.89900000000000002</v>
      </c>
      <c r="C16063" s="6">
        <v>0.93548135131800403</v>
      </c>
    </row>
    <row r="16064" spans="1:3" s="7" customFormat="1" x14ac:dyDescent="0.2">
      <c r="A16064" s="6" t="str">
        <f>"AC008403.3"</f>
        <v>AC008403.3</v>
      </c>
      <c r="B16064" s="6">
        <v>0.89900000000000002</v>
      </c>
      <c r="C16064" s="6">
        <v>0.93548135131800403</v>
      </c>
    </row>
    <row r="16065" spans="1:3" s="7" customFormat="1" x14ac:dyDescent="0.2">
      <c r="A16065" s="6" t="str">
        <f>"LRRC41"</f>
        <v>LRRC41</v>
      </c>
      <c r="B16065" s="6">
        <v>0.89910089910089896</v>
      </c>
      <c r="C16065" s="6">
        <v>0.93548135131800403</v>
      </c>
    </row>
    <row r="16066" spans="1:3" s="7" customFormat="1" x14ac:dyDescent="0.2">
      <c r="A16066" s="6" t="str">
        <f>"ZNF155"</f>
        <v>ZNF155</v>
      </c>
      <c r="B16066" s="6">
        <v>0.90009990009990004</v>
      </c>
      <c r="C16066" s="6">
        <v>0.93640419085458304</v>
      </c>
    </row>
    <row r="16067" spans="1:3" s="7" customFormat="1" x14ac:dyDescent="0.2">
      <c r="A16067" s="6" t="str">
        <f>"ROBO3"</f>
        <v>ROBO3</v>
      </c>
      <c r="B16067" s="6">
        <v>0.90009990009990004</v>
      </c>
      <c r="C16067" s="6">
        <v>0.93640419085458304</v>
      </c>
    </row>
    <row r="16068" spans="1:3" s="7" customFormat="1" x14ac:dyDescent="0.2">
      <c r="A16068" s="6" t="str">
        <f>"MFF"</f>
        <v>MFF</v>
      </c>
      <c r="B16068" s="6">
        <v>0.90109890109890101</v>
      </c>
      <c r="C16068" s="6">
        <v>0.93686035288423897</v>
      </c>
    </row>
    <row r="16069" spans="1:3" s="7" customFormat="1" x14ac:dyDescent="0.2">
      <c r="A16069" s="6" t="str">
        <f>"PSMA7"</f>
        <v>PSMA7</v>
      </c>
      <c r="B16069" s="6">
        <v>0.90109890109890101</v>
      </c>
      <c r="C16069" s="6">
        <v>0.93686035288423897</v>
      </c>
    </row>
    <row r="16070" spans="1:3" s="7" customFormat="1" x14ac:dyDescent="0.2">
      <c r="A16070" s="6" t="str">
        <f>"AL008725.1"</f>
        <v>AL008725.1</v>
      </c>
      <c r="B16070" s="6">
        <v>0.90109890109890101</v>
      </c>
      <c r="C16070" s="6">
        <v>0.93686035288423897</v>
      </c>
    </row>
    <row r="16071" spans="1:3" s="7" customFormat="1" x14ac:dyDescent="0.2">
      <c r="A16071" s="6" t="str">
        <f>"PPP2R5B"</f>
        <v>PPP2R5B</v>
      </c>
      <c r="B16071" s="6">
        <v>0.90109890109890101</v>
      </c>
      <c r="C16071" s="6">
        <v>0.93686035288423897</v>
      </c>
    </row>
    <row r="16072" spans="1:3" s="7" customFormat="1" x14ac:dyDescent="0.2">
      <c r="A16072" s="6" t="str">
        <f>"PMM2"</f>
        <v>PMM2</v>
      </c>
      <c r="B16072" s="6">
        <v>0.90109890109890101</v>
      </c>
      <c r="C16072" s="6">
        <v>0.93686035288423897</v>
      </c>
    </row>
    <row r="16073" spans="1:3" s="7" customFormat="1" x14ac:dyDescent="0.2">
      <c r="A16073" s="6" t="str">
        <f>"AC010332.3"</f>
        <v>AC010332.3</v>
      </c>
      <c r="B16073" s="6">
        <v>0.90109890109890101</v>
      </c>
      <c r="C16073" s="6">
        <v>0.93686035288423897</v>
      </c>
    </row>
    <row r="16074" spans="1:3" s="7" customFormat="1" x14ac:dyDescent="0.2">
      <c r="A16074" s="6" t="str">
        <f>"VSTM4"</f>
        <v>VSTM4</v>
      </c>
      <c r="B16074" s="6">
        <v>0.90109890109890101</v>
      </c>
      <c r="C16074" s="6">
        <v>0.93686035288423897</v>
      </c>
    </row>
    <row r="16075" spans="1:3" s="7" customFormat="1" x14ac:dyDescent="0.2">
      <c r="A16075" s="6" t="str">
        <f>"LINC01933"</f>
        <v>LINC01933</v>
      </c>
      <c r="B16075" s="6">
        <v>0.90109890109890101</v>
      </c>
      <c r="C16075" s="6">
        <v>0.93686035288423897</v>
      </c>
    </row>
    <row r="16076" spans="1:3" s="7" customFormat="1" x14ac:dyDescent="0.2">
      <c r="A16076" s="6" t="str">
        <f>"CAMKMT"</f>
        <v>CAMKMT</v>
      </c>
      <c r="B16076" s="6">
        <v>0.90109890109890101</v>
      </c>
      <c r="C16076" s="6">
        <v>0.93686035288423897</v>
      </c>
    </row>
    <row r="16077" spans="1:3" s="7" customFormat="1" x14ac:dyDescent="0.2">
      <c r="A16077" s="6" t="str">
        <f>"ZNF32-AS2"</f>
        <v>ZNF32-AS2</v>
      </c>
      <c r="B16077" s="6">
        <v>0.90090090090090003</v>
      </c>
      <c r="C16077" s="6">
        <v>0.93686035288423897</v>
      </c>
    </row>
    <row r="16078" spans="1:3" s="7" customFormat="1" x14ac:dyDescent="0.2">
      <c r="A16078" s="6" t="str">
        <f>"RPSAP70"</f>
        <v>RPSAP70</v>
      </c>
      <c r="B16078" s="6">
        <v>0.90209790209790197</v>
      </c>
      <c r="C16078" s="6">
        <v>0.93766569251643805</v>
      </c>
    </row>
    <row r="16079" spans="1:3" s="7" customFormat="1" x14ac:dyDescent="0.2">
      <c r="A16079" s="6" t="str">
        <f>"AL359538.1"</f>
        <v>AL359538.1</v>
      </c>
      <c r="B16079" s="6">
        <v>0.90209790209790197</v>
      </c>
      <c r="C16079" s="6">
        <v>0.93766569251643805</v>
      </c>
    </row>
    <row r="16080" spans="1:3" s="7" customFormat="1" x14ac:dyDescent="0.2">
      <c r="A16080" s="6" t="str">
        <f>"CD1C"</f>
        <v>CD1C</v>
      </c>
      <c r="B16080" s="6">
        <v>0.90209790209790197</v>
      </c>
      <c r="C16080" s="6">
        <v>0.93766569251643805</v>
      </c>
    </row>
    <row r="16081" spans="1:3" s="7" customFormat="1" x14ac:dyDescent="0.2">
      <c r="A16081" s="6" t="str">
        <f>"AC011379.2"</f>
        <v>AC011379.2</v>
      </c>
      <c r="B16081" s="6">
        <v>0.90209790209790197</v>
      </c>
      <c r="C16081" s="6">
        <v>0.93766569251643805</v>
      </c>
    </row>
    <row r="16082" spans="1:3" s="7" customFormat="1" x14ac:dyDescent="0.2">
      <c r="A16082" s="6" t="str">
        <f>"YWHAQ"</f>
        <v>YWHAQ</v>
      </c>
      <c r="B16082" s="6">
        <v>0.90309690309690305</v>
      </c>
      <c r="C16082" s="6">
        <v>0.93817898181127701</v>
      </c>
    </row>
    <row r="16083" spans="1:3" s="7" customFormat="1" x14ac:dyDescent="0.2">
      <c r="A16083" s="6" t="str">
        <f>"LINC02742"</f>
        <v>LINC02742</v>
      </c>
      <c r="B16083" s="6">
        <v>0.90270812437311898</v>
      </c>
      <c r="C16083" s="6">
        <v>0.93817898181127701</v>
      </c>
    </row>
    <row r="16084" spans="1:3" s="7" customFormat="1" x14ac:dyDescent="0.2">
      <c r="A16084" s="6" t="str">
        <f>"CLEC20A"</f>
        <v>CLEC20A</v>
      </c>
      <c r="B16084" s="6">
        <v>0.90309690309690305</v>
      </c>
      <c r="C16084" s="6">
        <v>0.93817898181127701</v>
      </c>
    </row>
    <row r="16085" spans="1:3" s="7" customFormat="1" x14ac:dyDescent="0.2">
      <c r="A16085" s="6" t="str">
        <f>"RIOX1"</f>
        <v>RIOX1</v>
      </c>
      <c r="B16085" s="6">
        <v>0.90309690309690305</v>
      </c>
      <c r="C16085" s="6">
        <v>0.93817898181127701</v>
      </c>
    </row>
    <row r="16086" spans="1:3" s="7" customFormat="1" x14ac:dyDescent="0.2">
      <c r="A16086" s="6" t="str">
        <f>"LYAR"</f>
        <v>LYAR</v>
      </c>
      <c r="B16086" s="6">
        <v>0.90309690309690305</v>
      </c>
      <c r="C16086" s="6">
        <v>0.93817898181127701</v>
      </c>
    </row>
    <row r="16087" spans="1:3" s="7" customFormat="1" x14ac:dyDescent="0.2">
      <c r="A16087" s="6" t="str">
        <f>"DMC1"</f>
        <v>DMC1</v>
      </c>
      <c r="B16087" s="6">
        <v>0.90309690309690305</v>
      </c>
      <c r="C16087" s="6">
        <v>0.93817898181127701</v>
      </c>
    </row>
    <row r="16088" spans="1:3" s="7" customFormat="1" x14ac:dyDescent="0.2">
      <c r="A16088" s="6" t="str">
        <f>"AC024560.4"</f>
        <v>AC024560.4</v>
      </c>
      <c r="B16088" s="6">
        <v>0.90309690309690305</v>
      </c>
      <c r="C16088" s="6">
        <v>0.93817898181127701</v>
      </c>
    </row>
    <row r="16089" spans="1:3" s="7" customFormat="1" x14ac:dyDescent="0.2">
      <c r="A16089" s="6" t="str">
        <f>"GSE1"</f>
        <v>GSE1</v>
      </c>
      <c r="B16089" s="6">
        <v>0.90309690309690305</v>
      </c>
      <c r="C16089" s="6">
        <v>0.93817898181127701</v>
      </c>
    </row>
    <row r="16090" spans="1:3" s="7" customFormat="1" x14ac:dyDescent="0.2">
      <c r="A16090" s="6" t="str">
        <f>"ELOVL5"</f>
        <v>ELOVL5</v>
      </c>
      <c r="B16090" s="6">
        <v>0.90309690309690305</v>
      </c>
      <c r="C16090" s="6">
        <v>0.93817898181127701</v>
      </c>
    </row>
    <row r="16091" spans="1:3" s="7" customFormat="1" x14ac:dyDescent="0.2">
      <c r="A16091" s="6" t="str">
        <f>"AC124016.2"</f>
        <v>AC124016.2</v>
      </c>
      <c r="B16091" s="6">
        <v>0.90378710337768597</v>
      </c>
      <c r="C16091" s="6">
        <v>0.93883764113453405</v>
      </c>
    </row>
    <row r="16092" spans="1:3" s="7" customFormat="1" x14ac:dyDescent="0.2">
      <c r="A16092" s="6" t="str">
        <f>"DHFR2"</f>
        <v>DHFR2</v>
      </c>
      <c r="B16092" s="6">
        <v>0.90409590409590401</v>
      </c>
      <c r="C16092" s="6">
        <v>0.93886666300459398</v>
      </c>
    </row>
    <row r="16093" spans="1:3" s="7" customFormat="1" x14ac:dyDescent="0.2">
      <c r="A16093" s="6" t="str">
        <f>"RPUSD3"</f>
        <v>RPUSD3</v>
      </c>
      <c r="B16093" s="6">
        <v>0.90409590409590401</v>
      </c>
      <c r="C16093" s="6">
        <v>0.93886666300459398</v>
      </c>
    </row>
    <row r="16094" spans="1:3" s="7" customFormat="1" x14ac:dyDescent="0.2">
      <c r="A16094" s="6" t="str">
        <f>"LRRC9"</f>
        <v>LRRC9</v>
      </c>
      <c r="B16094" s="6">
        <v>0.90409590409590401</v>
      </c>
      <c r="C16094" s="6">
        <v>0.93886666300459398</v>
      </c>
    </row>
    <row r="16095" spans="1:3" s="7" customFormat="1" x14ac:dyDescent="0.2">
      <c r="A16095" s="6" t="str">
        <f>"Z95331.1"</f>
        <v>Z95331.1</v>
      </c>
      <c r="B16095" s="6">
        <v>0.90400000000000003</v>
      </c>
      <c r="C16095" s="6">
        <v>0.93886666300459398</v>
      </c>
    </row>
    <row r="16096" spans="1:3" s="7" customFormat="1" x14ac:dyDescent="0.2">
      <c r="A16096" s="6" t="str">
        <f>"SPRY4"</f>
        <v>SPRY4</v>
      </c>
      <c r="B16096" s="6">
        <v>0.90409590409590401</v>
      </c>
      <c r="C16096" s="6">
        <v>0.93886666300459398</v>
      </c>
    </row>
    <row r="16097" spans="1:3" s="7" customFormat="1" x14ac:dyDescent="0.2">
      <c r="A16097" s="6" t="str">
        <f>"TACC2"</f>
        <v>TACC2</v>
      </c>
      <c r="B16097" s="6">
        <v>0.90500000000000003</v>
      </c>
      <c r="C16097" s="6">
        <v>0.93955383167233297</v>
      </c>
    </row>
    <row r="16098" spans="1:3" s="7" customFormat="1" x14ac:dyDescent="0.2">
      <c r="A16098" s="6" t="str">
        <f>"GUSBP13"</f>
        <v>GUSBP13</v>
      </c>
      <c r="B16098" s="6">
        <v>0.90509490509490498</v>
      </c>
      <c r="C16098" s="6">
        <v>0.93955383167233297</v>
      </c>
    </row>
    <row r="16099" spans="1:3" s="7" customFormat="1" x14ac:dyDescent="0.2">
      <c r="A16099" s="6" t="str">
        <f>"AL121899.2"</f>
        <v>AL121899.2</v>
      </c>
      <c r="B16099" s="6">
        <v>0.90509490509490498</v>
      </c>
      <c r="C16099" s="6">
        <v>0.93955383167233297</v>
      </c>
    </row>
    <row r="16100" spans="1:3" s="7" customFormat="1" x14ac:dyDescent="0.2">
      <c r="A16100" s="6" t="str">
        <f>"MROH1"</f>
        <v>MROH1</v>
      </c>
      <c r="B16100" s="6">
        <v>0.90509490509490498</v>
      </c>
      <c r="C16100" s="6">
        <v>0.93955383167233297</v>
      </c>
    </row>
    <row r="16101" spans="1:3" s="7" customFormat="1" x14ac:dyDescent="0.2">
      <c r="A16101" s="6" t="str">
        <f>"AC211429.1"</f>
        <v>AC211429.1</v>
      </c>
      <c r="B16101" s="6">
        <v>0.90500000000000003</v>
      </c>
      <c r="C16101" s="6">
        <v>0.93955383167233297</v>
      </c>
    </row>
    <row r="16102" spans="1:3" s="7" customFormat="1" x14ac:dyDescent="0.2">
      <c r="A16102" s="6" t="str">
        <f>"USP32P3"</f>
        <v>USP32P3</v>
      </c>
      <c r="B16102" s="6">
        <v>0.90509490509490498</v>
      </c>
      <c r="C16102" s="6">
        <v>0.93955383167233297</v>
      </c>
    </row>
    <row r="16103" spans="1:3" s="7" customFormat="1" x14ac:dyDescent="0.2">
      <c r="A16103" s="6" t="str">
        <f>"ZNF333"</f>
        <v>ZNF333</v>
      </c>
      <c r="B16103" s="6">
        <v>0.90609390609390605</v>
      </c>
      <c r="C16103" s="6">
        <v>0.94006539704863701</v>
      </c>
    </row>
    <row r="16104" spans="1:3" s="7" customFormat="1" x14ac:dyDescent="0.2">
      <c r="A16104" s="6" t="str">
        <f>"SHROOM3"</f>
        <v>SHROOM3</v>
      </c>
      <c r="B16104" s="6">
        <v>0.90609390609390605</v>
      </c>
      <c r="C16104" s="6">
        <v>0.94006539704863701</v>
      </c>
    </row>
    <row r="16105" spans="1:3" s="7" customFormat="1" x14ac:dyDescent="0.2">
      <c r="A16105" s="6" t="str">
        <f>"TSPAN10"</f>
        <v>TSPAN10</v>
      </c>
      <c r="B16105" s="6">
        <v>0.90609390609390605</v>
      </c>
      <c r="C16105" s="6">
        <v>0.94006539704863701</v>
      </c>
    </row>
    <row r="16106" spans="1:3" s="7" customFormat="1" x14ac:dyDescent="0.2">
      <c r="A16106" s="6" t="str">
        <f>"BX005040.4"</f>
        <v>BX005040.4</v>
      </c>
      <c r="B16106" s="6">
        <v>0.90600000000000003</v>
      </c>
      <c r="C16106" s="6">
        <v>0.94006539704863701</v>
      </c>
    </row>
    <row r="16107" spans="1:3" s="7" customFormat="1" x14ac:dyDescent="0.2">
      <c r="A16107" s="6" t="str">
        <f>"ZNF852"</f>
        <v>ZNF852</v>
      </c>
      <c r="B16107" s="6">
        <v>0.90609390609390605</v>
      </c>
      <c r="C16107" s="6">
        <v>0.94006539704863701</v>
      </c>
    </row>
    <row r="16108" spans="1:3" s="7" customFormat="1" x14ac:dyDescent="0.2">
      <c r="A16108" s="6" t="str">
        <f>"AC138207.3"</f>
        <v>AC138207.3</v>
      </c>
      <c r="B16108" s="6">
        <v>0.90590590590590603</v>
      </c>
      <c r="C16108" s="6">
        <v>0.94006539704863701</v>
      </c>
    </row>
    <row r="16109" spans="1:3" s="7" customFormat="1" x14ac:dyDescent="0.2">
      <c r="A16109" s="6" t="str">
        <f>"SLC25A18"</f>
        <v>SLC25A18</v>
      </c>
      <c r="B16109" s="6">
        <v>0.90609390609390605</v>
      </c>
      <c r="C16109" s="6">
        <v>0.94006539704863701</v>
      </c>
    </row>
    <row r="16110" spans="1:3" s="7" customFormat="1" x14ac:dyDescent="0.2">
      <c r="A16110" s="6" t="str">
        <f>"CCDC169-SOHLH2"</f>
        <v>CCDC169-SOHLH2</v>
      </c>
      <c r="B16110" s="6">
        <v>0.90609390609390605</v>
      </c>
      <c r="C16110" s="6">
        <v>0.94006539704863701</v>
      </c>
    </row>
    <row r="16111" spans="1:3" s="7" customFormat="1" x14ac:dyDescent="0.2">
      <c r="A16111" s="6" t="str">
        <f>"ELOA"</f>
        <v>ELOA</v>
      </c>
      <c r="B16111" s="6">
        <v>0.90609390609390605</v>
      </c>
      <c r="C16111" s="6">
        <v>0.94006539704863701</v>
      </c>
    </row>
    <row r="16112" spans="1:3" s="7" customFormat="1" x14ac:dyDescent="0.2">
      <c r="A16112" s="6" t="str">
        <f>"ZNF490"</f>
        <v>ZNF490</v>
      </c>
      <c r="B16112" s="6">
        <v>0.90709290709290702</v>
      </c>
      <c r="C16112" s="6">
        <v>0.94057639116265601</v>
      </c>
    </row>
    <row r="16113" spans="1:3" s="7" customFormat="1" x14ac:dyDescent="0.2">
      <c r="A16113" s="6" t="str">
        <f>"NCLN"</f>
        <v>NCLN</v>
      </c>
      <c r="B16113" s="6">
        <v>0.90709290709290702</v>
      </c>
      <c r="C16113" s="6">
        <v>0.94057639116265601</v>
      </c>
    </row>
    <row r="16114" spans="1:3" s="7" customFormat="1" x14ac:dyDescent="0.2">
      <c r="A16114" s="6" t="str">
        <f>"AC068620.1"</f>
        <v>AC068620.1</v>
      </c>
      <c r="B16114" s="6">
        <v>0.90681362725450898</v>
      </c>
      <c r="C16114" s="6">
        <v>0.94057639116265601</v>
      </c>
    </row>
    <row r="16115" spans="1:3" s="7" customFormat="1" x14ac:dyDescent="0.2">
      <c r="A16115" s="6" t="str">
        <f>"RRP8"</f>
        <v>RRP8</v>
      </c>
      <c r="B16115" s="6">
        <v>0.90709290709290702</v>
      </c>
      <c r="C16115" s="6">
        <v>0.94057639116265601</v>
      </c>
    </row>
    <row r="16116" spans="1:3" s="7" customFormat="1" x14ac:dyDescent="0.2">
      <c r="A16116" s="6" t="str">
        <f>"BX005214.1"</f>
        <v>BX005214.1</v>
      </c>
      <c r="B16116" s="6">
        <v>0.90680628272251296</v>
      </c>
      <c r="C16116" s="6">
        <v>0.94057639116265601</v>
      </c>
    </row>
    <row r="16117" spans="1:3" s="7" customFormat="1" x14ac:dyDescent="0.2">
      <c r="A16117" s="6" t="str">
        <f>"RHEX"</f>
        <v>RHEX</v>
      </c>
      <c r="B16117" s="6">
        <v>0.90709290709290702</v>
      </c>
      <c r="C16117" s="6">
        <v>0.94057639116265601</v>
      </c>
    </row>
    <row r="16118" spans="1:3" s="7" customFormat="1" x14ac:dyDescent="0.2">
      <c r="A16118" s="6" t="str">
        <f>"ANKS4B"</f>
        <v>ANKS4B</v>
      </c>
      <c r="B16118" s="6">
        <v>0.90700000000000003</v>
      </c>
      <c r="C16118" s="6">
        <v>0.94057639116265601</v>
      </c>
    </row>
    <row r="16119" spans="1:3" s="7" customFormat="1" x14ac:dyDescent="0.2">
      <c r="A16119" s="6" t="str">
        <f>"AFDN-DT"</f>
        <v>AFDN-DT</v>
      </c>
      <c r="B16119" s="6">
        <v>0.90709290709290702</v>
      </c>
      <c r="C16119" s="6">
        <v>0.94057639116265601</v>
      </c>
    </row>
    <row r="16120" spans="1:3" s="7" customFormat="1" x14ac:dyDescent="0.2">
      <c r="A16120" s="6" t="str">
        <f>"CD226"</f>
        <v>CD226</v>
      </c>
      <c r="B16120" s="6">
        <v>0.90709290709290702</v>
      </c>
      <c r="C16120" s="6">
        <v>0.94057639116265601</v>
      </c>
    </row>
    <row r="16121" spans="1:3" s="7" customFormat="1" x14ac:dyDescent="0.2">
      <c r="A16121" s="6" t="str">
        <f>"ZNF655"</f>
        <v>ZNF655</v>
      </c>
      <c r="B16121" s="6">
        <v>0.90809190809190798</v>
      </c>
      <c r="C16121" s="6">
        <v>0.94126190088980699</v>
      </c>
    </row>
    <row r="16122" spans="1:3" s="7" customFormat="1" x14ac:dyDescent="0.2">
      <c r="A16122" s="6" t="str">
        <f>"AC135983.3"</f>
        <v>AC135983.3</v>
      </c>
      <c r="B16122" s="6">
        <v>0.90809190809190798</v>
      </c>
      <c r="C16122" s="6">
        <v>0.94126190088980699</v>
      </c>
    </row>
    <row r="16123" spans="1:3" s="7" customFormat="1" x14ac:dyDescent="0.2">
      <c r="A16123" s="6" t="str">
        <f>"SFXN2"</f>
        <v>SFXN2</v>
      </c>
      <c r="B16123" s="6">
        <v>0.90809190809190798</v>
      </c>
      <c r="C16123" s="6">
        <v>0.94126190088980699</v>
      </c>
    </row>
    <row r="16124" spans="1:3" s="7" customFormat="1" x14ac:dyDescent="0.2">
      <c r="A16124" s="6" t="str">
        <f>"AC018809.2"</f>
        <v>AC018809.2</v>
      </c>
      <c r="B16124" s="6">
        <v>0.90785907859078596</v>
      </c>
      <c r="C16124" s="6">
        <v>0.94126190088980699</v>
      </c>
    </row>
    <row r="16125" spans="1:3" s="7" customFormat="1" x14ac:dyDescent="0.2">
      <c r="A16125" s="6" t="str">
        <f>"FDX2"</f>
        <v>FDX2</v>
      </c>
      <c r="B16125" s="6">
        <v>0.90809190809190798</v>
      </c>
      <c r="C16125" s="6">
        <v>0.94126190088980699</v>
      </c>
    </row>
    <row r="16126" spans="1:3" s="7" customFormat="1" x14ac:dyDescent="0.2">
      <c r="A16126" s="6" t="str">
        <f>"NUDT9"</f>
        <v>NUDT9</v>
      </c>
      <c r="B16126" s="6">
        <v>0.90809190809190798</v>
      </c>
      <c r="C16126" s="6">
        <v>0.94126190088980699</v>
      </c>
    </row>
    <row r="16127" spans="1:3" s="7" customFormat="1" x14ac:dyDescent="0.2">
      <c r="A16127" s="6" t="str">
        <f>"OR7E125P"</f>
        <v>OR7E125P</v>
      </c>
      <c r="B16127" s="6">
        <v>0.90900000000000003</v>
      </c>
      <c r="C16127" s="6">
        <v>0.94214473521021902</v>
      </c>
    </row>
    <row r="16128" spans="1:3" s="7" customFormat="1" x14ac:dyDescent="0.2">
      <c r="A16128" s="6" t="str">
        <f>"STMN1"</f>
        <v>STMN1</v>
      </c>
      <c r="B16128" s="6">
        <v>0.90909090909090895</v>
      </c>
      <c r="C16128" s="6">
        <v>0.94218053292896697</v>
      </c>
    </row>
    <row r="16129" spans="1:3" s="7" customFormat="1" x14ac:dyDescent="0.2">
      <c r="A16129" s="6" t="str">
        <f>"LINC01355"</f>
        <v>LINC01355</v>
      </c>
      <c r="B16129" s="6">
        <v>0.91008991008991003</v>
      </c>
      <c r="C16129" s="6">
        <v>0.94309893714692505</v>
      </c>
    </row>
    <row r="16130" spans="1:3" s="7" customFormat="1" x14ac:dyDescent="0.2">
      <c r="A16130" s="6" t="str">
        <f>"TRNT1"</f>
        <v>TRNT1</v>
      </c>
      <c r="B16130" s="6">
        <v>0.91008991008991003</v>
      </c>
      <c r="C16130" s="6">
        <v>0.94309893714692505</v>
      </c>
    </row>
    <row r="16131" spans="1:3" s="7" customFormat="1" x14ac:dyDescent="0.2">
      <c r="A16131" s="6" t="str">
        <f>"FGF7P8"</f>
        <v>FGF7P8</v>
      </c>
      <c r="B16131" s="6">
        <v>0.91046277665995901</v>
      </c>
      <c r="C16131" s="6">
        <v>0.94342683503376101</v>
      </c>
    </row>
    <row r="16132" spans="1:3" s="7" customFormat="1" x14ac:dyDescent="0.2">
      <c r="A16132" s="6" t="str">
        <f>"OR2AG2"</f>
        <v>OR2AG2</v>
      </c>
      <c r="B16132" s="6">
        <v>0.91108891108891099</v>
      </c>
      <c r="C16132" s="6">
        <v>0.94378308397521204</v>
      </c>
    </row>
    <row r="16133" spans="1:3" s="7" customFormat="1" x14ac:dyDescent="0.2">
      <c r="A16133" s="6" t="str">
        <f>"AC026150.3"</f>
        <v>AC026150.3</v>
      </c>
      <c r="B16133" s="6">
        <v>0.91100000000000003</v>
      </c>
      <c r="C16133" s="6">
        <v>0.94378308397521204</v>
      </c>
    </row>
    <row r="16134" spans="1:3" s="7" customFormat="1" x14ac:dyDescent="0.2">
      <c r="A16134" s="6" t="str">
        <f>"ROCK1P1"</f>
        <v>ROCK1P1</v>
      </c>
      <c r="B16134" s="6">
        <v>0.91108891108891099</v>
      </c>
      <c r="C16134" s="6">
        <v>0.94378308397521204</v>
      </c>
    </row>
    <row r="16135" spans="1:3" s="7" customFormat="1" x14ac:dyDescent="0.2">
      <c r="A16135" s="6" t="str">
        <f>"AL390726.4"</f>
        <v>AL390726.4</v>
      </c>
      <c r="B16135" s="6">
        <v>0.91108891108891099</v>
      </c>
      <c r="C16135" s="6">
        <v>0.94378308397521204</v>
      </c>
    </row>
    <row r="16136" spans="1:3" s="7" customFormat="1" x14ac:dyDescent="0.2">
      <c r="A16136" s="6" t="str">
        <f>"CISD3"</f>
        <v>CISD3</v>
      </c>
      <c r="B16136" s="6">
        <v>0.91108891108891099</v>
      </c>
      <c r="C16136" s="6">
        <v>0.94378308397521204</v>
      </c>
    </row>
    <row r="16137" spans="1:3" s="7" customFormat="1" x14ac:dyDescent="0.2">
      <c r="A16137" s="6" t="str">
        <f>"SNX11"</f>
        <v>SNX11</v>
      </c>
      <c r="B16137" s="6">
        <v>0.91208791208791196</v>
      </c>
      <c r="C16137" s="6">
        <v>0.94417424517758897</v>
      </c>
    </row>
    <row r="16138" spans="1:3" s="7" customFormat="1" x14ac:dyDescent="0.2">
      <c r="A16138" s="6" t="str">
        <f>"CENPH"</f>
        <v>CENPH</v>
      </c>
      <c r="B16138" s="6">
        <v>0.91208791208791196</v>
      </c>
      <c r="C16138" s="6">
        <v>0.94417424517758897</v>
      </c>
    </row>
    <row r="16139" spans="1:3" s="7" customFormat="1" x14ac:dyDescent="0.2">
      <c r="A16139" s="6" t="str">
        <f>"STAT4"</f>
        <v>STAT4</v>
      </c>
      <c r="B16139" s="6">
        <v>0.91208791208791196</v>
      </c>
      <c r="C16139" s="6">
        <v>0.94417424517758897</v>
      </c>
    </row>
    <row r="16140" spans="1:3" s="7" customFormat="1" x14ac:dyDescent="0.2">
      <c r="A16140" s="6" t="str">
        <f>"ACLY"</f>
        <v>ACLY</v>
      </c>
      <c r="B16140" s="6">
        <v>0.91208791208791196</v>
      </c>
      <c r="C16140" s="6">
        <v>0.94417424517758897</v>
      </c>
    </row>
    <row r="16141" spans="1:3" s="7" customFormat="1" x14ac:dyDescent="0.2">
      <c r="A16141" s="6" t="str">
        <f>"U73166.1"</f>
        <v>U73166.1</v>
      </c>
      <c r="B16141" s="6">
        <v>0.91208791208791196</v>
      </c>
      <c r="C16141" s="6">
        <v>0.94417424517758897</v>
      </c>
    </row>
    <row r="16142" spans="1:3" s="7" customFormat="1" x14ac:dyDescent="0.2">
      <c r="A16142" s="6" t="str">
        <f>"PNPO"</f>
        <v>PNPO</v>
      </c>
      <c r="B16142" s="6">
        <v>0.91208791208791196</v>
      </c>
      <c r="C16142" s="6">
        <v>0.94417424517758897</v>
      </c>
    </row>
    <row r="16143" spans="1:3" s="7" customFormat="1" x14ac:dyDescent="0.2">
      <c r="A16143" s="6" t="str">
        <f>"DR1"</f>
        <v>DR1</v>
      </c>
      <c r="B16143" s="6">
        <v>0.91208791208791196</v>
      </c>
      <c r="C16143" s="6">
        <v>0.94417424517758897</v>
      </c>
    </row>
    <row r="16144" spans="1:3" s="7" customFormat="1" x14ac:dyDescent="0.2">
      <c r="A16144" s="6" t="str">
        <f>"MGAT3"</f>
        <v>MGAT3</v>
      </c>
      <c r="B16144" s="6">
        <v>0.91208791208791196</v>
      </c>
      <c r="C16144" s="6">
        <v>0.94417424517758897</v>
      </c>
    </row>
    <row r="16145" spans="1:3" s="7" customFormat="1" x14ac:dyDescent="0.2">
      <c r="A16145" s="6" t="str">
        <f>"AP001412.1"</f>
        <v>AP001412.1</v>
      </c>
      <c r="B16145" s="6">
        <v>0.91200000000000003</v>
      </c>
      <c r="C16145" s="6">
        <v>0.94417424517758897</v>
      </c>
    </row>
    <row r="16146" spans="1:3" s="7" customFormat="1" x14ac:dyDescent="0.2">
      <c r="A16146" s="6" t="str">
        <f>"AC018809.3"</f>
        <v>AC018809.3</v>
      </c>
      <c r="B16146" s="6">
        <v>0.91208791208791196</v>
      </c>
      <c r="C16146" s="6">
        <v>0.94417424517758897</v>
      </c>
    </row>
    <row r="16147" spans="1:3" s="7" customFormat="1" x14ac:dyDescent="0.2">
      <c r="A16147" s="6" t="str">
        <f>"AP003108.5"</f>
        <v>AP003108.5</v>
      </c>
      <c r="B16147" s="6">
        <v>0.91208791208791196</v>
      </c>
      <c r="C16147" s="6">
        <v>0.94417424517758897</v>
      </c>
    </row>
    <row r="16148" spans="1:3" s="7" customFormat="1" x14ac:dyDescent="0.2">
      <c r="A16148" s="6" t="str">
        <f>"AC011297.1"</f>
        <v>AC011297.1</v>
      </c>
      <c r="B16148" s="6">
        <v>0.91229946524064098</v>
      </c>
      <c r="C16148" s="6">
        <v>0.94433475333077899</v>
      </c>
    </row>
    <row r="16149" spans="1:3" s="7" customFormat="1" x14ac:dyDescent="0.2">
      <c r="A16149" s="6" t="str">
        <f>"AC138150.1"</f>
        <v>AC138150.1</v>
      </c>
      <c r="B16149" s="6">
        <v>0.912474849094567</v>
      </c>
      <c r="C16149" s="6">
        <v>0.94445780454338601</v>
      </c>
    </row>
    <row r="16150" spans="1:3" s="7" customFormat="1" x14ac:dyDescent="0.2">
      <c r="A16150" s="6" t="str">
        <f>"AIMP2"</f>
        <v>AIMP2</v>
      </c>
      <c r="B16150" s="6">
        <v>0.91308691308691303</v>
      </c>
      <c r="C16150" s="6">
        <v>0.94462333902789397</v>
      </c>
    </row>
    <row r="16151" spans="1:3" s="7" customFormat="1" x14ac:dyDescent="0.2">
      <c r="A16151" s="6" t="str">
        <f>"AC118758.2"</f>
        <v>AC118758.2</v>
      </c>
      <c r="B16151" s="6">
        <v>0.91295546558704399</v>
      </c>
      <c r="C16151" s="6">
        <v>0.94462333902789397</v>
      </c>
    </row>
    <row r="16152" spans="1:3" s="7" customFormat="1" x14ac:dyDescent="0.2">
      <c r="A16152" s="6" t="str">
        <f>"BMP8A"</f>
        <v>BMP8A</v>
      </c>
      <c r="B16152" s="6">
        <v>0.91308691308691303</v>
      </c>
      <c r="C16152" s="6">
        <v>0.94462333902789397</v>
      </c>
    </row>
    <row r="16153" spans="1:3" s="7" customFormat="1" x14ac:dyDescent="0.2">
      <c r="A16153" s="6" t="str">
        <f>"AL360169.3"</f>
        <v>AL360169.3</v>
      </c>
      <c r="B16153" s="6">
        <v>0.91291291291291199</v>
      </c>
      <c r="C16153" s="6">
        <v>0.94462333902789397</v>
      </c>
    </row>
    <row r="16154" spans="1:3" s="7" customFormat="1" x14ac:dyDescent="0.2">
      <c r="A16154" s="6" t="str">
        <f>"ZDHHC14"</f>
        <v>ZDHHC14</v>
      </c>
      <c r="B16154" s="6">
        <v>0.91308691308691303</v>
      </c>
      <c r="C16154" s="6">
        <v>0.94462333902789397</v>
      </c>
    </row>
    <row r="16155" spans="1:3" s="7" customFormat="1" x14ac:dyDescent="0.2">
      <c r="A16155" s="6" t="str">
        <f>"AC024075.2"</f>
        <v>AC024075.2</v>
      </c>
      <c r="B16155" s="6">
        <v>0.91308691308691303</v>
      </c>
      <c r="C16155" s="6">
        <v>0.94462333902789397</v>
      </c>
    </row>
    <row r="16156" spans="1:3" s="7" customFormat="1" x14ac:dyDescent="0.2">
      <c r="A16156" s="6" t="str">
        <f>"TOP1MT"</f>
        <v>TOP1MT</v>
      </c>
      <c r="B16156" s="6">
        <v>0.91308691308691303</v>
      </c>
      <c r="C16156" s="6">
        <v>0.94462333902789397</v>
      </c>
    </row>
    <row r="16157" spans="1:3" s="7" customFormat="1" x14ac:dyDescent="0.2">
      <c r="A16157" s="6" t="str">
        <f>"POLR2H"</f>
        <v>POLR2H</v>
      </c>
      <c r="B16157" s="6">
        <v>0.91308691308691303</v>
      </c>
      <c r="C16157" s="6">
        <v>0.94462333902789397</v>
      </c>
    </row>
    <row r="16158" spans="1:3" s="7" customFormat="1" x14ac:dyDescent="0.2">
      <c r="A16158" s="6" t="str">
        <f>"HERC2P4"</f>
        <v>HERC2P4</v>
      </c>
      <c r="B16158" s="6">
        <v>0.914085914085914</v>
      </c>
      <c r="C16158" s="6">
        <v>0.94542277029900701</v>
      </c>
    </row>
    <row r="16159" spans="1:3" s="7" customFormat="1" x14ac:dyDescent="0.2">
      <c r="A16159" s="6" t="str">
        <f>"C4orf46"</f>
        <v>C4orf46</v>
      </c>
      <c r="B16159" s="6">
        <v>0.914085914085914</v>
      </c>
      <c r="C16159" s="6">
        <v>0.94542277029900701</v>
      </c>
    </row>
    <row r="16160" spans="1:3" s="7" customFormat="1" x14ac:dyDescent="0.2">
      <c r="A16160" s="6" t="str">
        <f>"WDR73"</f>
        <v>WDR73</v>
      </c>
      <c r="B16160" s="6">
        <v>0.914085914085914</v>
      </c>
      <c r="C16160" s="6">
        <v>0.94542277029900701</v>
      </c>
    </row>
    <row r="16161" spans="1:3" s="7" customFormat="1" x14ac:dyDescent="0.2">
      <c r="A16161" s="6" t="str">
        <f>"AC016747.4"</f>
        <v>AC016747.4</v>
      </c>
      <c r="B16161" s="6">
        <v>0.914085914085914</v>
      </c>
      <c r="C16161" s="6">
        <v>0.94542277029900701</v>
      </c>
    </row>
    <row r="16162" spans="1:3" s="7" customFormat="1" x14ac:dyDescent="0.2">
      <c r="A16162" s="6" t="str">
        <f>"TRPM3"</f>
        <v>TRPM3</v>
      </c>
      <c r="B16162" s="6">
        <v>0.91508491508491496</v>
      </c>
      <c r="C16162" s="6">
        <v>0.94633889807754401</v>
      </c>
    </row>
    <row r="16163" spans="1:3" s="7" customFormat="1" x14ac:dyDescent="0.2">
      <c r="A16163" s="6" t="str">
        <f>"PDGFRB"</f>
        <v>PDGFRB</v>
      </c>
      <c r="B16163" s="6">
        <v>0.91508491508491496</v>
      </c>
      <c r="C16163" s="6">
        <v>0.94633889807754401</v>
      </c>
    </row>
    <row r="16164" spans="1:3" s="7" customFormat="1" x14ac:dyDescent="0.2">
      <c r="A16164" s="6" t="str">
        <f>"DPH3"</f>
        <v>DPH3</v>
      </c>
      <c r="B16164" s="6">
        <v>0.91608391608391604</v>
      </c>
      <c r="C16164" s="6">
        <v>0.94713760815455705</v>
      </c>
    </row>
    <row r="16165" spans="1:3" s="7" customFormat="1" x14ac:dyDescent="0.2">
      <c r="A16165" s="6" t="str">
        <f>"H2AC15"</f>
        <v>H2AC15</v>
      </c>
      <c r="B16165" s="6">
        <v>0.91608391608391604</v>
      </c>
      <c r="C16165" s="6">
        <v>0.94713760815455705</v>
      </c>
    </row>
    <row r="16166" spans="1:3" s="7" customFormat="1" x14ac:dyDescent="0.2">
      <c r="A16166" s="6" t="str">
        <f>"TIGD7"</f>
        <v>TIGD7</v>
      </c>
      <c r="B16166" s="6">
        <v>0.91608391608391604</v>
      </c>
      <c r="C16166" s="6">
        <v>0.94713760815455705</v>
      </c>
    </row>
    <row r="16167" spans="1:3" s="7" customFormat="1" x14ac:dyDescent="0.2">
      <c r="A16167" s="6" t="str">
        <f>"AFAP1L2"</f>
        <v>AFAP1L2</v>
      </c>
      <c r="B16167" s="6">
        <v>0.91608391608391604</v>
      </c>
      <c r="C16167" s="6">
        <v>0.94713760815455705</v>
      </c>
    </row>
    <row r="16168" spans="1:3" s="7" customFormat="1" x14ac:dyDescent="0.2">
      <c r="A16168" s="6" t="str">
        <f>"SLC25A22"</f>
        <v>SLC25A22</v>
      </c>
      <c r="B16168" s="6">
        <v>0.917082917082917</v>
      </c>
      <c r="C16168" s="6">
        <v>0.94770148856954795</v>
      </c>
    </row>
    <row r="16169" spans="1:3" s="7" customFormat="1" x14ac:dyDescent="0.2">
      <c r="A16169" s="6" t="str">
        <f>"AGAP14P"</f>
        <v>AGAP14P</v>
      </c>
      <c r="B16169" s="6">
        <v>0.917082917082917</v>
      </c>
      <c r="C16169" s="6">
        <v>0.94770148856954795</v>
      </c>
    </row>
    <row r="16170" spans="1:3" s="7" customFormat="1" x14ac:dyDescent="0.2">
      <c r="A16170" s="6" t="str">
        <f>"AC091304.1"</f>
        <v>AC091304.1</v>
      </c>
      <c r="B16170" s="6">
        <v>0.917082917082917</v>
      </c>
      <c r="C16170" s="6">
        <v>0.94770148856954795</v>
      </c>
    </row>
    <row r="16171" spans="1:3" s="7" customFormat="1" x14ac:dyDescent="0.2">
      <c r="A16171" s="6" t="str">
        <f>"AC007682.1"</f>
        <v>AC007682.1</v>
      </c>
      <c r="B16171" s="6">
        <v>0.91700000000000004</v>
      </c>
      <c r="C16171" s="6">
        <v>0.94770148856954795</v>
      </c>
    </row>
    <row r="16172" spans="1:3" s="7" customFormat="1" x14ac:dyDescent="0.2">
      <c r="A16172" s="6" t="str">
        <f>"AC008537.1"</f>
        <v>AC008537.1</v>
      </c>
      <c r="B16172" s="6">
        <v>0.91700000000000004</v>
      </c>
      <c r="C16172" s="6">
        <v>0.94770148856954795</v>
      </c>
    </row>
    <row r="16173" spans="1:3" s="7" customFormat="1" x14ac:dyDescent="0.2">
      <c r="A16173" s="6" t="str">
        <f>"PUS3"</f>
        <v>PUS3</v>
      </c>
      <c r="B16173" s="6">
        <v>0.917082917082917</v>
      </c>
      <c r="C16173" s="6">
        <v>0.94770148856954795</v>
      </c>
    </row>
    <row r="16174" spans="1:3" s="7" customFormat="1" x14ac:dyDescent="0.2">
      <c r="A16174" s="6" t="str">
        <f>"AF241726.1"</f>
        <v>AF241726.1</v>
      </c>
      <c r="B16174" s="6">
        <v>0.917082917082917</v>
      </c>
      <c r="C16174" s="6">
        <v>0.94770148856954795</v>
      </c>
    </row>
    <row r="16175" spans="1:3" s="7" customFormat="1" x14ac:dyDescent="0.2">
      <c r="A16175" s="6" t="str">
        <f>"GCNT1"</f>
        <v>GCNT1</v>
      </c>
      <c r="B16175" s="6">
        <v>0.917082917082917</v>
      </c>
      <c r="C16175" s="6">
        <v>0.94770148856954795</v>
      </c>
    </row>
    <row r="16176" spans="1:3" s="7" customFormat="1" x14ac:dyDescent="0.2">
      <c r="A16176" s="6" t="str">
        <f>"DHRS7B"</f>
        <v>DHRS7B</v>
      </c>
      <c r="B16176" s="6">
        <v>0.91808191808191797</v>
      </c>
      <c r="C16176" s="6">
        <v>0.94832341504364204</v>
      </c>
    </row>
    <row r="16177" spans="1:3" s="7" customFormat="1" x14ac:dyDescent="0.2">
      <c r="A16177" s="6" t="str">
        <f>"TRMT61A"</f>
        <v>TRMT61A</v>
      </c>
      <c r="B16177" s="6">
        <v>0.91808191808191797</v>
      </c>
      <c r="C16177" s="6">
        <v>0.94832341504364204</v>
      </c>
    </row>
    <row r="16178" spans="1:3" s="7" customFormat="1" x14ac:dyDescent="0.2">
      <c r="A16178" s="6" t="str">
        <f>"TMEM222"</f>
        <v>TMEM222</v>
      </c>
      <c r="B16178" s="6">
        <v>0.91808191808191797</v>
      </c>
      <c r="C16178" s="6">
        <v>0.94832341504364204</v>
      </c>
    </row>
    <row r="16179" spans="1:3" s="7" customFormat="1" x14ac:dyDescent="0.2">
      <c r="A16179" s="6" t="str">
        <f>"ADAMTSL2"</f>
        <v>ADAMTSL2</v>
      </c>
      <c r="B16179" s="6">
        <v>0.91800000000000004</v>
      </c>
      <c r="C16179" s="6">
        <v>0.94832341504364204</v>
      </c>
    </row>
    <row r="16180" spans="1:3" s="7" customFormat="1" x14ac:dyDescent="0.2">
      <c r="A16180" s="6" t="str">
        <f>"TRPC6"</f>
        <v>TRPC6</v>
      </c>
      <c r="B16180" s="6">
        <v>0.91808191808191797</v>
      </c>
      <c r="C16180" s="6">
        <v>0.94832341504364204</v>
      </c>
    </row>
    <row r="16181" spans="1:3" s="7" customFormat="1" x14ac:dyDescent="0.2">
      <c r="A16181" s="6" t="str">
        <f>"LINC00578"</f>
        <v>LINC00578</v>
      </c>
      <c r="B16181" s="6">
        <v>0.91808191808191797</v>
      </c>
      <c r="C16181" s="6">
        <v>0.94832341504364204</v>
      </c>
    </row>
    <row r="16182" spans="1:3" s="7" customFormat="1" x14ac:dyDescent="0.2">
      <c r="A16182" s="6" t="str">
        <f>"AC000123.3"</f>
        <v>AC000123.3</v>
      </c>
      <c r="B16182" s="6">
        <v>0.91808191808191797</v>
      </c>
      <c r="C16182" s="6">
        <v>0.94832341504364204</v>
      </c>
    </row>
    <row r="16183" spans="1:3" s="7" customFormat="1" x14ac:dyDescent="0.2">
      <c r="A16183" s="6" t="str">
        <f>"MBNL1"</f>
        <v>MBNL1</v>
      </c>
      <c r="B16183" s="6">
        <v>0.91908091908091905</v>
      </c>
      <c r="C16183" s="6">
        <v>0.94900342753558298</v>
      </c>
    </row>
    <row r="16184" spans="1:3" s="7" customFormat="1" x14ac:dyDescent="0.2">
      <c r="A16184" s="6" t="str">
        <f>"BMPR2"</f>
        <v>BMPR2</v>
      </c>
      <c r="B16184" s="6">
        <v>0.91908091908091905</v>
      </c>
      <c r="C16184" s="6">
        <v>0.94900342753558298</v>
      </c>
    </row>
    <row r="16185" spans="1:3" s="7" customFormat="1" x14ac:dyDescent="0.2">
      <c r="A16185" s="6" t="str">
        <f>"THOC1"</f>
        <v>THOC1</v>
      </c>
      <c r="B16185" s="6">
        <v>0.91908091908091905</v>
      </c>
      <c r="C16185" s="6">
        <v>0.94900342753558298</v>
      </c>
    </row>
    <row r="16186" spans="1:3" s="7" customFormat="1" x14ac:dyDescent="0.2">
      <c r="A16186" s="6" t="str">
        <f>"USP32P1"</f>
        <v>USP32P1</v>
      </c>
      <c r="B16186" s="6">
        <v>0.91908091908091905</v>
      </c>
      <c r="C16186" s="6">
        <v>0.94900342753558298</v>
      </c>
    </row>
    <row r="16187" spans="1:3" s="7" customFormat="1" x14ac:dyDescent="0.2">
      <c r="A16187" s="6" t="str">
        <f>"GUSBP2"</f>
        <v>GUSBP2</v>
      </c>
      <c r="B16187" s="6">
        <v>0.91908091908091905</v>
      </c>
      <c r="C16187" s="6">
        <v>0.94900342753558298</v>
      </c>
    </row>
    <row r="16188" spans="1:3" s="7" customFormat="1" x14ac:dyDescent="0.2">
      <c r="A16188" s="6" t="str">
        <f>"ABHD6"</f>
        <v>ABHD6</v>
      </c>
      <c r="B16188" s="6">
        <v>0.91908091908091905</v>
      </c>
      <c r="C16188" s="6">
        <v>0.94900342753558298</v>
      </c>
    </row>
    <row r="16189" spans="1:3" s="7" customFormat="1" x14ac:dyDescent="0.2">
      <c r="A16189" s="6" t="str">
        <f>"CCDC43"</f>
        <v>CCDC43</v>
      </c>
      <c r="B16189" s="6">
        <v>0.92007992007992001</v>
      </c>
      <c r="C16189" s="6">
        <v>0.94968293609681798</v>
      </c>
    </row>
    <row r="16190" spans="1:3" s="7" customFormat="1" x14ac:dyDescent="0.2">
      <c r="A16190" s="6" t="str">
        <f>"ZNF674"</f>
        <v>ZNF674</v>
      </c>
      <c r="B16190" s="6">
        <v>0.92007992007992001</v>
      </c>
      <c r="C16190" s="6">
        <v>0.94968293609681798</v>
      </c>
    </row>
    <row r="16191" spans="1:3" s="7" customFormat="1" x14ac:dyDescent="0.2">
      <c r="A16191" s="6" t="str">
        <f>"ADAMTS8"</f>
        <v>ADAMTS8</v>
      </c>
      <c r="B16191" s="6">
        <v>0.92007992007992001</v>
      </c>
      <c r="C16191" s="6">
        <v>0.94968293609681798</v>
      </c>
    </row>
    <row r="16192" spans="1:3" s="7" customFormat="1" x14ac:dyDescent="0.2">
      <c r="A16192" s="6" t="str">
        <f>"SNAPC3"</f>
        <v>SNAPC3</v>
      </c>
      <c r="B16192" s="6">
        <v>0.92007992007992001</v>
      </c>
      <c r="C16192" s="6">
        <v>0.94968293609681798</v>
      </c>
    </row>
    <row r="16193" spans="1:3" s="7" customFormat="1" x14ac:dyDescent="0.2">
      <c r="A16193" s="6" t="str">
        <f>"OR6J1"</f>
        <v>OR6J1</v>
      </c>
      <c r="B16193" s="6">
        <v>0.92</v>
      </c>
      <c r="C16193" s="6">
        <v>0.94968293609681798</v>
      </c>
    </row>
    <row r="16194" spans="1:3" s="7" customFormat="1" x14ac:dyDescent="0.2">
      <c r="A16194" s="6" t="str">
        <f>"SERPINB10"</f>
        <v>SERPINB10</v>
      </c>
      <c r="B16194" s="6">
        <v>0.92007992007992001</v>
      </c>
      <c r="C16194" s="6">
        <v>0.94968293609681798</v>
      </c>
    </row>
    <row r="16195" spans="1:3" s="7" customFormat="1" x14ac:dyDescent="0.2">
      <c r="A16195" s="6" t="str">
        <f>"RAC1P2"</f>
        <v>RAC1P2</v>
      </c>
      <c r="B16195" s="6">
        <v>0.92107892107892098</v>
      </c>
      <c r="C16195" s="6">
        <v>0.950420612848073</v>
      </c>
    </row>
    <row r="16196" spans="1:3" s="7" customFormat="1" x14ac:dyDescent="0.2">
      <c r="A16196" s="6" t="str">
        <f>"SULT2B1"</f>
        <v>SULT2B1</v>
      </c>
      <c r="B16196" s="6">
        <v>0.92107892107892098</v>
      </c>
      <c r="C16196" s="6">
        <v>0.950420612848073</v>
      </c>
    </row>
    <row r="16197" spans="1:3" s="7" customFormat="1" x14ac:dyDescent="0.2">
      <c r="A16197" s="6" t="str">
        <f>"AC018730.1"</f>
        <v>AC018730.1</v>
      </c>
      <c r="B16197" s="6">
        <v>0.92092092092092004</v>
      </c>
      <c r="C16197" s="6">
        <v>0.950420612848073</v>
      </c>
    </row>
    <row r="16198" spans="1:3" s="7" customFormat="1" x14ac:dyDescent="0.2">
      <c r="A16198" s="6" t="str">
        <f>"SERPINH1"</f>
        <v>SERPINH1</v>
      </c>
      <c r="B16198" s="6">
        <v>0.92107892107892098</v>
      </c>
      <c r="C16198" s="6">
        <v>0.950420612848073</v>
      </c>
    </row>
    <row r="16199" spans="1:3" s="7" customFormat="1" x14ac:dyDescent="0.2">
      <c r="A16199" s="6" t="str">
        <f>"NUDT9P1"</f>
        <v>NUDT9P1</v>
      </c>
      <c r="B16199" s="6">
        <v>0.92092092092092004</v>
      </c>
      <c r="C16199" s="6">
        <v>0.950420612848073</v>
      </c>
    </row>
    <row r="16200" spans="1:3" s="7" customFormat="1" x14ac:dyDescent="0.2">
      <c r="A16200" s="6" t="str">
        <f>"COX17"</f>
        <v>COX17</v>
      </c>
      <c r="B16200" s="6">
        <v>0.92207792207792205</v>
      </c>
      <c r="C16200" s="6">
        <v>0.95115783432761702</v>
      </c>
    </row>
    <row r="16201" spans="1:3" s="7" customFormat="1" x14ac:dyDescent="0.2">
      <c r="A16201" s="6" t="str">
        <f>"MUS81"</f>
        <v>MUS81</v>
      </c>
      <c r="B16201" s="6">
        <v>0.92207792207792205</v>
      </c>
      <c r="C16201" s="6">
        <v>0.95115783432761702</v>
      </c>
    </row>
    <row r="16202" spans="1:3" s="7" customFormat="1" x14ac:dyDescent="0.2">
      <c r="A16202" s="6" t="str">
        <f>"AADAC"</f>
        <v>AADAC</v>
      </c>
      <c r="B16202" s="6">
        <v>0.92207792207792205</v>
      </c>
      <c r="C16202" s="6">
        <v>0.95115783432761702</v>
      </c>
    </row>
    <row r="16203" spans="1:3" s="7" customFormat="1" x14ac:dyDescent="0.2">
      <c r="A16203" s="6" t="str">
        <f>"AC016074.2"</f>
        <v>AC016074.2</v>
      </c>
      <c r="B16203" s="6">
        <v>0.92207792207792205</v>
      </c>
      <c r="C16203" s="6">
        <v>0.95115783432761702</v>
      </c>
    </row>
    <row r="16204" spans="1:3" s="7" customFormat="1" x14ac:dyDescent="0.2">
      <c r="A16204" s="6" t="str">
        <f>"AC092490.1"</f>
        <v>AC092490.1</v>
      </c>
      <c r="B16204" s="6">
        <v>0.92207792207792205</v>
      </c>
      <c r="C16204" s="6">
        <v>0.95115783432761702</v>
      </c>
    </row>
    <row r="16205" spans="1:3" s="7" customFormat="1" x14ac:dyDescent="0.2">
      <c r="A16205" s="6" t="str">
        <f>"EEFSEC"</f>
        <v>EEFSEC</v>
      </c>
      <c r="B16205" s="6">
        <v>0.92307692307692302</v>
      </c>
      <c r="C16205" s="6">
        <v>0.95177715560195497</v>
      </c>
    </row>
    <row r="16206" spans="1:3" s="7" customFormat="1" x14ac:dyDescent="0.2">
      <c r="A16206" s="6" t="str">
        <f>"LUZP1"</f>
        <v>LUZP1</v>
      </c>
      <c r="B16206" s="6">
        <v>0.92307692307692302</v>
      </c>
      <c r="C16206" s="6">
        <v>0.95177715560195497</v>
      </c>
    </row>
    <row r="16207" spans="1:3" s="7" customFormat="1" x14ac:dyDescent="0.2">
      <c r="A16207" s="6" t="str">
        <f>"PPM1N"</f>
        <v>PPM1N</v>
      </c>
      <c r="B16207" s="6">
        <v>0.92307692307692302</v>
      </c>
      <c r="C16207" s="6">
        <v>0.95177715560195497</v>
      </c>
    </row>
    <row r="16208" spans="1:3" s="7" customFormat="1" x14ac:dyDescent="0.2">
      <c r="A16208" s="6" t="str">
        <f>"FTH1P23"</f>
        <v>FTH1P23</v>
      </c>
      <c r="B16208" s="6">
        <v>0.92307692307692302</v>
      </c>
      <c r="C16208" s="6">
        <v>0.95177715560195497</v>
      </c>
    </row>
    <row r="16209" spans="1:3" s="7" customFormat="1" x14ac:dyDescent="0.2">
      <c r="A16209" s="6" t="str">
        <f>"SEPTIN7"</f>
        <v>SEPTIN7</v>
      </c>
      <c r="B16209" s="6">
        <v>0.92307692307692302</v>
      </c>
      <c r="C16209" s="6">
        <v>0.95177715560195497</v>
      </c>
    </row>
    <row r="16210" spans="1:3" s="7" customFormat="1" x14ac:dyDescent="0.2">
      <c r="A16210" s="6" t="str">
        <f>"RFNG"</f>
        <v>RFNG</v>
      </c>
      <c r="B16210" s="6">
        <v>0.92307692307692302</v>
      </c>
      <c r="C16210" s="6">
        <v>0.95177715560195497</v>
      </c>
    </row>
    <row r="16211" spans="1:3" s="7" customFormat="1" x14ac:dyDescent="0.2">
      <c r="A16211" s="6" t="str">
        <f>"AC007611.1"</f>
        <v>AC007611.1</v>
      </c>
      <c r="B16211" s="6">
        <v>0.92276830491474404</v>
      </c>
      <c r="C16211" s="6">
        <v>0.95177715560195497</v>
      </c>
    </row>
    <row r="16212" spans="1:3" s="7" customFormat="1" x14ac:dyDescent="0.2">
      <c r="A16212" s="6" t="str">
        <f>"VPS72"</f>
        <v>VPS72</v>
      </c>
      <c r="B16212" s="6">
        <v>0.92407592407592398</v>
      </c>
      <c r="C16212" s="6">
        <v>0.95239594222143298</v>
      </c>
    </row>
    <row r="16213" spans="1:3" s="7" customFormat="1" x14ac:dyDescent="0.2">
      <c r="A16213" s="6" t="str">
        <f>"SERTM1"</f>
        <v>SERTM1</v>
      </c>
      <c r="B16213" s="6">
        <v>0.92407592407592398</v>
      </c>
      <c r="C16213" s="6">
        <v>0.95239594222143298</v>
      </c>
    </row>
    <row r="16214" spans="1:3" s="7" customFormat="1" x14ac:dyDescent="0.2">
      <c r="A16214" s="6" t="str">
        <f>"HGD"</f>
        <v>HGD</v>
      </c>
      <c r="B16214" s="6">
        <v>0.92407592407592398</v>
      </c>
      <c r="C16214" s="6">
        <v>0.95239594222143298</v>
      </c>
    </row>
    <row r="16215" spans="1:3" s="7" customFormat="1" x14ac:dyDescent="0.2">
      <c r="A16215" s="6" t="str">
        <f>"TSHZ3"</f>
        <v>TSHZ3</v>
      </c>
      <c r="B16215" s="6">
        <v>0.92407592407592398</v>
      </c>
      <c r="C16215" s="6">
        <v>0.95239594222143298</v>
      </c>
    </row>
    <row r="16216" spans="1:3" s="7" customFormat="1" x14ac:dyDescent="0.2">
      <c r="A16216" s="6" t="str">
        <f>"GNPDA1"</f>
        <v>GNPDA1</v>
      </c>
      <c r="B16216" s="6">
        <v>0.92407592407592398</v>
      </c>
      <c r="C16216" s="6">
        <v>0.95239594222143298</v>
      </c>
    </row>
    <row r="16217" spans="1:3" s="7" customFormat="1" x14ac:dyDescent="0.2">
      <c r="A16217" s="6" t="str">
        <f>"HS6ST2"</f>
        <v>HS6ST2</v>
      </c>
      <c r="B16217" s="6">
        <v>0.92407592407592398</v>
      </c>
      <c r="C16217" s="6">
        <v>0.95239594222143298</v>
      </c>
    </row>
    <row r="16218" spans="1:3" s="7" customFormat="1" x14ac:dyDescent="0.2">
      <c r="A16218" s="6" t="str">
        <f>"CCDC180"</f>
        <v>CCDC180</v>
      </c>
      <c r="B16218" s="6">
        <v>0.92407592407592398</v>
      </c>
      <c r="C16218" s="6">
        <v>0.95239594222143298</v>
      </c>
    </row>
    <row r="16219" spans="1:3" s="7" customFormat="1" x14ac:dyDescent="0.2">
      <c r="A16219" s="6" t="str">
        <f>"AC016876.2"</f>
        <v>AC016876.2</v>
      </c>
      <c r="B16219" s="6">
        <v>0.92507492507492495</v>
      </c>
      <c r="C16219" s="6">
        <v>0.95313169138837905</v>
      </c>
    </row>
    <row r="16220" spans="1:3" s="7" customFormat="1" x14ac:dyDescent="0.2">
      <c r="A16220" s="6" t="str">
        <f>"NMNAT2"</f>
        <v>NMNAT2</v>
      </c>
      <c r="B16220" s="6">
        <v>0.92507492507492495</v>
      </c>
      <c r="C16220" s="6">
        <v>0.95313169138837905</v>
      </c>
    </row>
    <row r="16221" spans="1:3" s="7" customFormat="1" x14ac:dyDescent="0.2">
      <c r="A16221" s="6" t="str">
        <f>"AC008679.1"</f>
        <v>AC008679.1</v>
      </c>
      <c r="B16221" s="6">
        <v>0.92500000000000004</v>
      </c>
      <c r="C16221" s="6">
        <v>0.95313169138837905</v>
      </c>
    </row>
    <row r="16222" spans="1:3" s="7" customFormat="1" x14ac:dyDescent="0.2">
      <c r="A16222" s="6" t="str">
        <f>"DVL2"</f>
        <v>DVL2</v>
      </c>
      <c r="B16222" s="6">
        <v>0.92507492507492495</v>
      </c>
      <c r="C16222" s="6">
        <v>0.95313169138837905</v>
      </c>
    </row>
    <row r="16223" spans="1:3" s="7" customFormat="1" x14ac:dyDescent="0.2">
      <c r="A16223" s="6" t="str">
        <f>"MAST1"</f>
        <v>MAST1</v>
      </c>
      <c r="B16223" s="6">
        <v>0.92507492507492495</v>
      </c>
      <c r="C16223" s="6">
        <v>0.95313169138837905</v>
      </c>
    </row>
    <row r="16224" spans="1:3" s="7" customFormat="1" x14ac:dyDescent="0.2">
      <c r="A16224" s="6" t="str">
        <f>"ATF7"</f>
        <v>ATF7</v>
      </c>
      <c r="B16224" s="6">
        <v>0.92607392607392602</v>
      </c>
      <c r="C16224" s="6">
        <v>0.95364060468849998</v>
      </c>
    </row>
    <row r="16225" spans="1:3" s="7" customFormat="1" x14ac:dyDescent="0.2">
      <c r="A16225" s="6" t="str">
        <f>"NCOA7"</f>
        <v>NCOA7</v>
      </c>
      <c r="B16225" s="6">
        <v>0.92607392607392602</v>
      </c>
      <c r="C16225" s="6">
        <v>0.95364060468849998</v>
      </c>
    </row>
    <row r="16226" spans="1:3" s="7" customFormat="1" x14ac:dyDescent="0.2">
      <c r="A16226" s="6" t="str">
        <f>"H2AW"</f>
        <v>H2AW</v>
      </c>
      <c r="B16226" s="6">
        <v>0.92607392607392602</v>
      </c>
      <c r="C16226" s="6">
        <v>0.95364060468849998</v>
      </c>
    </row>
    <row r="16227" spans="1:3" s="7" customFormat="1" x14ac:dyDescent="0.2">
      <c r="A16227" s="6" t="str">
        <f>"MMP21"</f>
        <v>MMP21</v>
      </c>
      <c r="B16227" s="6">
        <v>0.92608236536430799</v>
      </c>
      <c r="C16227" s="6">
        <v>0.95364060468849998</v>
      </c>
    </row>
    <row r="16228" spans="1:3" s="7" customFormat="1" x14ac:dyDescent="0.2">
      <c r="A16228" s="6" t="str">
        <f>"RNU6-33P"</f>
        <v>RNU6-33P</v>
      </c>
      <c r="B16228" s="6">
        <v>0.92607392607392602</v>
      </c>
      <c r="C16228" s="6">
        <v>0.95364060468849998</v>
      </c>
    </row>
    <row r="16229" spans="1:3" s="7" customFormat="1" x14ac:dyDescent="0.2">
      <c r="A16229" s="6" t="str">
        <f>"PRDM16"</f>
        <v>PRDM16</v>
      </c>
      <c r="B16229" s="6">
        <v>0.92607392607392602</v>
      </c>
      <c r="C16229" s="6">
        <v>0.95364060468849998</v>
      </c>
    </row>
    <row r="16230" spans="1:3" s="7" customFormat="1" x14ac:dyDescent="0.2">
      <c r="A16230" s="6" t="str">
        <f>"LXN"</f>
        <v>LXN</v>
      </c>
      <c r="B16230" s="6">
        <v>0.92607392607392602</v>
      </c>
      <c r="C16230" s="6">
        <v>0.95364060468849998</v>
      </c>
    </row>
    <row r="16231" spans="1:3" s="7" customFormat="1" x14ac:dyDescent="0.2">
      <c r="A16231" s="6" t="str">
        <f>"SERF1A"</f>
        <v>SERF1A</v>
      </c>
      <c r="B16231" s="6">
        <v>0.92600000000000005</v>
      </c>
      <c r="C16231" s="6">
        <v>0.95364060468849998</v>
      </c>
    </row>
    <row r="16232" spans="1:3" s="7" customFormat="1" x14ac:dyDescent="0.2">
      <c r="A16232" s="6" t="str">
        <f>"A1BG"</f>
        <v>A1BG</v>
      </c>
      <c r="B16232" s="6">
        <v>0.92607392607392602</v>
      </c>
      <c r="C16232" s="6">
        <v>0.95364060468849998</v>
      </c>
    </row>
    <row r="16233" spans="1:3" s="7" customFormat="1" x14ac:dyDescent="0.2">
      <c r="A16233" s="6" t="str">
        <f>"LARP4B"</f>
        <v>LARP4B</v>
      </c>
      <c r="B16233" s="6">
        <v>0.92707292707292699</v>
      </c>
      <c r="C16233" s="6">
        <v>0.95401409328265596</v>
      </c>
    </row>
    <row r="16234" spans="1:3" s="7" customFormat="1" x14ac:dyDescent="0.2">
      <c r="A16234" s="6" t="str">
        <f>"BCL2L11"</f>
        <v>BCL2L11</v>
      </c>
      <c r="B16234" s="6">
        <v>0.92707292707292699</v>
      </c>
      <c r="C16234" s="6">
        <v>0.95401409328265596</v>
      </c>
    </row>
    <row r="16235" spans="1:3" s="7" customFormat="1" x14ac:dyDescent="0.2">
      <c r="A16235" s="6" t="str">
        <f>"AL139002.1"</f>
        <v>AL139002.1</v>
      </c>
      <c r="B16235" s="6">
        <v>0.92670682730923604</v>
      </c>
      <c r="C16235" s="6">
        <v>0.95401409328265596</v>
      </c>
    </row>
    <row r="16236" spans="1:3" s="7" customFormat="1" x14ac:dyDescent="0.2">
      <c r="A16236" s="6" t="str">
        <f>"MMP23A"</f>
        <v>MMP23A</v>
      </c>
      <c r="B16236" s="6">
        <v>0.92707292707292699</v>
      </c>
      <c r="C16236" s="6">
        <v>0.95401409328265596</v>
      </c>
    </row>
    <row r="16237" spans="1:3" s="7" customFormat="1" x14ac:dyDescent="0.2">
      <c r="A16237" s="6" t="str">
        <f>"AL160272.1"</f>
        <v>AL160272.1</v>
      </c>
      <c r="B16237" s="6">
        <v>0.92707292707292699</v>
      </c>
      <c r="C16237" s="6">
        <v>0.95401409328265596</v>
      </c>
    </row>
    <row r="16238" spans="1:3" s="7" customFormat="1" x14ac:dyDescent="0.2">
      <c r="A16238" s="6" t="str">
        <f>"CABYR"</f>
        <v>CABYR</v>
      </c>
      <c r="B16238" s="6">
        <v>0.92707292707292699</v>
      </c>
      <c r="C16238" s="6">
        <v>0.95401409328265596</v>
      </c>
    </row>
    <row r="16239" spans="1:3" s="7" customFormat="1" x14ac:dyDescent="0.2">
      <c r="A16239" s="6" t="str">
        <f>"GOLGA8T"</f>
        <v>GOLGA8T</v>
      </c>
      <c r="B16239" s="6">
        <v>0.92707292707292699</v>
      </c>
      <c r="C16239" s="6">
        <v>0.95401409328265596</v>
      </c>
    </row>
    <row r="16240" spans="1:3" s="7" customFormat="1" x14ac:dyDescent="0.2">
      <c r="A16240" s="6" t="str">
        <f>"PNMA8A"</f>
        <v>PNMA8A</v>
      </c>
      <c r="B16240" s="6">
        <v>0.92707292707292699</v>
      </c>
      <c r="C16240" s="6">
        <v>0.95401409328265596</v>
      </c>
    </row>
    <row r="16241" spans="1:3" s="7" customFormat="1" x14ac:dyDescent="0.2">
      <c r="A16241" s="6" t="str">
        <f>"AGAP11"</f>
        <v>AGAP11</v>
      </c>
      <c r="B16241" s="6">
        <v>0.92707292707292699</v>
      </c>
      <c r="C16241" s="6">
        <v>0.95401409328265596</v>
      </c>
    </row>
    <row r="16242" spans="1:3" s="7" customFormat="1" x14ac:dyDescent="0.2">
      <c r="A16242" s="6" t="str">
        <f>"AP002748.5"</f>
        <v>AP002748.5</v>
      </c>
      <c r="B16242" s="6">
        <v>0.92700000000000005</v>
      </c>
      <c r="C16242" s="6">
        <v>0.95401409328265596</v>
      </c>
    </row>
    <row r="16243" spans="1:3" s="7" customFormat="1" x14ac:dyDescent="0.2">
      <c r="A16243" s="6" t="str">
        <f>"SMN1"</f>
        <v>SMN1</v>
      </c>
      <c r="B16243" s="6">
        <v>0.92707292707292699</v>
      </c>
      <c r="C16243" s="6">
        <v>0.95401409328265596</v>
      </c>
    </row>
    <row r="16244" spans="1:3" s="7" customFormat="1" x14ac:dyDescent="0.2">
      <c r="A16244" s="6" t="str">
        <f>"AC011462.1"</f>
        <v>AC011462.1</v>
      </c>
      <c r="B16244" s="6">
        <v>0.92807192807192795</v>
      </c>
      <c r="C16244" s="6">
        <v>0.95486575597378898</v>
      </c>
    </row>
    <row r="16245" spans="1:3" s="7" customFormat="1" x14ac:dyDescent="0.2">
      <c r="A16245" s="6" t="str">
        <f>"RAB19"</f>
        <v>RAB19</v>
      </c>
      <c r="B16245" s="6">
        <v>0.92807192807192795</v>
      </c>
      <c r="C16245" s="6">
        <v>0.95486575597378898</v>
      </c>
    </row>
    <row r="16246" spans="1:3" s="7" customFormat="1" x14ac:dyDescent="0.2">
      <c r="A16246" s="6" t="str">
        <f>"RGPD4-AS1"</f>
        <v>RGPD4-AS1</v>
      </c>
      <c r="B16246" s="6">
        <v>0.92805755395683398</v>
      </c>
      <c r="C16246" s="6">
        <v>0.95486575597378898</v>
      </c>
    </row>
    <row r="16247" spans="1:3" s="7" customFormat="1" x14ac:dyDescent="0.2">
      <c r="A16247" s="6" t="str">
        <f>"RPL23"</f>
        <v>RPL23</v>
      </c>
      <c r="B16247" s="6">
        <v>0.92907092907092903</v>
      </c>
      <c r="C16247" s="6">
        <v>0.955423091644097</v>
      </c>
    </row>
    <row r="16248" spans="1:3" s="7" customFormat="1" x14ac:dyDescent="0.2">
      <c r="A16248" s="6" t="str">
        <f>"FGFR1OP2"</f>
        <v>FGFR1OP2</v>
      </c>
      <c r="B16248" s="6">
        <v>0.92907092907092903</v>
      </c>
      <c r="C16248" s="6">
        <v>0.955423091644097</v>
      </c>
    </row>
    <row r="16249" spans="1:3" s="7" customFormat="1" x14ac:dyDescent="0.2">
      <c r="A16249" s="6" t="str">
        <f>"BMP8B"</f>
        <v>BMP8B</v>
      </c>
      <c r="B16249" s="6">
        <v>0.92907092907092903</v>
      </c>
      <c r="C16249" s="6">
        <v>0.955423091644097</v>
      </c>
    </row>
    <row r="16250" spans="1:3" s="7" customFormat="1" x14ac:dyDescent="0.2">
      <c r="A16250" s="6" t="str">
        <f>"DNAAF4-CCPG1"</f>
        <v>DNAAF4-CCPG1</v>
      </c>
      <c r="B16250" s="6">
        <v>0.92907092907092903</v>
      </c>
      <c r="C16250" s="6">
        <v>0.955423091644097</v>
      </c>
    </row>
    <row r="16251" spans="1:3" s="7" customFormat="1" x14ac:dyDescent="0.2">
      <c r="A16251" s="6" t="str">
        <f>"AC124319.1"</f>
        <v>AC124319.1</v>
      </c>
      <c r="B16251" s="6">
        <v>0.92907092907092903</v>
      </c>
      <c r="C16251" s="6">
        <v>0.955423091644097</v>
      </c>
    </row>
    <row r="16252" spans="1:3" s="7" customFormat="1" x14ac:dyDescent="0.2">
      <c r="A16252" s="6" t="str">
        <f>"HYAL4"</f>
        <v>HYAL4</v>
      </c>
      <c r="B16252" s="6">
        <v>0.92907092907092903</v>
      </c>
      <c r="C16252" s="6">
        <v>0.955423091644097</v>
      </c>
    </row>
    <row r="16253" spans="1:3" s="7" customFormat="1" x14ac:dyDescent="0.2">
      <c r="A16253" s="6" t="str">
        <f>"AL009179.1"</f>
        <v>AL009179.1</v>
      </c>
      <c r="B16253" s="6">
        <v>0.92907092907092903</v>
      </c>
      <c r="C16253" s="6">
        <v>0.955423091644097</v>
      </c>
    </row>
    <row r="16254" spans="1:3" s="7" customFormat="1" x14ac:dyDescent="0.2">
      <c r="A16254" s="6" t="str">
        <f>"AC016995.1"</f>
        <v>AC016995.1</v>
      </c>
      <c r="B16254" s="6">
        <v>0.92892892892892898</v>
      </c>
      <c r="C16254" s="6">
        <v>0.955423091644097</v>
      </c>
    </row>
    <row r="16255" spans="1:3" s="7" customFormat="1" x14ac:dyDescent="0.2">
      <c r="A16255" s="6" t="str">
        <f>"TES"</f>
        <v>TES</v>
      </c>
      <c r="B16255" s="6">
        <v>0.93006993006993</v>
      </c>
      <c r="C16255" s="6">
        <v>0.95609747285742097</v>
      </c>
    </row>
    <row r="16256" spans="1:3" s="7" customFormat="1" x14ac:dyDescent="0.2">
      <c r="A16256" s="6" t="str">
        <f>"TDRD12"</f>
        <v>TDRD12</v>
      </c>
      <c r="B16256" s="6">
        <v>0.93006993006993</v>
      </c>
      <c r="C16256" s="6">
        <v>0.95609747285742097</v>
      </c>
    </row>
    <row r="16257" spans="1:3" s="7" customFormat="1" x14ac:dyDescent="0.2">
      <c r="A16257" s="6" t="str">
        <f>"ZNF77"</f>
        <v>ZNF77</v>
      </c>
      <c r="B16257" s="6">
        <v>0.93006993006993</v>
      </c>
      <c r="C16257" s="6">
        <v>0.95609747285742097</v>
      </c>
    </row>
    <row r="16258" spans="1:3" s="7" customFormat="1" x14ac:dyDescent="0.2">
      <c r="A16258" s="6" t="str">
        <f>"AC010913.1"</f>
        <v>AC010913.1</v>
      </c>
      <c r="B16258" s="6">
        <v>0.92992992992992995</v>
      </c>
      <c r="C16258" s="6">
        <v>0.95609747285742097</v>
      </c>
    </row>
    <row r="16259" spans="1:3" s="7" customFormat="1" x14ac:dyDescent="0.2">
      <c r="A16259" s="6" t="str">
        <f>"AL139383.1"</f>
        <v>AL139383.1</v>
      </c>
      <c r="B16259" s="6">
        <v>0.92992992992992995</v>
      </c>
      <c r="C16259" s="6">
        <v>0.95609747285742097</v>
      </c>
    </row>
    <row r="16260" spans="1:3" s="7" customFormat="1" x14ac:dyDescent="0.2">
      <c r="A16260" s="6" t="str">
        <f>"MRPL12"</f>
        <v>MRPL12</v>
      </c>
      <c r="B16260" s="6">
        <v>0.93006993006993</v>
      </c>
      <c r="C16260" s="6">
        <v>0.95609747285742097</v>
      </c>
    </row>
    <row r="16261" spans="1:3" s="7" customFormat="1" x14ac:dyDescent="0.2">
      <c r="A16261" s="6" t="str">
        <f>"AL157394.3"</f>
        <v>AL157394.3</v>
      </c>
      <c r="B16261" s="6">
        <v>0.930894308943089</v>
      </c>
      <c r="C16261" s="6">
        <v>0.95688606886068805</v>
      </c>
    </row>
    <row r="16262" spans="1:3" s="7" customFormat="1" x14ac:dyDescent="0.2">
      <c r="A16262" s="6" t="str">
        <f>"AC016877.1"</f>
        <v>AC016877.1</v>
      </c>
      <c r="B16262" s="6">
        <v>0.93100000000000005</v>
      </c>
      <c r="C16262" s="6">
        <v>0.95688901887020295</v>
      </c>
    </row>
    <row r="16263" spans="1:3" s="7" customFormat="1" x14ac:dyDescent="0.2">
      <c r="A16263" s="6" t="str">
        <f>"AC073283.2"</f>
        <v>AC073283.2</v>
      </c>
      <c r="B16263" s="6">
        <v>0.93106893106893096</v>
      </c>
      <c r="C16263" s="6">
        <v>0.95688901887020295</v>
      </c>
    </row>
    <row r="16264" spans="1:3" s="7" customFormat="1" x14ac:dyDescent="0.2">
      <c r="A16264" s="6" t="str">
        <f>"FTSJ3"</f>
        <v>FTSJ3</v>
      </c>
      <c r="B16264" s="6">
        <v>0.93106893106893096</v>
      </c>
      <c r="C16264" s="6">
        <v>0.95688901887020295</v>
      </c>
    </row>
    <row r="16265" spans="1:3" s="7" customFormat="1" x14ac:dyDescent="0.2">
      <c r="A16265" s="6" t="str">
        <f>"KIAA0895"</f>
        <v>KIAA0895</v>
      </c>
      <c r="B16265" s="6">
        <v>0.93206793206793204</v>
      </c>
      <c r="C16265" s="6">
        <v>0.95750359044765898</v>
      </c>
    </row>
    <row r="16266" spans="1:3" s="7" customFormat="1" x14ac:dyDescent="0.2">
      <c r="A16266" s="6" t="str">
        <f>"AL357141.1"</f>
        <v>AL357141.1</v>
      </c>
      <c r="B16266" s="6">
        <v>0.93206793206793204</v>
      </c>
      <c r="C16266" s="6">
        <v>0.95750359044765898</v>
      </c>
    </row>
    <row r="16267" spans="1:3" s="7" customFormat="1" x14ac:dyDescent="0.2">
      <c r="A16267" s="6" t="str">
        <f>"PANK2"</f>
        <v>PANK2</v>
      </c>
      <c r="B16267" s="6">
        <v>0.93206793206793204</v>
      </c>
      <c r="C16267" s="6">
        <v>0.95750359044765898</v>
      </c>
    </row>
    <row r="16268" spans="1:3" s="7" customFormat="1" x14ac:dyDescent="0.2">
      <c r="A16268" s="6" t="str">
        <f>"GSG1L"</f>
        <v>GSG1L</v>
      </c>
      <c r="B16268" s="6">
        <v>0.93206793206793204</v>
      </c>
      <c r="C16268" s="6">
        <v>0.95750359044765898</v>
      </c>
    </row>
    <row r="16269" spans="1:3" s="7" customFormat="1" x14ac:dyDescent="0.2">
      <c r="A16269" s="6" t="str">
        <f>"AC017028.2"</f>
        <v>AC017028.2</v>
      </c>
      <c r="B16269" s="6">
        <v>0.93206793206793204</v>
      </c>
      <c r="C16269" s="6">
        <v>0.95750359044765898</v>
      </c>
    </row>
    <row r="16270" spans="1:3" s="7" customFormat="1" x14ac:dyDescent="0.2">
      <c r="A16270" s="6" t="str">
        <f>"SMIM2-AS1"</f>
        <v>SMIM2-AS1</v>
      </c>
      <c r="B16270" s="6">
        <v>0.93206793206793204</v>
      </c>
      <c r="C16270" s="6">
        <v>0.95750359044765898</v>
      </c>
    </row>
    <row r="16271" spans="1:3" s="7" customFormat="1" x14ac:dyDescent="0.2">
      <c r="A16271" s="6" t="str">
        <f>"PRPF8"</f>
        <v>PRPF8</v>
      </c>
      <c r="B16271" s="6">
        <v>0.93206793206793204</v>
      </c>
      <c r="C16271" s="6">
        <v>0.95750359044765898</v>
      </c>
    </row>
    <row r="16272" spans="1:3" s="7" customFormat="1" x14ac:dyDescent="0.2">
      <c r="A16272" s="6" t="str">
        <f>"TAMM41"</f>
        <v>TAMM41</v>
      </c>
      <c r="B16272" s="6">
        <v>0.933066933066933</v>
      </c>
      <c r="C16272" s="6">
        <v>0.95829425582405803</v>
      </c>
    </row>
    <row r="16273" spans="1:3" s="7" customFormat="1" x14ac:dyDescent="0.2">
      <c r="A16273" s="6" t="str">
        <f>"IGSF1"</f>
        <v>IGSF1</v>
      </c>
      <c r="B16273" s="6">
        <v>0.933066933066933</v>
      </c>
      <c r="C16273" s="6">
        <v>0.95829425582405803</v>
      </c>
    </row>
    <row r="16274" spans="1:3" s="7" customFormat="1" x14ac:dyDescent="0.2">
      <c r="A16274" s="6" t="str">
        <f>"AC011632.1"</f>
        <v>AC011632.1</v>
      </c>
      <c r="B16274" s="6">
        <v>0.933066933066933</v>
      </c>
      <c r="C16274" s="6">
        <v>0.95829425582405803</v>
      </c>
    </row>
    <row r="16275" spans="1:3" s="7" customFormat="1" x14ac:dyDescent="0.2">
      <c r="A16275" s="6" t="str">
        <f>"GPR179"</f>
        <v>GPR179</v>
      </c>
      <c r="B16275" s="6">
        <v>0.933066933066933</v>
      </c>
      <c r="C16275" s="6">
        <v>0.95829425582405803</v>
      </c>
    </row>
    <row r="16276" spans="1:3" s="7" customFormat="1" x14ac:dyDescent="0.2">
      <c r="A16276" s="6" t="str">
        <f>"AC011405.1"</f>
        <v>AC011405.1</v>
      </c>
      <c r="B16276" s="6">
        <v>0.93406593406593397</v>
      </c>
      <c r="C16276" s="6">
        <v>0.95914345530368095</v>
      </c>
    </row>
    <row r="16277" spans="1:3" s="7" customFormat="1" x14ac:dyDescent="0.2">
      <c r="A16277" s="6" t="str">
        <f>"LINC02671"</f>
        <v>LINC02671</v>
      </c>
      <c r="B16277" s="6">
        <v>0.93406593406593397</v>
      </c>
      <c r="C16277" s="6">
        <v>0.95914345530368095</v>
      </c>
    </row>
    <row r="16278" spans="1:3" s="7" customFormat="1" x14ac:dyDescent="0.2">
      <c r="A16278" s="6" t="str">
        <f>"PUF60"</f>
        <v>PUF60</v>
      </c>
      <c r="B16278" s="6">
        <v>0.93406593406593397</v>
      </c>
      <c r="C16278" s="6">
        <v>0.95914345530368095</v>
      </c>
    </row>
    <row r="16279" spans="1:3" s="7" customFormat="1" x14ac:dyDescent="0.2">
      <c r="A16279" s="6" t="str">
        <f>"SVIP"</f>
        <v>SVIP</v>
      </c>
      <c r="B16279" s="6">
        <v>0.93506493506493504</v>
      </c>
      <c r="C16279" s="6">
        <v>0.95987442111996801</v>
      </c>
    </row>
    <row r="16280" spans="1:3" s="7" customFormat="1" x14ac:dyDescent="0.2">
      <c r="A16280" s="6" t="str">
        <f>"FBXO31"</f>
        <v>FBXO31</v>
      </c>
      <c r="B16280" s="6">
        <v>0.93506493506493504</v>
      </c>
      <c r="C16280" s="6">
        <v>0.95987442111996801</v>
      </c>
    </row>
    <row r="16281" spans="1:3" s="7" customFormat="1" x14ac:dyDescent="0.2">
      <c r="A16281" s="6" t="str">
        <f>"CEP57L1"</f>
        <v>CEP57L1</v>
      </c>
      <c r="B16281" s="6">
        <v>0.93506493506493504</v>
      </c>
      <c r="C16281" s="6">
        <v>0.95987442111996801</v>
      </c>
    </row>
    <row r="16282" spans="1:3" s="7" customFormat="1" x14ac:dyDescent="0.2">
      <c r="A16282" s="6" t="str">
        <f>"DUSP7"</f>
        <v>DUSP7</v>
      </c>
      <c r="B16282" s="6">
        <v>0.93506493506493504</v>
      </c>
      <c r="C16282" s="6">
        <v>0.95987442111996801</v>
      </c>
    </row>
    <row r="16283" spans="1:3" s="7" customFormat="1" x14ac:dyDescent="0.2">
      <c r="A16283" s="6" t="str">
        <f>"AC140479.2"</f>
        <v>AC140479.2</v>
      </c>
      <c r="B16283" s="6">
        <v>0.93506493506493504</v>
      </c>
      <c r="C16283" s="6">
        <v>0.95987442111996801</v>
      </c>
    </row>
    <row r="16284" spans="1:3" s="7" customFormat="1" x14ac:dyDescent="0.2">
      <c r="A16284" s="6" t="str">
        <f>"ANKS3"</f>
        <v>ANKS3</v>
      </c>
      <c r="B16284" s="6">
        <v>0.93606393606393601</v>
      </c>
      <c r="C16284" s="6">
        <v>0.96072291233482499</v>
      </c>
    </row>
    <row r="16285" spans="1:3" s="7" customFormat="1" x14ac:dyDescent="0.2">
      <c r="A16285" s="6" t="str">
        <f>"PERM1"</f>
        <v>PERM1</v>
      </c>
      <c r="B16285" s="6">
        <v>0.93606393606393601</v>
      </c>
      <c r="C16285" s="6">
        <v>0.96072291233482499</v>
      </c>
    </row>
    <row r="16286" spans="1:3" s="7" customFormat="1" x14ac:dyDescent="0.2">
      <c r="A16286" s="6" t="str">
        <f>"SPG7"</f>
        <v>SPG7</v>
      </c>
      <c r="B16286" s="6">
        <v>0.93606393606393601</v>
      </c>
      <c r="C16286" s="6">
        <v>0.96072291233482499</v>
      </c>
    </row>
    <row r="16287" spans="1:3" s="7" customFormat="1" x14ac:dyDescent="0.2">
      <c r="A16287" s="6" t="str">
        <f>"HIF1A-AS3"</f>
        <v>HIF1A-AS3</v>
      </c>
      <c r="B16287" s="6">
        <v>0.93706293706293697</v>
      </c>
      <c r="C16287" s="6">
        <v>0.96115801964221703</v>
      </c>
    </row>
    <row r="16288" spans="1:3" s="7" customFormat="1" x14ac:dyDescent="0.2">
      <c r="A16288" s="6" t="str">
        <f>"SNX1"</f>
        <v>SNX1</v>
      </c>
      <c r="B16288" s="6">
        <v>0.93706293706293697</v>
      </c>
      <c r="C16288" s="6">
        <v>0.96115801964221703</v>
      </c>
    </row>
    <row r="16289" spans="1:3" s="7" customFormat="1" x14ac:dyDescent="0.2">
      <c r="A16289" s="6" t="str">
        <f>"AC078927.1"</f>
        <v>AC078927.1</v>
      </c>
      <c r="B16289" s="6">
        <v>0.93706293706293697</v>
      </c>
      <c r="C16289" s="6">
        <v>0.96115801964221703</v>
      </c>
    </row>
    <row r="16290" spans="1:3" s="7" customFormat="1" x14ac:dyDescent="0.2">
      <c r="A16290" s="6" t="str">
        <f>"AURKC"</f>
        <v>AURKC</v>
      </c>
      <c r="B16290" s="6">
        <v>0.93706293706293697</v>
      </c>
      <c r="C16290" s="6">
        <v>0.96115801964221703</v>
      </c>
    </row>
    <row r="16291" spans="1:3" s="7" customFormat="1" x14ac:dyDescent="0.2">
      <c r="A16291" s="6" t="str">
        <f>"CU633906.2"</f>
        <v>CU633906.2</v>
      </c>
      <c r="B16291" s="6">
        <v>0.93700000000000006</v>
      </c>
      <c r="C16291" s="6">
        <v>0.96115801964221703</v>
      </c>
    </row>
    <row r="16292" spans="1:3" s="7" customFormat="1" x14ac:dyDescent="0.2">
      <c r="A16292" s="6" t="str">
        <f>"SLC16A1-AS1"</f>
        <v>SLC16A1-AS1</v>
      </c>
      <c r="B16292" s="6">
        <v>0.93706293706293697</v>
      </c>
      <c r="C16292" s="6">
        <v>0.96115801964221703</v>
      </c>
    </row>
    <row r="16293" spans="1:3" s="7" customFormat="1" x14ac:dyDescent="0.2">
      <c r="A16293" s="6" t="str">
        <f>"TMCO5A"</f>
        <v>TMCO5A</v>
      </c>
      <c r="B16293" s="6">
        <v>0.93706293706293697</v>
      </c>
      <c r="C16293" s="6">
        <v>0.96115801964221703</v>
      </c>
    </row>
    <row r="16294" spans="1:3" s="7" customFormat="1" x14ac:dyDescent="0.2">
      <c r="A16294" s="6" t="str">
        <f>"LINC01750"</f>
        <v>LINC01750</v>
      </c>
      <c r="B16294" s="6">
        <v>0.93706293706293697</v>
      </c>
      <c r="C16294" s="6">
        <v>0.96115801964221703</v>
      </c>
    </row>
    <row r="16295" spans="1:3" s="7" customFormat="1" x14ac:dyDescent="0.2">
      <c r="A16295" s="6" t="str">
        <f>"AC109642.1"</f>
        <v>AC109642.1</v>
      </c>
      <c r="B16295" s="6">
        <v>0.93700000000000006</v>
      </c>
      <c r="C16295" s="6">
        <v>0.96115801964221703</v>
      </c>
    </row>
    <row r="16296" spans="1:3" s="7" customFormat="1" x14ac:dyDescent="0.2">
      <c r="A16296" s="6" t="str">
        <f>"ZNF22-AS1"</f>
        <v>ZNF22-AS1</v>
      </c>
      <c r="B16296" s="6">
        <v>0.93706293706293697</v>
      </c>
      <c r="C16296" s="6">
        <v>0.96115801964221703</v>
      </c>
    </row>
    <row r="16297" spans="1:3" s="7" customFormat="1" x14ac:dyDescent="0.2">
      <c r="A16297" s="6" t="str">
        <f>"AC092354.2"</f>
        <v>AC092354.2</v>
      </c>
      <c r="B16297" s="6">
        <v>0.93723252496433596</v>
      </c>
      <c r="C16297" s="6">
        <v>0.96127297632878705</v>
      </c>
    </row>
    <row r="16298" spans="1:3" s="7" customFormat="1" x14ac:dyDescent="0.2">
      <c r="A16298" s="6" t="str">
        <f>"SENP6"</f>
        <v>SENP6</v>
      </c>
      <c r="B16298" s="6">
        <v>0.93806193806193805</v>
      </c>
      <c r="C16298" s="6">
        <v>0.96188756029246802</v>
      </c>
    </row>
    <row r="16299" spans="1:3" s="7" customFormat="1" x14ac:dyDescent="0.2">
      <c r="A16299" s="6" t="str">
        <f>"UROS"</f>
        <v>UROS</v>
      </c>
      <c r="B16299" s="6">
        <v>0.93806193806193805</v>
      </c>
      <c r="C16299" s="6">
        <v>0.96188756029246802</v>
      </c>
    </row>
    <row r="16300" spans="1:3" s="7" customFormat="1" x14ac:dyDescent="0.2">
      <c r="A16300" s="6" t="str">
        <f>"AL139317.5"</f>
        <v>AL139317.5</v>
      </c>
      <c r="B16300" s="6">
        <v>0.937937937937938</v>
      </c>
      <c r="C16300" s="6">
        <v>0.96188756029246802</v>
      </c>
    </row>
    <row r="16301" spans="1:3" s="7" customFormat="1" x14ac:dyDescent="0.2">
      <c r="A16301" s="6" t="str">
        <f>"TRIM45"</f>
        <v>TRIM45</v>
      </c>
      <c r="B16301" s="6">
        <v>0.93806193806193805</v>
      </c>
      <c r="C16301" s="6">
        <v>0.96188756029246802</v>
      </c>
    </row>
    <row r="16302" spans="1:3" s="7" customFormat="1" x14ac:dyDescent="0.2">
      <c r="A16302" s="6" t="str">
        <f>"TAOK2"</f>
        <v>TAOK2</v>
      </c>
      <c r="B16302" s="6">
        <v>0.93906093906093902</v>
      </c>
      <c r="C16302" s="6">
        <v>0.96261665350901704</v>
      </c>
    </row>
    <row r="16303" spans="1:3" s="7" customFormat="1" x14ac:dyDescent="0.2">
      <c r="A16303" s="6" t="str">
        <f>"TEX2"</f>
        <v>TEX2</v>
      </c>
      <c r="B16303" s="6">
        <v>0.93906093906093902</v>
      </c>
      <c r="C16303" s="6">
        <v>0.96261665350901704</v>
      </c>
    </row>
    <row r="16304" spans="1:3" s="7" customFormat="1" x14ac:dyDescent="0.2">
      <c r="A16304" s="6" t="str">
        <f>"MAP3K15"</f>
        <v>MAP3K15</v>
      </c>
      <c r="B16304" s="6">
        <v>0.93906093906093902</v>
      </c>
      <c r="C16304" s="6">
        <v>0.96261665350901704</v>
      </c>
    </row>
    <row r="16305" spans="1:3" s="7" customFormat="1" x14ac:dyDescent="0.2">
      <c r="A16305" s="6" t="str">
        <f>"AC020907.2"</f>
        <v>AC020907.2</v>
      </c>
      <c r="B16305" s="6">
        <v>0.93899999999999995</v>
      </c>
      <c r="C16305" s="6">
        <v>0.96261665350901704</v>
      </c>
    </row>
    <row r="16306" spans="1:3" s="7" customFormat="1" x14ac:dyDescent="0.2">
      <c r="A16306" s="6" t="str">
        <f>"MFSD6"</f>
        <v>MFSD6</v>
      </c>
      <c r="B16306" s="6">
        <v>0.93899999999999995</v>
      </c>
      <c r="C16306" s="6">
        <v>0.96261665350901704</v>
      </c>
    </row>
    <row r="16307" spans="1:3" s="7" customFormat="1" x14ac:dyDescent="0.2">
      <c r="A16307" s="6" t="str">
        <f>"GNS"</f>
        <v>GNS</v>
      </c>
      <c r="B16307" s="6">
        <v>0.94005994005993998</v>
      </c>
      <c r="C16307" s="6">
        <v>0.96322718478186797</v>
      </c>
    </row>
    <row r="16308" spans="1:3" s="7" customFormat="1" x14ac:dyDescent="0.2">
      <c r="A16308" s="6" t="str">
        <f>"AC017104.1"</f>
        <v>AC017104.1</v>
      </c>
      <c r="B16308" s="6">
        <v>0.94</v>
      </c>
      <c r="C16308" s="6">
        <v>0.96322718478186797</v>
      </c>
    </row>
    <row r="16309" spans="1:3" s="7" customFormat="1" x14ac:dyDescent="0.2">
      <c r="A16309" s="6" t="str">
        <f>"COL2A1"</f>
        <v>COL2A1</v>
      </c>
      <c r="B16309" s="6">
        <v>0.94005994005993998</v>
      </c>
      <c r="C16309" s="6">
        <v>0.96322718478186797</v>
      </c>
    </row>
    <row r="16310" spans="1:3" s="7" customFormat="1" x14ac:dyDescent="0.2">
      <c r="A16310" s="6" t="str">
        <f>"LINC01869"</f>
        <v>LINC01869</v>
      </c>
      <c r="B16310" s="6">
        <v>0.94005994005993998</v>
      </c>
      <c r="C16310" s="6">
        <v>0.96322718478186797</v>
      </c>
    </row>
    <row r="16311" spans="1:3" s="7" customFormat="1" x14ac:dyDescent="0.2">
      <c r="A16311" s="6" t="str">
        <f>"POLRMT"</f>
        <v>POLRMT</v>
      </c>
      <c r="B16311" s="6">
        <v>0.94005994005993998</v>
      </c>
      <c r="C16311" s="6">
        <v>0.96322718478186797</v>
      </c>
    </row>
    <row r="16312" spans="1:3" s="7" customFormat="1" x14ac:dyDescent="0.2">
      <c r="A16312" s="6" t="str">
        <f>"AL583810.1"</f>
        <v>AL583810.1</v>
      </c>
      <c r="B16312" s="6">
        <v>0.93987975951903802</v>
      </c>
      <c r="C16312" s="6">
        <v>0.96322718478186797</v>
      </c>
    </row>
    <row r="16313" spans="1:3" s="7" customFormat="1" x14ac:dyDescent="0.2">
      <c r="A16313" s="6" t="str">
        <f>"CU633904.1"</f>
        <v>CU633904.1</v>
      </c>
      <c r="B16313" s="6">
        <v>0.94005994005993998</v>
      </c>
      <c r="C16313" s="6">
        <v>0.96322718478186797</v>
      </c>
    </row>
    <row r="16314" spans="1:3" s="7" customFormat="1" x14ac:dyDescent="0.2">
      <c r="A16314" s="6" t="str">
        <f>"AL357143.1"</f>
        <v>AL357143.1</v>
      </c>
      <c r="B16314" s="6">
        <v>0.94105894105894095</v>
      </c>
      <c r="C16314" s="6">
        <v>0.96383719228256204</v>
      </c>
    </row>
    <row r="16315" spans="1:3" s="7" customFormat="1" x14ac:dyDescent="0.2">
      <c r="A16315" s="6" t="str">
        <f>"CDADC1"</f>
        <v>CDADC1</v>
      </c>
      <c r="B16315" s="6">
        <v>0.94105894105894095</v>
      </c>
      <c r="C16315" s="6">
        <v>0.96383719228256204</v>
      </c>
    </row>
    <row r="16316" spans="1:3" s="7" customFormat="1" x14ac:dyDescent="0.2">
      <c r="A16316" s="6" t="str">
        <f>"ABCC11"</f>
        <v>ABCC11</v>
      </c>
      <c r="B16316" s="6">
        <v>0.94105894105894095</v>
      </c>
      <c r="C16316" s="6">
        <v>0.96383719228256204</v>
      </c>
    </row>
    <row r="16317" spans="1:3" s="7" customFormat="1" x14ac:dyDescent="0.2">
      <c r="A16317" s="6" t="str">
        <f>"AC010487.1"</f>
        <v>AC010487.1</v>
      </c>
      <c r="B16317" s="6">
        <v>0.94075587334014299</v>
      </c>
      <c r="C16317" s="6">
        <v>0.96383719228256204</v>
      </c>
    </row>
    <row r="16318" spans="1:3" s="7" customFormat="1" x14ac:dyDescent="0.2">
      <c r="A16318" s="6" t="str">
        <f>"AP003306.2"</f>
        <v>AP003306.2</v>
      </c>
      <c r="B16318" s="6">
        <v>0.94099999999999995</v>
      </c>
      <c r="C16318" s="6">
        <v>0.96383719228256204</v>
      </c>
    </row>
    <row r="16319" spans="1:3" s="7" customFormat="1" x14ac:dyDescent="0.2">
      <c r="A16319" s="6" t="str">
        <f>"CBFA2T2"</f>
        <v>CBFA2T2</v>
      </c>
      <c r="B16319" s="6">
        <v>0.94105894105894095</v>
      </c>
      <c r="C16319" s="6">
        <v>0.96383719228256204</v>
      </c>
    </row>
    <row r="16320" spans="1:3" s="7" customFormat="1" x14ac:dyDescent="0.2">
      <c r="A16320" s="6" t="str">
        <f>"DDX6"</f>
        <v>DDX6</v>
      </c>
      <c r="B16320" s="6">
        <v>0.94105894105894095</v>
      </c>
      <c r="C16320" s="6">
        <v>0.96383719228256204</v>
      </c>
    </row>
    <row r="16321" spans="1:3" s="7" customFormat="1" x14ac:dyDescent="0.2">
      <c r="A16321" s="6" t="str">
        <f>"ZNF799"</f>
        <v>ZNF799</v>
      </c>
      <c r="B16321" s="6">
        <v>0.94205794205794202</v>
      </c>
      <c r="C16321" s="6">
        <v>0.96480125266889905</v>
      </c>
    </row>
    <row r="16322" spans="1:3" s="7" customFormat="1" x14ac:dyDescent="0.2">
      <c r="A16322" s="6" t="str">
        <f>"LACTB2-AS1"</f>
        <v>LACTB2-AS1</v>
      </c>
      <c r="B16322" s="6">
        <v>0.94282848545636899</v>
      </c>
      <c r="C16322" s="6">
        <v>0.96553123619372305</v>
      </c>
    </row>
    <row r="16323" spans="1:3" s="7" customFormat="1" x14ac:dyDescent="0.2">
      <c r="A16323" s="6" t="str">
        <f>"LSS"</f>
        <v>LSS</v>
      </c>
      <c r="B16323" s="6">
        <v>0.94305694305694299</v>
      </c>
      <c r="C16323" s="6">
        <v>0.96564686309218495</v>
      </c>
    </row>
    <row r="16324" spans="1:3" s="7" customFormat="1" x14ac:dyDescent="0.2">
      <c r="A16324" s="6" t="str">
        <f>"SIGLEC15"</f>
        <v>SIGLEC15</v>
      </c>
      <c r="B16324" s="6">
        <v>0.94305694305694299</v>
      </c>
      <c r="C16324" s="6">
        <v>0.96564686309218495</v>
      </c>
    </row>
    <row r="16325" spans="1:3" s="7" customFormat="1" x14ac:dyDescent="0.2">
      <c r="A16325" s="6" t="str">
        <f>"SDHAF1"</f>
        <v>SDHAF1</v>
      </c>
      <c r="B16325" s="6">
        <v>0.94405594405594395</v>
      </c>
      <c r="C16325" s="6">
        <v>0.966373778108222</v>
      </c>
    </row>
    <row r="16326" spans="1:3" s="7" customFormat="1" x14ac:dyDescent="0.2">
      <c r="A16326" s="6" t="str">
        <f>"PCDHGA2"</f>
        <v>PCDHGA2</v>
      </c>
      <c r="B16326" s="6">
        <v>0.94405594405594395</v>
      </c>
      <c r="C16326" s="6">
        <v>0.966373778108222</v>
      </c>
    </row>
    <row r="16327" spans="1:3" s="7" customFormat="1" x14ac:dyDescent="0.2">
      <c r="A16327" s="6" t="str">
        <f>"PCDHA10"</f>
        <v>PCDHA10</v>
      </c>
      <c r="B16327" s="6">
        <v>0.94405594405594395</v>
      </c>
      <c r="C16327" s="6">
        <v>0.966373778108222</v>
      </c>
    </row>
    <row r="16328" spans="1:3" s="7" customFormat="1" x14ac:dyDescent="0.2">
      <c r="A16328" s="6" t="str">
        <f>"KRT1"</f>
        <v>KRT1</v>
      </c>
      <c r="B16328" s="6">
        <v>0.94405594405594395</v>
      </c>
      <c r="C16328" s="6">
        <v>0.966373778108222</v>
      </c>
    </row>
    <row r="16329" spans="1:3" s="7" customFormat="1" x14ac:dyDescent="0.2">
      <c r="A16329" s="6" t="str">
        <f>"NCBP2"</f>
        <v>NCBP2</v>
      </c>
      <c r="B16329" s="6">
        <v>0.94405594405594395</v>
      </c>
      <c r="C16329" s="6">
        <v>0.966373778108222</v>
      </c>
    </row>
    <row r="16330" spans="1:3" s="7" customFormat="1" x14ac:dyDescent="0.2">
      <c r="A16330" s="6" t="str">
        <f>"H3P6"</f>
        <v>H3P6</v>
      </c>
      <c r="B16330" s="6">
        <v>0.94444444444444398</v>
      </c>
      <c r="C16330" s="6">
        <v>0.96671225699335195</v>
      </c>
    </row>
    <row r="16331" spans="1:3" s="7" customFormat="1" x14ac:dyDescent="0.2">
      <c r="A16331" s="6" t="str">
        <f>"TXLNGY"</f>
        <v>TXLNGY</v>
      </c>
      <c r="B16331" s="6">
        <v>0.94464075382803303</v>
      </c>
      <c r="C16331" s="6">
        <v>0.96685398404664602</v>
      </c>
    </row>
    <row r="16332" spans="1:3" s="7" customFormat="1" x14ac:dyDescent="0.2">
      <c r="A16332" s="6" t="str">
        <f>"CPEB1-AS1"</f>
        <v>CPEB1-AS1</v>
      </c>
      <c r="B16332" s="6">
        <v>0.94505494505494503</v>
      </c>
      <c r="C16332" s="6">
        <v>0.96704104026254101</v>
      </c>
    </row>
    <row r="16333" spans="1:3" s="7" customFormat="1" x14ac:dyDescent="0.2">
      <c r="A16333" s="6" t="str">
        <f>"THOP1"</f>
        <v>THOP1</v>
      </c>
      <c r="B16333" s="6">
        <v>0.94505494505494503</v>
      </c>
      <c r="C16333" s="6">
        <v>0.96704104026254101</v>
      </c>
    </row>
    <row r="16334" spans="1:3" s="7" customFormat="1" x14ac:dyDescent="0.2">
      <c r="A16334" s="6" t="str">
        <f>"PSTK"</f>
        <v>PSTK</v>
      </c>
      <c r="B16334" s="6">
        <v>0.94505494505494503</v>
      </c>
      <c r="C16334" s="6">
        <v>0.96704104026254101</v>
      </c>
    </row>
    <row r="16335" spans="1:3" s="7" customFormat="1" x14ac:dyDescent="0.2">
      <c r="A16335" s="6" t="str">
        <f>"AL359922.1"</f>
        <v>AL359922.1</v>
      </c>
      <c r="B16335" s="6">
        <v>0.94499999999999995</v>
      </c>
      <c r="C16335" s="6">
        <v>0.96704104026254101</v>
      </c>
    </row>
    <row r="16336" spans="1:3" s="7" customFormat="1" x14ac:dyDescent="0.2">
      <c r="A16336" s="6" t="str">
        <f>"SAMMSON"</f>
        <v>SAMMSON</v>
      </c>
      <c r="B16336" s="6">
        <v>0.94605394605394599</v>
      </c>
      <c r="C16336" s="6">
        <v>0.96782627337162697</v>
      </c>
    </row>
    <row r="16337" spans="1:3" s="7" customFormat="1" x14ac:dyDescent="0.2">
      <c r="A16337" s="6" t="str">
        <f>"GPER1"</f>
        <v>GPER1</v>
      </c>
      <c r="B16337" s="6">
        <v>0.94605394605394599</v>
      </c>
      <c r="C16337" s="6">
        <v>0.96782627337162697</v>
      </c>
    </row>
    <row r="16338" spans="1:3" s="7" customFormat="1" x14ac:dyDescent="0.2">
      <c r="A16338" s="6" t="str">
        <f>"AL672310.1"</f>
        <v>AL672310.1</v>
      </c>
      <c r="B16338" s="6">
        <v>0.94605394605394599</v>
      </c>
      <c r="C16338" s="6">
        <v>0.96782627337162697</v>
      </c>
    </row>
    <row r="16339" spans="1:3" s="7" customFormat="1" x14ac:dyDescent="0.2">
      <c r="A16339" s="6" t="str">
        <f>"LINC01579"</f>
        <v>LINC01579</v>
      </c>
      <c r="B16339" s="6">
        <v>0.94605394605394599</v>
      </c>
      <c r="C16339" s="6">
        <v>0.96782627337162697</v>
      </c>
    </row>
    <row r="16340" spans="1:3" s="7" customFormat="1" x14ac:dyDescent="0.2">
      <c r="A16340" s="6" t="str">
        <f>"ACOT13"</f>
        <v>ACOT13</v>
      </c>
      <c r="B16340" s="6">
        <v>0.94705294705294696</v>
      </c>
      <c r="C16340" s="6">
        <v>0.96837409501058103</v>
      </c>
    </row>
    <row r="16341" spans="1:3" s="7" customFormat="1" x14ac:dyDescent="0.2">
      <c r="A16341" s="6" t="str">
        <f>"IKBKGP1"</f>
        <v>IKBKGP1</v>
      </c>
      <c r="B16341" s="6">
        <v>0.94699999999999995</v>
      </c>
      <c r="C16341" s="6">
        <v>0.96837409501058103</v>
      </c>
    </row>
    <row r="16342" spans="1:3" s="7" customFormat="1" x14ac:dyDescent="0.2">
      <c r="A16342" s="6" t="str">
        <f>"AC104109.4"</f>
        <v>AC104109.4</v>
      </c>
      <c r="B16342" s="6">
        <v>0.94705294705294696</v>
      </c>
      <c r="C16342" s="6">
        <v>0.96837409501058103</v>
      </c>
    </row>
    <row r="16343" spans="1:3" s="7" customFormat="1" x14ac:dyDescent="0.2">
      <c r="A16343" s="6" t="str">
        <f>"MAP4K3-DT"</f>
        <v>MAP4K3-DT</v>
      </c>
      <c r="B16343" s="6">
        <v>0.94705294705294696</v>
      </c>
      <c r="C16343" s="6">
        <v>0.96837409501058103</v>
      </c>
    </row>
    <row r="16344" spans="1:3" s="7" customFormat="1" x14ac:dyDescent="0.2">
      <c r="A16344" s="6" t="str">
        <f>"NCL"</f>
        <v>NCL</v>
      </c>
      <c r="B16344" s="6">
        <v>0.94705294705294696</v>
      </c>
      <c r="C16344" s="6">
        <v>0.96837409501058103</v>
      </c>
    </row>
    <row r="16345" spans="1:3" s="7" customFormat="1" x14ac:dyDescent="0.2">
      <c r="A16345" s="6" t="str">
        <f>"RBFADN"</f>
        <v>RBFADN</v>
      </c>
      <c r="B16345" s="6">
        <v>0.94705294705294696</v>
      </c>
      <c r="C16345" s="6">
        <v>0.96837409501058103</v>
      </c>
    </row>
    <row r="16346" spans="1:3" s="7" customFormat="1" x14ac:dyDescent="0.2">
      <c r="A16346" s="6" t="str">
        <f>"SLFN12L"</f>
        <v>SLFN12L</v>
      </c>
      <c r="B16346" s="6">
        <v>0.94705294705294696</v>
      </c>
      <c r="C16346" s="6">
        <v>0.96837409501058103</v>
      </c>
    </row>
    <row r="16347" spans="1:3" s="7" customFormat="1" x14ac:dyDescent="0.2">
      <c r="A16347" s="6" t="str">
        <f>"AC017083.2"</f>
        <v>AC017083.2</v>
      </c>
      <c r="B16347" s="6">
        <v>0.94678714859437696</v>
      </c>
      <c r="C16347" s="6">
        <v>0.96837409501058103</v>
      </c>
    </row>
    <row r="16348" spans="1:3" s="7" customFormat="1" x14ac:dyDescent="0.2">
      <c r="A16348" s="6" t="str">
        <f>"AC123912.1"</f>
        <v>AC123912.1</v>
      </c>
      <c r="B16348" s="6">
        <v>0.94763343403826705</v>
      </c>
      <c r="C16348" s="6">
        <v>0.96886213755672601</v>
      </c>
    </row>
    <row r="16349" spans="1:3" s="7" customFormat="1" x14ac:dyDescent="0.2">
      <c r="A16349" s="6" t="str">
        <f>"BCL11B"</f>
        <v>BCL11B</v>
      </c>
      <c r="B16349" s="6">
        <v>0.94805194805194803</v>
      </c>
      <c r="C16349" s="6">
        <v>0.96886213755672601</v>
      </c>
    </row>
    <row r="16350" spans="1:3" s="7" customFormat="1" x14ac:dyDescent="0.2">
      <c r="A16350" s="6" t="str">
        <f>"HELZ"</f>
        <v>HELZ</v>
      </c>
      <c r="B16350" s="6">
        <v>0.94805194805194803</v>
      </c>
      <c r="C16350" s="6">
        <v>0.96886213755672601</v>
      </c>
    </row>
    <row r="16351" spans="1:3" s="7" customFormat="1" x14ac:dyDescent="0.2">
      <c r="A16351" s="6" t="str">
        <f>"AL590552.1"</f>
        <v>AL590552.1</v>
      </c>
      <c r="B16351" s="6">
        <v>0.94794794794794801</v>
      </c>
      <c r="C16351" s="6">
        <v>0.96886213755672601</v>
      </c>
    </row>
    <row r="16352" spans="1:3" s="7" customFormat="1" x14ac:dyDescent="0.2">
      <c r="A16352" s="6" t="str">
        <f>"MPPED2-AS1"</f>
        <v>MPPED2-AS1</v>
      </c>
      <c r="B16352" s="6">
        <v>0.94805194805194803</v>
      </c>
      <c r="C16352" s="6">
        <v>0.96886213755672601</v>
      </c>
    </row>
    <row r="16353" spans="1:3" s="7" customFormat="1" x14ac:dyDescent="0.2">
      <c r="A16353" s="6" t="str">
        <f>"AC016747.1"</f>
        <v>AC016747.1</v>
      </c>
      <c r="B16353" s="6">
        <v>0.94805194805194803</v>
      </c>
      <c r="C16353" s="6">
        <v>0.96886213755672601</v>
      </c>
    </row>
    <row r="16354" spans="1:3" s="7" customFormat="1" x14ac:dyDescent="0.2">
      <c r="A16354" s="6" t="str">
        <f>"AC090607.2"</f>
        <v>AC090607.2</v>
      </c>
      <c r="B16354" s="6">
        <v>0.94805194805194803</v>
      </c>
      <c r="C16354" s="6">
        <v>0.96886213755672601</v>
      </c>
    </row>
    <row r="16355" spans="1:3" s="7" customFormat="1" x14ac:dyDescent="0.2">
      <c r="A16355" s="6" t="str">
        <f>"ZNF783"</f>
        <v>ZNF783</v>
      </c>
      <c r="B16355" s="6">
        <v>0.94805194805194803</v>
      </c>
      <c r="C16355" s="6">
        <v>0.96886213755672601</v>
      </c>
    </row>
    <row r="16356" spans="1:3" s="7" customFormat="1" x14ac:dyDescent="0.2">
      <c r="A16356" s="6" t="str">
        <f>"ZNF890P"</f>
        <v>ZNF890P</v>
      </c>
      <c r="B16356" s="6">
        <v>0.94805194805194803</v>
      </c>
      <c r="C16356" s="6">
        <v>0.96886213755672601</v>
      </c>
    </row>
    <row r="16357" spans="1:3" s="7" customFormat="1" x14ac:dyDescent="0.2">
      <c r="A16357" s="6" t="str">
        <f>"SNHG1"</f>
        <v>SNHG1</v>
      </c>
      <c r="B16357" s="6">
        <v>0.949050949050949</v>
      </c>
      <c r="C16357" s="6">
        <v>0.96946813118430197</v>
      </c>
    </row>
    <row r="16358" spans="1:3" s="7" customFormat="1" x14ac:dyDescent="0.2">
      <c r="A16358" s="6" t="str">
        <f>"CTTNBP2NL"</f>
        <v>CTTNBP2NL</v>
      </c>
      <c r="B16358" s="6">
        <v>0.949050949050949</v>
      </c>
      <c r="C16358" s="6">
        <v>0.96946813118430197</v>
      </c>
    </row>
    <row r="16359" spans="1:3" s="7" customFormat="1" x14ac:dyDescent="0.2">
      <c r="A16359" s="6" t="str">
        <f>"C5orf22"</f>
        <v>C5orf22</v>
      </c>
      <c r="B16359" s="6">
        <v>0.949050949050949</v>
      </c>
      <c r="C16359" s="6">
        <v>0.96946813118430197</v>
      </c>
    </row>
    <row r="16360" spans="1:3" s="7" customFormat="1" x14ac:dyDescent="0.2">
      <c r="A16360" s="6" t="str">
        <f>"LRRN4CL"</f>
        <v>LRRN4CL</v>
      </c>
      <c r="B16360" s="6">
        <v>0.94899999999999995</v>
      </c>
      <c r="C16360" s="6">
        <v>0.96946813118430197</v>
      </c>
    </row>
    <row r="16361" spans="1:3" s="7" customFormat="1" x14ac:dyDescent="0.2">
      <c r="A16361" s="6" t="str">
        <f>"LINC02361"</f>
        <v>LINC02361</v>
      </c>
      <c r="B16361" s="6">
        <v>0.949050949050949</v>
      </c>
      <c r="C16361" s="6">
        <v>0.96946813118430197</v>
      </c>
    </row>
    <row r="16362" spans="1:3" s="7" customFormat="1" x14ac:dyDescent="0.2">
      <c r="A16362" s="6" t="str">
        <f>"JAG1"</f>
        <v>JAG1</v>
      </c>
      <c r="B16362" s="6">
        <v>0.949050949050949</v>
      </c>
      <c r="C16362" s="6">
        <v>0.96946813118430197</v>
      </c>
    </row>
    <row r="16363" spans="1:3" s="7" customFormat="1" x14ac:dyDescent="0.2">
      <c r="A16363" s="6" t="str">
        <f>"NACC2"</f>
        <v>NACC2</v>
      </c>
      <c r="B16363" s="6">
        <v>0.949050949050949</v>
      </c>
      <c r="C16363" s="6">
        <v>0.96946813118430197</v>
      </c>
    </row>
    <row r="16364" spans="1:3" s="7" customFormat="1" x14ac:dyDescent="0.2">
      <c r="A16364" s="6" t="str">
        <f>"KRTAP5-AS1"</f>
        <v>KRTAP5-AS1</v>
      </c>
      <c r="B16364" s="6">
        <v>0.95004995004994996</v>
      </c>
      <c r="C16364" s="6">
        <v>0.97019214670586296</v>
      </c>
    </row>
    <row r="16365" spans="1:3" s="7" customFormat="1" x14ac:dyDescent="0.2">
      <c r="A16365" s="6" t="str">
        <f>"TIMM23B"</f>
        <v>TIMM23B</v>
      </c>
      <c r="B16365" s="6">
        <v>0.95004995004994996</v>
      </c>
      <c r="C16365" s="6">
        <v>0.97019214670586296</v>
      </c>
    </row>
    <row r="16366" spans="1:3" s="7" customFormat="1" x14ac:dyDescent="0.2">
      <c r="A16366" s="6" t="str">
        <f>"AC068870.2"</f>
        <v>AC068870.2</v>
      </c>
      <c r="B16366" s="6">
        <v>0.94994994994994997</v>
      </c>
      <c r="C16366" s="6">
        <v>0.97019214670586296</v>
      </c>
    </row>
    <row r="16367" spans="1:3" s="7" customFormat="1" x14ac:dyDescent="0.2">
      <c r="A16367" s="6" t="str">
        <f>"STARD5"</f>
        <v>STARD5</v>
      </c>
      <c r="B16367" s="6">
        <v>0.95004995004994996</v>
      </c>
      <c r="C16367" s="6">
        <v>0.97019214670586296</v>
      </c>
    </row>
    <row r="16368" spans="1:3" s="7" customFormat="1" x14ac:dyDescent="0.2">
      <c r="A16368" s="6" t="str">
        <f>"AC025754.1"</f>
        <v>AC025754.1</v>
      </c>
      <c r="B16368" s="6">
        <v>0.95004995004994996</v>
      </c>
      <c r="C16368" s="6">
        <v>0.97019214670586296</v>
      </c>
    </row>
    <row r="16369" spans="1:3" s="7" customFormat="1" x14ac:dyDescent="0.2">
      <c r="A16369" s="6" t="str">
        <f>"AC023908.3"</f>
        <v>AC023908.3</v>
      </c>
      <c r="B16369" s="6">
        <v>0.95015259409969399</v>
      </c>
      <c r="C16369" s="6">
        <v>0.97023768681465605</v>
      </c>
    </row>
    <row r="16370" spans="1:3" s="7" customFormat="1" x14ac:dyDescent="0.2">
      <c r="A16370" s="6" t="str">
        <f>"AC096921.2"</f>
        <v>AC096921.2</v>
      </c>
      <c r="B16370" s="6">
        <v>0.95104895104895104</v>
      </c>
      <c r="C16370" s="6">
        <v>0.97056002978582001</v>
      </c>
    </row>
    <row r="16371" spans="1:3" s="7" customFormat="1" x14ac:dyDescent="0.2">
      <c r="A16371" s="6" t="str">
        <f>"ITGB3"</f>
        <v>ITGB3</v>
      </c>
      <c r="B16371" s="6">
        <v>0.95104895104895104</v>
      </c>
      <c r="C16371" s="6">
        <v>0.97056002978582001</v>
      </c>
    </row>
    <row r="16372" spans="1:3" s="7" customFormat="1" x14ac:dyDescent="0.2">
      <c r="A16372" s="6" t="str">
        <f>"ADARB2"</f>
        <v>ADARB2</v>
      </c>
      <c r="B16372" s="6">
        <v>0.95104895104895104</v>
      </c>
      <c r="C16372" s="6">
        <v>0.97056002978582001</v>
      </c>
    </row>
    <row r="16373" spans="1:3" s="7" customFormat="1" x14ac:dyDescent="0.2">
      <c r="A16373" s="6" t="str">
        <f>"COL12A1"</f>
        <v>COL12A1</v>
      </c>
      <c r="B16373" s="6">
        <v>0.95104895104895104</v>
      </c>
      <c r="C16373" s="6">
        <v>0.97056002978582001</v>
      </c>
    </row>
    <row r="16374" spans="1:3" s="7" customFormat="1" x14ac:dyDescent="0.2">
      <c r="A16374" s="6" t="str">
        <f>"ARHGAP20"</f>
        <v>ARHGAP20</v>
      </c>
      <c r="B16374" s="6">
        <v>0.95104895104895104</v>
      </c>
      <c r="C16374" s="6">
        <v>0.97056002978582001</v>
      </c>
    </row>
    <row r="16375" spans="1:3" s="7" customFormat="1" x14ac:dyDescent="0.2">
      <c r="A16375" s="6" t="str">
        <f>"XXYLT1-AS2"</f>
        <v>XXYLT1-AS2</v>
      </c>
      <c r="B16375" s="6">
        <v>0.95104895104895104</v>
      </c>
      <c r="C16375" s="6">
        <v>0.97056002978582001</v>
      </c>
    </row>
    <row r="16376" spans="1:3" s="7" customFormat="1" x14ac:dyDescent="0.2">
      <c r="A16376" s="6" t="str">
        <f>"AC104435.2"</f>
        <v>AC104435.2</v>
      </c>
      <c r="B16376" s="6">
        <v>0.95099999999999996</v>
      </c>
      <c r="C16376" s="6">
        <v>0.97056002978582001</v>
      </c>
    </row>
    <row r="16377" spans="1:3" s="7" customFormat="1" x14ac:dyDescent="0.2">
      <c r="A16377" s="6" t="str">
        <f>"UBP1"</f>
        <v>UBP1</v>
      </c>
      <c r="B16377" s="6">
        <v>0.95104895104895104</v>
      </c>
      <c r="C16377" s="6">
        <v>0.97056002978582001</v>
      </c>
    </row>
    <row r="16378" spans="1:3" s="7" customFormat="1" x14ac:dyDescent="0.2">
      <c r="A16378" s="6" t="str">
        <f>"AC005400.1"</f>
        <v>AC005400.1</v>
      </c>
      <c r="B16378" s="6">
        <v>0.95070422535211196</v>
      </c>
      <c r="C16378" s="6">
        <v>0.97056002978582001</v>
      </c>
    </row>
    <row r="16379" spans="1:3" s="7" customFormat="1" x14ac:dyDescent="0.2">
      <c r="A16379" s="6" t="str">
        <f>"DDX42"</f>
        <v>DDX42</v>
      </c>
      <c r="B16379" s="6">
        <v>0.95104895104895104</v>
      </c>
      <c r="C16379" s="6">
        <v>0.97056002978582001</v>
      </c>
    </row>
    <row r="16380" spans="1:3" s="7" customFormat="1" x14ac:dyDescent="0.2">
      <c r="A16380" s="6" t="str">
        <f>"AC008770.4"</f>
        <v>AC008770.4</v>
      </c>
      <c r="B16380" s="6">
        <v>0.95151515151515098</v>
      </c>
      <c r="C16380" s="6">
        <v>0.97097650909238897</v>
      </c>
    </row>
    <row r="16381" spans="1:3" s="7" customFormat="1" x14ac:dyDescent="0.2">
      <c r="A16381" s="6" t="str">
        <f>"IMP4"</f>
        <v>IMP4</v>
      </c>
      <c r="B16381" s="6">
        <v>0.95204795204795201</v>
      </c>
      <c r="C16381" s="6">
        <v>0.97128300497646702</v>
      </c>
    </row>
    <row r="16382" spans="1:3" s="7" customFormat="1" x14ac:dyDescent="0.2">
      <c r="A16382" s="6" t="str">
        <f>"SNORA7B"</f>
        <v>SNORA7B</v>
      </c>
      <c r="B16382" s="6">
        <v>0.95199999999999996</v>
      </c>
      <c r="C16382" s="6">
        <v>0.97128300497646702</v>
      </c>
    </row>
    <row r="16383" spans="1:3" s="7" customFormat="1" x14ac:dyDescent="0.2">
      <c r="A16383" s="6" t="str">
        <f>"ARHGEF35-AS1"</f>
        <v>ARHGEF35-AS1</v>
      </c>
      <c r="B16383" s="6">
        <v>0.95204795204795201</v>
      </c>
      <c r="C16383" s="6">
        <v>0.97128300497646702</v>
      </c>
    </row>
    <row r="16384" spans="1:3" s="7" customFormat="1" x14ac:dyDescent="0.2">
      <c r="A16384" s="6" t="str">
        <f>"MRPL45P2"</f>
        <v>MRPL45P2</v>
      </c>
      <c r="B16384" s="6">
        <v>0.95204795204795201</v>
      </c>
      <c r="C16384" s="6">
        <v>0.97128300497646702</v>
      </c>
    </row>
    <row r="16385" spans="1:3" s="7" customFormat="1" x14ac:dyDescent="0.2">
      <c r="A16385" s="6" t="str">
        <f>"ILF3"</f>
        <v>ILF3</v>
      </c>
      <c r="B16385" s="6">
        <v>0.95304695304695297</v>
      </c>
      <c r="C16385" s="6">
        <v>0.97200553900578301</v>
      </c>
    </row>
    <row r="16386" spans="1:3" s="7" customFormat="1" x14ac:dyDescent="0.2">
      <c r="A16386" s="6" t="str">
        <f>"FO681492.1"</f>
        <v>FO681492.1</v>
      </c>
      <c r="B16386" s="6">
        <v>0.95304695304695297</v>
      </c>
      <c r="C16386" s="6">
        <v>0.97200553900578301</v>
      </c>
    </row>
    <row r="16387" spans="1:3" s="7" customFormat="1" x14ac:dyDescent="0.2">
      <c r="A16387" s="6" t="str">
        <f>"TOP1P1"</f>
        <v>TOP1P1</v>
      </c>
      <c r="B16387" s="6">
        <v>0.95296523517382403</v>
      </c>
      <c r="C16387" s="6">
        <v>0.97200553900578301</v>
      </c>
    </row>
    <row r="16388" spans="1:3" s="7" customFormat="1" x14ac:dyDescent="0.2">
      <c r="A16388" s="6" t="str">
        <f>"AC074032.1"</f>
        <v>AC074032.1</v>
      </c>
      <c r="B16388" s="6">
        <v>0.95304695304695297</v>
      </c>
      <c r="C16388" s="6">
        <v>0.97200553900578301</v>
      </c>
    </row>
    <row r="16389" spans="1:3" s="7" customFormat="1" x14ac:dyDescent="0.2">
      <c r="A16389" s="6" t="str">
        <f>"TC2N"</f>
        <v>TC2N</v>
      </c>
      <c r="B16389" s="6">
        <v>0.95299999999999996</v>
      </c>
      <c r="C16389" s="6">
        <v>0.97200553900578301</v>
      </c>
    </row>
    <row r="16390" spans="1:3" s="7" customFormat="1" x14ac:dyDescent="0.2">
      <c r="A16390" s="6" t="str">
        <f>"AC099329.2"</f>
        <v>AC099329.2</v>
      </c>
      <c r="B16390" s="6">
        <v>0.95404595404595405</v>
      </c>
      <c r="C16390" s="6">
        <v>0.97249033822797304</v>
      </c>
    </row>
    <row r="16391" spans="1:3" s="7" customFormat="1" x14ac:dyDescent="0.2">
      <c r="A16391" s="6" t="str">
        <f>"TTC31"</f>
        <v>TTC31</v>
      </c>
      <c r="B16391" s="6">
        <v>0.95404595404595405</v>
      </c>
      <c r="C16391" s="6">
        <v>0.97249033822797304</v>
      </c>
    </row>
    <row r="16392" spans="1:3" s="7" customFormat="1" x14ac:dyDescent="0.2">
      <c r="A16392" s="6" t="str">
        <f>"TOP3A"</f>
        <v>TOP3A</v>
      </c>
      <c r="B16392" s="6">
        <v>0.95404595404595405</v>
      </c>
      <c r="C16392" s="6">
        <v>0.97249033822797304</v>
      </c>
    </row>
    <row r="16393" spans="1:3" s="7" customFormat="1" x14ac:dyDescent="0.2">
      <c r="A16393" s="6" t="str">
        <f>"AC006064.6"</f>
        <v>AC006064.6</v>
      </c>
      <c r="B16393" s="6">
        <v>0.95395395395395399</v>
      </c>
      <c r="C16393" s="6">
        <v>0.97249033822797304</v>
      </c>
    </row>
    <row r="16394" spans="1:3" s="7" customFormat="1" x14ac:dyDescent="0.2">
      <c r="A16394" s="6" t="str">
        <f>"FAM177B"</f>
        <v>FAM177B</v>
      </c>
      <c r="B16394" s="6">
        <v>0.95404595404595405</v>
      </c>
      <c r="C16394" s="6">
        <v>0.97249033822797304</v>
      </c>
    </row>
    <row r="16395" spans="1:3" s="7" customFormat="1" x14ac:dyDescent="0.2">
      <c r="A16395" s="6" t="str">
        <f>"RHEBP1"</f>
        <v>RHEBP1</v>
      </c>
      <c r="B16395" s="6">
        <v>0.95399999999999996</v>
      </c>
      <c r="C16395" s="6">
        <v>0.97249033822797304</v>
      </c>
    </row>
    <row r="16396" spans="1:3" s="7" customFormat="1" x14ac:dyDescent="0.2">
      <c r="A16396" s="6" t="str">
        <f>"AC110285.1"</f>
        <v>AC110285.1</v>
      </c>
      <c r="B16396" s="6">
        <v>0.95404595404595405</v>
      </c>
      <c r="C16396" s="6">
        <v>0.97249033822797304</v>
      </c>
    </row>
    <row r="16397" spans="1:3" s="7" customFormat="1" x14ac:dyDescent="0.2">
      <c r="A16397" s="6" t="str">
        <f>"AC012063.1"</f>
        <v>AC012063.1</v>
      </c>
      <c r="B16397" s="6">
        <v>0.95404595404595405</v>
      </c>
      <c r="C16397" s="6">
        <v>0.97249033822797304</v>
      </c>
    </row>
    <row r="16398" spans="1:3" s="7" customFormat="1" x14ac:dyDescent="0.2">
      <c r="A16398" s="6" t="str">
        <f>"AC008758.1"</f>
        <v>AC008758.1</v>
      </c>
      <c r="B16398" s="6">
        <v>0.95404595404595405</v>
      </c>
      <c r="C16398" s="6">
        <v>0.97249033822797304</v>
      </c>
    </row>
    <row r="16399" spans="1:3" s="7" customFormat="1" x14ac:dyDescent="0.2">
      <c r="A16399" s="6" t="str">
        <f>"RAB29"</f>
        <v>RAB29</v>
      </c>
      <c r="B16399" s="6">
        <v>0.95504495504495501</v>
      </c>
      <c r="C16399" s="6">
        <v>0.97315255615566498</v>
      </c>
    </row>
    <row r="16400" spans="1:3" s="7" customFormat="1" x14ac:dyDescent="0.2">
      <c r="A16400" s="6" t="str">
        <f>"ANKRD20A7P"</f>
        <v>ANKRD20A7P</v>
      </c>
      <c r="B16400" s="6">
        <v>0.95504495504495501</v>
      </c>
      <c r="C16400" s="6">
        <v>0.97315255615566498</v>
      </c>
    </row>
    <row r="16401" spans="1:3" s="7" customFormat="1" x14ac:dyDescent="0.2">
      <c r="A16401" s="6" t="str">
        <f>"RNMT"</f>
        <v>RNMT</v>
      </c>
      <c r="B16401" s="6">
        <v>0.95504495504495501</v>
      </c>
      <c r="C16401" s="6">
        <v>0.97315255615566498</v>
      </c>
    </row>
    <row r="16402" spans="1:3" s="7" customFormat="1" x14ac:dyDescent="0.2">
      <c r="A16402" s="6" t="str">
        <f>"DTNA"</f>
        <v>DTNA</v>
      </c>
      <c r="B16402" s="6">
        <v>0.95504495504495501</v>
      </c>
      <c r="C16402" s="6">
        <v>0.97315255615566498</v>
      </c>
    </row>
    <row r="16403" spans="1:3" s="7" customFormat="1" x14ac:dyDescent="0.2">
      <c r="A16403" s="6" t="str">
        <f>"RPL11"</f>
        <v>RPL11</v>
      </c>
      <c r="B16403" s="6">
        <v>0.95504495504495501</v>
      </c>
      <c r="C16403" s="6">
        <v>0.97315255615566498</v>
      </c>
    </row>
    <row r="16404" spans="1:3" s="7" customFormat="1" x14ac:dyDescent="0.2">
      <c r="A16404" s="6" t="str">
        <f>"MRPL50"</f>
        <v>MRPL50</v>
      </c>
      <c r="B16404" s="6">
        <v>0.95504495504495501</v>
      </c>
      <c r="C16404" s="6">
        <v>0.97315255615566498</v>
      </c>
    </row>
    <row r="16405" spans="1:3" s="7" customFormat="1" x14ac:dyDescent="0.2">
      <c r="A16405" s="6" t="str">
        <f>"SET"</f>
        <v>SET</v>
      </c>
      <c r="B16405" s="6">
        <v>0.95604395604395598</v>
      </c>
      <c r="C16405" s="6">
        <v>0.97387363976832497</v>
      </c>
    </row>
    <row r="16406" spans="1:3" s="7" customFormat="1" x14ac:dyDescent="0.2">
      <c r="A16406" s="6" t="str">
        <f>"LINC01271"</f>
        <v>LINC01271</v>
      </c>
      <c r="B16406" s="6">
        <v>0.95604395604395598</v>
      </c>
      <c r="C16406" s="6">
        <v>0.97387363976832497</v>
      </c>
    </row>
    <row r="16407" spans="1:3" s="7" customFormat="1" x14ac:dyDescent="0.2">
      <c r="A16407" s="6" t="str">
        <f>"ZNF90"</f>
        <v>ZNF90</v>
      </c>
      <c r="B16407" s="6">
        <v>0.95604395604395598</v>
      </c>
      <c r="C16407" s="6">
        <v>0.97387363976832497</v>
      </c>
    </row>
    <row r="16408" spans="1:3" s="7" customFormat="1" x14ac:dyDescent="0.2">
      <c r="A16408" s="6" t="str">
        <f>"SPAST"</f>
        <v>SPAST</v>
      </c>
      <c r="B16408" s="6">
        <v>0.95604395604395598</v>
      </c>
      <c r="C16408" s="6">
        <v>0.97387363976832497</v>
      </c>
    </row>
    <row r="16409" spans="1:3" s="7" customFormat="1" x14ac:dyDescent="0.2">
      <c r="A16409" s="6" t="str">
        <f>"AC096677.1"</f>
        <v>AC096677.1</v>
      </c>
      <c r="B16409" s="6">
        <v>0.95604395604395598</v>
      </c>
      <c r="C16409" s="6">
        <v>0.97387363976832497</v>
      </c>
    </row>
    <row r="16410" spans="1:3" s="7" customFormat="1" x14ac:dyDescent="0.2">
      <c r="A16410" s="6" t="str">
        <f>"BMX"</f>
        <v>BMX</v>
      </c>
      <c r="B16410" s="6">
        <v>0.95699999999999996</v>
      </c>
      <c r="C16410" s="6">
        <v>0.97453490825002898</v>
      </c>
    </row>
    <row r="16411" spans="1:3" s="7" customFormat="1" x14ac:dyDescent="0.2">
      <c r="A16411" s="6" t="str">
        <f>"OSBPL9"</f>
        <v>OSBPL9</v>
      </c>
      <c r="B16411" s="6">
        <v>0.95704295704295705</v>
      </c>
      <c r="C16411" s="6">
        <v>0.97453490825002898</v>
      </c>
    </row>
    <row r="16412" spans="1:3" s="7" customFormat="1" x14ac:dyDescent="0.2">
      <c r="A16412" s="6" t="str">
        <f>"AL356234.2"</f>
        <v>AL356234.2</v>
      </c>
      <c r="B16412" s="6">
        <v>0.95704295704295705</v>
      </c>
      <c r="C16412" s="6">
        <v>0.97453490825002898</v>
      </c>
    </row>
    <row r="16413" spans="1:3" s="7" customFormat="1" x14ac:dyDescent="0.2">
      <c r="A16413" s="6" t="str">
        <f>"LINC01474"</f>
        <v>LINC01474</v>
      </c>
      <c r="B16413" s="6">
        <v>0.95704295704295705</v>
      </c>
      <c r="C16413" s="6">
        <v>0.97453490825002898</v>
      </c>
    </row>
    <row r="16414" spans="1:3" s="7" customFormat="1" x14ac:dyDescent="0.2">
      <c r="A16414" s="6" t="str">
        <f>"AL020997.5"</f>
        <v>AL020997.5</v>
      </c>
      <c r="B16414" s="6">
        <v>0.95704295704295705</v>
      </c>
      <c r="C16414" s="6">
        <v>0.97453490825002898</v>
      </c>
    </row>
    <row r="16415" spans="1:3" s="7" customFormat="1" x14ac:dyDescent="0.2">
      <c r="A16415" s="6" t="str">
        <f>"AD001527.2"</f>
        <v>AD001527.2</v>
      </c>
      <c r="B16415" s="6">
        <v>0.95699999999999996</v>
      </c>
      <c r="C16415" s="6">
        <v>0.97453490825002898</v>
      </c>
    </row>
    <row r="16416" spans="1:3" s="7" customFormat="1" x14ac:dyDescent="0.2">
      <c r="A16416" s="6" t="str">
        <f>"MAP4K2"</f>
        <v>MAP4K2</v>
      </c>
      <c r="B16416" s="6">
        <v>0.95804195804195802</v>
      </c>
      <c r="C16416" s="6">
        <v>0.974839479283653</v>
      </c>
    </row>
    <row r="16417" spans="1:3" s="7" customFormat="1" x14ac:dyDescent="0.2">
      <c r="A16417" s="6" t="str">
        <f>"LRRC8E"</f>
        <v>LRRC8E</v>
      </c>
      <c r="B16417" s="6">
        <v>0.95804195804195802</v>
      </c>
      <c r="C16417" s="6">
        <v>0.974839479283653</v>
      </c>
    </row>
    <row r="16418" spans="1:3" s="7" customFormat="1" x14ac:dyDescent="0.2">
      <c r="A16418" s="6" t="str">
        <f>"SMG1P2"</f>
        <v>SMG1P2</v>
      </c>
      <c r="B16418" s="6">
        <v>0.95804195804195802</v>
      </c>
      <c r="C16418" s="6">
        <v>0.974839479283653</v>
      </c>
    </row>
    <row r="16419" spans="1:3" s="7" customFormat="1" x14ac:dyDescent="0.2">
      <c r="A16419" s="6" t="str">
        <f>"TULP1"</f>
        <v>TULP1</v>
      </c>
      <c r="B16419" s="6">
        <v>0.95804195804195802</v>
      </c>
      <c r="C16419" s="6">
        <v>0.974839479283653</v>
      </c>
    </row>
    <row r="16420" spans="1:3" s="7" customFormat="1" x14ac:dyDescent="0.2">
      <c r="A16420" s="6" t="str">
        <f>"SLC4A3"</f>
        <v>SLC4A3</v>
      </c>
      <c r="B16420" s="6">
        <v>0.95804195804195802</v>
      </c>
      <c r="C16420" s="6">
        <v>0.974839479283653</v>
      </c>
    </row>
    <row r="16421" spans="1:3" s="7" customFormat="1" x14ac:dyDescent="0.2">
      <c r="A16421" s="6" t="str">
        <f>"AL096870.1"</f>
        <v>AL096870.1</v>
      </c>
      <c r="B16421" s="6">
        <v>0.95799999999999996</v>
      </c>
      <c r="C16421" s="6">
        <v>0.974839479283653</v>
      </c>
    </row>
    <row r="16422" spans="1:3" s="7" customFormat="1" x14ac:dyDescent="0.2">
      <c r="A16422" s="6" t="str">
        <f>"AC016745.2"</f>
        <v>AC016745.2</v>
      </c>
      <c r="B16422" s="6">
        <v>0.95804195804195802</v>
      </c>
      <c r="C16422" s="6">
        <v>0.974839479283653</v>
      </c>
    </row>
    <row r="16423" spans="1:3" s="7" customFormat="1" x14ac:dyDescent="0.2">
      <c r="A16423" s="6" t="str">
        <f>"FAM172BP"</f>
        <v>FAM172BP</v>
      </c>
      <c r="B16423" s="6">
        <v>0.95804195804195802</v>
      </c>
      <c r="C16423" s="6">
        <v>0.974839479283653</v>
      </c>
    </row>
    <row r="16424" spans="1:3" s="7" customFormat="1" x14ac:dyDescent="0.2">
      <c r="A16424" s="6" t="str">
        <f>"AL356966.1"</f>
        <v>AL356966.1</v>
      </c>
      <c r="B16424" s="6">
        <v>0.95804195804195802</v>
      </c>
      <c r="C16424" s="6">
        <v>0.974839479283653</v>
      </c>
    </row>
    <row r="16425" spans="1:3" s="7" customFormat="1" x14ac:dyDescent="0.2">
      <c r="A16425" s="6" t="str">
        <f>"SLFN11"</f>
        <v>SLFN11</v>
      </c>
      <c r="B16425" s="6">
        <v>0.95804195804195802</v>
      </c>
      <c r="C16425" s="6">
        <v>0.974839479283653</v>
      </c>
    </row>
    <row r="16426" spans="1:3" s="7" customFormat="1" x14ac:dyDescent="0.2">
      <c r="A16426" s="6" t="str">
        <f>"KAT14"</f>
        <v>KAT14</v>
      </c>
      <c r="B16426" s="6">
        <v>0.95804195804195802</v>
      </c>
      <c r="C16426" s="6">
        <v>0.974839479283653</v>
      </c>
    </row>
    <row r="16427" spans="1:3" s="7" customFormat="1" x14ac:dyDescent="0.2">
      <c r="A16427" s="6" t="str">
        <f>"LINC00963"</f>
        <v>LINC00963</v>
      </c>
      <c r="B16427" s="6">
        <v>0.95804195804195802</v>
      </c>
      <c r="C16427" s="6">
        <v>0.974839479283653</v>
      </c>
    </row>
    <row r="16428" spans="1:3" s="7" customFormat="1" x14ac:dyDescent="0.2">
      <c r="A16428" s="6" t="str">
        <f>"HS1BP3"</f>
        <v>HS1BP3</v>
      </c>
      <c r="B16428" s="6">
        <v>0.95904095904095898</v>
      </c>
      <c r="C16428" s="6">
        <v>0.97526226511380998</v>
      </c>
    </row>
    <row r="16429" spans="1:3" s="7" customFormat="1" x14ac:dyDescent="0.2">
      <c r="A16429" s="6" t="str">
        <f>"AC019205.1"</f>
        <v>AC019205.1</v>
      </c>
      <c r="B16429" s="6">
        <v>0.95904095904095898</v>
      </c>
      <c r="C16429" s="6">
        <v>0.97526226511380998</v>
      </c>
    </row>
    <row r="16430" spans="1:3" s="7" customFormat="1" x14ac:dyDescent="0.2">
      <c r="A16430" s="6" t="str">
        <f>"POLH"</f>
        <v>POLH</v>
      </c>
      <c r="B16430" s="6">
        <v>0.95904095904095898</v>
      </c>
      <c r="C16430" s="6">
        <v>0.97526226511380998</v>
      </c>
    </row>
    <row r="16431" spans="1:3" s="7" customFormat="1" x14ac:dyDescent="0.2">
      <c r="A16431" s="6" t="str">
        <f>"AC008764.6"</f>
        <v>AC008764.6</v>
      </c>
      <c r="B16431" s="6">
        <v>0.95904095904095898</v>
      </c>
      <c r="C16431" s="6">
        <v>0.97526226511380998</v>
      </c>
    </row>
    <row r="16432" spans="1:3" s="7" customFormat="1" x14ac:dyDescent="0.2">
      <c r="A16432" s="6" t="str">
        <f>"SKI"</f>
        <v>SKI</v>
      </c>
      <c r="B16432" s="6">
        <v>0.95904095904095898</v>
      </c>
      <c r="C16432" s="6">
        <v>0.97526226511380998</v>
      </c>
    </row>
    <row r="16433" spans="1:3" s="7" customFormat="1" x14ac:dyDescent="0.2">
      <c r="A16433" s="6" t="str">
        <f>"PTGER1"</f>
        <v>PTGER1</v>
      </c>
      <c r="B16433" s="6">
        <v>0.95904095904095898</v>
      </c>
      <c r="C16433" s="6">
        <v>0.97526226511380998</v>
      </c>
    </row>
    <row r="16434" spans="1:3" s="7" customFormat="1" x14ac:dyDescent="0.2">
      <c r="A16434" s="6" t="str">
        <f>"AC211476.1"</f>
        <v>AC211476.1</v>
      </c>
      <c r="B16434" s="6">
        <v>0.95904095904095898</v>
      </c>
      <c r="C16434" s="6">
        <v>0.97526226511380998</v>
      </c>
    </row>
    <row r="16435" spans="1:3" s="7" customFormat="1" x14ac:dyDescent="0.2">
      <c r="A16435" s="6" t="str">
        <f>"FAM201B"</f>
        <v>FAM201B</v>
      </c>
      <c r="B16435" s="6">
        <v>0.95899999999999996</v>
      </c>
      <c r="C16435" s="6">
        <v>0.97526226511380998</v>
      </c>
    </row>
    <row r="16436" spans="1:3" s="7" customFormat="1" x14ac:dyDescent="0.2">
      <c r="A16436" s="6" t="str">
        <f>"CLDN2"</f>
        <v>CLDN2</v>
      </c>
      <c r="B16436" s="6">
        <v>0.95904095904095898</v>
      </c>
      <c r="C16436" s="6">
        <v>0.97526226511380998</v>
      </c>
    </row>
    <row r="16437" spans="1:3" s="7" customFormat="1" x14ac:dyDescent="0.2">
      <c r="A16437" s="6" t="str">
        <f>"PTPRZ1"</f>
        <v>PTPRZ1</v>
      </c>
      <c r="B16437" s="6">
        <v>0.95904095904095898</v>
      </c>
      <c r="C16437" s="6">
        <v>0.97526226511380998</v>
      </c>
    </row>
    <row r="16438" spans="1:3" s="7" customFormat="1" x14ac:dyDescent="0.2">
      <c r="A16438" s="6" t="str">
        <f>"AC069307.1"</f>
        <v>AC069307.1</v>
      </c>
      <c r="B16438" s="6">
        <v>0.95914198161389097</v>
      </c>
      <c r="C16438" s="6">
        <v>0.97530565679227199</v>
      </c>
    </row>
    <row r="16439" spans="1:3" s="7" customFormat="1" x14ac:dyDescent="0.2">
      <c r="A16439" s="6" t="str">
        <f>"CMC2"</f>
        <v>CMC2</v>
      </c>
      <c r="B16439" s="6">
        <v>0.96003996003995995</v>
      </c>
      <c r="C16439" s="6">
        <v>0.97562521384494905</v>
      </c>
    </row>
    <row r="16440" spans="1:3" s="7" customFormat="1" x14ac:dyDescent="0.2">
      <c r="A16440" s="6" t="str">
        <f>"IL17D"</f>
        <v>IL17D</v>
      </c>
      <c r="B16440" s="6">
        <v>0.96003996003995995</v>
      </c>
      <c r="C16440" s="6">
        <v>0.97562521384494905</v>
      </c>
    </row>
    <row r="16441" spans="1:3" s="7" customFormat="1" x14ac:dyDescent="0.2">
      <c r="A16441" s="6" t="str">
        <f>"ZNF876P"</f>
        <v>ZNF876P</v>
      </c>
      <c r="B16441" s="6">
        <v>0.96003996003995995</v>
      </c>
      <c r="C16441" s="6">
        <v>0.97562521384494905</v>
      </c>
    </row>
    <row r="16442" spans="1:3" s="7" customFormat="1" x14ac:dyDescent="0.2">
      <c r="A16442" s="6" t="str">
        <f>"TCAF2P1"</f>
        <v>TCAF2P1</v>
      </c>
      <c r="B16442" s="6">
        <v>0.96003996003995995</v>
      </c>
      <c r="C16442" s="6">
        <v>0.97562521384494905</v>
      </c>
    </row>
    <row r="16443" spans="1:3" s="7" customFormat="1" x14ac:dyDescent="0.2">
      <c r="A16443" s="6" t="str">
        <f>"HSFX2"</f>
        <v>HSFX2</v>
      </c>
      <c r="B16443" s="6">
        <v>0.96003996003995995</v>
      </c>
      <c r="C16443" s="6">
        <v>0.97562521384494905</v>
      </c>
    </row>
    <row r="16444" spans="1:3" s="7" customFormat="1" x14ac:dyDescent="0.2">
      <c r="A16444" s="6" t="str">
        <f>"AC005034.5"</f>
        <v>AC005034.5</v>
      </c>
      <c r="B16444" s="6">
        <v>0.95979899497487398</v>
      </c>
      <c r="C16444" s="6">
        <v>0.97562521384494905</v>
      </c>
    </row>
    <row r="16445" spans="1:3" s="7" customFormat="1" x14ac:dyDescent="0.2">
      <c r="A16445" s="6" t="str">
        <f>"IL2RB"</f>
        <v>IL2RB</v>
      </c>
      <c r="B16445" s="6">
        <v>0.96003996003995995</v>
      </c>
      <c r="C16445" s="6">
        <v>0.97562521384494905</v>
      </c>
    </row>
    <row r="16446" spans="1:3" s="7" customFormat="1" x14ac:dyDescent="0.2">
      <c r="A16446" s="6" t="str">
        <f>"OR7E154P"</f>
        <v>OR7E154P</v>
      </c>
      <c r="B16446" s="6">
        <v>0.96003996003995995</v>
      </c>
      <c r="C16446" s="6">
        <v>0.97562521384494905</v>
      </c>
    </row>
    <row r="16447" spans="1:3" s="7" customFormat="1" x14ac:dyDescent="0.2">
      <c r="A16447" s="6" t="str">
        <f>"AL713866.1"</f>
        <v>AL713866.1</v>
      </c>
      <c r="B16447" s="6">
        <v>0.95967741935483797</v>
      </c>
      <c r="C16447" s="6">
        <v>0.97562521384494905</v>
      </c>
    </row>
    <row r="16448" spans="1:3" s="7" customFormat="1" x14ac:dyDescent="0.2">
      <c r="A16448" s="6" t="str">
        <f>"EFEMP2"</f>
        <v>EFEMP2</v>
      </c>
      <c r="B16448" s="6">
        <v>0.96003996003995995</v>
      </c>
      <c r="C16448" s="6">
        <v>0.97562521384494905</v>
      </c>
    </row>
    <row r="16449" spans="1:3" s="7" customFormat="1" x14ac:dyDescent="0.2">
      <c r="A16449" s="6" t="str">
        <f>"SFT2D1"</f>
        <v>SFT2D1</v>
      </c>
      <c r="B16449" s="6">
        <v>0.96103896103896103</v>
      </c>
      <c r="C16449" s="6">
        <v>0.97622494194756204</v>
      </c>
    </row>
    <row r="16450" spans="1:3" s="7" customFormat="1" x14ac:dyDescent="0.2">
      <c r="A16450" s="6" t="str">
        <f>"ATF7IP"</f>
        <v>ATF7IP</v>
      </c>
      <c r="B16450" s="6">
        <v>0.96103896103896103</v>
      </c>
      <c r="C16450" s="6">
        <v>0.97622494194756204</v>
      </c>
    </row>
    <row r="16451" spans="1:3" s="7" customFormat="1" x14ac:dyDescent="0.2">
      <c r="A16451" s="6" t="str">
        <f>"SLC14A2"</f>
        <v>SLC14A2</v>
      </c>
      <c r="B16451" s="6">
        <v>0.96096096096096095</v>
      </c>
      <c r="C16451" s="6">
        <v>0.97622494194756204</v>
      </c>
    </row>
    <row r="16452" spans="1:3" s="7" customFormat="1" x14ac:dyDescent="0.2">
      <c r="A16452" s="6" t="str">
        <f>"NAV3"</f>
        <v>NAV3</v>
      </c>
      <c r="B16452" s="6">
        <v>0.96103896103896103</v>
      </c>
      <c r="C16452" s="6">
        <v>0.97622494194756204</v>
      </c>
    </row>
    <row r="16453" spans="1:3" s="7" customFormat="1" x14ac:dyDescent="0.2">
      <c r="A16453" s="6" t="str">
        <f>"PARP10"</f>
        <v>PARP10</v>
      </c>
      <c r="B16453" s="6">
        <v>0.96103896103896103</v>
      </c>
      <c r="C16453" s="6">
        <v>0.97622494194756204</v>
      </c>
    </row>
    <row r="16454" spans="1:3" s="7" customFormat="1" x14ac:dyDescent="0.2">
      <c r="A16454" s="6" t="str">
        <f>"AL021368.2"</f>
        <v>AL021368.2</v>
      </c>
      <c r="B16454" s="6">
        <v>0.96103896103896103</v>
      </c>
      <c r="C16454" s="6">
        <v>0.97622494194756204</v>
      </c>
    </row>
    <row r="16455" spans="1:3" s="7" customFormat="1" x14ac:dyDescent="0.2">
      <c r="A16455" s="6" t="str">
        <f>"THAP8"</f>
        <v>THAP8</v>
      </c>
      <c r="B16455" s="6">
        <v>0.96103896103896103</v>
      </c>
      <c r="C16455" s="6">
        <v>0.97622494194756204</v>
      </c>
    </row>
    <row r="16456" spans="1:3" s="7" customFormat="1" x14ac:dyDescent="0.2">
      <c r="A16456" s="6" t="str">
        <f>"RNF215"</f>
        <v>RNF215</v>
      </c>
      <c r="B16456" s="6">
        <v>0.96203796203796199</v>
      </c>
      <c r="C16456" s="6">
        <v>0.97706158458421899</v>
      </c>
    </row>
    <row r="16457" spans="1:3" s="7" customFormat="1" x14ac:dyDescent="0.2">
      <c r="A16457" s="6" t="str">
        <f>"AC114490.2"</f>
        <v>AC114490.2</v>
      </c>
      <c r="B16457" s="6">
        <v>0.96203796203796199</v>
      </c>
      <c r="C16457" s="6">
        <v>0.97706158458421899</v>
      </c>
    </row>
    <row r="16458" spans="1:3" s="7" customFormat="1" x14ac:dyDescent="0.2">
      <c r="A16458" s="6" t="str">
        <f>"ATP2A3"</f>
        <v>ATP2A3</v>
      </c>
      <c r="B16458" s="6">
        <v>0.96203796203796199</v>
      </c>
      <c r="C16458" s="6">
        <v>0.97706158458421899</v>
      </c>
    </row>
    <row r="16459" spans="1:3" s="7" customFormat="1" x14ac:dyDescent="0.2">
      <c r="A16459" s="6" t="str">
        <f>"PPP2R3B"</f>
        <v>PPP2R3B</v>
      </c>
      <c r="B16459" s="6">
        <v>0.96303696303696296</v>
      </c>
      <c r="C16459" s="6">
        <v>0.97766033771864702</v>
      </c>
    </row>
    <row r="16460" spans="1:3" s="7" customFormat="1" x14ac:dyDescent="0.2">
      <c r="A16460" s="6" t="str">
        <f>"SAMHD1"</f>
        <v>SAMHD1</v>
      </c>
      <c r="B16460" s="6">
        <v>0.96303696303696296</v>
      </c>
      <c r="C16460" s="6">
        <v>0.97766033771864702</v>
      </c>
    </row>
    <row r="16461" spans="1:3" s="7" customFormat="1" x14ac:dyDescent="0.2">
      <c r="A16461" s="6" t="str">
        <f>"LINC01572"</f>
        <v>LINC01572</v>
      </c>
      <c r="B16461" s="6">
        <v>0.96303696303696296</v>
      </c>
      <c r="C16461" s="6">
        <v>0.97766033771864702</v>
      </c>
    </row>
    <row r="16462" spans="1:3" s="7" customFormat="1" x14ac:dyDescent="0.2">
      <c r="A16462" s="6" t="str">
        <f>"CIAPIN1P"</f>
        <v>CIAPIN1P</v>
      </c>
      <c r="B16462" s="6">
        <v>0.96303696303696296</v>
      </c>
      <c r="C16462" s="6">
        <v>0.97766033771864702</v>
      </c>
    </row>
    <row r="16463" spans="1:3" s="7" customFormat="1" x14ac:dyDescent="0.2">
      <c r="A16463" s="6" t="str">
        <f>"DLGAP1"</f>
        <v>DLGAP1</v>
      </c>
      <c r="B16463" s="6">
        <v>0.96303696303696296</v>
      </c>
      <c r="C16463" s="6">
        <v>0.97766033771864702</v>
      </c>
    </row>
    <row r="16464" spans="1:3" s="7" customFormat="1" x14ac:dyDescent="0.2">
      <c r="A16464" s="6" t="str">
        <f>"DMRT1"</f>
        <v>DMRT1</v>
      </c>
      <c r="B16464" s="6">
        <v>0.96303696303696296</v>
      </c>
      <c r="C16464" s="6">
        <v>0.97766033771864702</v>
      </c>
    </row>
    <row r="16465" spans="1:3" s="7" customFormat="1" x14ac:dyDescent="0.2">
      <c r="A16465" s="6" t="str">
        <f>"AC008895.1"</f>
        <v>AC008895.1</v>
      </c>
      <c r="B16465" s="6">
        <v>0.96296296296296202</v>
      </c>
      <c r="C16465" s="6">
        <v>0.97766033771864702</v>
      </c>
    </row>
    <row r="16466" spans="1:3" s="7" customFormat="1" x14ac:dyDescent="0.2">
      <c r="A16466" s="6" t="str">
        <f>"MGMT"</f>
        <v>MGMT</v>
      </c>
      <c r="B16466" s="6">
        <v>0.96403596403596403</v>
      </c>
      <c r="C16466" s="6">
        <v>0.97831797831797795</v>
      </c>
    </row>
    <row r="16467" spans="1:3" s="7" customFormat="1" x14ac:dyDescent="0.2">
      <c r="A16467" s="6" t="str">
        <f>"AP001885.2"</f>
        <v>AP001885.2</v>
      </c>
      <c r="B16467" s="6">
        <v>0.96403596403596403</v>
      </c>
      <c r="C16467" s="6">
        <v>0.97831797831797795</v>
      </c>
    </row>
    <row r="16468" spans="1:3" s="7" customFormat="1" x14ac:dyDescent="0.2">
      <c r="A16468" s="6" t="str">
        <f>"AC120114.2"</f>
        <v>AC120114.2</v>
      </c>
      <c r="B16468" s="6">
        <v>0.96399999999999997</v>
      </c>
      <c r="C16468" s="6">
        <v>0.97831797831797795</v>
      </c>
    </row>
    <row r="16469" spans="1:3" s="7" customFormat="1" x14ac:dyDescent="0.2">
      <c r="A16469" s="6" t="str">
        <f>"AVPR2"</f>
        <v>AVPR2</v>
      </c>
      <c r="B16469" s="6">
        <v>0.96403596403596403</v>
      </c>
      <c r="C16469" s="6">
        <v>0.97831797831797795</v>
      </c>
    </row>
    <row r="16470" spans="1:3" s="7" customFormat="1" x14ac:dyDescent="0.2">
      <c r="A16470" s="6" t="str">
        <f>"U52111.1"</f>
        <v>U52111.1</v>
      </c>
      <c r="B16470" s="6">
        <v>0.96403596403596403</v>
      </c>
      <c r="C16470" s="6">
        <v>0.97831797831797795</v>
      </c>
    </row>
    <row r="16471" spans="1:3" s="7" customFormat="1" x14ac:dyDescent="0.2">
      <c r="A16471" s="6" t="str">
        <f>"AC079200.1"</f>
        <v>AC079200.1</v>
      </c>
      <c r="B16471" s="6">
        <v>0.96403596403596403</v>
      </c>
      <c r="C16471" s="6">
        <v>0.97831797831797795</v>
      </c>
    </row>
    <row r="16472" spans="1:3" s="7" customFormat="1" x14ac:dyDescent="0.2">
      <c r="A16472" s="6" t="str">
        <f>"DPP7"</f>
        <v>DPP7</v>
      </c>
      <c r="B16472" s="6">
        <v>0.965034965034965</v>
      </c>
      <c r="C16472" s="6">
        <v>0.97903456179632198</v>
      </c>
    </row>
    <row r="16473" spans="1:3" s="7" customFormat="1" x14ac:dyDescent="0.2">
      <c r="A16473" s="6" t="str">
        <f>"SSR2"</f>
        <v>SSR2</v>
      </c>
      <c r="B16473" s="6">
        <v>0.965034965034965</v>
      </c>
      <c r="C16473" s="6">
        <v>0.97903456179632198</v>
      </c>
    </row>
    <row r="16474" spans="1:3" s="7" customFormat="1" x14ac:dyDescent="0.2">
      <c r="A16474" s="6" t="str">
        <f>"TBCK"</f>
        <v>TBCK</v>
      </c>
      <c r="B16474" s="6">
        <v>0.965034965034965</v>
      </c>
      <c r="C16474" s="6">
        <v>0.97903456179632198</v>
      </c>
    </row>
    <row r="16475" spans="1:3" s="7" customFormat="1" x14ac:dyDescent="0.2">
      <c r="A16475" s="6" t="str">
        <f>"RARB"</f>
        <v>RARB</v>
      </c>
      <c r="B16475" s="6">
        <v>0.965034965034965</v>
      </c>
      <c r="C16475" s="6">
        <v>0.97903456179632198</v>
      </c>
    </row>
    <row r="16476" spans="1:3" s="7" customFormat="1" x14ac:dyDescent="0.2">
      <c r="A16476" s="6" t="str">
        <f>"PHETA1"</f>
        <v>PHETA1</v>
      </c>
      <c r="B16476" s="6">
        <v>0.965034965034965</v>
      </c>
      <c r="C16476" s="6">
        <v>0.97903456179632198</v>
      </c>
    </row>
    <row r="16477" spans="1:3" s="7" customFormat="1" x14ac:dyDescent="0.2">
      <c r="A16477" s="6" t="str">
        <f>"CTLA4"</f>
        <v>CTLA4</v>
      </c>
      <c r="B16477" s="6">
        <v>0.96603396603396596</v>
      </c>
      <c r="C16477" s="6">
        <v>0.97975071045459305</v>
      </c>
    </row>
    <row r="16478" spans="1:3" s="7" customFormat="1" x14ac:dyDescent="0.2">
      <c r="A16478" s="6" t="str">
        <f>"AC073389.3"</f>
        <v>AC073389.3</v>
      </c>
      <c r="B16478" s="6">
        <v>0.96589769307923701</v>
      </c>
      <c r="C16478" s="6">
        <v>0.97975071045459305</v>
      </c>
    </row>
    <row r="16479" spans="1:3" s="7" customFormat="1" x14ac:dyDescent="0.2">
      <c r="A16479" s="6" t="str">
        <f>"RP9"</f>
        <v>RP9</v>
      </c>
      <c r="B16479" s="6">
        <v>0.96603396603396596</v>
      </c>
      <c r="C16479" s="6">
        <v>0.97975071045459305</v>
      </c>
    </row>
    <row r="16480" spans="1:3" s="7" customFormat="1" x14ac:dyDescent="0.2">
      <c r="A16480" s="6" t="str">
        <f>"DCST1"</f>
        <v>DCST1</v>
      </c>
      <c r="B16480" s="6">
        <v>0.96603396603396596</v>
      </c>
      <c r="C16480" s="6">
        <v>0.97975071045459305</v>
      </c>
    </row>
    <row r="16481" spans="1:3" s="7" customFormat="1" x14ac:dyDescent="0.2">
      <c r="A16481" s="6" t="str">
        <f>"C1orf115"</f>
        <v>C1orf115</v>
      </c>
      <c r="B16481" s="6">
        <v>0.96603396603396596</v>
      </c>
      <c r="C16481" s="6">
        <v>0.97975071045459305</v>
      </c>
    </row>
    <row r="16482" spans="1:3" s="7" customFormat="1" x14ac:dyDescent="0.2">
      <c r="A16482" s="6" t="str">
        <f>"AP006623.1"</f>
        <v>AP006623.1</v>
      </c>
      <c r="B16482" s="6">
        <v>0.96625766871165597</v>
      </c>
      <c r="C16482" s="6">
        <v>0.97991812844163695</v>
      </c>
    </row>
    <row r="16483" spans="1:3" s="7" customFormat="1" x14ac:dyDescent="0.2">
      <c r="A16483" s="6" t="str">
        <f>"AC073073.2"</f>
        <v>AC073073.2</v>
      </c>
      <c r="B16483" s="6">
        <v>0.96666666666666601</v>
      </c>
      <c r="C16483" s="6">
        <v>0.98027342959996699</v>
      </c>
    </row>
    <row r="16484" spans="1:3" s="7" customFormat="1" x14ac:dyDescent="0.2">
      <c r="A16484" s="6" t="str">
        <f>"MORF4L1"</f>
        <v>MORF4L1</v>
      </c>
      <c r="B16484" s="6">
        <v>0.96703296703296704</v>
      </c>
      <c r="C16484" s="6">
        <v>0.98046642468844403</v>
      </c>
    </row>
    <row r="16485" spans="1:3" s="7" customFormat="1" x14ac:dyDescent="0.2">
      <c r="A16485" s="6" t="str">
        <f>"LRRC37A6P"</f>
        <v>LRRC37A6P</v>
      </c>
      <c r="B16485" s="6">
        <v>0.96703296703296704</v>
      </c>
      <c r="C16485" s="6">
        <v>0.98046642468844403</v>
      </c>
    </row>
    <row r="16486" spans="1:3" s="7" customFormat="1" x14ac:dyDescent="0.2">
      <c r="A16486" s="6" t="str">
        <f>"LINC01968"</f>
        <v>LINC01968</v>
      </c>
      <c r="B16486" s="6">
        <v>0.96703296703296704</v>
      </c>
      <c r="C16486" s="6">
        <v>0.98046642468844403</v>
      </c>
    </row>
    <row r="16487" spans="1:3" s="7" customFormat="1" x14ac:dyDescent="0.2">
      <c r="A16487" s="6" t="str">
        <f>"RAB10"</f>
        <v>RAB10</v>
      </c>
      <c r="B16487" s="6">
        <v>0.968031968031968</v>
      </c>
      <c r="C16487" s="6">
        <v>0.980884286977042</v>
      </c>
    </row>
    <row r="16488" spans="1:3" s="7" customFormat="1" x14ac:dyDescent="0.2">
      <c r="A16488" s="6" t="str">
        <f>"GDPGP1"</f>
        <v>GDPGP1</v>
      </c>
      <c r="B16488" s="6">
        <v>0.968031968031968</v>
      </c>
      <c r="C16488" s="6">
        <v>0.980884286977042</v>
      </c>
    </row>
    <row r="16489" spans="1:3" s="7" customFormat="1" x14ac:dyDescent="0.2">
      <c r="A16489" s="6" t="str">
        <f>"MERTK"</f>
        <v>MERTK</v>
      </c>
      <c r="B16489" s="6">
        <v>0.968031968031968</v>
      </c>
      <c r="C16489" s="6">
        <v>0.980884286977042</v>
      </c>
    </row>
    <row r="16490" spans="1:3" s="7" customFormat="1" x14ac:dyDescent="0.2">
      <c r="A16490" s="6" t="str">
        <f>"MRPL10"</f>
        <v>MRPL10</v>
      </c>
      <c r="B16490" s="6">
        <v>0.968031968031968</v>
      </c>
      <c r="C16490" s="6">
        <v>0.980884286977042</v>
      </c>
    </row>
    <row r="16491" spans="1:3" s="7" customFormat="1" x14ac:dyDescent="0.2">
      <c r="A16491" s="6" t="str">
        <f>"IGHV1-69"</f>
        <v>IGHV1-69</v>
      </c>
      <c r="B16491" s="6">
        <v>0.96796796796796802</v>
      </c>
      <c r="C16491" s="6">
        <v>0.980884286977042</v>
      </c>
    </row>
    <row r="16492" spans="1:3" s="7" customFormat="1" x14ac:dyDescent="0.2">
      <c r="A16492" s="6" t="str">
        <f>"RPS6P20"</f>
        <v>RPS6P20</v>
      </c>
      <c r="B16492" s="6">
        <v>0.96787564766839296</v>
      </c>
      <c r="C16492" s="6">
        <v>0.980884286977042</v>
      </c>
    </row>
    <row r="16493" spans="1:3" s="7" customFormat="1" x14ac:dyDescent="0.2">
      <c r="A16493" s="6" t="str">
        <f>"SWI5"</f>
        <v>SWI5</v>
      </c>
      <c r="B16493" s="6">
        <v>0.968031968031968</v>
      </c>
      <c r="C16493" s="6">
        <v>0.980884286977042</v>
      </c>
    </row>
    <row r="16494" spans="1:3" s="7" customFormat="1" x14ac:dyDescent="0.2">
      <c r="A16494" s="6" t="str">
        <f>"C6orf163"</f>
        <v>C6orf163</v>
      </c>
      <c r="B16494" s="6">
        <v>0.968031968031968</v>
      </c>
      <c r="C16494" s="6">
        <v>0.980884286977042</v>
      </c>
    </row>
    <row r="16495" spans="1:3" s="7" customFormat="1" x14ac:dyDescent="0.2">
      <c r="A16495" s="6" t="str">
        <f>"LINC02846"</f>
        <v>LINC02846</v>
      </c>
      <c r="B16495" s="6">
        <v>0.968031968031968</v>
      </c>
      <c r="C16495" s="6">
        <v>0.980884286977042</v>
      </c>
    </row>
    <row r="16496" spans="1:3" s="7" customFormat="1" x14ac:dyDescent="0.2">
      <c r="A16496" s="6" t="str">
        <f>"MINK1"</f>
        <v>MINK1</v>
      </c>
      <c r="B16496" s="6">
        <v>0.968031968031968</v>
      </c>
      <c r="C16496" s="6">
        <v>0.980884286977042</v>
      </c>
    </row>
    <row r="16497" spans="1:3" s="7" customFormat="1" x14ac:dyDescent="0.2">
      <c r="A16497" s="6" t="str">
        <f>"CACNB2"</f>
        <v>CACNB2</v>
      </c>
      <c r="B16497" s="6">
        <v>0.96884422110552704</v>
      </c>
      <c r="C16497" s="6">
        <v>0.98164781229133002</v>
      </c>
    </row>
    <row r="16498" spans="1:3" s="7" customFormat="1" x14ac:dyDescent="0.2">
      <c r="A16498" s="6" t="str">
        <f>"AL357054.4"</f>
        <v>AL357054.4</v>
      </c>
      <c r="B16498" s="6">
        <v>0.96903096903096897</v>
      </c>
      <c r="C16498" s="6">
        <v>0.98171800317514901</v>
      </c>
    </row>
    <row r="16499" spans="1:3" s="7" customFormat="1" x14ac:dyDescent="0.2">
      <c r="A16499" s="6" t="str">
        <f>"SPRED1"</f>
        <v>SPRED1</v>
      </c>
      <c r="B16499" s="6">
        <v>0.96903096903096897</v>
      </c>
      <c r="C16499" s="6">
        <v>0.98171800317514901</v>
      </c>
    </row>
    <row r="16500" spans="1:3" s="7" customFormat="1" x14ac:dyDescent="0.2">
      <c r="A16500" s="6" t="str">
        <f>"ZNF514"</f>
        <v>ZNF514</v>
      </c>
      <c r="B16500" s="6">
        <v>0.97002997002997005</v>
      </c>
      <c r="C16500" s="6">
        <v>0.98225378159947396</v>
      </c>
    </row>
    <row r="16501" spans="1:3" s="7" customFormat="1" x14ac:dyDescent="0.2">
      <c r="A16501" s="6" t="str">
        <f>"UNC93B5"</f>
        <v>UNC93B5</v>
      </c>
      <c r="B16501" s="6">
        <v>0.97002997002997005</v>
      </c>
      <c r="C16501" s="6">
        <v>0.98225378159947396</v>
      </c>
    </row>
    <row r="16502" spans="1:3" s="7" customFormat="1" x14ac:dyDescent="0.2">
      <c r="A16502" s="6" t="str">
        <f>"AC068944.1"</f>
        <v>AC068944.1</v>
      </c>
      <c r="B16502" s="6">
        <v>0.96978851963746204</v>
      </c>
      <c r="C16502" s="6">
        <v>0.98225378159947396</v>
      </c>
    </row>
    <row r="16503" spans="1:3" s="7" customFormat="1" x14ac:dyDescent="0.2">
      <c r="A16503" s="6" t="str">
        <f>"UBQLN4"</f>
        <v>UBQLN4</v>
      </c>
      <c r="B16503" s="6">
        <v>0.97002997002997005</v>
      </c>
      <c r="C16503" s="6">
        <v>0.98225378159947396</v>
      </c>
    </row>
    <row r="16504" spans="1:3" s="7" customFormat="1" x14ac:dyDescent="0.2">
      <c r="A16504" s="6" t="str">
        <f>"AC025754.2"</f>
        <v>AC025754.2</v>
      </c>
      <c r="B16504" s="6">
        <v>0.97002997002997005</v>
      </c>
      <c r="C16504" s="6">
        <v>0.98225378159947396</v>
      </c>
    </row>
    <row r="16505" spans="1:3" s="7" customFormat="1" x14ac:dyDescent="0.2">
      <c r="A16505" s="6" t="str">
        <f>"FRAS1"</f>
        <v>FRAS1</v>
      </c>
      <c r="B16505" s="6">
        <v>0.97002997002997005</v>
      </c>
      <c r="C16505" s="6">
        <v>0.98225378159947396</v>
      </c>
    </row>
    <row r="16506" spans="1:3" s="7" customFormat="1" x14ac:dyDescent="0.2">
      <c r="A16506" s="6" t="str">
        <f>"AC139792.1"</f>
        <v>AC139792.1</v>
      </c>
      <c r="B16506" s="6">
        <v>0.96969696969696895</v>
      </c>
      <c r="C16506" s="6">
        <v>0.98225378159947396</v>
      </c>
    </row>
    <row r="16507" spans="1:3" s="7" customFormat="1" x14ac:dyDescent="0.2">
      <c r="A16507" s="6" t="str">
        <f>"DDX59"</f>
        <v>DDX59</v>
      </c>
      <c r="B16507" s="6">
        <v>0.97002997002997005</v>
      </c>
      <c r="C16507" s="6">
        <v>0.98225378159947396</v>
      </c>
    </row>
    <row r="16508" spans="1:3" s="7" customFormat="1" x14ac:dyDescent="0.2">
      <c r="A16508" s="6" t="str">
        <f>"PRRC2B"</f>
        <v>PRRC2B</v>
      </c>
      <c r="B16508" s="6">
        <v>0.97102897102897101</v>
      </c>
      <c r="C16508" s="6">
        <v>0.98278904092153396</v>
      </c>
    </row>
    <row r="16509" spans="1:3" s="7" customFormat="1" x14ac:dyDescent="0.2">
      <c r="A16509" s="6" t="str">
        <f>"AC026356.1"</f>
        <v>AC026356.1</v>
      </c>
      <c r="B16509" s="6">
        <v>0.97102897102897101</v>
      </c>
      <c r="C16509" s="6">
        <v>0.98278904092153396</v>
      </c>
    </row>
    <row r="16510" spans="1:3" s="7" customFormat="1" x14ac:dyDescent="0.2">
      <c r="A16510" s="6" t="str">
        <f>"RRS1"</f>
        <v>RRS1</v>
      </c>
      <c r="B16510" s="6">
        <v>0.97102897102897101</v>
      </c>
      <c r="C16510" s="6">
        <v>0.98278904092153396</v>
      </c>
    </row>
    <row r="16511" spans="1:3" s="7" customFormat="1" x14ac:dyDescent="0.2">
      <c r="A16511" s="6" t="str">
        <f>"KSR2"</f>
        <v>KSR2</v>
      </c>
      <c r="B16511" s="6">
        <v>0.97102897102897101</v>
      </c>
      <c r="C16511" s="6">
        <v>0.98278904092153396</v>
      </c>
    </row>
    <row r="16512" spans="1:3" s="7" customFormat="1" x14ac:dyDescent="0.2">
      <c r="A16512" s="6" t="str">
        <f>"AC024560.3"</f>
        <v>AC024560.3</v>
      </c>
      <c r="B16512" s="6">
        <v>0.97077509529860195</v>
      </c>
      <c r="C16512" s="6">
        <v>0.98278904092153396</v>
      </c>
    </row>
    <row r="16513" spans="1:3" s="7" customFormat="1" x14ac:dyDescent="0.2">
      <c r="A16513" s="6" t="str">
        <f>"LRSAM1"</f>
        <v>LRSAM1</v>
      </c>
      <c r="B16513" s="6">
        <v>0.97102897102897101</v>
      </c>
      <c r="C16513" s="6">
        <v>0.98278904092153396</v>
      </c>
    </row>
    <row r="16514" spans="1:3" s="7" customFormat="1" x14ac:dyDescent="0.2">
      <c r="A16514" s="6" t="str">
        <f>"PTDSS2"</f>
        <v>PTDSS2</v>
      </c>
      <c r="B16514" s="6">
        <v>0.97102897102897101</v>
      </c>
      <c r="C16514" s="6">
        <v>0.98278904092153396</v>
      </c>
    </row>
    <row r="16515" spans="1:3" s="7" customFormat="1" x14ac:dyDescent="0.2">
      <c r="A16515" s="6" t="str">
        <f>"FAM72C"</f>
        <v>FAM72C</v>
      </c>
      <c r="B16515" s="6">
        <v>0.97102897102897101</v>
      </c>
      <c r="C16515" s="6">
        <v>0.98278904092153396</v>
      </c>
    </row>
    <row r="16516" spans="1:3" s="7" customFormat="1" x14ac:dyDescent="0.2">
      <c r="A16516" s="6" t="str">
        <f>"SIRT1"</f>
        <v>SIRT1</v>
      </c>
      <c r="B16516" s="6">
        <v>0.97202797202797198</v>
      </c>
      <c r="C16516" s="6">
        <v>0.98350236239939004</v>
      </c>
    </row>
    <row r="16517" spans="1:3" s="7" customFormat="1" x14ac:dyDescent="0.2">
      <c r="A16517" s="6" t="str">
        <f>"PPP6R3"</f>
        <v>PPP6R3</v>
      </c>
      <c r="B16517" s="6">
        <v>0.97202797202797198</v>
      </c>
      <c r="C16517" s="6">
        <v>0.98350236239939004</v>
      </c>
    </row>
    <row r="16518" spans="1:3" s="7" customFormat="1" x14ac:dyDescent="0.2">
      <c r="A16518" s="6" t="str">
        <f>"FP236241.1"</f>
        <v>FP236241.1</v>
      </c>
      <c r="B16518" s="6">
        <v>0.97202797202797198</v>
      </c>
      <c r="C16518" s="6">
        <v>0.98350236239939004</v>
      </c>
    </row>
    <row r="16519" spans="1:3" s="7" customFormat="1" x14ac:dyDescent="0.2">
      <c r="A16519" s="6" t="str">
        <f>"STIM1"</f>
        <v>STIM1</v>
      </c>
      <c r="B16519" s="6">
        <v>0.97202797202797198</v>
      </c>
      <c r="C16519" s="6">
        <v>0.98350236239939004</v>
      </c>
    </row>
    <row r="16520" spans="1:3" s="7" customFormat="1" x14ac:dyDescent="0.2">
      <c r="A16520" s="6" t="str">
        <f>"MAN1B1-DT"</f>
        <v>MAN1B1-DT</v>
      </c>
      <c r="B16520" s="6">
        <v>0.97202797202797198</v>
      </c>
      <c r="C16520" s="6">
        <v>0.98350236239939004</v>
      </c>
    </row>
    <row r="16521" spans="1:3" s="7" customFormat="1" x14ac:dyDescent="0.2">
      <c r="A16521" s="6" t="str">
        <f>"NIPA1"</f>
        <v>NIPA1</v>
      </c>
      <c r="B16521" s="6">
        <v>0.97302697302697305</v>
      </c>
      <c r="C16521" s="6">
        <v>0.98391752841507796</v>
      </c>
    </row>
    <row r="16522" spans="1:3" s="7" customFormat="1" x14ac:dyDescent="0.2">
      <c r="A16522" s="6" t="str">
        <f>"RGPD4"</f>
        <v>RGPD4</v>
      </c>
      <c r="B16522" s="6">
        <v>0.97302697302697305</v>
      </c>
      <c r="C16522" s="6">
        <v>0.98391752841507796</v>
      </c>
    </row>
    <row r="16523" spans="1:3" s="7" customFormat="1" x14ac:dyDescent="0.2">
      <c r="A16523" s="6" t="str">
        <f>"RABEP2"</f>
        <v>RABEP2</v>
      </c>
      <c r="B16523" s="6">
        <v>0.97302697302697305</v>
      </c>
      <c r="C16523" s="6">
        <v>0.98391752841507796</v>
      </c>
    </row>
    <row r="16524" spans="1:3" s="7" customFormat="1" x14ac:dyDescent="0.2">
      <c r="A16524" s="6" t="str">
        <f>"TRRAP"</f>
        <v>TRRAP</v>
      </c>
      <c r="B16524" s="6">
        <v>0.97302697302697305</v>
      </c>
      <c r="C16524" s="6">
        <v>0.98391752841507796</v>
      </c>
    </row>
    <row r="16525" spans="1:3" s="7" customFormat="1" x14ac:dyDescent="0.2">
      <c r="A16525" s="6" t="str">
        <f>"EHD4"</f>
        <v>EHD4</v>
      </c>
      <c r="B16525" s="6">
        <v>0.97302697302697305</v>
      </c>
      <c r="C16525" s="6">
        <v>0.98391752841507796</v>
      </c>
    </row>
    <row r="16526" spans="1:3" s="7" customFormat="1" x14ac:dyDescent="0.2">
      <c r="A16526" s="6" t="str">
        <f>"DGUOK-AS1"</f>
        <v>DGUOK-AS1</v>
      </c>
      <c r="B16526" s="6">
        <v>0.97302697302697305</v>
      </c>
      <c r="C16526" s="6">
        <v>0.98391752841507796</v>
      </c>
    </row>
    <row r="16527" spans="1:3" s="7" customFormat="1" x14ac:dyDescent="0.2">
      <c r="A16527" s="6" t="str">
        <f>"CD38"</f>
        <v>CD38</v>
      </c>
      <c r="B16527" s="6">
        <v>0.97302697302697305</v>
      </c>
      <c r="C16527" s="6">
        <v>0.98391752841507796</v>
      </c>
    </row>
    <row r="16528" spans="1:3" s="7" customFormat="1" x14ac:dyDescent="0.2">
      <c r="A16528" s="6" t="str">
        <f>"LRRC75B"</f>
        <v>LRRC75B</v>
      </c>
      <c r="B16528" s="6">
        <v>0.97302697302697305</v>
      </c>
      <c r="C16528" s="6">
        <v>0.98391752841507796</v>
      </c>
    </row>
    <row r="16529" spans="1:3" s="7" customFormat="1" x14ac:dyDescent="0.2">
      <c r="A16529" s="6" t="str">
        <f>"FAM187A"</f>
        <v>FAM187A</v>
      </c>
      <c r="B16529" s="6">
        <v>0.97302697302697305</v>
      </c>
      <c r="C16529" s="6">
        <v>0.98391752841507796</v>
      </c>
    </row>
    <row r="16530" spans="1:3" s="7" customFormat="1" x14ac:dyDescent="0.2">
      <c r="A16530" s="6" t="str">
        <f>"DIS3L2"</f>
        <v>DIS3L2</v>
      </c>
      <c r="B16530" s="6">
        <v>0.97302697302697305</v>
      </c>
      <c r="C16530" s="6">
        <v>0.98391752841507796</v>
      </c>
    </row>
    <row r="16531" spans="1:3" s="7" customFormat="1" x14ac:dyDescent="0.2">
      <c r="A16531" s="6" t="str">
        <f>"SLC39A9"</f>
        <v>SLC39A9</v>
      </c>
      <c r="B16531" s="6">
        <v>0.97402597402597402</v>
      </c>
      <c r="C16531" s="6">
        <v>0.98445123842717097</v>
      </c>
    </row>
    <row r="16532" spans="1:3" s="7" customFormat="1" x14ac:dyDescent="0.2">
      <c r="A16532" s="6" t="str">
        <f>"TBCC"</f>
        <v>TBCC</v>
      </c>
      <c r="B16532" s="6">
        <v>0.97402597402597402</v>
      </c>
      <c r="C16532" s="6">
        <v>0.98445123842717097</v>
      </c>
    </row>
    <row r="16533" spans="1:3" s="7" customFormat="1" x14ac:dyDescent="0.2">
      <c r="A16533" s="6" t="str">
        <f>"AC124319.3"</f>
        <v>AC124319.3</v>
      </c>
      <c r="B16533" s="6">
        <v>0.97399999999999998</v>
      </c>
      <c r="C16533" s="6">
        <v>0.98445123842717097</v>
      </c>
    </row>
    <row r="16534" spans="1:3" s="7" customFormat="1" x14ac:dyDescent="0.2">
      <c r="A16534" s="6" t="str">
        <f>"HP1BP3"</f>
        <v>HP1BP3</v>
      </c>
      <c r="B16534" s="6">
        <v>0.97402597402597402</v>
      </c>
      <c r="C16534" s="6">
        <v>0.98445123842717097</v>
      </c>
    </row>
    <row r="16535" spans="1:3" s="7" customFormat="1" x14ac:dyDescent="0.2">
      <c r="A16535" s="6" t="str">
        <f>"DTYMK"</f>
        <v>DTYMK</v>
      </c>
      <c r="B16535" s="6">
        <v>0.97402597402597402</v>
      </c>
      <c r="C16535" s="6">
        <v>0.98445123842717097</v>
      </c>
    </row>
    <row r="16536" spans="1:3" s="7" customFormat="1" x14ac:dyDescent="0.2">
      <c r="A16536" s="6" t="str">
        <f>"AC105001.1"</f>
        <v>AC105001.1</v>
      </c>
      <c r="B16536" s="6">
        <v>0.97402597402597402</v>
      </c>
      <c r="C16536" s="6">
        <v>0.98445123842717097</v>
      </c>
    </row>
    <row r="16537" spans="1:3" s="7" customFormat="1" x14ac:dyDescent="0.2">
      <c r="A16537" s="6" t="str">
        <f>"AP001425.1"</f>
        <v>AP001425.1</v>
      </c>
      <c r="B16537" s="6">
        <v>0.97402597402597402</v>
      </c>
      <c r="C16537" s="6">
        <v>0.98445123842717097</v>
      </c>
    </row>
    <row r="16538" spans="1:3" s="7" customFormat="1" x14ac:dyDescent="0.2">
      <c r="A16538" s="6" t="str">
        <f>"AL645922.1"</f>
        <v>AL645922.1</v>
      </c>
      <c r="B16538" s="6">
        <v>0.97402597402597402</v>
      </c>
      <c r="C16538" s="6">
        <v>0.98445123842717097</v>
      </c>
    </row>
    <row r="16539" spans="1:3" s="7" customFormat="1" x14ac:dyDescent="0.2">
      <c r="A16539" s="6" t="str">
        <f>"UBE2Z"</f>
        <v>UBE2Z</v>
      </c>
      <c r="B16539" s="6">
        <v>0.97502497502497498</v>
      </c>
      <c r="C16539" s="6">
        <v>0.98498443230990795</v>
      </c>
    </row>
    <row r="16540" spans="1:3" s="7" customFormat="1" x14ac:dyDescent="0.2">
      <c r="A16540" s="6" t="str">
        <f>"CENPBD1"</f>
        <v>CENPBD1</v>
      </c>
      <c r="B16540" s="6">
        <v>0.97502497502497498</v>
      </c>
      <c r="C16540" s="6">
        <v>0.98498443230990795</v>
      </c>
    </row>
    <row r="16541" spans="1:3" s="7" customFormat="1" x14ac:dyDescent="0.2">
      <c r="A16541" s="6" t="str">
        <f>"ACAP2"</f>
        <v>ACAP2</v>
      </c>
      <c r="B16541" s="6">
        <v>0.97502497502497498</v>
      </c>
      <c r="C16541" s="6">
        <v>0.98498443230990795</v>
      </c>
    </row>
    <row r="16542" spans="1:3" s="7" customFormat="1" x14ac:dyDescent="0.2">
      <c r="A16542" s="6" t="str">
        <f>"FOXP1"</f>
        <v>FOXP1</v>
      </c>
      <c r="B16542" s="6">
        <v>0.97502497502497498</v>
      </c>
      <c r="C16542" s="6">
        <v>0.98498443230990795</v>
      </c>
    </row>
    <row r="16543" spans="1:3" s="7" customFormat="1" x14ac:dyDescent="0.2">
      <c r="A16543" s="6" t="str">
        <f>"NF1"</f>
        <v>NF1</v>
      </c>
      <c r="B16543" s="6">
        <v>0.97502497502497498</v>
      </c>
      <c r="C16543" s="6">
        <v>0.98498443230990795</v>
      </c>
    </row>
    <row r="16544" spans="1:3" s="7" customFormat="1" x14ac:dyDescent="0.2">
      <c r="A16544" s="6" t="str">
        <f>"MEGF8"</f>
        <v>MEGF8</v>
      </c>
      <c r="B16544" s="6">
        <v>0.97502497502497498</v>
      </c>
      <c r="C16544" s="6">
        <v>0.98498443230990795</v>
      </c>
    </row>
    <row r="16545" spans="1:3" s="7" customFormat="1" x14ac:dyDescent="0.2">
      <c r="A16545" s="6" t="str">
        <f>"OR10G3"</f>
        <v>OR10G3</v>
      </c>
      <c r="B16545" s="6">
        <v>0.97484909456740398</v>
      </c>
      <c r="C16545" s="6">
        <v>0.98498443230990795</v>
      </c>
    </row>
    <row r="16546" spans="1:3" s="7" customFormat="1" x14ac:dyDescent="0.2">
      <c r="A16546" s="6" t="str">
        <f>"GORASP1"</f>
        <v>GORASP1</v>
      </c>
      <c r="B16546" s="6">
        <v>0.97502497502497498</v>
      </c>
      <c r="C16546" s="6">
        <v>0.98498443230990795</v>
      </c>
    </row>
    <row r="16547" spans="1:3" s="7" customFormat="1" x14ac:dyDescent="0.2">
      <c r="A16547" s="6" t="str">
        <f>"AC092338.2"</f>
        <v>AC092338.2</v>
      </c>
      <c r="B16547" s="6">
        <v>0.97538461538461496</v>
      </c>
      <c r="C16547" s="6">
        <v>0.98528819421844904</v>
      </c>
    </row>
    <row r="16548" spans="1:3" s="7" customFormat="1" x14ac:dyDescent="0.2">
      <c r="A16548" s="6" t="str">
        <f>"RPS20"</f>
        <v>RPS20</v>
      </c>
      <c r="B16548" s="6">
        <v>0.97602397602397595</v>
      </c>
      <c r="C16548" s="6">
        <v>0.98569575439666002</v>
      </c>
    </row>
    <row r="16549" spans="1:3" s="7" customFormat="1" x14ac:dyDescent="0.2">
      <c r="A16549" s="6" t="str">
        <f>"AC034139.1"</f>
        <v>AC034139.1</v>
      </c>
      <c r="B16549" s="6">
        <v>0.97602397602397595</v>
      </c>
      <c r="C16549" s="6">
        <v>0.98569575439666002</v>
      </c>
    </row>
    <row r="16550" spans="1:3" s="7" customFormat="1" x14ac:dyDescent="0.2">
      <c r="A16550" s="6" t="str">
        <f>"LINC02591"</f>
        <v>LINC02591</v>
      </c>
      <c r="B16550" s="6">
        <v>0.97602397602397595</v>
      </c>
      <c r="C16550" s="6">
        <v>0.98569575439666002</v>
      </c>
    </row>
    <row r="16551" spans="1:3" s="7" customFormat="1" x14ac:dyDescent="0.2">
      <c r="A16551" s="6" t="str">
        <f>"SPIN2A"</f>
        <v>SPIN2A</v>
      </c>
      <c r="B16551" s="6">
        <v>0.97602397602397595</v>
      </c>
      <c r="C16551" s="6">
        <v>0.98569575439666002</v>
      </c>
    </row>
    <row r="16552" spans="1:3" s="7" customFormat="1" x14ac:dyDescent="0.2">
      <c r="A16552" s="6" t="str">
        <f>"AP006545.1"</f>
        <v>AP006545.1</v>
      </c>
      <c r="B16552" s="6">
        <v>0.97610921501706405</v>
      </c>
      <c r="C16552" s="6">
        <v>0.98572227779561405</v>
      </c>
    </row>
    <row r="16553" spans="1:3" s="7" customFormat="1" x14ac:dyDescent="0.2">
      <c r="A16553" s="6" t="str">
        <f>"RIC8B"</f>
        <v>RIC8B</v>
      </c>
      <c r="B16553" s="6">
        <v>0.97702297702297702</v>
      </c>
      <c r="C16553" s="6">
        <v>0.98610881871751399</v>
      </c>
    </row>
    <row r="16554" spans="1:3" s="7" customFormat="1" x14ac:dyDescent="0.2">
      <c r="A16554" s="6" t="str">
        <f>"ZNF318"</f>
        <v>ZNF318</v>
      </c>
      <c r="B16554" s="6">
        <v>0.97702297702297702</v>
      </c>
      <c r="C16554" s="6">
        <v>0.98610881871751399</v>
      </c>
    </row>
    <row r="16555" spans="1:3" s="7" customFormat="1" x14ac:dyDescent="0.2">
      <c r="A16555" s="6" t="str">
        <f>"AC073896.2"</f>
        <v>AC073896.2</v>
      </c>
      <c r="B16555" s="6">
        <v>0.97702297702297702</v>
      </c>
      <c r="C16555" s="6">
        <v>0.98610881871751399</v>
      </c>
    </row>
    <row r="16556" spans="1:3" s="7" customFormat="1" x14ac:dyDescent="0.2">
      <c r="A16556" s="6" t="str">
        <f>"AC018892.3"</f>
        <v>AC018892.3</v>
      </c>
      <c r="B16556" s="6">
        <v>0.97688442211055204</v>
      </c>
      <c r="C16556" s="6">
        <v>0.98610881871751399</v>
      </c>
    </row>
    <row r="16557" spans="1:3" s="7" customFormat="1" x14ac:dyDescent="0.2">
      <c r="A16557" s="6" t="str">
        <f>"LINC00680"</f>
        <v>LINC00680</v>
      </c>
      <c r="B16557" s="6">
        <v>0.97702297702297702</v>
      </c>
      <c r="C16557" s="6">
        <v>0.98610881871751399</v>
      </c>
    </row>
    <row r="16558" spans="1:3" s="7" customFormat="1" x14ac:dyDescent="0.2">
      <c r="A16558" s="6" t="str">
        <f>"TBCEL"</f>
        <v>TBCEL</v>
      </c>
      <c r="B16558" s="6">
        <v>0.97702297702297702</v>
      </c>
      <c r="C16558" s="6">
        <v>0.98610881871751399</v>
      </c>
    </row>
    <row r="16559" spans="1:3" s="7" customFormat="1" x14ac:dyDescent="0.2">
      <c r="A16559" s="6" t="str">
        <f>"AC069209.2"</f>
        <v>AC069209.2</v>
      </c>
      <c r="B16559" s="6">
        <v>0.97702297702297702</v>
      </c>
      <c r="C16559" s="6">
        <v>0.98610881871751399</v>
      </c>
    </row>
    <row r="16560" spans="1:3" s="7" customFormat="1" x14ac:dyDescent="0.2">
      <c r="A16560" s="6" t="str">
        <f>"AC116351.1"</f>
        <v>AC116351.1</v>
      </c>
      <c r="B16560" s="6">
        <v>0.97702297702297702</v>
      </c>
      <c r="C16560" s="6">
        <v>0.98610881871751399</v>
      </c>
    </row>
    <row r="16561" spans="1:3" s="7" customFormat="1" x14ac:dyDescent="0.2">
      <c r="A16561" s="6" t="str">
        <f>"LINC02833"</f>
        <v>LINC02833</v>
      </c>
      <c r="B16561" s="6">
        <v>0.97702297702297702</v>
      </c>
      <c r="C16561" s="6">
        <v>0.98610881871751399</v>
      </c>
    </row>
    <row r="16562" spans="1:3" s="7" customFormat="1" x14ac:dyDescent="0.2">
      <c r="A16562" s="6" t="str">
        <f>"KDM5D"</f>
        <v>KDM5D</v>
      </c>
      <c r="B16562" s="6">
        <v>0.97775175644028101</v>
      </c>
      <c r="C16562" s="6">
        <v>0.98678478697801197</v>
      </c>
    </row>
    <row r="16563" spans="1:3" s="7" customFormat="1" x14ac:dyDescent="0.2">
      <c r="A16563" s="6" t="str">
        <f>"ZNF969P"</f>
        <v>ZNF969P</v>
      </c>
      <c r="B16563" s="6">
        <v>0.97784491440080501</v>
      </c>
      <c r="C16563" s="6">
        <v>0.986819218650831</v>
      </c>
    </row>
    <row r="16564" spans="1:3" s="7" customFormat="1" x14ac:dyDescent="0.2">
      <c r="A16564" s="6" t="str">
        <f>"AC073896.4"</f>
        <v>AC073896.4</v>
      </c>
      <c r="B16564" s="6">
        <v>0.97802197802197799</v>
      </c>
      <c r="C16564" s="6">
        <v>0.98693831676986798</v>
      </c>
    </row>
    <row r="16565" spans="1:3" s="7" customFormat="1" x14ac:dyDescent="0.2">
      <c r="A16565" s="6" t="str">
        <f>"EFCAB6-AS1"</f>
        <v>EFCAB6-AS1</v>
      </c>
      <c r="B16565" s="6">
        <v>0.97876643073811898</v>
      </c>
      <c r="C16565" s="6">
        <v>0.98761354453894201</v>
      </c>
    </row>
    <row r="16566" spans="1:3" s="7" customFormat="1" x14ac:dyDescent="0.2">
      <c r="A16566" s="6" t="str">
        <f>"TCP10L2"</f>
        <v>TCP10L2</v>
      </c>
      <c r="B16566" s="6">
        <v>0.97880928355196695</v>
      </c>
      <c r="C16566" s="6">
        <v>0.98761354453894201</v>
      </c>
    </row>
    <row r="16567" spans="1:3" s="7" customFormat="1" x14ac:dyDescent="0.2">
      <c r="A16567" s="6" t="str">
        <f>"HGSNAT"</f>
        <v>HGSNAT</v>
      </c>
      <c r="B16567" s="6">
        <v>0.97902097902097895</v>
      </c>
      <c r="C16567" s="6">
        <v>0.98770789179432805</v>
      </c>
    </row>
    <row r="16568" spans="1:3" s="7" customFormat="1" x14ac:dyDescent="0.2">
      <c r="A16568" s="6" t="str">
        <f>"HIVEP3"</f>
        <v>HIVEP3</v>
      </c>
      <c r="B16568" s="6">
        <v>0.97902097902097895</v>
      </c>
      <c r="C16568" s="6">
        <v>0.98770789179432805</v>
      </c>
    </row>
    <row r="16569" spans="1:3" s="7" customFormat="1" x14ac:dyDescent="0.2">
      <c r="A16569" s="6" t="str">
        <f>"GTPBP8"</f>
        <v>GTPBP8</v>
      </c>
      <c r="B16569" s="6">
        <v>0.98001998001998003</v>
      </c>
      <c r="C16569" s="6">
        <v>0.98829817461409097</v>
      </c>
    </row>
    <row r="16570" spans="1:3" s="7" customFormat="1" x14ac:dyDescent="0.2">
      <c r="A16570" s="6" t="str">
        <f>"AC025580.2"</f>
        <v>AC025580.2</v>
      </c>
      <c r="B16570" s="6">
        <v>0.98001998001998003</v>
      </c>
      <c r="C16570" s="6">
        <v>0.98829817461409097</v>
      </c>
    </row>
    <row r="16571" spans="1:3" s="7" customFormat="1" x14ac:dyDescent="0.2">
      <c r="A16571" s="6" t="str">
        <f>"USH1G"</f>
        <v>USH1G</v>
      </c>
      <c r="B16571" s="6">
        <v>0.98001998001998003</v>
      </c>
      <c r="C16571" s="6">
        <v>0.98829817461409097</v>
      </c>
    </row>
    <row r="16572" spans="1:3" s="7" customFormat="1" x14ac:dyDescent="0.2">
      <c r="A16572" s="6" t="str">
        <f>"AC073349.5"</f>
        <v>AC073349.5</v>
      </c>
      <c r="B16572" s="6">
        <v>0.98001998001998003</v>
      </c>
      <c r="C16572" s="6">
        <v>0.98829817461409097</v>
      </c>
    </row>
    <row r="16573" spans="1:3" s="7" customFormat="1" x14ac:dyDescent="0.2">
      <c r="A16573" s="6" t="str">
        <f>"KDM4A-AS1"</f>
        <v>KDM4A-AS1</v>
      </c>
      <c r="B16573" s="6">
        <v>0.98001998001998003</v>
      </c>
      <c r="C16573" s="6">
        <v>0.98829817461409097</v>
      </c>
    </row>
    <row r="16574" spans="1:3" s="7" customFormat="1" x14ac:dyDescent="0.2">
      <c r="A16574" s="6" t="str">
        <f>"LRRC28"</f>
        <v>LRRC28</v>
      </c>
      <c r="B16574" s="6">
        <v>0.98001998001998003</v>
      </c>
      <c r="C16574" s="6">
        <v>0.98829817461409097</v>
      </c>
    </row>
    <row r="16575" spans="1:3" s="7" customFormat="1" x14ac:dyDescent="0.2">
      <c r="A16575" s="6" t="str">
        <f>"MYCN"</f>
        <v>MYCN</v>
      </c>
      <c r="B16575" s="6">
        <v>0.98001998001998003</v>
      </c>
      <c r="C16575" s="6">
        <v>0.98829817461409097</v>
      </c>
    </row>
    <row r="16576" spans="1:3" s="7" customFormat="1" x14ac:dyDescent="0.2">
      <c r="A16576" s="6" t="str">
        <f>"CERNA1"</f>
        <v>CERNA1</v>
      </c>
      <c r="B16576" s="6">
        <v>0.981018981018981</v>
      </c>
      <c r="C16576" s="6">
        <v>0.98876869376778898</v>
      </c>
    </row>
    <row r="16577" spans="1:3" s="7" customFormat="1" x14ac:dyDescent="0.2">
      <c r="A16577" s="6" t="str">
        <f>"TECTA"</f>
        <v>TECTA</v>
      </c>
      <c r="B16577" s="6">
        <v>0.981018981018981</v>
      </c>
      <c r="C16577" s="6">
        <v>0.98876869376778898</v>
      </c>
    </row>
    <row r="16578" spans="1:3" s="7" customFormat="1" x14ac:dyDescent="0.2">
      <c r="A16578" s="6" t="str">
        <f>"TMOD4"</f>
        <v>TMOD4</v>
      </c>
      <c r="B16578" s="6">
        <v>0.981018981018981</v>
      </c>
      <c r="C16578" s="6">
        <v>0.98876869376778898</v>
      </c>
    </row>
    <row r="16579" spans="1:3" s="7" customFormat="1" x14ac:dyDescent="0.2">
      <c r="A16579" s="6" t="str">
        <f>"TBCE"</f>
        <v>TBCE</v>
      </c>
      <c r="B16579" s="6">
        <v>0.981018981018981</v>
      </c>
      <c r="C16579" s="6">
        <v>0.98876869376778898</v>
      </c>
    </row>
    <row r="16580" spans="1:3" s="7" customFormat="1" x14ac:dyDescent="0.2">
      <c r="A16580" s="6" t="str">
        <f>"AP001273.1"</f>
        <v>AP001273.1</v>
      </c>
      <c r="B16580" s="6">
        <v>0.98096192384769498</v>
      </c>
      <c r="C16580" s="6">
        <v>0.98876869376778898</v>
      </c>
    </row>
    <row r="16581" spans="1:3" s="7" customFormat="1" x14ac:dyDescent="0.2">
      <c r="A16581" s="6" t="str">
        <f>"AC097369.4"</f>
        <v>AC097369.4</v>
      </c>
      <c r="B16581" s="6">
        <v>0.981018981018981</v>
      </c>
      <c r="C16581" s="6">
        <v>0.98876869376778898</v>
      </c>
    </row>
    <row r="16582" spans="1:3" s="7" customFormat="1" x14ac:dyDescent="0.2">
      <c r="A16582" s="6" t="str">
        <f>"TLL2"</f>
        <v>TLL2</v>
      </c>
      <c r="B16582" s="6">
        <v>0.981018981018981</v>
      </c>
      <c r="C16582" s="6">
        <v>0.98876869376778898</v>
      </c>
    </row>
    <row r="16583" spans="1:3" s="7" customFormat="1" x14ac:dyDescent="0.2">
      <c r="A16583" s="6" t="str">
        <f>"HSD17B7P2"</f>
        <v>HSD17B7P2</v>
      </c>
      <c r="B16583" s="6">
        <v>0.981018981018981</v>
      </c>
      <c r="C16583" s="6">
        <v>0.98876869376778898</v>
      </c>
    </row>
    <row r="16584" spans="1:3" s="7" customFormat="1" x14ac:dyDescent="0.2">
      <c r="A16584" s="6" t="str">
        <f>"AC015961.2"</f>
        <v>AC015961.2</v>
      </c>
      <c r="B16584" s="6">
        <v>0.98088531187122696</v>
      </c>
      <c r="C16584" s="6">
        <v>0.98876869376778898</v>
      </c>
    </row>
    <row r="16585" spans="1:3" s="7" customFormat="1" x14ac:dyDescent="0.2">
      <c r="A16585" s="6" t="str">
        <f>"STAG3L3"</f>
        <v>STAG3L3</v>
      </c>
      <c r="B16585" s="6">
        <v>0.98201798201798196</v>
      </c>
      <c r="C16585" s="6">
        <v>0.98941759909871296</v>
      </c>
    </row>
    <row r="16586" spans="1:3" s="7" customFormat="1" x14ac:dyDescent="0.2">
      <c r="A16586" s="6" t="str">
        <f>"STARD4-AS1"</f>
        <v>STARD4-AS1</v>
      </c>
      <c r="B16586" s="6">
        <v>0.98201798201798196</v>
      </c>
      <c r="C16586" s="6">
        <v>0.98941759909871296</v>
      </c>
    </row>
    <row r="16587" spans="1:3" s="7" customFormat="1" x14ac:dyDescent="0.2">
      <c r="A16587" s="6" t="str">
        <f>"LRRTM2"</f>
        <v>LRRTM2</v>
      </c>
      <c r="B16587" s="6">
        <v>0.98201798201798196</v>
      </c>
      <c r="C16587" s="6">
        <v>0.98941759909871296</v>
      </c>
    </row>
    <row r="16588" spans="1:3" s="7" customFormat="1" x14ac:dyDescent="0.2">
      <c r="A16588" s="6" t="str">
        <f>"GOSR1"</f>
        <v>GOSR1</v>
      </c>
      <c r="B16588" s="6">
        <v>0.98201798201798196</v>
      </c>
      <c r="C16588" s="6">
        <v>0.98941759909871296</v>
      </c>
    </row>
    <row r="16589" spans="1:3" s="7" customFormat="1" x14ac:dyDescent="0.2">
      <c r="A16589" s="6" t="str">
        <f>"ADAMTSL1"</f>
        <v>ADAMTSL1</v>
      </c>
      <c r="B16589" s="6">
        <v>0.98201798201798196</v>
      </c>
      <c r="C16589" s="6">
        <v>0.98941759909871296</v>
      </c>
    </row>
    <row r="16590" spans="1:3" s="7" customFormat="1" x14ac:dyDescent="0.2">
      <c r="A16590" s="6" t="str">
        <f>"AC005838.2"</f>
        <v>AC005838.2</v>
      </c>
      <c r="B16590" s="6">
        <v>0.98201798201798196</v>
      </c>
      <c r="C16590" s="6">
        <v>0.98941759909871296</v>
      </c>
    </row>
    <row r="16591" spans="1:3" s="7" customFormat="1" x14ac:dyDescent="0.2">
      <c r="A16591" s="6" t="str">
        <f>"AC007666.2"</f>
        <v>AC007666.2</v>
      </c>
      <c r="B16591" s="6">
        <v>0.98266522210184104</v>
      </c>
      <c r="C16591" s="6">
        <v>0.99001003750513406</v>
      </c>
    </row>
    <row r="16592" spans="1:3" s="7" customFormat="1" x14ac:dyDescent="0.2">
      <c r="A16592" s="6" t="str">
        <f>"ROCK2"</f>
        <v>ROCK2</v>
      </c>
      <c r="B16592" s="6">
        <v>0.98301698301698304</v>
      </c>
      <c r="C16592" s="6">
        <v>0.99012569929768901</v>
      </c>
    </row>
    <row r="16593" spans="1:3" s="7" customFormat="1" x14ac:dyDescent="0.2">
      <c r="A16593" s="6" t="str">
        <f>"KNCN"</f>
        <v>KNCN</v>
      </c>
      <c r="B16593" s="6">
        <v>0.98301698301698304</v>
      </c>
      <c r="C16593" s="6">
        <v>0.99012569929768901</v>
      </c>
    </row>
    <row r="16594" spans="1:3" s="7" customFormat="1" x14ac:dyDescent="0.2">
      <c r="A16594" s="6" t="str">
        <f>"AL645941.2"</f>
        <v>AL645941.2</v>
      </c>
      <c r="B16594" s="6">
        <v>0.98301698301698304</v>
      </c>
      <c r="C16594" s="6">
        <v>0.99012569929768901</v>
      </c>
    </row>
    <row r="16595" spans="1:3" s="7" customFormat="1" x14ac:dyDescent="0.2">
      <c r="A16595" s="6" t="str">
        <f>"KRT86"</f>
        <v>KRT86</v>
      </c>
      <c r="B16595" s="6">
        <v>0.98301698301698304</v>
      </c>
      <c r="C16595" s="6">
        <v>0.99012569929768901</v>
      </c>
    </row>
    <row r="16596" spans="1:3" s="7" customFormat="1" x14ac:dyDescent="0.2">
      <c r="A16596" s="6" t="str">
        <f>"FAM120C"</f>
        <v>FAM120C</v>
      </c>
      <c r="B16596" s="6">
        <v>0.984015984015984</v>
      </c>
      <c r="C16596" s="6">
        <v>0.99083337290458195</v>
      </c>
    </row>
    <row r="16597" spans="1:3" s="7" customFormat="1" x14ac:dyDescent="0.2">
      <c r="A16597" s="6" t="str">
        <f>"AP005329.2"</f>
        <v>AP005329.2</v>
      </c>
      <c r="B16597" s="6">
        <v>0.984015984015984</v>
      </c>
      <c r="C16597" s="6">
        <v>0.99083337290458195</v>
      </c>
    </row>
    <row r="16598" spans="1:3" s="7" customFormat="1" x14ac:dyDescent="0.2">
      <c r="A16598" s="6" t="str">
        <f>"BICRAL"</f>
        <v>BICRAL</v>
      </c>
      <c r="B16598" s="6">
        <v>0.984015984015984</v>
      </c>
      <c r="C16598" s="6">
        <v>0.99083337290458195</v>
      </c>
    </row>
    <row r="16599" spans="1:3" s="7" customFormat="1" x14ac:dyDescent="0.2">
      <c r="A16599" s="6" t="str">
        <f>"SLC37A4"</f>
        <v>SLC37A4</v>
      </c>
      <c r="B16599" s="6">
        <v>0.984015984015984</v>
      </c>
      <c r="C16599" s="6">
        <v>0.99083337290458195</v>
      </c>
    </row>
    <row r="16600" spans="1:3" s="7" customFormat="1" x14ac:dyDescent="0.2">
      <c r="A16600" s="6" t="str">
        <f>"TMEM246-AS1"</f>
        <v>TMEM246-AS1</v>
      </c>
      <c r="B16600" s="6">
        <v>0.98398398398398401</v>
      </c>
      <c r="C16600" s="6">
        <v>0.99083337290458195</v>
      </c>
    </row>
    <row r="16601" spans="1:3" s="7" customFormat="1" x14ac:dyDescent="0.2">
      <c r="A16601" s="6" t="str">
        <f>"NKAIN1"</f>
        <v>NKAIN1</v>
      </c>
      <c r="B16601" s="6">
        <v>0.98499999999999999</v>
      </c>
      <c r="C16601" s="6">
        <v>0.99154062030477297</v>
      </c>
    </row>
    <row r="16602" spans="1:3" s="7" customFormat="1" x14ac:dyDescent="0.2">
      <c r="A16602" s="6" t="str">
        <f>"CCDC184"</f>
        <v>CCDC184</v>
      </c>
      <c r="B16602" s="6">
        <v>0.98499999999999999</v>
      </c>
      <c r="C16602" s="6">
        <v>0.99154062030477297</v>
      </c>
    </row>
    <row r="16603" spans="1:3" s="7" customFormat="1" x14ac:dyDescent="0.2">
      <c r="A16603" s="6" t="str">
        <f>"PRDM4"</f>
        <v>PRDM4</v>
      </c>
      <c r="B16603" s="6">
        <v>0.98501498501498497</v>
      </c>
      <c r="C16603" s="6">
        <v>0.99154062030477297</v>
      </c>
    </row>
    <row r="16604" spans="1:3" s="7" customFormat="1" x14ac:dyDescent="0.2">
      <c r="A16604" s="6" t="str">
        <f>"COL6A4P1"</f>
        <v>COL6A4P1</v>
      </c>
      <c r="B16604" s="6">
        <v>0.98501498501498497</v>
      </c>
      <c r="C16604" s="6">
        <v>0.99154062030477297</v>
      </c>
    </row>
    <row r="16605" spans="1:3" s="7" customFormat="1" x14ac:dyDescent="0.2">
      <c r="A16605" s="6" t="str">
        <f>"AC112229.4"</f>
        <v>AC112229.4</v>
      </c>
      <c r="B16605" s="6">
        <v>0.98501498501498497</v>
      </c>
      <c r="C16605" s="6">
        <v>0.99154062030477297</v>
      </c>
    </row>
    <row r="16606" spans="1:3" s="7" customFormat="1" x14ac:dyDescent="0.2">
      <c r="A16606" s="6" t="str">
        <f>"TXNL1"</f>
        <v>TXNL1</v>
      </c>
      <c r="B16606" s="6">
        <v>0.98601398601398604</v>
      </c>
      <c r="C16606" s="6">
        <v>0.99206824959293005</v>
      </c>
    </row>
    <row r="16607" spans="1:3" s="7" customFormat="1" x14ac:dyDescent="0.2">
      <c r="A16607" s="6" t="str">
        <f>"YLPM1"</f>
        <v>YLPM1</v>
      </c>
      <c r="B16607" s="6">
        <v>0.98601398601398604</v>
      </c>
      <c r="C16607" s="6">
        <v>0.99206824959293005</v>
      </c>
    </row>
    <row r="16608" spans="1:3" s="7" customFormat="1" x14ac:dyDescent="0.2">
      <c r="A16608" s="6" t="str">
        <f>"SMIM10L1"</f>
        <v>SMIM10L1</v>
      </c>
      <c r="B16608" s="6">
        <v>0.98601398601398604</v>
      </c>
      <c r="C16608" s="6">
        <v>0.99206824959293005</v>
      </c>
    </row>
    <row r="16609" spans="1:3" s="7" customFormat="1" x14ac:dyDescent="0.2">
      <c r="A16609" s="6" t="str">
        <f>"C11orf68"</f>
        <v>C11orf68</v>
      </c>
      <c r="B16609" s="6">
        <v>0.98601398601398604</v>
      </c>
      <c r="C16609" s="6">
        <v>0.99206824959293005</v>
      </c>
    </row>
    <row r="16610" spans="1:3" s="7" customFormat="1" x14ac:dyDescent="0.2">
      <c r="A16610" s="6" t="str">
        <f>"SYNRG"</f>
        <v>SYNRG</v>
      </c>
      <c r="B16610" s="6">
        <v>0.98601398601398604</v>
      </c>
      <c r="C16610" s="6">
        <v>0.99206824959293005</v>
      </c>
    </row>
    <row r="16611" spans="1:3" s="7" customFormat="1" x14ac:dyDescent="0.2">
      <c r="A16611" s="6" t="str">
        <f>"NTAN1"</f>
        <v>NTAN1</v>
      </c>
      <c r="B16611" s="6">
        <v>0.98601398601398604</v>
      </c>
      <c r="C16611" s="6">
        <v>0.99206824959293005</v>
      </c>
    </row>
    <row r="16612" spans="1:3" s="7" customFormat="1" x14ac:dyDescent="0.2">
      <c r="A16612" s="6" t="str">
        <f>"AFF3"</f>
        <v>AFF3</v>
      </c>
      <c r="B16612" s="6">
        <v>0.98601398601398604</v>
      </c>
      <c r="C16612" s="6">
        <v>0.99206824959293005</v>
      </c>
    </row>
    <row r="16613" spans="1:3" s="7" customFormat="1" x14ac:dyDescent="0.2">
      <c r="A16613" s="6" t="str">
        <f>"AC097376.3"</f>
        <v>AC097376.3</v>
      </c>
      <c r="B16613" s="6">
        <v>0.98601398601398604</v>
      </c>
      <c r="C16613" s="6">
        <v>0.99206824959293005</v>
      </c>
    </row>
    <row r="16614" spans="1:3" s="7" customFormat="1" x14ac:dyDescent="0.2">
      <c r="A16614" s="6" t="str">
        <f>"ABCA11P"</f>
        <v>ABCA11P</v>
      </c>
      <c r="B16614" s="6">
        <v>0.98701298701298701</v>
      </c>
      <c r="C16614" s="6">
        <v>0.99259537093472106</v>
      </c>
    </row>
    <row r="16615" spans="1:3" s="7" customFormat="1" x14ac:dyDescent="0.2">
      <c r="A16615" s="6" t="str">
        <f>"PIGBOS1"</f>
        <v>PIGBOS1</v>
      </c>
      <c r="B16615" s="6">
        <v>0.98701298701298701</v>
      </c>
      <c r="C16615" s="6">
        <v>0.99259537093472106</v>
      </c>
    </row>
    <row r="16616" spans="1:3" s="7" customFormat="1" x14ac:dyDescent="0.2">
      <c r="A16616" s="6" t="str">
        <f>"GGTLC3"</f>
        <v>GGTLC3</v>
      </c>
      <c r="B16616" s="6">
        <v>0.98701298701298701</v>
      </c>
      <c r="C16616" s="6">
        <v>0.99259537093472106</v>
      </c>
    </row>
    <row r="16617" spans="1:3" s="7" customFormat="1" x14ac:dyDescent="0.2">
      <c r="A16617" s="6" t="str">
        <f>"AL512785.2"</f>
        <v>AL512785.2</v>
      </c>
      <c r="B16617" s="6">
        <v>0.98701298701298701</v>
      </c>
      <c r="C16617" s="6">
        <v>0.99259537093472106</v>
      </c>
    </row>
    <row r="16618" spans="1:3" s="7" customFormat="1" x14ac:dyDescent="0.2">
      <c r="A16618" s="6" t="str">
        <f>"FAM215A"</f>
        <v>FAM215A</v>
      </c>
      <c r="B16618" s="6">
        <v>0.98699999999999999</v>
      </c>
      <c r="C16618" s="6">
        <v>0.99259537093472106</v>
      </c>
    </row>
    <row r="16619" spans="1:3" s="7" customFormat="1" x14ac:dyDescent="0.2">
      <c r="A16619" s="6" t="str">
        <f>"PSMD14"</f>
        <v>PSMD14</v>
      </c>
      <c r="B16619" s="6">
        <v>0.98699999999999999</v>
      </c>
      <c r="C16619" s="6">
        <v>0.99259537093472106</v>
      </c>
    </row>
    <row r="16620" spans="1:3" s="7" customFormat="1" x14ac:dyDescent="0.2">
      <c r="A16620" s="6" t="str">
        <f>"AP001437.1"</f>
        <v>AP001437.1</v>
      </c>
      <c r="B16620" s="6">
        <v>0.98686868686868601</v>
      </c>
      <c r="C16620" s="6">
        <v>0.99259537093472106</v>
      </c>
    </row>
    <row r="16621" spans="1:3" s="7" customFormat="1" x14ac:dyDescent="0.2">
      <c r="A16621" s="6" t="str">
        <f>"FAM66E"</f>
        <v>FAM66E</v>
      </c>
      <c r="B16621" s="6">
        <v>0.98701298701298701</v>
      </c>
      <c r="C16621" s="6">
        <v>0.99259537093472106</v>
      </c>
    </row>
    <row r="16622" spans="1:3" s="7" customFormat="1" x14ac:dyDescent="0.2">
      <c r="A16622" s="6" t="str">
        <f>"TLE2"</f>
        <v>TLE2</v>
      </c>
      <c r="B16622" s="6">
        <v>0.98801198801198797</v>
      </c>
      <c r="C16622" s="6">
        <v>0.99330119504555503</v>
      </c>
    </row>
    <row r="16623" spans="1:3" s="7" customFormat="1" x14ac:dyDescent="0.2">
      <c r="A16623" s="6" t="str">
        <f>"H2BC19P"</f>
        <v>H2BC19P</v>
      </c>
      <c r="B16623" s="6">
        <v>0.98801198801198797</v>
      </c>
      <c r="C16623" s="6">
        <v>0.99330119504555503</v>
      </c>
    </row>
    <row r="16624" spans="1:3" s="7" customFormat="1" x14ac:dyDescent="0.2">
      <c r="A16624" s="6" t="str">
        <f>"SPRTN"</f>
        <v>SPRTN</v>
      </c>
      <c r="B16624" s="6">
        <v>0.98801198801198797</v>
      </c>
      <c r="C16624" s="6">
        <v>0.99330119504555503</v>
      </c>
    </row>
    <row r="16625" spans="1:3" s="7" customFormat="1" x14ac:dyDescent="0.2">
      <c r="A16625" s="6" t="str">
        <f>"AC005034.3"</f>
        <v>AC005034.3</v>
      </c>
      <c r="B16625" s="6">
        <v>0.98801198801198797</v>
      </c>
      <c r="C16625" s="6">
        <v>0.99330119504555503</v>
      </c>
    </row>
    <row r="16626" spans="1:3" s="7" customFormat="1" x14ac:dyDescent="0.2">
      <c r="A16626" s="6" t="str">
        <f>"NEU3"</f>
        <v>NEU3</v>
      </c>
      <c r="B16626" s="6">
        <v>0.98801198801198797</v>
      </c>
      <c r="C16626" s="6">
        <v>0.99330119504555503</v>
      </c>
    </row>
    <row r="16627" spans="1:3" s="7" customFormat="1" x14ac:dyDescent="0.2">
      <c r="A16627" s="6" t="str">
        <f>"RMDN1"</f>
        <v>RMDN1</v>
      </c>
      <c r="B16627" s="6">
        <v>0.98901098901098905</v>
      </c>
      <c r="C16627" s="6">
        <v>0.99358836751395496</v>
      </c>
    </row>
    <row r="16628" spans="1:3" s="7" customFormat="1" x14ac:dyDescent="0.2">
      <c r="A16628" s="6" t="str">
        <f>"DDX3Y"</f>
        <v>DDX3Y</v>
      </c>
      <c r="B16628" s="6">
        <v>0.98883374689826298</v>
      </c>
      <c r="C16628" s="6">
        <v>0.99358836751395496</v>
      </c>
    </row>
    <row r="16629" spans="1:3" s="7" customFormat="1" x14ac:dyDescent="0.2">
      <c r="A16629" s="6" t="str">
        <f>"CLIP3"</f>
        <v>CLIP3</v>
      </c>
      <c r="B16629" s="6">
        <v>0.98901098901098905</v>
      </c>
      <c r="C16629" s="6">
        <v>0.99358836751395496</v>
      </c>
    </row>
    <row r="16630" spans="1:3" s="7" customFormat="1" x14ac:dyDescent="0.2">
      <c r="A16630" s="6" t="str">
        <f>"AC005020.2"</f>
        <v>AC005020.2</v>
      </c>
      <c r="B16630" s="6">
        <v>0.98899999999999999</v>
      </c>
      <c r="C16630" s="6">
        <v>0.99358836751395496</v>
      </c>
    </row>
    <row r="16631" spans="1:3" s="7" customFormat="1" x14ac:dyDescent="0.2">
      <c r="A16631" s="6" t="str">
        <f>"AC135507.1"</f>
        <v>AC135507.1</v>
      </c>
      <c r="B16631" s="6">
        <v>0.98897795591182303</v>
      </c>
      <c r="C16631" s="6">
        <v>0.99358836751395496</v>
      </c>
    </row>
    <row r="16632" spans="1:3" s="7" customFormat="1" x14ac:dyDescent="0.2">
      <c r="A16632" s="6" t="str">
        <f>"AC002310.4"</f>
        <v>AC002310.4</v>
      </c>
      <c r="B16632" s="6">
        <v>0.98901098901098905</v>
      </c>
      <c r="C16632" s="6">
        <v>0.99358836751395496</v>
      </c>
    </row>
    <row r="16633" spans="1:3" s="7" customFormat="1" x14ac:dyDescent="0.2">
      <c r="A16633" s="6" t="str">
        <f>"SLC12A4"</f>
        <v>SLC12A4</v>
      </c>
      <c r="B16633" s="6">
        <v>0.98901098901098905</v>
      </c>
      <c r="C16633" s="6">
        <v>0.99358836751395496</v>
      </c>
    </row>
    <row r="16634" spans="1:3" s="7" customFormat="1" x14ac:dyDescent="0.2">
      <c r="A16634" s="6" t="str">
        <f>"RPL23P2"</f>
        <v>RPL23P2</v>
      </c>
      <c r="B16634" s="6">
        <v>0.98901098901098905</v>
      </c>
      <c r="C16634" s="6">
        <v>0.99358836751395496</v>
      </c>
    </row>
    <row r="16635" spans="1:3" s="7" customFormat="1" x14ac:dyDescent="0.2">
      <c r="A16635" s="6" t="str">
        <f>"AC002467.1"</f>
        <v>AC002467.1</v>
      </c>
      <c r="B16635" s="6">
        <v>0.98901098901098905</v>
      </c>
      <c r="C16635" s="6">
        <v>0.99358836751395496</v>
      </c>
    </row>
    <row r="16636" spans="1:3" s="7" customFormat="1" x14ac:dyDescent="0.2">
      <c r="A16636" s="6" t="str">
        <f>"AC011468.1"</f>
        <v>AC011468.1</v>
      </c>
      <c r="B16636" s="6">
        <v>0.98898898898898902</v>
      </c>
      <c r="C16636" s="6">
        <v>0.99358836751395496</v>
      </c>
    </row>
    <row r="16637" spans="1:3" s="7" customFormat="1" x14ac:dyDescent="0.2">
      <c r="A16637" s="6" t="str">
        <f>"FRRS1"</f>
        <v>FRRS1</v>
      </c>
      <c r="B16637" s="6">
        <v>0.98901098901098905</v>
      </c>
      <c r="C16637" s="6">
        <v>0.99358836751395496</v>
      </c>
    </row>
    <row r="16638" spans="1:3" s="7" customFormat="1" x14ac:dyDescent="0.2">
      <c r="A16638" s="6" t="str">
        <f>"PMS2P5"</f>
        <v>PMS2P5</v>
      </c>
      <c r="B16638" s="6">
        <v>0.98899999999999999</v>
      </c>
      <c r="C16638" s="6">
        <v>0.99358836751395496</v>
      </c>
    </row>
    <row r="16639" spans="1:3" s="7" customFormat="1" x14ac:dyDescent="0.2">
      <c r="A16639" s="6" t="str">
        <f>"MFSD10"</f>
        <v>MFSD10</v>
      </c>
      <c r="B16639" s="6">
        <v>0.99000999000999002</v>
      </c>
      <c r="C16639" s="6">
        <v>0.99405424564621903</v>
      </c>
    </row>
    <row r="16640" spans="1:3" s="7" customFormat="1" x14ac:dyDescent="0.2">
      <c r="A16640" s="6" t="str">
        <f>"ATP8B1"</f>
        <v>ATP8B1</v>
      </c>
      <c r="B16640" s="6">
        <v>0.99000999000999002</v>
      </c>
      <c r="C16640" s="6">
        <v>0.99405424564621903</v>
      </c>
    </row>
    <row r="16641" spans="1:3" s="7" customFormat="1" x14ac:dyDescent="0.2">
      <c r="A16641" s="6" t="str">
        <f>"FUT11"</f>
        <v>FUT11</v>
      </c>
      <c r="B16641" s="6">
        <v>0.99000999000999002</v>
      </c>
      <c r="C16641" s="6">
        <v>0.99405424564621903</v>
      </c>
    </row>
    <row r="16642" spans="1:3" s="7" customFormat="1" x14ac:dyDescent="0.2">
      <c r="A16642" s="6" t="str">
        <f>"RPS16"</f>
        <v>RPS16</v>
      </c>
      <c r="B16642" s="6">
        <v>0.99000999000999002</v>
      </c>
      <c r="C16642" s="6">
        <v>0.99405424564621903</v>
      </c>
    </row>
    <row r="16643" spans="1:3" s="7" customFormat="1" x14ac:dyDescent="0.2">
      <c r="A16643" s="6" t="str">
        <f>"DHRS9"</f>
        <v>DHRS9</v>
      </c>
      <c r="B16643" s="6">
        <v>0.99000999000999002</v>
      </c>
      <c r="C16643" s="6">
        <v>0.99405424564621903</v>
      </c>
    </row>
    <row r="16644" spans="1:3" s="7" customFormat="1" x14ac:dyDescent="0.2">
      <c r="A16644" s="6" t="str">
        <f>"HLA-DQB2"</f>
        <v>HLA-DQB2</v>
      </c>
      <c r="B16644" s="6">
        <v>0.99000999000999002</v>
      </c>
      <c r="C16644" s="6">
        <v>0.99405424564621903</v>
      </c>
    </row>
    <row r="16645" spans="1:3" s="7" customFormat="1" x14ac:dyDescent="0.2">
      <c r="A16645" s="6" t="str">
        <f>"ADAMTS2"</f>
        <v>ADAMTS2</v>
      </c>
      <c r="B16645" s="6">
        <v>0.99000999000999002</v>
      </c>
      <c r="C16645" s="6">
        <v>0.99405424564621903</v>
      </c>
    </row>
    <row r="16646" spans="1:3" s="7" customFormat="1" x14ac:dyDescent="0.2">
      <c r="A16646" s="6" t="str">
        <f>"TEX21P"</f>
        <v>TEX21P</v>
      </c>
      <c r="B16646" s="6">
        <v>0.99000999000999002</v>
      </c>
      <c r="C16646" s="6">
        <v>0.99405424564621903</v>
      </c>
    </row>
    <row r="16647" spans="1:3" s="7" customFormat="1" x14ac:dyDescent="0.2">
      <c r="A16647" s="6" t="str">
        <f>"AC006197.2"</f>
        <v>AC006197.2</v>
      </c>
      <c r="B16647" s="6">
        <v>0.989594172736732</v>
      </c>
      <c r="C16647" s="6">
        <v>0.99405424564621903</v>
      </c>
    </row>
    <row r="16648" spans="1:3" s="7" customFormat="1" x14ac:dyDescent="0.2">
      <c r="A16648" s="6" t="str">
        <f>"ZNF205"</f>
        <v>ZNF205</v>
      </c>
      <c r="B16648" s="6">
        <v>0.99100899100899098</v>
      </c>
      <c r="C16648" s="6">
        <v>0.99487802725234298</v>
      </c>
    </row>
    <row r="16649" spans="1:3" s="7" customFormat="1" x14ac:dyDescent="0.2">
      <c r="A16649" s="6" t="str">
        <f>"ZNF408"</f>
        <v>ZNF408</v>
      </c>
      <c r="B16649" s="6">
        <v>0.99100899100899098</v>
      </c>
      <c r="C16649" s="6">
        <v>0.99487802725234298</v>
      </c>
    </row>
    <row r="16650" spans="1:3" s="7" customFormat="1" x14ac:dyDescent="0.2">
      <c r="A16650" s="6" t="str">
        <f>"TRIM63"</f>
        <v>TRIM63</v>
      </c>
      <c r="B16650" s="6">
        <v>0.99100899100899098</v>
      </c>
      <c r="C16650" s="6">
        <v>0.99487802725234298</v>
      </c>
    </row>
    <row r="16651" spans="1:3" s="7" customFormat="1" x14ac:dyDescent="0.2">
      <c r="A16651" s="6" t="str">
        <f>"OSGEPL1"</f>
        <v>OSGEPL1</v>
      </c>
      <c r="B16651" s="6">
        <v>0.99200799200799195</v>
      </c>
      <c r="C16651" s="6">
        <v>0.99540262822966696</v>
      </c>
    </row>
    <row r="16652" spans="1:3" s="7" customFormat="1" x14ac:dyDescent="0.2">
      <c r="A16652" s="6" t="str">
        <f>"ZNF317"</f>
        <v>ZNF317</v>
      </c>
      <c r="B16652" s="6">
        <v>0.99200799200799195</v>
      </c>
      <c r="C16652" s="6">
        <v>0.99540262822966696</v>
      </c>
    </row>
    <row r="16653" spans="1:3" s="7" customFormat="1" x14ac:dyDescent="0.2">
      <c r="A16653" s="6" t="str">
        <f>"NPM3"</f>
        <v>NPM3</v>
      </c>
      <c r="B16653" s="6">
        <v>0.99200799200799195</v>
      </c>
      <c r="C16653" s="6">
        <v>0.99540262822966696</v>
      </c>
    </row>
    <row r="16654" spans="1:3" s="7" customFormat="1" x14ac:dyDescent="0.2">
      <c r="A16654" s="6" t="str">
        <f>"PTCHD4"</f>
        <v>PTCHD4</v>
      </c>
      <c r="B16654" s="6">
        <v>0.99199999999999999</v>
      </c>
      <c r="C16654" s="6">
        <v>0.99540262822966696</v>
      </c>
    </row>
    <row r="16655" spans="1:3" s="7" customFormat="1" x14ac:dyDescent="0.2">
      <c r="A16655" s="6" t="str">
        <f>"ANKRD10-IT1"</f>
        <v>ANKRD10-IT1</v>
      </c>
      <c r="B16655" s="6">
        <v>0.99199999999999999</v>
      </c>
      <c r="C16655" s="6">
        <v>0.99540262822966696</v>
      </c>
    </row>
    <row r="16656" spans="1:3" s="7" customFormat="1" x14ac:dyDescent="0.2">
      <c r="A16656" s="6" t="str">
        <f>"ATP6V0E2-AS1"</f>
        <v>ATP6V0E2-AS1</v>
      </c>
      <c r="B16656" s="6">
        <v>0.99200799200799195</v>
      </c>
      <c r="C16656" s="6">
        <v>0.99540262822966696</v>
      </c>
    </row>
    <row r="16657" spans="1:3" s="7" customFormat="1" x14ac:dyDescent="0.2">
      <c r="A16657" s="6" t="str">
        <f>"CD207"</f>
        <v>CD207</v>
      </c>
      <c r="B16657" s="6">
        <v>0.99200799200799195</v>
      </c>
      <c r="C16657" s="6">
        <v>0.99540262822966696</v>
      </c>
    </row>
    <row r="16658" spans="1:3" s="7" customFormat="1" x14ac:dyDescent="0.2">
      <c r="A16658" s="6" t="str">
        <f>"CKS1BP3"</f>
        <v>CKS1BP3</v>
      </c>
      <c r="B16658" s="6">
        <v>0.99196787148594301</v>
      </c>
      <c r="C16658" s="6">
        <v>0.99540262822966696</v>
      </c>
    </row>
    <row r="16659" spans="1:3" s="7" customFormat="1" x14ac:dyDescent="0.2">
      <c r="A16659" s="6" t="str">
        <f>"VWCE"</f>
        <v>VWCE</v>
      </c>
      <c r="B16659" s="6">
        <v>0.99300699300699302</v>
      </c>
      <c r="C16659" s="6">
        <v>0.99580721672279804</v>
      </c>
    </row>
    <row r="16660" spans="1:3" s="7" customFormat="1" x14ac:dyDescent="0.2">
      <c r="A16660" s="6" t="str">
        <f>"AGK"</f>
        <v>AGK</v>
      </c>
      <c r="B16660" s="6">
        <v>0.99300699300699302</v>
      </c>
      <c r="C16660" s="6">
        <v>0.99580721672279804</v>
      </c>
    </row>
    <row r="16661" spans="1:3" s="7" customFormat="1" x14ac:dyDescent="0.2">
      <c r="A16661" s="6" t="str">
        <f>"STK31"</f>
        <v>STK31</v>
      </c>
      <c r="B16661" s="6">
        <v>0.99300699300699302</v>
      </c>
      <c r="C16661" s="6">
        <v>0.99580721672279804</v>
      </c>
    </row>
    <row r="16662" spans="1:3" s="7" customFormat="1" x14ac:dyDescent="0.2">
      <c r="A16662" s="6" t="str">
        <f>"METTL1"</f>
        <v>METTL1</v>
      </c>
      <c r="B16662" s="6">
        <v>0.99300699300699302</v>
      </c>
      <c r="C16662" s="6">
        <v>0.99580721672279804</v>
      </c>
    </row>
    <row r="16663" spans="1:3" s="7" customFormat="1" x14ac:dyDescent="0.2">
      <c r="A16663" s="6" t="str">
        <f>"TUBAP8"</f>
        <v>TUBAP8</v>
      </c>
      <c r="B16663" s="6">
        <v>0.99300699300699302</v>
      </c>
      <c r="C16663" s="6">
        <v>0.99580721672279804</v>
      </c>
    </row>
    <row r="16664" spans="1:3" s="7" customFormat="1" x14ac:dyDescent="0.2">
      <c r="A16664" s="6" t="str">
        <f>"SCAMP1-AS1"</f>
        <v>SCAMP1-AS1</v>
      </c>
      <c r="B16664" s="6">
        <v>0.99300699300699302</v>
      </c>
      <c r="C16664" s="6">
        <v>0.99580721672279804</v>
      </c>
    </row>
    <row r="16665" spans="1:3" s="7" customFormat="1" x14ac:dyDescent="0.2">
      <c r="A16665" s="6" t="str">
        <f>"LINC00667"</f>
        <v>LINC00667</v>
      </c>
      <c r="B16665" s="6">
        <v>0.99300699300699302</v>
      </c>
      <c r="C16665" s="6">
        <v>0.99580721672279804</v>
      </c>
    </row>
    <row r="16666" spans="1:3" s="7" customFormat="1" x14ac:dyDescent="0.2">
      <c r="A16666" s="6" t="str">
        <f>"AC006059.1"</f>
        <v>AC006059.1</v>
      </c>
      <c r="B16666" s="6">
        <v>0.99300699300699302</v>
      </c>
      <c r="C16666" s="6">
        <v>0.99580721672279804</v>
      </c>
    </row>
    <row r="16667" spans="1:3" s="7" customFormat="1" x14ac:dyDescent="0.2">
      <c r="A16667" s="6" t="str">
        <f>"NCK1-DT"</f>
        <v>NCK1-DT</v>
      </c>
      <c r="B16667" s="6">
        <v>0.99300699300699302</v>
      </c>
      <c r="C16667" s="6">
        <v>0.99580721672279804</v>
      </c>
    </row>
    <row r="16668" spans="1:3" s="7" customFormat="1" x14ac:dyDescent="0.2">
      <c r="A16668" s="6" t="str">
        <f>"TM7SF2"</f>
        <v>TM7SF2</v>
      </c>
      <c r="B16668" s="6">
        <v>0.99300699300699302</v>
      </c>
      <c r="C16668" s="6">
        <v>0.99580721672279804</v>
      </c>
    </row>
    <row r="16669" spans="1:3" s="7" customFormat="1" x14ac:dyDescent="0.2">
      <c r="A16669" s="6" t="str">
        <f>"COX5B"</f>
        <v>COX5B</v>
      </c>
      <c r="B16669" s="6">
        <v>0.99400599400599399</v>
      </c>
      <c r="C16669" s="6">
        <v>0.99656986286462601</v>
      </c>
    </row>
    <row r="16670" spans="1:3" s="7" customFormat="1" x14ac:dyDescent="0.2">
      <c r="A16670" s="6" t="str">
        <f>"CEP63"</f>
        <v>CEP63</v>
      </c>
      <c r="B16670" s="6">
        <v>0.99400599400599399</v>
      </c>
      <c r="C16670" s="6">
        <v>0.99656986286462601</v>
      </c>
    </row>
    <row r="16671" spans="1:3" s="7" customFormat="1" x14ac:dyDescent="0.2">
      <c r="A16671" s="6" t="str">
        <f>"ANKIB1"</f>
        <v>ANKIB1</v>
      </c>
      <c r="B16671" s="6">
        <v>0.99400599400599399</v>
      </c>
      <c r="C16671" s="6">
        <v>0.99656986286462601</v>
      </c>
    </row>
    <row r="16672" spans="1:3" s="7" customFormat="1" x14ac:dyDescent="0.2">
      <c r="A16672" s="6" t="str">
        <f>"TFAP2C"</f>
        <v>TFAP2C</v>
      </c>
      <c r="B16672" s="6">
        <v>0.99400599400599399</v>
      </c>
      <c r="C16672" s="6">
        <v>0.99656986286462601</v>
      </c>
    </row>
    <row r="16673" spans="1:3" s="7" customFormat="1" x14ac:dyDescent="0.2">
      <c r="A16673" s="6" t="str">
        <f>"PCDHB3"</f>
        <v>PCDHB3</v>
      </c>
      <c r="B16673" s="6">
        <v>0.99500499500499495</v>
      </c>
      <c r="C16673" s="6">
        <v>0.99721253741760996</v>
      </c>
    </row>
    <row r="16674" spans="1:3" s="7" customFormat="1" x14ac:dyDescent="0.2">
      <c r="A16674" s="6" t="str">
        <f>"CDIN1"</f>
        <v>CDIN1</v>
      </c>
      <c r="B16674" s="6">
        <v>0.99500499500499495</v>
      </c>
      <c r="C16674" s="6">
        <v>0.99721253741760996</v>
      </c>
    </row>
    <row r="16675" spans="1:3" s="7" customFormat="1" x14ac:dyDescent="0.2">
      <c r="A16675" s="6" t="str">
        <f>"ZNF862"</f>
        <v>ZNF862</v>
      </c>
      <c r="B16675" s="6">
        <v>0.99500499500499495</v>
      </c>
      <c r="C16675" s="6">
        <v>0.99721253741760996</v>
      </c>
    </row>
    <row r="16676" spans="1:3" s="7" customFormat="1" x14ac:dyDescent="0.2">
      <c r="A16676" s="6" t="str">
        <f>"LINC00869"</f>
        <v>LINC00869</v>
      </c>
      <c r="B16676" s="6">
        <v>0.99500499500499495</v>
      </c>
      <c r="C16676" s="6">
        <v>0.99721253741760996</v>
      </c>
    </row>
    <row r="16677" spans="1:3" s="7" customFormat="1" x14ac:dyDescent="0.2">
      <c r="A16677" s="6" t="str">
        <f>"AP003059.2"</f>
        <v>AP003059.2</v>
      </c>
      <c r="B16677" s="6">
        <v>0.99500499500499495</v>
      </c>
      <c r="C16677" s="6">
        <v>0.99721253741760996</v>
      </c>
    </row>
    <row r="16678" spans="1:3" s="7" customFormat="1" x14ac:dyDescent="0.2">
      <c r="A16678" s="6" t="str">
        <f>"EAF2"</f>
        <v>EAF2</v>
      </c>
      <c r="B16678" s="6">
        <v>0.99500499500499495</v>
      </c>
      <c r="C16678" s="6">
        <v>0.99721253741760996</v>
      </c>
    </row>
    <row r="16679" spans="1:3" s="7" customFormat="1" x14ac:dyDescent="0.2">
      <c r="A16679" s="6" t="str">
        <f>"PVT1"</f>
        <v>PVT1</v>
      </c>
      <c r="B16679" s="6">
        <v>0.99600399600399603</v>
      </c>
      <c r="C16679" s="6">
        <v>0.99785474969794297</v>
      </c>
    </row>
    <row r="16680" spans="1:3" s="7" customFormat="1" x14ac:dyDescent="0.2">
      <c r="A16680" s="6" t="str">
        <f>"KCTD21-AS1"</f>
        <v>KCTD21-AS1</v>
      </c>
      <c r="B16680" s="6">
        <v>0.99600399600399603</v>
      </c>
      <c r="C16680" s="6">
        <v>0.99785474969794297</v>
      </c>
    </row>
    <row r="16681" spans="1:3" s="7" customFormat="1" x14ac:dyDescent="0.2">
      <c r="A16681" s="6" t="str">
        <f>"OR2AT4"</f>
        <v>OR2AT4</v>
      </c>
      <c r="B16681" s="6">
        <v>0.99594320486815402</v>
      </c>
      <c r="C16681" s="6">
        <v>0.99785474969794297</v>
      </c>
    </row>
    <row r="16682" spans="1:3" s="7" customFormat="1" x14ac:dyDescent="0.2">
      <c r="A16682" s="6" t="str">
        <f>"ZNF696"</f>
        <v>ZNF696</v>
      </c>
      <c r="B16682" s="6">
        <v>0.99600399600399603</v>
      </c>
      <c r="C16682" s="6">
        <v>0.99785474969794297</v>
      </c>
    </row>
    <row r="16683" spans="1:3" s="7" customFormat="1" x14ac:dyDescent="0.2">
      <c r="A16683" s="6" t="str">
        <f>"AC116535.1"</f>
        <v>AC116535.1</v>
      </c>
      <c r="B16683" s="6">
        <v>0.99600399600399603</v>
      </c>
      <c r="C16683" s="6">
        <v>0.99785474969794297</v>
      </c>
    </row>
    <row r="16684" spans="1:3" s="7" customFormat="1" x14ac:dyDescent="0.2">
      <c r="A16684" s="6" t="str">
        <f>"AGR2"</f>
        <v>AGR2</v>
      </c>
      <c r="B16684" s="6">
        <v>0.99600399600399603</v>
      </c>
      <c r="C16684" s="6">
        <v>0.99785474969794297</v>
      </c>
    </row>
    <row r="16685" spans="1:3" s="7" customFormat="1" x14ac:dyDescent="0.2">
      <c r="A16685" s="6" t="str">
        <f>"ARMC12"</f>
        <v>ARMC12</v>
      </c>
      <c r="B16685" s="6">
        <v>0.99700299700299699</v>
      </c>
      <c r="C16685" s="6">
        <v>0.99855633340772298</v>
      </c>
    </row>
    <row r="16686" spans="1:3" s="7" customFormat="1" x14ac:dyDescent="0.2">
      <c r="A16686" s="6" t="str">
        <f>"KIAA1549"</f>
        <v>KIAA1549</v>
      </c>
      <c r="B16686" s="6">
        <v>0.99700299700299699</v>
      </c>
      <c r="C16686" s="6">
        <v>0.99855633340772298</v>
      </c>
    </row>
    <row r="16687" spans="1:3" s="7" customFormat="1" x14ac:dyDescent="0.2">
      <c r="A16687" s="6" t="str">
        <f>"YDJC"</f>
        <v>YDJC</v>
      </c>
      <c r="B16687" s="6">
        <v>0.99700299700299699</v>
      </c>
      <c r="C16687" s="6">
        <v>0.99855633340772298</v>
      </c>
    </row>
    <row r="16688" spans="1:3" s="7" customFormat="1" x14ac:dyDescent="0.2">
      <c r="A16688" s="6" t="str">
        <f>"SFTA1P"</f>
        <v>SFTA1P</v>
      </c>
      <c r="B16688" s="6">
        <v>0.99700299700299699</v>
      </c>
      <c r="C16688" s="6">
        <v>0.99855633340772298</v>
      </c>
    </row>
    <row r="16689" spans="1:3" s="7" customFormat="1" x14ac:dyDescent="0.2">
      <c r="A16689" s="6" t="str">
        <f>"LINC00443"</f>
        <v>LINC00443</v>
      </c>
      <c r="B16689" s="6">
        <v>0.99700299700299699</v>
      </c>
      <c r="C16689" s="6">
        <v>0.99855633340772298</v>
      </c>
    </row>
    <row r="16690" spans="1:3" s="7" customFormat="1" x14ac:dyDescent="0.2">
      <c r="A16690" s="6" t="str">
        <f>"SYF2"</f>
        <v>SYF2</v>
      </c>
      <c r="B16690" s="6">
        <v>0.99800199800199796</v>
      </c>
      <c r="C16690" s="6">
        <v>0.99895828210596405</v>
      </c>
    </row>
    <row r="16691" spans="1:3" s="7" customFormat="1" x14ac:dyDescent="0.2">
      <c r="A16691" s="6" t="str">
        <f>"DYNC1I2"</f>
        <v>DYNC1I2</v>
      </c>
      <c r="B16691" s="6">
        <v>0.99800199800199796</v>
      </c>
      <c r="C16691" s="6">
        <v>0.99895828210596405</v>
      </c>
    </row>
    <row r="16692" spans="1:3" s="7" customFormat="1" x14ac:dyDescent="0.2">
      <c r="A16692" s="6" t="str">
        <f>"LRRC37A7P"</f>
        <v>LRRC37A7P</v>
      </c>
      <c r="B16692" s="6">
        <v>0.99800199800199796</v>
      </c>
      <c r="C16692" s="6">
        <v>0.99895828210596405</v>
      </c>
    </row>
    <row r="16693" spans="1:3" s="7" customFormat="1" x14ac:dyDescent="0.2">
      <c r="A16693" s="6" t="str">
        <f>"FOLH1B"</f>
        <v>FOLH1B</v>
      </c>
      <c r="B16693" s="6">
        <v>0.99797570850202399</v>
      </c>
      <c r="C16693" s="6">
        <v>0.99895828210596405</v>
      </c>
    </row>
    <row r="16694" spans="1:3" s="7" customFormat="1" x14ac:dyDescent="0.2">
      <c r="A16694" s="6" t="str">
        <f>"KIAA1217"</f>
        <v>KIAA1217</v>
      </c>
      <c r="B16694" s="6">
        <v>0.99800199800199796</v>
      </c>
      <c r="C16694" s="6">
        <v>0.99895828210596405</v>
      </c>
    </row>
    <row r="16695" spans="1:3" s="7" customFormat="1" x14ac:dyDescent="0.2">
      <c r="A16695" s="6" t="str">
        <f>"FAM156A"</f>
        <v>FAM156A</v>
      </c>
      <c r="B16695" s="6">
        <v>0.998</v>
      </c>
      <c r="C16695" s="6">
        <v>0.99895828210596405</v>
      </c>
    </row>
    <row r="16696" spans="1:3" s="7" customFormat="1" x14ac:dyDescent="0.2">
      <c r="A16696" s="6" t="str">
        <f>"PSMG2"</f>
        <v>PSMG2</v>
      </c>
      <c r="B16696" s="6">
        <v>0.99800199800199796</v>
      </c>
      <c r="C16696" s="6">
        <v>0.99895828210596405</v>
      </c>
    </row>
    <row r="16697" spans="1:3" s="7" customFormat="1" x14ac:dyDescent="0.2">
      <c r="A16697" s="6" t="str">
        <f>"AC105036.3"</f>
        <v>AC105036.3</v>
      </c>
      <c r="B16697" s="6">
        <v>0.99800199800199796</v>
      </c>
      <c r="C16697" s="6">
        <v>0.99895828210596405</v>
      </c>
    </row>
    <row r="16698" spans="1:3" s="7" customFormat="1" x14ac:dyDescent="0.2">
      <c r="A16698" s="6" t="str">
        <f>"AC138904.1"</f>
        <v>AC138904.1</v>
      </c>
      <c r="B16698" s="6">
        <v>0.99798792756539201</v>
      </c>
      <c r="C16698" s="6">
        <v>0.99895828210596405</v>
      </c>
    </row>
    <row r="16699" spans="1:3" s="7" customFormat="1" x14ac:dyDescent="0.2">
      <c r="A16699" s="6" t="str">
        <f>"L3MBTL2"</f>
        <v>L3MBTL2</v>
      </c>
      <c r="B16699" s="6">
        <v>0.99800199800199796</v>
      </c>
      <c r="C16699" s="6">
        <v>0.99895828210596405</v>
      </c>
    </row>
    <row r="16700" spans="1:3" s="7" customFormat="1" x14ac:dyDescent="0.2">
      <c r="A16700" s="6" t="str">
        <f>"C6orf89"</f>
        <v>C6orf89</v>
      </c>
      <c r="B16700" s="6">
        <v>0.99900099900099903</v>
      </c>
      <c r="C16700" s="6">
        <v>0.99947939047663703</v>
      </c>
    </row>
    <row r="16701" spans="1:3" s="7" customFormat="1" x14ac:dyDescent="0.2">
      <c r="A16701" s="6" t="str">
        <f>"CTSO"</f>
        <v>CTSO</v>
      </c>
      <c r="B16701" s="6">
        <v>0.99900099900099903</v>
      </c>
      <c r="C16701" s="6">
        <v>0.99947939047663703</v>
      </c>
    </row>
    <row r="16702" spans="1:3" s="7" customFormat="1" x14ac:dyDescent="0.2">
      <c r="A16702" s="6" t="str">
        <f>"SPRYD4"</f>
        <v>SPRYD4</v>
      </c>
      <c r="B16702" s="6">
        <v>0.99900099900099903</v>
      </c>
      <c r="C16702" s="6">
        <v>0.99947939047663703</v>
      </c>
    </row>
    <row r="16703" spans="1:3" s="7" customFormat="1" x14ac:dyDescent="0.2">
      <c r="A16703" s="6" t="str">
        <f>"AC113382.1"</f>
        <v>AC113382.1</v>
      </c>
      <c r="B16703" s="6">
        <v>0.99899295065458205</v>
      </c>
      <c r="C16703" s="6">
        <v>0.99947939047663703</v>
      </c>
    </row>
    <row r="16704" spans="1:3" s="7" customFormat="1" x14ac:dyDescent="0.2">
      <c r="A16704" s="6" t="str">
        <f>"AC073349.1"</f>
        <v>AC073349.1</v>
      </c>
      <c r="B16704" s="6">
        <v>0.99900099900099903</v>
      </c>
      <c r="C16704" s="6">
        <v>0.99947939047663703</v>
      </c>
    </row>
    <row r="16705" spans="1:3" s="7" customFormat="1" x14ac:dyDescent="0.2">
      <c r="A16705" s="6" t="str">
        <f>"POPDC2"</f>
        <v>POPDC2</v>
      </c>
      <c r="B16705" s="6">
        <v>0.99900099900099903</v>
      </c>
      <c r="C16705" s="6">
        <v>0.99947939047663703</v>
      </c>
    </row>
    <row r="16706" spans="1:3" s="7" customFormat="1" x14ac:dyDescent="0.2">
      <c r="A16706" s="6" t="str">
        <f>"LINC01562"</f>
        <v>LINC01562</v>
      </c>
      <c r="B16706" s="6">
        <v>0.99899699097291805</v>
      </c>
      <c r="C16706" s="6">
        <v>0.99947939047663703</v>
      </c>
    </row>
    <row r="16707" spans="1:3" s="7" customFormat="1" x14ac:dyDescent="0.2">
      <c r="A16707" s="6" t="str">
        <f>"EFTUD2"</f>
        <v>EFTUD2</v>
      </c>
      <c r="B16707" s="6">
        <v>0.99900099900099903</v>
      </c>
      <c r="C16707" s="6">
        <v>0.99947939047663703</v>
      </c>
    </row>
    <row r="16708" spans="1:3" s="7" customFormat="1" x14ac:dyDescent="0.2">
      <c r="A16708" s="6" t="str">
        <f>"ZNF219"</f>
        <v>ZNF219</v>
      </c>
      <c r="B16708" s="6">
        <v>1</v>
      </c>
      <c r="C16708" s="6">
        <v>1</v>
      </c>
    </row>
    <row r="16709" spans="1:3" s="7" customFormat="1" x14ac:dyDescent="0.2">
      <c r="A16709" s="6" t="str">
        <f>"PCBP2"</f>
        <v>PCBP2</v>
      </c>
      <c r="B16709" s="6">
        <v>1</v>
      </c>
      <c r="C16709" s="6">
        <v>1</v>
      </c>
    </row>
    <row r="16710" spans="1:3" s="7" customFormat="1" x14ac:dyDescent="0.2">
      <c r="A16710" s="6" t="str">
        <f>"IGKV2D-28"</f>
        <v>IGKV2D-28</v>
      </c>
      <c r="B16710" s="6">
        <v>1</v>
      </c>
      <c r="C16710" s="6">
        <v>1</v>
      </c>
    </row>
    <row r="16711" spans="1:3" s="7" customFormat="1" x14ac:dyDescent="0.2">
      <c r="A16711" s="6" t="str">
        <f>"SLC6A9"</f>
        <v>SLC6A9</v>
      </c>
      <c r="B16711" s="6">
        <v>1</v>
      </c>
      <c r="C16711" s="6">
        <v>1</v>
      </c>
    </row>
    <row r="16712" spans="1:3" s="7" customFormat="1" x14ac:dyDescent="0.2">
      <c r="A16712" s="6" t="str">
        <f>"TBX19"</f>
        <v>TBX19</v>
      </c>
      <c r="B16712" s="6">
        <v>1</v>
      </c>
      <c r="C16712" s="6">
        <v>1</v>
      </c>
    </row>
    <row r="16713" spans="1:3" s="7" customFormat="1" x14ac:dyDescent="0.2">
      <c r="A16713" s="6" t="str">
        <f>"AC018553.3"</f>
        <v>AC018553.3</v>
      </c>
      <c r="B16713" s="6">
        <v>1</v>
      </c>
      <c r="C16713" s="6">
        <v>1</v>
      </c>
    </row>
    <row r="16714" spans="1:3" s="7" customFormat="1" x14ac:dyDescent="0.2">
      <c r="A16714" s="6" t="str">
        <f>"FAM224B"</f>
        <v>FAM224B</v>
      </c>
      <c r="B16714" s="6">
        <v>1</v>
      </c>
      <c r="C16714" s="6">
        <v>1</v>
      </c>
    </row>
    <row r="16715" spans="1:3" s="7" customFormat="1" x14ac:dyDescent="0.2">
      <c r="A16715" s="6" t="str">
        <f>"E2F3P2"</f>
        <v>E2F3P2</v>
      </c>
      <c r="B16715" s="6">
        <v>1</v>
      </c>
      <c r="C16715" s="6">
        <v>1</v>
      </c>
    </row>
    <row r="16716" spans="1:3" s="7" customFormat="1" x14ac:dyDescent="0.2">
      <c r="A16716" s="6" t="str">
        <f>"AL161911.1"</f>
        <v>AL161911.1</v>
      </c>
      <c r="B16716" s="6" t="s">
        <v>1</v>
      </c>
      <c r="C16716" s="6" t="s">
        <v>1</v>
      </c>
    </row>
    <row r="16717" spans="1:3" s="7" customFormat="1" x14ac:dyDescent="0.2">
      <c r="A16717" s="6" t="str">
        <f>"POTEI"</f>
        <v>POTEI</v>
      </c>
      <c r="B16717" s="6" t="s">
        <v>1</v>
      </c>
      <c r="C16717" s="6" t="s">
        <v>1</v>
      </c>
    </row>
    <row r="16718" spans="1:3" s="7" customFormat="1" x14ac:dyDescent="0.2">
      <c r="A16718" s="6" t="str">
        <f>"AC021074.3"</f>
        <v>AC021074.3</v>
      </c>
      <c r="B16718" s="6" t="s">
        <v>1</v>
      </c>
      <c r="C16718" s="6" t="s">
        <v>1</v>
      </c>
    </row>
    <row r="16719" spans="1:3" s="7" customFormat="1" x14ac:dyDescent="0.2">
      <c r="A16719" s="6" t="str">
        <f>"CXCR5"</f>
        <v>CXCR5</v>
      </c>
      <c r="B16719" s="6" t="s">
        <v>1</v>
      </c>
      <c r="C16719" s="6" t="s">
        <v>1</v>
      </c>
    </row>
    <row r="16720" spans="1:3" s="7" customFormat="1" x14ac:dyDescent="0.2">
      <c r="A16720" s="6" t="str">
        <f>"AC106712.1"</f>
        <v>AC106712.1</v>
      </c>
      <c r="B16720" s="6" t="s">
        <v>1</v>
      </c>
      <c r="C16720" s="6" t="s">
        <v>1</v>
      </c>
    </row>
    <row r="16721" spans="1:3" s="7" customFormat="1" x14ac:dyDescent="0.2">
      <c r="A16721" s="6" t="str">
        <f>"CENPA"</f>
        <v>CENPA</v>
      </c>
      <c r="B16721" s="6" t="s">
        <v>1</v>
      </c>
      <c r="C16721" s="6" t="s">
        <v>1</v>
      </c>
    </row>
    <row r="16722" spans="1:3" s="7" customFormat="1" x14ac:dyDescent="0.2">
      <c r="A16722" s="6" t="str">
        <f>"AC007032.1"</f>
        <v>AC007032.1</v>
      </c>
      <c r="B16722" s="6" t="s">
        <v>1</v>
      </c>
      <c r="C16722" s="6" t="s">
        <v>1</v>
      </c>
    </row>
    <row r="16723" spans="1:3" s="7" customFormat="1" x14ac:dyDescent="0.2">
      <c r="A16723" s="6" t="str">
        <f>"ADGRE1"</f>
        <v>ADGRE1</v>
      </c>
      <c r="B16723" s="6" t="s">
        <v>1</v>
      </c>
      <c r="C16723" s="6" t="s">
        <v>1</v>
      </c>
    </row>
    <row r="16724" spans="1:3" s="7" customFormat="1" x14ac:dyDescent="0.2">
      <c r="A16724" s="6" t="str">
        <f>"ACADL"</f>
        <v>ACADL</v>
      </c>
      <c r="B16724" s="6" t="s">
        <v>1</v>
      </c>
      <c r="C16724" s="6" t="s">
        <v>1</v>
      </c>
    </row>
    <row r="16725" spans="1:3" s="7" customFormat="1" x14ac:dyDescent="0.2">
      <c r="A16725" s="6" t="str">
        <f>"AC239868.1"</f>
        <v>AC239868.1</v>
      </c>
      <c r="B16725" s="6" t="s">
        <v>1</v>
      </c>
      <c r="C16725" s="6" t="s">
        <v>1</v>
      </c>
    </row>
    <row r="16726" spans="1:3" s="7" customFormat="1" x14ac:dyDescent="0.2">
      <c r="A16726" s="6" t="str">
        <f>"C3orf86"</f>
        <v>C3orf86</v>
      </c>
      <c r="B16726" s="6" t="s">
        <v>1</v>
      </c>
      <c r="C16726" s="6" t="s">
        <v>1</v>
      </c>
    </row>
    <row r="16727" spans="1:3" s="7" customFormat="1" x14ac:dyDescent="0.2">
      <c r="A16727" s="6" t="str">
        <f>"CCL20"</f>
        <v>CCL20</v>
      </c>
      <c r="B16727" s="6" t="s">
        <v>1</v>
      </c>
      <c r="C16727" s="6" t="s">
        <v>1</v>
      </c>
    </row>
    <row r="16728" spans="1:3" s="7" customFormat="1" x14ac:dyDescent="0.2">
      <c r="A16728" s="6" t="str">
        <f>"AC040169.1"</f>
        <v>AC040169.1</v>
      </c>
      <c r="B16728" s="6" t="s">
        <v>1</v>
      </c>
      <c r="C16728" s="6" t="s">
        <v>1</v>
      </c>
    </row>
    <row r="16729" spans="1:3" s="7" customFormat="1" x14ac:dyDescent="0.2">
      <c r="A16729" s="6" t="str">
        <f>"AC006449.6"</f>
        <v>AC006449.6</v>
      </c>
      <c r="B16729" s="6" t="s">
        <v>1</v>
      </c>
      <c r="C16729" s="6" t="s">
        <v>1</v>
      </c>
    </row>
    <row r="16730" spans="1:3" s="7" customFormat="1" x14ac:dyDescent="0.2">
      <c r="A16730" s="6" t="str">
        <f>"SLITRK5"</f>
        <v>SLITRK5</v>
      </c>
      <c r="B16730" s="6" t="s">
        <v>1</v>
      </c>
      <c r="C16730" s="6" t="s">
        <v>1</v>
      </c>
    </row>
    <row r="16731" spans="1:3" s="7" customFormat="1" x14ac:dyDescent="0.2">
      <c r="A16731" s="6" t="str">
        <f>"AC105233.4"</f>
        <v>AC105233.4</v>
      </c>
      <c r="B16731" s="6" t="s">
        <v>1</v>
      </c>
      <c r="C16731" s="6" t="s">
        <v>1</v>
      </c>
    </row>
    <row r="16732" spans="1:3" s="7" customFormat="1" x14ac:dyDescent="0.2">
      <c r="A16732" s="6" t="str">
        <f>"CPXM1"</f>
        <v>CPXM1</v>
      </c>
      <c r="B16732" s="6" t="s">
        <v>1</v>
      </c>
      <c r="C16732" s="6" t="s">
        <v>1</v>
      </c>
    </row>
    <row r="16733" spans="1:3" s="7" customFormat="1" x14ac:dyDescent="0.2">
      <c r="A16733" s="6" t="str">
        <f>"SNX20"</f>
        <v>SNX20</v>
      </c>
      <c r="B16733" s="6" t="s">
        <v>1</v>
      </c>
      <c r="C16733" s="6" t="s">
        <v>1</v>
      </c>
    </row>
    <row r="16734" spans="1:3" s="7" customFormat="1" x14ac:dyDescent="0.2">
      <c r="A16734" s="6" t="str">
        <f>"AC023509.1"</f>
        <v>AC023509.1</v>
      </c>
      <c r="B16734" s="6" t="s">
        <v>1</v>
      </c>
      <c r="C16734" s="6" t="s">
        <v>1</v>
      </c>
    </row>
    <row r="16735" spans="1:3" s="7" customFormat="1" x14ac:dyDescent="0.2">
      <c r="A16735" s="6" t="str">
        <f>"ADGRE3"</f>
        <v>ADGRE3</v>
      </c>
      <c r="B16735" s="6" t="s">
        <v>1</v>
      </c>
      <c r="C16735" s="6" t="s">
        <v>1</v>
      </c>
    </row>
    <row r="16736" spans="1:3" s="7" customFormat="1" x14ac:dyDescent="0.2">
      <c r="A16736" s="6" t="str">
        <f>"AZIN2"</f>
        <v>AZIN2</v>
      </c>
      <c r="B16736" s="6" t="s">
        <v>1</v>
      </c>
      <c r="C16736" s="6" t="s">
        <v>1</v>
      </c>
    </row>
    <row r="16737" spans="1:3" s="7" customFormat="1" x14ac:dyDescent="0.2">
      <c r="A16737" s="6" t="str">
        <f>"AC021573.1"</f>
        <v>AC021573.1</v>
      </c>
      <c r="B16737" s="6" t="s">
        <v>1</v>
      </c>
      <c r="C16737" s="6" t="s">
        <v>1</v>
      </c>
    </row>
    <row r="16738" spans="1:3" s="7" customFormat="1" x14ac:dyDescent="0.2">
      <c r="A16738" s="6" t="str">
        <f>"AL772307.1"</f>
        <v>AL772307.1</v>
      </c>
      <c r="B16738" s="6" t="s">
        <v>1</v>
      </c>
      <c r="C16738" s="6" t="s">
        <v>1</v>
      </c>
    </row>
    <row r="16739" spans="1:3" s="7" customFormat="1" x14ac:dyDescent="0.2">
      <c r="A16739" s="6" t="str">
        <f>"PRKCA"</f>
        <v>PRKCA</v>
      </c>
      <c r="B16739" s="6" t="s">
        <v>1</v>
      </c>
      <c r="C16739" s="6" t="s">
        <v>1</v>
      </c>
    </row>
    <row r="16740" spans="1:3" s="7" customFormat="1" x14ac:dyDescent="0.2">
      <c r="A16740" s="6" t="str">
        <f>"CR1"</f>
        <v>CR1</v>
      </c>
      <c r="B16740" s="6" t="s">
        <v>1</v>
      </c>
      <c r="C16740" s="6" t="s">
        <v>1</v>
      </c>
    </row>
    <row r="16741" spans="1:3" s="7" customFormat="1" x14ac:dyDescent="0.2">
      <c r="A16741" s="6" t="str">
        <f>"APBB1IP"</f>
        <v>APBB1IP</v>
      </c>
      <c r="B16741" s="6" t="s">
        <v>1</v>
      </c>
      <c r="C16741" s="6" t="s">
        <v>1</v>
      </c>
    </row>
    <row r="16742" spans="1:3" s="7" customFormat="1" x14ac:dyDescent="0.2">
      <c r="A16742" s="6" t="str">
        <f>"TMSB4XP4"</f>
        <v>TMSB4XP4</v>
      </c>
      <c r="B16742" s="6" t="s">
        <v>1</v>
      </c>
      <c r="C16742" s="6" t="s">
        <v>1</v>
      </c>
    </row>
    <row r="16743" spans="1:3" s="7" customFormat="1" x14ac:dyDescent="0.2">
      <c r="A16743" s="6" t="str">
        <f>"REEP4"</f>
        <v>REEP4</v>
      </c>
      <c r="B16743" s="6" t="s">
        <v>1</v>
      </c>
      <c r="C16743" s="6" t="s">
        <v>1</v>
      </c>
    </row>
    <row r="16744" spans="1:3" s="7" customFormat="1" x14ac:dyDescent="0.2">
      <c r="A16744" s="6" t="str">
        <f>"ALOX5AP"</f>
        <v>ALOX5AP</v>
      </c>
      <c r="B16744" s="6" t="s">
        <v>1</v>
      </c>
      <c r="C16744" s="6" t="s">
        <v>1</v>
      </c>
    </row>
    <row r="16745" spans="1:3" s="7" customFormat="1" x14ac:dyDescent="0.2">
      <c r="A16745" s="6" t="str">
        <f>"PRKCE"</f>
        <v>PRKCE</v>
      </c>
      <c r="B16745" s="6" t="s">
        <v>1</v>
      </c>
      <c r="C16745" s="6" t="s">
        <v>1</v>
      </c>
    </row>
    <row r="16746" spans="1:3" s="7" customFormat="1" x14ac:dyDescent="0.2">
      <c r="A16746" s="6" t="str">
        <f>"STRN3"</f>
        <v>STRN3</v>
      </c>
      <c r="B16746" s="6" t="s">
        <v>1</v>
      </c>
      <c r="C16746" s="6" t="s">
        <v>1</v>
      </c>
    </row>
    <row r="16747" spans="1:3" s="7" customFormat="1" x14ac:dyDescent="0.2">
      <c r="A16747" s="6" t="str">
        <f>"PTGR2"</f>
        <v>PTGR2</v>
      </c>
      <c r="B16747" s="6" t="s">
        <v>1</v>
      </c>
      <c r="C16747" s="6" t="s">
        <v>1</v>
      </c>
    </row>
    <row r="16748" spans="1:3" s="7" customFormat="1" x14ac:dyDescent="0.2">
      <c r="A16748" s="6" t="str">
        <f>"CHKB"</f>
        <v>CHKB</v>
      </c>
      <c r="B16748" s="6" t="s">
        <v>1</v>
      </c>
      <c r="C16748" s="6" t="s">
        <v>1</v>
      </c>
    </row>
    <row r="16749" spans="1:3" s="7" customFormat="1" x14ac:dyDescent="0.2">
      <c r="A16749" s="6" t="str">
        <f>"TMEM120B"</f>
        <v>TMEM120B</v>
      </c>
      <c r="B16749" s="6" t="s">
        <v>1</v>
      </c>
      <c r="C16749" s="6" t="s">
        <v>1</v>
      </c>
    </row>
    <row r="16750" spans="1:3" s="7" customFormat="1" x14ac:dyDescent="0.2">
      <c r="A16750" s="6" t="str">
        <f>"WIPF1"</f>
        <v>WIPF1</v>
      </c>
      <c r="B16750" s="6" t="s">
        <v>1</v>
      </c>
      <c r="C16750" s="6" t="s">
        <v>1</v>
      </c>
    </row>
    <row r="16751" spans="1:3" s="7" customFormat="1" x14ac:dyDescent="0.2">
      <c r="A16751" s="6" t="str">
        <f>"CXCR4"</f>
        <v>CXCR4</v>
      </c>
      <c r="B16751" s="6" t="s">
        <v>1</v>
      </c>
      <c r="C16751" s="6" t="s">
        <v>1</v>
      </c>
    </row>
    <row r="16752" spans="1:3" s="7" customFormat="1" x14ac:dyDescent="0.2">
      <c r="A16752" s="6" t="str">
        <f>"ADGRA3"</f>
        <v>ADGRA3</v>
      </c>
      <c r="B16752" s="6" t="s">
        <v>1</v>
      </c>
      <c r="C16752" s="6" t="s">
        <v>1</v>
      </c>
    </row>
    <row r="16753" spans="1:3" s="7" customFormat="1" x14ac:dyDescent="0.2">
      <c r="A16753" s="6" t="str">
        <f>"RYK"</f>
        <v>RYK</v>
      </c>
      <c r="B16753" s="6" t="s">
        <v>1</v>
      </c>
      <c r="C16753" s="6" t="s">
        <v>1</v>
      </c>
    </row>
    <row r="16754" spans="1:3" s="7" customFormat="1" x14ac:dyDescent="0.2">
      <c r="A16754" s="6" t="str">
        <f>"PHF1"</f>
        <v>PHF1</v>
      </c>
      <c r="B16754" s="6" t="s">
        <v>1</v>
      </c>
      <c r="C16754" s="6" t="s">
        <v>1</v>
      </c>
    </row>
    <row r="16755" spans="1:3" s="7" customFormat="1" x14ac:dyDescent="0.2">
      <c r="A16755" s="6" t="str">
        <f>"SHOC2"</f>
        <v>SHOC2</v>
      </c>
      <c r="B16755" s="6" t="s">
        <v>1</v>
      </c>
      <c r="C16755" s="6" t="s">
        <v>1</v>
      </c>
    </row>
    <row r="16756" spans="1:3" s="7" customFormat="1" x14ac:dyDescent="0.2">
      <c r="A16756" s="6" t="str">
        <f>"CCL28"</f>
        <v>CCL28</v>
      </c>
      <c r="B16756" s="6" t="s">
        <v>1</v>
      </c>
      <c r="C16756" s="6" t="s">
        <v>1</v>
      </c>
    </row>
    <row r="16757" spans="1:3" s="7" customFormat="1" x14ac:dyDescent="0.2">
      <c r="A16757" s="6" t="str">
        <f>"SLC25A4"</f>
        <v>SLC25A4</v>
      </c>
      <c r="B16757" s="6" t="s">
        <v>1</v>
      </c>
      <c r="C16757" s="6" t="s">
        <v>1</v>
      </c>
    </row>
    <row r="16758" spans="1:3" s="7" customFormat="1" x14ac:dyDescent="0.2">
      <c r="A16758" s="6" t="str">
        <f>"RNF11"</f>
        <v>RNF11</v>
      </c>
      <c r="B16758" s="6" t="s">
        <v>1</v>
      </c>
      <c r="C16758" s="6" t="s">
        <v>1</v>
      </c>
    </row>
    <row r="16759" spans="1:3" s="7" customFormat="1" x14ac:dyDescent="0.2">
      <c r="A16759" s="6" t="str">
        <f>"PLEKHA5"</f>
        <v>PLEKHA5</v>
      </c>
      <c r="B16759" s="6" t="s">
        <v>1</v>
      </c>
      <c r="C16759" s="6" t="s">
        <v>1</v>
      </c>
    </row>
    <row r="16760" spans="1:3" s="7" customFormat="1" x14ac:dyDescent="0.2">
      <c r="A16760" s="6" t="str">
        <f>"RAD21"</f>
        <v>RAD21</v>
      </c>
      <c r="B16760" s="6" t="s">
        <v>1</v>
      </c>
      <c r="C16760" s="6" t="s">
        <v>1</v>
      </c>
    </row>
    <row r="16761" spans="1:3" s="7" customFormat="1" x14ac:dyDescent="0.2">
      <c r="A16761" s="6" t="str">
        <f>"SLC2A3"</f>
        <v>SLC2A3</v>
      </c>
      <c r="B16761" s="6" t="s">
        <v>1</v>
      </c>
      <c r="C16761" s="6" t="s">
        <v>1</v>
      </c>
    </row>
    <row r="16762" spans="1:3" s="7" customFormat="1" x14ac:dyDescent="0.2">
      <c r="A16762" s="6" t="str">
        <f>"CCT3"</f>
        <v>CCT3</v>
      </c>
      <c r="B16762" s="6" t="s">
        <v>1</v>
      </c>
      <c r="C16762" s="6" t="s">
        <v>1</v>
      </c>
    </row>
    <row r="16763" spans="1:3" s="7" customFormat="1" x14ac:dyDescent="0.2">
      <c r="A16763" s="6" t="str">
        <f>"PRKCD"</f>
        <v>PRKCD</v>
      </c>
      <c r="B16763" s="6" t="s">
        <v>1</v>
      </c>
      <c r="C16763" s="6" t="s">
        <v>1</v>
      </c>
    </row>
    <row r="16764" spans="1:3" s="7" customFormat="1" x14ac:dyDescent="0.2">
      <c r="A16764" s="6" t="str">
        <f>"SREBF1"</f>
        <v>SREBF1</v>
      </c>
      <c r="B16764" s="6" t="s">
        <v>1</v>
      </c>
      <c r="C16764" s="6" t="s">
        <v>1</v>
      </c>
    </row>
    <row r="16765" spans="1:3" s="7" customFormat="1" x14ac:dyDescent="0.2">
      <c r="A16765" s="6" t="str">
        <f>"C1orf43"</f>
        <v>C1orf43</v>
      </c>
      <c r="B16765" s="6" t="s">
        <v>1</v>
      </c>
      <c r="C16765" s="6" t="s">
        <v>1</v>
      </c>
    </row>
    <row r="16766" spans="1:3" s="7" customFormat="1" x14ac:dyDescent="0.2">
      <c r="A16766" s="6" t="str">
        <f>"RPL38"</f>
        <v>RPL38</v>
      </c>
      <c r="B16766" s="6" t="s">
        <v>1</v>
      </c>
      <c r="C16766" s="6" t="s">
        <v>1</v>
      </c>
    </row>
    <row r="16767" spans="1:3" s="7" customFormat="1" x14ac:dyDescent="0.2">
      <c r="A16767" s="6" t="str">
        <f>"CHMP2A"</f>
        <v>CHMP2A</v>
      </c>
      <c r="B16767" s="6" t="s">
        <v>1</v>
      </c>
      <c r="C16767" s="6" t="s">
        <v>1</v>
      </c>
    </row>
    <row r="16768" spans="1:3" s="7" customFormat="1" x14ac:dyDescent="0.2">
      <c r="A16768" s="6" t="str">
        <f>"B3GNT7"</f>
        <v>B3GNT7</v>
      </c>
      <c r="B16768" s="6" t="s">
        <v>1</v>
      </c>
      <c r="C16768" s="6" t="s">
        <v>1</v>
      </c>
    </row>
    <row r="16769" spans="1:3" s="7" customFormat="1" x14ac:dyDescent="0.2">
      <c r="A16769" s="6" t="str">
        <f>"ARF1"</f>
        <v>ARF1</v>
      </c>
      <c r="B16769" s="6" t="s">
        <v>1</v>
      </c>
      <c r="C16769" s="6" t="s">
        <v>1</v>
      </c>
    </row>
    <row r="16770" spans="1:3" s="7" customFormat="1" x14ac:dyDescent="0.2">
      <c r="A16770" s="6" t="str">
        <f>"CXCL8"</f>
        <v>CXCL8</v>
      </c>
      <c r="B16770" s="6" t="s">
        <v>1</v>
      </c>
      <c r="C16770" s="6" t="s">
        <v>1</v>
      </c>
    </row>
    <row r="16771" spans="1:3" s="7" customFormat="1" x14ac:dyDescent="0.2">
      <c r="A16771" s="6" t="str">
        <f>"AC004678.1"</f>
        <v>AC004678.1</v>
      </c>
      <c r="B16771" s="6" t="s">
        <v>1</v>
      </c>
      <c r="C16771" s="6" t="s">
        <v>1</v>
      </c>
    </row>
    <row r="16772" spans="1:3" s="7" customFormat="1" x14ac:dyDescent="0.2">
      <c r="A16772" s="6" t="str">
        <f>"ANXA2P2"</f>
        <v>ANXA2P2</v>
      </c>
      <c r="B16772" s="6" t="s">
        <v>1</v>
      </c>
      <c r="C16772" s="6" t="s">
        <v>1</v>
      </c>
    </row>
    <row r="16773" spans="1:3" s="7" customFormat="1" x14ac:dyDescent="0.2">
      <c r="A16773" s="6" t="str">
        <f>"AL391832.3"</f>
        <v>AL391832.3</v>
      </c>
      <c r="B16773" s="6" t="s">
        <v>1</v>
      </c>
      <c r="C16773" s="6" t="s">
        <v>1</v>
      </c>
    </row>
    <row r="16774" spans="1:3" s="7" customFormat="1" x14ac:dyDescent="0.2">
      <c r="A16774" s="6" t="str">
        <f>"AL133163.1"</f>
        <v>AL133163.1</v>
      </c>
      <c r="B16774" s="6" t="s">
        <v>1</v>
      </c>
      <c r="C16774" s="6" t="s">
        <v>1</v>
      </c>
    </row>
    <row r="16775" spans="1:3" s="7" customFormat="1" x14ac:dyDescent="0.2">
      <c r="A16775" s="6" t="str">
        <f>"CR392000.1"</f>
        <v>CR392000.1</v>
      </c>
      <c r="B16775" s="6" t="s">
        <v>1</v>
      </c>
      <c r="C16775" s="6" t="s">
        <v>1</v>
      </c>
    </row>
    <row r="16776" spans="1:3" s="7" customFormat="1" x14ac:dyDescent="0.2">
      <c r="A16776" s="6" t="str">
        <f>"AC009093.10"</f>
        <v>AC009093.10</v>
      </c>
      <c r="B16776" s="6" t="s">
        <v>1</v>
      </c>
      <c r="C16776" s="6" t="s">
        <v>1</v>
      </c>
    </row>
    <row r="16777" spans="1:3" s="7" customFormat="1" x14ac:dyDescent="0.2">
      <c r="A16777" s="6" t="str">
        <f>"SLC2A14"</f>
        <v>SLC2A14</v>
      </c>
      <c r="B16777" s="6" t="s">
        <v>1</v>
      </c>
      <c r="C16777" s="6" t="s">
        <v>1</v>
      </c>
    </row>
    <row r="16778" spans="1:3" s="7" customFormat="1" x14ac:dyDescent="0.2">
      <c r="A16778" s="6" t="str">
        <f>"AC021092.1"</f>
        <v>AC021092.1</v>
      </c>
      <c r="B16778" s="6" t="s">
        <v>1</v>
      </c>
      <c r="C16778" s="6" t="s">
        <v>1</v>
      </c>
    </row>
    <row r="16779" spans="1:3" s="7" customFormat="1" x14ac:dyDescent="0.2">
      <c r="A16779" s="6" t="str">
        <f>"AC006557.6"</f>
        <v>AC006557.6</v>
      </c>
      <c r="B16779" s="6" t="s">
        <v>1</v>
      </c>
      <c r="C16779" s="6" t="s">
        <v>1</v>
      </c>
    </row>
    <row r="16780" spans="1:3" s="7" customFormat="1" x14ac:dyDescent="0.2">
      <c r="A16780" s="6" t="str">
        <f>"AL132780.3"</f>
        <v>AL132780.3</v>
      </c>
      <c r="B16780" s="6" t="s">
        <v>1</v>
      </c>
      <c r="C16780" s="6" t="s">
        <v>1</v>
      </c>
    </row>
    <row r="16781" spans="1:3" s="7" customFormat="1" x14ac:dyDescent="0.2">
      <c r="A16781" s="6" t="str">
        <f>"POU2F2"</f>
        <v>POU2F2</v>
      </c>
      <c r="B16781" s="6" t="s">
        <v>1</v>
      </c>
      <c r="C16781" s="6" t="s">
        <v>1</v>
      </c>
    </row>
    <row r="16782" spans="1:3" s="7" customFormat="1" x14ac:dyDescent="0.2">
      <c r="A16782" s="6" t="str">
        <f>"SMARCD3"</f>
        <v>SMARCD3</v>
      </c>
      <c r="B16782" s="6" t="s">
        <v>1</v>
      </c>
      <c r="C16782" s="6" t="s">
        <v>1</v>
      </c>
    </row>
    <row r="16783" spans="1:3" s="7" customFormat="1" x14ac:dyDescent="0.2">
      <c r="A16783" s="6" t="str">
        <f>"CNFN"</f>
        <v>CNFN</v>
      </c>
      <c r="B16783" s="6" t="s">
        <v>1</v>
      </c>
      <c r="C16783" s="6" t="s">
        <v>1</v>
      </c>
    </row>
    <row r="16784" spans="1:3" s="7" customFormat="1" x14ac:dyDescent="0.2">
      <c r="A16784" s="6" t="str">
        <f>"ADGRE2"</f>
        <v>ADGRE2</v>
      </c>
      <c r="B16784" s="6" t="s">
        <v>1</v>
      </c>
      <c r="C16784" s="6" t="s">
        <v>1</v>
      </c>
    </row>
    <row r="16785" spans="1:3" s="7" customFormat="1" x14ac:dyDescent="0.2">
      <c r="A16785" s="6" t="str">
        <f>"CXCR1"</f>
        <v>CXCR1</v>
      </c>
      <c r="B16785" s="6" t="s">
        <v>1</v>
      </c>
      <c r="C16785" s="6" t="s">
        <v>1</v>
      </c>
    </row>
    <row r="16786" spans="1:3" s="7" customFormat="1" x14ac:dyDescent="0.2">
      <c r="A16786" s="6" t="str">
        <f>"PRKAR2B"</f>
        <v>PRKAR2B</v>
      </c>
      <c r="B16786" s="6" t="s">
        <v>1</v>
      </c>
      <c r="C16786" s="6" t="s">
        <v>1</v>
      </c>
    </row>
    <row r="16787" spans="1:3" s="7" customFormat="1" x14ac:dyDescent="0.2">
      <c r="A16787" s="6" t="str">
        <f>"PLEK"</f>
        <v>PLEK</v>
      </c>
      <c r="B16787" s="6" t="s">
        <v>1</v>
      </c>
      <c r="C16787" s="6" t="s">
        <v>1</v>
      </c>
    </row>
    <row r="16788" spans="1:3" s="7" customFormat="1" x14ac:dyDescent="0.2">
      <c r="A16788" s="6" t="str">
        <f>"BPNT2"</f>
        <v>BPNT2</v>
      </c>
      <c r="B16788" s="6" t="s">
        <v>1</v>
      </c>
      <c r="C16788" s="6" t="s">
        <v>1</v>
      </c>
    </row>
    <row r="16789" spans="1:3" s="7" customFormat="1" x14ac:dyDescent="0.2">
      <c r="A16789" s="6" t="str">
        <f>"PTGS2"</f>
        <v>PTGS2</v>
      </c>
      <c r="B16789" s="6" t="s">
        <v>1</v>
      </c>
      <c r="C16789" s="6" t="s">
        <v>1</v>
      </c>
    </row>
    <row r="16790" spans="1:3" s="7" customFormat="1" x14ac:dyDescent="0.2">
      <c r="A16790" s="6" t="str">
        <f>"AC126283.1"</f>
        <v>AC126283.1</v>
      </c>
      <c r="B16790" s="6" t="s">
        <v>1</v>
      </c>
      <c r="C16790" s="6" t="s">
        <v>1</v>
      </c>
    </row>
    <row r="16791" spans="1:3" s="7" customFormat="1" x14ac:dyDescent="0.2">
      <c r="A16791" s="6" t="str">
        <f>"AC106739.1"</f>
        <v>AC106739.1</v>
      </c>
      <c r="B16791" s="6" t="s">
        <v>1</v>
      </c>
      <c r="C16791" s="6" t="s">
        <v>1</v>
      </c>
    </row>
    <row r="16792" spans="1:3" s="7" customFormat="1" x14ac:dyDescent="0.2">
      <c r="A16792" s="6" t="str">
        <f>"AL021978.1"</f>
        <v>AL021978.1</v>
      </c>
      <c r="B16792" s="6" t="s">
        <v>1</v>
      </c>
      <c r="C16792" s="6" t="s">
        <v>1</v>
      </c>
    </row>
    <row r="16793" spans="1:3" s="7" customFormat="1" x14ac:dyDescent="0.2">
      <c r="A16793" s="6" t="str">
        <f>"AL391825.1"</f>
        <v>AL391825.1</v>
      </c>
      <c r="B16793" s="6" t="s">
        <v>1</v>
      </c>
      <c r="C16793" s="6" t="s">
        <v>1</v>
      </c>
    </row>
    <row r="16794" spans="1:3" s="7" customFormat="1" x14ac:dyDescent="0.2">
      <c r="A16794" s="6" t="str">
        <f>"AC004678.2"</f>
        <v>AC004678.2</v>
      </c>
      <c r="B16794" s="6" t="s">
        <v>1</v>
      </c>
      <c r="C16794" s="6" t="s">
        <v>1</v>
      </c>
    </row>
    <row r="16795" spans="1:3" s="7" customFormat="1" x14ac:dyDescent="0.2">
      <c r="A16795" s="6" t="str">
        <f>"CXorf21"</f>
        <v>CXorf21</v>
      </c>
      <c r="B16795" s="6" t="s">
        <v>1</v>
      </c>
      <c r="C16795" s="6" t="s">
        <v>1</v>
      </c>
    </row>
    <row r="16796" spans="1:3" s="7" customFormat="1" x14ac:dyDescent="0.2">
      <c r="A16796" s="6" t="str">
        <f>"AC004687.1"</f>
        <v>AC004687.1</v>
      </c>
      <c r="B16796" s="6" t="s">
        <v>1</v>
      </c>
      <c r="C16796" s="6" t="s">
        <v>1</v>
      </c>
    </row>
    <row r="16797" spans="1:3" s="7" customFormat="1" x14ac:dyDescent="0.2">
      <c r="A16797" s="6" t="str">
        <f>"AOAH"</f>
        <v>AOAH</v>
      </c>
      <c r="B16797" s="6" t="s">
        <v>1</v>
      </c>
      <c r="C16797" s="6" t="s">
        <v>1</v>
      </c>
    </row>
    <row r="16798" spans="1:3" s="7" customFormat="1" x14ac:dyDescent="0.2">
      <c r="A16798" s="6" t="str">
        <f>"CHDH"</f>
        <v>CHDH</v>
      </c>
      <c r="B16798" s="6" t="s">
        <v>1</v>
      </c>
      <c r="C16798" s="6" t="s">
        <v>1</v>
      </c>
    </row>
    <row r="16799" spans="1:3" s="7" customFormat="1" x14ac:dyDescent="0.2">
      <c r="A16799" s="6" t="str">
        <f>"POU2AF1"</f>
        <v>POU2AF1</v>
      </c>
      <c r="B16799" s="6" t="s">
        <v>1</v>
      </c>
      <c r="C16799" s="6" t="s">
        <v>1</v>
      </c>
    </row>
    <row r="16800" spans="1:3" s="7" customFormat="1" x14ac:dyDescent="0.2">
      <c r="A16800" s="6" t="str">
        <f>"ASAP1"</f>
        <v>ASAP1</v>
      </c>
      <c r="B16800" s="6" t="s">
        <v>1</v>
      </c>
      <c r="C16800" s="6" t="s">
        <v>1</v>
      </c>
    </row>
    <row r="16801" spans="1:3" s="7" customFormat="1" x14ac:dyDescent="0.2">
      <c r="A16801" s="6" t="str">
        <f>"ALOX5"</f>
        <v>ALOX5</v>
      </c>
      <c r="B16801" s="6" t="s">
        <v>1</v>
      </c>
      <c r="C16801" s="6" t="s">
        <v>1</v>
      </c>
    </row>
    <row r="16802" spans="1:3" s="7" customFormat="1" x14ac:dyDescent="0.2">
      <c r="A16802" s="6" t="str">
        <f>"C1QC"</f>
        <v>C1QC</v>
      </c>
      <c r="B16802" s="6" t="s">
        <v>1</v>
      </c>
      <c r="C16802" s="6" t="s">
        <v>1</v>
      </c>
    </row>
    <row r="16803" spans="1:3" s="7" customFormat="1" x14ac:dyDescent="0.2">
      <c r="A16803" s="6" t="str">
        <f>"CNBP"</f>
        <v>CNBP</v>
      </c>
      <c r="B16803" s="6" t="s">
        <v>1</v>
      </c>
      <c r="C16803" s="6" t="s">
        <v>1</v>
      </c>
    </row>
    <row r="16804" spans="1:3" s="7" customFormat="1" x14ac:dyDescent="0.2">
      <c r="A16804" s="6" t="str">
        <f>"AC021087.1"</f>
        <v>AC021087.1</v>
      </c>
      <c r="B16804" s="6" t="s">
        <v>1</v>
      </c>
      <c r="C16804" s="6" t="s">
        <v>1</v>
      </c>
    </row>
    <row r="16805" spans="1:3" s="7" customFormat="1" x14ac:dyDescent="0.2">
      <c r="A16805" s="6" t="str">
        <f>"TMEM119"</f>
        <v>TMEM119</v>
      </c>
      <c r="B16805" s="6" t="s">
        <v>1</v>
      </c>
      <c r="C16805" s="6" t="s">
        <v>1</v>
      </c>
    </row>
    <row r="16806" spans="1:3" s="7" customFormat="1" x14ac:dyDescent="0.2">
      <c r="A16806" s="6" t="str">
        <f>"CMTM1"</f>
        <v>CMTM1</v>
      </c>
      <c r="B16806" s="6" t="s">
        <v>1</v>
      </c>
      <c r="C16806" s="6" t="s">
        <v>1</v>
      </c>
    </row>
    <row r="16807" spans="1:3" s="7" customFormat="1" x14ac:dyDescent="0.2">
      <c r="A16807" s="6" t="str">
        <f>"BTK"</f>
        <v>BTK</v>
      </c>
      <c r="B16807" s="6" t="s">
        <v>1</v>
      </c>
      <c r="C16807" s="6" t="s">
        <v>1</v>
      </c>
    </row>
    <row r="16808" spans="1:3" s="7" customFormat="1" x14ac:dyDescent="0.2">
      <c r="A16808" s="6" t="str">
        <f>"CMTM2"</f>
        <v>CMTM2</v>
      </c>
      <c r="B16808" s="6" t="s">
        <v>1</v>
      </c>
      <c r="C16808" s="6" t="s">
        <v>1</v>
      </c>
    </row>
    <row r="16809" spans="1:3" s="7" customFormat="1" x14ac:dyDescent="0.2">
      <c r="A16809" s="6" t="str">
        <f>"C1QA"</f>
        <v>C1QA</v>
      </c>
      <c r="B16809" s="6" t="s">
        <v>1</v>
      </c>
      <c r="C16809" s="6" t="s">
        <v>1</v>
      </c>
    </row>
    <row r="16810" spans="1:3" s="7" customFormat="1" x14ac:dyDescent="0.2">
      <c r="A16810" s="6" t="str">
        <f>"VNN2"</f>
        <v>VNN2</v>
      </c>
      <c r="B16810" s="6" t="s">
        <v>1</v>
      </c>
      <c r="C16810" s="6" t="s">
        <v>1</v>
      </c>
    </row>
    <row r="16811" spans="1:3" s="7" customFormat="1" x14ac:dyDescent="0.2">
      <c r="A16811" s="6" t="str">
        <f>"CXCR2"</f>
        <v>CXCR2</v>
      </c>
      <c r="B16811" s="6" t="s">
        <v>1</v>
      </c>
      <c r="C16811" s="6" t="s">
        <v>1</v>
      </c>
    </row>
    <row r="16812" spans="1:3" s="7" customFormat="1" x14ac:dyDescent="0.2">
      <c r="A16812" s="6" t="str">
        <f>"CNGA1"</f>
        <v>CNGA1</v>
      </c>
      <c r="B16812" s="6" t="s">
        <v>1</v>
      </c>
      <c r="C16812" s="6" t="s">
        <v>1</v>
      </c>
    </row>
    <row r="16813" spans="1:3" s="7" customFormat="1" x14ac:dyDescent="0.2">
      <c r="A16813" s="6" t="str">
        <f>"AC044860.1"</f>
        <v>AC044860.1</v>
      </c>
      <c r="B16813" s="6" t="s">
        <v>1</v>
      </c>
      <c r="C16813" s="6" t="s">
        <v>1</v>
      </c>
    </row>
    <row r="16814" spans="1:3" s="7" customFormat="1" x14ac:dyDescent="0.2">
      <c r="A16814" s="6" t="str">
        <f>"RFLNB"</f>
        <v>RFLNB</v>
      </c>
      <c r="B16814" s="6" t="s">
        <v>1</v>
      </c>
      <c r="C16814" s="6" t="s">
        <v>1</v>
      </c>
    </row>
    <row r="16815" spans="1:3" s="7" customFormat="1" x14ac:dyDescent="0.2">
      <c r="A16815" s="6" t="str">
        <f>"CHI3L1"</f>
        <v>CHI3L1</v>
      </c>
      <c r="B16815" s="6" t="s">
        <v>1</v>
      </c>
      <c r="C16815" s="6" t="s">
        <v>1</v>
      </c>
    </row>
    <row r="16816" spans="1:3" s="7" customFormat="1" x14ac:dyDescent="0.2">
      <c r="A16816" s="6" t="str">
        <f>"VBP1"</f>
        <v>VBP1</v>
      </c>
      <c r="B16816" s="6" t="s">
        <v>1</v>
      </c>
      <c r="C16816" s="6" t="s">
        <v>1</v>
      </c>
    </row>
    <row r="16817" spans="1:3" s="7" customFormat="1" x14ac:dyDescent="0.2">
      <c r="A16817" s="6" t="str">
        <f>"CRBN"</f>
        <v>CRBN</v>
      </c>
      <c r="B16817" s="6" t="s">
        <v>1</v>
      </c>
      <c r="C16817" s="6" t="s">
        <v>1</v>
      </c>
    </row>
    <row r="16818" spans="1:3" s="7" customFormat="1" x14ac:dyDescent="0.2">
      <c r="A16818" s="6" t="str">
        <f>"CYB561D1"</f>
        <v>CYB561D1</v>
      </c>
      <c r="B16818" s="6" t="s">
        <v>1</v>
      </c>
      <c r="C16818" s="6" t="s">
        <v>1</v>
      </c>
    </row>
    <row r="16819" spans="1:3" s="7" customFormat="1" x14ac:dyDescent="0.2">
      <c r="A16819" s="6" t="str">
        <f>"PTGFR"</f>
        <v>PTGFR</v>
      </c>
      <c r="B16819" s="6" t="s">
        <v>1</v>
      </c>
      <c r="C16819" s="6" t="s">
        <v>1</v>
      </c>
    </row>
    <row r="16820" spans="1:3" s="7" customFormat="1" x14ac:dyDescent="0.2">
      <c r="A16820" s="6" t="str">
        <f>"ARRB2"</f>
        <v>ARRB2</v>
      </c>
      <c r="B16820" s="6" t="s">
        <v>1</v>
      </c>
      <c r="C16820" s="6" t="s">
        <v>1</v>
      </c>
    </row>
    <row r="16821" spans="1:3" s="7" customFormat="1" x14ac:dyDescent="0.2">
      <c r="A16821" s="6" t="str">
        <f>"CYBA"</f>
        <v>CYBA</v>
      </c>
      <c r="B16821" s="6" t="s">
        <v>1</v>
      </c>
      <c r="C16821" s="6" t="s">
        <v>1</v>
      </c>
    </row>
    <row r="16822" spans="1:3" s="7" customFormat="1" x14ac:dyDescent="0.2">
      <c r="A16822" s="6" t="str">
        <f>"AC021739.2"</f>
        <v>AC021739.2</v>
      </c>
      <c r="B16822" s="6" t="s">
        <v>1</v>
      </c>
      <c r="C16822" s="6" t="s">
        <v>1</v>
      </c>
    </row>
    <row r="16823" spans="1:3" s="7" customFormat="1" x14ac:dyDescent="0.2">
      <c r="A16823" s="6" t="str">
        <f>"POTEJ"</f>
        <v>POTEJ</v>
      </c>
      <c r="B16823" s="6" t="s">
        <v>1</v>
      </c>
      <c r="C16823" s="6" t="s">
        <v>1</v>
      </c>
    </row>
    <row r="16824" spans="1:3" s="7" customFormat="1" x14ac:dyDescent="0.2">
      <c r="A16824" s="6" t="str">
        <f>"AL773545.3"</f>
        <v>AL773545.3</v>
      </c>
      <c r="B16824" s="6" t="s">
        <v>1</v>
      </c>
      <c r="C16824" s="6" t="s">
        <v>1</v>
      </c>
    </row>
    <row r="16825" spans="1:3" s="7" customFormat="1" x14ac:dyDescent="0.2">
      <c r="A16825" s="6" t="str">
        <f>"TMSB4XP6"</f>
        <v>TMSB4XP6</v>
      </c>
      <c r="B16825" s="6" t="s">
        <v>1</v>
      </c>
      <c r="C16825" s="6" t="s">
        <v>1</v>
      </c>
    </row>
    <row r="16826" spans="1:3" s="7" customFormat="1" x14ac:dyDescent="0.2">
      <c r="A16826" s="6" t="str">
        <f>"CHGB"</f>
        <v>CHGB</v>
      </c>
      <c r="B16826" s="6" t="s">
        <v>1</v>
      </c>
      <c r="C16826" s="6" t="s">
        <v>1</v>
      </c>
    </row>
    <row r="16827" spans="1:3" s="7" customFormat="1" x14ac:dyDescent="0.2">
      <c r="A16827" s="6" t="str">
        <f>"AC233723.1"</f>
        <v>AC233723.1</v>
      </c>
      <c r="B16827" s="6" t="s">
        <v>1</v>
      </c>
      <c r="C16827" s="6" t="s">
        <v>1</v>
      </c>
    </row>
    <row r="16828" spans="1:3" s="7" customFormat="1" x14ac:dyDescent="0.2">
      <c r="A16828" s="6" t="str">
        <f>"AL391832.2"</f>
        <v>AL391832.2</v>
      </c>
      <c r="B16828" s="6" t="s">
        <v>1</v>
      </c>
      <c r="C16828" s="6" t="s">
        <v>1</v>
      </c>
    </row>
    <row r="16829" spans="1:3" s="7" customFormat="1" x14ac:dyDescent="0.2">
      <c r="A16829" s="6" t="str">
        <f>"AC083862.1"</f>
        <v>AC083862.1</v>
      </c>
      <c r="B16829" s="6" t="s">
        <v>1</v>
      </c>
      <c r="C16829" s="6" t="s">
        <v>1</v>
      </c>
    </row>
    <row r="16830" spans="1:3" s="7" customFormat="1" x14ac:dyDescent="0.2">
      <c r="A16830" s="6" t="str">
        <f>"AC040970.1"</f>
        <v>AC040970.1</v>
      </c>
      <c r="B16830" s="6" t="s">
        <v>1</v>
      </c>
      <c r="C16830" s="6" t="s">
        <v>1</v>
      </c>
    </row>
    <row r="16831" spans="1:3" s="7" customFormat="1" x14ac:dyDescent="0.2">
      <c r="A16831" s="6" t="str">
        <f>"AL136295.4"</f>
        <v>AL136295.4</v>
      </c>
      <c r="B16831" s="6" t="s">
        <v>1</v>
      </c>
      <c r="C16831" s="6" t="s">
        <v>1</v>
      </c>
    </row>
    <row r="16832" spans="1:3" s="7" customFormat="1" x14ac:dyDescent="0.2">
      <c r="A16832" s="6" t="str">
        <f>"AL732372.3"</f>
        <v>AL732372.3</v>
      </c>
      <c r="B16832" s="6" t="s">
        <v>1</v>
      </c>
      <c r="C16832" s="6" t="s">
        <v>1</v>
      </c>
    </row>
    <row r="16833" spans="1:3" s="7" customFormat="1" x14ac:dyDescent="0.2">
      <c r="A16833" s="6" t="str">
        <f>"CRCT1"</f>
        <v>CRCT1</v>
      </c>
      <c r="B16833" s="6" t="s">
        <v>1</v>
      </c>
      <c r="C16833" s="6" t="s">
        <v>1</v>
      </c>
    </row>
    <row r="16834" spans="1:3" s="7" customFormat="1" x14ac:dyDescent="0.2">
      <c r="A16834" s="6" t="str">
        <f>"ALOX15B"</f>
        <v>ALOX15B</v>
      </c>
      <c r="B16834" s="6" t="s">
        <v>1</v>
      </c>
      <c r="C16834" s="6" t="s">
        <v>1</v>
      </c>
    </row>
    <row r="16835" spans="1:3" s="7" customFormat="1" x14ac:dyDescent="0.2">
      <c r="A16835" s="6" t="str">
        <f>"BTG2"</f>
        <v>BTG2</v>
      </c>
      <c r="B16835" s="6" t="s">
        <v>1</v>
      </c>
      <c r="C16835" s="6" t="s">
        <v>1</v>
      </c>
    </row>
    <row r="16836" spans="1:3" s="7" customFormat="1" x14ac:dyDescent="0.2">
      <c r="A16836" s="6" t="str">
        <f>"SNX22"</f>
        <v>SNX22</v>
      </c>
      <c r="B16836" s="6" t="s">
        <v>1</v>
      </c>
      <c r="C16836" s="6" t="s">
        <v>1</v>
      </c>
    </row>
    <row r="16837" spans="1:3" s="7" customFormat="1" x14ac:dyDescent="0.2">
      <c r="A16837" s="6" t="str">
        <f>"AC012313.6"</f>
        <v>AC012313.6</v>
      </c>
      <c r="B16837" s="6" t="s">
        <v>1</v>
      </c>
      <c r="C16837" s="6" t="s">
        <v>1</v>
      </c>
    </row>
    <row r="16838" spans="1:3" s="7" customFormat="1" x14ac:dyDescent="0.2">
      <c r="A16838" s="6" t="str">
        <f>"CCL24"</f>
        <v>CCL24</v>
      </c>
      <c r="B16838" s="6" t="s">
        <v>1</v>
      </c>
      <c r="C16838" s="6" t="s">
        <v>1</v>
      </c>
    </row>
    <row r="16839" spans="1:3" s="7" customFormat="1" x14ac:dyDescent="0.2">
      <c r="A16839" s="6" t="str">
        <f>"KCNK2"</f>
        <v>KCNK2</v>
      </c>
      <c r="B16839" s="6" t="s">
        <v>1</v>
      </c>
      <c r="C16839" s="6" t="s">
        <v>1</v>
      </c>
    </row>
    <row r="16840" spans="1:3" s="7" customFormat="1" x14ac:dyDescent="0.2">
      <c r="A16840" s="6" t="str">
        <f>"C1QTNF3"</f>
        <v>C1QTNF3</v>
      </c>
      <c r="B16840" s="6" t="s">
        <v>1</v>
      </c>
      <c r="C16840" s="6" t="s">
        <v>1</v>
      </c>
    </row>
    <row r="16841" spans="1:3" s="7" customFormat="1" x14ac:dyDescent="0.2">
      <c r="A16841" s="6" t="str">
        <f>"ADGRF5P1"</f>
        <v>ADGRF5P1</v>
      </c>
      <c r="B16841" s="6" t="s">
        <v>1</v>
      </c>
      <c r="C16841" s="6" t="s">
        <v>1</v>
      </c>
    </row>
    <row r="16842" spans="1:3" s="7" customFormat="1" x14ac:dyDescent="0.2">
      <c r="A16842" s="6" t="str">
        <f>"AL391056.2"</f>
        <v>AL391056.2</v>
      </c>
      <c r="B16842" s="6" t="s">
        <v>1</v>
      </c>
      <c r="C16842" s="6" t="s">
        <v>1</v>
      </c>
    </row>
    <row r="16843" spans="1:3" s="7" customFormat="1" x14ac:dyDescent="0.2">
      <c r="A16843" s="6" t="str">
        <f>"AL731769.2"</f>
        <v>AL731769.2</v>
      </c>
      <c r="B16843" s="6" t="s">
        <v>1</v>
      </c>
      <c r="C16843" s="6" t="s">
        <v>1</v>
      </c>
    </row>
    <row r="16844" spans="1:3" s="7" customFormat="1" x14ac:dyDescent="0.2">
      <c r="A16844" s="6" t="str">
        <f>"AC105460.1"</f>
        <v>AC105460.1</v>
      </c>
      <c r="B16844" s="6" t="s">
        <v>1</v>
      </c>
      <c r="C16844" s="6" t="s">
        <v>1</v>
      </c>
    </row>
    <row r="16845" spans="1:3" s="7" customFormat="1" x14ac:dyDescent="0.2">
      <c r="A16845" s="6" t="str">
        <f>"ZNF230"</f>
        <v>ZNF230</v>
      </c>
      <c r="B16845" s="6" t="s">
        <v>1</v>
      </c>
      <c r="C16845" s="6" t="s">
        <v>1</v>
      </c>
    </row>
    <row r="16846" spans="1:3" s="7" customFormat="1" x14ac:dyDescent="0.2">
      <c r="A16846" s="6" t="str">
        <f>"B3GALNT1"</f>
        <v>B3GALNT1</v>
      </c>
      <c r="B16846" s="6" t="s">
        <v>1</v>
      </c>
      <c r="C16846" s="6" t="s">
        <v>1</v>
      </c>
    </row>
    <row r="16847" spans="1:3" s="7" customFormat="1" x14ac:dyDescent="0.2">
      <c r="A16847" s="6" t="str">
        <f>"RELA"</f>
        <v>RELA</v>
      </c>
      <c r="B16847" s="6" t="s">
        <v>1</v>
      </c>
      <c r="C16847" s="6" t="s">
        <v>1</v>
      </c>
    </row>
    <row r="16848" spans="1:3" s="7" customFormat="1" x14ac:dyDescent="0.2">
      <c r="A16848" s="6" t="str">
        <f>"CMPK1"</f>
        <v>CMPK1</v>
      </c>
      <c r="B16848" s="6" t="s">
        <v>1</v>
      </c>
      <c r="C16848" s="6" t="s">
        <v>1</v>
      </c>
    </row>
    <row r="16849" spans="1:3" s="7" customFormat="1" x14ac:dyDescent="0.2">
      <c r="A16849" s="6" t="str">
        <f>"AC009133.2"</f>
        <v>AC009133.2</v>
      </c>
      <c r="B16849" s="6" t="s">
        <v>1</v>
      </c>
      <c r="C16849" s="6" t="s">
        <v>1</v>
      </c>
    </row>
    <row r="16850" spans="1:3" s="7" customFormat="1" x14ac:dyDescent="0.2">
      <c r="A16850" s="6" t="str">
        <f>"AC004066.1"</f>
        <v>AC004066.1</v>
      </c>
      <c r="B16850" s="6" t="s">
        <v>1</v>
      </c>
      <c r="C16850" s="6" t="s">
        <v>1</v>
      </c>
    </row>
    <row r="16851" spans="1:3" s="7" customFormat="1" x14ac:dyDescent="0.2">
      <c r="A16851" s="6" t="str">
        <f>"CCL25"</f>
        <v>CCL25</v>
      </c>
      <c r="B16851" s="6" t="s">
        <v>1</v>
      </c>
      <c r="C16851" s="6" t="s">
        <v>1</v>
      </c>
    </row>
    <row r="16852" spans="1:3" s="7" customFormat="1" x14ac:dyDescent="0.2">
      <c r="A16852" s="6" t="str">
        <f>"AL021707.6"</f>
        <v>AL021707.6</v>
      </c>
      <c r="B16852" s="6" t="s">
        <v>1</v>
      </c>
      <c r="C16852" s="6" t="s">
        <v>1</v>
      </c>
    </row>
    <row r="16853" spans="1:3" s="7" customFormat="1" x14ac:dyDescent="0.2">
      <c r="A16853" s="6" t="str">
        <f>"SLC2A13"</f>
        <v>SLC2A13</v>
      </c>
      <c r="B16853" s="6" t="s">
        <v>1</v>
      </c>
      <c r="C16853" s="6" t="s">
        <v>1</v>
      </c>
    </row>
    <row r="16854" spans="1:3" s="7" customFormat="1" x14ac:dyDescent="0.2">
      <c r="A16854" s="6" t="str">
        <f>"RAD23A"</f>
        <v>RAD23A</v>
      </c>
      <c r="B16854" s="6" t="s">
        <v>1</v>
      </c>
      <c r="C16854" s="6" t="s">
        <v>1</v>
      </c>
    </row>
    <row r="16855" spans="1:3" s="7" customFormat="1" x14ac:dyDescent="0.2">
      <c r="A16855" s="6" t="str">
        <f>"AC234781.5"</f>
        <v>AC234781.5</v>
      </c>
      <c r="B16855" s="6" t="s">
        <v>1</v>
      </c>
      <c r="C16855" s="6" t="s">
        <v>1</v>
      </c>
    </row>
    <row r="16856" spans="1:3" s="7" customFormat="1" x14ac:dyDescent="0.2">
      <c r="A16856" s="6" t="str">
        <f>"AL731571.1"</f>
        <v>AL731571.1</v>
      </c>
      <c r="B16856" s="6" t="s">
        <v>1</v>
      </c>
      <c r="C16856" s="6" t="s">
        <v>1</v>
      </c>
    </row>
    <row r="16857" spans="1:3" s="7" customFormat="1" x14ac:dyDescent="0.2">
      <c r="A16857" s="6" t="str">
        <f>"AC009133.1"</f>
        <v>AC009133.1</v>
      </c>
      <c r="B16857" s="6" t="s">
        <v>1</v>
      </c>
      <c r="C16857" s="6" t="s">
        <v>1</v>
      </c>
    </row>
    <row r="16858" spans="1:3" s="7" customFormat="1" x14ac:dyDescent="0.2">
      <c r="A16858" s="6" t="str">
        <f>"HOMER3"</f>
        <v>HOMER3</v>
      </c>
      <c r="B16858" s="6" t="s">
        <v>1</v>
      </c>
      <c r="C16858" s="6" t="s">
        <v>1</v>
      </c>
    </row>
    <row r="16859" spans="1:3" s="7" customFormat="1" x14ac:dyDescent="0.2">
      <c r="A16859" s="6" t="str">
        <f>"AP5B1"</f>
        <v>AP5B1</v>
      </c>
      <c r="B16859" s="6" t="s">
        <v>1</v>
      </c>
      <c r="C16859" s="6" t="s">
        <v>1</v>
      </c>
    </row>
    <row r="16860" spans="1:3" s="7" customFormat="1" x14ac:dyDescent="0.2">
      <c r="A16860" s="6" t="str">
        <f>"CNIH1"</f>
        <v>CNIH1</v>
      </c>
      <c r="B16860" s="6" t="s">
        <v>1</v>
      </c>
      <c r="C16860" s="6" t="s">
        <v>1</v>
      </c>
    </row>
    <row r="16861" spans="1:3" s="7" customFormat="1" x14ac:dyDescent="0.2">
      <c r="A16861" s="6" t="str">
        <f>"CCT5"</f>
        <v>CCT5</v>
      </c>
      <c r="B16861" s="6" t="s">
        <v>1</v>
      </c>
      <c r="C16861" s="6" t="s">
        <v>1</v>
      </c>
    </row>
    <row r="16862" spans="1:3" s="7" customFormat="1" x14ac:dyDescent="0.2">
      <c r="A16862" s="6" t="str">
        <f>"CNN2"</f>
        <v>CNN2</v>
      </c>
      <c r="B16862" s="6" t="s">
        <v>1</v>
      </c>
      <c r="C16862" s="6" t="s">
        <v>1</v>
      </c>
    </row>
    <row r="16863" spans="1:3" s="7" customFormat="1" x14ac:dyDescent="0.2">
      <c r="A16863" s="6" t="str">
        <f>"POU4F3"</f>
        <v>POU4F3</v>
      </c>
      <c r="B16863" s="6" t="s">
        <v>1</v>
      </c>
      <c r="C16863" s="6" t="s">
        <v>1</v>
      </c>
    </row>
    <row r="16864" spans="1:3" s="7" customFormat="1" x14ac:dyDescent="0.2">
      <c r="A16864" s="6" t="str">
        <f>"AL391903.1"</f>
        <v>AL391903.1</v>
      </c>
      <c r="B16864" s="6" t="s">
        <v>1</v>
      </c>
      <c r="C16864" s="6" t="s">
        <v>1</v>
      </c>
    </row>
    <row r="16865" spans="1:3" s="7" customFormat="1" x14ac:dyDescent="0.2">
      <c r="A16865" s="6" t="str">
        <f>"AC239799.2"</f>
        <v>AC239799.2</v>
      </c>
      <c r="B16865" s="6" t="s">
        <v>1</v>
      </c>
      <c r="C16865" s="6" t="s">
        <v>1</v>
      </c>
    </row>
    <row r="16866" spans="1:3" s="7" customFormat="1" x14ac:dyDescent="0.2">
      <c r="A16866" s="6" t="str">
        <f>"C1orf74"</f>
        <v>C1orf74</v>
      </c>
      <c r="B16866" s="6" t="s">
        <v>1</v>
      </c>
      <c r="C16866" s="6" t="s">
        <v>1</v>
      </c>
    </row>
    <row r="16867" spans="1:3" s="7" customFormat="1" x14ac:dyDescent="0.2">
      <c r="A16867" s="6" t="str">
        <f>"C1QB"</f>
        <v>C1QB</v>
      </c>
      <c r="B16867" s="6" t="s">
        <v>1</v>
      </c>
      <c r="C16867" s="6" t="s">
        <v>1</v>
      </c>
    </row>
    <row r="16868" spans="1:3" s="7" customFormat="1" x14ac:dyDescent="0.2">
      <c r="A16868" s="6" t="str">
        <f>"CHD1"</f>
        <v>CHD1</v>
      </c>
      <c r="B16868" s="6" t="s">
        <v>1</v>
      </c>
      <c r="C16868" s="6" t="s">
        <v>1</v>
      </c>
    </row>
    <row r="16869" spans="1:3" s="7" customFormat="1" x14ac:dyDescent="0.2">
      <c r="A16869" s="6" t="str">
        <f>"CDKN1A"</f>
        <v>CDKN1A</v>
      </c>
      <c r="B16869" s="6" t="s">
        <v>1</v>
      </c>
      <c r="C16869" s="6" t="s">
        <v>1</v>
      </c>
    </row>
    <row r="16870" spans="1:3" s="7" customFormat="1" x14ac:dyDescent="0.2">
      <c r="A16870" s="6" t="str">
        <f>"CHD2"</f>
        <v>CHD2</v>
      </c>
      <c r="B16870" s="6" t="s">
        <v>1</v>
      </c>
      <c r="C16870" s="6" t="s">
        <v>1</v>
      </c>
    </row>
    <row r="16871" spans="1:3" s="7" customFormat="1" x14ac:dyDescent="0.2">
      <c r="A16871" s="6" t="str">
        <f>"AL162376.1"</f>
        <v>AL162376.1</v>
      </c>
      <c r="B16871" s="6" t="s">
        <v>1</v>
      </c>
      <c r="C16871" s="6" t="s">
        <v>1</v>
      </c>
    </row>
    <row r="16872" spans="1:3" s="7" customFormat="1" x14ac:dyDescent="0.2">
      <c r="A16872" s="6" t="str">
        <f>"AC006504.7"</f>
        <v>AC006504.7</v>
      </c>
      <c r="B16872" s="6" t="s">
        <v>1</v>
      </c>
      <c r="C16872" s="6" t="s">
        <v>1</v>
      </c>
    </row>
    <row r="16873" spans="1:3" s="7" customFormat="1" x14ac:dyDescent="0.2">
      <c r="A16873" s="6" t="str">
        <f>"CAPN14"</f>
        <v>CAPN14</v>
      </c>
      <c r="B16873" s="6" t="s">
        <v>1</v>
      </c>
      <c r="C16873" s="6" t="s">
        <v>1</v>
      </c>
    </row>
    <row r="16874" spans="1:3" s="7" customFormat="1" x14ac:dyDescent="0.2">
      <c r="A16874" s="6" t="str">
        <f>"ADGRF5"</f>
        <v>ADGRF5</v>
      </c>
      <c r="B16874" s="6" t="s">
        <v>1</v>
      </c>
      <c r="C16874" s="6" t="s">
        <v>1</v>
      </c>
    </row>
    <row r="16875" spans="1:3" s="7" customFormat="1" x14ac:dyDescent="0.2">
      <c r="A16875" s="6" t="str">
        <f>"POSTN"</f>
        <v>POSTN</v>
      </c>
      <c r="B16875" s="6" t="s">
        <v>1</v>
      </c>
      <c r="C16875" s="6" t="s">
        <v>1</v>
      </c>
    </row>
    <row r="16876" spans="1:3" s="7" customFormat="1" x14ac:dyDescent="0.2">
      <c r="A16876" s="6" t="str">
        <f>"CAMTA2"</f>
        <v>CAMTA2</v>
      </c>
      <c r="B16876" s="6" t="s">
        <v>1</v>
      </c>
      <c r="C16876" s="6" t="s">
        <v>1</v>
      </c>
    </row>
    <row r="16877" spans="1:3" s="7" customFormat="1" x14ac:dyDescent="0.2">
      <c r="A16877" s="6" t="str">
        <f>"AC006486.2"</f>
        <v>AC006486.2</v>
      </c>
      <c r="B16877" s="6" t="s">
        <v>1</v>
      </c>
      <c r="C16877" s="6" t="s">
        <v>1</v>
      </c>
    </row>
    <row r="16878" spans="1:3" s="7" customFormat="1" x14ac:dyDescent="0.2">
      <c r="A16878" s="6" t="str">
        <f>"AC055714.1"</f>
        <v>AC055714.1</v>
      </c>
      <c r="B16878" s="6" t="s">
        <v>1</v>
      </c>
      <c r="C16878" s="6" t="s">
        <v>1</v>
      </c>
    </row>
    <row r="16879" spans="1:3" s="7" customFormat="1" x14ac:dyDescent="0.2">
      <c r="A16879" s="6" t="str">
        <f>"AC092902.6"</f>
        <v>AC092902.6</v>
      </c>
      <c r="B16879" s="6" t="s">
        <v>1</v>
      </c>
      <c r="C16879" s="6" t="s">
        <v>1</v>
      </c>
    </row>
    <row r="16880" spans="1:3" s="7" customFormat="1" x14ac:dyDescent="0.2">
      <c r="A16880" s="6" t="str">
        <f>"AC004241.1"</f>
        <v>AC004241.1</v>
      </c>
      <c r="B16880" s="6" t="s">
        <v>1</v>
      </c>
      <c r="C16880" s="6" t="s">
        <v>1</v>
      </c>
    </row>
    <row r="16881" spans="1:3" s="7" customFormat="1" x14ac:dyDescent="0.2">
      <c r="A16881" s="6" t="str">
        <f>"AL162377.1"</f>
        <v>AL162377.1</v>
      </c>
      <c r="B16881" s="6" t="s">
        <v>1</v>
      </c>
      <c r="C16881" s="6" t="s">
        <v>1</v>
      </c>
    </row>
    <row r="16882" spans="1:3" s="7" customFormat="1" x14ac:dyDescent="0.2">
      <c r="A16882" s="6" t="str">
        <f>"CIAO2B"</f>
        <v>CIAO2B</v>
      </c>
      <c r="B16882" s="6" t="s">
        <v>1</v>
      </c>
      <c r="C16882" s="6" t="s">
        <v>1</v>
      </c>
    </row>
    <row r="16883" spans="1:3" s="7" customFormat="1" x14ac:dyDescent="0.2">
      <c r="A16883" s="6" t="str">
        <f>"AL391422.2"</f>
        <v>AL391422.2</v>
      </c>
      <c r="B16883" s="6" t="s">
        <v>1</v>
      </c>
      <c r="C16883" s="6" t="s">
        <v>1</v>
      </c>
    </row>
    <row r="16884" spans="1:3" s="7" customFormat="1" x14ac:dyDescent="0.2">
      <c r="A16884" s="6" t="str">
        <f>"PTGES3P1"</f>
        <v>PTGES3P1</v>
      </c>
      <c r="B16884" s="6" t="s">
        <v>1</v>
      </c>
      <c r="C16884" s="6" t="s">
        <v>1</v>
      </c>
    </row>
    <row r="16885" spans="1:3" s="7" customFormat="1" x14ac:dyDescent="0.2">
      <c r="A16885" s="6" t="str">
        <f>"ZNF579"</f>
        <v>ZNF579</v>
      </c>
      <c r="B16885" s="6" t="s">
        <v>1</v>
      </c>
      <c r="C16885" s="6" t="s">
        <v>1</v>
      </c>
    </row>
    <row r="16886" spans="1:3" s="7" customFormat="1" x14ac:dyDescent="0.2">
      <c r="A16886" s="6" t="str">
        <f>"B3GNT5"</f>
        <v>B3GNT5</v>
      </c>
      <c r="B16886" s="6" t="s">
        <v>1</v>
      </c>
      <c r="C16886" s="6" t="s">
        <v>1</v>
      </c>
    </row>
    <row r="16887" spans="1:3" s="7" customFormat="1" x14ac:dyDescent="0.2">
      <c r="A16887" s="6" t="str">
        <f>"SMARCE1"</f>
        <v>SMARCE1</v>
      </c>
      <c r="B16887" s="6" t="s">
        <v>1</v>
      </c>
      <c r="C16887" s="6" t="s">
        <v>1</v>
      </c>
    </row>
    <row r="16888" spans="1:3" s="7" customFormat="1" x14ac:dyDescent="0.2">
      <c r="A16888" s="6" t="str">
        <f>"ADGRE5"</f>
        <v>ADGRE5</v>
      </c>
      <c r="B16888" s="6" t="s">
        <v>1</v>
      </c>
      <c r="C16888" s="6" t="s">
        <v>1</v>
      </c>
    </row>
    <row r="16889" spans="1:3" s="7" customFormat="1" x14ac:dyDescent="0.2">
      <c r="A16889" s="6" t="str">
        <f>"CANX"</f>
        <v>CANX</v>
      </c>
      <c r="B16889" s="6" t="s">
        <v>1</v>
      </c>
      <c r="C16889" s="6" t="s">
        <v>1</v>
      </c>
    </row>
    <row r="16890" spans="1:3" s="7" customFormat="1" x14ac:dyDescent="0.2">
      <c r="A16890" s="6" t="str">
        <f>"AP001021.3"</f>
        <v>AP001021.3</v>
      </c>
      <c r="B16890" s="6" t="s">
        <v>1</v>
      </c>
      <c r="C16890" s="6" t="s">
        <v>1</v>
      </c>
    </row>
    <row r="16891" spans="1:3" s="7" customFormat="1" x14ac:dyDescent="0.2">
      <c r="A16891" s="6" t="str">
        <f>"SEMA3G"</f>
        <v>SEMA3G</v>
      </c>
      <c r="B16891" s="6" t="s">
        <v>1</v>
      </c>
      <c r="C16891" s="6" t="s">
        <v>1</v>
      </c>
    </row>
    <row r="16892" spans="1:3" s="7" customFormat="1" x14ac:dyDescent="0.2">
      <c r="A16892" s="6" t="str">
        <f>"POU2F3"</f>
        <v>POU2F3</v>
      </c>
      <c r="B16892" s="6" t="s">
        <v>1</v>
      </c>
      <c r="C16892" s="6" t="s">
        <v>1</v>
      </c>
    </row>
    <row r="16893" spans="1:3" s="7" customFormat="1" x14ac:dyDescent="0.2">
      <c r="A16893" s="6" t="str">
        <f>"TATDN3"</f>
        <v>TATDN3</v>
      </c>
      <c r="B16893" s="6" t="s">
        <v>1</v>
      </c>
      <c r="C16893" s="6" t="s">
        <v>1</v>
      </c>
    </row>
    <row r="16894" spans="1:3" s="7" customFormat="1" x14ac:dyDescent="0.2">
      <c r="A16894" s="6" t="str">
        <f>"ATF1"</f>
        <v>ATF1</v>
      </c>
      <c r="B16894" s="6" t="s">
        <v>1</v>
      </c>
      <c r="C16894" s="6" t="s">
        <v>1</v>
      </c>
    </row>
    <row r="16895" spans="1:3" s="7" customFormat="1" x14ac:dyDescent="0.2">
      <c r="A16895" s="6" t="str">
        <f>"ZBTB45"</f>
        <v>ZBTB45</v>
      </c>
      <c r="B16895" s="6" t="s">
        <v>1</v>
      </c>
      <c r="C16895" s="6" t="s">
        <v>1</v>
      </c>
    </row>
    <row r="16896" spans="1:3" s="7" customFormat="1" x14ac:dyDescent="0.2">
      <c r="A16896" s="6" t="str">
        <f>"AC080112.1"</f>
        <v>AC080112.1</v>
      </c>
      <c r="B16896" s="6" t="s">
        <v>1</v>
      </c>
      <c r="C16896" s="6" t="s">
        <v>1</v>
      </c>
    </row>
    <row r="16897" spans="1:3" s="7" customFormat="1" x14ac:dyDescent="0.2">
      <c r="A16897" s="6" t="str">
        <f>"CHD8"</f>
        <v>CHD8</v>
      </c>
      <c r="B16897" s="6" t="s">
        <v>1</v>
      </c>
      <c r="C16897" s="6" t="s">
        <v>1</v>
      </c>
    </row>
    <row r="16898" spans="1:3" s="7" customFormat="1" x14ac:dyDescent="0.2">
      <c r="A16898" s="6" t="str">
        <f>"AC012178.1"</f>
        <v>AC012178.1</v>
      </c>
      <c r="B16898" s="6" t="s">
        <v>1</v>
      </c>
      <c r="C16898" s="6" t="s">
        <v>1</v>
      </c>
    </row>
    <row r="16899" spans="1:3" s="7" customFormat="1" x14ac:dyDescent="0.2">
      <c r="A16899" s="6" t="str">
        <f>"STRIP2"</f>
        <v>STRIP2</v>
      </c>
      <c r="B16899" s="6" t="s">
        <v>1</v>
      </c>
      <c r="C16899" s="6" t="s">
        <v>1</v>
      </c>
    </row>
    <row r="16900" spans="1:3" s="7" customFormat="1" x14ac:dyDescent="0.2">
      <c r="A16900" s="6" t="str">
        <f>"AZU1"</f>
        <v>AZU1</v>
      </c>
      <c r="B16900" s="6" t="s">
        <v>1</v>
      </c>
      <c r="C16900" s="6" t="s">
        <v>1</v>
      </c>
    </row>
    <row r="16901" spans="1:3" s="7" customFormat="1" x14ac:dyDescent="0.2">
      <c r="A16901" s="6" t="str">
        <f>"TTC33"</f>
        <v>TTC33</v>
      </c>
      <c r="B16901" s="6" t="s">
        <v>1</v>
      </c>
      <c r="C16901" s="6" t="s">
        <v>1</v>
      </c>
    </row>
    <row r="16902" spans="1:3" s="7" customFormat="1" x14ac:dyDescent="0.2">
      <c r="A16902" s="6" t="str">
        <f>"WFDC6"</f>
        <v>WFDC6</v>
      </c>
      <c r="B16902" s="6" t="s">
        <v>1</v>
      </c>
      <c r="C16902" s="6" t="s">
        <v>1</v>
      </c>
    </row>
    <row r="16903" spans="1:3" s="7" customFormat="1" x14ac:dyDescent="0.2">
      <c r="A16903" s="6" t="str">
        <f>"RELB"</f>
        <v>RELB</v>
      </c>
      <c r="B16903" s="6" t="s">
        <v>1</v>
      </c>
      <c r="C16903" s="6" t="s">
        <v>1</v>
      </c>
    </row>
    <row r="16904" spans="1:3" s="7" customFormat="1" x14ac:dyDescent="0.2">
      <c r="A16904" s="6" t="str">
        <f>"WHRN"</f>
        <v>WHRN</v>
      </c>
      <c r="B16904" s="6" t="s">
        <v>1</v>
      </c>
      <c r="C16904" s="6" t="s">
        <v>1</v>
      </c>
    </row>
    <row r="16905" spans="1:3" s="7" customFormat="1" x14ac:dyDescent="0.2">
      <c r="A16905" s="6" t="str">
        <f>"TFE3"</f>
        <v>TFE3</v>
      </c>
      <c r="B16905" s="6" t="s">
        <v>1</v>
      </c>
      <c r="C16905" s="6" t="s">
        <v>1</v>
      </c>
    </row>
    <row r="16906" spans="1:3" s="7" customFormat="1" x14ac:dyDescent="0.2">
      <c r="A16906" s="6" t="str">
        <f>"ANXA5"</f>
        <v>ANXA5</v>
      </c>
      <c r="B16906" s="6" t="s">
        <v>1</v>
      </c>
      <c r="C16906" s="6" t="s">
        <v>1</v>
      </c>
    </row>
    <row r="16907" spans="1:3" s="7" customFormat="1" x14ac:dyDescent="0.2">
      <c r="A16907" s="6" t="str">
        <f>"TTC39A-AS1"</f>
        <v>TTC39A-AS1</v>
      </c>
      <c r="B16907" s="6" t="s">
        <v>1</v>
      </c>
      <c r="C16907" s="6" t="s">
        <v>1</v>
      </c>
    </row>
    <row r="16908" spans="1:3" s="7" customFormat="1" x14ac:dyDescent="0.2">
      <c r="A16908" s="6" t="str">
        <f>"AC009226.1"</f>
        <v>AC009226.1</v>
      </c>
      <c r="B16908" s="6" t="s">
        <v>1</v>
      </c>
      <c r="C16908" s="6" t="s">
        <v>1</v>
      </c>
    </row>
    <row r="16909" spans="1:3" s="7" customFormat="1" x14ac:dyDescent="0.2">
      <c r="A16909" s="6" t="str">
        <f>"IQCJ-SCHIP1"</f>
        <v>IQCJ-SCHIP1</v>
      </c>
      <c r="B16909" s="6" t="s">
        <v>1</v>
      </c>
      <c r="C16909" s="6" t="s">
        <v>1</v>
      </c>
    </row>
    <row r="16910" spans="1:3" s="7" customFormat="1" x14ac:dyDescent="0.2">
      <c r="A16910" s="6" t="str">
        <f>"AL162258.1"</f>
        <v>AL162258.1</v>
      </c>
      <c r="B16910" s="6" t="s">
        <v>1</v>
      </c>
      <c r="C16910" s="6" t="s">
        <v>1</v>
      </c>
    </row>
    <row r="16911" spans="1:3" s="7" customFormat="1" x14ac:dyDescent="0.2">
      <c r="A16911" s="6" t="str">
        <f>"ATF2"</f>
        <v>ATF2</v>
      </c>
      <c r="B16911" s="6" t="s">
        <v>1</v>
      </c>
      <c r="C16911" s="6" t="s">
        <v>1</v>
      </c>
    </row>
    <row r="16912" spans="1:3" s="7" customFormat="1" x14ac:dyDescent="0.2">
      <c r="A16912" s="6" t="str">
        <f>"TMUB1"</f>
        <v>TMUB1</v>
      </c>
      <c r="B16912" s="6" t="s">
        <v>1</v>
      </c>
      <c r="C16912" s="6" t="s">
        <v>1</v>
      </c>
    </row>
    <row r="16913" spans="1:3" s="7" customFormat="1" x14ac:dyDescent="0.2">
      <c r="A16913" s="6" t="str">
        <f>"AL121956.5"</f>
        <v>AL121956.5</v>
      </c>
      <c r="B16913" s="6" t="s">
        <v>1</v>
      </c>
      <c r="C16913" s="6" t="s">
        <v>1</v>
      </c>
    </row>
    <row r="16914" spans="1:3" s="7" customFormat="1" x14ac:dyDescent="0.2">
      <c r="A16914" s="6" t="str">
        <f>"AC127024.8"</f>
        <v>AC127024.8</v>
      </c>
      <c r="B16914" s="6" t="s">
        <v>1</v>
      </c>
      <c r="C16914" s="6" t="s">
        <v>1</v>
      </c>
    </row>
    <row r="16915" spans="1:3" s="7" customFormat="1" x14ac:dyDescent="0.2">
      <c r="A16915" s="6" t="str">
        <f>"PRKCG"</f>
        <v>PRKCG</v>
      </c>
      <c r="B16915" s="6" t="s">
        <v>1</v>
      </c>
      <c r="C16915" s="6" t="s">
        <v>1</v>
      </c>
    </row>
    <row r="16916" spans="1:3" s="7" customFormat="1" x14ac:dyDescent="0.2">
      <c r="A16916" s="6" t="str">
        <f>"B3GALT5"</f>
        <v>B3GALT5</v>
      </c>
      <c r="B16916" s="6" t="s">
        <v>1</v>
      </c>
      <c r="C16916" s="6" t="s">
        <v>1</v>
      </c>
    </row>
    <row r="16917" spans="1:3" s="7" customFormat="1" x14ac:dyDescent="0.2">
      <c r="A16917" s="6" t="str">
        <f>"ADD1"</f>
        <v>ADD1</v>
      </c>
      <c r="B16917" s="6" t="s">
        <v>1</v>
      </c>
      <c r="C16917" s="6" t="s">
        <v>1</v>
      </c>
    </row>
    <row r="16918" spans="1:3" s="7" customFormat="1" x14ac:dyDescent="0.2">
      <c r="A16918" s="6" t="str">
        <f>"AC004012.1"</f>
        <v>AC004012.1</v>
      </c>
      <c r="B16918" s="6" t="s">
        <v>1</v>
      </c>
      <c r="C16918" s="6" t="s">
        <v>1</v>
      </c>
    </row>
    <row r="16919" spans="1:3" s="7" customFormat="1" x14ac:dyDescent="0.2">
      <c r="A16919" s="6" t="str">
        <f>"VAX2"</f>
        <v>VAX2</v>
      </c>
      <c r="B16919" s="6" t="s">
        <v>1</v>
      </c>
      <c r="C16919" s="6" t="s">
        <v>1</v>
      </c>
    </row>
    <row r="16920" spans="1:3" s="7" customFormat="1" x14ac:dyDescent="0.2">
      <c r="A16920" s="6" t="str">
        <f>"ZSCAN1"</f>
        <v>ZSCAN1</v>
      </c>
      <c r="B16920" s="6" t="s">
        <v>1</v>
      </c>
      <c r="C16920" s="6" t="s">
        <v>1</v>
      </c>
    </row>
    <row r="16921" spans="1:3" s="7" customFormat="1" x14ac:dyDescent="0.2">
      <c r="A16921" s="6" t="str">
        <f>"AL845472.1"</f>
        <v>AL845472.1</v>
      </c>
      <c r="B16921" s="6" t="s">
        <v>1</v>
      </c>
      <c r="C16921" s="6" t="s">
        <v>1</v>
      </c>
    </row>
    <row r="16922" spans="1:3" s="7" customFormat="1" x14ac:dyDescent="0.2">
      <c r="A16922" s="6" t="str">
        <f>"AL355001.2"</f>
        <v>AL355001.2</v>
      </c>
      <c r="B16922" s="6" t="s">
        <v>1</v>
      </c>
      <c r="C16922" s="6" t="s">
        <v>1</v>
      </c>
    </row>
    <row r="16923" spans="1:3" s="7" customFormat="1" x14ac:dyDescent="0.2">
      <c r="A16923" s="6" t="str">
        <f>"PRKCB"</f>
        <v>PRKCB</v>
      </c>
      <c r="B16923" s="6" t="s">
        <v>1</v>
      </c>
      <c r="C16923" s="6" t="s">
        <v>1</v>
      </c>
    </row>
    <row r="16924" spans="1:3" s="7" customFormat="1" x14ac:dyDescent="0.2">
      <c r="A16924" s="6" t="str">
        <f>"AP4M1"</f>
        <v>AP4M1</v>
      </c>
      <c r="B16924" s="6" t="s">
        <v>1</v>
      </c>
      <c r="C16924" s="6" t="s">
        <v>1</v>
      </c>
    </row>
    <row r="16925" spans="1:3" s="7" customFormat="1" x14ac:dyDescent="0.2">
      <c r="A16925" s="6" t="str">
        <f>"CYB5R1"</f>
        <v>CYB5R1</v>
      </c>
      <c r="B16925" s="6" t="s">
        <v>1</v>
      </c>
      <c r="C16925" s="6" t="s">
        <v>1</v>
      </c>
    </row>
    <row r="16926" spans="1:3" s="7" customFormat="1" x14ac:dyDescent="0.2">
      <c r="A16926" s="6" t="str">
        <f>"S100A10"</f>
        <v>S100A10</v>
      </c>
      <c r="B16926" s="6" t="s">
        <v>1</v>
      </c>
      <c r="C16926" s="6" t="s">
        <v>1</v>
      </c>
    </row>
    <row r="16927" spans="1:3" s="7" customFormat="1" x14ac:dyDescent="0.2">
      <c r="A16927" s="6" t="str">
        <f>"AC006486.1"</f>
        <v>AC006486.1</v>
      </c>
      <c r="B16927" s="6" t="s">
        <v>1</v>
      </c>
      <c r="C16927" s="6" t="s">
        <v>1</v>
      </c>
    </row>
    <row r="16928" spans="1:3" s="7" customFormat="1" x14ac:dyDescent="0.2">
      <c r="A16928" s="6" t="str">
        <f>"AC235565.2"</f>
        <v>AC235565.2</v>
      </c>
      <c r="B16928" s="6" t="s">
        <v>1</v>
      </c>
      <c r="C16928" s="6" t="s">
        <v>1</v>
      </c>
    </row>
    <row r="16929" spans="1:3" s="7" customFormat="1" x14ac:dyDescent="0.2">
      <c r="A16929" s="6" t="str">
        <f>"CHEK1"</f>
        <v>CHEK1</v>
      </c>
      <c r="B16929" s="6" t="s">
        <v>1</v>
      </c>
      <c r="C16929" s="6" t="s">
        <v>1</v>
      </c>
    </row>
    <row r="16930" spans="1:3" s="7" customFormat="1" x14ac:dyDescent="0.2">
      <c r="A16930" s="6" t="str">
        <f>"SOSTDC1"</f>
        <v>SOSTDC1</v>
      </c>
      <c r="B16930" s="6" t="s">
        <v>1</v>
      </c>
      <c r="C16930" s="6" t="s">
        <v>1</v>
      </c>
    </row>
    <row r="16931" spans="1:3" s="7" customFormat="1" x14ac:dyDescent="0.2">
      <c r="A16931" s="6" t="str">
        <f>"B3GNT10"</f>
        <v>B3GNT10</v>
      </c>
      <c r="B16931" s="6" t="s">
        <v>1</v>
      </c>
      <c r="C16931" s="6" t="s">
        <v>1</v>
      </c>
    </row>
    <row r="16932" spans="1:3" s="7" customFormat="1" x14ac:dyDescent="0.2">
      <c r="A16932" s="6" t="str">
        <f>"BOLA3"</f>
        <v>BOLA3</v>
      </c>
      <c r="B16932" s="6" t="s">
        <v>1</v>
      </c>
      <c r="C16932" s="6" t="s">
        <v>1</v>
      </c>
    </row>
    <row r="16933" spans="1:3" s="7" customFormat="1" x14ac:dyDescent="0.2">
      <c r="A16933" s="6" t="str">
        <f>"TMEM116"</f>
        <v>TMEM116</v>
      </c>
      <c r="B16933" s="6" t="s">
        <v>1</v>
      </c>
      <c r="C16933" s="6" t="s">
        <v>1</v>
      </c>
    </row>
    <row r="16934" spans="1:3" s="7" customFormat="1" x14ac:dyDescent="0.2">
      <c r="A16934" s="6" t="str">
        <f>"C1orf21"</f>
        <v>C1orf21</v>
      </c>
      <c r="B16934" s="6" t="s">
        <v>1</v>
      </c>
      <c r="C16934" s="6" t="s">
        <v>1</v>
      </c>
    </row>
    <row r="16935" spans="1:3" s="7" customFormat="1" x14ac:dyDescent="0.2">
      <c r="A16935" s="6" t="str">
        <f>"ADCY6"</f>
        <v>ADCY6</v>
      </c>
      <c r="B16935" s="6" t="s">
        <v>1</v>
      </c>
      <c r="C16935" s="6" t="s">
        <v>1</v>
      </c>
    </row>
    <row r="16936" spans="1:3" s="7" customFormat="1" x14ac:dyDescent="0.2">
      <c r="A16936" s="6" t="str">
        <f>"RAD23B"</f>
        <v>RAD23B</v>
      </c>
      <c r="B16936" s="6" t="s">
        <v>1</v>
      </c>
      <c r="C16936" s="6" t="s">
        <v>1</v>
      </c>
    </row>
    <row r="16937" spans="1:3" s="7" customFormat="1" x14ac:dyDescent="0.2">
      <c r="A16937" s="6" t="str">
        <f>"AC106772.2"</f>
        <v>AC106772.2</v>
      </c>
      <c r="B16937" s="6" t="s">
        <v>1</v>
      </c>
      <c r="C16937" s="6" t="s">
        <v>1</v>
      </c>
    </row>
    <row r="16938" spans="1:3" s="7" customFormat="1" x14ac:dyDescent="0.2">
      <c r="A16938" s="6" t="str">
        <f>"CAMP"</f>
        <v>CAMP</v>
      </c>
      <c r="B16938" s="6" t="s">
        <v>1</v>
      </c>
      <c r="C16938" s="6" t="s">
        <v>1</v>
      </c>
    </row>
    <row r="16939" spans="1:3" s="7" customFormat="1" x14ac:dyDescent="0.2">
      <c r="A16939" s="6" t="str">
        <f>"POU5F1B"</f>
        <v>POU5F1B</v>
      </c>
      <c r="B16939" s="6" t="s">
        <v>1</v>
      </c>
      <c r="C16939" s="6" t="s">
        <v>1</v>
      </c>
    </row>
    <row r="16940" spans="1:3" s="7" customFormat="1" x14ac:dyDescent="0.2">
      <c r="A16940" s="6" t="str">
        <f>"AC044893.1"</f>
        <v>AC044893.1</v>
      </c>
      <c r="B16940" s="6" t="s">
        <v>1</v>
      </c>
      <c r="C16940" s="6" t="s">
        <v>1</v>
      </c>
    </row>
    <row r="16941" spans="1:3" s="7" customFormat="1" x14ac:dyDescent="0.2">
      <c r="A16941" s="6" t="str">
        <f>"PHF19"</f>
        <v>PHF19</v>
      </c>
      <c r="B16941" s="6" t="s">
        <v>1</v>
      </c>
      <c r="C16941" s="6" t="s">
        <v>1</v>
      </c>
    </row>
    <row r="16942" spans="1:3" s="7" customFormat="1" x14ac:dyDescent="0.2">
      <c r="A16942" s="6" t="str">
        <f>"PRKCH"</f>
        <v>PRKCH</v>
      </c>
      <c r="B16942" s="6" t="s">
        <v>1</v>
      </c>
      <c r="C16942" s="6" t="s">
        <v>1</v>
      </c>
    </row>
    <row r="16943" spans="1:3" s="7" customFormat="1" x14ac:dyDescent="0.2">
      <c r="A16943" s="6" t="str">
        <f>"RYR1"</f>
        <v>RYR1</v>
      </c>
      <c r="B16943" s="6" t="s">
        <v>1</v>
      </c>
      <c r="C16943" s="6" t="s">
        <v>1</v>
      </c>
    </row>
    <row r="16944" spans="1:3" s="7" customFormat="1" x14ac:dyDescent="0.2">
      <c r="A16944" s="6" t="str">
        <f>"CCDC91"</f>
        <v>CCDC91</v>
      </c>
      <c r="B16944" s="6" t="s">
        <v>1</v>
      </c>
      <c r="C16944" s="6" t="s">
        <v>1</v>
      </c>
    </row>
    <row r="16945" spans="1:3" s="7" customFormat="1" x14ac:dyDescent="0.2">
      <c r="A16945" s="6" t="str">
        <f>"CCDC92"</f>
        <v>CCDC92</v>
      </c>
      <c r="B16945" s="6" t="s">
        <v>1</v>
      </c>
      <c r="C16945" s="6" t="s">
        <v>1</v>
      </c>
    </row>
    <row r="16946" spans="1:3" s="7" customFormat="1" x14ac:dyDescent="0.2">
      <c r="A16946" s="6" t="str">
        <f>"POU2F1"</f>
        <v>POU2F1</v>
      </c>
      <c r="B16946" s="6" t="s">
        <v>1</v>
      </c>
      <c r="C16946" s="6" t="s">
        <v>1</v>
      </c>
    </row>
    <row r="16947" spans="1:3" s="7" customFormat="1" x14ac:dyDescent="0.2">
      <c r="A16947" s="6" t="str">
        <f>"TMEM123"</f>
        <v>TMEM123</v>
      </c>
      <c r="B16947" s="6" t="s">
        <v>1</v>
      </c>
      <c r="C16947" s="6" t="s">
        <v>1</v>
      </c>
    </row>
    <row r="16948" spans="1:3" s="7" customFormat="1" x14ac:dyDescent="0.2">
      <c r="A16948" s="6" t="str">
        <f>"RYR3"</f>
        <v>RYR3</v>
      </c>
      <c r="B16948" s="6" t="s">
        <v>1</v>
      </c>
      <c r="C16948" s="6" t="s">
        <v>1</v>
      </c>
    </row>
    <row r="16949" spans="1:3" s="7" customFormat="1" x14ac:dyDescent="0.2">
      <c r="A16949" s="6" t="str">
        <f>"AL021707.1"</f>
        <v>AL021707.1</v>
      </c>
      <c r="B16949" s="6" t="s">
        <v>1</v>
      </c>
      <c r="C16949" s="6" t="s">
        <v>1</v>
      </c>
    </row>
    <row r="16950" spans="1:3" s="7" customFormat="1" x14ac:dyDescent="0.2">
      <c r="A16950" s="6" t="str">
        <f>"RAD51"</f>
        <v>RAD51</v>
      </c>
      <c r="B16950" s="6" t="s">
        <v>1</v>
      </c>
      <c r="C16950" s="6" t="s">
        <v>1</v>
      </c>
    </row>
    <row r="16951" spans="1:3" s="7" customFormat="1" x14ac:dyDescent="0.2">
      <c r="A16951" s="6" t="str">
        <f>"APEX2"</f>
        <v>APEX2</v>
      </c>
      <c r="B16951" s="6" t="s">
        <v>1</v>
      </c>
      <c r="C16951" s="6" t="s">
        <v>1</v>
      </c>
    </row>
    <row r="16952" spans="1:3" s="7" customFormat="1" x14ac:dyDescent="0.2">
      <c r="A16952" s="6" t="str">
        <f>"AC092747.4"</f>
        <v>AC092747.4</v>
      </c>
      <c r="B16952" s="6" t="s">
        <v>1</v>
      </c>
      <c r="C16952" s="6" t="s">
        <v>1</v>
      </c>
    </row>
    <row r="16953" spans="1:3" s="7" customFormat="1" x14ac:dyDescent="0.2">
      <c r="A16953" s="6" t="str">
        <f>"CCDC9B"</f>
        <v>CCDC9B</v>
      </c>
      <c r="B16953" s="6" t="s">
        <v>1</v>
      </c>
      <c r="C16953" s="6" t="s">
        <v>1</v>
      </c>
    </row>
    <row r="16954" spans="1:3" s="7" customFormat="1" x14ac:dyDescent="0.2">
      <c r="A16954" s="6" t="str">
        <f>"REL"</f>
        <v>REL</v>
      </c>
      <c r="B16954" s="6" t="s">
        <v>1</v>
      </c>
      <c r="C16954" s="6" t="s">
        <v>1</v>
      </c>
    </row>
    <row r="16955" spans="1:3" s="7" customFormat="1" x14ac:dyDescent="0.2">
      <c r="A16955" s="6" t="str">
        <f>"AC021752.1"</f>
        <v>AC021752.1</v>
      </c>
      <c r="B16955" s="6" t="s">
        <v>1</v>
      </c>
      <c r="C16955" s="6" t="s">
        <v>1</v>
      </c>
    </row>
    <row r="16956" spans="1:3" s="7" customFormat="1" x14ac:dyDescent="0.2">
      <c r="A16956" s="6" t="str">
        <f>"AL021707.3"</f>
        <v>AL021707.3</v>
      </c>
      <c r="B16956" s="6" t="s">
        <v>1</v>
      </c>
      <c r="C16956" s="6" t="s">
        <v>1</v>
      </c>
    </row>
    <row r="16957" spans="1:3" s="7" customFormat="1" x14ac:dyDescent="0.2">
      <c r="A16957" s="6" t="str">
        <f>"AC007009.1"</f>
        <v>AC007009.1</v>
      </c>
      <c r="B16957" s="6" t="s">
        <v>1</v>
      </c>
      <c r="C16957" s="6" t="s">
        <v>1</v>
      </c>
    </row>
    <row r="16958" spans="1:3" s="7" customFormat="1" x14ac:dyDescent="0.2">
      <c r="A16958" s="6" t="str">
        <f>"BBS10"</f>
        <v>BBS10</v>
      </c>
      <c r="B16958" s="6" t="s">
        <v>1</v>
      </c>
      <c r="C16958" s="6" t="s">
        <v>1</v>
      </c>
    </row>
    <row r="16959" spans="1:3" s="7" customFormat="1" x14ac:dyDescent="0.2">
      <c r="A16959" s="6" t="str">
        <f>"SHQ1"</f>
        <v>SHQ1</v>
      </c>
      <c r="B16959" s="6" t="s">
        <v>1</v>
      </c>
      <c r="C16959" s="6" t="s">
        <v>1</v>
      </c>
    </row>
    <row r="16960" spans="1:3" s="7" customFormat="1" x14ac:dyDescent="0.2">
      <c r="A16960" s="6" t="str">
        <f>"AC009093.3"</f>
        <v>AC009093.3</v>
      </c>
      <c r="B16960" s="6" t="s">
        <v>1</v>
      </c>
      <c r="C16960" s="6" t="s">
        <v>1</v>
      </c>
    </row>
    <row r="16961" spans="1:3" s="7" customFormat="1" x14ac:dyDescent="0.2">
      <c r="A16961" s="6" t="str">
        <f>"CPSF7"</f>
        <v>CPSF7</v>
      </c>
      <c r="B16961" s="6" t="s">
        <v>1</v>
      </c>
      <c r="C16961" s="6" t="s">
        <v>1</v>
      </c>
    </row>
    <row r="16962" spans="1:3" s="7" customFormat="1" x14ac:dyDescent="0.2">
      <c r="A16962" s="6" t="str">
        <f>"AC009086.2"</f>
        <v>AC009086.2</v>
      </c>
      <c r="B16962" s="6" t="s">
        <v>1</v>
      </c>
      <c r="C16962" s="6" t="s">
        <v>1</v>
      </c>
    </row>
    <row r="16963" spans="1:3" s="7" customFormat="1" x14ac:dyDescent="0.2">
      <c r="A16963" s="6" t="str">
        <f>"AC125494.1"</f>
        <v>AC125494.1</v>
      </c>
      <c r="B16963" s="6" t="s">
        <v>1</v>
      </c>
      <c r="C16963" s="6" t="s">
        <v>1</v>
      </c>
    </row>
    <row r="16964" spans="1:3" s="7" customFormat="1" x14ac:dyDescent="0.2">
      <c r="A16964" s="6" t="str">
        <f>"AC239804.1"</f>
        <v>AC239804.1</v>
      </c>
      <c r="B16964" s="6" t="s">
        <v>1</v>
      </c>
      <c r="C16964" s="6" t="s">
        <v>1</v>
      </c>
    </row>
    <row r="16965" spans="1:3" s="7" customFormat="1" x14ac:dyDescent="0.2">
      <c r="A16965" s="6" t="str">
        <f>"AL132799.1"</f>
        <v>AL132799.1</v>
      </c>
      <c r="B16965" s="6" t="s">
        <v>1</v>
      </c>
      <c r="C16965" s="6" t="s">
        <v>1</v>
      </c>
    </row>
    <row r="16966" spans="1:3" s="7" customFormat="1" x14ac:dyDescent="0.2">
      <c r="A16966" s="6" t="str">
        <f>"ZNF580"</f>
        <v>ZNF580</v>
      </c>
      <c r="B16966" s="6" t="s">
        <v>1</v>
      </c>
      <c r="C16966" s="6" t="s">
        <v>1</v>
      </c>
    </row>
    <row r="16967" spans="1:3" s="7" customFormat="1" x14ac:dyDescent="0.2">
      <c r="A16967" s="6" t="str">
        <f>"ZRANB2"</f>
        <v>ZRANB2</v>
      </c>
      <c r="B16967" s="6" t="s">
        <v>1</v>
      </c>
      <c r="C16967" s="6" t="s">
        <v>1</v>
      </c>
    </row>
    <row r="16968" spans="1:3" s="7" customFormat="1" x14ac:dyDescent="0.2">
      <c r="A16968" s="6" t="str">
        <f>"PHF20L1"</f>
        <v>PHF20L1</v>
      </c>
      <c r="B16968" s="6" t="s">
        <v>1</v>
      </c>
      <c r="C16968" s="6" t="s">
        <v>1</v>
      </c>
    </row>
    <row r="16969" spans="1:3" s="7" customFormat="1" x14ac:dyDescent="0.2">
      <c r="A16969" s="6" t="str">
        <f>"ARSH"</f>
        <v>ARSH</v>
      </c>
      <c r="B16969" s="6" t="s">
        <v>1</v>
      </c>
      <c r="C16969" s="6" t="s">
        <v>1</v>
      </c>
    </row>
    <row r="16970" spans="1:3" s="7" customFormat="1" x14ac:dyDescent="0.2">
      <c r="A16970" s="6" t="str">
        <f>"CXCL5"</f>
        <v>CXCL5</v>
      </c>
      <c r="B16970" s="6" t="s">
        <v>1</v>
      </c>
      <c r="C16970" s="6" t="s">
        <v>1</v>
      </c>
    </row>
    <row r="16971" spans="1:3" s="7" customFormat="1" x14ac:dyDescent="0.2">
      <c r="A16971" s="6" t="str">
        <f>"ARX"</f>
        <v>ARX</v>
      </c>
      <c r="B16971" s="6" t="s">
        <v>1</v>
      </c>
      <c r="C16971" s="6" t="s">
        <v>1</v>
      </c>
    </row>
    <row r="16972" spans="1:3" s="7" customFormat="1" x14ac:dyDescent="0.2">
      <c r="A16972" s="6" t="str">
        <f>"AC105916.1"</f>
        <v>AC105916.1</v>
      </c>
      <c r="B16972" s="6" t="s">
        <v>1</v>
      </c>
      <c r="C16972" s="6" t="s">
        <v>1</v>
      </c>
    </row>
    <row r="16973" spans="1:3" s="7" customFormat="1" x14ac:dyDescent="0.2">
      <c r="A16973" s="6" t="str">
        <f>"AC041005.1"</f>
        <v>AC041005.1</v>
      </c>
      <c r="B16973" s="6" t="s">
        <v>1</v>
      </c>
      <c r="C16973" s="6" t="s">
        <v>1</v>
      </c>
    </row>
    <row r="16974" spans="1:3" s="7" customFormat="1" x14ac:dyDescent="0.2">
      <c r="A16974" s="6" t="str">
        <f>"AC241952.1"</f>
        <v>AC241952.1</v>
      </c>
      <c r="B16974" s="6" t="s">
        <v>1</v>
      </c>
      <c r="C16974" s="6" t="s">
        <v>1</v>
      </c>
    </row>
    <row r="16975" spans="1:3" s="7" customFormat="1" x14ac:dyDescent="0.2">
      <c r="A16975" s="6" t="str">
        <f>"CCDC88B"</f>
        <v>CCDC88B</v>
      </c>
      <c r="B16975" s="6" t="s">
        <v>1</v>
      </c>
      <c r="C16975" s="6" t="s">
        <v>1</v>
      </c>
    </row>
    <row r="16976" spans="1:3" s="7" customFormat="1" x14ac:dyDescent="0.2">
      <c r="A16976" s="6" t="str">
        <f>"AC009084.3"</f>
        <v>AC009084.3</v>
      </c>
      <c r="B16976" s="6" t="s">
        <v>1</v>
      </c>
      <c r="C16976" s="6" t="s">
        <v>1</v>
      </c>
    </row>
    <row r="16977" spans="1:3" s="7" customFormat="1" x14ac:dyDescent="0.2">
      <c r="A16977" s="6" t="str">
        <f>"AL132656.4"</f>
        <v>AL132656.4</v>
      </c>
      <c r="B16977" s="6" t="s">
        <v>1</v>
      </c>
      <c r="C16977" s="6" t="s">
        <v>1</v>
      </c>
    </row>
    <row r="16978" spans="1:3" s="7" customFormat="1" x14ac:dyDescent="0.2">
      <c r="A16978" s="6" t="str">
        <f>"SAMD13"</f>
        <v>SAMD13</v>
      </c>
      <c r="B16978" s="6" t="s">
        <v>1</v>
      </c>
      <c r="C16978" s="6" t="s">
        <v>1</v>
      </c>
    </row>
    <row r="16979" spans="1:3" s="7" customFormat="1" x14ac:dyDescent="0.2">
      <c r="A16979" s="6" t="str">
        <f>"AC105233.2"</f>
        <v>AC105233.2</v>
      </c>
      <c r="B16979" s="6" t="s">
        <v>1</v>
      </c>
      <c r="C16979" s="6" t="s">
        <v>1</v>
      </c>
    </row>
    <row r="16980" spans="1:3" s="7" customFormat="1" x14ac:dyDescent="0.2">
      <c r="A16980" s="6" t="str">
        <f>"TMTC1"</f>
        <v>TMTC1</v>
      </c>
      <c r="B16980" s="6" t="s">
        <v>1</v>
      </c>
      <c r="C16980" s="6" t="s">
        <v>1</v>
      </c>
    </row>
    <row r="16981" spans="1:3" s="7" customFormat="1" x14ac:dyDescent="0.2">
      <c r="A16981" s="6" t="str">
        <f>"PLEKHA1"</f>
        <v>PLEKHA1</v>
      </c>
      <c r="B16981" s="6" t="s">
        <v>1</v>
      </c>
      <c r="C16981" s="6" t="s">
        <v>1</v>
      </c>
    </row>
    <row r="16982" spans="1:3" s="7" customFormat="1" x14ac:dyDescent="0.2">
      <c r="A16982" s="6" t="str">
        <f>"SEC24B"</f>
        <v>SEC24B</v>
      </c>
      <c r="B16982" s="6" t="s">
        <v>1</v>
      </c>
      <c r="C16982" s="6" t="s">
        <v>1</v>
      </c>
    </row>
    <row r="16983" spans="1:3" s="7" customFormat="1" x14ac:dyDescent="0.2">
      <c r="A16983" s="6" t="str">
        <f>"AL022157.1"</f>
        <v>AL022157.1</v>
      </c>
      <c r="B16983" s="6" t="s">
        <v>1</v>
      </c>
      <c r="C16983" s="6" t="s">
        <v>1</v>
      </c>
    </row>
    <row r="16984" spans="1:3" s="7" customFormat="1" x14ac:dyDescent="0.2">
      <c r="A16984" s="6" t="str">
        <f>"AC009244.1"</f>
        <v>AC009244.1</v>
      </c>
      <c r="B16984" s="6" t="s">
        <v>1</v>
      </c>
      <c r="C16984" s="6" t="s">
        <v>1</v>
      </c>
    </row>
    <row r="16985" spans="1:3" s="7" customFormat="1" x14ac:dyDescent="0.2">
      <c r="A16985" s="6" t="str">
        <f>"ZBTB41"</f>
        <v>ZBTB41</v>
      </c>
      <c r="B16985" s="6" t="s">
        <v>1</v>
      </c>
      <c r="C16985" s="6" t="s">
        <v>1</v>
      </c>
    </row>
    <row r="16986" spans="1:3" s="7" customFormat="1" x14ac:dyDescent="0.2">
      <c r="A16986" s="6" t="str">
        <f>"AL391560.2"</f>
        <v>AL391560.2</v>
      </c>
      <c r="B16986" s="6" t="s">
        <v>1</v>
      </c>
      <c r="C16986" s="6" t="s">
        <v>1</v>
      </c>
    </row>
    <row r="16987" spans="1:3" s="7" customFormat="1" x14ac:dyDescent="0.2">
      <c r="A16987" s="6" t="str">
        <f>"CAPG"</f>
        <v>CAPG</v>
      </c>
      <c r="B16987" s="6" t="s">
        <v>1</v>
      </c>
      <c r="C16987" s="6" t="s">
        <v>1</v>
      </c>
    </row>
    <row r="16988" spans="1:3" s="7" customFormat="1" x14ac:dyDescent="0.2">
      <c r="A16988" s="6" t="str">
        <f>"AC108681.1"</f>
        <v>AC108681.1</v>
      </c>
      <c r="B16988" s="6" t="s">
        <v>1</v>
      </c>
      <c r="C16988" s="6" t="s">
        <v>1</v>
      </c>
    </row>
    <row r="16989" spans="1:3" s="7" customFormat="1" x14ac:dyDescent="0.2">
      <c r="A16989" s="6" t="str">
        <f>"CNIH3"</f>
        <v>CNIH3</v>
      </c>
      <c r="B16989" s="6" t="s">
        <v>1</v>
      </c>
      <c r="C16989" s="6" t="s">
        <v>1</v>
      </c>
    </row>
    <row r="16990" spans="1:3" s="7" customFormat="1" x14ac:dyDescent="0.2">
      <c r="A16990" s="6" t="str">
        <f>"C1QTNF5"</f>
        <v>C1QTNF5</v>
      </c>
      <c r="B16990" s="6" t="s">
        <v>1</v>
      </c>
      <c r="C16990" s="6" t="s">
        <v>1</v>
      </c>
    </row>
    <row r="16991" spans="1:3" s="7" customFormat="1" x14ac:dyDescent="0.2">
      <c r="A16991" s="6" t="str">
        <f>"SNX24"</f>
        <v>SNX24</v>
      </c>
      <c r="B16991" s="6" t="s">
        <v>1</v>
      </c>
      <c r="C16991" s="6" t="s">
        <v>1</v>
      </c>
    </row>
    <row r="16992" spans="1:3" s="7" customFormat="1" x14ac:dyDescent="0.2">
      <c r="A16992" s="6" t="str">
        <f>"PLEKHA4"</f>
        <v>PLEKHA4</v>
      </c>
      <c r="B16992" s="6" t="s">
        <v>1</v>
      </c>
      <c r="C16992" s="6" t="s">
        <v>1</v>
      </c>
    </row>
    <row r="16993" spans="1:3" s="7" customFormat="1" x14ac:dyDescent="0.2">
      <c r="A16993" s="6" t="str">
        <f>"ARCN1"</f>
        <v>ARCN1</v>
      </c>
      <c r="B16993" s="6" t="s">
        <v>1</v>
      </c>
      <c r="C16993" s="6" t="s">
        <v>1</v>
      </c>
    </row>
    <row r="16994" spans="1:3" s="7" customFormat="1" x14ac:dyDescent="0.2">
      <c r="A16994" s="6" t="str">
        <f>"AC106028.4"</f>
        <v>AC106028.4</v>
      </c>
      <c r="B16994" s="6" t="s">
        <v>1</v>
      </c>
      <c r="C16994" s="6" t="s">
        <v>1</v>
      </c>
    </row>
    <row r="16995" spans="1:3" s="7" customFormat="1" x14ac:dyDescent="0.2">
      <c r="A16995" s="6" t="str">
        <f>"AL021707.2"</f>
        <v>AL021707.2</v>
      </c>
      <c r="B16995" s="6" t="s">
        <v>1</v>
      </c>
      <c r="C16995" s="6" t="s">
        <v>1</v>
      </c>
    </row>
    <row r="16996" spans="1:3" s="7" customFormat="1" x14ac:dyDescent="0.2">
      <c r="A16996" s="6" t="str">
        <f>"ZNF578"</f>
        <v>ZNF578</v>
      </c>
      <c r="B16996" s="6" t="s">
        <v>1</v>
      </c>
      <c r="C16996" s="6" t="s">
        <v>1</v>
      </c>
    </row>
    <row r="16997" spans="1:3" s="7" customFormat="1" x14ac:dyDescent="0.2">
      <c r="A16997" s="6" t="str">
        <f>"RND1"</f>
        <v>RND1</v>
      </c>
      <c r="B16997" s="6" t="s">
        <v>1</v>
      </c>
      <c r="C16997" s="6" t="s">
        <v>1</v>
      </c>
    </row>
    <row r="16998" spans="1:3" s="7" customFormat="1" x14ac:dyDescent="0.2">
      <c r="A16998" s="6" t="str">
        <f>"WFS1"</f>
        <v>WFS1</v>
      </c>
      <c r="B16998" s="6" t="s">
        <v>1</v>
      </c>
      <c r="C16998" s="6" t="s">
        <v>1</v>
      </c>
    </row>
    <row r="16999" spans="1:3" s="7" customFormat="1" x14ac:dyDescent="0.2">
      <c r="A16999" s="6" t="str">
        <f>"APC2"</f>
        <v>APC2</v>
      </c>
      <c r="B16999" s="6" t="s">
        <v>1</v>
      </c>
      <c r="C16999" s="6" t="s">
        <v>1</v>
      </c>
    </row>
    <row r="17000" spans="1:3" s="7" customFormat="1" x14ac:dyDescent="0.2">
      <c r="A17000" s="6" t="str">
        <f>"AC106795.2"</f>
        <v>AC106795.2</v>
      </c>
      <c r="B17000" s="6" t="s">
        <v>1</v>
      </c>
      <c r="C17000" s="6" t="s">
        <v>1</v>
      </c>
    </row>
    <row r="17001" spans="1:3" s="7" customFormat="1" x14ac:dyDescent="0.2">
      <c r="A17001" s="6" t="str">
        <f>"AC009119.1"</f>
        <v>AC009119.1</v>
      </c>
      <c r="B17001" s="6" t="s">
        <v>1</v>
      </c>
      <c r="C17001" s="6" t="s">
        <v>1</v>
      </c>
    </row>
    <row r="17002" spans="1:3" s="7" customFormat="1" x14ac:dyDescent="0.2">
      <c r="A17002" s="6" t="str">
        <f>"AL162171.1"</f>
        <v>AL162171.1</v>
      </c>
      <c r="B17002" s="6" t="s">
        <v>1</v>
      </c>
      <c r="C17002" s="6" t="s">
        <v>1</v>
      </c>
    </row>
    <row r="17003" spans="1:3" s="7" customFormat="1" x14ac:dyDescent="0.2">
      <c r="A17003" s="6" t="str">
        <f>"AP4B1-AS1"</f>
        <v>AP4B1-AS1</v>
      </c>
      <c r="B17003" s="6" t="s">
        <v>1</v>
      </c>
      <c r="C17003" s="6" t="s">
        <v>1</v>
      </c>
    </row>
    <row r="17004" spans="1:3" s="7" customFormat="1" x14ac:dyDescent="0.2">
      <c r="A17004" s="6" t="str">
        <f>"AC006435.2"</f>
        <v>AC006435.2</v>
      </c>
      <c r="B17004" s="6" t="s">
        <v>1</v>
      </c>
      <c r="C17004" s="6" t="s">
        <v>1</v>
      </c>
    </row>
    <row r="17005" spans="1:3" s="7" customFormat="1" x14ac:dyDescent="0.2">
      <c r="A17005" s="6" t="str">
        <f>"BTN2A3P"</f>
        <v>BTN2A3P</v>
      </c>
      <c r="B17005" s="6" t="s">
        <v>1</v>
      </c>
      <c r="C17005" s="6" t="s">
        <v>1</v>
      </c>
    </row>
    <row r="17006" spans="1:3" s="7" customFormat="1" x14ac:dyDescent="0.2">
      <c r="A17006" s="6" t="str">
        <f>"B3GALT1"</f>
        <v>B3GALT1</v>
      </c>
      <c r="B17006" s="6" t="s">
        <v>1</v>
      </c>
      <c r="C17006" s="6" t="s">
        <v>1</v>
      </c>
    </row>
    <row r="17007" spans="1:3" s="7" customFormat="1" x14ac:dyDescent="0.2">
      <c r="A17007" s="6" t="str">
        <f>"SLC25A40"</f>
        <v>SLC25A40</v>
      </c>
      <c r="B17007" s="6" t="s">
        <v>1</v>
      </c>
      <c r="C17007" s="6" t="s">
        <v>1</v>
      </c>
    </row>
    <row r="17008" spans="1:3" s="7" customFormat="1" x14ac:dyDescent="0.2">
      <c r="A17008" s="6" t="str">
        <f>"CHD9"</f>
        <v>CHD9</v>
      </c>
      <c r="B17008" s="6" t="s">
        <v>1</v>
      </c>
      <c r="C17008" s="6" t="s">
        <v>1</v>
      </c>
    </row>
    <row r="17009" spans="1:3" s="7" customFormat="1" x14ac:dyDescent="0.2">
      <c r="A17009" s="6" t="str">
        <f>"LINC02569"</f>
        <v>LINC02569</v>
      </c>
      <c r="B17009" s="6" t="s">
        <v>1</v>
      </c>
      <c r="C17009" s="6" t="s">
        <v>1</v>
      </c>
    </row>
    <row r="17010" spans="1:3" s="7" customFormat="1" x14ac:dyDescent="0.2">
      <c r="A17010" s="6" t="str">
        <f>"AC105219.3"</f>
        <v>AC105219.3</v>
      </c>
      <c r="B17010" s="6" t="s">
        <v>1</v>
      </c>
      <c r="C17010" s="6" t="s">
        <v>1</v>
      </c>
    </row>
    <row r="17011" spans="1:3" s="7" customFormat="1" x14ac:dyDescent="0.2">
      <c r="A17011" s="6" t="str">
        <f>"CATIP-AS1"</f>
        <v>CATIP-AS1</v>
      </c>
      <c r="B17011" s="6" t="s">
        <v>1</v>
      </c>
      <c r="C17011" s="6" t="s">
        <v>1</v>
      </c>
    </row>
    <row r="17012" spans="1:3" s="7" customFormat="1" x14ac:dyDescent="0.2">
      <c r="A17012" s="6" t="str">
        <f>"AC234782.2"</f>
        <v>AC234782.2</v>
      </c>
      <c r="B17012" s="6" t="s">
        <v>1</v>
      </c>
      <c r="C17012" s="6" t="s">
        <v>1</v>
      </c>
    </row>
    <row r="17013" spans="1:3" s="7" customFormat="1" x14ac:dyDescent="0.2">
      <c r="A17013" s="6" t="str">
        <f>"AC009245.1"</f>
        <v>AC009245.1</v>
      </c>
      <c r="B17013" s="6" t="s">
        <v>1</v>
      </c>
      <c r="C17013" s="6" t="s">
        <v>1</v>
      </c>
    </row>
    <row r="17014" spans="1:3" s="7" customFormat="1" x14ac:dyDescent="0.2">
      <c r="A17014" s="6" t="str">
        <f>"AC234775.2"</f>
        <v>AC234775.2</v>
      </c>
      <c r="B17014" s="6" t="s">
        <v>1</v>
      </c>
      <c r="C17014" s="6" t="s">
        <v>1</v>
      </c>
    </row>
    <row r="17015" spans="1:3" s="7" customFormat="1" x14ac:dyDescent="0.2">
      <c r="A17015" s="6" t="str">
        <f>"CYB5R4"</f>
        <v>CYB5R4</v>
      </c>
      <c r="B17015" s="6" t="s">
        <v>1</v>
      </c>
      <c r="C17015" s="6" t="s">
        <v>1</v>
      </c>
    </row>
    <row r="17016" spans="1:3" s="7" customFormat="1" x14ac:dyDescent="0.2">
      <c r="A17016" s="6" t="str">
        <f>"AL022311.1"</f>
        <v>AL022311.1</v>
      </c>
      <c r="B17016" s="6" t="s">
        <v>1</v>
      </c>
      <c r="C17016" s="6" t="s">
        <v>1</v>
      </c>
    </row>
    <row r="17017" spans="1:3" s="7" customFormat="1" x14ac:dyDescent="0.2">
      <c r="A17017" s="6" t="str">
        <f>"LIF-AS1"</f>
        <v>LIF-AS1</v>
      </c>
      <c r="B17017" s="6" t="s">
        <v>1</v>
      </c>
      <c r="C17017" s="6" t="s">
        <v>1</v>
      </c>
    </row>
    <row r="17018" spans="1:3" s="7" customFormat="1" x14ac:dyDescent="0.2">
      <c r="A17018" s="6" t="str">
        <f>"TMEM121B"</f>
        <v>TMEM121B</v>
      </c>
      <c r="B17018" s="6" t="s">
        <v>1</v>
      </c>
      <c r="C17018" s="6" t="s">
        <v>1</v>
      </c>
    </row>
    <row r="17019" spans="1:3" s="7" customFormat="1" x14ac:dyDescent="0.2">
      <c r="A17019" s="6" t="str">
        <f>"CHD1L"</f>
        <v>CHD1L</v>
      </c>
      <c r="B17019" s="6" t="s">
        <v>1</v>
      </c>
      <c r="C17019" s="6" t="s">
        <v>1</v>
      </c>
    </row>
    <row r="17020" spans="1:3" s="7" customFormat="1" x14ac:dyDescent="0.2">
      <c r="A17020" s="6" t="str">
        <f>"CHCHD6"</f>
        <v>CHCHD6</v>
      </c>
      <c r="B17020" s="6" t="s">
        <v>1</v>
      </c>
      <c r="C17020" s="6" t="s">
        <v>1</v>
      </c>
    </row>
    <row r="17021" spans="1:3" s="7" customFormat="1" x14ac:dyDescent="0.2">
      <c r="A17021" s="6" t="str">
        <f>"CDK5RAP2"</f>
        <v>CDK5RAP2</v>
      </c>
      <c r="B17021" s="6" t="s">
        <v>1</v>
      </c>
      <c r="C17021" s="6" t="s">
        <v>1</v>
      </c>
    </row>
    <row r="17022" spans="1:3" s="7" customFormat="1" x14ac:dyDescent="0.2">
      <c r="A17022" s="6" t="str">
        <f>"AL731533.2"</f>
        <v>AL731533.2</v>
      </c>
      <c r="B17022" s="6" t="s">
        <v>1</v>
      </c>
      <c r="C17022" s="6" t="s">
        <v>1</v>
      </c>
    </row>
    <row r="17023" spans="1:3" s="7" customFormat="1" x14ac:dyDescent="0.2">
      <c r="A17023" s="6" t="str">
        <f>"SH3KBP1"</f>
        <v>SH3KBP1</v>
      </c>
      <c r="B17023" s="6" t="s">
        <v>1</v>
      </c>
      <c r="C17023" s="6" t="s">
        <v>1</v>
      </c>
    </row>
    <row r="17024" spans="1:3" s="7" customFormat="1" x14ac:dyDescent="0.2">
      <c r="A17024" s="6" t="str">
        <f>"B2M"</f>
        <v>B2M</v>
      </c>
      <c r="B17024" s="6" t="s">
        <v>1</v>
      </c>
      <c r="C17024" s="6" t="s">
        <v>1</v>
      </c>
    </row>
    <row r="17025" spans="1:3" s="7" customFormat="1" x14ac:dyDescent="0.2">
      <c r="A17025" s="6" t="str">
        <f>"AC021127.1"</f>
        <v>AC021127.1</v>
      </c>
      <c r="B17025" s="6" t="s">
        <v>1</v>
      </c>
      <c r="C17025" s="6" t="s">
        <v>1</v>
      </c>
    </row>
    <row r="17026" spans="1:3" s="7" customFormat="1" x14ac:dyDescent="0.2">
      <c r="A17026" s="6" t="str">
        <f>"TRBV4-2"</f>
        <v>TRBV4-2</v>
      </c>
      <c r="B17026" s="6" t="s">
        <v>1</v>
      </c>
      <c r="C17026" s="6" t="s">
        <v>1</v>
      </c>
    </row>
    <row r="17027" spans="1:3" s="7" customFormat="1" x14ac:dyDescent="0.2">
      <c r="A17027" s="6" t="str">
        <f>"AC012368.1"</f>
        <v>AC012368.1</v>
      </c>
      <c r="B17027" s="6" t="s">
        <v>1</v>
      </c>
      <c r="C17027" s="6" t="s">
        <v>1</v>
      </c>
    </row>
    <row r="17028" spans="1:3" s="7" customFormat="1" x14ac:dyDescent="0.2">
      <c r="A17028" s="6" t="str">
        <f>"ARV1"</f>
        <v>ARV1</v>
      </c>
      <c r="B17028" s="6" t="s">
        <v>1</v>
      </c>
      <c r="C17028" s="6" t="s">
        <v>1</v>
      </c>
    </row>
    <row r="17029" spans="1:3" s="7" customFormat="1" x14ac:dyDescent="0.2">
      <c r="A17029" s="6" t="str">
        <f>"CR2"</f>
        <v>CR2</v>
      </c>
      <c r="B17029" s="6" t="s">
        <v>1</v>
      </c>
      <c r="C17029" s="6" t="s">
        <v>1</v>
      </c>
    </row>
    <row r="17030" spans="1:3" s="7" customFormat="1" x14ac:dyDescent="0.2">
      <c r="A17030" s="6" t="str">
        <f>"AC006460.2"</f>
        <v>AC006460.2</v>
      </c>
      <c r="B17030" s="6" t="s">
        <v>1</v>
      </c>
      <c r="C17030" s="6" t="s">
        <v>1</v>
      </c>
    </row>
    <row r="17031" spans="1:3" s="7" customFormat="1" x14ac:dyDescent="0.2">
      <c r="A17031" s="6" t="str">
        <f>"AP000295.1"</f>
        <v>AP000295.1</v>
      </c>
      <c r="B17031" s="6" t="s">
        <v>1</v>
      </c>
      <c r="C17031" s="6" t="s">
        <v>1</v>
      </c>
    </row>
    <row r="17032" spans="1:3" s="7" customFormat="1" x14ac:dyDescent="0.2">
      <c r="A17032" s="6" t="str">
        <f>"C1QL2"</f>
        <v>C1QL2</v>
      </c>
      <c r="B17032" s="6" t="s">
        <v>1</v>
      </c>
      <c r="C17032" s="6" t="s">
        <v>1</v>
      </c>
    </row>
    <row r="17033" spans="1:3" s="7" customFormat="1" x14ac:dyDescent="0.2">
      <c r="A17033" s="6" t="str">
        <f>"ZNF583"</f>
        <v>ZNF583</v>
      </c>
      <c r="B17033" s="6" t="s">
        <v>1</v>
      </c>
      <c r="C17033" s="6" t="s">
        <v>1</v>
      </c>
    </row>
    <row r="17034" spans="1:3" s="7" customFormat="1" x14ac:dyDescent="0.2">
      <c r="A17034" s="6" t="str">
        <f>"ARSA"</f>
        <v>ARSA</v>
      </c>
      <c r="B17034" s="6" t="s">
        <v>1</v>
      </c>
      <c r="C17034" s="6" t="s">
        <v>1</v>
      </c>
    </row>
    <row r="17035" spans="1:3" s="7" customFormat="1" x14ac:dyDescent="0.2">
      <c r="A17035" s="6" t="str">
        <f>"AC231981.1"</f>
        <v>AC231981.1</v>
      </c>
      <c r="B17035" s="6" t="s">
        <v>1</v>
      </c>
      <c r="C17035" s="6" t="s">
        <v>1</v>
      </c>
    </row>
    <row r="17036" spans="1:3" s="7" customFormat="1" x14ac:dyDescent="0.2">
      <c r="A17036" s="6" t="str">
        <f>"AL162311.3"</f>
        <v>AL162311.3</v>
      </c>
      <c r="B17036" s="6" t="s">
        <v>1</v>
      </c>
      <c r="C17036" s="6" t="s">
        <v>1</v>
      </c>
    </row>
    <row r="17037" spans="1:3" s="7" customFormat="1" x14ac:dyDescent="0.2">
      <c r="A17037" s="6" t="str">
        <f>"CDK11B"</f>
        <v>CDK11B</v>
      </c>
      <c r="B17037" s="6" t="s">
        <v>1</v>
      </c>
      <c r="C17037" s="6" t="s">
        <v>1</v>
      </c>
    </row>
    <row r="17038" spans="1:3" s="7" customFormat="1" x14ac:dyDescent="0.2">
      <c r="A17038" s="6" t="str">
        <f>"AC105101.1"</f>
        <v>AC105101.1</v>
      </c>
      <c r="B17038" s="6" t="s">
        <v>1</v>
      </c>
      <c r="C17038" s="6" t="s">
        <v>1</v>
      </c>
    </row>
    <row r="17039" spans="1:3" s="7" customFormat="1" x14ac:dyDescent="0.2">
      <c r="A17039" s="6" t="str">
        <f>"AC106793.1"</f>
        <v>AC106793.1</v>
      </c>
      <c r="B17039" s="6" t="s">
        <v>1</v>
      </c>
      <c r="C17039" s="6" t="s">
        <v>1</v>
      </c>
    </row>
    <row r="17040" spans="1:3" s="7" customFormat="1" x14ac:dyDescent="0.2">
      <c r="A17040" s="6" t="str">
        <f>"TTC38"</f>
        <v>TTC38</v>
      </c>
      <c r="B17040" s="6" t="s">
        <v>1</v>
      </c>
      <c r="C17040" s="6" t="s">
        <v>1</v>
      </c>
    </row>
    <row r="17041" spans="1:3" s="7" customFormat="1" x14ac:dyDescent="0.2">
      <c r="A17041" s="6" t="str">
        <f>"CYB5D2"</f>
        <v>CYB5D2</v>
      </c>
      <c r="B17041" s="6" t="s">
        <v>1</v>
      </c>
      <c r="C17041" s="6" t="s">
        <v>1</v>
      </c>
    </row>
    <row r="17042" spans="1:3" s="7" customFormat="1" x14ac:dyDescent="0.2">
      <c r="A17042" s="6" t="str">
        <f>"CDK12"</f>
        <v>CDK12</v>
      </c>
      <c r="B17042" s="6" t="s">
        <v>1</v>
      </c>
      <c r="C17042" s="6" t="s">
        <v>1</v>
      </c>
    </row>
    <row r="17043" spans="1:3" s="7" customFormat="1" x14ac:dyDescent="0.2">
      <c r="A17043" s="6" t="str">
        <f>"AC234917.3"</f>
        <v>AC234917.3</v>
      </c>
      <c r="B17043" s="6" t="s">
        <v>1</v>
      </c>
      <c r="C17043" s="6" t="s">
        <v>1</v>
      </c>
    </row>
    <row r="17044" spans="1:3" s="7" customFormat="1" x14ac:dyDescent="0.2">
      <c r="A17044" s="6" t="str">
        <f>"CHD6"</f>
        <v>CHD6</v>
      </c>
      <c r="B17044" s="6" t="s">
        <v>1</v>
      </c>
      <c r="C17044" s="6" t="s">
        <v>1</v>
      </c>
    </row>
    <row r="17045" spans="1:3" s="7" customFormat="1" x14ac:dyDescent="0.2">
      <c r="A17045" s="6" t="str">
        <f>"ZBTB4"</f>
        <v>ZBTB4</v>
      </c>
      <c r="B17045" s="6" t="s">
        <v>1</v>
      </c>
      <c r="C17045" s="6" t="s">
        <v>1</v>
      </c>
    </row>
    <row r="17046" spans="1:3" s="7" customFormat="1" x14ac:dyDescent="0.2">
      <c r="A17046" s="6" t="str">
        <f>"AC004076.2"</f>
        <v>AC004076.2</v>
      </c>
      <c r="B17046" s="6" t="s">
        <v>1</v>
      </c>
      <c r="C17046" s="6" t="s">
        <v>1</v>
      </c>
    </row>
    <row r="17047" spans="1:3" s="7" customFormat="1" x14ac:dyDescent="0.2">
      <c r="A17047" s="6" t="str">
        <f>"AL928654.4"</f>
        <v>AL928654.4</v>
      </c>
      <c r="B17047" s="6" t="s">
        <v>1</v>
      </c>
      <c r="C17047" s="6" t="s">
        <v>1</v>
      </c>
    </row>
    <row r="17048" spans="1:3" s="7" customFormat="1" x14ac:dyDescent="0.2">
      <c r="A17048" s="6" t="str">
        <f>"AC124947.1"</f>
        <v>AC124947.1</v>
      </c>
      <c r="B17048" s="6" t="s">
        <v>1</v>
      </c>
      <c r="C17048" s="6" t="s">
        <v>1</v>
      </c>
    </row>
    <row r="17049" spans="1:3" s="7" customFormat="1" x14ac:dyDescent="0.2">
      <c r="A17049" s="6" t="str">
        <f>"CMTR1"</f>
        <v>CMTR1</v>
      </c>
      <c r="B17049" s="6" t="s">
        <v>1</v>
      </c>
      <c r="C17049" s="6" t="s">
        <v>1</v>
      </c>
    </row>
    <row r="17050" spans="1:3" s="7" customFormat="1" x14ac:dyDescent="0.2">
      <c r="A17050" s="6" t="str">
        <f>"AL713998.1"</f>
        <v>AL713998.1</v>
      </c>
      <c r="B17050" s="6" t="s">
        <v>1</v>
      </c>
      <c r="C17050" s="6" t="s">
        <v>1</v>
      </c>
    </row>
    <row r="17051" spans="1:3" s="7" customFormat="1" x14ac:dyDescent="0.2">
      <c r="A17051" s="6" t="str">
        <f>"CYBB"</f>
        <v>CYBB</v>
      </c>
      <c r="B17051" s="6" t="s">
        <v>1</v>
      </c>
      <c r="C17051" s="6" t="s">
        <v>1</v>
      </c>
    </row>
    <row r="17052" spans="1:3" s="7" customFormat="1" x14ac:dyDescent="0.2">
      <c r="A17052" s="6" t="str">
        <f>"B3GALT5-AS1"</f>
        <v>B3GALT5-AS1</v>
      </c>
      <c r="B17052" s="6" t="s">
        <v>1</v>
      </c>
      <c r="C17052" s="6" t="s">
        <v>1</v>
      </c>
    </row>
    <row r="17053" spans="1:3" s="7" customFormat="1" x14ac:dyDescent="0.2">
      <c r="A17053" s="6" t="str">
        <f>"CXCL6"</f>
        <v>CXCL6</v>
      </c>
      <c r="B17053" s="6" t="s">
        <v>1</v>
      </c>
      <c r="C17053" s="6" t="s">
        <v>1</v>
      </c>
    </row>
    <row r="17054" spans="1:3" s="7" customFormat="1" x14ac:dyDescent="0.2">
      <c r="A17054" s="6" t="str">
        <f>"CASZ1"</f>
        <v>CASZ1</v>
      </c>
      <c r="B17054" s="6" t="s">
        <v>1</v>
      </c>
      <c r="C17054" s="6" t="s">
        <v>1</v>
      </c>
    </row>
    <row r="17055" spans="1:3" s="7" customFormat="1" x14ac:dyDescent="0.2">
      <c r="A17055" s="6" t="str">
        <f>"AP000254.2"</f>
        <v>AP000254.2</v>
      </c>
      <c r="B17055" s="6" t="s">
        <v>1</v>
      </c>
      <c r="C17055" s="6" t="s">
        <v>1</v>
      </c>
    </row>
    <row r="17056" spans="1:3" s="7" customFormat="1" x14ac:dyDescent="0.2">
      <c r="A17056" s="6" t="str">
        <f>"CATSPER1"</f>
        <v>CATSPER1</v>
      </c>
      <c r="B17056" s="6" t="s">
        <v>1</v>
      </c>
      <c r="C17056" s="6" t="s">
        <v>1</v>
      </c>
    </row>
    <row r="17057" spans="1:3" s="7" customFormat="1" x14ac:dyDescent="0.2">
      <c r="A17057" s="6" t="str">
        <f>"AL732372.2"</f>
        <v>AL732372.2</v>
      </c>
      <c r="B17057" s="6" t="s">
        <v>1</v>
      </c>
      <c r="C17057" s="6" t="s">
        <v>1</v>
      </c>
    </row>
    <row r="17058" spans="1:3" s="7" customFormat="1" x14ac:dyDescent="0.2">
      <c r="A17058" s="6" t="str">
        <f>"BOLA2-SMG1P6"</f>
        <v>BOLA2-SMG1P6</v>
      </c>
      <c r="B17058" s="6" t="s">
        <v>1</v>
      </c>
      <c r="C17058" s="6" t="s">
        <v>1</v>
      </c>
    </row>
    <row r="17059" spans="1:3" s="7" customFormat="1" x14ac:dyDescent="0.2">
      <c r="A17059" s="6" t="str">
        <f>"CDK11A"</f>
        <v>CDK11A</v>
      </c>
      <c r="B17059" s="6" t="s">
        <v>1</v>
      </c>
      <c r="C17059" s="6" t="s">
        <v>1</v>
      </c>
    </row>
    <row r="17060" spans="1:3" s="7" customFormat="1" x14ac:dyDescent="0.2">
      <c r="A17060" s="6" t="str">
        <f>"AC080089.2"</f>
        <v>AC080089.2</v>
      </c>
      <c r="B17060" s="6" t="s">
        <v>1</v>
      </c>
      <c r="C17060" s="6" t="s">
        <v>1</v>
      </c>
    </row>
    <row r="17061" spans="1:3" s="7" customFormat="1" x14ac:dyDescent="0.2">
      <c r="A17061" s="6" t="str">
        <f>"AC007014.1"</f>
        <v>AC007014.1</v>
      </c>
      <c r="B17061" s="6" t="s">
        <v>1</v>
      </c>
      <c r="C17061" s="6" t="s">
        <v>1</v>
      </c>
    </row>
    <row r="17062" spans="1:3" s="7" customFormat="1" x14ac:dyDescent="0.2">
      <c r="A17062" s="6" t="str">
        <f>"AC105749.1"</f>
        <v>AC105749.1</v>
      </c>
      <c r="B17062" s="6" t="s">
        <v>1</v>
      </c>
      <c r="C17062" s="6" t="s">
        <v>1</v>
      </c>
    </row>
    <row r="17063" spans="1:3" s="7" customFormat="1" x14ac:dyDescent="0.2">
      <c r="A17063" s="6" t="str">
        <f>"CHIC1"</f>
        <v>CHIC1</v>
      </c>
      <c r="B17063" s="6" t="s">
        <v>1</v>
      </c>
      <c r="C17063" s="6" t="s">
        <v>1</v>
      </c>
    </row>
    <row r="17064" spans="1:3" s="7" customFormat="1" x14ac:dyDescent="0.2">
      <c r="A17064" s="6" t="str">
        <f>"CYB5B"</f>
        <v>CYB5B</v>
      </c>
      <c r="B17064" s="6" t="s">
        <v>1</v>
      </c>
      <c r="C17064" s="6" t="s">
        <v>1</v>
      </c>
    </row>
    <row r="17065" spans="1:3" s="7" customFormat="1" x14ac:dyDescent="0.2">
      <c r="A17065" s="6" t="str">
        <f>"CAT"</f>
        <v>CAT</v>
      </c>
      <c r="B17065" s="6" t="s">
        <v>1</v>
      </c>
      <c r="C17065" s="6" t="s">
        <v>1</v>
      </c>
    </row>
    <row r="17066" spans="1:3" s="7" customFormat="1" x14ac:dyDescent="0.2">
      <c r="A17066" s="6" t="str">
        <f>"AC083843.2"</f>
        <v>AC083843.2</v>
      </c>
      <c r="B17066" s="6" t="s">
        <v>1</v>
      </c>
      <c r="C17066" s="6" t="s">
        <v>1</v>
      </c>
    </row>
    <row r="17067" spans="1:3" s="7" customFormat="1" x14ac:dyDescent="0.2">
      <c r="A17067" s="6" t="str">
        <f>"AL162741.1"</f>
        <v>AL162741.1</v>
      </c>
      <c r="B17067" s="6" t="s">
        <v>1</v>
      </c>
      <c r="C17067" s="6" t="s">
        <v>1</v>
      </c>
    </row>
    <row r="17068" spans="1:3" s="7" customFormat="1" x14ac:dyDescent="0.2">
      <c r="A17068" s="6" t="str">
        <f>"AC079921.1"</f>
        <v>AC079921.1</v>
      </c>
      <c r="B17068" s="6" t="s">
        <v>1</v>
      </c>
      <c r="C17068" s="6" t="s">
        <v>1</v>
      </c>
    </row>
    <row r="17069" spans="1:3" s="7" customFormat="1" x14ac:dyDescent="0.2">
      <c r="A17069" s="6" t="str">
        <f>"AC126768.2"</f>
        <v>AC126768.2</v>
      </c>
      <c r="B17069" s="6" t="s">
        <v>1</v>
      </c>
      <c r="C17069" s="6" t="s">
        <v>1</v>
      </c>
    </row>
    <row r="17070" spans="1:3" s="7" customFormat="1" x14ac:dyDescent="0.2">
      <c r="A17070" s="6" t="str">
        <f>"AL391425.1"</f>
        <v>AL391425.1</v>
      </c>
      <c r="B17070" s="6" t="s">
        <v>1</v>
      </c>
      <c r="C17070" s="6" t="s">
        <v>1</v>
      </c>
    </row>
    <row r="17071" spans="1:3" s="7" customFormat="1" x14ac:dyDescent="0.2">
      <c r="A17071" s="6" t="str">
        <f>"AL021707.5"</f>
        <v>AL021707.5</v>
      </c>
      <c r="B17071" s="6" t="s">
        <v>1</v>
      </c>
      <c r="C17071" s="6" t="s">
        <v>1</v>
      </c>
    </row>
    <row r="17072" spans="1:3" s="7" customFormat="1" x14ac:dyDescent="0.2">
      <c r="A17072" s="6" t="str">
        <f>"AOPEP"</f>
        <v>AOPEP</v>
      </c>
      <c r="B17072" s="6" t="s">
        <v>1</v>
      </c>
      <c r="C17072" s="6" t="s">
        <v>1</v>
      </c>
    </row>
    <row r="17073" spans="1:3" s="7" customFormat="1" x14ac:dyDescent="0.2">
      <c r="A17073" s="6" t="str">
        <f>"APCDD1"</f>
        <v>APCDD1</v>
      </c>
      <c r="B17073" s="6" t="s">
        <v>1</v>
      </c>
      <c r="C17073" s="6" t="s">
        <v>1</v>
      </c>
    </row>
    <row r="17074" spans="1:3" s="7" customFormat="1" x14ac:dyDescent="0.2">
      <c r="A17074" s="6" t="str">
        <f>"AC095057.3"</f>
        <v>AC095057.3</v>
      </c>
      <c r="B17074" s="6" t="s">
        <v>1</v>
      </c>
      <c r="C17074" s="6" t="s">
        <v>1</v>
      </c>
    </row>
    <row r="17075" spans="1:3" s="7" customFormat="1" x14ac:dyDescent="0.2">
      <c r="A17075" s="6" t="str">
        <f>"AC092745.5"</f>
        <v>AC092745.5</v>
      </c>
      <c r="B17075" s="6" t="s">
        <v>1</v>
      </c>
      <c r="C17075" s="6" t="s">
        <v>1</v>
      </c>
    </row>
    <row r="17076" spans="1:3" s="7" customFormat="1" x14ac:dyDescent="0.2">
      <c r="A17076" s="6" t="str">
        <f>"AC080013.3"</f>
        <v>AC080013.3</v>
      </c>
      <c r="B17076" s="6" t="s">
        <v>1</v>
      </c>
      <c r="C17076" s="6" t="s">
        <v>1</v>
      </c>
    </row>
    <row r="17077" spans="1:3" s="7" customFormat="1" x14ac:dyDescent="0.2">
      <c r="A17077" s="6" t="str">
        <f>"SHPRH"</f>
        <v>SHPRH</v>
      </c>
      <c r="B17077" s="6" t="s">
        <v>1</v>
      </c>
      <c r="C17077" s="6" t="s">
        <v>1</v>
      </c>
    </row>
    <row r="17078" spans="1:3" s="7" customFormat="1" x14ac:dyDescent="0.2">
      <c r="A17078" s="6" t="str">
        <f>"AC020978.5"</f>
        <v>AC020978.5</v>
      </c>
      <c r="B17078" s="6" t="s">
        <v>1</v>
      </c>
      <c r="C17078" s="6" t="s">
        <v>1</v>
      </c>
    </row>
    <row r="17079" spans="1:3" s="7" customFormat="1" x14ac:dyDescent="0.2">
      <c r="A17079" s="6" t="str">
        <f>"TBC1D1"</f>
        <v>TBC1D1</v>
      </c>
      <c r="B17079" s="6" t="s">
        <v>1</v>
      </c>
      <c r="C17079" s="6" t="s">
        <v>1</v>
      </c>
    </row>
    <row r="17080" spans="1:3" s="7" customFormat="1" x14ac:dyDescent="0.2">
      <c r="A17080" s="6" t="str">
        <f>"RPL39P40"</f>
        <v>RPL39P40</v>
      </c>
      <c r="B17080" s="6" t="s">
        <v>1</v>
      </c>
      <c r="C17080" s="6" t="s">
        <v>1</v>
      </c>
    </row>
    <row r="17081" spans="1:3" s="7" customFormat="1" x14ac:dyDescent="0.2">
      <c r="A17081" s="6" t="str">
        <f>"CAPN12"</f>
        <v>CAPN12</v>
      </c>
      <c r="B17081" s="6" t="s">
        <v>1</v>
      </c>
      <c r="C17081" s="6" t="s">
        <v>1</v>
      </c>
    </row>
    <row r="17082" spans="1:3" s="7" customFormat="1" x14ac:dyDescent="0.2">
      <c r="A17082" s="6" t="str">
        <f>"PHF21A"</f>
        <v>PHF21A</v>
      </c>
      <c r="B17082" s="6" t="s">
        <v>1</v>
      </c>
      <c r="C17082" s="6" t="s">
        <v>1</v>
      </c>
    </row>
    <row r="17083" spans="1:3" s="7" customFormat="1" x14ac:dyDescent="0.2">
      <c r="A17083" s="6" t="str">
        <f>"PRKCI"</f>
        <v>PRKCI</v>
      </c>
      <c r="B17083" s="6" t="s">
        <v>1</v>
      </c>
      <c r="C17083" s="6" t="s">
        <v>1</v>
      </c>
    </row>
    <row r="17084" spans="1:3" s="7" customFormat="1" x14ac:dyDescent="0.2">
      <c r="A17084" s="6" t="str">
        <f>"BOD1L1"</f>
        <v>BOD1L1</v>
      </c>
      <c r="B17084" s="6" t="s">
        <v>1</v>
      </c>
      <c r="C17084" s="6" t="s">
        <v>1</v>
      </c>
    </row>
    <row r="17085" spans="1:3" s="7" customFormat="1" x14ac:dyDescent="0.2">
      <c r="A17085" s="6" t="str">
        <f>"CMSS1"</f>
        <v>CMSS1</v>
      </c>
      <c r="B17085" s="6" t="s">
        <v>1</v>
      </c>
      <c r="C17085" s="6" t="s">
        <v>1</v>
      </c>
    </row>
    <row r="17086" spans="1:3" s="7" customFormat="1" x14ac:dyDescent="0.2">
      <c r="A17086" s="6" t="str">
        <f>"TAX1BP3"</f>
        <v>TAX1BP3</v>
      </c>
      <c r="B17086" s="6" t="s">
        <v>1</v>
      </c>
      <c r="C17086" s="6" t="s">
        <v>1</v>
      </c>
    </row>
    <row r="17087" spans="1:3" s="7" customFormat="1" x14ac:dyDescent="0.2">
      <c r="A17087" s="6" t="str">
        <f>"CXXC5"</f>
        <v>CXXC5</v>
      </c>
      <c r="B17087" s="6" t="s">
        <v>1</v>
      </c>
      <c r="C17087" s="6" t="s">
        <v>1</v>
      </c>
    </row>
    <row r="17088" spans="1:3" s="7" customFormat="1" x14ac:dyDescent="0.2">
      <c r="A17088" s="6" t="str">
        <f>"CNGA3"</f>
        <v>CNGA3</v>
      </c>
      <c r="B17088" s="6" t="s">
        <v>1</v>
      </c>
      <c r="C17088" s="6" t="s">
        <v>1</v>
      </c>
    </row>
    <row r="17089" spans="1:3" s="7" customFormat="1" x14ac:dyDescent="0.2">
      <c r="A17089" s="6" t="str">
        <f>"ZSCAN12"</f>
        <v>ZSCAN12</v>
      </c>
      <c r="B17089" s="6" t="s">
        <v>1</v>
      </c>
      <c r="C17089" s="6" t="s">
        <v>1</v>
      </c>
    </row>
    <row r="17090" spans="1:3" s="7" customFormat="1" x14ac:dyDescent="0.2">
      <c r="A17090" s="6" t="str">
        <f>"PHF10"</f>
        <v>PHF10</v>
      </c>
      <c r="B17090" s="6" t="s">
        <v>1</v>
      </c>
      <c r="C17090" s="6" t="s">
        <v>1</v>
      </c>
    </row>
    <row r="17091" spans="1:3" s="7" customFormat="1" x14ac:dyDescent="0.2">
      <c r="A17091" s="6" t="str">
        <f>"AC083805.3"</f>
        <v>AC083805.3</v>
      </c>
      <c r="B17091" s="6" t="s">
        <v>1</v>
      </c>
      <c r="C17091" s="6" t="s">
        <v>1</v>
      </c>
    </row>
    <row r="17092" spans="1:3" s="7" customFormat="1" x14ac:dyDescent="0.2">
      <c r="A17092" s="6" t="str">
        <f>"AL021408.1"</f>
        <v>AL021408.1</v>
      </c>
      <c r="B17092" s="6" t="s">
        <v>1</v>
      </c>
      <c r="C17092" s="6" t="s">
        <v>1</v>
      </c>
    </row>
    <row r="17093" spans="1:3" s="7" customFormat="1" x14ac:dyDescent="0.2">
      <c r="A17093" s="6" t="str">
        <f>"AC233280.1"</f>
        <v>AC233280.1</v>
      </c>
      <c r="B17093" s="6" t="s">
        <v>1</v>
      </c>
      <c r="C17093" s="6" t="s">
        <v>1</v>
      </c>
    </row>
    <row r="17094" spans="1:3" s="7" customFormat="1" x14ac:dyDescent="0.2">
      <c r="A17094" s="6" t="str">
        <f>"SLC25A42"</f>
        <v>SLC25A42</v>
      </c>
      <c r="B17094" s="6" t="s">
        <v>1</v>
      </c>
      <c r="C17094" s="6" t="s">
        <v>1</v>
      </c>
    </row>
    <row r="17095" spans="1:3" s="7" customFormat="1" x14ac:dyDescent="0.2">
      <c r="A17095" s="6" t="str">
        <f>"SLK"</f>
        <v>SLK</v>
      </c>
      <c r="B17095" s="6" t="s">
        <v>1</v>
      </c>
      <c r="C17095" s="6" t="s">
        <v>1</v>
      </c>
    </row>
    <row r="17096" spans="1:3" s="7" customFormat="1" x14ac:dyDescent="0.2">
      <c r="A17096" s="6" t="str">
        <f>"ADGRF1"</f>
        <v>ADGRF1</v>
      </c>
      <c r="B17096" s="6" t="s">
        <v>1</v>
      </c>
      <c r="C17096" s="6" t="s">
        <v>1</v>
      </c>
    </row>
    <row r="17097" spans="1:3" s="7" customFormat="1" x14ac:dyDescent="0.2">
      <c r="A17097" s="6" t="str">
        <f>"ATAT1"</f>
        <v>ATAT1</v>
      </c>
      <c r="B17097" s="6" t="s">
        <v>1</v>
      </c>
      <c r="C17097" s="6" t="s">
        <v>1</v>
      </c>
    </row>
    <row r="17098" spans="1:3" s="7" customFormat="1" x14ac:dyDescent="0.2">
      <c r="A17098" s="6" t="str">
        <f>"SEC24A"</f>
        <v>SEC24A</v>
      </c>
      <c r="B17098" s="6" t="s">
        <v>1</v>
      </c>
      <c r="C17098" s="6" t="s">
        <v>1</v>
      </c>
    </row>
    <row r="17099" spans="1:3" s="7" customFormat="1" x14ac:dyDescent="0.2">
      <c r="A17099" s="6" t="str">
        <f>"PLEC"</f>
        <v>PLEC</v>
      </c>
      <c r="B17099" s="6" t="s">
        <v>1</v>
      </c>
      <c r="C17099" s="6" t="s">
        <v>1</v>
      </c>
    </row>
    <row r="17100" spans="1:3" s="7" customFormat="1" x14ac:dyDescent="0.2">
      <c r="A17100" s="6" t="str">
        <f>"AL391244.1"</f>
        <v>AL391244.1</v>
      </c>
      <c r="B17100" s="6" t="s">
        <v>1</v>
      </c>
      <c r="C17100" s="6" t="s">
        <v>1</v>
      </c>
    </row>
    <row r="17101" spans="1:3" s="7" customFormat="1" x14ac:dyDescent="0.2">
      <c r="A17101" s="6" t="str">
        <f>"ZBTB46"</f>
        <v>ZBTB46</v>
      </c>
      <c r="B17101" s="6" t="s">
        <v>1</v>
      </c>
      <c r="C17101" s="6" t="s">
        <v>1</v>
      </c>
    </row>
    <row r="17102" spans="1:3" s="7" customFormat="1" x14ac:dyDescent="0.2">
      <c r="A17102" s="6" t="str">
        <f>"AC004241.3"</f>
        <v>AC004241.3</v>
      </c>
      <c r="B17102" s="6" t="s">
        <v>1</v>
      </c>
      <c r="C17102" s="6" t="s">
        <v>1</v>
      </c>
    </row>
    <row r="17103" spans="1:3" s="7" customFormat="1" x14ac:dyDescent="0.2">
      <c r="A17103" s="6" t="str">
        <f>"AL162586.1"</f>
        <v>AL162586.1</v>
      </c>
      <c r="B17103" s="6" t="s">
        <v>1</v>
      </c>
      <c r="C17103" s="6" t="s">
        <v>1</v>
      </c>
    </row>
    <row r="17104" spans="1:3" s="7" customFormat="1" x14ac:dyDescent="0.2">
      <c r="A17104" s="6" t="str">
        <f>"AC125807.2"</f>
        <v>AC125807.2</v>
      </c>
      <c r="B17104" s="6" t="s">
        <v>1</v>
      </c>
      <c r="C17104" s="6" t="s">
        <v>1</v>
      </c>
    </row>
    <row r="17105" spans="1:3" s="7" customFormat="1" x14ac:dyDescent="0.2">
      <c r="A17105" s="6" t="str">
        <f>"AC239799.1"</f>
        <v>AC239799.1</v>
      </c>
      <c r="B17105" s="6" t="s">
        <v>1</v>
      </c>
      <c r="C17105" s="6" t="s">
        <v>1</v>
      </c>
    </row>
    <row r="17106" spans="1:3" s="7" customFormat="1" x14ac:dyDescent="0.2">
      <c r="A17106" s="6" t="str">
        <f>"AC007098.1"</f>
        <v>AC007098.1</v>
      </c>
      <c r="B17106" s="6" t="s">
        <v>1</v>
      </c>
      <c r="C17106" s="6" t="s">
        <v>1</v>
      </c>
    </row>
    <row r="17107" spans="1:3" s="7" customFormat="1" x14ac:dyDescent="0.2">
      <c r="A17107" s="6" t="str">
        <f>"VAV3"</f>
        <v>VAV3</v>
      </c>
      <c r="B17107" s="6" t="s">
        <v>1</v>
      </c>
      <c r="C17107" s="6" t="s">
        <v>1</v>
      </c>
    </row>
    <row r="17108" spans="1:3" s="7" customFormat="1" x14ac:dyDescent="0.2">
      <c r="A17108" s="6" t="str">
        <f>"CAP1"</f>
        <v>CAP1</v>
      </c>
      <c r="B17108" s="6" t="s">
        <v>1</v>
      </c>
      <c r="C17108" s="6" t="s">
        <v>1</v>
      </c>
    </row>
    <row r="17109" spans="1:3" s="7" customFormat="1" x14ac:dyDescent="0.2">
      <c r="A17109" s="6" t="str">
        <f>"KLRK1"</f>
        <v>KLRK1</v>
      </c>
      <c r="B17109" s="6" t="s">
        <v>1</v>
      </c>
      <c r="C17109" s="6" t="s">
        <v>1</v>
      </c>
    </row>
    <row r="17110" spans="1:3" s="7" customFormat="1" x14ac:dyDescent="0.2">
      <c r="A17110" s="6" t="str">
        <f>"BBOX1-AS1"</f>
        <v>BBOX1-AS1</v>
      </c>
      <c r="B17110" s="6" t="s">
        <v>1</v>
      </c>
      <c r="C17110" s="6" t="s">
        <v>1</v>
      </c>
    </row>
    <row r="17111" spans="1:3" s="7" customFormat="1" x14ac:dyDescent="0.2">
      <c r="A17111" s="6" t="str">
        <f>"WWC3"</f>
        <v>WWC3</v>
      </c>
      <c r="B17111" s="6" t="s">
        <v>1</v>
      </c>
      <c r="C17111" s="6" t="s">
        <v>1</v>
      </c>
    </row>
    <row r="17112" spans="1:3" s="7" customFormat="1" x14ac:dyDescent="0.2">
      <c r="A17112" s="6" t="str">
        <f>"CXorf65"</f>
        <v>CXorf65</v>
      </c>
      <c r="B17112" s="6" t="s">
        <v>1</v>
      </c>
      <c r="C17112" s="6" t="s">
        <v>1</v>
      </c>
    </row>
    <row r="17113" spans="1:3" s="7" customFormat="1" x14ac:dyDescent="0.2">
      <c r="A17113" s="6" t="str">
        <f>"CRAMP1"</f>
        <v>CRAMP1</v>
      </c>
      <c r="B17113" s="6" t="s">
        <v>1</v>
      </c>
      <c r="C17113" s="6" t="s">
        <v>1</v>
      </c>
    </row>
    <row r="17114" spans="1:3" s="7" customFormat="1" x14ac:dyDescent="0.2">
      <c r="A17114" s="6" t="str">
        <f>"CAPN9"</f>
        <v>CAPN9</v>
      </c>
      <c r="B17114" s="6" t="s">
        <v>1</v>
      </c>
      <c r="C17114" s="6" t="s">
        <v>1</v>
      </c>
    </row>
    <row r="17115" spans="1:3" s="7" customFormat="1" x14ac:dyDescent="0.2">
      <c r="A17115" s="6" t="str">
        <f>"ACADM"</f>
        <v>ACADM</v>
      </c>
      <c r="B17115" s="6" t="s">
        <v>1</v>
      </c>
      <c r="C17115" s="6" t="s">
        <v>1</v>
      </c>
    </row>
    <row r="17116" spans="1:3" s="7" customFormat="1" x14ac:dyDescent="0.2">
      <c r="A17116" s="6" t="str">
        <f>"LIFR"</f>
        <v>LIFR</v>
      </c>
      <c r="B17116" s="6" t="s">
        <v>1</v>
      </c>
      <c r="C17116" s="6" t="s">
        <v>1</v>
      </c>
    </row>
    <row r="17117" spans="1:3" s="7" customFormat="1" x14ac:dyDescent="0.2">
      <c r="A17117" s="6" t="str">
        <f>"TRBV27"</f>
        <v>TRBV27</v>
      </c>
      <c r="B17117" s="6" t="s">
        <v>1</v>
      </c>
      <c r="C17117" s="6" t="s">
        <v>1</v>
      </c>
    </row>
    <row r="17118" spans="1:3" s="7" customFormat="1" x14ac:dyDescent="0.2">
      <c r="A17118" s="6" t="str">
        <f>"AL132801.1"</f>
        <v>AL132801.1</v>
      </c>
      <c r="B17118" s="6" t="s">
        <v>1</v>
      </c>
      <c r="C17118" s="6" t="s">
        <v>1</v>
      </c>
    </row>
    <row r="17119" spans="1:3" s="7" customFormat="1" x14ac:dyDescent="0.2">
      <c r="A17119" s="6" t="str">
        <f>"CCDC90B"</f>
        <v>CCDC90B</v>
      </c>
      <c r="B17119" s="6" t="s">
        <v>1</v>
      </c>
      <c r="C17119" s="6" t="s">
        <v>1</v>
      </c>
    </row>
    <row r="17120" spans="1:3" s="7" customFormat="1" x14ac:dyDescent="0.2">
      <c r="A17120" s="6" t="str">
        <f>"CAPN10-DT"</f>
        <v>CAPN10-DT</v>
      </c>
      <c r="B17120" s="6" t="s">
        <v>1</v>
      </c>
      <c r="C17120" s="6" t="s">
        <v>1</v>
      </c>
    </row>
    <row r="17121" spans="1:3" s="7" customFormat="1" x14ac:dyDescent="0.2">
      <c r="A17121" s="6" t="str">
        <f>"CHID1"</f>
        <v>CHID1</v>
      </c>
      <c r="B17121" s="6" t="s">
        <v>1</v>
      </c>
      <c r="C17121" s="6" t="s">
        <v>1</v>
      </c>
    </row>
    <row r="17122" spans="1:3" s="7" customFormat="1" x14ac:dyDescent="0.2">
      <c r="A17122" s="6" t="str">
        <f>"IGHG2"</f>
        <v>IGHG2</v>
      </c>
      <c r="B17122" s="6" t="s">
        <v>1</v>
      </c>
      <c r="C17122" s="6" t="s">
        <v>1</v>
      </c>
    </row>
    <row r="17123" spans="1:3" s="7" customFormat="1" x14ac:dyDescent="0.2">
      <c r="A17123" s="6" t="str">
        <f>"CHML"</f>
        <v>CHML</v>
      </c>
      <c r="B17123" s="6" t="s">
        <v>1</v>
      </c>
      <c r="C17123" s="6" t="s">
        <v>1</v>
      </c>
    </row>
    <row r="17124" spans="1:3" s="7" customFormat="1" x14ac:dyDescent="0.2">
      <c r="A17124" s="6" t="str">
        <f>"B3GNT3"</f>
        <v>B3GNT3</v>
      </c>
      <c r="B17124" s="6" t="s">
        <v>1</v>
      </c>
      <c r="C17124" s="6" t="s">
        <v>1</v>
      </c>
    </row>
    <row r="17125" spans="1:3" s="7" customFormat="1" x14ac:dyDescent="0.2">
      <c r="A17125" s="6" t="str">
        <f>"AP001042.3"</f>
        <v>AP001042.3</v>
      </c>
      <c r="B17125" s="6" t="s">
        <v>1</v>
      </c>
      <c r="C17125" s="6" t="s">
        <v>1</v>
      </c>
    </row>
    <row r="17126" spans="1:3" s="7" customFormat="1" x14ac:dyDescent="0.2">
      <c r="A17126" s="6" t="str">
        <f>"VCL"</f>
        <v>VCL</v>
      </c>
      <c r="B17126" s="6" t="s">
        <v>1</v>
      </c>
      <c r="C17126" s="6" t="s">
        <v>1</v>
      </c>
    </row>
    <row r="17127" spans="1:3" s="7" customFormat="1" x14ac:dyDescent="0.2">
      <c r="A17127" s="6" t="str">
        <f>"SH3GLB2"</f>
        <v>SH3GLB2</v>
      </c>
      <c r="B17127" s="6" t="s">
        <v>1</v>
      </c>
      <c r="C17127" s="6" t="s">
        <v>1</v>
      </c>
    </row>
    <row r="17128" spans="1:3" s="7" customFormat="1" x14ac:dyDescent="0.2">
      <c r="A17128" s="6" t="str">
        <f>"CHD3"</f>
        <v>CHD3</v>
      </c>
      <c r="B17128" s="6" t="s">
        <v>1</v>
      </c>
      <c r="C17128" s="6" t="s">
        <v>1</v>
      </c>
    </row>
    <row r="17129" spans="1:3" s="7" customFormat="1" x14ac:dyDescent="0.2">
      <c r="A17129" s="6" t="str">
        <f>"AC006511.5"</f>
        <v>AC006511.5</v>
      </c>
      <c r="B17129" s="6" t="s">
        <v>1</v>
      </c>
      <c r="C17129" s="6" t="s">
        <v>1</v>
      </c>
    </row>
    <row r="17130" spans="1:3" s="7" customFormat="1" x14ac:dyDescent="0.2">
      <c r="A17130" s="6" t="str">
        <f>"TTC39B"</f>
        <v>TTC39B</v>
      </c>
      <c r="B17130" s="6" t="s">
        <v>1</v>
      </c>
      <c r="C17130" s="6" t="s">
        <v>1</v>
      </c>
    </row>
    <row r="17131" spans="1:3" s="7" customFormat="1" x14ac:dyDescent="0.2">
      <c r="A17131" s="6" t="str">
        <f>"AC009133.4"</f>
        <v>AC009133.4</v>
      </c>
      <c r="B17131" s="6" t="s">
        <v>1</v>
      </c>
      <c r="C17131" s="6" t="s">
        <v>1</v>
      </c>
    </row>
    <row r="17132" spans="1:3" s="7" customFormat="1" x14ac:dyDescent="0.2">
      <c r="A17132" s="6" t="str">
        <f>"AC021382.1"</f>
        <v>AC021382.1</v>
      </c>
      <c r="B17132" s="6" t="s">
        <v>1</v>
      </c>
      <c r="C17132" s="6" t="s">
        <v>1</v>
      </c>
    </row>
    <row r="17133" spans="1:3" s="7" customFormat="1" x14ac:dyDescent="0.2">
      <c r="A17133" s="6" t="str">
        <f>"AC009107.2"</f>
        <v>AC009107.2</v>
      </c>
      <c r="B17133" s="6" t="s">
        <v>1</v>
      </c>
      <c r="C17133" s="6" t="s">
        <v>1</v>
      </c>
    </row>
    <row r="17134" spans="1:3" s="7" customFormat="1" x14ac:dyDescent="0.2">
      <c r="A17134" s="6" t="str">
        <f>"AC006978.1"</f>
        <v>AC006978.1</v>
      </c>
      <c r="B17134" s="6" t="s">
        <v>1</v>
      </c>
      <c r="C17134" s="6" t="s">
        <v>1</v>
      </c>
    </row>
    <row r="17135" spans="1:3" s="7" customFormat="1" x14ac:dyDescent="0.2">
      <c r="A17135" s="6" t="str">
        <f>"AL121949.1"</f>
        <v>AL121949.1</v>
      </c>
      <c r="B17135" s="6" t="s">
        <v>1</v>
      </c>
      <c r="C17135" s="6" t="s">
        <v>1</v>
      </c>
    </row>
    <row r="17136" spans="1:3" s="7" customFormat="1" x14ac:dyDescent="0.2">
      <c r="A17136" s="6" t="str">
        <f>"SHROOM1"</f>
        <v>SHROOM1</v>
      </c>
      <c r="B17136" s="6" t="s">
        <v>1</v>
      </c>
      <c r="C17136" s="6" t="s">
        <v>1</v>
      </c>
    </row>
    <row r="17137" spans="1:3" s="7" customFormat="1" x14ac:dyDescent="0.2">
      <c r="A17137" s="6" t="str">
        <f>"CMTM8"</f>
        <v>CMTM8</v>
      </c>
      <c r="B17137" s="6" t="s">
        <v>1</v>
      </c>
      <c r="C17137" s="6" t="s">
        <v>1</v>
      </c>
    </row>
    <row r="17138" spans="1:3" s="7" customFormat="1" x14ac:dyDescent="0.2">
      <c r="A17138" s="6" t="str">
        <f>"BBS4"</f>
        <v>BBS4</v>
      </c>
      <c r="B17138" s="6" t="s">
        <v>1</v>
      </c>
      <c r="C17138" s="6" t="s">
        <v>1</v>
      </c>
    </row>
    <row r="17139" spans="1:3" s="7" customFormat="1" x14ac:dyDescent="0.2">
      <c r="A17139" s="6" t="str">
        <f>"AC079921.2"</f>
        <v>AC079921.2</v>
      </c>
      <c r="B17139" s="6" t="s">
        <v>1</v>
      </c>
      <c r="C17139" s="6" t="s">
        <v>1</v>
      </c>
    </row>
    <row r="17140" spans="1:3" s="7" customFormat="1" x14ac:dyDescent="0.2">
      <c r="A17140" s="6" t="str">
        <f>"AL122023.1"</f>
        <v>AL122023.1</v>
      </c>
      <c r="B17140" s="6" t="s">
        <v>1</v>
      </c>
      <c r="C17140" s="6" t="s">
        <v>1</v>
      </c>
    </row>
    <row r="17141" spans="1:3" s="7" customFormat="1" x14ac:dyDescent="0.2">
      <c r="A17141" s="6" t="str">
        <f>"POT1-AS1"</f>
        <v>POT1-AS1</v>
      </c>
      <c r="B17141" s="6" t="s">
        <v>1</v>
      </c>
      <c r="C17141" s="6" t="s">
        <v>1</v>
      </c>
    </row>
    <row r="17142" spans="1:3" s="7" customFormat="1" x14ac:dyDescent="0.2">
      <c r="A17142" s="6" t="str">
        <f>"BTG3-AS1"</f>
        <v>BTG3-AS1</v>
      </c>
      <c r="B17142" s="6" t="s">
        <v>1</v>
      </c>
      <c r="C17142" s="6" t="s">
        <v>1</v>
      </c>
    </row>
    <row r="17143" spans="1:3" s="7" customFormat="1" x14ac:dyDescent="0.2">
      <c r="A17143" s="6" t="str">
        <f>"AC009090.5"</f>
        <v>AC009090.5</v>
      </c>
      <c r="B17143" s="6" t="s">
        <v>1</v>
      </c>
      <c r="C17143" s="6" t="s">
        <v>1</v>
      </c>
    </row>
    <row r="17144" spans="1:3" s="7" customFormat="1" x14ac:dyDescent="0.2">
      <c r="A17144" s="6" t="str">
        <f>"C1QTNF4"</f>
        <v>C1QTNF4</v>
      </c>
      <c r="B17144" s="6" t="s">
        <v>1</v>
      </c>
      <c r="C17144" s="6" t="s">
        <v>1</v>
      </c>
    </row>
    <row r="17145" spans="1:3" s="7" customFormat="1" x14ac:dyDescent="0.2">
      <c r="A17145" s="6" t="str">
        <f>"ARRDC3-AS1"</f>
        <v>ARRDC3-AS1</v>
      </c>
      <c r="B17145" s="6" t="s">
        <v>1</v>
      </c>
      <c r="C17145" s="6" t="s">
        <v>1</v>
      </c>
    </row>
    <row r="17146" spans="1:3" s="7" customFormat="1" x14ac:dyDescent="0.2">
      <c r="A17146" s="6" t="str">
        <f>"CYBC1"</f>
        <v>CYBC1</v>
      </c>
      <c r="B17146" s="6" t="s">
        <v>1</v>
      </c>
      <c r="C17146" s="6" t="s">
        <v>1</v>
      </c>
    </row>
    <row r="17147" spans="1:3" s="7" customFormat="1" x14ac:dyDescent="0.2">
      <c r="A17147" s="6" t="str">
        <f>"TFG"</f>
        <v>TFG</v>
      </c>
      <c r="B17147" s="6" t="s">
        <v>1</v>
      </c>
      <c r="C17147" s="6" t="s">
        <v>1</v>
      </c>
    </row>
    <row r="17148" spans="1:3" s="7" customFormat="1" x14ac:dyDescent="0.2">
      <c r="A17148" s="6" t="str">
        <f>"AC132938.6"</f>
        <v>AC132938.6</v>
      </c>
      <c r="B17148" s="6" t="s">
        <v>1</v>
      </c>
      <c r="C17148" s="6" t="s">
        <v>1</v>
      </c>
    </row>
    <row r="17149" spans="1:3" s="7" customFormat="1" x14ac:dyDescent="0.2">
      <c r="A17149" s="6" t="str">
        <f>"AL162253.2"</f>
        <v>AL162253.2</v>
      </c>
      <c r="B17149" s="6" t="s">
        <v>1</v>
      </c>
      <c r="C17149" s="6" t="s">
        <v>1</v>
      </c>
    </row>
    <row r="17150" spans="1:3" s="7" customFormat="1" x14ac:dyDescent="0.2">
      <c r="A17150" s="6" t="str">
        <f>"AL928654.3"</f>
        <v>AL928654.3</v>
      </c>
      <c r="B17150" s="6" t="s">
        <v>1</v>
      </c>
      <c r="C17150" s="6" t="s">
        <v>1</v>
      </c>
    </row>
    <row r="17151" spans="1:3" s="7" customFormat="1" x14ac:dyDescent="0.2">
      <c r="A17151" s="6" t="str">
        <f>"CRADD"</f>
        <v>CRADD</v>
      </c>
      <c r="B17151" s="6" t="s">
        <v>1</v>
      </c>
      <c r="C17151" s="6" t="s">
        <v>1</v>
      </c>
    </row>
    <row r="17152" spans="1:3" s="7" customFormat="1" x14ac:dyDescent="0.2">
      <c r="A17152" s="6" t="str">
        <f>"AC125257.1"</f>
        <v>AC125257.1</v>
      </c>
      <c r="B17152" s="6" t="s">
        <v>1</v>
      </c>
      <c r="C17152" s="6" t="s">
        <v>1</v>
      </c>
    </row>
    <row r="17153" spans="1:3" s="7" customFormat="1" x14ac:dyDescent="0.2">
      <c r="A17153" s="6" t="str">
        <f>"TASP1"</f>
        <v>TASP1</v>
      </c>
      <c r="B17153" s="6" t="s">
        <v>1</v>
      </c>
      <c r="C17153" s="6" t="s">
        <v>1</v>
      </c>
    </row>
    <row r="17154" spans="1:3" s="7" customFormat="1" x14ac:dyDescent="0.2">
      <c r="A17154" s="6" t="str">
        <f>"CAP2"</f>
        <v>CAP2</v>
      </c>
      <c r="B17154" s="6" t="s">
        <v>1</v>
      </c>
      <c r="C17154" s="6" t="s">
        <v>1</v>
      </c>
    </row>
    <row r="17155" spans="1:3" s="7" customFormat="1" x14ac:dyDescent="0.2">
      <c r="A17155" s="6" t="str">
        <f>"ADGRF4"</f>
        <v>ADGRF4</v>
      </c>
      <c r="B17155" s="6" t="s">
        <v>1</v>
      </c>
      <c r="C17155" s="6" t="s">
        <v>1</v>
      </c>
    </row>
    <row r="17156" spans="1:3" s="7" customFormat="1" x14ac:dyDescent="0.2">
      <c r="A17156" s="6" t="str">
        <f>"TMEM120A"</f>
        <v>TMEM120A</v>
      </c>
      <c r="B17156" s="6" t="s">
        <v>1</v>
      </c>
      <c r="C17156" s="6" t="s">
        <v>1</v>
      </c>
    </row>
    <row r="17157" spans="1:3" s="7" customFormat="1" x14ac:dyDescent="0.2">
      <c r="A17157" s="6" t="str">
        <f>"AC010184.1"</f>
        <v>AC010184.1</v>
      </c>
      <c r="B17157" s="6" t="s">
        <v>1</v>
      </c>
      <c r="C17157" s="6" t="s">
        <v>1</v>
      </c>
    </row>
    <row r="17158" spans="1:3" s="7" customFormat="1" x14ac:dyDescent="0.2">
      <c r="A17158" s="6" t="str">
        <f>"AC007099.1"</f>
        <v>AC007099.1</v>
      </c>
      <c r="B17158" s="6" t="s">
        <v>1</v>
      </c>
      <c r="C17158" s="6" t="s">
        <v>1</v>
      </c>
    </row>
    <row r="17159" spans="1:3" s="7" customFormat="1" x14ac:dyDescent="0.2">
      <c r="A17159" s="6" t="str">
        <f>"CNNM1"</f>
        <v>CNNM1</v>
      </c>
      <c r="B17159" s="6" t="s">
        <v>1</v>
      </c>
      <c r="C17159" s="6" t="s">
        <v>1</v>
      </c>
    </row>
    <row r="17160" spans="1:3" s="7" customFormat="1" x14ac:dyDescent="0.2">
      <c r="A17160" s="6" t="str">
        <f>"CXCL3"</f>
        <v>CXCL3</v>
      </c>
      <c r="B17160" s="6" t="s">
        <v>1</v>
      </c>
      <c r="C17160" s="6" t="s">
        <v>1</v>
      </c>
    </row>
    <row r="17161" spans="1:3" s="7" customFormat="1" x14ac:dyDescent="0.2">
      <c r="A17161" s="6" t="str">
        <f>"RNASET2"</f>
        <v>RNASET2</v>
      </c>
      <c r="B17161" s="6" t="s">
        <v>1</v>
      </c>
      <c r="C17161" s="6" t="s">
        <v>1</v>
      </c>
    </row>
    <row r="17162" spans="1:3" s="7" customFormat="1" x14ac:dyDescent="0.2">
      <c r="A17162" s="6" t="str">
        <f>"AC006538.2"</f>
        <v>AC006538.2</v>
      </c>
      <c r="B17162" s="6" t="s">
        <v>1</v>
      </c>
      <c r="C17162" s="6" t="s">
        <v>1</v>
      </c>
    </row>
    <row r="17163" spans="1:3" s="7" customFormat="1" x14ac:dyDescent="0.2">
      <c r="A17163" s="6" t="str">
        <f>"PLEKHA3"</f>
        <v>PLEKHA3</v>
      </c>
      <c r="B17163" s="6" t="s">
        <v>1</v>
      </c>
      <c r="C17163" s="6" t="s">
        <v>1</v>
      </c>
    </row>
    <row r="17164" spans="1:3" s="7" customFormat="1" x14ac:dyDescent="0.2">
      <c r="A17164" s="6" t="str">
        <f>"REEP3"</f>
        <v>REEP3</v>
      </c>
      <c r="B17164" s="6" t="s">
        <v>1</v>
      </c>
      <c r="C17164" s="6" t="s">
        <v>1</v>
      </c>
    </row>
    <row r="17165" spans="1:3" s="7" customFormat="1" x14ac:dyDescent="0.2">
      <c r="A17165" s="6" t="str">
        <f>"CPT1A"</f>
        <v>CPT1A</v>
      </c>
      <c r="B17165" s="6" t="s">
        <v>1</v>
      </c>
      <c r="C17165" s="6" t="s">
        <v>1</v>
      </c>
    </row>
    <row r="17166" spans="1:3" s="7" customFormat="1" x14ac:dyDescent="0.2">
      <c r="A17166" s="6" t="str">
        <f>"AL132656.1"</f>
        <v>AL132656.1</v>
      </c>
      <c r="B17166" s="6" t="s">
        <v>1</v>
      </c>
      <c r="C17166" s="6" t="s">
        <v>1</v>
      </c>
    </row>
    <row r="17167" spans="1:3" s="7" customFormat="1" x14ac:dyDescent="0.2">
      <c r="A17167" s="6" t="str">
        <f>"CHERP"</f>
        <v>CHERP</v>
      </c>
      <c r="B17167" s="6" t="s">
        <v>1</v>
      </c>
      <c r="C17167" s="6" t="s">
        <v>1</v>
      </c>
    </row>
    <row r="17168" spans="1:3" s="7" customFormat="1" x14ac:dyDescent="0.2">
      <c r="A17168" s="6" t="str">
        <f>"TRBC2"</f>
        <v>TRBC2</v>
      </c>
      <c r="B17168" s="6" t="s">
        <v>1</v>
      </c>
      <c r="C17168" s="6" t="s">
        <v>1</v>
      </c>
    </row>
    <row r="17169" spans="1:3" s="7" customFormat="1" x14ac:dyDescent="0.2">
      <c r="A17169" s="6" t="str">
        <f>"CMTR2"</f>
        <v>CMTR2</v>
      </c>
      <c r="B17169" s="6" t="s">
        <v>1</v>
      </c>
      <c r="C17169" s="6" t="s">
        <v>1</v>
      </c>
    </row>
    <row r="17170" spans="1:3" s="7" customFormat="1" x14ac:dyDescent="0.2">
      <c r="A17170" s="6" t="str">
        <f>"RNF111"</f>
        <v>RNF111</v>
      </c>
      <c r="B17170" s="6" t="s">
        <v>1</v>
      </c>
      <c r="C17170" s="6" t="s">
        <v>1</v>
      </c>
    </row>
    <row r="17171" spans="1:3" s="7" customFormat="1" x14ac:dyDescent="0.2">
      <c r="A17171" s="6" t="str">
        <f>"AC004057.1"</f>
        <v>AC004057.1</v>
      </c>
      <c r="B17171" s="6" t="s">
        <v>1</v>
      </c>
      <c r="C17171" s="6" t="s">
        <v>1</v>
      </c>
    </row>
    <row r="17172" spans="1:3" s="7" customFormat="1" x14ac:dyDescent="0.2">
      <c r="A17172" s="6" t="str">
        <f>"STUB1"</f>
        <v>STUB1</v>
      </c>
      <c r="B17172" s="6" t="s">
        <v>1</v>
      </c>
      <c r="C17172" s="6" t="s">
        <v>1</v>
      </c>
    </row>
    <row r="17173" spans="1:3" s="7" customFormat="1" x14ac:dyDescent="0.2">
      <c r="A17173" s="6" t="str">
        <f>"ADCY7"</f>
        <v>ADCY7</v>
      </c>
      <c r="B17173" s="6" t="s">
        <v>1</v>
      </c>
      <c r="C17173" s="6" t="s">
        <v>1</v>
      </c>
    </row>
    <row r="17174" spans="1:3" s="7" customFormat="1" x14ac:dyDescent="0.2">
      <c r="A17174" s="6" t="str">
        <f>"VCP"</f>
        <v>VCP</v>
      </c>
      <c r="B17174" s="6" t="s">
        <v>1</v>
      </c>
      <c r="C17174" s="6" t="s">
        <v>1</v>
      </c>
    </row>
    <row r="17175" spans="1:3" s="7" customFormat="1" x14ac:dyDescent="0.2">
      <c r="A17175" s="6" t="str">
        <f>"AL162171.3"</f>
        <v>AL162171.3</v>
      </c>
      <c r="B17175" s="6" t="s">
        <v>1</v>
      </c>
      <c r="C17175" s="6" t="s">
        <v>1</v>
      </c>
    </row>
    <row r="17176" spans="1:3" s="7" customFormat="1" x14ac:dyDescent="0.2">
      <c r="A17176" s="6" t="str">
        <f>"AC021321.2"</f>
        <v>AC021321.2</v>
      </c>
      <c r="B17176" s="6" t="s">
        <v>1</v>
      </c>
      <c r="C17176" s="6" t="s">
        <v>1</v>
      </c>
    </row>
    <row r="17177" spans="1:3" s="7" customFormat="1" x14ac:dyDescent="0.2">
      <c r="A17177" s="6" t="str">
        <f>"AOC3"</f>
        <v>AOC3</v>
      </c>
      <c r="B17177" s="6" t="s">
        <v>1</v>
      </c>
      <c r="C17177" s="6" t="s">
        <v>1</v>
      </c>
    </row>
    <row r="17178" spans="1:3" s="7" customFormat="1" x14ac:dyDescent="0.2">
      <c r="A17178" s="6" t="str">
        <f>"CCDC88A"</f>
        <v>CCDC88A</v>
      </c>
      <c r="B17178" s="6" t="s">
        <v>1</v>
      </c>
      <c r="C17178" s="6" t="s">
        <v>1</v>
      </c>
    </row>
    <row r="17179" spans="1:3" s="7" customFormat="1" x14ac:dyDescent="0.2">
      <c r="A17179" s="6" t="str">
        <f>"RAD50"</f>
        <v>RAD50</v>
      </c>
      <c r="B17179" s="6" t="s">
        <v>1</v>
      </c>
      <c r="C17179" s="6" t="s">
        <v>1</v>
      </c>
    </row>
    <row r="17180" spans="1:3" s="7" customFormat="1" x14ac:dyDescent="0.2">
      <c r="A17180" s="6" t="str">
        <f>"PLD6"</f>
        <v>PLD6</v>
      </c>
      <c r="B17180" s="6" t="s">
        <v>1</v>
      </c>
      <c r="C17180" s="6" t="s">
        <v>1</v>
      </c>
    </row>
    <row r="17181" spans="1:3" s="7" customFormat="1" x14ac:dyDescent="0.2">
      <c r="A17181" s="6" t="str">
        <f>"CCL15-CCL14"</f>
        <v>CCL15-CCL14</v>
      </c>
      <c r="B17181" s="6" t="s">
        <v>1</v>
      </c>
      <c r="C17181" s="6" t="s">
        <v>1</v>
      </c>
    </row>
    <row r="17182" spans="1:3" s="7" customFormat="1" x14ac:dyDescent="0.2">
      <c r="A17182" s="6" t="str">
        <f>"CYB561D2"</f>
        <v>CYB561D2</v>
      </c>
      <c r="B17182" s="6" t="s">
        <v>1</v>
      </c>
      <c r="C17182" s="6" t="s">
        <v>1</v>
      </c>
    </row>
    <row r="17183" spans="1:3" s="7" customFormat="1" x14ac:dyDescent="0.2">
      <c r="A17183" s="6" t="str">
        <f>"ADCY10P1"</f>
        <v>ADCY10P1</v>
      </c>
      <c r="B17183" s="6" t="s">
        <v>1</v>
      </c>
      <c r="C17183" s="6" t="s">
        <v>1</v>
      </c>
    </row>
    <row r="17184" spans="1:3" s="7" customFormat="1" x14ac:dyDescent="0.2">
      <c r="A17184" s="6" t="str">
        <f>"IGHG3"</f>
        <v>IGHG3</v>
      </c>
      <c r="B17184" s="6" t="s">
        <v>1</v>
      </c>
      <c r="C17184" s="6" t="s">
        <v>1</v>
      </c>
    </row>
    <row r="17185" spans="1:3" s="7" customFormat="1" x14ac:dyDescent="0.2">
      <c r="A17185" s="6" t="str">
        <f>"AC241585.2"</f>
        <v>AC241585.2</v>
      </c>
      <c r="B17185" s="6" t="s">
        <v>1</v>
      </c>
      <c r="C17185" s="6" t="s">
        <v>1</v>
      </c>
    </row>
    <row r="17186" spans="1:3" s="7" customFormat="1" x14ac:dyDescent="0.2">
      <c r="A17186" s="6" t="str">
        <f>"ARSI"</f>
        <v>ARSI</v>
      </c>
      <c r="B17186" s="6" t="s">
        <v>1</v>
      </c>
      <c r="C17186" s="6" t="s">
        <v>1</v>
      </c>
    </row>
    <row r="17187" spans="1:3" s="7" customFormat="1" x14ac:dyDescent="0.2">
      <c r="A17187" s="6" t="str">
        <f>"CDK14"</f>
        <v>CDK14</v>
      </c>
      <c r="B17187" s="6" t="s">
        <v>1</v>
      </c>
      <c r="C17187" s="6" t="s">
        <v>1</v>
      </c>
    </row>
    <row r="17188" spans="1:3" s="7" customFormat="1" x14ac:dyDescent="0.2">
      <c r="A17188" s="6" t="str">
        <f>"AC021106.1"</f>
        <v>AC021106.1</v>
      </c>
      <c r="B17188" s="6" t="s">
        <v>1</v>
      </c>
      <c r="C17188" s="6" t="s">
        <v>1</v>
      </c>
    </row>
    <row r="17189" spans="1:3" s="7" customFormat="1" x14ac:dyDescent="0.2">
      <c r="A17189" s="6" t="str">
        <f>"CCL17"</f>
        <v>CCL17</v>
      </c>
      <c r="B17189" s="6" t="s">
        <v>1</v>
      </c>
      <c r="C17189" s="6" t="s">
        <v>1</v>
      </c>
    </row>
    <row r="17190" spans="1:3" s="7" customFormat="1" x14ac:dyDescent="0.2">
      <c r="A17190" s="6" t="str">
        <f>"BPNT1"</f>
        <v>BPNT1</v>
      </c>
      <c r="B17190" s="6" t="s">
        <v>1</v>
      </c>
      <c r="C17190" s="6" t="s">
        <v>1</v>
      </c>
    </row>
    <row r="17191" spans="1:3" s="7" customFormat="1" x14ac:dyDescent="0.2">
      <c r="A17191" s="6" t="str">
        <f>"KCNK5"</f>
        <v>KCNK5</v>
      </c>
      <c r="B17191" s="6" t="s">
        <v>1</v>
      </c>
      <c r="C17191" s="6" t="s">
        <v>1</v>
      </c>
    </row>
    <row r="17192" spans="1:3" s="7" customFormat="1" x14ac:dyDescent="0.2">
      <c r="A17192" s="6" t="str">
        <f>"APBA3"</f>
        <v>APBA3</v>
      </c>
      <c r="B17192" s="6" t="s">
        <v>1</v>
      </c>
      <c r="C17192" s="6" t="s">
        <v>1</v>
      </c>
    </row>
    <row r="17193" spans="1:3" s="7" customFormat="1" x14ac:dyDescent="0.2">
      <c r="A17193" s="6" t="str">
        <f>"BORCS7"</f>
        <v>BORCS7</v>
      </c>
      <c r="B17193" s="6" t="s">
        <v>1</v>
      </c>
      <c r="C17193" s="6" t="s">
        <v>1</v>
      </c>
    </row>
    <row r="17194" spans="1:3" s="7" customFormat="1" x14ac:dyDescent="0.2">
      <c r="A17194" s="6" t="str">
        <f>"ADD3"</f>
        <v>ADD3</v>
      </c>
      <c r="B17194" s="6" t="s">
        <v>1</v>
      </c>
      <c r="C17194" s="6" t="s">
        <v>1</v>
      </c>
    </row>
    <row r="17195" spans="1:3" s="7" customFormat="1" x14ac:dyDescent="0.2">
      <c r="A17195" s="6" t="str">
        <f>"SNX21"</f>
        <v>SNX21</v>
      </c>
      <c r="B17195" s="6" t="s">
        <v>1</v>
      </c>
      <c r="C17195" s="6" t="s">
        <v>1</v>
      </c>
    </row>
    <row r="17196" spans="1:3" s="7" customFormat="1" x14ac:dyDescent="0.2">
      <c r="A17196" s="6" t="str">
        <f>"CRB1"</f>
        <v>CRB1</v>
      </c>
      <c r="B17196" s="6" t="s">
        <v>1</v>
      </c>
      <c r="C17196" s="6" t="s">
        <v>1</v>
      </c>
    </row>
    <row r="17197" spans="1:3" s="7" customFormat="1" x14ac:dyDescent="0.2">
      <c r="A17197" s="6" t="str">
        <f>"AL512408.1"</f>
        <v>AL512408.1</v>
      </c>
      <c r="B17197" s="6" t="s">
        <v>1</v>
      </c>
      <c r="C17197" s="6" t="s">
        <v>1</v>
      </c>
    </row>
    <row r="17198" spans="1:3" s="7" customFormat="1" x14ac:dyDescent="0.2">
      <c r="A17198" s="6" t="str">
        <f>"SLIRP"</f>
        <v>SLIRP</v>
      </c>
      <c r="B17198" s="6" t="s">
        <v>1</v>
      </c>
      <c r="C17198" s="6" t="s">
        <v>1</v>
      </c>
    </row>
    <row r="17199" spans="1:3" s="7" customFormat="1" x14ac:dyDescent="0.2">
      <c r="A17199" s="6" t="str">
        <f>"B3GAT2"</f>
        <v>B3GAT2</v>
      </c>
      <c r="B17199" s="6" t="s">
        <v>1</v>
      </c>
      <c r="C17199" s="6" t="s">
        <v>1</v>
      </c>
    </row>
    <row r="17200" spans="1:3" s="7" customFormat="1" x14ac:dyDescent="0.2">
      <c r="A17200" s="6" t="str">
        <f>"AC132938.3"</f>
        <v>AC132938.3</v>
      </c>
      <c r="B17200" s="6" t="s">
        <v>1</v>
      </c>
      <c r="C17200" s="6" t="s">
        <v>1</v>
      </c>
    </row>
    <row r="17201" spans="1:3" s="7" customFormat="1" x14ac:dyDescent="0.2">
      <c r="A17201" s="6" t="str">
        <f>"AL021392.1"</f>
        <v>AL021392.1</v>
      </c>
      <c r="B17201" s="6" t="s">
        <v>1</v>
      </c>
      <c r="C17201" s="6" t="s">
        <v>1</v>
      </c>
    </row>
    <row r="17202" spans="1:3" s="7" customFormat="1" x14ac:dyDescent="0.2">
      <c r="A17202" s="6" t="str">
        <f>"CDK6"</f>
        <v>CDK6</v>
      </c>
      <c r="B17202" s="6" t="s">
        <v>1</v>
      </c>
      <c r="C17202" s="6" t="s">
        <v>1</v>
      </c>
    </row>
    <row r="17203" spans="1:3" s="7" customFormat="1" x14ac:dyDescent="0.2">
      <c r="A17203" s="6" t="str">
        <f>"AC009148.1"</f>
        <v>AC009148.1</v>
      </c>
      <c r="B17203" s="6" t="s">
        <v>1</v>
      </c>
      <c r="C17203" s="6" t="s">
        <v>1</v>
      </c>
    </row>
    <row r="17204" spans="1:3" s="7" customFormat="1" x14ac:dyDescent="0.2">
      <c r="A17204" s="6" t="str">
        <f>"CCL2"</f>
        <v>CCL2</v>
      </c>
      <c r="B17204" s="6" t="s">
        <v>1</v>
      </c>
      <c r="C17204" s="6" t="s">
        <v>1</v>
      </c>
    </row>
    <row r="17205" spans="1:3" s="7" customFormat="1" x14ac:dyDescent="0.2">
      <c r="A17205" s="6" t="str">
        <f>"WHAMMP2"</f>
        <v>WHAMMP2</v>
      </c>
      <c r="B17205" s="6" t="s">
        <v>1</v>
      </c>
      <c r="C17205" s="6" t="s">
        <v>1</v>
      </c>
    </row>
    <row r="17206" spans="1:3" s="7" customFormat="1" x14ac:dyDescent="0.2">
      <c r="A17206" s="6" t="str">
        <f>"CCL22"</f>
        <v>CCL22</v>
      </c>
      <c r="B17206" s="6" t="s">
        <v>1</v>
      </c>
      <c r="C17206" s="6" t="s">
        <v>1</v>
      </c>
    </row>
    <row r="17207" spans="1:3" s="7" customFormat="1" x14ac:dyDescent="0.2">
      <c r="A17207" s="6" t="str">
        <f>"ZNF226"</f>
        <v>ZNF226</v>
      </c>
      <c r="B17207" s="6" t="s">
        <v>1</v>
      </c>
      <c r="C17207" s="6" t="s">
        <v>1</v>
      </c>
    </row>
    <row r="17208" spans="1:3" s="7" customFormat="1" x14ac:dyDescent="0.2">
      <c r="A17208" s="6" t="str">
        <f>"PHF11"</f>
        <v>PHF11</v>
      </c>
      <c r="B17208" s="6" t="s">
        <v>1</v>
      </c>
      <c r="C17208" s="6" t="s">
        <v>1</v>
      </c>
    </row>
    <row r="17209" spans="1:3" s="7" customFormat="1" x14ac:dyDescent="0.2">
      <c r="A17209" s="6" t="str">
        <f>"CCDC9"</f>
        <v>CCDC9</v>
      </c>
      <c r="B17209" s="6" t="s">
        <v>1</v>
      </c>
      <c r="C17209" s="6" t="s">
        <v>1</v>
      </c>
    </row>
    <row r="17210" spans="1:3" s="7" customFormat="1" x14ac:dyDescent="0.2">
      <c r="A17210" s="6" t="str">
        <f>"ADCY5"</f>
        <v>ADCY5</v>
      </c>
      <c r="B17210" s="6" t="s">
        <v>1</v>
      </c>
      <c r="C17210" s="6" t="s">
        <v>1</v>
      </c>
    </row>
    <row r="17211" spans="1:3" s="7" customFormat="1" x14ac:dyDescent="0.2">
      <c r="A17211" s="6" t="str">
        <f>"CNIH2"</f>
        <v>CNIH2</v>
      </c>
      <c r="B17211" s="6" t="s">
        <v>1</v>
      </c>
      <c r="C17211" s="6" t="s">
        <v>1</v>
      </c>
    </row>
    <row r="17212" spans="1:3" s="7" customFormat="1" x14ac:dyDescent="0.2">
      <c r="A17212" s="6" t="str">
        <f>"TMEM121"</f>
        <v>TMEM121</v>
      </c>
      <c r="B17212" s="6" t="s">
        <v>1</v>
      </c>
      <c r="C17212" s="6" t="s">
        <v>1</v>
      </c>
    </row>
    <row r="17213" spans="1:3" s="7" customFormat="1" x14ac:dyDescent="0.2">
      <c r="A17213" s="6" t="str">
        <f>"B3GNTL1"</f>
        <v>B3GNTL1</v>
      </c>
      <c r="B17213" s="6" t="s">
        <v>1</v>
      </c>
      <c r="C17213" s="6" t="s">
        <v>1</v>
      </c>
    </row>
    <row r="17214" spans="1:3" s="7" customFormat="1" x14ac:dyDescent="0.2">
      <c r="A17214" s="6" t="str">
        <f>"UBR4"</f>
        <v>UBR4</v>
      </c>
      <c r="B17214" s="6" t="s">
        <v>1</v>
      </c>
      <c r="C17214" s="6" t="s">
        <v>1</v>
      </c>
    </row>
    <row r="17215" spans="1:3" s="7" customFormat="1" x14ac:dyDescent="0.2">
      <c r="A17215" s="6" t="str">
        <f>"ZSCAN12P1"</f>
        <v>ZSCAN12P1</v>
      </c>
      <c r="B17215" s="6" t="s">
        <v>1</v>
      </c>
      <c r="C17215" s="6" t="s">
        <v>1</v>
      </c>
    </row>
    <row r="17216" spans="1:3" s="7" customFormat="1" x14ac:dyDescent="0.2">
      <c r="A17216" s="6" t="str">
        <f>"SLITRK6"</f>
        <v>SLITRK6</v>
      </c>
      <c r="B17216" s="6" t="s">
        <v>1</v>
      </c>
      <c r="C17216" s="6" t="s">
        <v>1</v>
      </c>
    </row>
    <row r="17217" spans="1:3" s="7" customFormat="1" x14ac:dyDescent="0.2">
      <c r="A17217" s="6" t="str">
        <f>"AL392023.2"</f>
        <v>AL392023.2</v>
      </c>
      <c r="B17217" s="6" t="s">
        <v>1</v>
      </c>
      <c r="C17217" s="6" t="s">
        <v>1</v>
      </c>
    </row>
    <row r="17218" spans="1:3" s="7" customFormat="1" x14ac:dyDescent="0.2">
      <c r="A17218" s="6" t="str">
        <f>"RNF19A"</f>
        <v>RNF19A</v>
      </c>
      <c r="B17218" s="6" t="s">
        <v>1</v>
      </c>
      <c r="C17218" s="6" t="s">
        <v>1</v>
      </c>
    </row>
    <row r="17219" spans="1:3" s="7" customFormat="1" x14ac:dyDescent="0.2">
      <c r="A17219" s="6" t="str">
        <f>"AC046185.3"</f>
        <v>AC046185.3</v>
      </c>
      <c r="B17219" s="6" t="s">
        <v>1</v>
      </c>
      <c r="C17219" s="6" t="s">
        <v>1</v>
      </c>
    </row>
    <row r="17220" spans="1:3" s="7" customFormat="1" x14ac:dyDescent="0.2">
      <c r="A17220" s="6" t="str">
        <f>"AC105101.2"</f>
        <v>AC105101.2</v>
      </c>
      <c r="B17220" s="6" t="s">
        <v>1</v>
      </c>
      <c r="C17220" s="6" t="s">
        <v>1</v>
      </c>
    </row>
    <row r="17221" spans="1:3" s="7" customFormat="1" x14ac:dyDescent="0.2">
      <c r="A17221" s="6" t="str">
        <f>"CAPN13"</f>
        <v>CAPN13</v>
      </c>
      <c r="B17221" s="6" t="s">
        <v>1</v>
      </c>
      <c r="C17221" s="6" t="s">
        <v>1</v>
      </c>
    </row>
    <row r="17222" spans="1:3" s="7" customFormat="1" x14ac:dyDescent="0.2">
      <c r="A17222" s="6" t="str">
        <f>"AC021188.1"</f>
        <v>AC021188.1</v>
      </c>
      <c r="B17222" s="6" t="s">
        <v>1</v>
      </c>
      <c r="C17222" s="6" t="s">
        <v>1</v>
      </c>
    </row>
    <row r="17223" spans="1:3" s="7" customFormat="1" x14ac:dyDescent="0.2">
      <c r="A17223" s="6" t="str">
        <f>"ARRDC1-AS1"</f>
        <v>ARRDC1-AS1</v>
      </c>
      <c r="B17223" s="6" t="s">
        <v>1</v>
      </c>
      <c r="C17223" s="6" t="s">
        <v>1</v>
      </c>
    </row>
    <row r="17224" spans="1:3" s="7" customFormat="1" x14ac:dyDescent="0.2">
      <c r="A17224" s="6" t="str">
        <f>"UBR1"</f>
        <v>UBR1</v>
      </c>
      <c r="B17224" s="6" t="s">
        <v>1</v>
      </c>
      <c r="C17224" s="6" t="s">
        <v>1</v>
      </c>
    </row>
    <row r="17225" spans="1:3" s="7" customFormat="1" x14ac:dyDescent="0.2">
      <c r="A17225" s="6" t="str">
        <f>"ZNF227"</f>
        <v>ZNF227</v>
      </c>
      <c r="B17225" s="6" t="s">
        <v>1</v>
      </c>
      <c r="C17225" s="6" t="s">
        <v>1</v>
      </c>
    </row>
    <row r="17226" spans="1:3" s="7" customFormat="1" x14ac:dyDescent="0.2">
      <c r="A17226" s="6" t="str">
        <f>"TFCP2"</f>
        <v>TFCP2</v>
      </c>
      <c r="B17226" s="6" t="s">
        <v>1</v>
      </c>
      <c r="C17226" s="6" t="s">
        <v>1</v>
      </c>
    </row>
    <row r="17227" spans="1:3" s="7" customFormat="1" x14ac:dyDescent="0.2">
      <c r="A17227" s="6" t="str">
        <f>"CAPN15"</f>
        <v>CAPN15</v>
      </c>
      <c r="B17227" s="6" t="s">
        <v>1</v>
      </c>
      <c r="C17227" s="6" t="s">
        <v>1</v>
      </c>
    </row>
    <row r="17228" spans="1:3" s="7" customFormat="1" x14ac:dyDescent="0.2">
      <c r="A17228" s="6" t="str">
        <f>"HOMER2"</f>
        <v>HOMER2</v>
      </c>
      <c r="B17228" s="6" t="s">
        <v>1</v>
      </c>
      <c r="C17228" s="6" t="s">
        <v>1</v>
      </c>
    </row>
    <row r="17229" spans="1:3" s="7" customFormat="1" x14ac:dyDescent="0.2">
      <c r="A17229" s="6" t="str">
        <f>"ALOX15"</f>
        <v>ALOX15</v>
      </c>
      <c r="B17229" s="6" t="s">
        <v>1</v>
      </c>
      <c r="C17229" s="6" t="s">
        <v>1</v>
      </c>
    </row>
    <row r="17230" spans="1:3" s="7" customFormat="1" x14ac:dyDescent="0.2">
      <c r="A17230" s="6" t="str">
        <f>"AC012306.2"</f>
        <v>AC012306.2</v>
      </c>
      <c r="B17230" s="6" t="s">
        <v>1</v>
      </c>
      <c r="C17230" s="6" t="s">
        <v>1</v>
      </c>
    </row>
    <row r="17231" spans="1:3" s="7" customFormat="1" x14ac:dyDescent="0.2">
      <c r="A17231" s="6" t="str">
        <f>"BPIFB4"</f>
        <v>BPIFB4</v>
      </c>
      <c r="B17231" s="6" t="s">
        <v>1</v>
      </c>
      <c r="C17231" s="6" t="s">
        <v>1</v>
      </c>
    </row>
    <row r="17232" spans="1:3" s="7" customFormat="1" x14ac:dyDescent="0.2">
      <c r="A17232" s="6" t="str">
        <f>"AC021016.1"</f>
        <v>AC021016.1</v>
      </c>
      <c r="B17232" s="6" t="s">
        <v>1</v>
      </c>
      <c r="C17232" s="6" t="s">
        <v>1</v>
      </c>
    </row>
    <row r="17233" spans="1:3" s="7" customFormat="1" x14ac:dyDescent="0.2">
      <c r="A17233" s="6" t="str">
        <f>"CPT1B"</f>
        <v>CPT1B</v>
      </c>
      <c r="B17233" s="6" t="s">
        <v>1</v>
      </c>
      <c r="C17233" s="6" t="s">
        <v>1</v>
      </c>
    </row>
    <row r="17234" spans="1:3" s="7" customFormat="1" x14ac:dyDescent="0.2">
      <c r="A17234" s="6" t="str">
        <f>"ASAH2B"</f>
        <v>ASAH2B</v>
      </c>
      <c r="B17234" s="6" t="s">
        <v>1</v>
      </c>
      <c r="C17234" s="6" t="s">
        <v>1</v>
      </c>
    </row>
    <row r="17235" spans="1:3" s="7" customFormat="1" x14ac:dyDescent="0.2">
      <c r="A17235" s="6" t="str">
        <f>"AC004528.2"</f>
        <v>AC004528.2</v>
      </c>
      <c r="B17235" s="6" t="s">
        <v>1</v>
      </c>
      <c r="C17235" s="6" t="s">
        <v>1</v>
      </c>
    </row>
    <row r="17236" spans="1:3" s="7" customFormat="1" x14ac:dyDescent="0.2">
      <c r="A17236" s="6" t="str">
        <f>"CDK17"</f>
        <v>CDK17</v>
      </c>
      <c r="B17236" s="6" t="s">
        <v>1</v>
      </c>
      <c r="C17236" s="6" t="s">
        <v>1</v>
      </c>
    </row>
    <row r="17237" spans="1:3" s="7" customFormat="1" x14ac:dyDescent="0.2">
      <c r="A17237" s="6" t="str">
        <f>"AC092969.1"</f>
        <v>AC092969.1</v>
      </c>
      <c r="B17237" s="6" t="s">
        <v>1</v>
      </c>
      <c r="C17237" s="6" t="s">
        <v>1</v>
      </c>
    </row>
    <row r="17238" spans="1:3" s="7" customFormat="1" x14ac:dyDescent="0.2">
      <c r="A17238" s="6" t="str">
        <f>"AC015871.8"</f>
        <v>AC015871.8</v>
      </c>
      <c r="B17238" s="6" t="s">
        <v>1</v>
      </c>
      <c r="C17238" s="6" t="s">
        <v>1</v>
      </c>
    </row>
    <row r="17239" spans="1:3" s="7" customFormat="1" x14ac:dyDescent="0.2">
      <c r="A17239" s="6" t="str">
        <f>"AL391121.1"</f>
        <v>AL391121.1</v>
      </c>
      <c r="B17239" s="6" t="s">
        <v>1</v>
      </c>
      <c r="C17239" s="6" t="s">
        <v>1</v>
      </c>
    </row>
    <row r="17240" spans="1:3" s="7" customFormat="1" x14ac:dyDescent="0.2">
      <c r="A17240" s="6" t="str">
        <f>"AC105345.1"</f>
        <v>AC105345.1</v>
      </c>
      <c r="B17240" s="6" t="s">
        <v>1</v>
      </c>
      <c r="C17240" s="6" t="s">
        <v>1</v>
      </c>
    </row>
    <row r="17241" spans="1:3" s="7" customFormat="1" x14ac:dyDescent="0.2">
      <c r="A17241" s="6" t="str">
        <f>"ZNF229"</f>
        <v>ZNF229</v>
      </c>
      <c r="B17241" s="6" t="s">
        <v>1</v>
      </c>
      <c r="C17241" s="6" t="s">
        <v>1</v>
      </c>
    </row>
    <row r="17242" spans="1:3" s="7" customFormat="1" x14ac:dyDescent="0.2">
      <c r="A17242" s="6" t="str">
        <f>"C3orf38"</f>
        <v>C3orf38</v>
      </c>
      <c r="B17242" s="6" t="s">
        <v>1</v>
      </c>
      <c r="C17242" s="6" t="s">
        <v>1</v>
      </c>
    </row>
    <row r="17243" spans="1:3" s="7" customFormat="1" x14ac:dyDescent="0.2">
      <c r="A17243" s="6" t="str">
        <f>"AS3MT"</f>
        <v>AS3MT</v>
      </c>
      <c r="B17243" s="6" t="s">
        <v>1</v>
      </c>
      <c r="C17243" s="6" t="s">
        <v>1</v>
      </c>
    </row>
    <row r="17244" spans="1:3" s="7" customFormat="1" x14ac:dyDescent="0.2">
      <c r="A17244" s="6" t="str">
        <f>"TAZ"</f>
        <v>TAZ</v>
      </c>
      <c r="B17244" s="6" t="s">
        <v>1</v>
      </c>
      <c r="C17244" s="6" t="s">
        <v>1</v>
      </c>
    </row>
    <row r="17245" spans="1:3" s="7" customFormat="1" x14ac:dyDescent="0.2">
      <c r="A17245" s="6" t="str">
        <f>"LINC02313"</f>
        <v>LINC02313</v>
      </c>
      <c r="B17245" s="6" t="s">
        <v>1</v>
      </c>
      <c r="C17245" s="6" t="s">
        <v>1</v>
      </c>
    </row>
    <row r="17246" spans="1:3" s="7" customFormat="1" x14ac:dyDescent="0.2">
      <c r="A17246" s="6" t="str">
        <f>"CHI3L2"</f>
        <v>CHI3L2</v>
      </c>
      <c r="B17246" s="6" t="s">
        <v>1</v>
      </c>
      <c r="C17246" s="6" t="s">
        <v>1</v>
      </c>
    </row>
    <row r="17247" spans="1:3" s="7" customFormat="1" x14ac:dyDescent="0.2">
      <c r="A17247" s="6" t="str">
        <f>"CRAT"</f>
        <v>CRAT</v>
      </c>
      <c r="B17247" s="6" t="s">
        <v>1</v>
      </c>
      <c r="C17247" s="6" t="s">
        <v>1</v>
      </c>
    </row>
    <row r="17248" spans="1:3" s="7" customFormat="1" x14ac:dyDescent="0.2">
      <c r="A17248" s="6" t="str">
        <f>"AC092999.1"</f>
        <v>AC092999.1</v>
      </c>
      <c r="B17248" s="6" t="s">
        <v>1</v>
      </c>
      <c r="C17248" s="6" t="s">
        <v>1</v>
      </c>
    </row>
    <row r="17249" spans="1:3" s="7" customFormat="1" x14ac:dyDescent="0.2">
      <c r="A17249" s="6" t="str">
        <f>"SNX19"</f>
        <v>SNX19</v>
      </c>
      <c r="B17249" s="6" t="s">
        <v>1</v>
      </c>
      <c r="C17249" s="6" t="s">
        <v>1</v>
      </c>
    </row>
    <row r="17250" spans="1:3" s="7" customFormat="1" x14ac:dyDescent="0.2">
      <c r="A17250" s="6" t="str">
        <f>"ATAD5"</f>
        <v>ATAD5</v>
      </c>
      <c r="B17250" s="6" t="s">
        <v>1</v>
      </c>
      <c r="C17250" s="6" t="s">
        <v>1</v>
      </c>
    </row>
    <row r="17251" spans="1:3" s="7" customFormat="1" x14ac:dyDescent="0.2">
      <c r="A17251" s="6" t="str">
        <f>"AL162258.2"</f>
        <v>AL162258.2</v>
      </c>
      <c r="B17251" s="6" t="s">
        <v>1</v>
      </c>
      <c r="C17251" s="6" t="s">
        <v>1</v>
      </c>
    </row>
    <row r="17252" spans="1:3" s="7" customFormat="1" x14ac:dyDescent="0.2">
      <c r="A17252" s="6" t="str">
        <f>"C1orf226"</f>
        <v>C1orf226</v>
      </c>
      <c r="B17252" s="6" t="s">
        <v>1</v>
      </c>
      <c r="C17252" s="6" t="s">
        <v>1</v>
      </c>
    </row>
    <row r="17253" spans="1:3" s="7" customFormat="1" x14ac:dyDescent="0.2">
      <c r="A17253" s="6" t="str">
        <f>"UBR5"</f>
        <v>UBR5</v>
      </c>
      <c r="B17253" s="6" t="s">
        <v>1</v>
      </c>
      <c r="C17253" s="6" t="s">
        <v>1</v>
      </c>
    </row>
    <row r="17254" spans="1:3" s="7" customFormat="1" x14ac:dyDescent="0.2">
      <c r="A17254" s="6" t="str">
        <f>"RPL3P4"</f>
        <v>RPL3P4</v>
      </c>
      <c r="B17254" s="6" t="s">
        <v>1</v>
      </c>
      <c r="C17254" s="6" t="s">
        <v>1</v>
      </c>
    </row>
    <row r="17255" spans="1:3" s="7" customFormat="1" x14ac:dyDescent="0.2">
      <c r="A17255" s="6" t="str">
        <f>"AC233723.2"</f>
        <v>AC233723.2</v>
      </c>
      <c r="B17255" s="6" t="s">
        <v>1</v>
      </c>
      <c r="C17255" s="6" t="s">
        <v>1</v>
      </c>
    </row>
    <row r="17256" spans="1:3" s="7" customFormat="1" x14ac:dyDescent="0.2">
      <c r="A17256" s="6" t="str">
        <f>"CCDC85B"</f>
        <v>CCDC85B</v>
      </c>
      <c r="B17256" s="6" t="s">
        <v>1</v>
      </c>
      <c r="C17256" s="6" t="s">
        <v>1</v>
      </c>
    </row>
    <row r="17257" spans="1:3" s="7" customFormat="1" x14ac:dyDescent="0.2">
      <c r="A17257" s="6" t="str">
        <f>"ADGRB2"</f>
        <v>ADGRB2</v>
      </c>
      <c r="B17257" s="6" t="s">
        <v>1</v>
      </c>
      <c r="C17257" s="6" t="s">
        <v>1</v>
      </c>
    </row>
    <row r="17258" spans="1:3" s="7" customFormat="1" x14ac:dyDescent="0.2">
      <c r="A17258" s="6" t="str">
        <f>"CCDC89"</f>
        <v>CCDC89</v>
      </c>
      <c r="B17258" s="6" t="s">
        <v>1</v>
      </c>
      <c r="C17258" s="6" t="s">
        <v>1</v>
      </c>
    </row>
    <row r="17259" spans="1:3" s="7" customFormat="1" x14ac:dyDescent="0.2">
      <c r="A17259" s="6" t="str">
        <f>"AC009123.1"</f>
        <v>AC009123.1</v>
      </c>
      <c r="B17259" s="6" t="s">
        <v>1</v>
      </c>
      <c r="C17259" s="6" t="s">
        <v>1</v>
      </c>
    </row>
    <row r="17260" spans="1:3" s="7" customFormat="1" x14ac:dyDescent="0.2">
      <c r="A17260" s="6" t="str">
        <f>"APBB1"</f>
        <v>APBB1</v>
      </c>
      <c r="B17260" s="6" t="s">
        <v>1</v>
      </c>
      <c r="C17260" s="6" t="s">
        <v>1</v>
      </c>
    </row>
    <row r="17261" spans="1:3" s="7" customFormat="1" x14ac:dyDescent="0.2">
      <c r="A17261" s="6" t="str">
        <f>"AC006942.1"</f>
        <v>AC006942.1</v>
      </c>
      <c r="B17261" s="6" t="s">
        <v>1</v>
      </c>
      <c r="C17261" s="6" t="s">
        <v>1</v>
      </c>
    </row>
    <row r="17262" spans="1:3" s="7" customFormat="1" x14ac:dyDescent="0.2">
      <c r="A17262" s="6" t="str">
        <f>"BOK"</f>
        <v>BOK</v>
      </c>
      <c r="B17262" s="6" t="s">
        <v>1</v>
      </c>
      <c r="C17262" s="6" t="s">
        <v>1</v>
      </c>
    </row>
    <row r="17263" spans="1:3" s="7" customFormat="1" x14ac:dyDescent="0.2">
      <c r="A17263" s="6" t="str">
        <f>"ARRDC4"</f>
        <v>ARRDC4</v>
      </c>
      <c r="B17263" s="6" t="s">
        <v>1</v>
      </c>
      <c r="C17263" s="6" t="s">
        <v>1</v>
      </c>
    </row>
    <row r="17264" spans="1:3" s="7" customFormat="1" x14ac:dyDescent="0.2">
      <c r="A17264" s="6" t="str">
        <f>"UBXN1"</f>
        <v>UBXN1</v>
      </c>
      <c r="B17264" s="6" t="s">
        <v>1</v>
      </c>
      <c r="C17264" s="6" t="s">
        <v>1</v>
      </c>
    </row>
    <row r="17265" spans="1:3" s="7" customFormat="1" x14ac:dyDescent="0.2">
      <c r="A17265" s="6" t="str">
        <f>"AC009133.6"</f>
        <v>AC009133.6</v>
      </c>
      <c r="B17265" s="6" t="s">
        <v>1</v>
      </c>
      <c r="C17265" s="6" t="s">
        <v>1</v>
      </c>
    </row>
    <row r="17266" spans="1:3" s="7" customFormat="1" x14ac:dyDescent="0.2">
      <c r="A17266" s="6" t="str">
        <f>"ASAH1"</f>
        <v>ASAH1</v>
      </c>
      <c r="B17266" s="6" t="s">
        <v>1</v>
      </c>
      <c r="C17266" s="6" t="s">
        <v>1</v>
      </c>
    </row>
    <row r="17267" spans="1:3" s="7" customFormat="1" x14ac:dyDescent="0.2">
      <c r="A17267" s="6" t="str">
        <f>"APELA"</f>
        <v>APELA</v>
      </c>
      <c r="B17267" s="6" t="s">
        <v>1</v>
      </c>
      <c r="C17267" s="6" t="s">
        <v>1</v>
      </c>
    </row>
    <row r="17268" spans="1:3" s="7" customFormat="1" x14ac:dyDescent="0.2">
      <c r="A17268" s="6" t="str">
        <f>"CPXM2"</f>
        <v>CPXM2</v>
      </c>
      <c r="B17268" s="6" t="s">
        <v>1</v>
      </c>
      <c r="C17268" s="6" t="s">
        <v>1</v>
      </c>
    </row>
    <row r="17269" spans="1:3" s="7" customFormat="1" x14ac:dyDescent="0.2">
      <c r="A17269" s="6" t="str">
        <f>"ART5"</f>
        <v>ART5</v>
      </c>
      <c r="B17269" s="6" t="s">
        <v>1</v>
      </c>
      <c r="C17269" s="6" t="s">
        <v>1</v>
      </c>
    </row>
    <row r="17270" spans="1:3" s="7" customFormat="1" x14ac:dyDescent="0.2">
      <c r="A17270" s="6" t="str">
        <f>"BBOF1"</f>
        <v>BBOF1</v>
      </c>
      <c r="B17270" s="6" t="s">
        <v>1</v>
      </c>
      <c r="C17270" s="6" t="s">
        <v>1</v>
      </c>
    </row>
    <row r="17271" spans="1:3" s="7" customFormat="1" x14ac:dyDescent="0.2">
      <c r="A17271" s="6" t="str">
        <f>"BTG4"</f>
        <v>BTG4</v>
      </c>
      <c r="B17271" s="6" t="s">
        <v>1</v>
      </c>
      <c r="C17271" s="6" t="s">
        <v>1</v>
      </c>
    </row>
    <row r="17272" spans="1:3" s="7" customFormat="1" x14ac:dyDescent="0.2">
      <c r="A17272" s="6" t="str">
        <f>"AC105942.1"</f>
        <v>AC105942.1</v>
      </c>
      <c r="B17272" s="6" t="s">
        <v>1</v>
      </c>
      <c r="C17272" s="6" t="s">
        <v>1</v>
      </c>
    </row>
    <row r="17273" spans="1:3" s="7" customFormat="1" x14ac:dyDescent="0.2">
      <c r="A17273" s="6" t="str">
        <f>"AC236668.1"</f>
        <v>AC236668.1</v>
      </c>
      <c r="B17273" s="6" t="s">
        <v>1</v>
      </c>
      <c r="C17273" s="6" t="s">
        <v>1</v>
      </c>
    </row>
    <row r="17274" spans="1:3" s="7" customFormat="1" x14ac:dyDescent="0.2">
      <c r="A17274" s="6" t="str">
        <f>"AC051619.4"</f>
        <v>AC051619.4</v>
      </c>
      <c r="B17274" s="6" t="s">
        <v>1</v>
      </c>
      <c r="C17274" s="6" t="s">
        <v>1</v>
      </c>
    </row>
    <row r="17275" spans="1:3" s="7" customFormat="1" x14ac:dyDescent="0.2">
      <c r="A17275" s="6" t="str">
        <f>"UBR2"</f>
        <v>UBR2</v>
      </c>
      <c r="B17275" s="6" t="s">
        <v>1</v>
      </c>
      <c r="C17275" s="6" t="s">
        <v>1</v>
      </c>
    </row>
    <row r="17276" spans="1:3" s="7" customFormat="1" x14ac:dyDescent="0.2">
      <c r="A17276" s="6" t="str">
        <f>"AC241377.2"</f>
        <v>AC241377.2</v>
      </c>
      <c r="B17276" s="6" t="s">
        <v>1</v>
      </c>
      <c r="C17276" s="6" t="s">
        <v>1</v>
      </c>
    </row>
    <row r="17277" spans="1:3" s="7" customFormat="1" x14ac:dyDescent="0.2">
      <c r="A17277" s="6" t="str">
        <f>"C3orf52"</f>
        <v>C3orf52</v>
      </c>
      <c r="B17277" s="6" t="s">
        <v>1</v>
      </c>
      <c r="C17277" s="6" t="s">
        <v>1</v>
      </c>
    </row>
    <row r="17278" spans="1:3" s="7" customFormat="1" x14ac:dyDescent="0.2">
      <c r="A17278" s="6" t="str">
        <f>"RNF10"</f>
        <v>RNF10</v>
      </c>
      <c r="B17278" s="6" t="s">
        <v>1</v>
      </c>
      <c r="C17278" s="6" t="s">
        <v>1</v>
      </c>
    </row>
    <row r="17279" spans="1:3" s="7" customFormat="1" x14ac:dyDescent="0.2">
      <c r="A17279" s="6" t="str">
        <f>"AC012378.2"</f>
        <v>AC012378.2</v>
      </c>
      <c r="B17279" s="6" t="s">
        <v>1</v>
      </c>
      <c r="C17279" s="6" t="s">
        <v>1</v>
      </c>
    </row>
    <row r="17280" spans="1:3" s="7" customFormat="1" x14ac:dyDescent="0.2">
      <c r="A17280" s="6" t="str">
        <f>"CDK5RAP1"</f>
        <v>CDK5RAP1</v>
      </c>
      <c r="B17280" s="6" t="s">
        <v>1</v>
      </c>
      <c r="C17280" s="6" t="s">
        <v>1</v>
      </c>
    </row>
    <row r="17281" spans="1:3" s="7" customFormat="1" x14ac:dyDescent="0.2">
      <c r="A17281" s="6" t="str">
        <f>"SLFN5"</f>
        <v>SLFN5</v>
      </c>
      <c r="B17281" s="6" t="s">
        <v>1</v>
      </c>
      <c r="C17281" s="6" t="s">
        <v>1</v>
      </c>
    </row>
    <row r="17282" spans="1:3" s="7" customFormat="1" x14ac:dyDescent="0.2">
      <c r="A17282" s="6" t="str">
        <f>"SRD5A3-AS1"</f>
        <v>SRD5A3-AS1</v>
      </c>
      <c r="B17282" s="6" t="s">
        <v>1</v>
      </c>
      <c r="C17282" s="6" t="s">
        <v>1</v>
      </c>
    </row>
    <row r="17283" spans="1:3" s="7" customFormat="1" x14ac:dyDescent="0.2">
      <c r="A17283" s="6" t="str">
        <f>"ATE1-AS1"</f>
        <v>ATE1-AS1</v>
      </c>
      <c r="B17283" s="6" t="s">
        <v>1</v>
      </c>
      <c r="C17283" s="6" t="s">
        <v>1</v>
      </c>
    </row>
    <row r="17284" spans="1:3" s="7" customFormat="1" x14ac:dyDescent="0.2">
      <c r="A17284" s="6" t="str">
        <f>"AC106791.1"</f>
        <v>AC106791.1</v>
      </c>
      <c r="B17284" s="6" t="s">
        <v>1</v>
      </c>
      <c r="C17284" s="6" t="s">
        <v>1</v>
      </c>
    </row>
    <row r="17285" spans="1:3" s="7" customFormat="1" x14ac:dyDescent="0.2">
      <c r="A17285" s="6" t="str">
        <f>"AP3S2"</f>
        <v>AP3S2</v>
      </c>
      <c r="B17285" s="6" t="s">
        <v>1</v>
      </c>
      <c r="C17285" s="6" t="s">
        <v>1</v>
      </c>
    </row>
    <row r="17286" spans="1:3" s="7" customFormat="1" x14ac:dyDescent="0.2">
      <c r="A17286" s="6" t="str">
        <f>"TMEM117"</f>
        <v>TMEM117</v>
      </c>
      <c r="B17286" s="6" t="s">
        <v>1</v>
      </c>
      <c r="C17286" s="6" t="s">
        <v>1</v>
      </c>
    </row>
    <row r="17287" spans="1:3" s="7" customFormat="1" x14ac:dyDescent="0.2">
      <c r="A17287" s="6" t="str">
        <f>"C4B"</f>
        <v>C4B</v>
      </c>
      <c r="B17287" s="6" t="s">
        <v>1</v>
      </c>
      <c r="C17287" s="6" t="s">
        <v>1</v>
      </c>
    </row>
    <row r="17288" spans="1:3" s="7" customFormat="1" x14ac:dyDescent="0.2">
      <c r="A17288" s="6" t="str">
        <f>"SRD5A3"</f>
        <v>SRD5A3</v>
      </c>
      <c r="B17288" s="6" t="s">
        <v>1</v>
      </c>
      <c r="C17288" s="6" t="s">
        <v>1</v>
      </c>
    </row>
    <row r="17289" spans="1:3" s="7" customFormat="1" x14ac:dyDescent="0.2">
      <c r="A17289" s="6" t="str">
        <f>"RYR2"</f>
        <v>RYR2</v>
      </c>
      <c r="B17289" s="6" t="s">
        <v>1</v>
      </c>
      <c r="C17289" s="6" t="s">
        <v>1</v>
      </c>
    </row>
    <row r="17290" spans="1:3" s="7" customFormat="1" x14ac:dyDescent="0.2">
      <c r="A17290" s="6" t="str">
        <f>"BOLA2B"</f>
        <v>BOLA2B</v>
      </c>
      <c r="B17290" s="6" t="s">
        <v>1</v>
      </c>
      <c r="C17290" s="6" t="s">
        <v>1</v>
      </c>
    </row>
    <row r="17291" spans="1:3" s="7" customFormat="1" x14ac:dyDescent="0.2">
      <c r="A17291" s="6" t="str">
        <f>"AC092803.1"</f>
        <v>AC092803.1</v>
      </c>
      <c r="B17291" s="6" t="s">
        <v>1</v>
      </c>
      <c r="C17291" s="6" t="s">
        <v>1</v>
      </c>
    </row>
    <row r="17292" spans="1:3" s="7" customFormat="1" x14ac:dyDescent="0.2">
      <c r="A17292" s="6" t="str">
        <f>"CYB5A"</f>
        <v>CYB5A</v>
      </c>
      <c r="B17292" s="6" t="s">
        <v>1</v>
      </c>
      <c r="C17292" s="6" t="s">
        <v>1</v>
      </c>
    </row>
    <row r="17293" spans="1:3" s="7" customFormat="1" x14ac:dyDescent="0.2">
      <c r="A17293" s="6" t="str">
        <f>"AC127024.7"</f>
        <v>AC127024.7</v>
      </c>
      <c r="B17293" s="6" t="s">
        <v>1</v>
      </c>
      <c r="C17293" s="6" t="s">
        <v>1</v>
      </c>
    </row>
    <row r="17294" spans="1:3" s="7" customFormat="1" x14ac:dyDescent="0.2">
      <c r="A17294" s="6" t="str">
        <f>"BOLA2"</f>
        <v>BOLA2</v>
      </c>
      <c r="B17294" s="6" t="s">
        <v>1</v>
      </c>
      <c r="C17294" s="6" t="s">
        <v>1</v>
      </c>
    </row>
    <row r="17295" spans="1:3" s="7" customFormat="1" x14ac:dyDescent="0.2">
      <c r="A17295" s="6" t="str">
        <f>"AC083899.1"</f>
        <v>AC083899.1</v>
      </c>
      <c r="B17295" s="6" t="s">
        <v>1</v>
      </c>
      <c r="C17295" s="6" t="s">
        <v>1</v>
      </c>
    </row>
    <row r="17296" spans="1:3" s="7" customFormat="1" x14ac:dyDescent="0.2">
      <c r="A17296" s="6" t="str">
        <f>"CDK18"</f>
        <v>CDK18</v>
      </c>
      <c r="B17296" s="6" t="s">
        <v>1</v>
      </c>
      <c r="C17296" s="6" t="s">
        <v>1</v>
      </c>
    </row>
    <row r="17297" spans="1:3" s="7" customFormat="1" x14ac:dyDescent="0.2">
      <c r="A17297" s="6" t="str">
        <f>"TRBV28"</f>
        <v>TRBV28</v>
      </c>
      <c r="B17297" s="6" t="s">
        <v>1</v>
      </c>
      <c r="C17297" s="6" t="s">
        <v>1</v>
      </c>
    </row>
    <row r="17298" spans="1:3" s="7" customFormat="1" x14ac:dyDescent="0.2">
      <c r="A17298" s="6" t="str">
        <f>"AC105052.4"</f>
        <v>AC105052.4</v>
      </c>
      <c r="B17298" s="6" t="s">
        <v>1</v>
      </c>
      <c r="C17298" s="6" t="s">
        <v>1</v>
      </c>
    </row>
    <row r="17299" spans="1:3" s="7" customFormat="1" x14ac:dyDescent="0.2">
      <c r="A17299" s="6" t="str">
        <f>"ZRANB2-AS2"</f>
        <v>ZRANB2-AS2</v>
      </c>
      <c r="B17299" s="6" t="s">
        <v>1</v>
      </c>
      <c r="C17299" s="6" t="s">
        <v>1</v>
      </c>
    </row>
    <row r="17300" spans="1:3" s="7" customFormat="1" x14ac:dyDescent="0.2">
      <c r="A17300" s="6" t="str">
        <f>"AC009237.14"</f>
        <v>AC009237.14</v>
      </c>
      <c r="B17300" s="6" t="s">
        <v>1</v>
      </c>
      <c r="C17300" s="6" t="s">
        <v>1</v>
      </c>
    </row>
    <row r="17301" spans="1:3" s="7" customFormat="1" x14ac:dyDescent="0.2">
      <c r="A17301" s="6" t="str">
        <f>"CCDC93"</f>
        <v>CCDC93</v>
      </c>
      <c r="B17301" s="6" t="s">
        <v>1</v>
      </c>
      <c r="C17301" s="6" t="s">
        <v>1</v>
      </c>
    </row>
    <row r="17302" spans="1:3" s="7" customFormat="1" x14ac:dyDescent="0.2">
      <c r="A17302" s="6" t="str">
        <f>"AC080112.4"</f>
        <v>AC080112.4</v>
      </c>
      <c r="B17302" s="6" t="s">
        <v>1</v>
      </c>
      <c r="C17302" s="6" t="s">
        <v>1</v>
      </c>
    </row>
    <row r="17303" spans="1:3" s="7" customFormat="1" x14ac:dyDescent="0.2">
      <c r="A17303" s="6" t="str">
        <f>"AP5S1"</f>
        <v>AP5S1</v>
      </c>
      <c r="B17303" s="6" t="s">
        <v>1</v>
      </c>
      <c r="C17303" s="6" t="s">
        <v>1</v>
      </c>
    </row>
    <row r="17304" spans="1:3" s="7" customFormat="1" x14ac:dyDescent="0.2">
      <c r="A17304" s="6" t="str">
        <f>"TMEM11"</f>
        <v>TMEM11</v>
      </c>
      <c r="B17304" s="6" t="s">
        <v>1</v>
      </c>
      <c r="C17304" s="6" t="s">
        <v>1</v>
      </c>
    </row>
    <row r="17305" spans="1:3" s="7" customFormat="1" x14ac:dyDescent="0.2">
      <c r="A17305" s="6" t="str">
        <f>"AC040169.4"</f>
        <v>AC040169.4</v>
      </c>
      <c r="B17305" s="6" t="s">
        <v>1</v>
      </c>
      <c r="C17305" s="6" t="s">
        <v>1</v>
      </c>
    </row>
    <row r="17306" spans="1:3" s="7" customFormat="1" x14ac:dyDescent="0.2">
      <c r="A17306" s="6" t="str">
        <f>"AC234031.1"</f>
        <v>AC234031.1</v>
      </c>
      <c r="B17306" s="6" t="s">
        <v>1</v>
      </c>
      <c r="C17306" s="6" t="s">
        <v>1</v>
      </c>
    </row>
    <row r="17307" spans="1:3" s="7" customFormat="1" x14ac:dyDescent="0.2">
      <c r="A17307" s="6" t="str">
        <f>"AL022326.1"</f>
        <v>AL022326.1</v>
      </c>
      <c r="B17307" s="6" t="s">
        <v>1</v>
      </c>
      <c r="C17307" s="6" t="s">
        <v>1</v>
      </c>
    </row>
    <row r="17308" spans="1:3" s="7" customFormat="1" x14ac:dyDescent="0.2">
      <c r="A17308" s="6" t="str">
        <f>"AC009237.3"</f>
        <v>AC009237.3</v>
      </c>
      <c r="B17308" s="6" t="s">
        <v>1</v>
      </c>
      <c r="C17308" s="6" t="s">
        <v>1</v>
      </c>
    </row>
    <row r="17309" spans="1:3" s="7" customFormat="1" x14ac:dyDescent="0.2">
      <c r="A17309" s="6" t="str">
        <f>"AC012321.1"</f>
        <v>AC012321.1</v>
      </c>
      <c r="B17309" s="6" t="s">
        <v>1</v>
      </c>
      <c r="C17309" s="6" t="s">
        <v>1</v>
      </c>
    </row>
    <row r="17310" spans="1:3" s="7" customFormat="1" x14ac:dyDescent="0.2">
      <c r="A17310" s="6" t="str">
        <f>"CCKAR"</f>
        <v>CCKAR</v>
      </c>
      <c r="B17310" s="6" t="s">
        <v>1</v>
      </c>
      <c r="C17310" s="6" t="s">
        <v>1</v>
      </c>
    </row>
    <row r="17311" spans="1:3" s="7" customFormat="1" x14ac:dyDescent="0.2">
      <c r="A17311" s="6" t="str">
        <f>"AL354993.1"</f>
        <v>AL354993.1</v>
      </c>
      <c r="B17311" s="6" t="s">
        <v>1</v>
      </c>
      <c r="C17311" s="6" t="s">
        <v>1</v>
      </c>
    </row>
    <row r="17312" spans="1:3" s="7" customFormat="1" x14ac:dyDescent="0.2">
      <c r="A17312" s="6" t="str">
        <f>"STRIP1"</f>
        <v>STRIP1</v>
      </c>
      <c r="B17312" s="6" t="s">
        <v>1</v>
      </c>
      <c r="C17312" s="6" t="s">
        <v>1</v>
      </c>
    </row>
    <row r="17313" spans="1:3" s="7" customFormat="1" x14ac:dyDescent="0.2">
      <c r="A17313" s="6" t="str">
        <f>"RPL4"</f>
        <v>RPL4</v>
      </c>
      <c r="B17313" s="6" t="s">
        <v>1</v>
      </c>
      <c r="C17313" s="6" t="s">
        <v>1</v>
      </c>
    </row>
    <row r="17314" spans="1:3" s="7" customFormat="1" x14ac:dyDescent="0.2">
      <c r="A17314" s="6" t="str">
        <f>"BTG3"</f>
        <v>BTG3</v>
      </c>
      <c r="B17314" s="6" t="s">
        <v>1</v>
      </c>
      <c r="C17314" s="6" t="s">
        <v>1</v>
      </c>
    </row>
    <row r="17315" spans="1:3" s="7" customFormat="1" x14ac:dyDescent="0.2">
      <c r="A17315" s="6" t="str">
        <f>"CYBRD1"</f>
        <v>CYBRD1</v>
      </c>
      <c r="B17315" s="6" t="s">
        <v>1</v>
      </c>
      <c r="C17315" s="6" t="s">
        <v>1</v>
      </c>
    </row>
    <row r="17316" spans="1:3" s="7" customFormat="1" x14ac:dyDescent="0.2">
      <c r="A17316" s="6" t="str">
        <f>"TMUB2"</f>
        <v>TMUB2</v>
      </c>
      <c r="B17316" s="6" t="s">
        <v>1</v>
      </c>
      <c r="C17316" s="6" t="s">
        <v>1</v>
      </c>
    </row>
    <row r="17317" spans="1:3" s="7" customFormat="1" x14ac:dyDescent="0.2">
      <c r="A17317" s="6" t="str">
        <f>"STRN4"</f>
        <v>STRN4</v>
      </c>
      <c r="B17317" s="6" t="s">
        <v>1</v>
      </c>
      <c r="C17317" s="6" t="s">
        <v>1</v>
      </c>
    </row>
    <row r="17318" spans="1:3" s="7" customFormat="1" x14ac:dyDescent="0.2">
      <c r="A17318" s="6" t="str">
        <f>"CCDC86"</f>
        <v>CCDC86</v>
      </c>
      <c r="B17318" s="6" t="s">
        <v>1</v>
      </c>
      <c r="C17318" s="6" t="s">
        <v>1</v>
      </c>
    </row>
    <row r="17319" spans="1:3" s="7" customFormat="1" x14ac:dyDescent="0.2">
      <c r="A17319" s="6" t="str">
        <f>"AZGP1"</f>
        <v>AZGP1</v>
      </c>
      <c r="B17319" s="6" t="s">
        <v>1</v>
      </c>
      <c r="C17319" s="6" t="s">
        <v>1</v>
      </c>
    </row>
    <row r="17320" spans="1:3" s="7" customFormat="1" x14ac:dyDescent="0.2">
      <c r="A17320" s="6" t="str">
        <f>"AC092811.1"</f>
        <v>AC092811.1</v>
      </c>
      <c r="B17320" s="6" t="s">
        <v>1</v>
      </c>
      <c r="C17320" s="6" t="s">
        <v>1</v>
      </c>
    </row>
    <row r="17321" spans="1:3" s="7" customFormat="1" x14ac:dyDescent="0.2">
      <c r="A17321" s="6" t="str">
        <f>"CNNM2"</f>
        <v>CNNM2</v>
      </c>
      <c r="B17321" s="6" t="s">
        <v>1</v>
      </c>
      <c r="C17321" s="6" t="s">
        <v>1</v>
      </c>
    </row>
    <row r="17322" spans="1:3" s="7" customFormat="1" x14ac:dyDescent="0.2">
      <c r="A17322" s="6" t="str">
        <f>"ZNF232"</f>
        <v>ZNF232</v>
      </c>
      <c r="B17322" s="6" t="s">
        <v>1</v>
      </c>
      <c r="C17322" s="6" t="s">
        <v>1</v>
      </c>
    </row>
    <row r="17323" spans="1:3" s="7" customFormat="1" x14ac:dyDescent="0.2">
      <c r="A17323" s="6" t="str">
        <f>"ADCY3"</f>
        <v>ADCY3</v>
      </c>
      <c r="B17323" s="6" t="s">
        <v>1</v>
      </c>
      <c r="C17323" s="6" t="s">
        <v>1</v>
      </c>
    </row>
    <row r="17324" spans="1:3" s="7" customFormat="1" x14ac:dyDescent="0.2">
      <c r="A17324" s="6" t="str">
        <f>"CNGA4"</f>
        <v>CNGA4</v>
      </c>
      <c r="B17324" s="6" t="s">
        <v>1</v>
      </c>
      <c r="C17324" s="6" t="s">
        <v>1</v>
      </c>
    </row>
    <row r="17325" spans="1:3" s="7" customFormat="1" x14ac:dyDescent="0.2">
      <c r="A17325" s="6" t="str">
        <f>"AL021807.1"</f>
        <v>AL021807.1</v>
      </c>
      <c r="B17325" s="6" t="s">
        <v>1</v>
      </c>
      <c r="C17325" s="6" t="s">
        <v>1</v>
      </c>
    </row>
    <row r="17326" spans="1:3" s="7" customFormat="1" x14ac:dyDescent="0.2">
      <c r="A17326" s="6" t="str">
        <f>"IQCH-AS1"</f>
        <v>IQCH-AS1</v>
      </c>
      <c r="B17326" s="6" t="s">
        <v>1</v>
      </c>
      <c r="C17326" s="6" t="s">
        <v>1</v>
      </c>
    </row>
    <row r="17327" spans="1:3" s="7" customFormat="1" x14ac:dyDescent="0.2">
      <c r="A17327" s="6" t="str">
        <f>"CHD7"</f>
        <v>CHD7</v>
      </c>
      <c r="B17327" s="6" t="s">
        <v>1</v>
      </c>
      <c r="C17327" s="6" t="s">
        <v>1</v>
      </c>
    </row>
    <row r="17328" spans="1:3" s="7" customFormat="1" x14ac:dyDescent="0.2">
      <c r="A17328" s="6" t="str">
        <f>"ABALON"</f>
        <v>ABALON</v>
      </c>
      <c r="B17328" s="6" t="s">
        <v>1</v>
      </c>
      <c r="C17328" s="6" t="s">
        <v>1</v>
      </c>
    </row>
    <row r="17329" spans="1:3" s="7" customFormat="1" x14ac:dyDescent="0.2">
      <c r="A17329" s="6" t="str">
        <f>"ZPR1"</f>
        <v>ZPR1</v>
      </c>
      <c r="B17329" s="6" t="s">
        <v>1</v>
      </c>
      <c r="C17329" s="6" t="s">
        <v>1</v>
      </c>
    </row>
    <row r="17330" spans="1:3" s="7" customFormat="1" x14ac:dyDescent="0.2">
      <c r="A17330" s="6" t="str">
        <f>"CR381653.2"</f>
        <v>CR381653.2</v>
      </c>
      <c r="B17330" s="6" t="s">
        <v>1</v>
      </c>
      <c r="C17330" s="6" t="s">
        <v>1</v>
      </c>
    </row>
    <row r="17331" spans="1:3" s="7" customFormat="1" x14ac:dyDescent="0.2">
      <c r="A17331" s="6" t="str">
        <f>"AC020951.1"</f>
        <v>AC020951.1</v>
      </c>
      <c r="B17331" s="6" t="s">
        <v>1</v>
      </c>
      <c r="C17331" s="6" t="s">
        <v>1</v>
      </c>
    </row>
    <row r="17332" spans="1:3" s="7" customFormat="1" x14ac:dyDescent="0.2">
      <c r="A17332" s="6" t="str">
        <f>"AL132990.1"</f>
        <v>AL132990.1</v>
      </c>
      <c r="B17332" s="6" t="s">
        <v>1</v>
      </c>
      <c r="C17332" s="6" t="s">
        <v>1</v>
      </c>
    </row>
    <row r="17333" spans="1:3" s="7" customFormat="1" x14ac:dyDescent="0.2">
      <c r="A17333" s="6" t="str">
        <f>"AC053513.1"</f>
        <v>AC053513.1</v>
      </c>
      <c r="B17333" s="6" t="s">
        <v>1</v>
      </c>
      <c r="C17333" s="6" t="s">
        <v>1</v>
      </c>
    </row>
    <row r="17334" spans="1:3" s="7" customFormat="1" x14ac:dyDescent="0.2">
      <c r="A17334" s="6" t="str">
        <f>"BPIFA2"</f>
        <v>BPIFA2</v>
      </c>
      <c r="B17334" s="6" t="s">
        <v>1</v>
      </c>
      <c r="C17334" s="6" t="s">
        <v>1</v>
      </c>
    </row>
    <row r="17335" spans="1:3" s="7" customFormat="1" x14ac:dyDescent="0.2">
      <c r="A17335" s="6" t="str">
        <f>"PHF14"</f>
        <v>PHF14</v>
      </c>
      <c r="B17335" s="6" t="s">
        <v>1</v>
      </c>
      <c r="C17335" s="6" t="s">
        <v>1</v>
      </c>
    </row>
    <row r="17336" spans="1:3" s="7" customFormat="1" x14ac:dyDescent="0.2">
      <c r="A17336" s="6" t="str">
        <f>"UBR3"</f>
        <v>UBR3</v>
      </c>
      <c r="B17336" s="6" t="s">
        <v>1</v>
      </c>
      <c r="C17336" s="6" t="s">
        <v>1</v>
      </c>
    </row>
    <row r="17337" spans="1:3" s="7" customFormat="1" x14ac:dyDescent="0.2">
      <c r="A17337" s="6" t="str">
        <f>"AL391001.1"</f>
        <v>AL391001.1</v>
      </c>
      <c r="B17337" s="6" t="s">
        <v>1</v>
      </c>
      <c r="C17337" s="6" t="s">
        <v>1</v>
      </c>
    </row>
    <row r="17338" spans="1:3" s="7" customFormat="1" x14ac:dyDescent="0.2">
      <c r="A17338" s="6" t="str">
        <f>"AC023421.2"</f>
        <v>AC023421.2</v>
      </c>
      <c r="B17338" s="6" t="s">
        <v>1</v>
      </c>
      <c r="C17338" s="6" t="s">
        <v>1</v>
      </c>
    </row>
    <row r="17339" spans="1:3" s="7" customFormat="1" x14ac:dyDescent="0.2">
      <c r="A17339" s="6" t="str">
        <f>"CHCHD7"</f>
        <v>CHCHD7</v>
      </c>
      <c r="B17339" s="6" t="s">
        <v>1</v>
      </c>
      <c r="C17339" s="6" t="s">
        <v>1</v>
      </c>
    </row>
    <row r="17340" spans="1:3" s="7" customFormat="1" x14ac:dyDescent="0.2">
      <c r="A17340" s="6" t="str">
        <f>"ADGRF3"</f>
        <v>ADGRF3</v>
      </c>
      <c r="B17340" s="6" t="s">
        <v>1</v>
      </c>
      <c r="C17340" s="6" t="s">
        <v>1</v>
      </c>
    </row>
    <row r="17341" spans="1:3" s="7" customFormat="1" x14ac:dyDescent="0.2">
      <c r="A17341" s="6" t="str">
        <f>"BORA"</f>
        <v>BORA</v>
      </c>
      <c r="B17341" s="6" t="s">
        <v>1</v>
      </c>
      <c r="C17341" s="6" t="s">
        <v>1</v>
      </c>
    </row>
    <row r="17342" spans="1:3" s="7" customFormat="1" x14ac:dyDescent="0.2">
      <c r="A17342" s="6" t="str">
        <f>"AC092933.1"</f>
        <v>AC092933.1</v>
      </c>
      <c r="B17342" s="6" t="s">
        <v>1</v>
      </c>
      <c r="C17342" s="6" t="s">
        <v>1</v>
      </c>
    </row>
    <row r="17343" spans="1:3" s="7" customFormat="1" x14ac:dyDescent="0.2">
      <c r="A17343" s="6" t="str">
        <f>"AL136295.7"</f>
        <v>AL136295.7</v>
      </c>
      <c r="B17343" s="6" t="s">
        <v>1</v>
      </c>
      <c r="C17343" s="6" t="s">
        <v>1</v>
      </c>
    </row>
    <row r="17344" spans="1:3" s="7" customFormat="1" x14ac:dyDescent="0.2">
      <c r="A17344" s="6" t="str">
        <f>"APBB3"</f>
        <v>APBB3</v>
      </c>
      <c r="B17344" s="6" t="s">
        <v>1</v>
      </c>
      <c r="C17344" s="6" t="s">
        <v>1</v>
      </c>
    </row>
    <row r="17345" spans="1:3" s="7" customFormat="1" x14ac:dyDescent="0.2">
      <c r="A17345" s="6" t="str">
        <f>"PRKCZ"</f>
        <v>PRKCZ</v>
      </c>
      <c r="B17345" s="6" t="s">
        <v>1</v>
      </c>
      <c r="C17345" s="6" t="s">
        <v>1</v>
      </c>
    </row>
    <row r="17346" spans="1:3" s="7" customFormat="1" x14ac:dyDescent="0.2">
      <c r="A17346" s="6" t="str">
        <f>"CMTM4"</f>
        <v>CMTM4</v>
      </c>
      <c r="B17346" s="6" t="s">
        <v>1</v>
      </c>
      <c r="C17346" s="6" t="s">
        <v>1</v>
      </c>
    </row>
    <row r="17347" spans="1:3" s="7" customFormat="1" x14ac:dyDescent="0.2">
      <c r="A17347" s="6" t="str">
        <f>"AC092903.2"</f>
        <v>AC092903.2</v>
      </c>
      <c r="B17347" s="6" t="s">
        <v>1</v>
      </c>
      <c r="C17347" s="6" t="s">
        <v>1</v>
      </c>
    </row>
    <row r="17348" spans="1:3" s="7" customFormat="1" x14ac:dyDescent="0.2">
      <c r="A17348" s="6" t="str">
        <f>"ZNF225"</f>
        <v>ZNF225</v>
      </c>
      <c r="B17348" s="6" t="s">
        <v>1</v>
      </c>
      <c r="C17348" s="6" t="s">
        <v>1</v>
      </c>
    </row>
    <row r="17349" spans="1:3" s="7" customFormat="1" x14ac:dyDescent="0.2">
      <c r="A17349" s="6" t="str">
        <f>"CCER2"</f>
        <v>CCER2</v>
      </c>
      <c r="B17349" s="6" t="s">
        <v>1</v>
      </c>
      <c r="C17349" s="6" t="s">
        <v>1</v>
      </c>
    </row>
    <row r="17350" spans="1:3" s="7" customFormat="1" x14ac:dyDescent="0.2">
      <c r="A17350" s="6" t="str">
        <f>"AC092807.3"</f>
        <v>AC092807.3</v>
      </c>
      <c r="B17350" s="6" t="s">
        <v>1</v>
      </c>
      <c r="C17350" s="6" t="s">
        <v>1</v>
      </c>
    </row>
    <row r="17351" spans="1:3" s="7" customFormat="1" x14ac:dyDescent="0.2">
      <c r="A17351" s="6" t="str">
        <f>"AC004233.4"</f>
        <v>AC004233.4</v>
      </c>
      <c r="B17351" s="6" t="s">
        <v>1</v>
      </c>
      <c r="C17351" s="6" t="s">
        <v>1</v>
      </c>
    </row>
    <row r="17352" spans="1:3" s="7" customFormat="1" x14ac:dyDescent="0.2">
      <c r="A17352" s="6" t="str">
        <f>"AC012313.3"</f>
        <v>AC012313.3</v>
      </c>
      <c r="B17352" s="6" t="s">
        <v>1</v>
      </c>
      <c r="C17352" s="6" t="s">
        <v>1</v>
      </c>
    </row>
    <row r="17353" spans="1:3" s="7" customFormat="1" x14ac:dyDescent="0.2">
      <c r="A17353" s="6" t="str">
        <f>"AC087741.1"</f>
        <v>AC087741.1</v>
      </c>
      <c r="B17353" s="6" t="s">
        <v>1</v>
      </c>
      <c r="C17353" s="6" t="s">
        <v>1</v>
      </c>
    </row>
    <row r="17354" spans="1:3" s="7" customFormat="1" x14ac:dyDescent="0.2">
      <c r="A17354" s="6" t="str">
        <f>"CAPN7"</f>
        <v>CAPN7</v>
      </c>
      <c r="B17354" s="6" t="s">
        <v>1</v>
      </c>
      <c r="C17354" s="6" t="s">
        <v>1</v>
      </c>
    </row>
    <row r="17355" spans="1:3" s="7" customFormat="1" x14ac:dyDescent="0.2">
      <c r="A17355" s="6" t="str">
        <f>"AC080188.2"</f>
        <v>AC080188.2</v>
      </c>
      <c r="B17355" s="6" t="s">
        <v>1</v>
      </c>
      <c r="C17355" s="6" t="s">
        <v>1</v>
      </c>
    </row>
    <row r="17356" spans="1:3" s="7" customFormat="1" x14ac:dyDescent="0.2">
      <c r="A17356" s="6" t="str">
        <f>"SLIT1"</f>
        <v>SLIT1</v>
      </c>
      <c r="B17356" s="6" t="s">
        <v>1</v>
      </c>
      <c r="C17356" s="6" t="s">
        <v>1</v>
      </c>
    </row>
    <row r="17357" spans="1:3" s="7" customFormat="1" x14ac:dyDescent="0.2">
      <c r="A17357" s="6" t="str">
        <f>"CHKA"</f>
        <v>CHKA</v>
      </c>
      <c r="B17357" s="6" t="s">
        <v>1</v>
      </c>
      <c r="C17357" s="6" t="s">
        <v>1</v>
      </c>
    </row>
    <row r="17358" spans="1:3" s="7" customFormat="1" x14ac:dyDescent="0.2">
      <c r="A17358" s="6" t="str">
        <f>"AC012360.3"</f>
        <v>AC012360.3</v>
      </c>
      <c r="B17358" s="6" t="s">
        <v>1</v>
      </c>
      <c r="C17358" s="6" t="s">
        <v>1</v>
      </c>
    </row>
    <row r="17359" spans="1:3" s="7" customFormat="1" x14ac:dyDescent="0.2">
      <c r="A17359" s="6" t="str">
        <f>"CHIT1"</f>
        <v>CHIT1</v>
      </c>
      <c r="B17359" s="6" t="s">
        <v>1</v>
      </c>
      <c r="C17359" s="6" t="s">
        <v>1</v>
      </c>
    </row>
    <row r="17360" spans="1:3" s="7" customFormat="1" x14ac:dyDescent="0.2">
      <c r="A17360" s="6" t="str">
        <f>"AL162231.1"</f>
        <v>AL162231.1</v>
      </c>
      <c r="B17360" s="6" t="s">
        <v>1</v>
      </c>
      <c r="C17360" s="6" t="s">
        <v>1</v>
      </c>
    </row>
    <row r="17361" spans="1:3" s="7" customFormat="1" x14ac:dyDescent="0.2">
      <c r="A17361" s="6" t="str">
        <f>"AC007066.2"</f>
        <v>AC007066.2</v>
      </c>
      <c r="B17361" s="6" t="s">
        <v>1</v>
      </c>
      <c r="C17361" s="6" t="s">
        <v>1</v>
      </c>
    </row>
    <row r="17362" spans="1:3" s="7" customFormat="1" x14ac:dyDescent="0.2">
      <c r="A17362" s="6" t="str">
        <f>"AC009113.1"</f>
        <v>AC009113.1</v>
      </c>
      <c r="B17362" s="6" t="s">
        <v>1</v>
      </c>
      <c r="C17362" s="6" t="s">
        <v>1</v>
      </c>
    </row>
    <row r="17363" spans="1:3" s="7" customFormat="1" x14ac:dyDescent="0.2">
      <c r="A17363" s="6" t="str">
        <f>"VAV1"</f>
        <v>VAV1</v>
      </c>
      <c r="B17363" s="6" t="s">
        <v>1</v>
      </c>
      <c r="C17363" s="6" t="s">
        <v>1</v>
      </c>
    </row>
    <row r="17364" spans="1:3" s="7" customFormat="1" x14ac:dyDescent="0.2">
      <c r="A17364" s="6" t="str">
        <f>"S100A11"</f>
        <v>S100A11</v>
      </c>
      <c r="B17364" s="6" t="s">
        <v>1</v>
      </c>
      <c r="C17364" s="6" t="s">
        <v>1</v>
      </c>
    </row>
    <row r="17365" spans="1:3" s="7" customFormat="1" x14ac:dyDescent="0.2">
      <c r="A17365" s="6" t="str">
        <f>"AL162377.3"</f>
        <v>AL162377.3</v>
      </c>
      <c r="B17365" s="6" t="s">
        <v>1</v>
      </c>
      <c r="C17365" s="6" t="s">
        <v>1</v>
      </c>
    </row>
    <row r="17366" spans="1:3" s="7" customFormat="1" x14ac:dyDescent="0.2">
      <c r="A17366" s="6" t="str">
        <f>"AL512413.1"</f>
        <v>AL512413.1</v>
      </c>
      <c r="B17366" s="6" t="s">
        <v>1</v>
      </c>
      <c r="C17366" s="6" t="s">
        <v>1</v>
      </c>
    </row>
    <row r="17367" spans="1:3" s="7" customFormat="1" x14ac:dyDescent="0.2">
      <c r="A17367" s="6" t="str">
        <f>"AC092910.3"</f>
        <v>AC092910.3</v>
      </c>
      <c r="B17367" s="6" t="s">
        <v>1</v>
      </c>
      <c r="C17367" s="6" t="s">
        <v>1</v>
      </c>
    </row>
    <row r="17368" spans="1:3" s="7" customFormat="1" x14ac:dyDescent="0.2">
      <c r="A17368" s="6" t="str">
        <f>"TTC39A"</f>
        <v>TTC39A</v>
      </c>
      <c r="B17368" s="6" t="s">
        <v>1</v>
      </c>
      <c r="C17368" s="6" t="s">
        <v>1</v>
      </c>
    </row>
    <row r="17369" spans="1:3" s="7" customFormat="1" x14ac:dyDescent="0.2">
      <c r="A17369" s="6" t="str">
        <f>"AC083862.2"</f>
        <v>AC083862.2</v>
      </c>
      <c r="B17369" s="6" t="s">
        <v>1</v>
      </c>
      <c r="C17369" s="6" t="s">
        <v>1</v>
      </c>
    </row>
    <row r="17370" spans="1:3" s="7" customFormat="1" x14ac:dyDescent="0.2">
      <c r="A17370" s="6" t="str">
        <f>"PRKAR2A-AS1"</f>
        <v>PRKAR2A-AS1</v>
      </c>
      <c r="B17370" s="6" t="s">
        <v>1</v>
      </c>
      <c r="C17370" s="6" t="s">
        <v>1</v>
      </c>
    </row>
    <row r="17371" spans="1:3" s="7" customFormat="1" x14ac:dyDescent="0.2">
      <c r="A17371" s="6" t="str">
        <f>"CDK20"</f>
        <v>CDK20</v>
      </c>
      <c r="B17371" s="6" t="s">
        <v>1</v>
      </c>
      <c r="C17371" s="6" t="s">
        <v>1</v>
      </c>
    </row>
    <row r="17372" spans="1:3" s="7" customFormat="1" x14ac:dyDescent="0.2">
      <c r="A17372" s="6" t="str">
        <f>"AL391840.3"</f>
        <v>AL391840.3</v>
      </c>
      <c r="B17372" s="6" t="s">
        <v>1</v>
      </c>
      <c r="C17372" s="6" t="s">
        <v>1</v>
      </c>
    </row>
    <row r="17373" spans="1:3" s="7" customFormat="1" x14ac:dyDescent="0.2">
      <c r="A17373" s="6" t="str">
        <f>"AC044802.1"</f>
        <v>AC044802.1</v>
      </c>
      <c r="B17373" s="6" t="s">
        <v>1</v>
      </c>
      <c r="C17373" s="6" t="s">
        <v>1</v>
      </c>
    </row>
    <row r="17374" spans="1:3" s="7" customFormat="1" x14ac:dyDescent="0.2">
      <c r="A17374" s="6" t="str">
        <f>"AC006978.2"</f>
        <v>AC006978.2</v>
      </c>
      <c r="B17374" s="6" t="s">
        <v>1</v>
      </c>
      <c r="C17374" s="6" t="s">
        <v>1</v>
      </c>
    </row>
    <row r="17375" spans="1:3" s="7" customFormat="1" x14ac:dyDescent="0.2">
      <c r="A17375" s="6" t="str">
        <f>"AC124852.1"</f>
        <v>AC124852.1</v>
      </c>
      <c r="B17375" s="6" t="s">
        <v>1</v>
      </c>
      <c r="C17375" s="6" t="s">
        <v>1</v>
      </c>
    </row>
    <row r="17376" spans="1:3" s="7" customFormat="1" x14ac:dyDescent="0.2">
      <c r="A17376" s="6" t="str">
        <f>"AC006460.1"</f>
        <v>AC006460.1</v>
      </c>
      <c r="B17376" s="6" t="s">
        <v>1</v>
      </c>
      <c r="C17376" s="6" t="s">
        <v>1</v>
      </c>
    </row>
    <row r="17377" spans="1:3" s="7" customFormat="1" x14ac:dyDescent="0.2">
      <c r="A17377" s="6" t="str">
        <f>"ARVCF"</f>
        <v>ARVCF</v>
      </c>
      <c r="B17377" s="6" t="s">
        <v>1</v>
      </c>
      <c r="C17377" s="6" t="s">
        <v>1</v>
      </c>
    </row>
    <row r="17378" spans="1:3" s="7" customFormat="1" x14ac:dyDescent="0.2">
      <c r="A17378" s="6" t="str">
        <f>"AL021920.2"</f>
        <v>AL021920.2</v>
      </c>
      <c r="B17378" s="6" t="s">
        <v>1</v>
      </c>
      <c r="C17378" s="6" t="s">
        <v>1</v>
      </c>
    </row>
    <row r="17379" spans="1:3" s="7" customFormat="1" x14ac:dyDescent="0.2">
      <c r="A17379" s="6" t="str">
        <f>"AC004528.1"</f>
        <v>AC004528.1</v>
      </c>
      <c r="B17379" s="6" t="s">
        <v>1</v>
      </c>
      <c r="C17379" s="6" t="s">
        <v>1</v>
      </c>
    </row>
    <row r="17380" spans="1:3" s="7" customFormat="1" x14ac:dyDescent="0.2">
      <c r="A17380" s="6" t="str">
        <f>"ZNF232-AS1"</f>
        <v>ZNF232-AS1</v>
      </c>
      <c r="B17380" s="6" t="s">
        <v>1</v>
      </c>
      <c r="C17380" s="6" t="s">
        <v>1</v>
      </c>
    </row>
    <row r="17381" spans="1:3" s="7" customFormat="1" x14ac:dyDescent="0.2">
      <c r="A17381" s="6" t="str">
        <f>"ANXA9"</f>
        <v>ANXA9</v>
      </c>
      <c r="B17381" s="6" t="s">
        <v>1</v>
      </c>
      <c r="C17381" s="6" t="s">
        <v>1</v>
      </c>
    </row>
    <row r="17382" spans="1:3" s="7" customFormat="1" x14ac:dyDescent="0.2">
      <c r="A17382" s="6" t="str">
        <f>"B3GNT9"</f>
        <v>B3GNT9</v>
      </c>
      <c r="B17382" s="6" t="s">
        <v>1</v>
      </c>
      <c r="C17382" s="6" t="s">
        <v>1</v>
      </c>
    </row>
    <row r="17383" spans="1:3" s="7" customFormat="1" x14ac:dyDescent="0.2">
      <c r="A17383" s="6" t="str">
        <f>"AC080079.2"</f>
        <v>AC080079.2</v>
      </c>
      <c r="B17383" s="6" t="s">
        <v>1</v>
      </c>
      <c r="C17383" s="6" t="s">
        <v>1</v>
      </c>
    </row>
    <row r="17384" spans="1:3" s="7" customFormat="1" x14ac:dyDescent="0.2">
      <c r="A17384" s="6" t="str">
        <f>"AL132780.4"</f>
        <v>AL132780.4</v>
      </c>
      <c r="B17384" s="6" t="s">
        <v>1</v>
      </c>
      <c r="C17384" s="6" t="s">
        <v>1</v>
      </c>
    </row>
    <row r="17385" spans="1:3" s="7" customFormat="1" x14ac:dyDescent="0.2">
      <c r="A17385" s="6" t="str">
        <f>"AL022069.2"</f>
        <v>AL022069.2</v>
      </c>
      <c r="B17385" s="6" t="s">
        <v>1</v>
      </c>
      <c r="C17385" s="6" t="s">
        <v>1</v>
      </c>
    </row>
    <row r="17386" spans="1:3" s="7" customFormat="1" x14ac:dyDescent="0.2">
      <c r="A17386" s="6" t="str">
        <f>"AL391834.2"</f>
        <v>AL391834.2</v>
      </c>
      <c r="B17386" s="6" t="s">
        <v>1</v>
      </c>
      <c r="C17386" s="6" t="s">
        <v>1</v>
      </c>
    </row>
    <row r="17387" spans="1:3" s="7" customFormat="1" x14ac:dyDescent="0.2">
      <c r="A17387" s="6" t="str">
        <f>"CIAO3"</f>
        <v>CIAO3</v>
      </c>
      <c r="B17387" s="6" t="s">
        <v>1</v>
      </c>
      <c r="C17387" s="6" t="s">
        <v>1</v>
      </c>
    </row>
    <row r="17388" spans="1:3" s="7" customFormat="1" x14ac:dyDescent="0.2">
      <c r="A17388" s="6" t="str">
        <f>"ZRANB1"</f>
        <v>ZRANB1</v>
      </c>
      <c r="B17388" s="6" t="s">
        <v>1</v>
      </c>
      <c r="C17388" s="6" t="s">
        <v>1</v>
      </c>
    </row>
    <row r="17389" spans="1:3" s="7" customFormat="1" x14ac:dyDescent="0.2">
      <c r="A17389" s="6" t="str">
        <f>"ADCYAP1"</f>
        <v>ADCYAP1</v>
      </c>
      <c r="B17389" s="6" t="s">
        <v>1</v>
      </c>
      <c r="C17389" s="6" t="s">
        <v>1</v>
      </c>
    </row>
    <row r="17390" spans="1:3" s="7" customFormat="1" x14ac:dyDescent="0.2">
      <c r="A17390" s="6" t="str">
        <f>"SNX25"</f>
        <v>SNX25</v>
      </c>
      <c r="B17390" s="6" t="s">
        <v>1</v>
      </c>
      <c r="C17390" s="6" t="s">
        <v>1</v>
      </c>
    </row>
    <row r="17391" spans="1:3" s="7" customFormat="1" x14ac:dyDescent="0.2">
      <c r="A17391" s="6" t="str">
        <f>"AC093911.1"</f>
        <v>AC093911.1</v>
      </c>
      <c r="B17391" s="6" t="s">
        <v>1</v>
      </c>
      <c r="C17391" s="6" t="s">
        <v>1</v>
      </c>
    </row>
    <row r="17392" spans="1:3" s="7" customFormat="1" x14ac:dyDescent="0.2">
      <c r="A17392" s="6" t="str">
        <f>"CASTOR2"</f>
        <v>CASTOR2</v>
      </c>
      <c r="B17392" s="6" t="s">
        <v>1</v>
      </c>
      <c r="C17392" s="6" t="s">
        <v>1</v>
      </c>
    </row>
    <row r="17393" spans="1:3" s="7" customFormat="1" x14ac:dyDescent="0.2">
      <c r="A17393" s="6" t="str">
        <f>"CREB3"</f>
        <v>CREB3</v>
      </c>
      <c r="B17393" s="6" t="s">
        <v>1</v>
      </c>
      <c r="C17393" s="6" t="s">
        <v>1</v>
      </c>
    </row>
    <row r="17394" spans="1:3" s="7" customFormat="1" x14ac:dyDescent="0.2">
      <c r="A17394" s="6" t="str">
        <f>"AC020928.2"</f>
        <v>AC020928.2</v>
      </c>
      <c r="B17394" s="6" t="s">
        <v>1</v>
      </c>
      <c r="C17394" s="6" t="s">
        <v>1</v>
      </c>
    </row>
    <row r="17395" spans="1:3" s="7" customFormat="1" x14ac:dyDescent="0.2">
      <c r="A17395" s="6" t="str">
        <f>"AC126474.2"</f>
        <v>AC126474.2</v>
      </c>
      <c r="B17395" s="6" t="s">
        <v>1</v>
      </c>
      <c r="C17395" s="6" t="s">
        <v>1</v>
      </c>
    </row>
    <row r="17396" spans="1:3" s="7" customFormat="1" x14ac:dyDescent="0.2">
      <c r="A17396" s="6" t="str">
        <f>"AL354953.1"</f>
        <v>AL354953.1</v>
      </c>
      <c r="B17396" s="6" t="s">
        <v>1</v>
      </c>
      <c r="C17396" s="6" t="s">
        <v>1</v>
      </c>
    </row>
    <row r="17397" spans="1:3" s="7" customFormat="1" x14ac:dyDescent="0.2">
      <c r="A17397" s="6" t="str">
        <f>"ZRANB3"</f>
        <v>ZRANB3</v>
      </c>
      <c r="B17397" s="6" t="s">
        <v>1</v>
      </c>
      <c r="C17397" s="6" t="s">
        <v>1</v>
      </c>
    </row>
    <row r="17398" spans="1:3" s="7" customFormat="1" x14ac:dyDescent="0.2">
      <c r="A17398" s="6" t="str">
        <f>"BBS2"</f>
        <v>BBS2</v>
      </c>
      <c r="B17398" s="6" t="s">
        <v>1</v>
      </c>
      <c r="C17398" s="6" t="s">
        <v>1</v>
      </c>
    </row>
    <row r="17399" spans="1:3" s="7" customFormat="1" x14ac:dyDescent="0.2">
      <c r="A17399" s="6" t="str">
        <f>"AC004554.1"</f>
        <v>AC004554.1</v>
      </c>
      <c r="B17399" s="6" t="s">
        <v>1</v>
      </c>
      <c r="C17399" s="6" t="s">
        <v>1</v>
      </c>
    </row>
    <row r="17400" spans="1:3" s="7" customFormat="1" x14ac:dyDescent="0.2">
      <c r="A17400" s="6" t="str">
        <f>"CMTM3"</f>
        <v>CMTM3</v>
      </c>
      <c r="B17400" s="6" t="s">
        <v>1</v>
      </c>
      <c r="C17400" s="6" t="s">
        <v>1</v>
      </c>
    </row>
    <row r="17401" spans="1:3" s="7" customFormat="1" x14ac:dyDescent="0.2">
      <c r="A17401" s="6" t="str">
        <f>"CAPN10"</f>
        <v>CAPN10</v>
      </c>
      <c r="B17401" s="6" t="s">
        <v>1</v>
      </c>
      <c r="C17401" s="6" t="s">
        <v>1</v>
      </c>
    </row>
    <row r="17402" spans="1:3" s="7" customFormat="1" x14ac:dyDescent="0.2">
      <c r="A17402" s="6" t="str">
        <f>"CDK7"</f>
        <v>CDK7</v>
      </c>
      <c r="B17402" s="6" t="s">
        <v>1</v>
      </c>
      <c r="C17402" s="6" t="s">
        <v>1</v>
      </c>
    </row>
    <row r="17403" spans="1:3" s="7" customFormat="1" x14ac:dyDescent="0.2">
      <c r="A17403" s="6" t="str">
        <f>"C1QL3"</f>
        <v>C1QL3</v>
      </c>
      <c r="B17403" s="6" t="s">
        <v>1</v>
      </c>
      <c r="C17403" s="6" t="s">
        <v>1</v>
      </c>
    </row>
    <row r="17404" spans="1:3" s="7" customFormat="1" x14ac:dyDescent="0.2">
      <c r="A17404" s="6" t="str">
        <f>"CREB3L2"</f>
        <v>CREB3L2</v>
      </c>
      <c r="B17404" s="6" t="s">
        <v>1</v>
      </c>
      <c r="C17404" s="6" t="s">
        <v>1</v>
      </c>
    </row>
    <row r="17405" spans="1:3" s="7" customFormat="1" x14ac:dyDescent="0.2">
      <c r="A17405" s="6" t="str">
        <f>"AC106782.1"</f>
        <v>AC106782.1</v>
      </c>
      <c r="B17405" s="6" t="s">
        <v>1</v>
      </c>
      <c r="C17405" s="6" t="s">
        <v>1</v>
      </c>
    </row>
    <row r="17406" spans="1:3" s="7" customFormat="1" x14ac:dyDescent="0.2">
      <c r="A17406" s="6" t="str">
        <f>"CAMSAP2"</f>
        <v>CAMSAP2</v>
      </c>
      <c r="B17406" s="6" t="s">
        <v>1</v>
      </c>
      <c r="C17406" s="6" t="s">
        <v>1</v>
      </c>
    </row>
    <row r="17407" spans="1:3" s="7" customFormat="1" x14ac:dyDescent="0.2">
      <c r="A17407" s="6" t="str">
        <f>"TMX1"</f>
        <v>TMX1</v>
      </c>
      <c r="B17407" s="6" t="s">
        <v>1</v>
      </c>
      <c r="C17407" s="6" t="s">
        <v>1</v>
      </c>
    </row>
    <row r="17408" spans="1:3" s="7" customFormat="1" x14ac:dyDescent="0.2">
      <c r="A17408" s="6" t="str">
        <f>"ZBTB44"</f>
        <v>ZBTB44</v>
      </c>
      <c r="B17408" s="6" t="s">
        <v>1</v>
      </c>
      <c r="C17408" s="6" t="s">
        <v>1</v>
      </c>
    </row>
    <row r="17409" spans="1:3" s="7" customFormat="1" x14ac:dyDescent="0.2">
      <c r="A17409" s="6" t="str">
        <f>"BPIFA1"</f>
        <v>BPIFA1</v>
      </c>
      <c r="B17409" s="6" t="s">
        <v>1</v>
      </c>
      <c r="C17409" s="6" t="s">
        <v>1</v>
      </c>
    </row>
    <row r="17410" spans="1:3" s="7" customFormat="1" x14ac:dyDescent="0.2">
      <c r="A17410" s="6" t="str">
        <f>"ATF3"</f>
        <v>ATF3</v>
      </c>
      <c r="B17410" s="6" t="s">
        <v>1</v>
      </c>
      <c r="C17410" s="6" t="s">
        <v>1</v>
      </c>
    </row>
    <row r="17411" spans="1:3" s="7" customFormat="1" x14ac:dyDescent="0.2">
      <c r="A17411" s="6" t="str">
        <f>"AL731569.1"</f>
        <v>AL731569.1</v>
      </c>
      <c r="B17411" s="6" t="s">
        <v>1</v>
      </c>
      <c r="C17411" s="6" t="s">
        <v>1</v>
      </c>
    </row>
    <row r="17412" spans="1:3" s="7" customFormat="1" x14ac:dyDescent="0.2">
      <c r="A17412" s="6" t="str">
        <f>"CR1L"</f>
        <v>CR1L</v>
      </c>
      <c r="B17412" s="6" t="s">
        <v>1</v>
      </c>
      <c r="C17412" s="6" t="s">
        <v>1</v>
      </c>
    </row>
    <row r="17413" spans="1:3" s="7" customFormat="1" x14ac:dyDescent="0.2">
      <c r="A17413" s="6" t="str">
        <f>"BPTFP1"</f>
        <v>BPTFP1</v>
      </c>
      <c r="B17413" s="6" t="s">
        <v>1</v>
      </c>
      <c r="C17413" s="6" t="s">
        <v>1</v>
      </c>
    </row>
    <row r="17414" spans="1:3" s="7" customFormat="1" x14ac:dyDescent="0.2">
      <c r="A17414" s="6" t="str">
        <f>"ASAH2"</f>
        <v>ASAH2</v>
      </c>
      <c r="B17414" s="6" t="s">
        <v>1</v>
      </c>
      <c r="C17414" s="6" t="s">
        <v>1</v>
      </c>
    </row>
    <row r="17415" spans="1:3" s="7" customFormat="1" x14ac:dyDescent="0.2">
      <c r="A17415" s="6" t="str">
        <f>"CHMP4A"</f>
        <v>CHMP4A</v>
      </c>
      <c r="B17415" s="6" t="s">
        <v>1</v>
      </c>
      <c r="C17415" s="6" t="s">
        <v>1</v>
      </c>
    </row>
    <row r="17416" spans="1:3" s="7" customFormat="1" x14ac:dyDescent="0.2">
      <c r="A17416" s="6" t="str">
        <f>"LIF"</f>
        <v>LIF</v>
      </c>
      <c r="B17416" s="6" t="s">
        <v>1</v>
      </c>
      <c r="C17416" s="6" t="s">
        <v>1</v>
      </c>
    </row>
    <row r="17417" spans="1:3" s="7" customFormat="1" x14ac:dyDescent="0.2">
      <c r="A17417" s="6" t="str">
        <f>"AC012254.2"</f>
        <v>AC012254.2</v>
      </c>
      <c r="B17417" s="6" t="s">
        <v>1</v>
      </c>
      <c r="C17417" s="6" t="s">
        <v>1</v>
      </c>
    </row>
    <row r="17418" spans="1:3" s="7" customFormat="1" x14ac:dyDescent="0.2">
      <c r="A17418" s="6" t="str">
        <f>"BTN2A2"</f>
        <v>BTN2A2</v>
      </c>
      <c r="B17418" s="6" t="s">
        <v>1</v>
      </c>
      <c r="C17418" s="6" t="s">
        <v>1</v>
      </c>
    </row>
    <row r="17419" spans="1:3" s="7" customFormat="1" x14ac:dyDescent="0.2">
      <c r="A17419" s="6" t="str">
        <f>"TMTC4"</f>
        <v>TMTC4</v>
      </c>
      <c r="B17419" s="6" t="s">
        <v>1</v>
      </c>
      <c r="C17419" s="6" t="s">
        <v>1</v>
      </c>
    </row>
    <row r="17420" spans="1:3" s="7" customFormat="1" x14ac:dyDescent="0.2">
      <c r="A17420" s="6" t="str">
        <f>"AL121956.7"</f>
        <v>AL121956.7</v>
      </c>
      <c r="B17420" s="6" t="s">
        <v>1</v>
      </c>
      <c r="C17420" s="6" t="s">
        <v>1</v>
      </c>
    </row>
    <row r="17421" spans="1:3" s="7" customFormat="1" x14ac:dyDescent="0.2">
      <c r="A17421" s="6" t="str">
        <f>"AZIN1"</f>
        <v>AZIN1</v>
      </c>
      <c r="B17421" s="6" t="s">
        <v>1</v>
      </c>
      <c r="C17421" s="6" t="s">
        <v>1</v>
      </c>
    </row>
    <row r="17422" spans="1:3" s="7" customFormat="1" x14ac:dyDescent="0.2">
      <c r="A17422" s="6" t="str">
        <f>"AC092745.4"</f>
        <v>AC092745.4</v>
      </c>
      <c r="B17422" s="6" t="s">
        <v>1</v>
      </c>
      <c r="C17422" s="6" t="s">
        <v>1</v>
      </c>
    </row>
    <row r="17423" spans="1:3" s="7" customFormat="1" x14ac:dyDescent="0.2">
      <c r="A17423" s="6" t="str">
        <f>"MAPK13"</f>
        <v>MAPK13</v>
      </c>
      <c r="B17423" s="6" t="s">
        <v>1</v>
      </c>
      <c r="C17423" s="6" t="s">
        <v>1</v>
      </c>
    </row>
    <row r="17424" spans="1:3" s="7" customFormat="1" x14ac:dyDescent="0.2">
      <c r="A17424" s="6" t="str">
        <f>"CR381653.1"</f>
        <v>CR381653.1</v>
      </c>
      <c r="B17424" s="6" t="s">
        <v>1</v>
      </c>
      <c r="C17424" s="6" t="s">
        <v>1</v>
      </c>
    </row>
    <row r="17425" spans="1:3" s="7" customFormat="1" x14ac:dyDescent="0.2">
      <c r="A17425" s="6" t="str">
        <f>"CXorf49"</f>
        <v>CXorf49</v>
      </c>
      <c r="B17425" s="6" t="s">
        <v>1</v>
      </c>
      <c r="C17425" s="6" t="s">
        <v>1</v>
      </c>
    </row>
    <row r="17426" spans="1:3" s="7" customFormat="1" x14ac:dyDescent="0.2">
      <c r="A17426" s="6" t="str">
        <f>"C4A"</f>
        <v>C4A</v>
      </c>
      <c r="B17426" s="6" t="s">
        <v>1</v>
      </c>
      <c r="C17426" s="6" t="s">
        <v>1</v>
      </c>
    </row>
    <row r="17427" spans="1:3" s="7" customFormat="1" x14ac:dyDescent="0.2">
      <c r="A17427" s="6" t="str">
        <f>"CXXC4-AS1"</f>
        <v>CXXC4-AS1</v>
      </c>
      <c r="B17427" s="6" t="s">
        <v>1</v>
      </c>
      <c r="C17427" s="6" t="s">
        <v>1</v>
      </c>
    </row>
    <row r="17428" spans="1:3" s="7" customFormat="1" x14ac:dyDescent="0.2">
      <c r="A17428" s="6" t="str">
        <f>"AL391684.1"</f>
        <v>AL391684.1</v>
      </c>
      <c r="B17428" s="6" t="s">
        <v>1</v>
      </c>
      <c r="C17428" s="6" t="s">
        <v>1</v>
      </c>
    </row>
    <row r="17429" spans="1:3" s="7" customFormat="1" x14ac:dyDescent="0.2">
      <c r="A17429" s="6" t="str">
        <f>"CMPK2"</f>
        <v>CMPK2</v>
      </c>
      <c r="B17429" s="6" t="s">
        <v>1</v>
      </c>
      <c r="C17429" s="6" t="s">
        <v>1</v>
      </c>
    </row>
    <row r="17430" spans="1:3" s="7" customFormat="1" x14ac:dyDescent="0.2">
      <c r="A17430" s="6" t="str">
        <f>"BPHL"</f>
        <v>BPHL</v>
      </c>
      <c r="B17430" s="6" t="s">
        <v>1</v>
      </c>
      <c r="C17430" s="6" t="s">
        <v>1</v>
      </c>
    </row>
    <row r="17431" spans="1:3" s="7" customFormat="1" x14ac:dyDescent="0.2">
      <c r="A17431" s="6" t="str">
        <f>"ADCY2"</f>
        <v>ADCY2</v>
      </c>
      <c r="B17431" s="6" t="s">
        <v>1</v>
      </c>
      <c r="C17431" s="6" t="s">
        <v>1</v>
      </c>
    </row>
    <row r="17432" spans="1:3" s="7" customFormat="1" x14ac:dyDescent="0.2">
      <c r="A17432" s="6" t="str">
        <f>"CAMSAP3"</f>
        <v>CAMSAP3</v>
      </c>
      <c r="B17432" s="6" t="s">
        <v>1</v>
      </c>
      <c r="C17432" s="6" t="s">
        <v>1</v>
      </c>
    </row>
    <row r="17433" spans="1:3" s="7" customFormat="1" x14ac:dyDescent="0.2">
      <c r="A17433" s="6" t="str">
        <f>"AL391294.1"</f>
        <v>AL391294.1</v>
      </c>
      <c r="B17433" s="6" t="s">
        <v>1</v>
      </c>
      <c r="C17433" s="6" t="s">
        <v>1</v>
      </c>
    </row>
    <row r="17434" spans="1:3" s="7" customFormat="1" x14ac:dyDescent="0.2">
      <c r="A17434" s="6" t="str">
        <f>"ADGRA1"</f>
        <v>ADGRA1</v>
      </c>
      <c r="B17434" s="6" t="s">
        <v>1</v>
      </c>
      <c r="C17434" s="6" t="s">
        <v>1</v>
      </c>
    </row>
    <row r="17435" spans="1:3" s="7" customFormat="1" x14ac:dyDescent="0.2">
      <c r="A17435" s="6" t="str">
        <f>"AC009120.2"</f>
        <v>AC009120.2</v>
      </c>
      <c r="B17435" s="6" t="s">
        <v>1</v>
      </c>
      <c r="C17435" s="6" t="s">
        <v>1</v>
      </c>
    </row>
    <row r="17436" spans="1:3" s="7" customFormat="1" x14ac:dyDescent="0.2">
      <c r="A17436" s="6" t="str">
        <f>"IQCK"</f>
        <v>IQCK</v>
      </c>
      <c r="B17436" s="6" t="s">
        <v>1</v>
      </c>
      <c r="C17436" s="6" t="s">
        <v>1</v>
      </c>
    </row>
    <row r="17437" spans="1:3" s="7" customFormat="1" x14ac:dyDescent="0.2">
      <c r="A17437" s="6" t="str">
        <f>"AC079944.2"</f>
        <v>AC079944.2</v>
      </c>
      <c r="B17437" s="6" t="s">
        <v>1</v>
      </c>
      <c r="C17437" s="6" t="s">
        <v>1</v>
      </c>
    </row>
    <row r="17438" spans="1:3" s="7" customFormat="1" x14ac:dyDescent="0.2">
      <c r="A17438" s="6" t="str">
        <f>"PRKCSH"</f>
        <v>PRKCSH</v>
      </c>
      <c r="B17438" s="6" t="s">
        <v>1</v>
      </c>
      <c r="C17438" s="6" t="s">
        <v>1</v>
      </c>
    </row>
    <row r="17439" spans="1:3" s="7" customFormat="1" x14ac:dyDescent="0.2">
      <c r="A17439" s="6" t="str">
        <f>"SAMD14"</f>
        <v>SAMD14</v>
      </c>
      <c r="B17439" s="6" t="s">
        <v>1</v>
      </c>
      <c r="C17439" s="6" t="s">
        <v>1</v>
      </c>
    </row>
    <row r="17440" spans="1:3" s="7" customFormat="1" x14ac:dyDescent="0.2">
      <c r="A17440" s="6" t="str">
        <f>"AC005540.1"</f>
        <v>AC005540.1</v>
      </c>
      <c r="B17440" s="6" t="s">
        <v>1</v>
      </c>
      <c r="C17440" s="6" t="s">
        <v>1</v>
      </c>
    </row>
    <row r="17441" spans="1:3" s="7" customFormat="1" x14ac:dyDescent="0.2">
      <c r="A17441" s="6" t="str">
        <f>"AC239809.3"</f>
        <v>AC239809.3</v>
      </c>
      <c r="B17441" s="6" t="s">
        <v>1</v>
      </c>
      <c r="C17441" s="6" t="s">
        <v>1</v>
      </c>
    </row>
    <row r="17442" spans="1:3" s="7" customFormat="1" x14ac:dyDescent="0.2">
      <c r="A17442" s="6" t="str">
        <f>"PTK2"</f>
        <v>PTK2</v>
      </c>
      <c r="B17442" s="6" t="s">
        <v>1</v>
      </c>
      <c r="C17442" s="6" t="s">
        <v>1</v>
      </c>
    </row>
    <row r="17443" spans="1:3" s="7" customFormat="1" x14ac:dyDescent="0.2">
      <c r="A17443" s="6" t="str">
        <f>"CXXC4"</f>
        <v>CXXC4</v>
      </c>
      <c r="B17443" s="6" t="s">
        <v>1</v>
      </c>
      <c r="C17443" s="6" t="s">
        <v>1</v>
      </c>
    </row>
    <row r="17444" spans="1:3" s="7" customFormat="1" x14ac:dyDescent="0.2">
      <c r="A17444" s="6" t="str">
        <f>"AXIN1"</f>
        <v>AXIN1</v>
      </c>
      <c r="B17444" s="6" t="s">
        <v>1</v>
      </c>
      <c r="C17444" s="6" t="s">
        <v>1</v>
      </c>
    </row>
    <row r="17445" spans="1:3" s="7" customFormat="1" x14ac:dyDescent="0.2">
      <c r="A17445" s="6" t="str">
        <f>"AC080038.3"</f>
        <v>AC080038.3</v>
      </c>
      <c r="B17445" s="6" t="s">
        <v>1</v>
      </c>
      <c r="C17445" s="6" t="s">
        <v>1</v>
      </c>
    </row>
    <row r="17446" spans="1:3" s="7" customFormat="1" x14ac:dyDescent="0.2">
      <c r="A17446" s="6" t="str">
        <f>"AC015871.6"</f>
        <v>AC015871.6</v>
      </c>
      <c r="B17446" s="6" t="s">
        <v>1</v>
      </c>
      <c r="C17446" s="6" t="s">
        <v>1</v>
      </c>
    </row>
    <row r="17447" spans="1:3" s="7" customFormat="1" x14ac:dyDescent="0.2">
      <c r="A17447" s="6" t="str">
        <f>"AP4S1"</f>
        <v>AP4S1</v>
      </c>
      <c r="B17447" s="6" t="s">
        <v>1</v>
      </c>
      <c r="C17447" s="6" t="s">
        <v>1</v>
      </c>
    </row>
    <row r="17448" spans="1:3" s="7" customFormat="1" x14ac:dyDescent="0.2">
      <c r="A17448" s="6" t="str">
        <f>"C1orf56"</f>
        <v>C1orf56</v>
      </c>
      <c r="B17448" s="6" t="s">
        <v>1</v>
      </c>
      <c r="C17448" s="6" t="s">
        <v>1</v>
      </c>
    </row>
    <row r="17449" spans="1:3" s="7" customFormat="1" x14ac:dyDescent="0.2">
      <c r="A17449" s="6" t="str">
        <f>"AC108704.2"</f>
        <v>AC108704.2</v>
      </c>
      <c r="B17449" s="6" t="s">
        <v>1</v>
      </c>
      <c r="C17449" s="6" t="s">
        <v>1</v>
      </c>
    </row>
    <row r="17450" spans="1:3" s="7" customFormat="1" x14ac:dyDescent="0.2">
      <c r="A17450" s="6" t="str">
        <f>"CR382287.1"</f>
        <v>CR382287.1</v>
      </c>
      <c r="B17450" s="6" t="s">
        <v>1</v>
      </c>
      <c r="C17450" s="6" t="s">
        <v>1</v>
      </c>
    </row>
    <row r="17451" spans="1:3" s="7" customFormat="1" x14ac:dyDescent="0.2">
      <c r="A17451" s="6" t="str">
        <f>"AL391005.1"</f>
        <v>AL391005.1</v>
      </c>
      <c r="B17451" s="6" t="s">
        <v>1</v>
      </c>
      <c r="C17451" s="6" t="s">
        <v>1</v>
      </c>
    </row>
    <row r="17452" spans="1:3" s="7" customFormat="1" x14ac:dyDescent="0.2">
      <c r="A17452" s="6" t="str">
        <f>"AC004494.1"</f>
        <v>AC004494.1</v>
      </c>
      <c r="B17452" s="6" t="s">
        <v>1</v>
      </c>
      <c r="C17452" s="6" t="s">
        <v>1</v>
      </c>
    </row>
    <row r="17453" spans="1:3" s="7" customFormat="1" x14ac:dyDescent="0.2">
      <c r="A17453" s="6" t="str">
        <f>"PRKCQ"</f>
        <v>PRKCQ</v>
      </c>
      <c r="B17453" s="6" t="s">
        <v>1</v>
      </c>
      <c r="C17453" s="6" t="s">
        <v>1</v>
      </c>
    </row>
    <row r="17454" spans="1:3" s="7" customFormat="1" x14ac:dyDescent="0.2">
      <c r="A17454" s="6" t="str">
        <f>"CRAT37"</f>
        <v>CRAT37</v>
      </c>
      <c r="B17454" s="6" t="s">
        <v>1</v>
      </c>
      <c r="C17454" s="6" t="s">
        <v>1</v>
      </c>
    </row>
    <row r="17455" spans="1:3" s="7" customFormat="1" x14ac:dyDescent="0.2">
      <c r="A17455" s="6" t="str">
        <f>"AC048382.5"</f>
        <v>AC048382.5</v>
      </c>
      <c r="B17455" s="6" t="s">
        <v>1</v>
      </c>
      <c r="C17455" s="6" t="s">
        <v>1</v>
      </c>
    </row>
    <row r="17456" spans="1:3" s="7" customFormat="1" x14ac:dyDescent="0.2">
      <c r="A17456" s="6" t="str">
        <f>"ADGRE4P"</f>
        <v>ADGRE4P</v>
      </c>
      <c r="B17456" s="6" t="s">
        <v>1</v>
      </c>
      <c r="C17456" s="6" t="s">
        <v>1</v>
      </c>
    </row>
    <row r="17457" spans="1:3" s="7" customFormat="1" x14ac:dyDescent="0.2">
      <c r="A17457" s="6" t="str">
        <f>"AC080005.1"</f>
        <v>AC080005.1</v>
      </c>
      <c r="B17457" s="6" t="s">
        <v>1</v>
      </c>
      <c r="C17457" s="6" t="s">
        <v>1</v>
      </c>
    </row>
    <row r="17458" spans="1:3" s="7" customFormat="1" x14ac:dyDescent="0.2">
      <c r="A17458" s="6" t="str">
        <f>"AC006296.3"</f>
        <v>AC006296.3</v>
      </c>
      <c r="B17458" s="6" t="s">
        <v>1</v>
      </c>
      <c r="C17458" s="6" t="s">
        <v>1</v>
      </c>
    </row>
    <row r="17459" spans="1:3" s="7" customFormat="1" x14ac:dyDescent="0.2">
      <c r="A17459" s="6" t="str">
        <f>"ADGRB3"</f>
        <v>ADGRB3</v>
      </c>
      <c r="B17459" s="6" t="s">
        <v>1</v>
      </c>
      <c r="C17459" s="6" t="s">
        <v>1</v>
      </c>
    </row>
    <row r="17460" spans="1:3" s="7" customFormat="1" x14ac:dyDescent="0.2">
      <c r="A17460" s="6" t="str">
        <f>"AC092802.1"</f>
        <v>AC092802.1</v>
      </c>
      <c r="B17460" s="6" t="s">
        <v>1</v>
      </c>
      <c r="C17460" s="6" t="s">
        <v>1</v>
      </c>
    </row>
    <row r="17461" spans="1:3" s="7" customFormat="1" x14ac:dyDescent="0.2">
      <c r="A17461" s="6" t="str">
        <f>"AOC2"</f>
        <v>AOC2</v>
      </c>
      <c r="B17461" s="6" t="s">
        <v>1</v>
      </c>
      <c r="C17461" s="6" t="s">
        <v>1</v>
      </c>
    </row>
    <row r="17462" spans="1:3" s="7" customFormat="1" x14ac:dyDescent="0.2">
      <c r="A17462" s="6" t="str">
        <f>"TTC32"</f>
        <v>TTC32</v>
      </c>
      <c r="B17462" s="6" t="s">
        <v>1</v>
      </c>
      <c r="C17462" s="6" t="s">
        <v>1</v>
      </c>
    </row>
    <row r="17463" spans="1:3" s="7" customFormat="1" x14ac:dyDescent="0.2">
      <c r="A17463" s="6" t="str">
        <f>"AC233699.1"</f>
        <v>AC233699.1</v>
      </c>
      <c r="B17463" s="6" t="s">
        <v>1</v>
      </c>
      <c r="C17463" s="6" t="s">
        <v>1</v>
      </c>
    </row>
    <row r="17464" spans="1:3" s="7" customFormat="1" x14ac:dyDescent="0.2">
      <c r="A17464" s="6" t="str">
        <f>"RPL39L"</f>
        <v>RPL39L</v>
      </c>
      <c r="B17464" s="6" t="s">
        <v>1</v>
      </c>
      <c r="C17464" s="6" t="s">
        <v>1</v>
      </c>
    </row>
    <row r="17465" spans="1:3" s="7" customFormat="1" x14ac:dyDescent="0.2">
      <c r="A17465" s="6" t="str">
        <f>"TTC34"</f>
        <v>TTC34</v>
      </c>
      <c r="B17465" s="6" t="s">
        <v>1</v>
      </c>
      <c r="C17465" s="6" t="s">
        <v>1</v>
      </c>
    </row>
    <row r="17466" spans="1:3" s="7" customFormat="1" x14ac:dyDescent="0.2">
      <c r="A17466" s="6" t="str">
        <f>"PTGS1"</f>
        <v>PTGS1</v>
      </c>
      <c r="B17466" s="6" t="s">
        <v>1</v>
      </c>
      <c r="C17466" s="6" t="s">
        <v>1</v>
      </c>
    </row>
    <row r="17467" spans="1:3" s="7" customFormat="1" x14ac:dyDescent="0.2">
      <c r="A17467" s="6" t="str">
        <f>"CNGB3"</f>
        <v>CNGB3</v>
      </c>
      <c r="B17467" s="6" t="s">
        <v>1</v>
      </c>
      <c r="C17467" s="6" t="s">
        <v>1</v>
      </c>
    </row>
    <row r="17468" spans="1:3" s="7" customFormat="1" x14ac:dyDescent="0.2">
      <c r="A17468" s="6" t="str">
        <f>"CDKN1B"</f>
        <v>CDKN1B</v>
      </c>
      <c r="B17468" s="6" t="s">
        <v>1</v>
      </c>
      <c r="C17468" s="6" t="s">
        <v>1</v>
      </c>
    </row>
    <row r="17469" spans="1:3" s="7" customFormat="1" x14ac:dyDescent="0.2">
      <c r="A17469" s="6" t="str">
        <f>"AC012313.8"</f>
        <v>AC012313.8</v>
      </c>
      <c r="B17469" s="6" t="s">
        <v>1</v>
      </c>
      <c r="C17469" s="6" t="s">
        <v>1</v>
      </c>
    </row>
    <row r="17470" spans="1:3" s="7" customFormat="1" x14ac:dyDescent="0.2">
      <c r="A17470" s="6" t="str">
        <f>"C1orf52"</f>
        <v>C1orf52</v>
      </c>
      <c r="B17470" s="6" t="s">
        <v>1</v>
      </c>
      <c r="C17470" s="6" t="s">
        <v>1</v>
      </c>
    </row>
    <row r="17471" spans="1:3" s="7" customFormat="1" x14ac:dyDescent="0.2">
      <c r="A17471" s="6" t="str">
        <f>"STT3B"</f>
        <v>STT3B</v>
      </c>
      <c r="B17471" s="6" t="s">
        <v>1</v>
      </c>
      <c r="C17471" s="6" t="s">
        <v>1</v>
      </c>
    </row>
    <row r="17472" spans="1:3" s="7" customFormat="1" x14ac:dyDescent="0.2">
      <c r="A17472" s="6" t="str">
        <f>"CRACD"</f>
        <v>CRACD</v>
      </c>
      <c r="B17472" s="6" t="s">
        <v>1</v>
      </c>
      <c r="C17472" s="6" t="s">
        <v>1</v>
      </c>
    </row>
    <row r="17473" spans="1:3" s="7" customFormat="1" x14ac:dyDescent="0.2">
      <c r="A17473" s="6" t="str">
        <f>"LINC01230"</f>
        <v>LINC01230</v>
      </c>
      <c r="B17473" s="6" t="s">
        <v>1</v>
      </c>
      <c r="C17473" s="6" t="s">
        <v>1</v>
      </c>
    </row>
    <row r="17474" spans="1:3" s="7" customFormat="1" x14ac:dyDescent="0.2">
      <c r="A17474" s="6" t="str">
        <f>"AC126755.1"</f>
        <v>AC126755.1</v>
      </c>
      <c r="B17474" s="6" t="s">
        <v>1</v>
      </c>
      <c r="C17474" s="6" t="s">
        <v>1</v>
      </c>
    </row>
    <row r="17475" spans="1:3" s="7" customFormat="1" x14ac:dyDescent="0.2">
      <c r="A17475" s="6" t="str">
        <f>"AL162632.1"</f>
        <v>AL162632.1</v>
      </c>
      <c r="B17475" s="6" t="s">
        <v>1</v>
      </c>
      <c r="C17475" s="6" t="s">
        <v>1</v>
      </c>
    </row>
    <row r="17476" spans="1:3" s="7" customFormat="1" x14ac:dyDescent="0.2">
      <c r="A17476" s="6" t="str">
        <f>"AP5Z1"</f>
        <v>AP5Z1</v>
      </c>
      <c r="B17476" s="6" t="s">
        <v>1</v>
      </c>
      <c r="C17476" s="6" t="s">
        <v>1</v>
      </c>
    </row>
    <row r="17477" spans="1:3" s="7" customFormat="1" x14ac:dyDescent="0.2">
      <c r="A17477" s="6" t="str">
        <f>"AL162493.1"</f>
        <v>AL162493.1</v>
      </c>
      <c r="B17477" s="6" t="s">
        <v>1</v>
      </c>
      <c r="C17477" s="6" t="s">
        <v>1</v>
      </c>
    </row>
    <row r="17478" spans="1:3" s="7" customFormat="1" x14ac:dyDescent="0.2">
      <c r="A17478" s="6" t="str">
        <f>"PRKD1"</f>
        <v>PRKD1</v>
      </c>
      <c r="B17478" s="6" t="s">
        <v>1</v>
      </c>
      <c r="C17478" s="6" t="s">
        <v>1</v>
      </c>
    </row>
    <row r="17479" spans="1:3" s="7" customFormat="1" x14ac:dyDescent="0.2">
      <c r="A17479" s="6" t="str">
        <f>"CMTM7"</f>
        <v>CMTM7</v>
      </c>
      <c r="B17479" s="6" t="s">
        <v>1</v>
      </c>
      <c r="C17479" s="6" t="s">
        <v>1</v>
      </c>
    </row>
    <row r="17480" spans="1:3" s="7" customFormat="1" x14ac:dyDescent="0.2">
      <c r="A17480" s="6" t="str">
        <f>"AL132639.2"</f>
        <v>AL132639.2</v>
      </c>
      <c r="B17480" s="6" t="s">
        <v>1</v>
      </c>
      <c r="C17480" s="6" t="s">
        <v>1</v>
      </c>
    </row>
    <row r="17481" spans="1:3" s="7" customFormat="1" x14ac:dyDescent="0.2">
      <c r="A17481" s="6" t="str">
        <f>"AC108676.1"</f>
        <v>AC108676.1</v>
      </c>
      <c r="B17481" s="6" t="s">
        <v>1</v>
      </c>
      <c r="C17481" s="6" t="s">
        <v>1</v>
      </c>
    </row>
    <row r="17482" spans="1:3" s="7" customFormat="1" x14ac:dyDescent="0.2">
      <c r="A17482" s="6" t="str">
        <f>"C4BPB"</f>
        <v>C4BPB</v>
      </c>
      <c r="B17482" s="6" t="s">
        <v>1</v>
      </c>
      <c r="C17482" s="6" t="s">
        <v>1</v>
      </c>
    </row>
    <row r="17483" spans="1:3" s="7" customFormat="1" x14ac:dyDescent="0.2">
      <c r="A17483" s="6" t="str">
        <f>"AC241377.3"</f>
        <v>AC241377.3</v>
      </c>
      <c r="B17483" s="6" t="s">
        <v>1</v>
      </c>
      <c r="C17483" s="6" t="s">
        <v>1</v>
      </c>
    </row>
    <row r="17484" spans="1:3" s="7" customFormat="1" x14ac:dyDescent="0.2">
      <c r="A17484" s="6" t="str">
        <f>"ALB"</f>
        <v>ALB</v>
      </c>
      <c r="B17484" s="6" t="s">
        <v>1</v>
      </c>
      <c r="C17484" s="6" t="s">
        <v>1</v>
      </c>
    </row>
    <row r="17485" spans="1:3" s="7" customFormat="1" x14ac:dyDescent="0.2">
      <c r="A17485" s="6" t="str">
        <f>"AC046168.2"</f>
        <v>AC046168.2</v>
      </c>
      <c r="B17485" s="6" t="s">
        <v>1</v>
      </c>
      <c r="C17485" s="6" t="s">
        <v>1</v>
      </c>
    </row>
    <row r="17486" spans="1:3" s="7" customFormat="1" x14ac:dyDescent="0.2">
      <c r="A17486" s="6" t="str">
        <f>"CHMP1A"</f>
        <v>CHMP1A</v>
      </c>
      <c r="B17486" s="6" t="s">
        <v>1</v>
      </c>
      <c r="C17486" s="6" t="s">
        <v>1</v>
      </c>
    </row>
    <row r="17487" spans="1:3" s="7" customFormat="1" x14ac:dyDescent="0.2">
      <c r="A17487" s="6" t="str">
        <f>"AL121950.1"</f>
        <v>AL121950.1</v>
      </c>
      <c r="B17487" s="6" t="s">
        <v>1</v>
      </c>
      <c r="C17487" s="6" t="s">
        <v>1</v>
      </c>
    </row>
    <row r="17488" spans="1:3" s="7" customFormat="1" x14ac:dyDescent="0.2">
      <c r="A17488" s="6" t="str">
        <f>"AC020978.7"</f>
        <v>AC020978.7</v>
      </c>
      <c r="B17488" s="6" t="s">
        <v>1</v>
      </c>
      <c r="C17488" s="6" t="s">
        <v>1</v>
      </c>
    </row>
    <row r="17489" spans="1:3" s="7" customFormat="1" x14ac:dyDescent="0.2">
      <c r="A17489" s="6" t="str">
        <f>"CCL18"</f>
        <v>CCL18</v>
      </c>
      <c r="B17489" s="6" t="s">
        <v>1</v>
      </c>
      <c r="C17489" s="6" t="s">
        <v>1</v>
      </c>
    </row>
    <row r="17490" spans="1:3" s="7" customFormat="1" x14ac:dyDescent="0.2">
      <c r="A17490" s="6" t="str">
        <f>"ADGB"</f>
        <v>ADGB</v>
      </c>
      <c r="B17490" s="6" t="s">
        <v>1</v>
      </c>
      <c r="C17490" s="6" t="s">
        <v>1</v>
      </c>
    </row>
    <row r="17491" spans="1:3" s="7" customFormat="1" x14ac:dyDescent="0.2">
      <c r="A17491" s="6" t="str">
        <f>"SREK1IP1"</f>
        <v>SREK1IP1</v>
      </c>
      <c r="B17491" s="6" t="s">
        <v>1</v>
      </c>
      <c r="C17491" s="6" t="s">
        <v>1</v>
      </c>
    </row>
    <row r="17492" spans="1:3" s="7" customFormat="1" x14ac:dyDescent="0.2">
      <c r="A17492" s="6" t="str">
        <f>"PHF12"</f>
        <v>PHF12</v>
      </c>
      <c r="B17492" s="6" t="s">
        <v>1</v>
      </c>
      <c r="C17492" s="6" t="s">
        <v>1</v>
      </c>
    </row>
    <row r="17493" spans="1:3" s="7" customFormat="1" x14ac:dyDescent="0.2">
      <c r="A17493" s="6" t="str">
        <f>"TRBV7-2"</f>
        <v>TRBV7-2</v>
      </c>
      <c r="B17493" s="6" t="s">
        <v>1</v>
      </c>
      <c r="C17493" s="6" t="s">
        <v>1</v>
      </c>
    </row>
    <row r="17494" spans="1:3" s="7" customFormat="1" x14ac:dyDescent="0.2">
      <c r="A17494" s="6" t="str">
        <f>"VCAM1"</f>
        <v>VCAM1</v>
      </c>
      <c r="B17494" s="6" t="s">
        <v>1</v>
      </c>
      <c r="C17494" s="6" t="s">
        <v>1</v>
      </c>
    </row>
    <row r="17495" spans="1:3" s="7" customFormat="1" x14ac:dyDescent="0.2">
      <c r="A17495" s="6" t="str">
        <f>"CDK5R1"</f>
        <v>CDK5R1</v>
      </c>
      <c r="B17495" s="6" t="s">
        <v>1</v>
      </c>
      <c r="C17495" s="6" t="s">
        <v>1</v>
      </c>
    </row>
    <row r="17496" spans="1:3" s="7" customFormat="1" x14ac:dyDescent="0.2">
      <c r="A17496" s="6" t="str">
        <f>"BTN3A1"</f>
        <v>BTN3A1</v>
      </c>
      <c r="B17496" s="6" t="s">
        <v>1</v>
      </c>
      <c r="C17496" s="6" t="s">
        <v>1</v>
      </c>
    </row>
    <row r="17497" spans="1:3" s="7" customFormat="1" x14ac:dyDescent="0.2">
      <c r="A17497" s="6" t="str">
        <f>"ARSJ"</f>
        <v>ARSJ</v>
      </c>
      <c r="B17497" s="6" t="s">
        <v>1</v>
      </c>
      <c r="C17497" s="6" t="s">
        <v>1</v>
      </c>
    </row>
    <row r="17498" spans="1:3" s="7" customFormat="1" x14ac:dyDescent="0.2">
      <c r="A17498" s="6" t="str">
        <f>"UBTD2"</f>
        <v>UBTD2</v>
      </c>
      <c r="B17498" s="6" t="s">
        <v>1</v>
      </c>
      <c r="C17498" s="6" t="s">
        <v>1</v>
      </c>
    </row>
    <row r="17499" spans="1:3" s="7" customFormat="1" x14ac:dyDescent="0.2">
      <c r="A17499" s="6" t="str">
        <f>"AL391056.1"</f>
        <v>AL391056.1</v>
      </c>
      <c r="B17499" s="6" t="s">
        <v>1</v>
      </c>
      <c r="C17499" s="6" t="s">
        <v>1</v>
      </c>
    </row>
    <row r="17500" spans="1:3" s="7" customFormat="1" x14ac:dyDescent="0.2">
      <c r="A17500" s="6" t="str">
        <f>"PLD4"</f>
        <v>PLD4</v>
      </c>
      <c r="B17500" s="6" t="s">
        <v>1</v>
      </c>
      <c r="C17500" s="6" t="s">
        <v>1</v>
      </c>
    </row>
    <row r="17501" spans="1:3" s="7" customFormat="1" x14ac:dyDescent="0.2">
      <c r="A17501" s="6" t="str">
        <f>"AC055839.2"</f>
        <v>AC055839.2</v>
      </c>
      <c r="B17501" s="6" t="s">
        <v>1</v>
      </c>
      <c r="C17501" s="6" t="s">
        <v>1</v>
      </c>
    </row>
    <row r="17502" spans="1:3" s="7" customFormat="1" x14ac:dyDescent="0.2">
      <c r="A17502" s="6" t="str">
        <f>"AC126323.2"</f>
        <v>AC126323.2</v>
      </c>
      <c r="B17502" s="6" t="s">
        <v>1</v>
      </c>
      <c r="C17502" s="6" t="s">
        <v>1</v>
      </c>
    </row>
    <row r="17503" spans="1:3" s="7" customFormat="1" x14ac:dyDescent="0.2">
      <c r="A17503" s="6" t="str">
        <f>"AC083837.1"</f>
        <v>AC083837.1</v>
      </c>
      <c r="B17503" s="6" t="s">
        <v>1</v>
      </c>
      <c r="C17503" s="6" t="s">
        <v>1</v>
      </c>
    </row>
    <row r="17504" spans="1:3" s="7" customFormat="1" x14ac:dyDescent="0.2">
      <c r="A17504" s="6" t="str">
        <f>"CNN1"</f>
        <v>CNN1</v>
      </c>
      <c r="B17504" s="6" t="s">
        <v>1</v>
      </c>
      <c r="C17504" s="6" t="s">
        <v>1</v>
      </c>
    </row>
    <row r="17505" spans="1:3" s="7" customFormat="1" x14ac:dyDescent="0.2">
      <c r="A17505" s="6" t="str">
        <f>"CYB5R2"</f>
        <v>CYB5R2</v>
      </c>
      <c r="B17505" s="6" t="s">
        <v>1</v>
      </c>
      <c r="C17505" s="6" t="s">
        <v>1</v>
      </c>
    </row>
    <row r="17506" spans="1:3" s="7" customFormat="1" x14ac:dyDescent="0.2">
      <c r="A17506" s="6" t="str">
        <f>"TAX1BP1"</f>
        <v>TAX1BP1</v>
      </c>
      <c r="B17506" s="6" t="s">
        <v>1</v>
      </c>
      <c r="C17506" s="6" t="s">
        <v>1</v>
      </c>
    </row>
    <row r="17507" spans="1:3" s="7" customFormat="1" x14ac:dyDescent="0.2">
      <c r="A17507" s="6" t="str">
        <f>"AC226118.1"</f>
        <v>AC226118.1</v>
      </c>
      <c r="B17507" s="6" t="s">
        <v>1</v>
      </c>
      <c r="C17507" s="6" t="s">
        <v>1</v>
      </c>
    </row>
    <row r="17508" spans="1:3" s="7" customFormat="1" x14ac:dyDescent="0.2">
      <c r="A17508" s="6" t="str">
        <f>"ARSK"</f>
        <v>ARSK</v>
      </c>
      <c r="B17508" s="6" t="s">
        <v>1</v>
      </c>
      <c r="C17508" s="6" t="s">
        <v>1</v>
      </c>
    </row>
    <row r="17509" spans="1:3" s="7" customFormat="1" x14ac:dyDescent="0.2">
      <c r="A17509" s="6" t="str">
        <f>"ZBTB42"</f>
        <v>ZBTB42</v>
      </c>
      <c r="B17509" s="6" t="s">
        <v>1</v>
      </c>
      <c r="C17509" s="6" t="s">
        <v>1</v>
      </c>
    </row>
    <row r="17510" spans="1:3" s="7" customFormat="1" x14ac:dyDescent="0.2">
      <c r="A17510" s="6" t="str">
        <f>"AC126773.6"</f>
        <v>AC126773.6</v>
      </c>
      <c r="B17510" s="6" t="s">
        <v>1</v>
      </c>
      <c r="C17510" s="6" t="s">
        <v>1</v>
      </c>
    </row>
    <row r="17511" spans="1:3" s="7" customFormat="1" x14ac:dyDescent="0.2">
      <c r="A17511" s="6" t="str">
        <f>"CDKN1C"</f>
        <v>CDKN1C</v>
      </c>
      <c r="B17511" s="6" t="s">
        <v>1</v>
      </c>
      <c r="C17511" s="6" t="s">
        <v>1</v>
      </c>
    </row>
    <row r="17512" spans="1:3" s="7" customFormat="1" x14ac:dyDescent="0.2">
      <c r="A17512" s="6" t="str">
        <f>"ADGRF2"</f>
        <v>ADGRF2</v>
      </c>
      <c r="B17512" s="6" t="s">
        <v>1</v>
      </c>
      <c r="C17512" s="6" t="s">
        <v>1</v>
      </c>
    </row>
    <row r="17513" spans="1:3" s="7" customFormat="1" x14ac:dyDescent="0.2">
      <c r="A17513" s="6" t="str">
        <f>"AL122035.2"</f>
        <v>AL122035.2</v>
      </c>
      <c r="B17513" s="6" t="s">
        <v>1</v>
      </c>
      <c r="C17513" s="6" t="s">
        <v>1</v>
      </c>
    </row>
    <row r="17514" spans="1:3" s="7" customFormat="1" x14ac:dyDescent="0.2">
      <c r="A17514" s="6" t="str">
        <f>"RANBP6"</f>
        <v>RANBP6</v>
      </c>
      <c r="B17514" s="6" t="s">
        <v>1</v>
      </c>
      <c r="C17514" s="6" t="s">
        <v>1</v>
      </c>
    </row>
    <row r="17515" spans="1:3" s="7" customFormat="1" x14ac:dyDescent="0.2">
      <c r="A17515" s="6" t="str">
        <f>"AOC1"</f>
        <v>AOC1</v>
      </c>
      <c r="B17515" s="6" t="s">
        <v>1</v>
      </c>
      <c r="C17515" s="6" t="s">
        <v>1</v>
      </c>
    </row>
    <row r="17516" spans="1:3" s="7" customFormat="1" x14ac:dyDescent="0.2">
      <c r="A17516" s="6" t="str">
        <f>"CHEK2"</f>
        <v>CHEK2</v>
      </c>
      <c r="B17516" s="6" t="s">
        <v>1</v>
      </c>
      <c r="C17516" s="6" t="s">
        <v>1</v>
      </c>
    </row>
    <row r="17517" spans="1:3" s="7" customFormat="1" x14ac:dyDescent="0.2">
      <c r="A17517" s="6" t="str">
        <f>"AC044810.2"</f>
        <v>AC044810.2</v>
      </c>
      <c r="B17517" s="6" t="s">
        <v>1</v>
      </c>
      <c r="C17517" s="6" t="s">
        <v>1</v>
      </c>
    </row>
    <row r="17518" spans="1:3" s="7" customFormat="1" x14ac:dyDescent="0.2">
      <c r="A17518" s="6" t="str">
        <f>"PLEK2"</f>
        <v>PLEK2</v>
      </c>
      <c r="B17518" s="6" t="s">
        <v>1</v>
      </c>
      <c r="C17518" s="6" t="s">
        <v>1</v>
      </c>
    </row>
    <row r="17519" spans="1:3" s="7" customFormat="1" x14ac:dyDescent="0.2">
      <c r="A17519" s="6" t="str">
        <f>"APC"</f>
        <v>APC</v>
      </c>
      <c r="B17519" s="6" t="s">
        <v>1</v>
      </c>
      <c r="C17519" s="6" t="s">
        <v>1</v>
      </c>
    </row>
    <row r="17520" spans="1:3" s="7" customFormat="1" x14ac:dyDescent="0.2">
      <c r="A17520" s="6" t="str">
        <f>"ADCY10"</f>
        <v>ADCY10</v>
      </c>
      <c r="B17520" s="6" t="s">
        <v>1</v>
      </c>
      <c r="C17520" s="6" t="s">
        <v>1</v>
      </c>
    </row>
    <row r="17521" spans="1:3" s="7" customFormat="1" x14ac:dyDescent="0.2">
      <c r="A17521" s="6" t="str">
        <f>"AC106045.1"</f>
        <v>AC106045.1</v>
      </c>
      <c r="B17521" s="6" t="s">
        <v>1</v>
      </c>
      <c r="C17521" s="6" t="s">
        <v>1</v>
      </c>
    </row>
    <row r="17522" spans="1:3" s="7" customFormat="1" x14ac:dyDescent="0.2">
      <c r="A17522" s="6" t="str">
        <f>"AC009236.1"</f>
        <v>AC009236.1</v>
      </c>
      <c r="B17522" s="6" t="s">
        <v>1</v>
      </c>
      <c r="C17522" s="6" t="s">
        <v>1</v>
      </c>
    </row>
    <row r="17523" spans="1:3" s="7" customFormat="1" x14ac:dyDescent="0.2">
      <c r="A17523" s="6" t="str">
        <f>"SHPK"</f>
        <v>SHPK</v>
      </c>
      <c r="B17523" s="6" t="s">
        <v>1</v>
      </c>
      <c r="C17523" s="6" t="s">
        <v>1</v>
      </c>
    </row>
    <row r="17524" spans="1:3" s="7" customFormat="1" x14ac:dyDescent="0.2">
      <c r="A17524" s="6" t="str">
        <f>"AC009163.5"</f>
        <v>AC009163.5</v>
      </c>
      <c r="B17524" s="6" t="s">
        <v>1</v>
      </c>
      <c r="C17524" s="6" t="s">
        <v>1</v>
      </c>
    </row>
    <row r="17525" spans="1:3" s="7" customFormat="1" x14ac:dyDescent="0.2">
      <c r="A17525" s="6" t="str">
        <f>"TASOR2"</f>
        <v>TASOR2</v>
      </c>
      <c r="B17525" s="6" t="s">
        <v>1</v>
      </c>
      <c r="C17525" s="6" t="s">
        <v>1</v>
      </c>
    </row>
    <row r="17526" spans="1:3" s="7" customFormat="1" x14ac:dyDescent="0.2">
      <c r="A17526" s="6" t="str">
        <f>"AC006504.5"</f>
        <v>AC006504.5</v>
      </c>
      <c r="B17526" s="6" t="s">
        <v>1</v>
      </c>
      <c r="C17526" s="6" t="s">
        <v>1</v>
      </c>
    </row>
    <row r="17527" spans="1:3" s="7" customFormat="1" x14ac:dyDescent="0.2">
      <c r="A17527" s="6" t="str">
        <f>"ARRDC5"</f>
        <v>ARRDC5</v>
      </c>
      <c r="B17527" s="6" t="s">
        <v>1</v>
      </c>
      <c r="C17527" s="6" t="s">
        <v>1</v>
      </c>
    </row>
    <row r="17528" spans="1:3" s="7" customFormat="1" x14ac:dyDescent="0.2">
      <c r="A17528" s="6" t="str">
        <f>"AP4E1"</f>
        <v>AP4E1</v>
      </c>
      <c r="B17528" s="6" t="s">
        <v>1</v>
      </c>
      <c r="C17528" s="6" t="s">
        <v>1</v>
      </c>
    </row>
    <row r="17529" spans="1:3" s="7" customFormat="1" x14ac:dyDescent="0.2">
      <c r="A17529" s="6" t="str">
        <f>"B3GALT4"</f>
        <v>B3GALT4</v>
      </c>
      <c r="B17529" s="6" t="s">
        <v>1</v>
      </c>
      <c r="C17529" s="6" t="s">
        <v>1</v>
      </c>
    </row>
    <row r="17530" spans="1:3" s="7" customFormat="1" x14ac:dyDescent="0.2">
      <c r="A17530" s="6" t="str">
        <f>"PHF20"</f>
        <v>PHF20</v>
      </c>
      <c r="B17530" s="6" t="s">
        <v>1</v>
      </c>
      <c r="C17530" s="6" t="s">
        <v>1</v>
      </c>
    </row>
    <row r="17531" spans="1:3" s="7" customFormat="1" x14ac:dyDescent="0.2">
      <c r="A17531" s="6" t="str">
        <f>"UBXN11"</f>
        <v>UBXN11</v>
      </c>
      <c r="B17531" s="6" t="s">
        <v>1</v>
      </c>
      <c r="C17531" s="6" t="s">
        <v>1</v>
      </c>
    </row>
    <row r="17532" spans="1:3" s="7" customFormat="1" x14ac:dyDescent="0.2">
      <c r="A17532" s="6" t="str">
        <f>"ANXA2"</f>
        <v>ANXA2</v>
      </c>
      <c r="B17532" s="6" t="s">
        <v>1</v>
      </c>
      <c r="C17532" s="6" t="s">
        <v>1</v>
      </c>
    </row>
    <row r="17533" spans="1:3" s="7" customFormat="1" x14ac:dyDescent="0.2">
      <c r="A17533" s="6" t="str">
        <f>"AC079953.1"</f>
        <v>AC079953.1</v>
      </c>
      <c r="B17533" s="6" t="s">
        <v>1</v>
      </c>
      <c r="C17533" s="6" t="s">
        <v>1</v>
      </c>
    </row>
    <row r="17534" spans="1:3" s="7" customFormat="1" x14ac:dyDescent="0.2">
      <c r="A17534" s="6" t="str">
        <f>"AC009120.1"</f>
        <v>AC009120.1</v>
      </c>
      <c r="B17534" s="6" t="s">
        <v>1</v>
      </c>
      <c r="C17534" s="6" t="s">
        <v>1</v>
      </c>
    </row>
    <row r="17535" spans="1:3" s="7" customFormat="1" x14ac:dyDescent="0.2">
      <c r="A17535" s="6" t="str">
        <f>"AL162274.2"</f>
        <v>AL162274.2</v>
      </c>
      <c r="B17535" s="6" t="s">
        <v>1</v>
      </c>
      <c r="C17535" s="6" t="s">
        <v>1</v>
      </c>
    </row>
    <row r="17536" spans="1:3" s="7" customFormat="1" x14ac:dyDescent="0.2">
      <c r="A17536" s="6" t="str">
        <f>"AL022162.1"</f>
        <v>AL022162.1</v>
      </c>
      <c r="B17536" s="6" t="s">
        <v>1</v>
      </c>
      <c r="C17536" s="6" t="s">
        <v>1</v>
      </c>
    </row>
    <row r="17537" spans="1:3" s="7" customFormat="1" x14ac:dyDescent="0.2">
      <c r="A17537" s="6" t="str">
        <f>"UBR5-AS1"</f>
        <v>UBR5-AS1</v>
      </c>
      <c r="B17537" s="6" t="s">
        <v>1</v>
      </c>
      <c r="C17537" s="6" t="s">
        <v>1</v>
      </c>
    </row>
    <row r="17538" spans="1:3" s="7" customFormat="1" x14ac:dyDescent="0.2">
      <c r="A17538" s="6" t="str">
        <f>"AL391840.1"</f>
        <v>AL391840.1</v>
      </c>
      <c r="B17538" s="6" t="s">
        <v>1</v>
      </c>
      <c r="C17538" s="6" t="s">
        <v>1</v>
      </c>
    </row>
    <row r="17539" spans="1:3" s="7" customFormat="1" x14ac:dyDescent="0.2">
      <c r="A17539" s="6" t="str">
        <f>"AL731702.1"</f>
        <v>AL731702.1</v>
      </c>
      <c r="B17539" s="6" t="s">
        <v>1</v>
      </c>
      <c r="C17539" s="6" t="s">
        <v>1</v>
      </c>
    </row>
    <row r="17540" spans="1:3" s="7" customFormat="1" x14ac:dyDescent="0.2">
      <c r="A17540" s="6" t="str">
        <f>"CAND2"</f>
        <v>CAND2</v>
      </c>
      <c r="B17540" s="6" t="s">
        <v>1</v>
      </c>
      <c r="C17540" s="6" t="s">
        <v>1</v>
      </c>
    </row>
    <row r="17541" spans="1:3" s="7" customFormat="1" x14ac:dyDescent="0.2">
      <c r="A17541" s="6" t="str">
        <f>"AC105052.5"</f>
        <v>AC105052.5</v>
      </c>
      <c r="B17541" s="6" t="s">
        <v>1</v>
      </c>
      <c r="C17541" s="6" t="s">
        <v>1</v>
      </c>
    </row>
    <row r="17542" spans="1:3" s="7" customFormat="1" x14ac:dyDescent="0.2">
      <c r="A17542" s="6" t="str">
        <f>"AP3M2"</f>
        <v>AP3M2</v>
      </c>
      <c r="B17542" s="6" t="s">
        <v>1</v>
      </c>
      <c r="C17542" s="6" t="s">
        <v>1</v>
      </c>
    </row>
    <row r="17543" spans="1:3" s="7" customFormat="1" x14ac:dyDescent="0.2">
      <c r="A17543" s="6" t="str">
        <f>"AC048338.1"</f>
        <v>AC048338.1</v>
      </c>
      <c r="B17543" s="6" t="s">
        <v>1</v>
      </c>
      <c r="C17543" s="6" t="s">
        <v>1</v>
      </c>
    </row>
    <row r="17544" spans="1:3" s="7" customFormat="1" x14ac:dyDescent="0.2">
      <c r="A17544" s="6" t="str">
        <f>"AL391152.1"</f>
        <v>AL391152.1</v>
      </c>
      <c r="B17544" s="6" t="s">
        <v>1</v>
      </c>
      <c r="C17544" s="6" t="s">
        <v>1</v>
      </c>
    </row>
    <row r="17545" spans="1:3" s="7" customFormat="1" x14ac:dyDescent="0.2">
      <c r="A17545" s="6" t="str">
        <f>"CHL1-AS2"</f>
        <v>CHL1-AS2</v>
      </c>
      <c r="B17545" s="6" t="s">
        <v>1</v>
      </c>
      <c r="C17545" s="6" t="s">
        <v>1</v>
      </c>
    </row>
    <row r="17546" spans="1:3" s="7" customFormat="1" x14ac:dyDescent="0.2">
      <c r="A17546" s="6" t="str">
        <f>"AC231759.2"</f>
        <v>AC231759.2</v>
      </c>
      <c r="B17546" s="6" t="s">
        <v>1</v>
      </c>
      <c r="C17546" s="6" t="s">
        <v>1</v>
      </c>
    </row>
    <row r="17547" spans="1:3" s="7" customFormat="1" x14ac:dyDescent="0.2">
      <c r="A17547" s="6" t="str">
        <f>"AC093909.1"</f>
        <v>AC093909.1</v>
      </c>
      <c r="B17547" s="6" t="s">
        <v>1</v>
      </c>
      <c r="C17547" s="6" t="s">
        <v>1</v>
      </c>
    </row>
    <row r="17548" spans="1:3" s="7" customFormat="1" x14ac:dyDescent="0.2">
      <c r="A17548" s="6" t="str">
        <f>"TRBV29-1"</f>
        <v>TRBV29-1</v>
      </c>
      <c r="B17548" s="6" t="s">
        <v>1</v>
      </c>
      <c r="C17548" s="6" t="s">
        <v>1</v>
      </c>
    </row>
    <row r="17549" spans="1:3" s="7" customFormat="1" x14ac:dyDescent="0.2">
      <c r="A17549" s="6" t="str">
        <f>"AC006299.1"</f>
        <v>AC006299.1</v>
      </c>
      <c r="B17549" s="6" t="s">
        <v>1</v>
      </c>
      <c r="C17549" s="6" t="s">
        <v>1</v>
      </c>
    </row>
    <row r="17550" spans="1:3" s="7" customFormat="1" x14ac:dyDescent="0.2">
      <c r="A17550" s="6" t="str">
        <f>"CMTM6"</f>
        <v>CMTM6</v>
      </c>
      <c r="B17550" s="6" t="s">
        <v>1</v>
      </c>
      <c r="C17550" s="6" t="s">
        <v>1</v>
      </c>
    </row>
    <row r="17551" spans="1:3" s="7" customFormat="1" x14ac:dyDescent="0.2">
      <c r="A17551" s="6" t="str">
        <f>"AL109936.2"</f>
        <v>AL109936.2</v>
      </c>
      <c r="B17551" s="6" t="s">
        <v>1</v>
      </c>
      <c r="C17551" s="6" t="s">
        <v>1</v>
      </c>
    </row>
    <row r="17552" spans="1:3" s="7" customFormat="1" x14ac:dyDescent="0.2">
      <c r="A17552" s="6" t="str">
        <f>"CDK2"</f>
        <v>CDK2</v>
      </c>
      <c r="B17552" s="6" t="s">
        <v>1</v>
      </c>
      <c r="C17552" s="6" t="s">
        <v>1</v>
      </c>
    </row>
    <row r="17553" spans="1:3" s="7" customFormat="1" x14ac:dyDescent="0.2">
      <c r="A17553" s="6" t="str">
        <f>"TFEB"</f>
        <v>TFEB</v>
      </c>
      <c r="B17553" s="6" t="s">
        <v>1</v>
      </c>
      <c r="C17553" s="6" t="s">
        <v>1</v>
      </c>
    </row>
    <row r="17554" spans="1:3" s="7" customFormat="1" x14ac:dyDescent="0.2">
      <c r="A17554" s="6" t="str">
        <f>"AC021016.2"</f>
        <v>AC021016.2</v>
      </c>
      <c r="B17554" s="6" t="s">
        <v>1</v>
      </c>
      <c r="C17554" s="6" t="s">
        <v>1</v>
      </c>
    </row>
    <row r="17555" spans="1:3" s="7" customFormat="1" x14ac:dyDescent="0.2">
      <c r="A17555" s="6" t="str">
        <f>"CCDC87"</f>
        <v>CCDC87</v>
      </c>
      <c r="B17555" s="6" t="s">
        <v>1</v>
      </c>
      <c r="C17555" s="6" t="s">
        <v>1</v>
      </c>
    </row>
    <row r="17556" spans="1:3" s="7" customFormat="1" x14ac:dyDescent="0.2">
      <c r="A17556" s="6" t="str">
        <f>"AF131215.5"</f>
        <v>AF131215.5</v>
      </c>
      <c r="B17556" s="6" t="s">
        <v>1</v>
      </c>
      <c r="C17556" s="6" t="s">
        <v>1</v>
      </c>
    </row>
    <row r="17557" spans="1:3" s="7" customFormat="1" x14ac:dyDescent="0.2">
      <c r="A17557" s="6" t="str">
        <f>"AC080037.2"</f>
        <v>AC080037.2</v>
      </c>
      <c r="B17557" s="6" t="s">
        <v>1</v>
      </c>
      <c r="C17557" s="6" t="s">
        <v>1</v>
      </c>
    </row>
    <row r="17558" spans="1:3" s="7" customFormat="1" x14ac:dyDescent="0.2">
      <c r="A17558" s="6" t="str">
        <f>"CCKBR"</f>
        <v>CCKBR</v>
      </c>
      <c r="B17558" s="6" t="s">
        <v>1</v>
      </c>
      <c r="C17558" s="6" t="s">
        <v>1</v>
      </c>
    </row>
    <row r="17559" spans="1:3" s="7" customFormat="1" x14ac:dyDescent="0.2">
      <c r="A17559" s="6" t="str">
        <f>"SREBF2-AS1"</f>
        <v>SREBF2-AS1</v>
      </c>
      <c r="B17559" s="6" t="s">
        <v>1</v>
      </c>
      <c r="C17559" s="6" t="s">
        <v>1</v>
      </c>
    </row>
    <row r="17560" spans="1:3" s="7" customFormat="1" x14ac:dyDescent="0.2">
      <c r="A17560" s="6" t="str">
        <f>"AC055811.4"</f>
        <v>AC055811.4</v>
      </c>
      <c r="B17560" s="6" t="s">
        <v>1</v>
      </c>
      <c r="C17560" s="6" t="s">
        <v>1</v>
      </c>
    </row>
    <row r="17561" spans="1:3" s="7" customFormat="1" x14ac:dyDescent="0.2">
      <c r="A17561" s="6" t="str">
        <f>"CDKL2"</f>
        <v>CDKL2</v>
      </c>
      <c r="B17561" s="6" t="s">
        <v>1</v>
      </c>
      <c r="C17561" s="6" t="s">
        <v>1</v>
      </c>
    </row>
    <row r="17562" spans="1:3" s="7" customFormat="1" x14ac:dyDescent="0.2">
      <c r="A17562" s="6" t="str">
        <f>"BOLA1"</f>
        <v>BOLA1</v>
      </c>
      <c r="B17562" s="6" t="s">
        <v>1</v>
      </c>
      <c r="C17562" s="6" t="s">
        <v>1</v>
      </c>
    </row>
    <row r="17563" spans="1:3" s="7" customFormat="1" x14ac:dyDescent="0.2">
      <c r="A17563" s="6" t="str">
        <f>"CYB561"</f>
        <v>CYB561</v>
      </c>
      <c r="B17563" s="6" t="s">
        <v>1</v>
      </c>
      <c r="C17563" s="6" t="s">
        <v>1</v>
      </c>
    </row>
    <row r="17564" spans="1:3" s="7" customFormat="1" x14ac:dyDescent="0.2">
      <c r="A17564" s="6" t="str">
        <f>"AC080013.1"</f>
        <v>AC080013.1</v>
      </c>
      <c r="B17564" s="6" t="s">
        <v>1</v>
      </c>
      <c r="C17564" s="6" t="s">
        <v>1</v>
      </c>
    </row>
    <row r="17565" spans="1:3" s="7" customFormat="1" x14ac:dyDescent="0.2">
      <c r="A17565" s="6" t="str">
        <f>"AC009093.1"</f>
        <v>AC009093.1</v>
      </c>
      <c r="B17565" s="6" t="s">
        <v>1</v>
      </c>
      <c r="C17565" s="6" t="s">
        <v>1</v>
      </c>
    </row>
    <row r="17566" spans="1:3" s="7" customFormat="1" x14ac:dyDescent="0.2">
      <c r="A17566" s="6" t="str">
        <f>"AL391988.1"</f>
        <v>AL391988.1</v>
      </c>
      <c r="B17566" s="6" t="s">
        <v>1</v>
      </c>
      <c r="C17566" s="6" t="s">
        <v>1</v>
      </c>
    </row>
    <row r="17567" spans="1:3" s="7" customFormat="1" x14ac:dyDescent="0.2">
      <c r="A17567" s="6" t="str">
        <f>"CMYA5"</f>
        <v>CMYA5</v>
      </c>
      <c r="B17567" s="6" t="s">
        <v>1</v>
      </c>
      <c r="C17567" s="6" t="s">
        <v>1</v>
      </c>
    </row>
    <row r="17568" spans="1:3" s="7" customFormat="1" x14ac:dyDescent="0.2">
      <c r="A17568" s="6" t="str">
        <f>"C1orf229"</f>
        <v>C1orf229</v>
      </c>
      <c r="B17568" s="6" t="s">
        <v>1</v>
      </c>
      <c r="C17568" s="6" t="s">
        <v>1</v>
      </c>
    </row>
    <row r="17569" spans="1:3" s="7" customFormat="1" x14ac:dyDescent="0.2">
      <c r="A17569" s="6" t="str">
        <f>"STX10"</f>
        <v>STX10</v>
      </c>
      <c r="B17569" s="6" t="s">
        <v>1</v>
      </c>
      <c r="C17569" s="6" t="s">
        <v>1</v>
      </c>
    </row>
    <row r="17570" spans="1:3" s="7" customFormat="1" x14ac:dyDescent="0.2">
      <c r="A17570" s="6" t="str">
        <f>"LRRD1"</f>
        <v>LRRD1</v>
      </c>
      <c r="B17570" s="6" t="s">
        <v>1</v>
      </c>
      <c r="C17570" s="6" t="s">
        <v>1</v>
      </c>
    </row>
    <row r="17571" spans="1:3" s="7" customFormat="1" x14ac:dyDescent="0.2">
      <c r="A17571" s="6" t="str">
        <f>"AL021396.1"</f>
        <v>AL021396.1</v>
      </c>
      <c r="B17571" s="6" t="s">
        <v>1</v>
      </c>
      <c r="C17571" s="6" t="s">
        <v>1</v>
      </c>
    </row>
    <row r="17572" spans="1:3" s="7" customFormat="1" x14ac:dyDescent="0.2">
      <c r="A17572" s="6" t="str">
        <f>"B3GAT1"</f>
        <v>B3GAT1</v>
      </c>
      <c r="B17572" s="6" t="s">
        <v>1</v>
      </c>
      <c r="C17572" s="6" t="s">
        <v>1</v>
      </c>
    </row>
    <row r="17573" spans="1:3" s="7" customFormat="1" x14ac:dyDescent="0.2">
      <c r="A17573" s="6" t="str">
        <f>"CNEP1R1"</f>
        <v>CNEP1R1</v>
      </c>
      <c r="B17573" s="6" t="s">
        <v>1</v>
      </c>
      <c r="C17573" s="6" t="s">
        <v>1</v>
      </c>
    </row>
    <row r="17574" spans="1:3" s="7" customFormat="1" x14ac:dyDescent="0.2">
      <c r="A17574" s="6" t="str">
        <f>"TATDN1"</f>
        <v>TATDN1</v>
      </c>
      <c r="B17574" s="6" t="s">
        <v>1</v>
      </c>
      <c r="C17574" s="6" t="s">
        <v>1</v>
      </c>
    </row>
    <row r="17575" spans="1:3" s="7" customFormat="1" x14ac:dyDescent="0.2">
      <c r="A17575" s="6" t="str">
        <f>"LRRFIP1"</f>
        <v>LRRFIP1</v>
      </c>
      <c r="B17575" s="6" t="s">
        <v>1</v>
      </c>
      <c r="C17575" s="6" t="s">
        <v>1</v>
      </c>
    </row>
    <row r="17576" spans="1:3" s="7" customFormat="1" x14ac:dyDescent="0.2">
      <c r="A17576" s="6" t="str">
        <f>"AP5M1"</f>
        <v>AP5M1</v>
      </c>
      <c r="B17576" s="6" t="s">
        <v>1</v>
      </c>
      <c r="C17576" s="6" t="s">
        <v>1</v>
      </c>
    </row>
    <row r="17577" spans="1:3" s="7" customFormat="1" x14ac:dyDescent="0.2">
      <c r="A17577" s="6" t="str">
        <f>"AC007036.3"</f>
        <v>AC007036.3</v>
      </c>
      <c r="B17577" s="6" t="s">
        <v>1</v>
      </c>
      <c r="C17577" s="6" t="s">
        <v>1</v>
      </c>
    </row>
    <row r="17578" spans="1:3" s="7" customFormat="1" x14ac:dyDescent="0.2">
      <c r="A17578" s="6" t="str">
        <f>"AZGP1P1"</f>
        <v>AZGP1P1</v>
      </c>
      <c r="B17578" s="6" t="s">
        <v>1</v>
      </c>
      <c r="C17578" s="6" t="s">
        <v>1</v>
      </c>
    </row>
    <row r="17579" spans="1:3" s="7" customFormat="1" x14ac:dyDescent="0.2">
      <c r="A17579" s="6" t="str">
        <f>"AREG"</f>
        <v>AREG</v>
      </c>
      <c r="B17579" s="6" t="s">
        <v>1</v>
      </c>
      <c r="C17579" s="6" t="s">
        <v>1</v>
      </c>
    </row>
    <row r="17580" spans="1:3" s="7" customFormat="1" x14ac:dyDescent="0.2">
      <c r="A17580" s="6" t="str">
        <f>"RNF103"</f>
        <v>RNF103</v>
      </c>
      <c r="B17580" s="6" t="s">
        <v>1</v>
      </c>
      <c r="C17580" s="6" t="s">
        <v>1</v>
      </c>
    </row>
    <row r="17581" spans="1:3" s="7" customFormat="1" x14ac:dyDescent="0.2">
      <c r="A17581" s="6" t="str">
        <f>"AC004596.1"</f>
        <v>AC004596.1</v>
      </c>
      <c r="B17581" s="6" t="s">
        <v>1</v>
      </c>
      <c r="C17581" s="6" t="s">
        <v>1</v>
      </c>
    </row>
    <row r="17582" spans="1:3" s="7" customFormat="1" x14ac:dyDescent="0.2">
      <c r="A17582" s="6" t="str">
        <f>"ACAD8"</f>
        <v>ACAD8</v>
      </c>
      <c r="B17582" s="6" t="s">
        <v>1</v>
      </c>
      <c r="C17582" s="6" t="s">
        <v>1</v>
      </c>
    </row>
    <row r="17583" spans="1:3" s="7" customFormat="1" x14ac:dyDescent="0.2">
      <c r="A17583" s="6" t="str">
        <f>"ARF4"</f>
        <v>ARF4</v>
      </c>
      <c r="B17583" s="6" t="s">
        <v>1</v>
      </c>
      <c r="C17583" s="6" t="s">
        <v>1</v>
      </c>
    </row>
    <row r="17584" spans="1:3" s="7" customFormat="1" x14ac:dyDescent="0.2">
      <c r="A17584" s="6" t="str">
        <f>"PNO1"</f>
        <v>PNO1</v>
      </c>
      <c r="B17584" s="6" t="s">
        <v>1</v>
      </c>
      <c r="C17584" s="6" t="s">
        <v>1</v>
      </c>
    </row>
    <row r="17585" spans="1:3" s="7" customFormat="1" x14ac:dyDescent="0.2">
      <c r="A17585" s="6" t="str">
        <f>"CDK4"</f>
        <v>CDK4</v>
      </c>
      <c r="B17585" s="6" t="s">
        <v>1</v>
      </c>
      <c r="C17585" s="6" t="s">
        <v>1</v>
      </c>
    </row>
    <row r="17586" spans="1:3" s="7" customFormat="1" x14ac:dyDescent="0.2">
      <c r="A17586" s="6" t="str">
        <f>"CCL15"</f>
        <v>CCL15</v>
      </c>
      <c r="B17586" s="6" t="s">
        <v>1</v>
      </c>
      <c r="C17586" s="6" t="s">
        <v>1</v>
      </c>
    </row>
    <row r="17587" spans="1:3" s="7" customFormat="1" x14ac:dyDescent="0.2">
      <c r="A17587" s="6" t="str">
        <f>"AC012254.3"</f>
        <v>AC012254.3</v>
      </c>
      <c r="B17587" s="6" t="s">
        <v>1</v>
      </c>
      <c r="C17587" s="6" t="s">
        <v>1</v>
      </c>
    </row>
    <row r="17588" spans="1:3" s="7" customFormat="1" x14ac:dyDescent="0.2">
      <c r="A17588" s="6" t="str">
        <f>"AC006504.1"</f>
        <v>AC006504.1</v>
      </c>
      <c r="B17588" s="6" t="s">
        <v>1</v>
      </c>
      <c r="C17588" s="6" t="s">
        <v>1</v>
      </c>
    </row>
    <row r="17589" spans="1:3" s="7" customFormat="1" x14ac:dyDescent="0.2">
      <c r="A17589" s="6" t="str">
        <f>"B3GALNT2"</f>
        <v>B3GALNT2</v>
      </c>
      <c r="B17589" s="6" t="s">
        <v>1</v>
      </c>
      <c r="C17589" s="6" t="s">
        <v>1</v>
      </c>
    </row>
    <row r="17590" spans="1:3" s="7" customFormat="1" x14ac:dyDescent="0.2">
      <c r="A17590" s="6" t="str">
        <f>"CYCS"</f>
        <v>CYCS</v>
      </c>
      <c r="B17590" s="6" t="s">
        <v>1</v>
      </c>
      <c r="C17590" s="6" t="s">
        <v>1</v>
      </c>
    </row>
    <row r="17591" spans="1:3" s="7" customFormat="1" x14ac:dyDescent="0.2">
      <c r="A17591" s="6" t="str">
        <f>"ANXA4"</f>
        <v>ANXA4</v>
      </c>
      <c r="B17591" s="6" t="s">
        <v>1</v>
      </c>
      <c r="C17591" s="6" t="s">
        <v>1</v>
      </c>
    </row>
    <row r="17592" spans="1:3" s="7" customFormat="1" x14ac:dyDescent="0.2">
      <c r="A17592" s="6" t="str">
        <f>"AL512380.2"</f>
        <v>AL512380.2</v>
      </c>
      <c r="B17592" s="6" t="s">
        <v>1</v>
      </c>
      <c r="C17592" s="6" t="s">
        <v>1</v>
      </c>
    </row>
    <row r="17593" spans="1:3" s="7" customFormat="1" x14ac:dyDescent="0.2">
      <c r="A17593" s="6" t="str">
        <f>"B3GALT6"</f>
        <v>B3GALT6</v>
      </c>
      <c r="B17593" s="6" t="s">
        <v>1</v>
      </c>
      <c r="C17593" s="6" t="s">
        <v>1</v>
      </c>
    </row>
    <row r="17594" spans="1:3" s="7" customFormat="1" x14ac:dyDescent="0.2">
      <c r="A17594" s="6" t="str">
        <f>"CXorf56"</f>
        <v>CXorf56</v>
      </c>
      <c r="B17594" s="6" t="s">
        <v>1</v>
      </c>
      <c r="C17594" s="6" t="s">
        <v>1</v>
      </c>
    </row>
    <row r="17595" spans="1:3" s="7" customFormat="1" x14ac:dyDescent="0.2">
      <c r="A17595" s="6" t="str">
        <f>"ALAS1"</f>
        <v>ALAS1</v>
      </c>
      <c r="B17595" s="6" t="s">
        <v>1</v>
      </c>
      <c r="C17595" s="6" t="s">
        <v>1</v>
      </c>
    </row>
    <row r="17596" spans="1:3" s="7" customFormat="1" x14ac:dyDescent="0.2">
      <c r="A17596" s="6" t="str">
        <f>"ARSG"</f>
        <v>ARSG</v>
      </c>
      <c r="B17596" s="6" t="s">
        <v>1</v>
      </c>
      <c r="C17596" s="6" t="s">
        <v>1</v>
      </c>
    </row>
    <row r="17597" spans="1:3" s="7" customFormat="1" x14ac:dyDescent="0.2">
      <c r="A17597" s="6" t="str">
        <f>"AC009108.3"</f>
        <v>AC009108.3</v>
      </c>
      <c r="B17597" s="6" t="s">
        <v>1</v>
      </c>
      <c r="C17597" s="6" t="s">
        <v>1</v>
      </c>
    </row>
    <row r="17598" spans="1:3" s="7" customFormat="1" x14ac:dyDescent="0.2">
      <c r="A17598" s="6" t="str">
        <f>"CHD4"</f>
        <v>CHD4</v>
      </c>
      <c r="B17598" s="6" t="s">
        <v>1</v>
      </c>
      <c r="C17598" s="6" t="s">
        <v>1</v>
      </c>
    </row>
    <row r="17599" spans="1:3" s="7" customFormat="1" x14ac:dyDescent="0.2">
      <c r="A17599" s="6" t="str">
        <f>"AC021148.2"</f>
        <v>AC021148.2</v>
      </c>
      <c r="B17599" s="6" t="s">
        <v>1</v>
      </c>
      <c r="C17599" s="6" t="s">
        <v>1</v>
      </c>
    </row>
    <row r="17600" spans="1:3" s="7" customFormat="1" x14ac:dyDescent="0.2">
      <c r="A17600" s="6" t="str">
        <f>"C1orf198"</f>
        <v>C1orf198</v>
      </c>
      <c r="B17600" s="6" t="s">
        <v>1</v>
      </c>
      <c r="C17600" s="6" t="s">
        <v>1</v>
      </c>
    </row>
    <row r="17601" spans="1:3" s="7" customFormat="1" x14ac:dyDescent="0.2">
      <c r="A17601" s="6" t="str">
        <f>"TMTC3"</f>
        <v>TMTC3</v>
      </c>
      <c r="B17601" s="6" t="s">
        <v>1</v>
      </c>
      <c r="C17601" s="6" t="s">
        <v>1</v>
      </c>
    </row>
    <row r="17602" spans="1:3" s="7" customFormat="1" x14ac:dyDescent="0.2">
      <c r="A17602" s="6" t="str">
        <f>"AL512484.1"</f>
        <v>AL512484.1</v>
      </c>
      <c r="B17602" s="6" t="s">
        <v>1</v>
      </c>
      <c r="C17602" s="6" t="s">
        <v>1</v>
      </c>
    </row>
    <row r="17603" spans="1:3" s="7" customFormat="1" x14ac:dyDescent="0.2">
      <c r="A17603" s="6" t="str">
        <f>"ARF6"</f>
        <v>ARF6</v>
      </c>
      <c r="B17603" s="6" t="s">
        <v>1</v>
      </c>
      <c r="C17603" s="6" t="s">
        <v>1</v>
      </c>
    </row>
    <row r="17604" spans="1:3" s="7" customFormat="1" x14ac:dyDescent="0.2">
      <c r="A17604" s="6" t="str">
        <f>"AC083841.1"</f>
        <v>AC083841.1</v>
      </c>
      <c r="B17604" s="6" t="s">
        <v>1</v>
      </c>
      <c r="C17604" s="6" t="s">
        <v>1</v>
      </c>
    </row>
    <row r="17605" spans="1:3" s="7" customFormat="1" x14ac:dyDescent="0.2">
      <c r="A17605" s="6" t="str">
        <f>"AC239585.2"</f>
        <v>AC239585.2</v>
      </c>
      <c r="B17605" s="6" t="s">
        <v>1</v>
      </c>
      <c r="C17605" s="6" t="s">
        <v>1</v>
      </c>
    </row>
    <row r="17606" spans="1:3" s="7" customFormat="1" x14ac:dyDescent="0.2">
      <c r="A17606" s="6" t="str">
        <f>"CPVL"</f>
        <v>CPVL</v>
      </c>
      <c r="B17606" s="6" t="s">
        <v>1</v>
      </c>
      <c r="C17606" s="6" t="s">
        <v>1</v>
      </c>
    </row>
    <row r="17607" spans="1:3" s="7" customFormat="1" x14ac:dyDescent="0.2">
      <c r="A17607" s="6" t="str">
        <f>"CIAO2A"</f>
        <v>CIAO2A</v>
      </c>
      <c r="B17607" s="6" t="s">
        <v>1</v>
      </c>
      <c r="C17607" s="6" t="s">
        <v>1</v>
      </c>
    </row>
    <row r="17608" spans="1:3" s="7" customFormat="1" x14ac:dyDescent="0.2">
      <c r="A17608" s="6" t="str">
        <f>"EIF1B"</f>
        <v>EIF1B</v>
      </c>
      <c r="B17608" s="6" t="s">
        <v>1</v>
      </c>
      <c r="C17608" s="6" t="s">
        <v>1</v>
      </c>
    </row>
    <row r="17609" spans="1:3" s="7" customFormat="1" x14ac:dyDescent="0.2">
      <c r="A17609" s="6" t="str">
        <f>"CRCP"</f>
        <v>CRCP</v>
      </c>
      <c r="B17609" s="6" t="s">
        <v>1</v>
      </c>
      <c r="C17609" s="6" t="s">
        <v>1</v>
      </c>
    </row>
    <row r="17610" spans="1:3" s="7" customFormat="1" x14ac:dyDescent="0.2">
      <c r="A17610" s="6" t="str">
        <f>"ARSF"</f>
        <v>ARSF</v>
      </c>
      <c r="B17610" s="6" t="s">
        <v>1</v>
      </c>
      <c r="C17610" s="6" t="s">
        <v>1</v>
      </c>
    </row>
    <row r="17611" spans="1:3" s="7" customFormat="1" x14ac:dyDescent="0.2">
      <c r="A17611" s="6" t="str">
        <f>"AC126773.4"</f>
        <v>AC126773.4</v>
      </c>
      <c r="B17611" s="6" t="s">
        <v>1</v>
      </c>
      <c r="C17611" s="6" t="s">
        <v>1</v>
      </c>
    </row>
    <row r="17612" spans="1:3" s="7" customFormat="1" x14ac:dyDescent="0.2">
      <c r="A17612" s="6" t="str">
        <f>"PLEKHA8"</f>
        <v>PLEKHA8</v>
      </c>
      <c r="B17612" s="6" t="s">
        <v>1</v>
      </c>
      <c r="C17612" s="6" t="s">
        <v>1</v>
      </c>
    </row>
    <row r="17613" spans="1:3" s="7" customFormat="1" x14ac:dyDescent="0.2">
      <c r="A17613" s="6" t="str">
        <f>"ARSD"</f>
        <v>ARSD</v>
      </c>
      <c r="B17613" s="6" t="s">
        <v>1</v>
      </c>
      <c r="C17613" s="6" t="s">
        <v>1</v>
      </c>
    </row>
    <row r="17614" spans="1:3" s="7" customFormat="1" x14ac:dyDescent="0.2">
      <c r="A17614" s="6" t="str">
        <f>"RANGAP1"</f>
        <v>RANGAP1</v>
      </c>
      <c r="B17614" s="6" t="s">
        <v>1</v>
      </c>
      <c r="C17614" s="6" t="s">
        <v>1</v>
      </c>
    </row>
    <row r="17615" spans="1:3" s="7" customFormat="1" x14ac:dyDescent="0.2">
      <c r="A17615" s="6" t="str">
        <f>"AC021086.1"</f>
        <v>AC021086.1</v>
      </c>
      <c r="B17615" s="6" t="s">
        <v>1</v>
      </c>
      <c r="C17615" s="6" t="s">
        <v>1</v>
      </c>
    </row>
    <row r="17616" spans="1:3" s="7" customFormat="1" x14ac:dyDescent="0.2">
      <c r="A17616" s="6" t="str">
        <f>"STS"</f>
        <v>STS</v>
      </c>
      <c r="B17616" s="6" t="s">
        <v>1</v>
      </c>
      <c r="C17616" s="6" t="s">
        <v>1</v>
      </c>
    </row>
    <row r="17617" spans="1:3" s="7" customFormat="1" x14ac:dyDescent="0.2">
      <c r="A17617" s="6" t="str">
        <f>"RPL39P16"</f>
        <v>RPL39P16</v>
      </c>
      <c r="B17617" s="6" t="s">
        <v>1</v>
      </c>
      <c r="C17617" s="6" t="s">
        <v>1</v>
      </c>
    </row>
    <row r="17618" spans="1:3" s="7" customFormat="1" x14ac:dyDescent="0.2">
      <c r="A17618" s="6" t="str">
        <f>"CCDC85C"</f>
        <v>CCDC85C</v>
      </c>
      <c r="B17618" s="6" t="s">
        <v>1</v>
      </c>
      <c r="C17618" s="6" t="s">
        <v>1</v>
      </c>
    </row>
    <row r="17619" spans="1:3" s="7" customFormat="1" x14ac:dyDescent="0.2">
      <c r="A17619" s="6" t="str">
        <f>"AL162426.1"</f>
        <v>AL162426.1</v>
      </c>
      <c r="B17619" s="6" t="s">
        <v>1</v>
      </c>
      <c r="C17619" s="6" t="s">
        <v>1</v>
      </c>
    </row>
    <row r="17620" spans="1:3" s="7" customFormat="1" x14ac:dyDescent="0.2">
      <c r="A17620" s="6" t="str">
        <f>"CR382285.1"</f>
        <v>CR382285.1</v>
      </c>
      <c r="B17620" s="6" t="s">
        <v>1</v>
      </c>
      <c r="C17620" s="6" t="s">
        <v>1</v>
      </c>
    </row>
    <row r="17621" spans="1:3" s="7" customFormat="1" x14ac:dyDescent="0.2">
      <c r="A17621" s="6" t="str">
        <f>"TAT"</f>
        <v>TAT</v>
      </c>
      <c r="B17621" s="6" t="s">
        <v>1</v>
      </c>
      <c r="C17621" s="6" t="s">
        <v>1</v>
      </c>
    </row>
    <row r="17622" spans="1:3" s="7" customFormat="1" x14ac:dyDescent="0.2">
      <c r="A17622" s="6" t="str">
        <f>"AC087667.1"</f>
        <v>AC087667.1</v>
      </c>
      <c r="B17622" s="6" t="s">
        <v>1</v>
      </c>
      <c r="C17622" s="6" t="s">
        <v>1</v>
      </c>
    </row>
    <row r="17623" spans="1:3" s="7" customFormat="1" x14ac:dyDescent="0.2">
      <c r="A17623" s="6" t="str">
        <f>"CCDC97"</f>
        <v>CCDC97</v>
      </c>
      <c r="B17623" s="6" t="s">
        <v>1</v>
      </c>
      <c r="C17623" s="6" t="s">
        <v>1</v>
      </c>
    </row>
    <row r="17624" spans="1:3" s="7" customFormat="1" x14ac:dyDescent="0.2">
      <c r="A17624" s="6" t="str">
        <f>"AL122035.1"</f>
        <v>AL122035.1</v>
      </c>
      <c r="B17624" s="6" t="s">
        <v>1</v>
      </c>
      <c r="C17624" s="6" t="s">
        <v>1</v>
      </c>
    </row>
    <row r="17625" spans="1:3" s="7" customFormat="1" x14ac:dyDescent="0.2">
      <c r="A17625" s="6" t="str">
        <f>"AL807752.1"</f>
        <v>AL807752.1</v>
      </c>
      <c r="B17625" s="6" t="s">
        <v>1</v>
      </c>
      <c r="C17625" s="6" t="s">
        <v>1</v>
      </c>
    </row>
    <row r="17626" spans="1:3" s="7" customFormat="1" x14ac:dyDescent="0.2">
      <c r="A17626" s="6" t="str">
        <f>"CHMP1B"</f>
        <v>CHMP1B</v>
      </c>
      <c r="B17626" s="6" t="s">
        <v>1</v>
      </c>
      <c r="C17626" s="6" t="s">
        <v>1</v>
      </c>
    </row>
    <row r="17627" spans="1:3" s="7" customFormat="1" x14ac:dyDescent="0.2">
      <c r="A17627" s="6" t="str">
        <f>"AC083798.2"</f>
        <v>AC083798.2</v>
      </c>
      <c r="B17627" s="6" t="s">
        <v>1</v>
      </c>
      <c r="C17627" s="6" t="s">
        <v>1</v>
      </c>
    </row>
    <row r="17628" spans="1:3" s="7" customFormat="1" x14ac:dyDescent="0.2">
      <c r="A17628" s="6" t="str">
        <f>"WHSC1L2P"</f>
        <v>WHSC1L2P</v>
      </c>
      <c r="B17628" s="6" t="s">
        <v>1</v>
      </c>
      <c r="C17628" s="6" t="s">
        <v>1</v>
      </c>
    </row>
    <row r="17629" spans="1:3" s="7" customFormat="1" x14ac:dyDescent="0.2">
      <c r="A17629" s="6" t="str">
        <f>"AC124944.2"</f>
        <v>AC124944.2</v>
      </c>
      <c r="B17629" s="6" t="s">
        <v>1</v>
      </c>
      <c r="C17629" s="6" t="s">
        <v>1</v>
      </c>
    </row>
    <row r="17630" spans="1:3" s="7" customFormat="1" x14ac:dyDescent="0.2">
      <c r="A17630" s="6" t="str">
        <f>"RANBP9"</f>
        <v>RANBP9</v>
      </c>
      <c r="B17630" s="6" t="s">
        <v>1</v>
      </c>
      <c r="C17630" s="6" t="s">
        <v>1</v>
      </c>
    </row>
    <row r="17631" spans="1:3" s="7" customFormat="1" x14ac:dyDescent="0.2">
      <c r="A17631" s="6" t="str">
        <f>"AC239800.2"</f>
        <v>AC239800.2</v>
      </c>
      <c r="B17631" s="6" t="s">
        <v>1</v>
      </c>
      <c r="C17631" s="6" t="s">
        <v>1</v>
      </c>
    </row>
    <row r="17632" spans="1:3" s="7" customFormat="1" x14ac:dyDescent="0.2">
      <c r="A17632" s="6" t="str">
        <f>"AL122058.1"</f>
        <v>AL122058.1</v>
      </c>
      <c r="B17632" s="6" t="s">
        <v>1</v>
      </c>
      <c r="C17632" s="6" t="s">
        <v>1</v>
      </c>
    </row>
    <row r="17633" spans="1:3" s="7" customFormat="1" x14ac:dyDescent="0.2">
      <c r="A17633" s="6" t="str">
        <f>"AL953883.1"</f>
        <v>AL953883.1</v>
      </c>
      <c r="B17633" s="6" t="s">
        <v>1</v>
      </c>
      <c r="C17633" s="6" t="s">
        <v>1</v>
      </c>
    </row>
    <row r="17634" spans="1:3" s="7" customFormat="1" x14ac:dyDescent="0.2">
      <c r="A17634" s="6" t="str">
        <f>"POU3F1"</f>
        <v>POU3F1</v>
      </c>
      <c r="B17634" s="6" t="s">
        <v>1</v>
      </c>
      <c r="C17634" s="6" t="s">
        <v>1</v>
      </c>
    </row>
    <row r="17635" spans="1:3" s="7" customFormat="1" x14ac:dyDescent="0.2">
      <c r="A17635" s="6" t="str">
        <f>"UBR7"</f>
        <v>UBR7</v>
      </c>
      <c r="B17635" s="6" t="s">
        <v>1</v>
      </c>
      <c r="C17635" s="6" t="s">
        <v>1</v>
      </c>
    </row>
    <row r="17636" spans="1:3" s="7" customFormat="1" x14ac:dyDescent="0.2">
      <c r="A17636" s="6" t="str">
        <f>"TATDN2"</f>
        <v>TATDN2</v>
      </c>
      <c r="B17636" s="6" t="s">
        <v>1</v>
      </c>
      <c r="C17636" s="6" t="s">
        <v>1</v>
      </c>
    </row>
    <row r="17637" spans="1:3" s="7" customFormat="1" x14ac:dyDescent="0.2">
      <c r="A17637" s="6" t="str">
        <f>"AC009163.7"</f>
        <v>AC009163.7</v>
      </c>
      <c r="B17637" s="6" t="s">
        <v>1</v>
      </c>
      <c r="C17637" s="6" t="s">
        <v>1</v>
      </c>
    </row>
    <row r="17638" spans="1:3" s="7" customFormat="1" x14ac:dyDescent="0.2">
      <c r="A17638" s="6" t="str">
        <f>"AC133041.1"</f>
        <v>AC133041.1</v>
      </c>
      <c r="B17638" s="6" t="s">
        <v>1</v>
      </c>
      <c r="C17638" s="6" t="s">
        <v>1</v>
      </c>
    </row>
    <row r="17639" spans="1:3" s="7" customFormat="1" x14ac:dyDescent="0.2">
      <c r="A17639" s="6" t="str">
        <f>"BOP1"</f>
        <v>BOP1</v>
      </c>
      <c r="B17639" s="6" t="s">
        <v>1</v>
      </c>
      <c r="C17639" s="6" t="s">
        <v>1</v>
      </c>
    </row>
    <row r="17640" spans="1:3" s="7" customFormat="1" x14ac:dyDescent="0.2">
      <c r="A17640" s="6" t="str">
        <f>"AL162595.1"</f>
        <v>AL162595.1</v>
      </c>
      <c r="B17640" s="6" t="s">
        <v>1</v>
      </c>
      <c r="C17640" s="6" t="s">
        <v>1</v>
      </c>
    </row>
    <row r="17641" spans="1:3" s="7" customFormat="1" x14ac:dyDescent="0.2">
      <c r="A17641" s="6" t="str">
        <f>"CHIC2"</f>
        <v>CHIC2</v>
      </c>
      <c r="B17641" s="6" t="s">
        <v>1</v>
      </c>
      <c r="C17641" s="6" t="s">
        <v>1</v>
      </c>
    </row>
    <row r="17642" spans="1:3" s="7" customFormat="1" x14ac:dyDescent="0.2">
      <c r="A17642" s="6" t="str">
        <f>"AP001029.2"</f>
        <v>AP001029.2</v>
      </c>
      <c r="B17642" s="6" t="s">
        <v>1</v>
      </c>
      <c r="C17642" s="6" t="s">
        <v>1</v>
      </c>
    </row>
    <row r="17643" spans="1:3" s="7" customFormat="1" x14ac:dyDescent="0.2">
      <c r="A17643" s="6" t="str">
        <f>"BPGM"</f>
        <v>BPGM</v>
      </c>
      <c r="B17643" s="6" t="s">
        <v>1</v>
      </c>
      <c r="C17643" s="6" t="s">
        <v>1</v>
      </c>
    </row>
    <row r="17644" spans="1:3" s="7" customFormat="1" x14ac:dyDescent="0.2">
      <c r="A17644" s="6" t="str">
        <f>"TTC37"</f>
        <v>TTC37</v>
      </c>
      <c r="B17644" s="6" t="s">
        <v>1</v>
      </c>
      <c r="C17644" s="6" t="s">
        <v>1</v>
      </c>
    </row>
    <row r="17645" spans="1:3" s="7" customFormat="1" x14ac:dyDescent="0.2">
      <c r="A17645" s="6" t="str">
        <f>"AL132640.2"</f>
        <v>AL132640.2</v>
      </c>
      <c r="B17645" s="6" t="s">
        <v>1</v>
      </c>
      <c r="C17645" s="6" t="s">
        <v>1</v>
      </c>
    </row>
    <row r="17646" spans="1:3" s="7" customFormat="1" x14ac:dyDescent="0.2">
      <c r="A17646" s="6" t="str">
        <f>"CYB5RL"</f>
        <v>CYB5RL</v>
      </c>
      <c r="B17646" s="6" t="s">
        <v>1</v>
      </c>
      <c r="C17646" s="6" t="s">
        <v>1</v>
      </c>
    </row>
    <row r="17647" spans="1:3" s="7" customFormat="1" x14ac:dyDescent="0.2">
      <c r="A17647" s="6" t="str">
        <f>"AC080080.1"</f>
        <v>AC080080.1</v>
      </c>
      <c r="B17647" s="6" t="s">
        <v>1</v>
      </c>
      <c r="C17647" s="6" t="s">
        <v>1</v>
      </c>
    </row>
    <row r="17648" spans="1:3" s="7" customFormat="1" x14ac:dyDescent="0.2">
      <c r="A17648" s="6" t="str">
        <f>"AL512378.1"</f>
        <v>AL512378.1</v>
      </c>
      <c r="B17648" s="6" t="s">
        <v>1</v>
      </c>
      <c r="C17648" s="6" t="s">
        <v>1</v>
      </c>
    </row>
    <row r="17649" spans="1:3" s="7" customFormat="1" x14ac:dyDescent="0.2">
      <c r="A17649" s="6" t="str">
        <f>"AL390957.1"</f>
        <v>AL390957.1</v>
      </c>
      <c r="B17649" s="6" t="s">
        <v>1</v>
      </c>
      <c r="C17649" s="6" t="s">
        <v>1</v>
      </c>
    </row>
    <row r="17650" spans="1:3" s="7" customFormat="1" x14ac:dyDescent="0.2">
      <c r="A17650" s="6" t="str">
        <f>"AC021321.1"</f>
        <v>AC021321.1</v>
      </c>
      <c r="B17650" s="6" t="s">
        <v>1</v>
      </c>
      <c r="C17650" s="6" t="s">
        <v>1</v>
      </c>
    </row>
    <row r="17651" spans="1:3" s="7" customFormat="1" x14ac:dyDescent="0.2">
      <c r="A17651" s="6" t="str">
        <f>"B3GNT8"</f>
        <v>B3GNT8</v>
      </c>
      <c r="B17651" s="6" t="s">
        <v>1</v>
      </c>
      <c r="C17651" s="6" t="s">
        <v>1</v>
      </c>
    </row>
    <row r="17652" spans="1:3" s="7" customFormat="1" x14ac:dyDescent="0.2">
      <c r="A17652" s="6" t="str">
        <f>"ARF4-AS1"</f>
        <v>ARF4-AS1</v>
      </c>
      <c r="B17652" s="6" t="s">
        <v>1</v>
      </c>
      <c r="C17652" s="6" t="s">
        <v>1</v>
      </c>
    </row>
    <row r="17653" spans="1:3" s="7" customFormat="1" x14ac:dyDescent="0.2">
      <c r="A17653" s="6" t="str">
        <f>"SAMD12-AS1"</f>
        <v>SAMD12-AS1</v>
      </c>
      <c r="B17653" s="6" t="s">
        <v>1</v>
      </c>
      <c r="C17653" s="6" t="s">
        <v>1</v>
      </c>
    </row>
    <row r="17654" spans="1:3" s="7" customFormat="1" x14ac:dyDescent="0.2">
      <c r="A17654" s="6" t="str">
        <f>"BBS12"</f>
        <v>BBS12</v>
      </c>
      <c r="B17654" s="6" t="s">
        <v>1</v>
      </c>
      <c r="C17654" s="6" t="s">
        <v>1</v>
      </c>
    </row>
    <row r="17655" spans="1:3" s="7" customFormat="1" x14ac:dyDescent="0.2">
      <c r="A17655" s="6" t="str">
        <f>"BBS5"</f>
        <v>BBS5</v>
      </c>
      <c r="B17655" s="6" t="s">
        <v>1</v>
      </c>
      <c r="C17655" s="6" t="s">
        <v>1</v>
      </c>
    </row>
    <row r="17656" spans="1:3" s="7" customFormat="1" x14ac:dyDescent="0.2">
      <c r="A17656" s="6" t="str">
        <f>"REEP1"</f>
        <v>REEP1</v>
      </c>
      <c r="B17656" s="6" t="s">
        <v>1</v>
      </c>
      <c r="C17656" s="6" t="s">
        <v>1</v>
      </c>
    </row>
    <row r="17657" spans="1:3" s="7" customFormat="1" x14ac:dyDescent="0.2">
      <c r="A17657" s="6" t="str">
        <f>"CHFR"</f>
        <v>CHFR</v>
      </c>
      <c r="B17657" s="6" t="s">
        <v>1</v>
      </c>
      <c r="C17657" s="6" t="s">
        <v>1</v>
      </c>
    </row>
    <row r="17658" spans="1:3" s="7" customFormat="1" x14ac:dyDescent="0.2">
      <c r="A17658" s="6" t="str">
        <f>"C3orf62"</f>
        <v>C3orf62</v>
      </c>
      <c r="B17658" s="6" t="s">
        <v>1</v>
      </c>
      <c r="C17658" s="6" t="s">
        <v>1</v>
      </c>
    </row>
    <row r="17659" spans="1:3" s="7" customFormat="1" x14ac:dyDescent="0.2">
      <c r="A17659" s="6" t="str">
        <f>"TFDP1"</f>
        <v>TFDP1</v>
      </c>
      <c r="B17659" s="6" t="s">
        <v>1</v>
      </c>
      <c r="C17659" s="6" t="s">
        <v>1</v>
      </c>
    </row>
    <row r="17660" spans="1:3" s="7" customFormat="1" x14ac:dyDescent="0.2">
      <c r="A17660" s="6" t="str">
        <f>"LRRFIP1P1"</f>
        <v>LRRFIP1P1</v>
      </c>
      <c r="B17660" s="6" t="s">
        <v>1</v>
      </c>
      <c r="C17660" s="6" t="s">
        <v>1</v>
      </c>
    </row>
    <row r="17661" spans="1:3" s="7" customFormat="1" x14ac:dyDescent="0.2">
      <c r="A17661" s="6" t="str">
        <f>"AP000251.1"</f>
        <v>AP000251.1</v>
      </c>
      <c r="B17661" s="6" t="s">
        <v>1</v>
      </c>
      <c r="C17661" s="6" t="s">
        <v>1</v>
      </c>
    </row>
    <row r="17662" spans="1:3" s="7" customFormat="1" x14ac:dyDescent="0.2">
      <c r="A17662" s="6" t="str">
        <f>"AC231533.2"</f>
        <v>AC231533.2</v>
      </c>
      <c r="B17662" s="6" t="s">
        <v>1</v>
      </c>
      <c r="C17662" s="6" t="s">
        <v>1</v>
      </c>
    </row>
    <row r="17663" spans="1:3" s="7" customFormat="1" x14ac:dyDescent="0.2">
      <c r="A17663" s="6" t="str">
        <f>"ANXA7"</f>
        <v>ANXA7</v>
      </c>
      <c r="B17663" s="6" t="s">
        <v>1</v>
      </c>
      <c r="C17663" s="6" t="s">
        <v>1</v>
      </c>
    </row>
    <row r="17664" spans="1:3" s="7" customFormat="1" x14ac:dyDescent="0.2">
      <c r="A17664" s="6" t="str">
        <f>"AL121992.1"</f>
        <v>AL121992.1</v>
      </c>
      <c r="B17664" s="6" t="s">
        <v>1</v>
      </c>
      <c r="C17664" s="6" t="s">
        <v>1</v>
      </c>
    </row>
    <row r="17665" spans="1:3" s="7" customFormat="1" x14ac:dyDescent="0.2">
      <c r="A17665" s="6" t="str">
        <f>"AC004593.1"</f>
        <v>AC004593.1</v>
      </c>
      <c r="B17665" s="6" t="s">
        <v>1</v>
      </c>
      <c r="C17665" s="6" t="s">
        <v>1</v>
      </c>
    </row>
    <row r="17666" spans="1:3" s="7" customFormat="1" x14ac:dyDescent="0.2">
      <c r="A17666" s="6" t="str">
        <f>"ARF3"</f>
        <v>ARF3</v>
      </c>
      <c r="B17666" s="6" t="s">
        <v>1</v>
      </c>
      <c r="C17666" s="6" t="s">
        <v>1</v>
      </c>
    </row>
    <row r="17667" spans="1:3" s="7" customFormat="1" x14ac:dyDescent="0.2">
      <c r="A17667" s="6" t="str">
        <f>"UBXN10"</f>
        <v>UBXN10</v>
      </c>
      <c r="B17667" s="6" t="s">
        <v>1</v>
      </c>
      <c r="C17667" s="6" t="s">
        <v>1</v>
      </c>
    </row>
    <row r="17668" spans="1:3" s="7" customFormat="1" x14ac:dyDescent="0.2">
      <c r="A17668" s="6" t="str">
        <f>"ZNF582-AS1"</f>
        <v>ZNF582-AS1</v>
      </c>
      <c r="B17668" s="6" t="s">
        <v>1</v>
      </c>
      <c r="C17668" s="6" t="s">
        <v>1</v>
      </c>
    </row>
    <row r="17669" spans="1:3" s="7" customFormat="1" x14ac:dyDescent="0.2">
      <c r="A17669" s="6" t="str">
        <f>"CXCR3"</f>
        <v>CXCR3</v>
      </c>
      <c r="B17669" s="6" t="s">
        <v>1</v>
      </c>
      <c r="C17669" s="6" t="s">
        <v>1</v>
      </c>
    </row>
    <row r="17670" spans="1:3" s="7" customFormat="1" x14ac:dyDescent="0.2">
      <c r="A17670" s="6" t="str">
        <f>"SLIT2"</f>
        <v>SLIT2</v>
      </c>
      <c r="B17670" s="6" t="s">
        <v>1</v>
      </c>
      <c r="C17670" s="6" t="s">
        <v>1</v>
      </c>
    </row>
    <row r="17671" spans="1:3" s="7" customFormat="1" x14ac:dyDescent="0.2">
      <c r="A17671" s="6" t="str">
        <f>"C1orf87"</f>
        <v>C1orf87</v>
      </c>
      <c r="B17671" s="6" t="s">
        <v>1</v>
      </c>
      <c r="C17671" s="6" t="s">
        <v>1</v>
      </c>
    </row>
    <row r="17672" spans="1:3" s="7" customFormat="1" x14ac:dyDescent="0.2">
      <c r="A17672" s="6" t="str">
        <f>"AL161910.1"</f>
        <v>AL161910.1</v>
      </c>
      <c r="B17672" s="6" t="s">
        <v>1</v>
      </c>
      <c r="C17672" s="6" t="s">
        <v>1</v>
      </c>
    </row>
    <row r="17673" spans="1:3" s="7" customFormat="1" x14ac:dyDescent="0.2">
      <c r="A17673" s="6" t="str">
        <f>"AC083906.5"</f>
        <v>AC083906.5</v>
      </c>
      <c r="B17673" s="6" t="s">
        <v>1</v>
      </c>
      <c r="C17673" s="6" t="s">
        <v>1</v>
      </c>
    </row>
    <row r="17674" spans="1:3" s="7" customFormat="1" x14ac:dyDescent="0.2">
      <c r="A17674" s="6" t="str">
        <f>"ADGRA2"</f>
        <v>ADGRA2</v>
      </c>
      <c r="B17674" s="6" t="s">
        <v>1</v>
      </c>
      <c r="C17674" s="6" t="s">
        <v>1</v>
      </c>
    </row>
    <row r="17675" spans="1:3" s="7" customFormat="1" x14ac:dyDescent="0.2">
      <c r="A17675" s="6" t="str">
        <f>"CCT2"</f>
        <v>CCT2</v>
      </c>
      <c r="B17675" s="6" t="s">
        <v>1</v>
      </c>
      <c r="C17675" s="6" t="s">
        <v>1</v>
      </c>
    </row>
    <row r="17676" spans="1:3" s="7" customFormat="1" x14ac:dyDescent="0.2">
      <c r="A17676" s="6" t="str">
        <f>"AC092944.1"</f>
        <v>AC092944.1</v>
      </c>
      <c r="B17676" s="6" t="s">
        <v>1</v>
      </c>
      <c r="C17676" s="6" t="s">
        <v>1</v>
      </c>
    </row>
    <row r="17677" spans="1:3" s="7" customFormat="1" x14ac:dyDescent="0.2">
      <c r="A17677" s="6" t="str">
        <f>"AC055733.4"</f>
        <v>AC055733.4</v>
      </c>
      <c r="B17677" s="6" t="s">
        <v>1</v>
      </c>
      <c r="C17677" s="6" t="s">
        <v>1</v>
      </c>
    </row>
    <row r="17678" spans="1:3" s="7" customFormat="1" x14ac:dyDescent="0.2">
      <c r="A17678" s="6" t="str">
        <f>"AL844908.2"</f>
        <v>AL844908.2</v>
      </c>
      <c r="B17678" s="6" t="s">
        <v>1</v>
      </c>
      <c r="C17678" s="6" t="s">
        <v>1</v>
      </c>
    </row>
    <row r="17679" spans="1:3" s="7" customFormat="1" x14ac:dyDescent="0.2">
      <c r="A17679" s="6" t="str">
        <f>"AP000320.1"</f>
        <v>AP000320.1</v>
      </c>
      <c r="B17679" s="6" t="s">
        <v>1</v>
      </c>
      <c r="C17679" s="6" t="s">
        <v>1</v>
      </c>
    </row>
    <row r="17680" spans="1:3" s="7" customFormat="1" x14ac:dyDescent="0.2">
      <c r="A17680" s="6" t="str">
        <f>"AC093155.3"</f>
        <v>AC093155.3</v>
      </c>
      <c r="B17680" s="6" t="s">
        <v>1</v>
      </c>
      <c r="C17680" s="6" t="s">
        <v>1</v>
      </c>
    </row>
    <row r="17681" spans="1:3" s="7" customFormat="1" x14ac:dyDescent="0.2">
      <c r="A17681" s="6" t="str">
        <f>"APH1B"</f>
        <v>APH1B</v>
      </c>
      <c r="B17681" s="6" t="s">
        <v>1</v>
      </c>
      <c r="C17681" s="6" t="s">
        <v>1</v>
      </c>
    </row>
    <row r="17682" spans="1:3" s="7" customFormat="1" x14ac:dyDescent="0.2">
      <c r="A17682" s="6" t="str">
        <f>"APBA1"</f>
        <v>APBA1</v>
      </c>
      <c r="B17682" s="6" t="s">
        <v>1</v>
      </c>
      <c r="C17682" s="6" t="s">
        <v>1</v>
      </c>
    </row>
    <row r="17683" spans="1:3" s="7" customFormat="1" x14ac:dyDescent="0.2">
      <c r="A17683" s="6" t="str">
        <f>"CAPN2"</f>
        <v>CAPN2</v>
      </c>
      <c r="B17683" s="6" t="s">
        <v>1</v>
      </c>
      <c r="C17683" s="6" t="s">
        <v>1</v>
      </c>
    </row>
    <row r="17684" spans="1:3" s="7" customFormat="1" x14ac:dyDescent="0.2">
      <c r="A17684" s="6" t="str">
        <f>"AC232271.3"</f>
        <v>AC232271.3</v>
      </c>
      <c r="B17684" s="6" t="s">
        <v>1</v>
      </c>
      <c r="C17684" s="6" t="s">
        <v>1</v>
      </c>
    </row>
    <row r="17685" spans="1:3" s="7" customFormat="1" x14ac:dyDescent="0.2">
      <c r="A17685" s="6" t="str">
        <f>"AC053527.2"</f>
        <v>AC053527.2</v>
      </c>
      <c r="B17685" s="6" t="s">
        <v>1</v>
      </c>
      <c r="C17685" s="6" t="s">
        <v>1</v>
      </c>
    </row>
    <row r="17686" spans="1:3" s="7" customFormat="1" x14ac:dyDescent="0.2">
      <c r="A17686" s="6" t="str">
        <f>"AC126474.1"</f>
        <v>AC126474.1</v>
      </c>
      <c r="B17686" s="6" t="s">
        <v>1</v>
      </c>
      <c r="C17686" s="6" t="s">
        <v>1</v>
      </c>
    </row>
    <row r="17687" spans="1:3" s="7" customFormat="1" x14ac:dyDescent="0.2">
      <c r="A17687" s="6" t="str">
        <f>"BTN2A1"</f>
        <v>BTN2A1</v>
      </c>
      <c r="B17687" s="6" t="s">
        <v>1</v>
      </c>
      <c r="C17687" s="6" t="s">
        <v>1</v>
      </c>
    </row>
    <row r="17688" spans="1:3" s="7" customFormat="1" x14ac:dyDescent="0.2">
      <c r="A17688" s="6" t="str">
        <f>"TMEM167A"</f>
        <v>TMEM167A</v>
      </c>
      <c r="B17688" s="6" t="s">
        <v>1</v>
      </c>
      <c r="C17688" s="6" t="s">
        <v>1</v>
      </c>
    </row>
    <row r="17689" spans="1:3" s="7" customFormat="1" x14ac:dyDescent="0.2">
      <c r="A17689" s="6" t="str">
        <f>"PTGFRN"</f>
        <v>PTGFRN</v>
      </c>
      <c r="B17689" s="6" t="s">
        <v>1</v>
      </c>
      <c r="C17689" s="6" t="s">
        <v>1</v>
      </c>
    </row>
    <row r="17690" spans="1:3" s="7" customFormat="1" x14ac:dyDescent="0.2">
      <c r="A17690" s="6" t="str">
        <f>"AL022316.1"</f>
        <v>AL022316.1</v>
      </c>
      <c r="B17690" s="6" t="s">
        <v>1</v>
      </c>
      <c r="C17690" s="6" t="s">
        <v>1</v>
      </c>
    </row>
    <row r="17691" spans="1:3" s="7" customFormat="1" x14ac:dyDescent="0.2">
      <c r="A17691" s="6" t="str">
        <f>"LINC02306"</f>
        <v>LINC02306</v>
      </c>
      <c r="B17691" s="6" t="s">
        <v>1</v>
      </c>
      <c r="C17691" s="6" t="s">
        <v>1</v>
      </c>
    </row>
    <row r="17692" spans="1:3" s="7" customFormat="1" x14ac:dyDescent="0.2">
      <c r="A17692" s="6" t="str">
        <f>"AL121985.1"</f>
        <v>AL121985.1</v>
      </c>
      <c r="B17692" s="6" t="s">
        <v>1</v>
      </c>
      <c r="C17692" s="6" t="s">
        <v>1</v>
      </c>
    </row>
    <row r="17693" spans="1:3" s="7" customFormat="1" x14ac:dyDescent="0.2">
      <c r="A17693" s="6" t="str">
        <f>"CDKAL1"</f>
        <v>CDKAL1</v>
      </c>
      <c r="B17693" s="6" t="s">
        <v>1</v>
      </c>
      <c r="C17693" s="6" t="s">
        <v>1</v>
      </c>
    </row>
    <row r="17694" spans="1:3" s="7" customFormat="1" x14ac:dyDescent="0.2">
      <c r="A17694" s="6" t="str">
        <f>"CATIP"</f>
        <v>CATIP</v>
      </c>
      <c r="B17694" s="6" t="s">
        <v>1</v>
      </c>
      <c r="C17694" s="6" t="s">
        <v>1</v>
      </c>
    </row>
    <row r="17695" spans="1:3" s="7" customFormat="1" x14ac:dyDescent="0.2">
      <c r="A17695" s="6" t="str">
        <f>"PTGIS"</f>
        <v>PTGIS</v>
      </c>
      <c r="B17695" s="6" t="s">
        <v>1</v>
      </c>
      <c r="C17695" s="6" t="s">
        <v>1</v>
      </c>
    </row>
    <row r="17696" spans="1:3" s="7" customFormat="1" x14ac:dyDescent="0.2">
      <c r="A17696" s="6" t="str">
        <f>"AC023509.2"</f>
        <v>AC023509.2</v>
      </c>
      <c r="B17696" s="6" t="s">
        <v>1</v>
      </c>
      <c r="C17696" s="6" t="s">
        <v>1</v>
      </c>
    </row>
    <row r="17697" spans="1:3" s="7" customFormat="1" x14ac:dyDescent="0.2">
      <c r="A17697" s="6" t="str">
        <f>"AC092903.1"</f>
        <v>AC092903.1</v>
      </c>
      <c r="B17697" s="6" t="s">
        <v>1</v>
      </c>
      <c r="C17697" s="6" t="s">
        <v>1</v>
      </c>
    </row>
    <row r="17698" spans="1:3" s="7" customFormat="1" x14ac:dyDescent="0.2">
      <c r="A17698" s="6" t="str">
        <f>"AC006994.1"</f>
        <v>AC006994.1</v>
      </c>
      <c r="B17698" s="6" t="s">
        <v>1</v>
      </c>
      <c r="C17698" s="6" t="s">
        <v>1</v>
      </c>
    </row>
    <row r="17699" spans="1:3" s="7" customFormat="1" x14ac:dyDescent="0.2">
      <c r="A17699" s="6" t="str">
        <f>"AP000223.1"</f>
        <v>AP000223.1</v>
      </c>
      <c r="B17699" s="6" t="s">
        <v>1</v>
      </c>
      <c r="C17699" s="6" t="s">
        <v>1</v>
      </c>
    </row>
    <row r="17700" spans="1:3" s="7" customFormat="1" x14ac:dyDescent="0.2">
      <c r="A17700" s="6" t="str">
        <f>"AC009237.15"</f>
        <v>AC009237.15</v>
      </c>
      <c r="B17700" s="6" t="s">
        <v>1</v>
      </c>
      <c r="C17700" s="6" t="s">
        <v>1</v>
      </c>
    </row>
    <row r="17701" spans="1:3" s="7" customFormat="1" x14ac:dyDescent="0.2">
      <c r="A17701" s="6" t="str">
        <f>"ADCY9"</f>
        <v>ADCY9</v>
      </c>
      <c r="B17701" s="6" t="s">
        <v>1</v>
      </c>
      <c r="C17701" s="6" t="s">
        <v>1</v>
      </c>
    </row>
    <row r="17702" spans="1:3" s="7" customFormat="1" x14ac:dyDescent="0.2">
      <c r="A17702" s="6" t="str">
        <f>"BPIFB1"</f>
        <v>BPIFB1</v>
      </c>
      <c r="B17702" s="6" t="s">
        <v>1</v>
      </c>
      <c r="C17702" s="6" t="s">
        <v>1</v>
      </c>
    </row>
    <row r="17703" spans="1:3" s="7" customFormat="1" x14ac:dyDescent="0.2">
      <c r="A17703" s="6" t="str">
        <f>"AC009163.3"</f>
        <v>AC009163.3</v>
      </c>
      <c r="B17703" s="6" t="s">
        <v>1</v>
      </c>
      <c r="C17703" s="6" t="s">
        <v>1</v>
      </c>
    </row>
    <row r="17704" spans="1:3" s="7" customFormat="1" x14ac:dyDescent="0.2">
      <c r="A17704" s="6" t="str">
        <f>"AC058822.1"</f>
        <v>AC058822.1</v>
      </c>
      <c r="B17704" s="6" t="s">
        <v>1</v>
      </c>
      <c r="C17704" s="6" t="s">
        <v>1</v>
      </c>
    </row>
    <row r="17705" spans="1:3" s="7" customFormat="1" x14ac:dyDescent="0.2">
      <c r="A17705" s="6" t="str">
        <f>"STUM"</f>
        <v>STUM</v>
      </c>
      <c r="B17705" s="6" t="s">
        <v>1</v>
      </c>
      <c r="C17705" s="6" t="s">
        <v>1</v>
      </c>
    </row>
    <row r="17706" spans="1:3" s="7" customFormat="1" x14ac:dyDescent="0.2">
      <c r="A17706" s="6" t="str">
        <f>"AC105180.2"</f>
        <v>AC105180.2</v>
      </c>
      <c r="B17706" s="6" t="s">
        <v>1</v>
      </c>
      <c r="C17706" s="6" t="s">
        <v>1</v>
      </c>
    </row>
    <row r="17707" spans="1:3" s="7" customFormat="1" x14ac:dyDescent="0.2">
      <c r="A17707" s="6" t="str">
        <f>"AC006480.2"</f>
        <v>AC006480.2</v>
      </c>
      <c r="B17707" s="6" t="s">
        <v>1</v>
      </c>
      <c r="C17707" s="6" t="s">
        <v>1</v>
      </c>
    </row>
    <row r="17708" spans="1:3" s="7" customFormat="1" x14ac:dyDescent="0.2">
      <c r="A17708" s="6" t="str">
        <f>"TASOR"</f>
        <v>TASOR</v>
      </c>
      <c r="B17708" s="6" t="s">
        <v>1</v>
      </c>
      <c r="C17708" s="6" t="s">
        <v>1</v>
      </c>
    </row>
    <row r="17709" spans="1:3" s="7" customFormat="1" x14ac:dyDescent="0.2">
      <c r="A17709" s="6" t="str">
        <f>"AC126763.1"</f>
        <v>AC126763.1</v>
      </c>
      <c r="B17709" s="6" t="s">
        <v>1</v>
      </c>
      <c r="C17709" s="6" t="s">
        <v>1</v>
      </c>
    </row>
    <row r="17710" spans="1:3" s="7" customFormat="1" x14ac:dyDescent="0.2">
      <c r="A17710" s="6" t="str">
        <f>"SAMD15"</f>
        <v>SAMD15</v>
      </c>
      <c r="B17710" s="6" t="s">
        <v>1</v>
      </c>
      <c r="C17710" s="6" t="s">
        <v>1</v>
      </c>
    </row>
    <row r="17711" spans="1:3" s="7" customFormat="1" x14ac:dyDescent="0.2">
      <c r="A17711" s="6" t="str">
        <f>"CRABP1"</f>
        <v>CRABP1</v>
      </c>
      <c r="B17711" s="6" t="s">
        <v>1</v>
      </c>
      <c r="C17711" s="6" t="s">
        <v>1</v>
      </c>
    </row>
    <row r="17712" spans="1:3" s="7" customFormat="1" x14ac:dyDescent="0.2">
      <c r="A17712" s="6" t="str">
        <f>"PTGR1"</f>
        <v>PTGR1</v>
      </c>
      <c r="B17712" s="6" t="s">
        <v>1</v>
      </c>
      <c r="C17712" s="6" t="s">
        <v>1</v>
      </c>
    </row>
    <row r="17713" spans="1:3" s="7" customFormat="1" x14ac:dyDescent="0.2">
      <c r="A17713" s="6" t="str">
        <f>"BBS1"</f>
        <v>BBS1</v>
      </c>
      <c r="B17713" s="6" t="s">
        <v>1</v>
      </c>
      <c r="C17713" s="6" t="s">
        <v>1</v>
      </c>
    </row>
    <row r="17714" spans="1:3" s="7" customFormat="1" x14ac:dyDescent="0.2">
      <c r="A17714" s="6" t="str">
        <f>"ADD3-AS1"</f>
        <v>ADD3-AS1</v>
      </c>
      <c r="B17714" s="6" t="s">
        <v>1</v>
      </c>
      <c r="C17714" s="6" t="s">
        <v>1</v>
      </c>
    </row>
    <row r="17715" spans="1:3" s="7" customFormat="1" x14ac:dyDescent="0.2">
      <c r="A17715" s="6" t="str">
        <f>"ZRSR2"</f>
        <v>ZRSR2</v>
      </c>
      <c r="B17715" s="6" t="s">
        <v>1</v>
      </c>
      <c r="C17715" s="6" t="s">
        <v>1</v>
      </c>
    </row>
    <row r="17716" spans="1:3" s="7" customFormat="1" x14ac:dyDescent="0.2">
      <c r="A17716" s="6" t="str">
        <f>"RNASEL"</f>
        <v>RNASEL</v>
      </c>
      <c r="B17716" s="6" t="s">
        <v>1</v>
      </c>
      <c r="C17716" s="6" t="s">
        <v>1</v>
      </c>
    </row>
    <row r="17717" spans="1:3" s="7" customFormat="1" x14ac:dyDescent="0.2">
      <c r="A17717" s="6" t="str">
        <f>"AC012409.1"</f>
        <v>AC012409.1</v>
      </c>
      <c r="B17717" s="6" t="s">
        <v>1</v>
      </c>
      <c r="C17717" s="6" t="s">
        <v>1</v>
      </c>
    </row>
    <row r="17718" spans="1:3" s="7" customFormat="1" x14ac:dyDescent="0.2">
      <c r="A17718" s="6" t="str">
        <f>"RNF103-CHMP3"</f>
        <v>RNF103-CHMP3</v>
      </c>
      <c r="B17718" s="6" t="s">
        <v>1</v>
      </c>
      <c r="C17718" s="6" t="s">
        <v>1</v>
      </c>
    </row>
    <row r="17719" spans="1:3" s="7" customFormat="1" x14ac:dyDescent="0.2">
      <c r="A17719" s="6" t="str">
        <f>"AC125611.4"</f>
        <v>AC125611.4</v>
      </c>
      <c r="B17719" s="6" t="s">
        <v>1</v>
      </c>
      <c r="C17719" s="6" t="s">
        <v>1</v>
      </c>
    </row>
    <row r="17720" spans="1:3" s="7" customFormat="1" x14ac:dyDescent="0.2">
      <c r="A17720" s="6" t="str">
        <f>"AC004130.2"</f>
        <v>AC004130.2</v>
      </c>
      <c r="B17720" s="6" t="s">
        <v>1</v>
      </c>
      <c r="C17720" s="6" t="s">
        <v>1</v>
      </c>
    </row>
    <row r="17721" spans="1:3" s="7" customFormat="1" x14ac:dyDescent="0.2">
      <c r="A17721" s="6" t="str">
        <f>"C4BPA"</f>
        <v>C4BPA</v>
      </c>
      <c r="B17721" s="6" t="s">
        <v>1</v>
      </c>
      <c r="C17721" s="6" t="s">
        <v>1</v>
      </c>
    </row>
    <row r="17722" spans="1:3" s="7" customFormat="1" x14ac:dyDescent="0.2">
      <c r="A17722" s="6" t="str">
        <f>"TRAV4"</f>
        <v>TRAV4</v>
      </c>
      <c r="B17722" s="6" t="s">
        <v>1</v>
      </c>
      <c r="C17722" s="6" t="s">
        <v>1</v>
      </c>
    </row>
    <row r="17723" spans="1:3" s="7" customFormat="1" x14ac:dyDescent="0.2">
      <c r="A17723" s="6" t="str">
        <f>"AL022238.3"</f>
        <v>AL022238.3</v>
      </c>
      <c r="B17723" s="6" t="s">
        <v>1</v>
      </c>
      <c r="C17723" s="6" t="s">
        <v>1</v>
      </c>
    </row>
    <row r="17724" spans="1:3" s="7" customFormat="1" x14ac:dyDescent="0.2">
      <c r="A17724" s="6" t="str">
        <f>"TMTC2"</f>
        <v>TMTC2</v>
      </c>
      <c r="B17724" s="6" t="s">
        <v>1</v>
      </c>
      <c r="C17724" s="6" t="s">
        <v>1</v>
      </c>
    </row>
    <row r="17725" spans="1:3" s="7" customFormat="1" x14ac:dyDescent="0.2">
      <c r="A17725" s="6" t="str">
        <f>"CAND1"</f>
        <v>CAND1</v>
      </c>
      <c r="B17725" s="6" t="s">
        <v>1</v>
      </c>
      <c r="C17725" s="6" t="s">
        <v>1</v>
      </c>
    </row>
    <row r="17726" spans="1:3" s="7" customFormat="1" x14ac:dyDescent="0.2">
      <c r="A17726" s="6" t="str">
        <f>"AL162456.1"</f>
        <v>AL162456.1</v>
      </c>
      <c r="B17726" s="6" t="s">
        <v>1</v>
      </c>
      <c r="C17726" s="6" t="s">
        <v>1</v>
      </c>
    </row>
    <row r="17727" spans="1:3" s="7" customFormat="1" x14ac:dyDescent="0.2">
      <c r="A17727" s="6" t="str">
        <f>"AC126544.2"</f>
        <v>AC126544.2</v>
      </c>
      <c r="B17727" s="6" t="s">
        <v>1</v>
      </c>
      <c r="C17727" s="6" t="s">
        <v>1</v>
      </c>
    </row>
    <row r="17728" spans="1:3" s="7" customFormat="1" x14ac:dyDescent="0.2">
      <c r="A17728" s="6" t="str">
        <f>"AC125611.3"</f>
        <v>AC125611.3</v>
      </c>
      <c r="B17728" s="6" t="s">
        <v>1</v>
      </c>
      <c r="C17728" s="6" t="s">
        <v>1</v>
      </c>
    </row>
    <row r="17729" spans="1:3" s="7" customFormat="1" x14ac:dyDescent="0.2">
      <c r="A17729" s="6" t="str">
        <f>"WIF1"</f>
        <v>WIF1</v>
      </c>
      <c r="B17729" s="6" t="s">
        <v>1</v>
      </c>
      <c r="C17729" s="6" t="s">
        <v>1</v>
      </c>
    </row>
    <row r="17730" spans="1:3" s="7" customFormat="1" x14ac:dyDescent="0.2">
      <c r="A17730" s="6" t="str">
        <f>"AC105052.3"</f>
        <v>AC105052.3</v>
      </c>
      <c r="B17730" s="6" t="s">
        <v>1</v>
      </c>
      <c r="C17730" s="6" t="s">
        <v>1</v>
      </c>
    </row>
    <row r="17731" spans="1:3" s="7" customFormat="1" x14ac:dyDescent="0.2">
      <c r="A17731" s="6" t="str">
        <f>"CCHCR1"</f>
        <v>CCHCR1</v>
      </c>
      <c r="B17731" s="6" t="s">
        <v>1</v>
      </c>
      <c r="C17731" s="6" t="s">
        <v>1</v>
      </c>
    </row>
    <row r="17732" spans="1:3" s="7" customFormat="1" x14ac:dyDescent="0.2">
      <c r="A17732" s="6" t="str">
        <f>"AF127936.1"</f>
        <v>AF127936.1</v>
      </c>
      <c r="B17732" s="6" t="s">
        <v>1</v>
      </c>
      <c r="C17732" s="6" t="s">
        <v>1</v>
      </c>
    </row>
    <row r="17733" spans="1:3" s="7" customFormat="1" x14ac:dyDescent="0.2">
      <c r="A17733" s="6" t="str">
        <f>"AL132633.1"</f>
        <v>AL132633.1</v>
      </c>
      <c r="B17733" s="6" t="s">
        <v>1</v>
      </c>
      <c r="C17733" s="6" t="s">
        <v>1</v>
      </c>
    </row>
    <row r="17734" spans="1:3" s="7" customFormat="1" x14ac:dyDescent="0.2">
      <c r="A17734" s="6" t="str">
        <f>"AC009118.2"</f>
        <v>AC009118.2</v>
      </c>
      <c r="B17734" s="6" t="s">
        <v>1</v>
      </c>
      <c r="C17734" s="6" t="s">
        <v>1</v>
      </c>
    </row>
    <row r="17735" spans="1:3" s="7" customFormat="1" x14ac:dyDescent="0.2">
      <c r="A17735" s="6" t="str">
        <f>"VAV2"</f>
        <v>VAV2</v>
      </c>
      <c r="B17735" s="6" t="s">
        <v>1</v>
      </c>
      <c r="C17735" s="6" t="s">
        <v>1</v>
      </c>
    </row>
    <row r="17736" spans="1:3" s="7" customFormat="1" x14ac:dyDescent="0.2">
      <c r="A17736" s="6" t="str">
        <f>"SNX27"</f>
        <v>SNX27</v>
      </c>
      <c r="B17736" s="6" t="s">
        <v>1</v>
      </c>
      <c r="C17736" s="6" t="s">
        <v>1</v>
      </c>
    </row>
    <row r="17737" spans="1:3" s="7" customFormat="1" x14ac:dyDescent="0.2">
      <c r="A17737" s="6" t="str">
        <f>"COIL"</f>
        <v>COIL</v>
      </c>
      <c r="B17737" s="6" t="s">
        <v>1</v>
      </c>
      <c r="C17737" s="6" t="s">
        <v>1</v>
      </c>
    </row>
    <row r="17738" spans="1:3" s="7" customFormat="1" x14ac:dyDescent="0.2">
      <c r="A17738" s="6" t="str">
        <f>"PHF21B"</f>
        <v>PHF21B</v>
      </c>
      <c r="B17738" s="6" t="s">
        <v>1</v>
      </c>
      <c r="C17738" s="6" t="s">
        <v>1</v>
      </c>
    </row>
    <row r="17739" spans="1:3" s="7" customFormat="1" x14ac:dyDescent="0.2">
      <c r="A17739" s="6" t="str">
        <f>"AC009163.1"</f>
        <v>AC009163.1</v>
      </c>
      <c r="B17739" s="6" t="s">
        <v>1</v>
      </c>
      <c r="C17739" s="6" t="s">
        <v>1</v>
      </c>
    </row>
    <row r="17740" spans="1:3" s="7" customFormat="1" x14ac:dyDescent="0.2">
      <c r="A17740" s="6" t="str">
        <f>"CCT4"</f>
        <v>CCT4</v>
      </c>
      <c r="B17740" s="6" t="s">
        <v>1</v>
      </c>
      <c r="C17740" s="6" t="s">
        <v>1</v>
      </c>
    </row>
    <row r="17741" spans="1:3" s="7" customFormat="1" x14ac:dyDescent="0.2">
      <c r="A17741" s="6" t="str">
        <f>"AC004522.5"</f>
        <v>AC004522.5</v>
      </c>
      <c r="B17741" s="6" t="s">
        <v>1</v>
      </c>
      <c r="C17741" s="6" t="s">
        <v>1</v>
      </c>
    </row>
    <row r="17742" spans="1:3" s="7" customFormat="1" x14ac:dyDescent="0.2">
      <c r="A17742" s="6" t="str">
        <f>"AC044839.1"</f>
        <v>AC044839.1</v>
      </c>
      <c r="B17742" s="6" t="s">
        <v>1</v>
      </c>
      <c r="C17742" s="6" t="s">
        <v>1</v>
      </c>
    </row>
    <row r="17743" spans="1:3" s="7" customFormat="1" x14ac:dyDescent="0.2">
      <c r="A17743" s="6" t="str">
        <f>"CDK9"</f>
        <v>CDK9</v>
      </c>
      <c r="B17743" s="6" t="s">
        <v>1</v>
      </c>
      <c r="C17743" s="6" t="s">
        <v>1</v>
      </c>
    </row>
    <row r="17744" spans="1:3" s="7" customFormat="1" x14ac:dyDescent="0.2">
      <c r="A17744" s="6" t="str">
        <f>"CNN3"</f>
        <v>CNN3</v>
      </c>
      <c r="B17744" s="6" t="s">
        <v>1</v>
      </c>
      <c r="C17744" s="6" t="s">
        <v>1</v>
      </c>
    </row>
    <row r="17745" spans="1:3" s="7" customFormat="1" x14ac:dyDescent="0.2">
      <c r="A17745" s="6" t="str">
        <f>"AL161756.1"</f>
        <v>AL161756.1</v>
      </c>
      <c r="B17745" s="6" t="s">
        <v>1</v>
      </c>
      <c r="C17745" s="6" t="s">
        <v>1</v>
      </c>
    </row>
    <row r="17746" spans="1:3" s="7" customFormat="1" x14ac:dyDescent="0.2">
      <c r="A17746" s="6" t="str">
        <f>"AC004039.1"</f>
        <v>AC004039.1</v>
      </c>
      <c r="B17746" s="6" t="s">
        <v>1</v>
      </c>
      <c r="C17746" s="6" t="s">
        <v>1</v>
      </c>
    </row>
    <row r="17747" spans="1:3" s="7" customFormat="1" x14ac:dyDescent="0.2">
      <c r="A17747" s="6" t="str">
        <f>"C1QTNF3-AMACR"</f>
        <v>C1QTNF3-AMACR</v>
      </c>
      <c r="B17747" s="6" t="s">
        <v>1</v>
      </c>
      <c r="C17747" s="6" t="s">
        <v>1</v>
      </c>
    </row>
    <row r="17748" spans="1:3" s="7" customFormat="1" x14ac:dyDescent="0.2">
      <c r="A17748" s="6" t="str">
        <f>"AC009133.3"</f>
        <v>AC009133.3</v>
      </c>
      <c r="B17748" s="6" t="s">
        <v>1</v>
      </c>
      <c r="C17748" s="6" t="s">
        <v>1</v>
      </c>
    </row>
    <row r="17749" spans="1:3" s="7" customFormat="1" x14ac:dyDescent="0.2">
      <c r="A17749" s="6" t="str">
        <f>"REG4"</f>
        <v>REG4</v>
      </c>
      <c r="B17749" s="6" t="s">
        <v>1</v>
      </c>
      <c r="C17749" s="6" t="s">
        <v>1</v>
      </c>
    </row>
    <row r="17750" spans="1:3" s="7" customFormat="1" x14ac:dyDescent="0.2">
      <c r="A17750" s="6" t="str">
        <f>"ZNF23"</f>
        <v>ZNF23</v>
      </c>
      <c r="B17750" s="6" t="s">
        <v>1</v>
      </c>
      <c r="C17750" s="6" t="s">
        <v>1</v>
      </c>
    </row>
    <row r="17751" spans="1:3" s="7" customFormat="1" x14ac:dyDescent="0.2">
      <c r="A17751" s="6" t="str">
        <f>"TFF1"</f>
        <v>TFF1</v>
      </c>
      <c r="B17751" s="6" t="s">
        <v>1</v>
      </c>
      <c r="C17751" s="6" t="s">
        <v>1</v>
      </c>
    </row>
    <row r="17752" spans="1:3" s="7" customFormat="1" x14ac:dyDescent="0.2">
      <c r="A17752" s="6" t="str">
        <f>"TTC39C"</f>
        <v>TTC39C</v>
      </c>
      <c r="B17752" s="6" t="s">
        <v>1</v>
      </c>
      <c r="C17752" s="6" t="s">
        <v>1</v>
      </c>
    </row>
    <row r="17753" spans="1:3" s="7" customFormat="1" x14ac:dyDescent="0.2">
      <c r="A17753" s="6" t="str">
        <f>"AC012313.5"</f>
        <v>AC012313.5</v>
      </c>
      <c r="B17753" s="6" t="s">
        <v>1</v>
      </c>
      <c r="C17753" s="6" t="s">
        <v>1</v>
      </c>
    </row>
    <row r="17754" spans="1:3" s="7" customFormat="1" x14ac:dyDescent="0.2">
      <c r="A17754" s="6" t="str">
        <f>"ZNF582"</f>
        <v>ZNF582</v>
      </c>
      <c r="B17754" s="6" t="s">
        <v>1</v>
      </c>
      <c r="C17754" s="6" t="s">
        <v>1</v>
      </c>
    </row>
    <row r="17755" spans="1:3" s="7" customFormat="1" x14ac:dyDescent="0.2">
      <c r="A17755" s="6" t="str">
        <f>"AC004466.1"</f>
        <v>AC004466.1</v>
      </c>
      <c r="B17755" s="6" t="s">
        <v>1</v>
      </c>
      <c r="C17755" s="6" t="s">
        <v>1</v>
      </c>
    </row>
    <row r="17756" spans="1:3" s="7" customFormat="1" x14ac:dyDescent="0.2">
      <c r="A17756" s="6" t="str">
        <f>"ARRDC3"</f>
        <v>ARRDC3</v>
      </c>
      <c r="B17756" s="6" t="s">
        <v>1</v>
      </c>
      <c r="C17756" s="6" t="s">
        <v>1</v>
      </c>
    </row>
    <row r="17757" spans="1:3" s="7" customFormat="1" x14ac:dyDescent="0.2">
      <c r="A17757" s="6" t="str">
        <f>"ARRDC1"</f>
        <v>ARRDC1</v>
      </c>
      <c r="B17757" s="6" t="s">
        <v>1</v>
      </c>
      <c r="C17757" s="6" t="s">
        <v>1</v>
      </c>
    </row>
    <row r="17758" spans="1:3" s="7" customFormat="1" x14ac:dyDescent="0.2">
      <c r="A17758" s="6" t="str">
        <f>"ANXA2R"</f>
        <v>ANXA2R</v>
      </c>
      <c r="B17758" s="6" t="s">
        <v>1</v>
      </c>
      <c r="C17758" s="6" t="s">
        <v>1</v>
      </c>
    </row>
    <row r="17759" spans="1:3" s="7" customFormat="1" x14ac:dyDescent="0.2">
      <c r="A17759" s="6" t="str">
        <f>"AL928654.1"</f>
        <v>AL928654.1</v>
      </c>
      <c r="B17759" s="6" t="s">
        <v>1</v>
      </c>
      <c r="C17759" s="6" t="s">
        <v>1</v>
      </c>
    </row>
    <row r="17760" spans="1:3" s="7" customFormat="1" x14ac:dyDescent="0.2">
      <c r="A17760" s="6" t="str">
        <f>"CR786580.1"</f>
        <v>CR786580.1</v>
      </c>
      <c r="B17760" s="6" t="s">
        <v>1</v>
      </c>
      <c r="C17760" s="6" t="s">
        <v>1</v>
      </c>
    </row>
    <row r="17761" spans="1:3" s="7" customFormat="1" x14ac:dyDescent="0.2">
      <c r="A17761" s="6" t="str">
        <f>"AC021683.3"</f>
        <v>AC021683.3</v>
      </c>
      <c r="B17761" s="6" t="s">
        <v>1</v>
      </c>
      <c r="C17761" s="6" t="s">
        <v>1</v>
      </c>
    </row>
    <row r="17762" spans="1:3" s="7" customFormat="1" x14ac:dyDescent="0.2">
      <c r="A17762" s="6" t="str">
        <f>"AL021395.1"</f>
        <v>AL021395.1</v>
      </c>
      <c r="B17762" s="6" t="s">
        <v>1</v>
      </c>
      <c r="C17762" s="6" t="s">
        <v>1</v>
      </c>
    </row>
    <row r="17763" spans="1:3" s="7" customFormat="1" x14ac:dyDescent="0.2">
      <c r="A17763" s="6" t="str">
        <f>"AC012358.2"</f>
        <v>AC012358.2</v>
      </c>
      <c r="B17763" s="6" t="s">
        <v>1</v>
      </c>
      <c r="C17763" s="6" t="s">
        <v>1</v>
      </c>
    </row>
    <row r="17764" spans="1:3" s="7" customFormat="1" x14ac:dyDescent="0.2">
      <c r="A17764" s="6" t="str">
        <f>"CCK"</f>
        <v>CCK</v>
      </c>
      <c r="B17764" s="6" t="s">
        <v>1</v>
      </c>
      <c r="C17764" s="6" t="s">
        <v>1</v>
      </c>
    </row>
    <row r="17765" spans="1:3" s="7" customFormat="1" x14ac:dyDescent="0.2">
      <c r="A17765" s="6" t="str">
        <f>"BORCS5"</f>
        <v>BORCS5</v>
      </c>
      <c r="B17765" s="6" t="s">
        <v>1</v>
      </c>
      <c r="C17765" s="6" t="s">
        <v>1</v>
      </c>
    </row>
    <row r="17766" spans="1:3" s="7" customFormat="1" x14ac:dyDescent="0.2">
      <c r="A17766" s="6" t="str">
        <f>"AC004264.1"</f>
        <v>AC004264.1</v>
      </c>
      <c r="B17766" s="6" t="s">
        <v>1</v>
      </c>
      <c r="C17766" s="6" t="s">
        <v>1</v>
      </c>
    </row>
    <row r="17767" spans="1:3" s="7" customFormat="1" x14ac:dyDescent="0.2">
      <c r="A17767" s="6" t="str">
        <f>"TRBV12-4"</f>
        <v>TRBV12-4</v>
      </c>
      <c r="B17767" s="6" t="s">
        <v>1</v>
      </c>
      <c r="C17767" s="6" t="s">
        <v>1</v>
      </c>
    </row>
    <row r="17768" spans="1:3" s="7" customFormat="1" x14ac:dyDescent="0.2">
      <c r="A17768" s="6" t="str">
        <f>"AC046168.1"</f>
        <v>AC046168.1</v>
      </c>
      <c r="B17768" s="6" t="s">
        <v>1</v>
      </c>
      <c r="C17768" s="6" t="s">
        <v>1</v>
      </c>
    </row>
    <row r="17769" spans="1:3" s="7" customFormat="1" x14ac:dyDescent="0.2">
      <c r="A17769" s="6" t="str">
        <f>"PPP2R2A"</f>
        <v>PPP2R2A</v>
      </c>
      <c r="B17769" s="6" t="s">
        <v>1</v>
      </c>
      <c r="C17769" s="6" t="s">
        <v>1</v>
      </c>
    </row>
    <row r="17770" spans="1:3" s="7" customFormat="1" x14ac:dyDescent="0.2">
      <c r="A17770" s="6" t="str">
        <f>"CDK16"</f>
        <v>CDK16</v>
      </c>
      <c r="B17770" s="6" t="s">
        <v>1</v>
      </c>
      <c r="C17770" s="6" t="s">
        <v>1</v>
      </c>
    </row>
    <row r="17771" spans="1:3" s="7" customFormat="1" x14ac:dyDescent="0.2">
      <c r="A17771" s="6" t="str">
        <f>"TTC36"</f>
        <v>TTC36</v>
      </c>
      <c r="B17771" s="6" t="s">
        <v>1</v>
      </c>
      <c r="C17771" s="6" t="s">
        <v>1</v>
      </c>
    </row>
    <row r="17772" spans="1:3" s="7" customFormat="1" x14ac:dyDescent="0.2">
      <c r="A17772" s="6" t="str">
        <f>"CHMP2B"</f>
        <v>CHMP2B</v>
      </c>
      <c r="B17772" s="6" t="s">
        <v>1</v>
      </c>
      <c r="C17772" s="6" t="s">
        <v>1</v>
      </c>
    </row>
    <row r="17773" spans="1:3" s="7" customFormat="1" x14ac:dyDescent="0.2">
      <c r="A17773" s="6" t="str">
        <f>"CNKSR1"</f>
        <v>CNKSR1</v>
      </c>
      <c r="B17773" s="6" t="s">
        <v>1</v>
      </c>
      <c r="C17773" s="6" t="s">
        <v>1</v>
      </c>
    </row>
    <row r="17774" spans="1:3" s="7" customFormat="1" x14ac:dyDescent="0.2">
      <c r="A17774" s="6" t="str">
        <f>"CXCR6"</f>
        <v>CXCR6</v>
      </c>
      <c r="B17774" s="6" t="s">
        <v>1</v>
      </c>
      <c r="C17774" s="6" t="s">
        <v>1</v>
      </c>
    </row>
    <row r="17775" spans="1:3" s="7" customFormat="1" x14ac:dyDescent="0.2">
      <c r="A17775" s="6" t="str">
        <f>"BOLA3P2"</f>
        <v>BOLA3P2</v>
      </c>
      <c r="B17775" s="6" t="s">
        <v>1</v>
      </c>
      <c r="C17775" s="6" t="s">
        <v>1</v>
      </c>
    </row>
    <row r="17776" spans="1:3" s="7" customFormat="1" x14ac:dyDescent="0.2">
      <c r="A17776" s="6" t="str">
        <f>"AZI2"</f>
        <v>AZI2</v>
      </c>
      <c r="B17776" s="6" t="s">
        <v>1</v>
      </c>
      <c r="C17776" s="6" t="s">
        <v>1</v>
      </c>
    </row>
    <row r="17777" spans="1:3" s="7" customFormat="1" x14ac:dyDescent="0.2">
      <c r="A17777" s="6" t="str">
        <f>"CDK2AP1"</f>
        <v>CDK2AP1</v>
      </c>
      <c r="B17777" s="6" t="s">
        <v>1</v>
      </c>
      <c r="C17777" s="6" t="s">
        <v>1</v>
      </c>
    </row>
    <row r="17778" spans="1:3" s="7" customFormat="1" x14ac:dyDescent="0.2">
      <c r="A17778" s="6" t="str">
        <f>"AC106791.3"</f>
        <v>AC106791.3</v>
      </c>
      <c r="B17778" s="6" t="s">
        <v>1</v>
      </c>
      <c r="C17778" s="6" t="s">
        <v>1</v>
      </c>
    </row>
    <row r="17779" spans="1:3" s="7" customFormat="1" x14ac:dyDescent="0.2">
      <c r="A17779" s="6" t="str">
        <f>"AC092803.4"</f>
        <v>AC092803.4</v>
      </c>
      <c r="B17779" s="6" t="s">
        <v>1</v>
      </c>
      <c r="C17779" s="6" t="s">
        <v>1</v>
      </c>
    </row>
    <row r="17780" spans="1:3" s="7" customFormat="1" x14ac:dyDescent="0.2">
      <c r="A17780" s="6" t="str">
        <f>"APAF1"</f>
        <v>APAF1</v>
      </c>
      <c r="B17780" s="6" t="s">
        <v>1</v>
      </c>
      <c r="C17780" s="6" t="s">
        <v>1</v>
      </c>
    </row>
    <row r="17781" spans="1:3" s="7" customFormat="1" x14ac:dyDescent="0.2">
      <c r="A17781" s="6" t="str">
        <f>"AL162391.1"</f>
        <v>AL162391.1</v>
      </c>
      <c r="B17781" s="6" t="s">
        <v>1</v>
      </c>
      <c r="C17781" s="6" t="s">
        <v>1</v>
      </c>
    </row>
    <row r="17782" spans="1:3" s="7" customFormat="1" x14ac:dyDescent="0.2">
      <c r="A17782" s="6" t="str">
        <f>"C3orf70"</f>
        <v>C3orf70</v>
      </c>
      <c r="B17782" s="6" t="s">
        <v>1</v>
      </c>
      <c r="C17782" s="6" t="s">
        <v>1</v>
      </c>
    </row>
    <row r="17783" spans="1:3" s="7" customFormat="1" x14ac:dyDescent="0.2">
      <c r="A17783" s="6" t="str">
        <f>"SRD5A2"</f>
        <v>SRD5A2</v>
      </c>
      <c r="B17783" s="6" t="s">
        <v>1</v>
      </c>
      <c r="C17783" s="6" t="s">
        <v>1</v>
      </c>
    </row>
    <row r="17784" spans="1:3" s="7" customFormat="1" x14ac:dyDescent="0.2">
      <c r="A17784" s="6" t="str">
        <f>"AC083799.1"</f>
        <v>AC083799.1</v>
      </c>
      <c r="B17784" s="6" t="s">
        <v>1</v>
      </c>
      <c r="C17784" s="6" t="s">
        <v>1</v>
      </c>
    </row>
    <row r="17785" spans="1:3" s="7" customFormat="1" x14ac:dyDescent="0.2">
      <c r="A17785" s="6" t="str">
        <f>"AC012174.1"</f>
        <v>AC012174.1</v>
      </c>
      <c r="B17785" s="6" t="s">
        <v>1</v>
      </c>
      <c r="C17785" s="6" t="s">
        <v>1</v>
      </c>
    </row>
    <row r="17786" spans="1:3" s="7" customFormat="1" x14ac:dyDescent="0.2">
      <c r="A17786" s="6" t="str">
        <f>"AC021087.3"</f>
        <v>AC021087.3</v>
      </c>
      <c r="B17786" s="6" t="s">
        <v>1</v>
      </c>
      <c r="C17786" s="6" t="s">
        <v>1</v>
      </c>
    </row>
    <row r="17787" spans="1:3" s="7" customFormat="1" x14ac:dyDescent="0.2">
      <c r="A17787" s="6" t="str">
        <f>"PRKCZ-AS1"</f>
        <v>PRKCZ-AS1</v>
      </c>
      <c r="B17787" s="6" t="s">
        <v>1</v>
      </c>
      <c r="C17787" s="6" t="s">
        <v>1</v>
      </c>
    </row>
    <row r="17788" spans="1:3" s="7" customFormat="1" x14ac:dyDescent="0.2">
      <c r="A17788" s="6" t="str">
        <f>"CEND1"</f>
        <v>CEND1</v>
      </c>
      <c r="B17788" s="6" t="s">
        <v>1</v>
      </c>
      <c r="C17788" s="6" t="s">
        <v>1</v>
      </c>
    </row>
    <row r="17789" spans="1:3" s="7" customFormat="1" x14ac:dyDescent="0.2">
      <c r="A17789" s="6" t="str">
        <f>"CAPN5"</f>
        <v>CAPN5</v>
      </c>
      <c r="B17789" s="6" t="s">
        <v>1</v>
      </c>
      <c r="C17789" s="6" t="s">
        <v>1</v>
      </c>
    </row>
    <row r="17790" spans="1:3" s="7" customFormat="1" x14ac:dyDescent="0.2">
      <c r="A17790" s="6" t="str">
        <f>"AOX1"</f>
        <v>AOX1</v>
      </c>
      <c r="B17790" s="6" t="s">
        <v>1</v>
      </c>
      <c r="C17790" s="6" t="s">
        <v>1</v>
      </c>
    </row>
    <row r="17791" spans="1:3" s="7" customFormat="1" x14ac:dyDescent="0.2">
      <c r="A17791" s="6" t="str">
        <f>"PIP5K1A"</f>
        <v>PIP5K1A</v>
      </c>
      <c r="B17791" s="6" t="s">
        <v>1</v>
      </c>
      <c r="C17791" s="6" t="s">
        <v>1</v>
      </c>
    </row>
    <row r="17792" spans="1:3" s="7" customFormat="1" x14ac:dyDescent="0.2">
      <c r="A17792" s="6" t="str">
        <f>"WFDC5"</f>
        <v>WFDC5</v>
      </c>
      <c r="B17792" s="6" t="s">
        <v>1</v>
      </c>
      <c r="C17792" s="6" t="s">
        <v>1</v>
      </c>
    </row>
    <row r="17793" spans="1:3" s="7" customFormat="1" x14ac:dyDescent="0.2">
      <c r="A17793" s="6" t="str">
        <f>"AC048382.6"</f>
        <v>AC048382.6</v>
      </c>
      <c r="B17793" s="6" t="s">
        <v>1</v>
      </c>
      <c r="C17793" s="6" t="s">
        <v>1</v>
      </c>
    </row>
    <row r="17794" spans="1:3" s="7" customFormat="1" x14ac:dyDescent="0.2">
      <c r="A17794" s="6" t="str">
        <f>"AC080011.1"</f>
        <v>AC080011.1</v>
      </c>
      <c r="B17794" s="6" t="s">
        <v>1</v>
      </c>
      <c r="C17794" s="6" t="s">
        <v>1</v>
      </c>
    </row>
    <row r="17795" spans="1:3" s="7" customFormat="1" x14ac:dyDescent="0.2">
      <c r="A17795" s="6" t="str">
        <f>"AC009262.1"</f>
        <v>AC009262.1</v>
      </c>
      <c r="B17795" s="6" t="s">
        <v>1</v>
      </c>
      <c r="C17795" s="6" t="s">
        <v>1</v>
      </c>
    </row>
    <row r="17796" spans="1:3" s="7" customFormat="1" x14ac:dyDescent="0.2">
      <c r="A17796" s="6" t="str">
        <f>"AC009093.8"</f>
        <v>AC009093.8</v>
      </c>
      <c r="B17796" s="6" t="s">
        <v>1</v>
      </c>
      <c r="C17796" s="6" t="s">
        <v>1</v>
      </c>
    </row>
    <row r="17797" spans="1:3" s="7" customFormat="1" x14ac:dyDescent="0.2">
      <c r="A17797" s="6" t="str">
        <f>"AC004542.6"</f>
        <v>AC004542.6</v>
      </c>
      <c r="B17797" s="6" t="s">
        <v>1</v>
      </c>
      <c r="C17797" s="6" t="s">
        <v>1</v>
      </c>
    </row>
    <row r="17798" spans="1:3" s="7" customFormat="1" x14ac:dyDescent="0.2">
      <c r="A17798" s="6" t="str">
        <f>"AP000331.1"</f>
        <v>AP000331.1</v>
      </c>
      <c r="B17798" s="6" t="s">
        <v>1</v>
      </c>
      <c r="C17798" s="6" t="s">
        <v>1</v>
      </c>
    </row>
    <row r="17799" spans="1:3" s="7" customFormat="1" x14ac:dyDescent="0.2">
      <c r="A17799" s="6" t="str">
        <f>"AC105411.1"</f>
        <v>AC105411.1</v>
      </c>
      <c r="B17799" s="6" t="s">
        <v>1</v>
      </c>
      <c r="C17799" s="6" t="s">
        <v>1</v>
      </c>
    </row>
    <row r="17800" spans="1:3" s="7" customFormat="1" x14ac:dyDescent="0.2">
      <c r="A17800" s="6" t="str">
        <f>"SHROOM2"</f>
        <v>SHROOM2</v>
      </c>
      <c r="B17800" s="6" t="s">
        <v>1</v>
      </c>
      <c r="C17800" s="6" t="s">
        <v>1</v>
      </c>
    </row>
    <row r="17801" spans="1:3" s="7" customFormat="1" x14ac:dyDescent="0.2">
      <c r="A17801" s="6" t="str">
        <f>"AC009093.2"</f>
        <v>AC009093.2</v>
      </c>
      <c r="B17801" s="6" t="s">
        <v>1</v>
      </c>
      <c r="C17801" s="6" t="s">
        <v>1</v>
      </c>
    </row>
    <row r="17802" spans="1:3" s="7" customFormat="1" x14ac:dyDescent="0.2">
      <c r="A17802" s="6" t="str">
        <f>"BPIFB6"</f>
        <v>BPIFB6</v>
      </c>
      <c r="B17802" s="6" t="s">
        <v>1</v>
      </c>
      <c r="C17802" s="6" t="s">
        <v>1</v>
      </c>
    </row>
    <row r="17803" spans="1:3" s="7" customFormat="1" x14ac:dyDescent="0.2">
      <c r="A17803" s="6" t="str">
        <f>"AC108690.1"</f>
        <v>AC108690.1</v>
      </c>
      <c r="B17803" s="6" t="s">
        <v>1</v>
      </c>
      <c r="C17803" s="6" t="s">
        <v>1</v>
      </c>
    </row>
    <row r="17804" spans="1:3" s="7" customFormat="1" x14ac:dyDescent="0.2">
      <c r="A17804" s="6" t="str">
        <f>"CHMP3"</f>
        <v>CHMP3</v>
      </c>
      <c r="B17804" s="6" t="s">
        <v>1</v>
      </c>
      <c r="C17804" s="6" t="s">
        <v>1</v>
      </c>
    </row>
    <row r="17805" spans="1:3" s="7" customFormat="1" x14ac:dyDescent="0.2">
      <c r="A17805" s="6" t="str">
        <f>"SNX25P1"</f>
        <v>SNX25P1</v>
      </c>
      <c r="B17805" s="6" t="s">
        <v>1</v>
      </c>
      <c r="C17805" s="6" t="s">
        <v>1</v>
      </c>
    </row>
    <row r="17806" spans="1:3" s="7" customFormat="1" x14ac:dyDescent="0.2">
      <c r="A17806" s="6" t="str">
        <f>"AL021368.4"</f>
        <v>AL021368.4</v>
      </c>
      <c r="B17806" s="6" t="s">
        <v>1</v>
      </c>
      <c r="C17806" s="6" t="s">
        <v>1</v>
      </c>
    </row>
    <row r="17807" spans="1:3" s="7" customFormat="1" x14ac:dyDescent="0.2">
      <c r="A17807" s="6" t="str">
        <f>"ZNF223"</f>
        <v>ZNF223</v>
      </c>
      <c r="B17807" s="6" t="s">
        <v>1</v>
      </c>
      <c r="C17807" s="6" t="s">
        <v>1</v>
      </c>
    </row>
    <row r="17808" spans="1:3" s="7" customFormat="1" x14ac:dyDescent="0.2">
      <c r="A17808" s="6" t="str">
        <f>"CHL1"</f>
        <v>CHL1</v>
      </c>
      <c r="B17808" s="6" t="s">
        <v>1</v>
      </c>
      <c r="C17808" s="6" t="s">
        <v>1</v>
      </c>
    </row>
    <row r="17809" spans="1:3" s="7" customFormat="1" x14ac:dyDescent="0.2">
      <c r="A17809" s="6" t="str">
        <f>"AL731559.1"</f>
        <v>AL731559.1</v>
      </c>
      <c r="B17809" s="6" t="s">
        <v>1</v>
      </c>
      <c r="C17809" s="6" t="s">
        <v>1</v>
      </c>
    </row>
    <row r="17810" spans="1:3" s="7" customFormat="1" x14ac:dyDescent="0.2">
      <c r="A17810" s="6" t="str">
        <f>"AL033384.1"</f>
        <v>AL033384.1</v>
      </c>
      <c r="B17810" s="6" t="s">
        <v>1</v>
      </c>
      <c r="C17810" s="6" t="s">
        <v>1</v>
      </c>
    </row>
    <row r="17811" spans="1:3" s="7" customFormat="1" x14ac:dyDescent="0.2">
      <c r="A17811" s="6" t="str">
        <f>"CANT1"</f>
        <v>CANT1</v>
      </c>
      <c r="B17811" s="6" t="s">
        <v>1</v>
      </c>
      <c r="C17811" s="6" t="s">
        <v>1</v>
      </c>
    </row>
    <row r="17812" spans="1:3" s="7" customFormat="1" x14ac:dyDescent="0.2">
      <c r="A17812" s="6" t="str">
        <f>"ZNF286A"</f>
        <v>ZNF286A</v>
      </c>
      <c r="B17812" s="6" t="s">
        <v>1</v>
      </c>
      <c r="C17812" s="6" t="s">
        <v>1</v>
      </c>
    </row>
    <row r="17813" spans="1:3" s="7" customFormat="1" x14ac:dyDescent="0.2">
      <c r="A17813" s="6" t="str">
        <f>"AL136295.6"</f>
        <v>AL136295.6</v>
      </c>
      <c r="B17813" s="6" t="s">
        <v>1</v>
      </c>
      <c r="C17813" s="6" t="s">
        <v>1</v>
      </c>
    </row>
    <row r="17814" spans="1:3" s="7" customFormat="1" x14ac:dyDescent="0.2">
      <c r="A17814" s="6" t="str">
        <f>"AC012313.4"</f>
        <v>AC012313.4</v>
      </c>
      <c r="B17814" s="6" t="s">
        <v>1</v>
      </c>
      <c r="C17814" s="6" t="s">
        <v>1</v>
      </c>
    </row>
    <row r="17815" spans="1:3" s="7" customFormat="1" x14ac:dyDescent="0.2">
      <c r="A17815" s="6" t="str">
        <f>"UBTD1"</f>
        <v>UBTD1</v>
      </c>
      <c r="B17815" s="6" t="s">
        <v>1</v>
      </c>
      <c r="C17815" s="6" t="s">
        <v>1</v>
      </c>
    </row>
    <row r="17816" spans="1:3" s="7" customFormat="1" x14ac:dyDescent="0.2">
      <c r="A17816" s="6" t="str">
        <f>"AC080128.2"</f>
        <v>AC080128.2</v>
      </c>
      <c r="B17816" s="6" t="s">
        <v>1</v>
      </c>
      <c r="C17816" s="6" t="s">
        <v>1</v>
      </c>
    </row>
    <row r="17817" spans="1:3" s="7" customFormat="1" x14ac:dyDescent="0.2">
      <c r="A17817" s="6" t="str">
        <f>"CHM"</f>
        <v>CHM</v>
      </c>
      <c r="B17817" s="6" t="s">
        <v>1</v>
      </c>
      <c r="C17817" s="6" t="s">
        <v>1</v>
      </c>
    </row>
    <row r="17818" spans="1:3" s="7" customFormat="1" x14ac:dyDescent="0.2">
      <c r="A17818" s="6" t="str">
        <f>"AC092933.2"</f>
        <v>AC092933.2</v>
      </c>
      <c r="B17818" s="6" t="s">
        <v>1</v>
      </c>
      <c r="C17818" s="6" t="s">
        <v>1</v>
      </c>
    </row>
    <row r="17819" spans="1:3" s="7" customFormat="1" x14ac:dyDescent="0.2">
      <c r="A17819" s="6" t="str">
        <f>"AC048382.2"</f>
        <v>AC048382.2</v>
      </c>
      <c r="B17819" s="6" t="s">
        <v>1</v>
      </c>
      <c r="C17819" s="6" t="s">
        <v>1</v>
      </c>
    </row>
    <row r="17820" spans="1:3" s="7" customFormat="1" x14ac:dyDescent="0.2">
      <c r="A17820" s="6" t="str">
        <f>"AREL1"</f>
        <v>AREL1</v>
      </c>
      <c r="B17820" s="6" t="s">
        <v>1</v>
      </c>
      <c r="C17820" s="6" t="s">
        <v>1</v>
      </c>
    </row>
    <row r="17821" spans="1:3" s="7" customFormat="1" x14ac:dyDescent="0.2">
      <c r="A17821" s="6" t="str">
        <f>"AC012313.9"</f>
        <v>AC012313.9</v>
      </c>
      <c r="B17821" s="6" t="s">
        <v>1</v>
      </c>
      <c r="C17821" s="6" t="s">
        <v>1</v>
      </c>
    </row>
    <row r="17822" spans="1:3" s="7" customFormat="1" x14ac:dyDescent="0.2">
      <c r="A17822" s="6" t="str">
        <f>"B3GLCT"</f>
        <v>B3GLCT</v>
      </c>
      <c r="B17822" s="6" t="s">
        <v>1</v>
      </c>
      <c r="C17822" s="6" t="s">
        <v>1</v>
      </c>
    </row>
    <row r="17823" spans="1:3" s="7" customFormat="1" x14ac:dyDescent="0.2">
      <c r="A17823" s="6" t="str">
        <f>"AL021920.3"</f>
        <v>AL021920.3</v>
      </c>
      <c r="B17823" s="6" t="s">
        <v>1</v>
      </c>
      <c r="C17823" s="6" t="s">
        <v>1</v>
      </c>
    </row>
    <row r="17824" spans="1:3" s="7" customFormat="1" x14ac:dyDescent="0.2">
      <c r="A17824" s="6" t="str">
        <f>"AL391987.2"</f>
        <v>AL391987.2</v>
      </c>
      <c r="B17824" s="6" t="s">
        <v>1</v>
      </c>
      <c r="C17824" s="6" t="s">
        <v>1</v>
      </c>
    </row>
    <row r="17825" spans="1:3" s="7" customFormat="1" x14ac:dyDescent="0.2">
      <c r="A17825" s="6" t="str">
        <f>"ANXA3"</f>
        <v>ANXA3</v>
      </c>
      <c r="B17825" s="6" t="s">
        <v>1</v>
      </c>
      <c r="C17825" s="6" t="s">
        <v>1</v>
      </c>
    </row>
    <row r="17826" spans="1:3" s="7" customFormat="1" x14ac:dyDescent="0.2">
      <c r="A17826" s="6" t="str">
        <f>"VCAN"</f>
        <v>VCAN</v>
      </c>
      <c r="B17826" s="6" t="s">
        <v>1</v>
      </c>
      <c r="C17826" s="6" t="s">
        <v>1</v>
      </c>
    </row>
    <row r="17827" spans="1:3" s="7" customFormat="1" x14ac:dyDescent="0.2">
      <c r="A17827" s="6" t="str">
        <f>"AC023510.1"</f>
        <v>AC023510.1</v>
      </c>
      <c r="B17827" s="6" t="s">
        <v>1</v>
      </c>
      <c r="C17827" s="6" t="s">
        <v>1</v>
      </c>
    </row>
    <row r="17828" spans="1:3" s="7" customFormat="1" x14ac:dyDescent="0.2">
      <c r="A17828" s="6" t="str">
        <f>"AC021242.3"</f>
        <v>AC021242.3</v>
      </c>
      <c r="B17828" s="6" t="s">
        <v>1</v>
      </c>
      <c r="C17828" s="6" t="s">
        <v>1</v>
      </c>
    </row>
    <row r="17829" spans="1:3" s="7" customFormat="1" x14ac:dyDescent="0.2">
      <c r="A17829" s="6" t="str">
        <f>"AC125437.1"</f>
        <v>AC125437.1</v>
      </c>
      <c r="B17829" s="6" t="s">
        <v>1</v>
      </c>
      <c r="C17829" s="6" t="s">
        <v>1</v>
      </c>
    </row>
    <row r="17830" spans="1:3" s="7" customFormat="1" x14ac:dyDescent="0.2">
      <c r="A17830" s="6" t="str">
        <f>"AC012181.2"</f>
        <v>AC012181.2</v>
      </c>
      <c r="B17830" s="6" t="s">
        <v>1</v>
      </c>
      <c r="C17830" s="6" t="s">
        <v>1</v>
      </c>
    </row>
    <row r="17831" spans="1:3" s="7" customFormat="1" x14ac:dyDescent="0.2">
      <c r="A17831" s="6" t="str">
        <f>"AC092902.4"</f>
        <v>AC092902.4</v>
      </c>
      <c r="B17831" s="6" t="s">
        <v>1</v>
      </c>
      <c r="C17831" s="6" t="s">
        <v>1</v>
      </c>
    </row>
    <row r="17832" spans="1:3" s="7" customFormat="1" x14ac:dyDescent="0.2">
      <c r="A17832" s="6" t="str">
        <f>"CAPN3"</f>
        <v>CAPN3</v>
      </c>
      <c r="B17832" s="6" t="s">
        <v>1</v>
      </c>
      <c r="C17832" s="6" t="s">
        <v>1</v>
      </c>
    </row>
    <row r="17833" spans="1:3" s="7" customFormat="1" x14ac:dyDescent="0.2">
      <c r="A17833" s="6" t="str">
        <f>"MAPK14"</f>
        <v>MAPK14</v>
      </c>
      <c r="B17833" s="6" t="s">
        <v>1</v>
      </c>
      <c r="C17833" s="6" t="s">
        <v>1</v>
      </c>
    </row>
    <row r="17834" spans="1:3" s="7" customFormat="1" x14ac:dyDescent="0.2">
      <c r="A17834" s="6" t="str">
        <f>"AC004148.1"</f>
        <v>AC004148.1</v>
      </c>
      <c r="B17834" s="6" t="s">
        <v>1</v>
      </c>
      <c r="C17834" s="6" t="s">
        <v>1</v>
      </c>
    </row>
    <row r="17835" spans="1:3" s="7" customFormat="1" x14ac:dyDescent="0.2">
      <c r="A17835" s="6" t="str">
        <f>"SAMD3"</f>
        <v>SAMD3</v>
      </c>
      <c r="B17835" s="6" t="s">
        <v>1</v>
      </c>
      <c r="C17835" s="6" t="s">
        <v>1</v>
      </c>
    </row>
    <row r="17836" spans="1:3" s="7" customFormat="1" x14ac:dyDescent="0.2">
      <c r="A17836" s="6" t="str">
        <f>"CXorf38"</f>
        <v>CXorf38</v>
      </c>
      <c r="B17836" s="6" t="s">
        <v>1</v>
      </c>
      <c r="C17836" s="6" t="s">
        <v>1</v>
      </c>
    </row>
    <row r="17837" spans="1:3" s="7" customFormat="1" x14ac:dyDescent="0.2">
      <c r="A17837" s="6" t="str">
        <f>"AL132780.1"</f>
        <v>AL132780.1</v>
      </c>
      <c r="B17837" s="6" t="s">
        <v>1</v>
      </c>
      <c r="C17837" s="6" t="s">
        <v>1</v>
      </c>
    </row>
    <row r="17838" spans="1:3" s="7" customFormat="1" x14ac:dyDescent="0.2">
      <c r="A17838" s="6" t="str">
        <f>"AC093010.2"</f>
        <v>AC093010.2</v>
      </c>
      <c r="B17838" s="6" t="s">
        <v>1</v>
      </c>
      <c r="C17838" s="6" t="s">
        <v>1</v>
      </c>
    </row>
    <row r="17839" spans="1:3" s="7" customFormat="1" x14ac:dyDescent="0.2">
      <c r="A17839" s="6" t="str">
        <f>"AC021078.1"</f>
        <v>AC021078.1</v>
      </c>
      <c r="B17839" s="6" t="s">
        <v>1</v>
      </c>
      <c r="C17839" s="6" t="s">
        <v>1</v>
      </c>
    </row>
    <row r="17840" spans="1:3" s="7" customFormat="1" x14ac:dyDescent="0.2">
      <c r="A17840" s="6" t="str">
        <f>"AL355102.2"</f>
        <v>AL355102.2</v>
      </c>
      <c r="B17840" s="6" t="s">
        <v>1</v>
      </c>
      <c r="C17840" s="6" t="s">
        <v>1</v>
      </c>
    </row>
    <row r="17841" spans="1:3" s="7" customFormat="1" x14ac:dyDescent="0.2">
      <c r="A17841" s="6" t="str">
        <f>"AC231657.3"</f>
        <v>AC231657.3</v>
      </c>
      <c r="B17841" s="6" t="s">
        <v>1</v>
      </c>
      <c r="C17841" s="6" t="s">
        <v>1</v>
      </c>
    </row>
    <row r="17842" spans="1:3" s="7" customFormat="1" x14ac:dyDescent="0.2">
      <c r="A17842" s="6" t="str">
        <f>"AC083841.2"</f>
        <v>AC083841.2</v>
      </c>
      <c r="B17842" s="6" t="s">
        <v>1</v>
      </c>
      <c r="C17842" s="6" t="s">
        <v>1</v>
      </c>
    </row>
    <row r="17843" spans="1:3" s="7" customFormat="1" x14ac:dyDescent="0.2">
      <c r="A17843" s="6" t="str">
        <f>"CAMSAP1"</f>
        <v>CAMSAP1</v>
      </c>
      <c r="B17843" s="6" t="s">
        <v>1</v>
      </c>
      <c r="C17843" s="6" t="s">
        <v>1</v>
      </c>
    </row>
    <row r="17844" spans="1:3" s="7" customFormat="1" x14ac:dyDescent="0.2">
      <c r="A17844" s="6" t="str">
        <f>"AC106028.3"</f>
        <v>AC106028.3</v>
      </c>
      <c r="B17844" s="6" t="s">
        <v>1</v>
      </c>
      <c r="C17844" s="6" t="s">
        <v>1</v>
      </c>
    </row>
    <row r="17845" spans="1:3" s="7" customFormat="1" x14ac:dyDescent="0.2">
      <c r="A17845" s="6" t="str">
        <f>"CREB1"</f>
        <v>CREB1</v>
      </c>
      <c r="B17845" s="6" t="s">
        <v>1</v>
      </c>
      <c r="C17845" s="6" t="s">
        <v>1</v>
      </c>
    </row>
    <row r="17846" spans="1:3" s="7" customFormat="1" x14ac:dyDescent="0.2">
      <c r="A17846" s="6" t="str">
        <f>"AC015871.4"</f>
        <v>AC015871.4</v>
      </c>
      <c r="B17846" s="6" t="s">
        <v>1</v>
      </c>
      <c r="C17846" s="6" t="s">
        <v>1</v>
      </c>
    </row>
    <row r="17847" spans="1:3" s="7" customFormat="1" x14ac:dyDescent="0.2">
      <c r="A17847" s="6" t="str">
        <f>"ADGRD1-AS1"</f>
        <v>ADGRD1-AS1</v>
      </c>
      <c r="B17847" s="6" t="s">
        <v>1</v>
      </c>
      <c r="C17847" s="6" t="s">
        <v>1</v>
      </c>
    </row>
    <row r="17848" spans="1:3" s="7" customFormat="1" x14ac:dyDescent="0.2">
      <c r="A17848" s="6" t="str">
        <f>"AL391422.4"</f>
        <v>AL391422.4</v>
      </c>
      <c r="B17848" s="6" t="s">
        <v>1</v>
      </c>
      <c r="C17848" s="6" t="s">
        <v>1</v>
      </c>
    </row>
    <row r="17849" spans="1:3" s="7" customFormat="1" x14ac:dyDescent="0.2">
      <c r="A17849" s="6" t="str">
        <f>"AC125618.1"</f>
        <v>AC125618.1</v>
      </c>
      <c r="B17849" s="6" t="s">
        <v>1</v>
      </c>
      <c r="C17849" s="6" t="s">
        <v>1</v>
      </c>
    </row>
    <row r="17850" spans="1:3" s="7" customFormat="1" x14ac:dyDescent="0.2">
      <c r="A17850" s="6" t="str">
        <f>"POU5F1"</f>
        <v>POU5F1</v>
      </c>
      <c r="B17850" s="6" t="s">
        <v>1</v>
      </c>
      <c r="C17850" s="6" t="s">
        <v>1</v>
      </c>
    </row>
    <row r="17851" spans="1:3" s="7" customFormat="1" x14ac:dyDescent="0.2">
      <c r="A17851" s="6" t="str">
        <f>"C1orf53"</f>
        <v>C1orf53</v>
      </c>
      <c r="B17851" s="6" t="s">
        <v>1</v>
      </c>
      <c r="C17851" s="6" t="s">
        <v>1</v>
      </c>
    </row>
    <row r="17852" spans="1:3" s="7" customFormat="1" x14ac:dyDescent="0.2">
      <c r="A17852" s="6" t="str">
        <f>"KLRG2"</f>
        <v>KLRG2</v>
      </c>
      <c r="B17852" s="6" t="s">
        <v>1</v>
      </c>
      <c r="C17852" s="6" t="s">
        <v>1</v>
      </c>
    </row>
    <row r="17853" spans="1:3" s="7" customFormat="1" x14ac:dyDescent="0.2">
      <c r="A17853" s="6" t="str">
        <f>"TFEC"</f>
        <v>TFEC</v>
      </c>
      <c r="B17853" s="6" t="s">
        <v>1</v>
      </c>
      <c r="C17853" s="6" t="s">
        <v>1</v>
      </c>
    </row>
    <row r="17854" spans="1:3" s="7" customFormat="1" x14ac:dyDescent="0.2">
      <c r="A17854" s="6" t="str">
        <f>"CYB5D1"</f>
        <v>CYB5D1</v>
      </c>
      <c r="B17854" s="6" t="s">
        <v>1</v>
      </c>
      <c r="C17854" s="6" t="s">
        <v>1</v>
      </c>
    </row>
    <row r="17855" spans="1:3" s="7" customFormat="1" x14ac:dyDescent="0.2">
      <c r="A17855" s="6" t="str">
        <f>"AC080038.1"</f>
        <v>AC080038.1</v>
      </c>
      <c r="B17855" s="6" t="s">
        <v>1</v>
      </c>
      <c r="C17855" s="6" t="s">
        <v>1</v>
      </c>
    </row>
    <row r="17856" spans="1:3" s="7" customFormat="1" x14ac:dyDescent="0.2">
      <c r="A17856" s="6" t="str">
        <f>"AC068587.4"</f>
        <v>AC068587.4</v>
      </c>
      <c r="B17856" s="6" t="s">
        <v>1</v>
      </c>
      <c r="C17856" s="6" t="s">
        <v>1</v>
      </c>
    </row>
    <row r="17857" spans="1:3" s="7" customFormat="1" x14ac:dyDescent="0.2">
      <c r="A17857" s="6" t="str">
        <f>"TFDP2"</f>
        <v>TFDP2</v>
      </c>
      <c r="B17857" s="6" t="s">
        <v>1</v>
      </c>
      <c r="C17857" s="6" t="s">
        <v>1</v>
      </c>
    </row>
    <row r="17858" spans="1:3" s="7" customFormat="1" x14ac:dyDescent="0.2">
      <c r="A17858" s="6" t="str">
        <f>"AL807776.1"</f>
        <v>AL807776.1</v>
      </c>
      <c r="B17858" s="6" t="s">
        <v>1</v>
      </c>
      <c r="C17858" s="6" t="s">
        <v>1</v>
      </c>
    </row>
    <row r="17859" spans="1:3" s="7" customFormat="1" x14ac:dyDescent="0.2">
      <c r="A17859" s="6" t="str">
        <f>"CRACR2A"</f>
        <v>CRACR2A</v>
      </c>
      <c r="B17859" s="6" t="s">
        <v>1</v>
      </c>
      <c r="C17859" s="6" t="s">
        <v>1</v>
      </c>
    </row>
    <row r="17860" spans="1:3" s="7" customFormat="1" x14ac:dyDescent="0.2">
      <c r="A17860" s="6" t="str">
        <f>"AL161772.1"</f>
        <v>AL161772.1</v>
      </c>
      <c r="B17860" s="6" t="s">
        <v>1</v>
      </c>
      <c r="C17860" s="6" t="s">
        <v>1</v>
      </c>
    </row>
    <row r="17861" spans="1:3" s="7" customFormat="1" x14ac:dyDescent="0.2">
      <c r="A17861" s="6" t="str">
        <f>"CDK19"</f>
        <v>CDK19</v>
      </c>
      <c r="B17861" s="6" t="s">
        <v>1</v>
      </c>
      <c r="C17861" s="6" t="s">
        <v>1</v>
      </c>
    </row>
    <row r="17862" spans="1:3" s="7" customFormat="1" x14ac:dyDescent="0.2">
      <c r="A17862" s="6" t="str">
        <f>"SEMA4A"</f>
        <v>SEMA4A</v>
      </c>
      <c r="B17862" s="6" t="s">
        <v>1</v>
      </c>
      <c r="C17862" s="6" t="s">
        <v>1</v>
      </c>
    </row>
    <row r="17863" spans="1:3" s="7" customFormat="1" x14ac:dyDescent="0.2">
      <c r="A17863" s="6" t="str">
        <f>"SLC25A41"</f>
        <v>SLC25A41</v>
      </c>
      <c r="B17863" s="6" t="s">
        <v>1</v>
      </c>
      <c r="C17863" s="6" t="s">
        <v>1</v>
      </c>
    </row>
    <row r="17864" spans="1:3" s="7" customFormat="1" x14ac:dyDescent="0.2">
      <c r="A17864" s="6" t="str">
        <f>"CDKL4"</f>
        <v>CDKL4</v>
      </c>
      <c r="B17864" s="6" t="s">
        <v>1</v>
      </c>
      <c r="C17864" s="6" t="s">
        <v>1</v>
      </c>
    </row>
    <row r="17865" spans="1:3" s="7" customFormat="1" x14ac:dyDescent="0.2">
      <c r="A17865" s="6" t="str">
        <f>"AC006330.1"</f>
        <v>AC006330.1</v>
      </c>
      <c r="B17865" s="6" t="s">
        <v>1</v>
      </c>
      <c r="C17865" s="6" t="s">
        <v>1</v>
      </c>
    </row>
    <row r="17866" spans="1:3" s="7" customFormat="1" x14ac:dyDescent="0.2">
      <c r="A17866" s="6" t="str">
        <f>"C1orf35"</f>
        <v>C1orf35</v>
      </c>
      <c r="B17866" s="6" t="s">
        <v>1</v>
      </c>
      <c r="C17866" s="6" t="s">
        <v>1</v>
      </c>
    </row>
    <row r="17867" spans="1:3" s="7" customFormat="1" x14ac:dyDescent="0.2">
      <c r="A17867" s="6" t="str">
        <f>"AL132656.2"</f>
        <v>AL132656.2</v>
      </c>
      <c r="B17867" s="6" t="s">
        <v>1</v>
      </c>
      <c r="C17867" s="6" t="s">
        <v>1</v>
      </c>
    </row>
    <row r="17868" spans="1:3" s="7" customFormat="1" x14ac:dyDescent="0.2">
      <c r="A17868" s="6" t="str">
        <f>"POT1"</f>
        <v>POT1</v>
      </c>
      <c r="B17868" s="6" t="s">
        <v>1</v>
      </c>
      <c r="C17868" s="6" t="s">
        <v>1</v>
      </c>
    </row>
    <row r="17869" spans="1:3" s="7" customFormat="1" x14ac:dyDescent="0.2">
      <c r="A17869" s="6" t="str">
        <f>"CAP1P1"</f>
        <v>CAP1P1</v>
      </c>
      <c r="B17869" s="6" t="s">
        <v>1</v>
      </c>
      <c r="C17869" s="6" t="s">
        <v>1</v>
      </c>
    </row>
    <row r="17870" spans="1:3" s="7" customFormat="1" x14ac:dyDescent="0.2">
      <c r="A17870" s="6" t="str">
        <f>"C1QBP"</f>
        <v>C1QBP</v>
      </c>
      <c r="B17870" s="6" t="s">
        <v>1</v>
      </c>
      <c r="C17870" s="6" t="s">
        <v>1</v>
      </c>
    </row>
    <row r="17871" spans="1:3" s="7" customFormat="1" x14ac:dyDescent="0.2">
      <c r="A17871" s="6" t="str">
        <f>"AL136305.1"</f>
        <v>AL136305.1</v>
      </c>
      <c r="B17871" s="6" t="s">
        <v>1</v>
      </c>
      <c r="C17871" s="6" t="s">
        <v>1</v>
      </c>
    </row>
    <row r="17872" spans="1:3" s="7" customFormat="1" x14ac:dyDescent="0.2">
      <c r="A17872" s="6" t="str">
        <f>"ADD2"</f>
        <v>ADD2</v>
      </c>
      <c r="B17872" s="6" t="s">
        <v>1</v>
      </c>
      <c r="C17872" s="6" t="s">
        <v>1</v>
      </c>
    </row>
    <row r="17873" spans="1:3" s="7" customFormat="1" x14ac:dyDescent="0.2">
      <c r="A17873" s="6" t="str">
        <f>"PTGIR"</f>
        <v>PTGIR</v>
      </c>
      <c r="B17873" s="6" t="s">
        <v>1</v>
      </c>
      <c r="C17873" s="6" t="s">
        <v>1</v>
      </c>
    </row>
    <row r="17874" spans="1:3" s="7" customFormat="1" x14ac:dyDescent="0.2">
      <c r="A17874" s="6" t="str">
        <f>"REEP5"</f>
        <v>REEP5</v>
      </c>
      <c r="B17874" s="6" t="s">
        <v>1</v>
      </c>
      <c r="C17874" s="6" t="s">
        <v>1</v>
      </c>
    </row>
    <row r="17875" spans="1:3" s="7" customFormat="1" x14ac:dyDescent="0.2">
      <c r="A17875" s="6" t="str">
        <f>"AL132780.5"</f>
        <v>AL132780.5</v>
      </c>
      <c r="B17875" s="6" t="s">
        <v>1</v>
      </c>
      <c r="C17875" s="6" t="s">
        <v>1</v>
      </c>
    </row>
    <row r="17876" spans="1:3" s="7" customFormat="1" x14ac:dyDescent="0.2">
      <c r="A17876" s="6" t="str">
        <f>"AP000346.2"</f>
        <v>AP000346.2</v>
      </c>
      <c r="B17876" s="6" t="s">
        <v>1</v>
      </c>
      <c r="C17876" s="6" t="s">
        <v>1</v>
      </c>
    </row>
    <row r="17877" spans="1:3" s="7" customFormat="1" x14ac:dyDescent="0.2">
      <c r="A17877" s="6" t="str">
        <f>"AC095055.1"</f>
        <v>AC095055.1</v>
      </c>
      <c r="B17877" s="6" t="s">
        <v>1</v>
      </c>
      <c r="C17877" s="6" t="s">
        <v>1</v>
      </c>
    </row>
    <row r="17878" spans="1:3" s="7" customFormat="1" x14ac:dyDescent="0.2">
      <c r="A17878" s="6" t="str">
        <f>"CDK5"</f>
        <v>CDK5</v>
      </c>
      <c r="B17878" s="6" t="s">
        <v>1</v>
      </c>
      <c r="C17878" s="6" t="s">
        <v>1</v>
      </c>
    </row>
    <row r="17879" spans="1:3" s="7" customFormat="1" x14ac:dyDescent="0.2">
      <c r="A17879" s="6" t="str">
        <f>"AC006273.1"</f>
        <v>AC006273.1</v>
      </c>
      <c r="B17879" s="6" t="s">
        <v>1</v>
      </c>
      <c r="C17879" s="6" t="s">
        <v>1</v>
      </c>
    </row>
    <row r="17880" spans="1:3" s="7" customFormat="1" x14ac:dyDescent="0.2">
      <c r="A17880" s="6" t="str">
        <f>"AC092803.3"</f>
        <v>AC092803.3</v>
      </c>
      <c r="B17880" s="6" t="s">
        <v>1</v>
      </c>
      <c r="C17880" s="6" t="s">
        <v>1</v>
      </c>
    </row>
    <row r="17881" spans="1:3" s="7" customFormat="1" x14ac:dyDescent="0.2">
      <c r="A17881" s="6" t="str">
        <f>"AC006478.2"</f>
        <v>AC006478.2</v>
      </c>
      <c r="B17881" s="6" t="s">
        <v>1</v>
      </c>
      <c r="C17881" s="6" t="s">
        <v>1</v>
      </c>
    </row>
    <row r="17882" spans="1:3" s="7" customFormat="1" x14ac:dyDescent="0.2">
      <c r="A17882" s="6" t="str">
        <f>"TRBV20-1"</f>
        <v>TRBV20-1</v>
      </c>
      <c r="B17882" s="6" t="s">
        <v>1</v>
      </c>
      <c r="C17882" s="6" t="s">
        <v>1</v>
      </c>
    </row>
    <row r="17883" spans="1:3" s="7" customFormat="1" x14ac:dyDescent="0.2">
      <c r="A17883" s="6" t="str">
        <f>"AC012184.2"</f>
        <v>AC012184.2</v>
      </c>
      <c r="B17883" s="6" t="s">
        <v>1</v>
      </c>
      <c r="C17883" s="6" t="s">
        <v>1</v>
      </c>
    </row>
    <row r="17884" spans="1:3" s="7" customFormat="1" x14ac:dyDescent="0.2">
      <c r="A17884" s="6" t="str">
        <f>"CRACR2B"</f>
        <v>CRACR2B</v>
      </c>
      <c r="B17884" s="6" t="s">
        <v>1</v>
      </c>
      <c r="C17884" s="6" t="s">
        <v>1</v>
      </c>
    </row>
    <row r="17885" spans="1:3" s="7" customFormat="1" x14ac:dyDescent="0.2">
      <c r="A17885" s="6" t="str">
        <f>"AC040977.1"</f>
        <v>AC040977.1</v>
      </c>
      <c r="B17885" s="6" t="s">
        <v>1</v>
      </c>
      <c r="C17885" s="6" t="s">
        <v>1</v>
      </c>
    </row>
    <row r="17886" spans="1:3" s="7" customFormat="1" x14ac:dyDescent="0.2">
      <c r="A17886" s="6" t="str">
        <f>"AP001025.1"</f>
        <v>AP001025.1</v>
      </c>
      <c r="B17886" s="6" t="s">
        <v>1</v>
      </c>
      <c r="C17886" s="6" t="s">
        <v>1</v>
      </c>
    </row>
    <row r="17887" spans="1:3" s="7" customFormat="1" x14ac:dyDescent="0.2">
      <c r="A17887" s="6" t="str">
        <f>"AL136295.5"</f>
        <v>AL136295.5</v>
      </c>
      <c r="B17887" s="6" t="s">
        <v>1</v>
      </c>
      <c r="C17887" s="6" t="s">
        <v>1</v>
      </c>
    </row>
    <row r="17888" spans="1:3" s="7" customFormat="1" x14ac:dyDescent="0.2">
      <c r="A17888" s="6" t="str">
        <f>"PLEKHA2"</f>
        <v>PLEKHA2</v>
      </c>
      <c r="B17888" s="6" t="s">
        <v>1</v>
      </c>
      <c r="C17888" s="6" t="s">
        <v>1</v>
      </c>
    </row>
    <row r="17889" spans="1:3" s="7" customFormat="1" x14ac:dyDescent="0.2">
      <c r="A17889" s="6" t="str">
        <f>"RECQL5"</f>
        <v>RECQL5</v>
      </c>
      <c r="B17889" s="6" t="s">
        <v>1</v>
      </c>
      <c r="C17889" s="6" t="s">
        <v>1</v>
      </c>
    </row>
    <row r="17890" spans="1:3" s="7" customFormat="1" x14ac:dyDescent="0.2">
      <c r="A17890" s="6" t="str">
        <f>"ARSLP1"</f>
        <v>ARSLP1</v>
      </c>
      <c r="B17890" s="6" t="s">
        <v>1</v>
      </c>
      <c r="C17890" s="6" t="s">
        <v>1</v>
      </c>
    </row>
    <row r="17891" spans="1:3" s="7" customFormat="1" x14ac:dyDescent="0.2">
      <c r="A17891" s="6" t="str">
        <f>"AC006538.1"</f>
        <v>AC006538.1</v>
      </c>
      <c r="B17891" s="6" t="s">
        <v>1</v>
      </c>
      <c r="C17891" s="6" t="s">
        <v>1</v>
      </c>
    </row>
    <row r="17892" spans="1:3" s="7" customFormat="1" x14ac:dyDescent="0.2">
      <c r="A17892" s="6" t="str">
        <f>"AL021997.2"</f>
        <v>AL021997.2</v>
      </c>
      <c r="B17892" s="6" t="s">
        <v>1</v>
      </c>
      <c r="C17892" s="6" t="s">
        <v>1</v>
      </c>
    </row>
    <row r="17893" spans="1:3" s="7" customFormat="1" x14ac:dyDescent="0.2">
      <c r="A17893" s="6" t="str">
        <f>"COL10A1"</f>
        <v>COL10A1</v>
      </c>
      <c r="B17893" s="6" t="s">
        <v>1</v>
      </c>
      <c r="C17893" s="6" t="s">
        <v>1</v>
      </c>
    </row>
    <row r="17894" spans="1:3" s="7" customFormat="1" x14ac:dyDescent="0.2">
      <c r="A17894" s="6" t="str">
        <f>"RND3"</f>
        <v>RND3</v>
      </c>
      <c r="B17894" s="6" t="s">
        <v>1</v>
      </c>
      <c r="C17894" s="6" t="s">
        <v>1</v>
      </c>
    </row>
    <row r="17895" spans="1:3" s="7" customFormat="1" x14ac:dyDescent="0.2">
      <c r="A17895" s="6" t="str">
        <f>"CAPN1"</f>
        <v>CAPN1</v>
      </c>
      <c r="B17895" s="6" t="s">
        <v>1</v>
      </c>
      <c r="C17895" s="6" t="s">
        <v>1</v>
      </c>
    </row>
    <row r="17896" spans="1:3" s="7" customFormat="1" x14ac:dyDescent="0.2">
      <c r="A17896" s="6" t="str">
        <f>"SNX2"</f>
        <v>SNX2</v>
      </c>
      <c r="B17896" s="6" t="s">
        <v>1</v>
      </c>
      <c r="C17896" s="6" t="s">
        <v>1</v>
      </c>
    </row>
    <row r="17897" spans="1:3" s="7" customFormat="1" x14ac:dyDescent="0.2">
      <c r="A17897" s="6" t="str">
        <f>"AC046143.1"</f>
        <v>AC046143.1</v>
      </c>
      <c r="B17897" s="6" t="s">
        <v>1</v>
      </c>
      <c r="C17897" s="6" t="s">
        <v>1</v>
      </c>
    </row>
    <row r="17898" spans="1:3" s="7" customFormat="1" x14ac:dyDescent="0.2">
      <c r="A17898" s="6" t="str">
        <f>"BORCS8"</f>
        <v>BORCS8</v>
      </c>
      <c r="B17898" s="6" t="s">
        <v>1</v>
      </c>
      <c r="C17898" s="6" t="s">
        <v>1</v>
      </c>
    </row>
    <row r="17899" spans="1:3" s="7" customFormat="1" x14ac:dyDescent="0.2">
      <c r="A17899" s="6" t="str">
        <f>"AXIN2"</f>
        <v>AXIN2</v>
      </c>
      <c r="B17899" s="6" t="s">
        <v>1</v>
      </c>
      <c r="C17899" s="6" t="s">
        <v>1</v>
      </c>
    </row>
    <row r="17900" spans="1:3" s="7" customFormat="1" x14ac:dyDescent="0.2">
      <c r="A17900" s="6" t="str">
        <f>"CNBD2"</f>
        <v>CNBD2</v>
      </c>
      <c r="B17900" s="6" t="s">
        <v>1</v>
      </c>
      <c r="C17900" s="6" t="s">
        <v>1</v>
      </c>
    </row>
    <row r="17901" spans="1:3" s="7" customFormat="1" x14ac:dyDescent="0.2">
      <c r="A17901" s="6" t="str">
        <f>"AC055811.2"</f>
        <v>AC055811.2</v>
      </c>
      <c r="B17901" s="6" t="s">
        <v>1</v>
      </c>
      <c r="C17901" s="6" t="s">
        <v>1</v>
      </c>
    </row>
    <row r="17902" spans="1:3" s="7" customFormat="1" x14ac:dyDescent="0.2">
      <c r="A17902" s="6" t="str">
        <f>"AL805961.1"</f>
        <v>AL805961.1</v>
      </c>
      <c r="B17902" s="6" t="s">
        <v>1</v>
      </c>
      <c r="C17902" s="6" t="s">
        <v>1</v>
      </c>
    </row>
    <row r="17903" spans="1:3" s="7" customFormat="1" x14ac:dyDescent="0.2">
      <c r="A17903" s="6" t="str">
        <f>"AL022324.2"</f>
        <v>AL022324.2</v>
      </c>
      <c r="B17903" s="6" t="s">
        <v>1</v>
      </c>
      <c r="C17903" s="6" t="s">
        <v>1</v>
      </c>
    </row>
    <row r="17904" spans="1:3" s="7" customFormat="1" x14ac:dyDescent="0.2">
      <c r="A17904" s="6" t="str">
        <f>"ATE1"</f>
        <v>ATE1</v>
      </c>
      <c r="B17904" s="6" t="s">
        <v>1</v>
      </c>
      <c r="C17904" s="6" t="s">
        <v>1</v>
      </c>
    </row>
    <row r="17905" spans="1:3" s="7" customFormat="1" x14ac:dyDescent="0.2">
      <c r="A17905" s="6" t="str">
        <f>"AC040174.1"</f>
        <v>AC040174.1</v>
      </c>
      <c r="B17905" s="6" t="s">
        <v>1</v>
      </c>
      <c r="C17905" s="6" t="s">
        <v>1</v>
      </c>
    </row>
    <row r="17906" spans="1:3" s="7" customFormat="1" x14ac:dyDescent="0.2">
      <c r="A17906" s="6" t="str">
        <f>"ART3"</f>
        <v>ART3</v>
      </c>
      <c r="B17906" s="6" t="s">
        <v>1</v>
      </c>
      <c r="C17906" s="6" t="s">
        <v>1</v>
      </c>
    </row>
    <row r="17907" spans="1:3" s="7" customFormat="1" x14ac:dyDescent="0.2">
      <c r="A17907" s="6" t="str">
        <f>"SLC2A4"</f>
        <v>SLC2A4</v>
      </c>
      <c r="B17907" s="6" t="s">
        <v>1</v>
      </c>
      <c r="C17907" s="6" t="s">
        <v>1</v>
      </c>
    </row>
    <row r="17908" spans="1:3" s="7" customFormat="1" x14ac:dyDescent="0.2">
      <c r="A17908" s="6" t="str">
        <f>"TFF2"</f>
        <v>TFF2</v>
      </c>
      <c r="B17908" s="6" t="s">
        <v>1</v>
      </c>
      <c r="C17908" s="6" t="s">
        <v>1</v>
      </c>
    </row>
    <row r="17909" spans="1:3" s="7" customFormat="1" x14ac:dyDescent="0.2">
      <c r="A17909" s="6" t="str">
        <f>"AC012354.1"</f>
        <v>AC012354.1</v>
      </c>
      <c r="B17909" s="6" t="s">
        <v>1</v>
      </c>
      <c r="C17909" s="6" t="s">
        <v>1</v>
      </c>
    </row>
    <row r="17910" spans="1:3" s="7" customFormat="1" x14ac:dyDescent="0.2">
      <c r="A17910" s="6" t="str">
        <f>"WHAMM"</f>
        <v>WHAMM</v>
      </c>
      <c r="B17910" s="6" t="s">
        <v>1</v>
      </c>
      <c r="C17910" s="6" t="s">
        <v>1</v>
      </c>
    </row>
    <row r="17911" spans="1:3" s="7" customFormat="1" x14ac:dyDescent="0.2">
      <c r="A17911" s="6" t="str">
        <f>"AC021205.3"</f>
        <v>AC021205.3</v>
      </c>
      <c r="B17911" s="6" t="s">
        <v>1</v>
      </c>
      <c r="C17911" s="6" t="s">
        <v>1</v>
      </c>
    </row>
    <row r="17912" spans="1:3" s="7" customFormat="1" x14ac:dyDescent="0.2">
      <c r="A17912" s="6" t="str">
        <f>"AC234582.1"</f>
        <v>AC234582.1</v>
      </c>
      <c r="B17912" s="6" t="s">
        <v>1</v>
      </c>
      <c r="C17912" s="6" t="s">
        <v>1</v>
      </c>
    </row>
    <row r="17913" spans="1:3" s="7" customFormat="1" x14ac:dyDescent="0.2">
      <c r="A17913" s="6" t="str">
        <f>"C1orf54"</f>
        <v>C1orf54</v>
      </c>
      <c r="B17913" s="6" t="s">
        <v>1</v>
      </c>
      <c r="C17913" s="6" t="s">
        <v>1</v>
      </c>
    </row>
    <row r="17914" spans="1:3" s="7" customFormat="1" x14ac:dyDescent="0.2">
      <c r="A17914" s="6" t="str">
        <f>"ANXA8"</f>
        <v>ANXA8</v>
      </c>
      <c r="B17914" s="6" t="s">
        <v>1</v>
      </c>
      <c r="C17914" s="6" t="s">
        <v>1</v>
      </c>
    </row>
    <row r="17915" spans="1:3" s="7" customFormat="1" x14ac:dyDescent="0.2">
      <c r="A17915" s="6" t="str">
        <f>"ACADS"</f>
        <v>ACADS</v>
      </c>
      <c r="B17915" s="6" t="s">
        <v>1</v>
      </c>
      <c r="C17915" s="6" t="s">
        <v>1</v>
      </c>
    </row>
    <row r="17916" spans="1:3" s="7" customFormat="1" x14ac:dyDescent="0.2">
      <c r="A17916" s="6" t="str">
        <f>"AC007000.1"</f>
        <v>AC007000.1</v>
      </c>
      <c r="B17916" s="6" t="s">
        <v>1</v>
      </c>
      <c r="C17916" s="6" t="s">
        <v>1</v>
      </c>
    </row>
    <row r="17917" spans="1:3" s="7" customFormat="1" x14ac:dyDescent="0.2">
      <c r="A17917" s="6" t="str">
        <f>"AC007036.5"</f>
        <v>AC007036.5</v>
      </c>
      <c r="B17917" s="6" t="s">
        <v>1</v>
      </c>
      <c r="C17917" s="6" t="s">
        <v>1</v>
      </c>
    </row>
    <row r="17918" spans="1:3" s="7" customFormat="1" x14ac:dyDescent="0.2">
      <c r="A17918" s="6" t="str">
        <f>"ANXA8L1"</f>
        <v>ANXA8L1</v>
      </c>
      <c r="B17918" s="6" t="s">
        <v>1</v>
      </c>
      <c r="C17918" s="6" t="s">
        <v>1</v>
      </c>
    </row>
    <row r="17919" spans="1:3" s="7" customFormat="1" x14ac:dyDescent="0.2">
      <c r="A17919" s="6" t="str">
        <f>"RND2"</f>
        <v>RND2</v>
      </c>
      <c r="B17919" s="6" t="s">
        <v>1</v>
      </c>
      <c r="C17919" s="6" t="s">
        <v>1</v>
      </c>
    </row>
    <row r="17920" spans="1:3" s="7" customFormat="1" x14ac:dyDescent="0.2">
      <c r="A17920" s="6" t="str">
        <f>"ZBTB45P2"</f>
        <v>ZBTB45P2</v>
      </c>
      <c r="B17920" s="6" t="s">
        <v>1</v>
      </c>
      <c r="C17920" s="6" t="s">
        <v>1</v>
      </c>
    </row>
    <row r="17921" spans="1:3" s="7" customFormat="1" x14ac:dyDescent="0.2">
      <c r="A17921" s="6" t="str">
        <f>"AC012317.2"</f>
        <v>AC012317.2</v>
      </c>
      <c r="B17921" s="6" t="s">
        <v>1</v>
      </c>
      <c r="C17921" s="6" t="s">
        <v>1</v>
      </c>
    </row>
    <row r="17922" spans="1:3" s="7" customFormat="1" x14ac:dyDescent="0.2">
      <c r="A17922" s="6" t="str">
        <f>"AL354993.2"</f>
        <v>AL354993.2</v>
      </c>
      <c r="B17922" s="6" t="s">
        <v>1</v>
      </c>
      <c r="C17922" s="6" t="s">
        <v>1</v>
      </c>
    </row>
    <row r="17923" spans="1:3" s="7" customFormat="1" x14ac:dyDescent="0.2">
      <c r="A17923" s="6" t="str">
        <f>"AC015883.1"</f>
        <v>AC015883.1</v>
      </c>
      <c r="B17923" s="6" t="s">
        <v>1</v>
      </c>
      <c r="C17923" s="6" t="s">
        <v>1</v>
      </c>
    </row>
    <row r="17924" spans="1:3" s="7" customFormat="1" x14ac:dyDescent="0.2">
      <c r="A17924" s="6" t="str">
        <f>"AC092757.3"</f>
        <v>AC092757.3</v>
      </c>
      <c r="B17924" s="6" t="s">
        <v>1</v>
      </c>
      <c r="C17924" s="6" t="s">
        <v>1</v>
      </c>
    </row>
    <row r="17925" spans="1:3" s="7" customFormat="1" x14ac:dyDescent="0.2">
      <c r="A17925" s="6" t="str">
        <f>"AC009228.1"</f>
        <v>AC009228.1</v>
      </c>
      <c r="B17925" s="6" t="s">
        <v>1</v>
      </c>
      <c r="C17925" s="6" t="s">
        <v>1</v>
      </c>
    </row>
    <row r="17926" spans="1:3" s="7" customFormat="1" x14ac:dyDescent="0.2">
      <c r="A17926" s="6" t="str">
        <f>"AL713999.2"</f>
        <v>AL713999.2</v>
      </c>
      <c r="B17926" s="6" t="s">
        <v>1</v>
      </c>
      <c r="C17926" s="6" t="s">
        <v>1</v>
      </c>
    </row>
    <row r="17927" spans="1:3" s="7" customFormat="1" x14ac:dyDescent="0.2">
      <c r="A17927" s="6" t="str">
        <f>"AC004584.3"</f>
        <v>AC004584.3</v>
      </c>
      <c r="B17927" s="6" t="s">
        <v>1</v>
      </c>
      <c r="C17927" s="6" t="s">
        <v>1</v>
      </c>
    </row>
    <row r="17928" spans="1:3" s="7" customFormat="1" x14ac:dyDescent="0.2">
      <c r="A17928" s="6" t="str">
        <f>"AC093028.1"</f>
        <v>AC093028.1</v>
      </c>
      <c r="B17928" s="6" t="s">
        <v>1</v>
      </c>
      <c r="C17928" s="6" t="s">
        <v>1</v>
      </c>
    </row>
    <row r="17929" spans="1:3" s="7" customFormat="1" x14ac:dyDescent="0.2">
      <c r="A17929" s="6" t="str">
        <f>"AL022322.2"</f>
        <v>AL022322.2</v>
      </c>
      <c r="B17929" s="6" t="s">
        <v>1</v>
      </c>
      <c r="C17929" s="6" t="s">
        <v>1</v>
      </c>
    </row>
    <row r="17930" spans="1:3" s="7" customFormat="1" x14ac:dyDescent="0.2">
      <c r="A17930" s="6" t="str">
        <f>"RAD51-AS1"</f>
        <v>RAD51-AS1</v>
      </c>
      <c r="B17930" s="6" t="s">
        <v>1</v>
      </c>
      <c r="C17930" s="6" t="s">
        <v>1</v>
      </c>
    </row>
    <row r="17931" spans="1:3" s="7" customFormat="1" x14ac:dyDescent="0.2">
      <c r="A17931" s="6" t="str">
        <f>"B3GAT3"</f>
        <v>B3GAT3</v>
      </c>
      <c r="B17931" s="6" t="s">
        <v>1</v>
      </c>
      <c r="C17931" s="6" t="s">
        <v>1</v>
      </c>
    </row>
    <row r="17932" spans="1:3" s="7" customFormat="1" x14ac:dyDescent="0.2">
      <c r="A17932" s="6" t="str">
        <f>"CRYZL2P-SEC16B"</f>
        <v>CRYZL2P-SEC16B</v>
      </c>
      <c r="B17932" s="6" t="s">
        <v>1</v>
      </c>
      <c r="C17932" s="6" t="s">
        <v>1</v>
      </c>
    </row>
    <row r="17933" spans="1:3" s="7" customFormat="1" x14ac:dyDescent="0.2">
      <c r="A17933" s="6" t="str">
        <f>"CYB561A3"</f>
        <v>CYB561A3</v>
      </c>
      <c r="B17933" s="6" t="s">
        <v>1</v>
      </c>
      <c r="C17933" s="6" t="s">
        <v>1</v>
      </c>
    </row>
    <row r="17934" spans="1:3" s="7" customFormat="1" x14ac:dyDescent="0.2">
      <c r="A17934" s="6" t="str">
        <f>"AL121944.1"</f>
        <v>AL121944.1</v>
      </c>
      <c r="B17934" s="6" t="s">
        <v>1</v>
      </c>
      <c r="C17934" s="6" t="s">
        <v>1</v>
      </c>
    </row>
    <row r="17935" spans="1:3" s="7" customFormat="1" x14ac:dyDescent="0.2">
      <c r="A17935" s="6" t="str">
        <f>"APBB2"</f>
        <v>APBB2</v>
      </c>
      <c r="B17935" s="6" t="s">
        <v>1</v>
      </c>
      <c r="C17935" s="6" t="s">
        <v>1</v>
      </c>
    </row>
    <row r="17936" spans="1:3" s="7" customFormat="1" x14ac:dyDescent="0.2">
      <c r="A17936" s="6" t="str">
        <f>"RPS10P5"</f>
        <v>RPS10P5</v>
      </c>
      <c r="B17936" s="6" t="s">
        <v>1</v>
      </c>
      <c r="C17936" s="6" t="s">
        <v>1</v>
      </c>
    </row>
    <row r="17937" spans="1:3" s="7" customFormat="1" x14ac:dyDescent="0.2">
      <c r="A17937" s="6" t="str">
        <f>"CDK2AP2"</f>
        <v>CDK2AP2</v>
      </c>
      <c r="B17937" s="6" t="s">
        <v>1</v>
      </c>
      <c r="C17937" s="6" t="s">
        <v>1</v>
      </c>
    </row>
    <row r="17938" spans="1:3" s="7" customFormat="1" x14ac:dyDescent="0.2">
      <c r="A17938" s="6" t="str">
        <f>"AC106779.1"</f>
        <v>AC106779.1</v>
      </c>
      <c r="B17938" s="6" t="s">
        <v>1</v>
      </c>
      <c r="C17938" s="6" t="s">
        <v>1</v>
      </c>
    </row>
    <row r="17939" spans="1:3" s="7" customFormat="1" x14ac:dyDescent="0.2">
      <c r="A17939" s="6" t="str">
        <f>"CPT1C"</f>
        <v>CPT1C</v>
      </c>
      <c r="B17939" s="6" t="s">
        <v>1</v>
      </c>
      <c r="C17939" s="6" t="s">
        <v>1</v>
      </c>
    </row>
    <row r="17940" spans="1:3" s="7" customFormat="1" x14ac:dyDescent="0.2">
      <c r="A17940" s="6" t="str">
        <f>"ZNF285"</f>
        <v>ZNF285</v>
      </c>
      <c r="B17940" s="6" t="s">
        <v>1</v>
      </c>
      <c r="C17940" s="6" t="s">
        <v>1</v>
      </c>
    </row>
    <row r="17941" spans="1:3" s="7" customFormat="1" x14ac:dyDescent="0.2">
      <c r="A17941" s="6" t="str">
        <f>"CYB5R3"</f>
        <v>CYB5R3</v>
      </c>
      <c r="B17941" s="6" t="s">
        <v>1</v>
      </c>
      <c r="C17941" s="6" t="s">
        <v>1</v>
      </c>
    </row>
    <row r="17942" spans="1:3" s="7" customFormat="1" x14ac:dyDescent="0.2">
      <c r="A17942" s="6" t="str">
        <f>"CNDP1"</f>
        <v>CNDP1</v>
      </c>
      <c r="B17942" s="6" t="s">
        <v>1</v>
      </c>
      <c r="C17942" s="6" t="s">
        <v>1</v>
      </c>
    </row>
    <row r="17943" spans="1:3" s="7" customFormat="1" x14ac:dyDescent="0.2">
      <c r="A17943" s="6" t="str">
        <f>"SREBF2"</f>
        <v>SREBF2</v>
      </c>
      <c r="B17943" s="6" t="s">
        <v>1</v>
      </c>
      <c r="C17943" s="6" t="s">
        <v>1</v>
      </c>
    </row>
    <row r="17944" spans="1:3" s="7" customFormat="1" x14ac:dyDescent="0.2">
      <c r="A17944" s="6" t="str">
        <f>"AL162231.4"</f>
        <v>AL162231.4</v>
      </c>
      <c r="B17944" s="6" t="s">
        <v>1</v>
      </c>
      <c r="C17944" s="6" t="s">
        <v>1</v>
      </c>
    </row>
    <row r="17945" spans="1:3" s="7" customFormat="1" x14ac:dyDescent="0.2">
      <c r="A17945" s="6" t="str">
        <f>"BBOX1"</f>
        <v>BBOX1</v>
      </c>
      <c r="B17945" s="6" t="s">
        <v>1</v>
      </c>
      <c r="C17945" s="6" t="s">
        <v>1</v>
      </c>
    </row>
    <row r="17946" spans="1:3" s="7" customFormat="1" x14ac:dyDescent="0.2">
      <c r="A17946" s="6" t="str">
        <f>"AC005538.2"</f>
        <v>AC005538.2</v>
      </c>
      <c r="B17946" s="6" t="s">
        <v>1</v>
      </c>
      <c r="C17946" s="6" t="s">
        <v>1</v>
      </c>
    </row>
    <row r="17947" spans="1:3" s="7" customFormat="1" x14ac:dyDescent="0.2">
      <c r="A17947" s="6" t="str">
        <f>"ARF5"</f>
        <v>ARF5</v>
      </c>
      <c r="B17947" s="6" t="s">
        <v>1</v>
      </c>
      <c r="C17947" s="6" t="s">
        <v>1</v>
      </c>
    </row>
    <row r="17948" spans="1:3" s="7" customFormat="1" x14ac:dyDescent="0.2">
      <c r="A17948" s="6" t="str">
        <f>"AC126323.1"</f>
        <v>AC126323.1</v>
      </c>
      <c r="B17948" s="6" t="s">
        <v>1</v>
      </c>
      <c r="C17948" s="6" t="s">
        <v>1</v>
      </c>
    </row>
    <row r="17949" spans="1:3" s="7" customFormat="1" x14ac:dyDescent="0.2">
      <c r="A17949" s="6" t="str">
        <f>"AC012181.1"</f>
        <v>AC012181.1</v>
      </c>
      <c r="B17949" s="6" t="s">
        <v>1</v>
      </c>
      <c r="C17949" s="6" t="s">
        <v>1</v>
      </c>
    </row>
    <row r="17950" spans="1:3" s="7" customFormat="1" x14ac:dyDescent="0.2">
      <c r="A17950" s="6" t="str">
        <f>"AC012184.3"</f>
        <v>AC012184.3</v>
      </c>
      <c r="B17950" s="6" t="s">
        <v>1</v>
      </c>
      <c r="C17950" s="6" t="s">
        <v>1</v>
      </c>
    </row>
    <row r="17951" spans="1:3" s="7" customFormat="1" x14ac:dyDescent="0.2">
      <c r="A17951" s="6" t="str">
        <f>"AP000347.1"</f>
        <v>AP000347.1</v>
      </c>
      <c r="B17951" s="6" t="s">
        <v>1</v>
      </c>
      <c r="C17951" s="6" t="s">
        <v>1</v>
      </c>
    </row>
    <row r="17952" spans="1:3" s="7" customFormat="1" x14ac:dyDescent="0.2">
      <c r="A17952" s="6" t="str">
        <f>"AC046134.2"</f>
        <v>AC046134.2</v>
      </c>
      <c r="B17952" s="6" t="s">
        <v>1</v>
      </c>
      <c r="C17952" s="6" t="s">
        <v>1</v>
      </c>
    </row>
    <row r="17953" spans="1:3" s="7" customFormat="1" x14ac:dyDescent="0.2">
      <c r="A17953" s="6" t="str">
        <f>"CAMLG"</f>
        <v>CAMLG</v>
      </c>
      <c r="B17953" s="6" t="s">
        <v>1</v>
      </c>
      <c r="C17953" s="6" t="s">
        <v>1</v>
      </c>
    </row>
    <row r="17954" spans="1:3" s="7" customFormat="1" x14ac:dyDescent="0.2">
      <c r="A17954" s="6" t="str">
        <f>"AL732437.3"</f>
        <v>AL732437.3</v>
      </c>
      <c r="B17954" s="6" t="s">
        <v>1</v>
      </c>
      <c r="C17954" s="6" t="s">
        <v>1</v>
      </c>
    </row>
    <row r="17955" spans="1:3" s="7" customFormat="1" x14ac:dyDescent="0.2">
      <c r="A17955" s="6" t="str">
        <f>"CAPN8"</f>
        <v>CAPN8</v>
      </c>
      <c r="B17955" s="6" t="s">
        <v>1</v>
      </c>
      <c r="C17955" s="6" t="s">
        <v>1</v>
      </c>
    </row>
    <row r="17956" spans="1:3" s="7" customFormat="1" x14ac:dyDescent="0.2">
      <c r="A17956" s="6" t="str">
        <f>"STRN"</f>
        <v>STRN</v>
      </c>
      <c r="B17956" s="6" t="s">
        <v>1</v>
      </c>
      <c r="C17956" s="6" t="s">
        <v>1</v>
      </c>
    </row>
    <row r="17957" spans="1:3" s="7" customFormat="1" x14ac:dyDescent="0.2">
      <c r="A17957" s="6" t="str">
        <f>"AC006960.3"</f>
        <v>AC006960.3</v>
      </c>
      <c r="B17957" s="6" t="s">
        <v>1</v>
      </c>
      <c r="C17957" s="6" t="s">
        <v>1</v>
      </c>
    </row>
    <row r="17958" spans="1:3" s="7" customFormat="1" x14ac:dyDescent="0.2">
      <c r="A17958" s="6" t="str">
        <f>"B3GNT2"</f>
        <v>B3GNT2</v>
      </c>
      <c r="B17958" s="6" t="s">
        <v>1</v>
      </c>
      <c r="C17958" s="6" t="s">
        <v>1</v>
      </c>
    </row>
    <row r="17959" spans="1:3" s="7" customFormat="1" x14ac:dyDescent="0.2">
      <c r="A17959" s="6" t="str">
        <f>"TFCP2L1"</f>
        <v>TFCP2L1</v>
      </c>
      <c r="B17959" s="6" t="s">
        <v>1</v>
      </c>
      <c r="C17959" s="6" t="s">
        <v>1</v>
      </c>
    </row>
    <row r="17960" spans="1:3" s="7" customFormat="1" x14ac:dyDescent="0.2">
      <c r="A17960" s="6" t="str">
        <f>"LRP2"</f>
        <v>LRP2</v>
      </c>
      <c r="B17960" s="6" t="s">
        <v>1</v>
      </c>
      <c r="C17960" s="6" t="s">
        <v>1</v>
      </c>
    </row>
    <row r="17961" spans="1:3" s="7" customFormat="1" x14ac:dyDescent="0.2">
      <c r="A17961" s="6" t="str">
        <f>"CRABP2"</f>
        <v>CRABP2</v>
      </c>
      <c r="B17961" s="6" t="s">
        <v>1</v>
      </c>
      <c r="C17961" s="6" t="s">
        <v>1</v>
      </c>
    </row>
    <row r="17962" spans="1:3" s="7" customFormat="1" x14ac:dyDescent="0.2">
      <c r="A17962" s="6" t="str">
        <f>"AC146944.2"</f>
        <v>AC146944.2</v>
      </c>
      <c r="B17962" s="6" t="s">
        <v>1</v>
      </c>
      <c r="C17962" s="6" t="s">
        <v>1</v>
      </c>
    </row>
    <row r="17963" spans="1:3" s="7" customFormat="1" x14ac:dyDescent="0.2">
      <c r="A17963" s="6" t="str">
        <f>"AC092828.1"</f>
        <v>AC092828.1</v>
      </c>
      <c r="B17963" s="6" t="s">
        <v>1</v>
      </c>
      <c r="C17963" s="6" t="s">
        <v>1</v>
      </c>
    </row>
    <row r="17964" spans="1:3" s="7" customFormat="1" x14ac:dyDescent="0.2">
      <c r="A17964" s="6" t="str">
        <f>"AL022322.1"</f>
        <v>AL022322.1</v>
      </c>
      <c r="B17964" s="6" t="s">
        <v>1</v>
      </c>
      <c r="C17964" s="6" t="s">
        <v>1</v>
      </c>
    </row>
    <row r="17965" spans="1:3" s="7" customFormat="1" x14ac:dyDescent="0.2">
      <c r="A17965" s="6" t="str">
        <f>"AC126283.2"</f>
        <v>AC126283.2</v>
      </c>
      <c r="B17965" s="6" t="s">
        <v>1</v>
      </c>
      <c r="C17965" s="6" t="s">
        <v>1</v>
      </c>
    </row>
    <row r="17966" spans="1:3" s="7" customFormat="1" x14ac:dyDescent="0.2">
      <c r="A17966" s="6" t="str">
        <f>"ADGRD1"</f>
        <v>ADGRD1</v>
      </c>
      <c r="B17966" s="6" t="s">
        <v>1</v>
      </c>
      <c r="C17966" s="6" t="s">
        <v>1</v>
      </c>
    </row>
    <row r="17967" spans="1:3" s="7" customFormat="1" x14ac:dyDescent="0.2">
      <c r="A17967" s="6" t="str">
        <f>"SEMA3F"</f>
        <v>SEMA3F</v>
      </c>
      <c r="B17967" s="6" t="s">
        <v>1</v>
      </c>
      <c r="C17967" s="6" t="s">
        <v>1</v>
      </c>
    </row>
    <row r="17968" spans="1:3" s="7" customFormat="1" x14ac:dyDescent="0.2">
      <c r="A17968" s="6" t="str">
        <f>"CHKB-DT"</f>
        <v>CHKB-DT</v>
      </c>
      <c r="B17968" s="6" t="s">
        <v>1</v>
      </c>
      <c r="C17968" s="6" t="s">
        <v>1</v>
      </c>
    </row>
    <row r="17969" spans="1:3" s="7" customFormat="1" x14ac:dyDescent="0.2">
      <c r="A17969" s="6" t="str">
        <f>"AC080013.4"</f>
        <v>AC080013.4</v>
      </c>
      <c r="B17969" s="6" t="s">
        <v>1</v>
      </c>
      <c r="C17969" s="6" t="s">
        <v>1</v>
      </c>
    </row>
    <row r="17970" spans="1:3" s="7" customFormat="1" x14ac:dyDescent="0.2">
      <c r="A17970" s="6" t="str">
        <f>"WFIKKN1"</f>
        <v>WFIKKN1</v>
      </c>
      <c r="B17970" s="6" t="s">
        <v>1</v>
      </c>
      <c r="C17970" s="6" t="s">
        <v>1</v>
      </c>
    </row>
    <row r="17971" spans="1:3" s="7" customFormat="1" x14ac:dyDescent="0.2">
      <c r="A17971" s="6" t="str">
        <f>"PRKCQ-AS1"</f>
        <v>PRKCQ-AS1</v>
      </c>
      <c r="B17971" s="6" t="s">
        <v>1</v>
      </c>
      <c r="C17971" s="6" t="s">
        <v>1</v>
      </c>
    </row>
    <row r="17972" spans="1:3" s="7" customFormat="1" x14ac:dyDescent="0.2">
      <c r="A17972" s="6" t="str">
        <f>"TMEM167B"</f>
        <v>TMEM167B</v>
      </c>
      <c r="B17972" s="6" t="s">
        <v>1</v>
      </c>
      <c r="C17972" s="6" t="s">
        <v>1</v>
      </c>
    </row>
    <row r="17973" spans="1:3" s="7" customFormat="1" x14ac:dyDescent="0.2">
      <c r="A17973" s="6" t="str">
        <f>"PLEKHA7"</f>
        <v>PLEKHA7</v>
      </c>
      <c r="B17973" s="6" t="s">
        <v>1</v>
      </c>
      <c r="C17973" s="6" t="s">
        <v>1</v>
      </c>
    </row>
    <row r="17974" spans="1:3" s="7" customFormat="1" x14ac:dyDescent="0.2">
      <c r="A17974" s="6" t="str">
        <f>"CNDP2"</f>
        <v>CNDP2</v>
      </c>
      <c r="B17974" s="6" t="s">
        <v>1</v>
      </c>
      <c r="C17974" s="6" t="s">
        <v>1</v>
      </c>
    </row>
    <row r="17975" spans="1:3" s="7" customFormat="1" x14ac:dyDescent="0.2">
      <c r="A17975" s="6" t="str">
        <f>"AC083864.5"</f>
        <v>AC083864.5</v>
      </c>
      <c r="B17975" s="6" t="s">
        <v>1</v>
      </c>
      <c r="C17975" s="6" t="s">
        <v>1</v>
      </c>
    </row>
    <row r="17976" spans="1:3" s="7" customFormat="1" x14ac:dyDescent="0.2">
      <c r="A17976" s="6" t="str">
        <f>"AC127035.1"</f>
        <v>AC127035.1</v>
      </c>
      <c r="B17976" s="6" t="s">
        <v>1</v>
      </c>
      <c r="C17976" s="6" t="s">
        <v>1</v>
      </c>
    </row>
    <row r="17977" spans="1:3" s="7" customFormat="1" x14ac:dyDescent="0.2">
      <c r="A17977" s="6" t="str">
        <f>"AC125494.2"</f>
        <v>AC125494.2</v>
      </c>
      <c r="B17977" s="6" t="s">
        <v>1</v>
      </c>
      <c r="C17977" s="6" t="s">
        <v>1</v>
      </c>
    </row>
    <row r="17978" spans="1:3" s="7" customFormat="1" x14ac:dyDescent="0.2">
      <c r="A17978" s="6" t="str">
        <f>"CDKL3"</f>
        <v>CDKL3</v>
      </c>
      <c r="B17978" s="6" t="s">
        <v>1</v>
      </c>
      <c r="C17978" s="6" t="s">
        <v>1</v>
      </c>
    </row>
    <row r="17979" spans="1:3" s="7" customFormat="1" x14ac:dyDescent="0.2">
      <c r="A17979" s="6" t="str">
        <f>"CCDC88C"</f>
        <v>CCDC88C</v>
      </c>
      <c r="B17979" s="6" t="s">
        <v>1</v>
      </c>
      <c r="C17979" s="6" t="s">
        <v>1</v>
      </c>
    </row>
    <row r="17980" spans="1:3" s="7" customFormat="1" x14ac:dyDescent="0.2">
      <c r="A17980" s="6" t="str">
        <f>"SLFNL1-AS1"</f>
        <v>SLFNL1-AS1</v>
      </c>
      <c r="B17980" s="6" t="s">
        <v>1</v>
      </c>
      <c r="C17980" s="6" t="s">
        <v>1</v>
      </c>
    </row>
    <row r="17981" spans="1:3" s="7" customFormat="1" x14ac:dyDescent="0.2">
      <c r="A17981" s="6" t="str">
        <f>"AC021028.1"</f>
        <v>AC021028.1</v>
      </c>
      <c r="B17981" s="6" t="s">
        <v>1</v>
      </c>
      <c r="C17981" s="6" t="s">
        <v>1</v>
      </c>
    </row>
    <row r="17982" spans="1:3" s="7" customFormat="1" x14ac:dyDescent="0.2">
      <c r="A17982" s="6" t="str">
        <f>"AXL"</f>
        <v>AXL</v>
      </c>
      <c r="B17982" s="6" t="s">
        <v>1</v>
      </c>
      <c r="C17982" s="6" t="s">
        <v>1</v>
      </c>
    </row>
    <row r="17983" spans="1:3" s="7" customFormat="1" x14ac:dyDescent="0.2">
      <c r="A17983" s="6" t="str">
        <f>"TRBV5-1"</f>
        <v>TRBV5-1</v>
      </c>
      <c r="B17983" s="6" t="s">
        <v>1</v>
      </c>
      <c r="C17983" s="6" t="s">
        <v>1</v>
      </c>
    </row>
    <row r="17984" spans="1:3" s="7" customFormat="1" x14ac:dyDescent="0.2">
      <c r="A17984" s="6" t="str">
        <f>"AC021755.2"</f>
        <v>AC021755.2</v>
      </c>
      <c r="B17984" s="6" t="s">
        <v>1</v>
      </c>
      <c r="C17984" s="6" t="s">
        <v>1</v>
      </c>
    </row>
    <row r="17985" spans="1:3" s="7" customFormat="1" x14ac:dyDescent="0.2">
      <c r="A17985" s="6" t="str">
        <f>"AC006449.5"</f>
        <v>AC006449.5</v>
      </c>
      <c r="B17985" s="6" t="s">
        <v>1</v>
      </c>
      <c r="C17985" s="6" t="s">
        <v>1</v>
      </c>
    </row>
    <row r="17986" spans="1:3" s="7" customFormat="1" x14ac:dyDescent="0.2">
      <c r="A17986" s="6" t="str">
        <f>"AC004264.2"</f>
        <v>AC004264.2</v>
      </c>
      <c r="B17986" s="6" t="s">
        <v>1</v>
      </c>
      <c r="C17986" s="6" t="s">
        <v>1</v>
      </c>
    </row>
    <row r="17987" spans="1:3" s="7" customFormat="1" x14ac:dyDescent="0.2">
      <c r="A17987" s="6" t="str">
        <f>"ARSL"</f>
        <v>ARSL</v>
      </c>
      <c r="B17987" s="6" t="s">
        <v>1</v>
      </c>
      <c r="C17987" s="6" t="s">
        <v>1</v>
      </c>
    </row>
    <row r="17988" spans="1:3" s="7" customFormat="1" x14ac:dyDescent="0.2">
      <c r="A17988" s="6" t="str">
        <f>"AC132938.5"</f>
        <v>AC132938.5</v>
      </c>
      <c r="B17988" s="6" t="s">
        <v>1</v>
      </c>
      <c r="C17988" s="6" t="s">
        <v>1</v>
      </c>
    </row>
    <row r="17989" spans="1:3" s="7" customFormat="1" x14ac:dyDescent="0.2">
      <c r="A17989" s="6" t="str">
        <f>"UBTF"</f>
        <v>UBTF</v>
      </c>
      <c r="B17989" s="6" t="s">
        <v>1</v>
      </c>
      <c r="C17989" s="6" t="s">
        <v>1</v>
      </c>
    </row>
    <row r="17990" spans="1:3" s="7" customFormat="1" x14ac:dyDescent="0.2">
      <c r="A17990" s="6" t="str">
        <f>"AC012306.3"</f>
        <v>AC012306.3</v>
      </c>
      <c r="B17990" s="6" t="s">
        <v>1</v>
      </c>
      <c r="C17990" s="6" t="s">
        <v>1</v>
      </c>
    </row>
    <row r="17991" spans="1:3" s="7" customFormat="1" x14ac:dyDescent="0.2">
      <c r="A17991" s="6" t="str">
        <f>"AC087741.3"</f>
        <v>AC087741.3</v>
      </c>
      <c r="B17991" s="6" t="s">
        <v>1</v>
      </c>
      <c r="C17991" s="6" t="s">
        <v>1</v>
      </c>
    </row>
    <row r="17992" spans="1:3" s="7" customFormat="1" x14ac:dyDescent="0.2">
      <c r="A17992" s="6" t="str">
        <f>"DIRC3-AS1"</f>
        <v>DIRC3-AS1</v>
      </c>
      <c r="B17992" s="6" t="s">
        <v>1</v>
      </c>
      <c r="C17992" s="6" t="s">
        <v>1</v>
      </c>
    </row>
    <row r="17993" spans="1:3" s="7" customFormat="1" x14ac:dyDescent="0.2">
      <c r="A17993" s="6" t="str">
        <f>"AC108673.3"</f>
        <v>AC108673.3</v>
      </c>
      <c r="B17993" s="6" t="s">
        <v>1</v>
      </c>
      <c r="C17993" s="6" t="s">
        <v>1</v>
      </c>
    </row>
    <row r="17994" spans="1:3" s="7" customFormat="1" x14ac:dyDescent="0.2">
      <c r="A17994" s="6" t="str">
        <f>"AL022323.3"</f>
        <v>AL022323.3</v>
      </c>
      <c r="B17994" s="6" t="s">
        <v>1</v>
      </c>
      <c r="C17994" s="6" t="s">
        <v>1</v>
      </c>
    </row>
    <row r="17995" spans="1:3" s="7" customFormat="1" x14ac:dyDescent="0.2">
      <c r="A17995" s="6" t="str">
        <f>"WFIKKN2"</f>
        <v>WFIKKN2</v>
      </c>
      <c r="B17995" s="6" t="s">
        <v>1</v>
      </c>
      <c r="C17995" s="6" t="s">
        <v>1</v>
      </c>
    </row>
    <row r="17996" spans="1:3" s="7" customFormat="1" x14ac:dyDescent="0.2">
      <c r="A17996" s="6" t="str">
        <f>"AP000311.1"</f>
        <v>AP000311.1</v>
      </c>
      <c r="B17996" s="6" t="s">
        <v>1</v>
      </c>
      <c r="C17996" s="6" t="s">
        <v>1</v>
      </c>
    </row>
    <row r="17997" spans="1:3" s="7" customFormat="1" x14ac:dyDescent="0.2">
      <c r="A17997" s="6" t="str">
        <f>"AL022151.1"</f>
        <v>AL022151.1</v>
      </c>
      <c r="B17997" s="6" t="s">
        <v>1</v>
      </c>
      <c r="C17997" s="6" t="s">
        <v>1</v>
      </c>
    </row>
    <row r="17998" spans="1:3" s="7" customFormat="1" x14ac:dyDescent="0.2">
      <c r="A17998" s="6" t="str">
        <f>"AL022328.1"</f>
        <v>AL022328.1</v>
      </c>
      <c r="B17998" s="6" t="s">
        <v>1</v>
      </c>
      <c r="C17998" s="6" t="s">
        <v>1</v>
      </c>
    </row>
    <row r="17999" spans="1:3" s="7" customFormat="1" x14ac:dyDescent="0.2">
      <c r="A17999" s="6" t="str">
        <f>"SREK1"</f>
        <v>SREK1</v>
      </c>
      <c r="B17999" s="6" t="s">
        <v>1</v>
      </c>
      <c r="C17999" s="6" t="s">
        <v>1</v>
      </c>
    </row>
    <row r="18000" spans="1:3" s="7" customFormat="1" x14ac:dyDescent="0.2">
      <c r="A18000" s="6" t="str">
        <f>"ANXA13"</f>
        <v>ANXA13</v>
      </c>
      <c r="B18000" s="6" t="s">
        <v>1</v>
      </c>
      <c r="C18000" s="6" t="s">
        <v>1</v>
      </c>
    </row>
    <row r="18001" spans="1:3" s="7" customFormat="1" x14ac:dyDescent="0.2">
      <c r="A18001" s="6" t="str">
        <f>"AL132657.1"</f>
        <v>AL132657.1</v>
      </c>
      <c r="B18001" s="6" t="s">
        <v>1</v>
      </c>
      <c r="C18001" s="6" t="s">
        <v>1</v>
      </c>
    </row>
    <row r="18002" spans="1:3" s="7" customFormat="1" x14ac:dyDescent="0.2">
      <c r="A18002" s="6" t="str">
        <f>"CDKL1"</f>
        <v>CDKL1</v>
      </c>
      <c r="B18002" s="6" t="s">
        <v>1</v>
      </c>
      <c r="C18002" s="6" t="s">
        <v>1</v>
      </c>
    </row>
    <row r="18003" spans="1:3" s="7" customFormat="1" x14ac:dyDescent="0.2">
      <c r="A18003" s="6" t="str">
        <f>"AL732509.1"</f>
        <v>AL732509.1</v>
      </c>
      <c r="B18003" s="6" t="s">
        <v>1</v>
      </c>
      <c r="C18003" s="6" t="s">
        <v>1</v>
      </c>
    </row>
    <row r="18004" spans="1:3" s="7" customFormat="1" x14ac:dyDescent="0.2">
      <c r="A18004" s="6" t="str">
        <f>"AP001033.2"</f>
        <v>AP001033.2</v>
      </c>
      <c r="B18004" s="6" t="s">
        <v>1</v>
      </c>
      <c r="C18004" s="6" t="s">
        <v>1</v>
      </c>
    </row>
    <row r="18005" spans="1:3" s="7" customFormat="1" x14ac:dyDescent="0.2">
      <c r="A18005" s="6" t="str">
        <f>"AC092894.1"</f>
        <v>AC092894.1</v>
      </c>
      <c r="B18005" s="6" t="s">
        <v>1</v>
      </c>
      <c r="C18005" s="6" t="s">
        <v>1</v>
      </c>
    </row>
    <row r="18006" spans="1:3" s="7" customFormat="1" x14ac:dyDescent="0.2">
      <c r="A18006" s="6" t="str">
        <f>"RPS11"</f>
        <v>RPS11</v>
      </c>
      <c r="B18006" s="6" t="s">
        <v>1</v>
      </c>
      <c r="C18006" s="6" t="s">
        <v>1</v>
      </c>
    </row>
    <row r="18007" spans="1:3" s="7" customFormat="1" x14ac:dyDescent="0.2">
      <c r="A18007" s="6" t="str">
        <f>"CYC1"</f>
        <v>CYC1</v>
      </c>
      <c r="B18007" s="6" t="s">
        <v>1</v>
      </c>
      <c r="C18007" s="6" t="s">
        <v>1</v>
      </c>
    </row>
    <row r="18008" spans="1:3" s="7" customFormat="1" x14ac:dyDescent="0.2">
      <c r="A18008" s="6" t="str">
        <f>"AP001062.1"</f>
        <v>AP001062.1</v>
      </c>
      <c r="B18008" s="6" t="s">
        <v>1</v>
      </c>
      <c r="C18008" s="6" t="s">
        <v>1</v>
      </c>
    </row>
    <row r="18009" spans="1:3" s="7" customFormat="1" x14ac:dyDescent="0.2">
      <c r="A18009" s="6" t="str">
        <f>"AL121972.1"</f>
        <v>AL121972.1</v>
      </c>
      <c r="B18009" s="6" t="s">
        <v>1</v>
      </c>
      <c r="C18009" s="6" t="s">
        <v>1</v>
      </c>
    </row>
    <row r="18010" spans="1:3" s="7" customFormat="1" x14ac:dyDescent="0.2">
      <c r="A18010" s="6" t="str">
        <f>"B3GAT1-DT"</f>
        <v>B3GAT1-DT</v>
      </c>
      <c r="B18010" s="6" t="s">
        <v>1</v>
      </c>
      <c r="C18010" s="6" t="s">
        <v>1</v>
      </c>
    </row>
    <row r="18011" spans="1:3" s="7" customFormat="1" x14ac:dyDescent="0.2">
      <c r="A18011" s="6" t="str">
        <f>"C1QTNF1"</f>
        <v>C1QTNF1</v>
      </c>
      <c r="B18011" s="6" t="s">
        <v>1</v>
      </c>
      <c r="C18011" s="6" t="s">
        <v>1</v>
      </c>
    </row>
    <row r="18012" spans="1:3" s="7" customFormat="1" x14ac:dyDescent="0.2">
      <c r="A18012" s="6" t="str">
        <f>"SHOX2"</f>
        <v>SHOX2</v>
      </c>
      <c r="B18012" s="6" t="s">
        <v>1</v>
      </c>
      <c r="C18012" s="6" t="s">
        <v>1</v>
      </c>
    </row>
    <row r="18013" spans="1:3" s="7" customFormat="1" x14ac:dyDescent="0.2">
      <c r="A18013" s="6" t="str">
        <f>"AC087721.2"</f>
        <v>AC087721.2</v>
      </c>
      <c r="B18013" s="6" t="s">
        <v>1</v>
      </c>
      <c r="C18013" s="6" t="s">
        <v>1</v>
      </c>
    </row>
    <row r="18014" spans="1:3" s="7" customFormat="1" x14ac:dyDescent="0.2">
      <c r="A18014" s="6" t="str">
        <f>"CYCSP10"</f>
        <v>CYCSP10</v>
      </c>
      <c r="B18014" s="6" t="s">
        <v>1</v>
      </c>
      <c r="C18014" s="6" t="s">
        <v>1</v>
      </c>
    </row>
    <row r="18015" spans="1:3" s="7" customFormat="1" x14ac:dyDescent="0.2">
      <c r="A18015" s="6" t="str">
        <f>"AL162431.1"</f>
        <v>AL162431.1</v>
      </c>
      <c r="B18015" s="6" t="s">
        <v>1</v>
      </c>
      <c r="C18015" s="6" t="s">
        <v>1</v>
      </c>
    </row>
    <row r="18016" spans="1:3" s="7" customFormat="1" x14ac:dyDescent="0.2">
      <c r="A18016" s="6" t="str">
        <f>"AC012236.1"</f>
        <v>AC012236.1</v>
      </c>
      <c r="B18016" s="6" t="s">
        <v>1</v>
      </c>
      <c r="C18016" s="6" t="s">
        <v>1</v>
      </c>
    </row>
    <row r="18017" spans="1:3" s="7" customFormat="1" x14ac:dyDescent="0.2">
      <c r="A18017" s="6" t="str">
        <f>"BORCS8-MEF2B"</f>
        <v>BORCS8-MEF2B</v>
      </c>
      <c r="B18017" s="6" t="s">
        <v>1</v>
      </c>
      <c r="C18017" s="6" t="s">
        <v>1</v>
      </c>
    </row>
    <row r="18018" spans="1:3" s="7" customFormat="1" x14ac:dyDescent="0.2">
      <c r="A18018" s="6" t="str">
        <f>"AP4B1"</f>
        <v>AP4B1</v>
      </c>
      <c r="B18018" s="6" t="s">
        <v>1</v>
      </c>
      <c r="C18018" s="6" t="s">
        <v>1</v>
      </c>
    </row>
    <row r="18019" spans="1:3" s="7" customFormat="1" x14ac:dyDescent="0.2">
      <c r="A18019" s="6" t="str">
        <f>"BORCS6"</f>
        <v>BORCS6</v>
      </c>
      <c r="B18019" s="6" t="s">
        <v>1</v>
      </c>
      <c r="C18019" s="6" t="s">
        <v>1</v>
      </c>
    </row>
    <row r="18020" spans="1:3" s="7" customFormat="1" x14ac:dyDescent="0.2">
      <c r="A18020" s="6" t="str">
        <f>"BPIFB2"</f>
        <v>BPIFB2</v>
      </c>
      <c r="B18020" s="6" t="s">
        <v>1</v>
      </c>
      <c r="C18020" s="6" t="s">
        <v>1</v>
      </c>
    </row>
    <row r="18021" spans="1:3" s="7" customFormat="1" x14ac:dyDescent="0.2">
      <c r="A18021" s="6" t="str">
        <f>"BPI"</f>
        <v>BPI</v>
      </c>
      <c r="B18021" s="6" t="s">
        <v>1</v>
      </c>
      <c r="C18021" s="6" t="s">
        <v>1</v>
      </c>
    </row>
    <row r="18022" spans="1:3" s="7" customFormat="1" x14ac:dyDescent="0.2">
      <c r="A18022" s="6" t="str">
        <f>"AC004224.2"</f>
        <v>AC004224.2</v>
      </c>
      <c r="B18022" s="6" t="s">
        <v>1</v>
      </c>
      <c r="C18022" s="6" t="s">
        <v>1</v>
      </c>
    </row>
    <row r="18023" spans="1:3" s="7" customFormat="1" x14ac:dyDescent="0.2">
      <c r="A18023" s="6" t="str">
        <f>"AL731684.1"</f>
        <v>AL731684.1</v>
      </c>
      <c r="B18023" s="6" t="s">
        <v>1</v>
      </c>
      <c r="C18023" s="6" t="s">
        <v>1</v>
      </c>
    </row>
    <row r="18024" spans="1:3" s="7" customFormat="1" x14ac:dyDescent="0.2">
      <c r="A18024" s="6" t="str">
        <f>"AC004067.1"</f>
        <v>AC004067.1</v>
      </c>
      <c r="B18024" s="6" t="s">
        <v>1</v>
      </c>
      <c r="C18024" s="6" t="s">
        <v>1</v>
      </c>
    </row>
    <row r="18025" spans="1:3" s="7" customFormat="1" x14ac:dyDescent="0.2">
      <c r="A18025" s="6" t="str">
        <f>"CR769775.2"</f>
        <v>CR769775.2</v>
      </c>
      <c r="B18025" s="6" t="s">
        <v>1</v>
      </c>
      <c r="C18025" s="6" t="s">
        <v>1</v>
      </c>
    </row>
    <row r="18026" spans="1:3" s="7" customFormat="1" x14ac:dyDescent="0.2">
      <c r="A18026" s="6" t="str">
        <f>"ADCY4"</f>
        <v>ADCY4</v>
      </c>
      <c r="B18026" s="6" t="s">
        <v>1</v>
      </c>
      <c r="C18026" s="6" t="s">
        <v>1</v>
      </c>
    </row>
    <row r="18027" spans="1:3" s="7" customFormat="1" x14ac:dyDescent="0.2">
      <c r="A18027" s="6" t="str">
        <f>"AC009118.3"</f>
        <v>AC009118.3</v>
      </c>
      <c r="B18027" s="6" t="s">
        <v>1</v>
      </c>
      <c r="C18027" s="6" t="s">
        <v>1</v>
      </c>
    </row>
    <row r="18028" spans="1:3" s="7" customFormat="1" x14ac:dyDescent="0.2">
      <c r="A18028" s="6" t="str">
        <f>"AL731577.2"</f>
        <v>AL731577.2</v>
      </c>
      <c r="B18028" s="6" t="s">
        <v>1</v>
      </c>
      <c r="C18028" s="6" t="s">
        <v>1</v>
      </c>
    </row>
    <row r="18029" spans="1:3" s="7" customFormat="1" x14ac:dyDescent="0.2">
      <c r="A18029" s="6" t="str">
        <f>"AC004263.2"</f>
        <v>AC004263.2</v>
      </c>
      <c r="B18029" s="6" t="s">
        <v>1</v>
      </c>
      <c r="C18029" s="6" t="s">
        <v>1</v>
      </c>
    </row>
    <row r="18030" spans="1:3" s="7" customFormat="1" x14ac:dyDescent="0.2">
      <c r="A18030" s="6" t="str">
        <f>"AP000345.2"</f>
        <v>AP000345.2</v>
      </c>
      <c r="B18030" s="6" t="s">
        <v>1</v>
      </c>
      <c r="C18030" s="6" t="s">
        <v>1</v>
      </c>
    </row>
    <row r="18031" spans="1:3" s="7" customFormat="1" x14ac:dyDescent="0.2">
      <c r="A18031" s="6" t="str">
        <f>"AC004076.1"</f>
        <v>AC004076.1</v>
      </c>
      <c r="B18031" s="6" t="s">
        <v>1</v>
      </c>
      <c r="C18031" s="6" t="s">
        <v>1</v>
      </c>
    </row>
    <row r="18032" spans="1:3" s="7" customFormat="1" x14ac:dyDescent="0.2">
      <c r="A18032" s="6" t="str">
        <f>"S100A1"</f>
        <v>S100A1</v>
      </c>
      <c r="B18032" s="6" t="s">
        <v>1</v>
      </c>
      <c r="C18032" s="6" t="s">
        <v>1</v>
      </c>
    </row>
    <row r="18033" spans="1:3" s="7" customFormat="1" x14ac:dyDescent="0.2">
      <c r="A18033" s="6" t="str">
        <f>"CNIH4"</f>
        <v>CNIH4</v>
      </c>
      <c r="B18033" s="6" t="s">
        <v>1</v>
      </c>
      <c r="C18033" s="6" t="s">
        <v>1</v>
      </c>
    </row>
    <row r="18034" spans="1:3" s="7" customFormat="1" x14ac:dyDescent="0.2">
      <c r="A18034" s="6" t="str">
        <f>"DIRC3"</f>
        <v>DIRC3</v>
      </c>
      <c r="B18034" s="6" t="s">
        <v>1</v>
      </c>
      <c r="C18034" s="6" t="s">
        <v>1</v>
      </c>
    </row>
    <row r="18035" spans="1:3" s="7" customFormat="1" x14ac:dyDescent="0.2">
      <c r="A18035" s="6" t="str">
        <f>"CRACDL"</f>
        <v>CRACDL</v>
      </c>
      <c r="B18035" s="6" t="s">
        <v>1</v>
      </c>
      <c r="C18035" s="6" t="s">
        <v>1</v>
      </c>
    </row>
    <row r="18036" spans="1:3" s="7" customFormat="1" x14ac:dyDescent="0.2">
      <c r="A18036" s="6" t="str">
        <f>"AC012313.1"</f>
        <v>AC012313.1</v>
      </c>
      <c r="B18036" s="6" t="s">
        <v>1</v>
      </c>
      <c r="C18036" s="6" t="s">
        <v>1</v>
      </c>
    </row>
    <row r="18037" spans="1:3" s="7" customFormat="1" x14ac:dyDescent="0.2">
      <c r="A18037" s="6" t="str">
        <f>"AC124947.2"</f>
        <v>AC124947.2</v>
      </c>
      <c r="B18037" s="6" t="s">
        <v>1</v>
      </c>
      <c r="C18037" s="6" t="s">
        <v>1</v>
      </c>
    </row>
    <row r="18038" spans="1:3" s="7" customFormat="1" x14ac:dyDescent="0.2">
      <c r="A18038" s="6" t="str">
        <f>"AC009126.1"</f>
        <v>AC009126.1</v>
      </c>
      <c r="B18038" s="6" t="s">
        <v>1</v>
      </c>
      <c r="C18038" s="6" t="s">
        <v>1</v>
      </c>
    </row>
    <row r="18039" spans="1:3" s="7" customFormat="1" x14ac:dyDescent="0.2">
      <c r="A18039" s="6" t="str">
        <f>"ARSB"</f>
        <v>ARSB</v>
      </c>
      <c r="B18039" s="6" t="s">
        <v>1</v>
      </c>
      <c r="C18039" s="6" t="s">
        <v>1</v>
      </c>
    </row>
    <row r="18040" spans="1:3" s="7" customFormat="1" x14ac:dyDescent="0.2">
      <c r="A18040" s="6" t="str">
        <f>"AC004585.1"</f>
        <v>AC004585.1</v>
      </c>
      <c r="B18040" s="6" t="s">
        <v>1</v>
      </c>
      <c r="C18040" s="6" t="s">
        <v>1</v>
      </c>
    </row>
    <row r="18041" spans="1:3" s="7" customFormat="1" x14ac:dyDescent="0.2">
      <c r="A18041" s="6" t="str">
        <f>"AC007066.3"</f>
        <v>AC007066.3</v>
      </c>
      <c r="B18041" s="6" t="s">
        <v>1</v>
      </c>
      <c r="C18041" s="6" t="s">
        <v>1</v>
      </c>
    </row>
    <row r="18042" spans="1:3" s="7" customFormat="1" x14ac:dyDescent="0.2">
      <c r="A18042" s="6" t="str">
        <f>"CNKSR2"</f>
        <v>CNKSR2</v>
      </c>
      <c r="B18042" s="6" t="s">
        <v>1</v>
      </c>
      <c r="C18042" s="6" t="s">
        <v>1</v>
      </c>
    </row>
    <row r="18043" spans="1:3" s="7" customFormat="1" x14ac:dyDescent="0.2">
      <c r="A18043" s="6" t="str">
        <f>"AC087672.2"</f>
        <v>AC087672.2</v>
      </c>
      <c r="B18043" s="6" t="s">
        <v>1</v>
      </c>
      <c r="C18043" s="6" t="s">
        <v>1</v>
      </c>
    </row>
    <row r="18044" spans="1:3" s="7" customFormat="1" x14ac:dyDescent="0.2">
      <c r="A18044" s="6" t="str">
        <f>"AC092919.2"</f>
        <v>AC092919.2</v>
      </c>
      <c r="B18044" s="6" t="s">
        <v>1</v>
      </c>
      <c r="C18044" s="6" t="s">
        <v>1</v>
      </c>
    </row>
    <row r="18045" spans="1:3" s="7" customFormat="1" x14ac:dyDescent="0.2">
      <c r="A18045" s="6" t="str">
        <f>"AL391422.1"</f>
        <v>AL391422.1</v>
      </c>
      <c r="B18045" s="6" t="s">
        <v>1</v>
      </c>
      <c r="C18045" s="6" t="s">
        <v>1</v>
      </c>
    </row>
    <row r="18046" spans="1:3" s="7" customFormat="1" x14ac:dyDescent="0.2">
      <c r="A18046" s="6" t="str">
        <f>"KLRG1"</f>
        <v>KLRG1</v>
      </c>
      <c r="B18046" s="6" t="s">
        <v>1</v>
      </c>
      <c r="C18046" s="6" t="s">
        <v>1</v>
      </c>
    </row>
    <row r="18047" spans="1:3" s="7" customFormat="1" x14ac:dyDescent="0.2">
      <c r="A18047" s="6" t="str">
        <f>"AC083855.2"</f>
        <v>AC083855.2</v>
      </c>
      <c r="B18047" s="6" t="s">
        <v>1</v>
      </c>
      <c r="C18047" s="6" t="s">
        <v>1</v>
      </c>
    </row>
    <row r="18048" spans="1:3" s="7" customFormat="1" x14ac:dyDescent="0.2">
      <c r="A18048" s="6" t="str">
        <f>"KCNK17"</f>
        <v>KCNK17</v>
      </c>
      <c r="B18048" s="6" t="s">
        <v>1</v>
      </c>
      <c r="C18048" s="6" t="s">
        <v>1</v>
      </c>
    </row>
    <row r="18049" spans="1:3" s="7" customFormat="1" x14ac:dyDescent="0.2">
      <c r="A18049" s="6" t="str">
        <f>"APH1A"</f>
        <v>APH1A</v>
      </c>
      <c r="B18049" s="6" t="s">
        <v>1</v>
      </c>
      <c r="C18049" s="6" t="s">
        <v>1</v>
      </c>
    </row>
    <row r="18050" spans="1:3" s="7" customFormat="1" x14ac:dyDescent="0.2">
      <c r="A18050" s="6" t="str">
        <f>"TFDP1P2"</f>
        <v>TFDP1P2</v>
      </c>
      <c r="B18050" s="6" t="s">
        <v>1</v>
      </c>
      <c r="C18050" s="6" t="s">
        <v>1</v>
      </c>
    </row>
    <row r="18051" spans="1:3" s="7" customFormat="1" x14ac:dyDescent="0.2">
      <c r="A18051" s="6" t="str">
        <f>"AC021037.1"</f>
        <v>AC021037.1</v>
      </c>
      <c r="B18051" s="6" t="s">
        <v>1</v>
      </c>
      <c r="C18051" s="6" t="s">
        <v>1</v>
      </c>
    </row>
    <row r="18052" spans="1:3" s="7" customFormat="1" x14ac:dyDescent="0.2">
      <c r="A18052" s="6" t="str">
        <f>"AL032819.2"</f>
        <v>AL032819.2</v>
      </c>
      <c r="B18052" s="6" t="s">
        <v>1</v>
      </c>
      <c r="C18052" s="6" t="s">
        <v>1</v>
      </c>
    </row>
    <row r="18053" spans="1:3" s="7" customFormat="1" x14ac:dyDescent="0.2">
      <c r="A18053" s="6" t="str">
        <f>"AF117829.1"</f>
        <v>AF117829.1</v>
      </c>
      <c r="B18053" s="6" t="s">
        <v>1</v>
      </c>
      <c r="C18053" s="6" t="s">
        <v>1</v>
      </c>
    </row>
    <row r="18054" spans="1:3" s="7" customFormat="1" x14ac:dyDescent="0.2">
      <c r="A18054" s="6" t="str">
        <f>"ACAD9"</f>
        <v>ACAD9</v>
      </c>
      <c r="B18054" s="6" t="s">
        <v>1</v>
      </c>
      <c r="C18054" s="6" t="s">
        <v>1</v>
      </c>
    </row>
    <row r="18055" spans="1:3" s="7" customFormat="1" x14ac:dyDescent="0.2">
      <c r="A18055" s="6" t="str">
        <f>"STT3A"</f>
        <v>STT3A</v>
      </c>
      <c r="B18055" s="6" t="s">
        <v>1</v>
      </c>
      <c r="C18055" s="6" t="s">
        <v>1</v>
      </c>
    </row>
    <row r="18056" spans="1:3" s="7" customFormat="1" x14ac:dyDescent="0.2">
      <c r="A18056" s="6" t="str">
        <f>"CHMP1B2P"</f>
        <v>CHMP1B2P</v>
      </c>
      <c r="B18056" s="6" t="s">
        <v>1</v>
      </c>
      <c r="C18056" s="6" t="s">
        <v>1</v>
      </c>
    </row>
    <row r="18057" spans="1:3" s="7" customFormat="1" x14ac:dyDescent="0.2">
      <c r="A18057" s="6" t="str">
        <f>"AC048341.1"</f>
        <v>AC048341.1</v>
      </c>
      <c r="B18057" s="6" t="s">
        <v>1</v>
      </c>
      <c r="C18057" s="6" t="s">
        <v>1</v>
      </c>
    </row>
    <row r="18058" spans="1:3" s="7" customFormat="1" x14ac:dyDescent="0.2">
      <c r="A18058" s="6" t="str">
        <f>"CNKSR3"</f>
        <v>CNKSR3</v>
      </c>
      <c r="B18058" s="6" t="s">
        <v>1</v>
      </c>
      <c r="C18058" s="6" t="s">
        <v>1</v>
      </c>
    </row>
    <row r="18059" spans="1:3" s="7" customFormat="1" x14ac:dyDescent="0.2">
      <c r="A18059" s="6" t="str">
        <f>"TAT-AS1"</f>
        <v>TAT-AS1</v>
      </c>
      <c r="B18059" s="6" t="s">
        <v>1</v>
      </c>
      <c r="C18059" s="6" t="s">
        <v>1</v>
      </c>
    </row>
    <row r="18060" spans="1:3" s="7" customFormat="1" x14ac:dyDescent="0.2">
      <c r="A18060" s="6" t="str">
        <f>"CXCL9"</f>
        <v>CXCL9</v>
      </c>
      <c r="B18060" s="6" t="s">
        <v>1</v>
      </c>
      <c r="C18060" s="6" t="s">
        <v>1</v>
      </c>
    </row>
    <row r="18061" spans="1:3" s="7" customFormat="1" x14ac:dyDescent="0.2">
      <c r="A18061" s="6" t="str">
        <f>"CXorf58"</f>
        <v>CXorf58</v>
      </c>
      <c r="B18061" s="6" t="s">
        <v>1</v>
      </c>
      <c r="C18061" s="6" t="s">
        <v>1</v>
      </c>
    </row>
    <row r="18062" spans="1:3" s="7" customFormat="1" x14ac:dyDescent="0.2">
      <c r="A18062" s="6" t="str">
        <f>"LINC01232"</f>
        <v>LINC01232</v>
      </c>
      <c r="B18062" s="6" t="s">
        <v>1</v>
      </c>
      <c r="C18062" s="6" t="s">
        <v>1</v>
      </c>
    </row>
    <row r="18063" spans="1:3" s="7" customFormat="1" x14ac:dyDescent="0.2">
      <c r="A18063" s="6" t="str">
        <f>"BTLA"</f>
        <v>BTLA</v>
      </c>
      <c r="B18063" s="6" t="s">
        <v>1</v>
      </c>
      <c r="C18063" s="6" t="s">
        <v>1</v>
      </c>
    </row>
    <row r="18064" spans="1:3" s="7" customFormat="1" x14ac:dyDescent="0.2">
      <c r="A18064" s="6" t="str">
        <f>"B3GNT4"</f>
        <v>B3GNT4</v>
      </c>
      <c r="B18064" s="6" t="s">
        <v>1</v>
      </c>
      <c r="C18064" s="6" t="s">
        <v>1</v>
      </c>
    </row>
    <row r="18065" spans="1:3" s="7" customFormat="1" x14ac:dyDescent="0.2">
      <c r="A18065" s="6" t="str">
        <f>"ZBTB43"</f>
        <v>ZBTB43</v>
      </c>
      <c r="B18065" s="6" t="s">
        <v>1</v>
      </c>
      <c r="C18065" s="6" t="s">
        <v>1</v>
      </c>
    </row>
    <row r="18066" spans="1:3" s="7" customFormat="1" x14ac:dyDescent="0.2">
      <c r="A18066" s="6" t="str">
        <f>"CREB3L1"</f>
        <v>CREB3L1</v>
      </c>
      <c r="B18066" s="6" t="s">
        <v>1</v>
      </c>
      <c r="C18066" s="6" t="s">
        <v>1</v>
      </c>
    </row>
    <row r="18067" spans="1:3" s="7" customFormat="1" x14ac:dyDescent="0.2">
      <c r="A18067" s="6" t="str">
        <f>"AL022323.2"</f>
        <v>AL022323.2</v>
      </c>
      <c r="B18067" s="6" t="s">
        <v>1</v>
      </c>
      <c r="C18067" s="6" t="s">
        <v>1</v>
      </c>
    </row>
    <row r="18068" spans="1:3" s="7" customFormat="1" x14ac:dyDescent="0.2">
      <c r="A18068" s="6" t="str">
        <f>"AC004233.2"</f>
        <v>AC004233.2</v>
      </c>
      <c r="B18068" s="6" t="s">
        <v>1</v>
      </c>
      <c r="C18068" s="6" t="s">
        <v>1</v>
      </c>
    </row>
    <row r="18069" spans="1:3" s="7" customFormat="1" x14ac:dyDescent="0.2">
      <c r="A18069" s="6" t="str">
        <f>"SEC24B-AS1"</f>
        <v>SEC24B-AS1</v>
      </c>
      <c r="B18069" s="6" t="s">
        <v>1</v>
      </c>
      <c r="C18069" s="6" t="s">
        <v>1</v>
      </c>
    </row>
    <row r="18070" spans="1:3" s="7" customFormat="1" x14ac:dyDescent="0.2">
      <c r="A18070" s="6" t="str">
        <f>"AC012213.2"</f>
        <v>AC012213.2</v>
      </c>
      <c r="B18070" s="6" t="s">
        <v>1</v>
      </c>
      <c r="C18070" s="6" t="s">
        <v>1</v>
      </c>
    </row>
    <row r="18071" spans="1:3" s="7" customFormat="1" x14ac:dyDescent="0.2">
      <c r="A18071" s="6" t="str">
        <f>"PTHLH"</f>
        <v>PTHLH</v>
      </c>
      <c r="B18071" s="6" t="s">
        <v>1</v>
      </c>
      <c r="C18071" s="6" t="s">
        <v>1</v>
      </c>
    </row>
    <row r="18072" spans="1:3" s="7" customFormat="1" x14ac:dyDescent="0.2">
      <c r="A18072" s="6" t="str">
        <f>"AL132712.2"</f>
        <v>AL132712.2</v>
      </c>
      <c r="B18072" s="6" t="s">
        <v>1</v>
      </c>
      <c r="C18072" s="6" t="s">
        <v>1</v>
      </c>
    </row>
    <row r="18073" spans="1:3" s="7" customFormat="1" x14ac:dyDescent="0.2">
      <c r="A18073" s="6" t="str">
        <f>"C1orf50"</f>
        <v>C1orf50</v>
      </c>
      <c r="B18073" s="6" t="s">
        <v>1</v>
      </c>
      <c r="C18073" s="6" t="s">
        <v>1</v>
      </c>
    </row>
    <row r="18074" spans="1:3" s="7" customFormat="1" x14ac:dyDescent="0.2">
      <c r="A18074" s="6" t="str">
        <f>"AC051619.5"</f>
        <v>AC051619.5</v>
      </c>
      <c r="B18074" s="6" t="s">
        <v>1</v>
      </c>
      <c r="C18074" s="6" t="s">
        <v>1</v>
      </c>
    </row>
    <row r="18075" spans="1:3" s="7" customFormat="1" x14ac:dyDescent="0.2">
      <c r="A18075" s="6" t="str">
        <f>"AC092835.1"</f>
        <v>AC092835.1</v>
      </c>
      <c r="B18075" s="6" t="s">
        <v>1</v>
      </c>
      <c r="C18075" s="6" t="s">
        <v>1</v>
      </c>
    </row>
    <row r="18076" spans="1:3" s="7" customFormat="1" x14ac:dyDescent="0.2">
      <c r="A18076" s="6" t="str">
        <f>"AL162731.1"</f>
        <v>AL162731.1</v>
      </c>
      <c r="B18076" s="6" t="s">
        <v>1</v>
      </c>
      <c r="C18076" s="6" t="s">
        <v>1</v>
      </c>
    </row>
    <row r="18077" spans="1:3" s="7" customFormat="1" x14ac:dyDescent="0.2">
      <c r="A18077" s="6" t="str">
        <f>"AC093010.1"</f>
        <v>AC093010.1</v>
      </c>
      <c r="B18077" s="6" t="s">
        <v>1</v>
      </c>
      <c r="C18077" s="6" t="s">
        <v>1</v>
      </c>
    </row>
    <row r="18078" spans="1:3" s="7" customFormat="1" x14ac:dyDescent="0.2">
      <c r="A18078" s="6" t="str">
        <f>"CCL14"</f>
        <v>CCL14</v>
      </c>
      <c r="B18078" s="6" t="s">
        <v>1</v>
      </c>
      <c r="C18078" s="6" t="s">
        <v>1</v>
      </c>
    </row>
    <row r="18079" spans="1:3" s="7" customFormat="1" x14ac:dyDescent="0.2">
      <c r="A18079" s="6" t="str">
        <f>"AL391058.1"</f>
        <v>AL391058.1</v>
      </c>
      <c r="B18079" s="6" t="s">
        <v>1</v>
      </c>
      <c r="C18079" s="6" t="s">
        <v>1</v>
      </c>
    </row>
    <row r="18080" spans="1:3" s="7" customFormat="1" x14ac:dyDescent="0.2">
      <c r="A18080" s="6" t="str">
        <f>"AC009167.1"</f>
        <v>AC009167.1</v>
      </c>
      <c r="B18080" s="6" t="s">
        <v>1</v>
      </c>
      <c r="C18080" s="6" t="s">
        <v>1</v>
      </c>
    </row>
    <row r="18081" spans="1:3" s="7" customFormat="1" x14ac:dyDescent="0.2">
      <c r="A18081" s="6" t="str">
        <f>"AL392086.3"</f>
        <v>AL392086.3</v>
      </c>
      <c r="B18081" s="6" t="s">
        <v>1</v>
      </c>
      <c r="C18081" s="6" t="s">
        <v>1</v>
      </c>
    </row>
    <row r="18082" spans="1:3" s="7" customFormat="1" x14ac:dyDescent="0.2">
      <c r="A18082" s="6" t="str">
        <f>"AC092849.2"</f>
        <v>AC092849.2</v>
      </c>
      <c r="B18082" s="6" t="s">
        <v>1</v>
      </c>
      <c r="C18082" s="6" t="s">
        <v>1</v>
      </c>
    </row>
    <row r="18083" spans="1:3" s="7" customFormat="1" x14ac:dyDescent="0.2">
      <c r="A18083" s="6" t="str">
        <f>"RAD21-AS1"</f>
        <v>RAD21-AS1</v>
      </c>
      <c r="B18083" s="6" t="s">
        <v>1</v>
      </c>
      <c r="C18083" s="6" t="s">
        <v>1</v>
      </c>
    </row>
    <row r="18084" spans="1:3" s="7" customFormat="1" x14ac:dyDescent="0.2">
      <c r="A18084" s="6" t="str">
        <f>"TRBC1"</f>
        <v>TRBC1</v>
      </c>
      <c r="B18084" s="6" t="s">
        <v>1</v>
      </c>
      <c r="C18084" s="6" t="s">
        <v>1</v>
      </c>
    </row>
    <row r="18085" spans="1:3" s="7" customFormat="1" x14ac:dyDescent="0.2">
      <c r="A18085" s="6" t="str">
        <f>"AL132800.1"</f>
        <v>AL132800.1</v>
      </c>
      <c r="B18085" s="6" t="s">
        <v>1</v>
      </c>
      <c r="C18085" s="6" t="s">
        <v>1</v>
      </c>
    </row>
    <row r="18086" spans="1:3" s="7" customFormat="1" x14ac:dyDescent="0.2">
      <c r="A18086" s="6" t="str">
        <f>"AC232271.1"</f>
        <v>AC232271.1</v>
      </c>
      <c r="B18086" s="6" t="s">
        <v>1</v>
      </c>
      <c r="C18086" s="6" t="s">
        <v>1</v>
      </c>
    </row>
    <row r="18087" spans="1:3" s="7" customFormat="1" x14ac:dyDescent="0.2">
      <c r="A18087" s="6" t="str">
        <f>"CHKB-CPT1B"</f>
        <v>CHKB-CPT1B</v>
      </c>
      <c r="B18087" s="6" t="s">
        <v>1</v>
      </c>
      <c r="C18087" s="6" t="s">
        <v>1</v>
      </c>
    </row>
    <row r="18088" spans="1:3" s="7" customFormat="1" x14ac:dyDescent="0.2">
      <c r="A18088" s="6" t="str">
        <f>"APBA2"</f>
        <v>APBA2</v>
      </c>
      <c r="B18088" s="6" t="s">
        <v>1</v>
      </c>
      <c r="C18088" s="6" t="s">
        <v>1</v>
      </c>
    </row>
    <row r="18089" spans="1:3" s="7" customFormat="1" x14ac:dyDescent="0.2">
      <c r="A18089" s="6" t="str">
        <f>"CENATAC-DT"</f>
        <v>CENATAC-DT</v>
      </c>
      <c r="B18089" s="6" t="s">
        <v>1</v>
      </c>
      <c r="C18089" s="6" t="s">
        <v>1</v>
      </c>
    </row>
    <row r="18090" spans="1:3" s="7" customFormat="1" x14ac:dyDescent="0.2">
      <c r="A18090" s="6" t="str">
        <f>"AL022069.1"</f>
        <v>AL022069.1</v>
      </c>
      <c r="B18090" s="6" t="s">
        <v>1</v>
      </c>
      <c r="C18090" s="6" t="s">
        <v>1</v>
      </c>
    </row>
    <row r="18091" spans="1:3" s="7" customFormat="1" x14ac:dyDescent="0.2">
      <c r="A18091" s="6" t="str">
        <f>"CCL26"</f>
        <v>CCL26</v>
      </c>
      <c r="B18091" s="6" t="s">
        <v>1</v>
      </c>
      <c r="C18091" s="6" t="s">
        <v>1</v>
      </c>
    </row>
    <row r="18092" spans="1:3" s="7" customFormat="1" x14ac:dyDescent="0.2">
      <c r="A18092" s="6" t="str">
        <f>"AL121987.2"</f>
        <v>AL121987.2</v>
      </c>
      <c r="B18092" s="6" t="s">
        <v>1</v>
      </c>
      <c r="C18092" s="6" t="s">
        <v>1</v>
      </c>
    </row>
    <row r="18093" spans="1:3" s="7" customFormat="1" x14ac:dyDescent="0.2">
      <c r="A18093" s="6" t="str">
        <f>"ARRDC2"</f>
        <v>ARRDC2</v>
      </c>
      <c r="B18093" s="6" t="s">
        <v>1</v>
      </c>
      <c r="C18093" s="6" t="s">
        <v>1</v>
      </c>
    </row>
    <row r="18094" spans="1:3" s="7" customFormat="1" x14ac:dyDescent="0.2">
      <c r="A18094" s="6" t="str">
        <f>"AL132712.1"</f>
        <v>AL132712.1</v>
      </c>
      <c r="B18094" s="6" t="s">
        <v>1</v>
      </c>
      <c r="C18094" s="6" t="s">
        <v>1</v>
      </c>
    </row>
    <row r="18095" spans="1:3" s="7" customFormat="1" x14ac:dyDescent="0.2">
      <c r="A18095" s="6" t="str">
        <f>"AL161756.3"</f>
        <v>AL161756.3</v>
      </c>
      <c r="B18095" s="6" t="s">
        <v>1</v>
      </c>
      <c r="C18095" s="6" t="s">
        <v>1</v>
      </c>
    </row>
    <row r="18096" spans="1:3" s="7" customFormat="1" x14ac:dyDescent="0.2">
      <c r="A18096" s="6" t="str">
        <f>"AP000253.1"</f>
        <v>AP000253.1</v>
      </c>
      <c r="B18096" s="6" t="s">
        <v>1</v>
      </c>
      <c r="C18096" s="6" t="s">
        <v>1</v>
      </c>
    </row>
    <row r="18097" spans="1:3" s="7" customFormat="1" x14ac:dyDescent="0.2">
      <c r="A18097" s="6" t="str">
        <f>"AC126755.5"</f>
        <v>AC126755.5</v>
      </c>
      <c r="B18097" s="6" t="s">
        <v>1</v>
      </c>
      <c r="C18097" s="6" t="s">
        <v>1</v>
      </c>
    </row>
    <row r="18098" spans="1:3" s="7" customFormat="1" x14ac:dyDescent="0.2">
      <c r="A18098" s="6" t="str">
        <f>"AL391628.1"</f>
        <v>AL391628.1</v>
      </c>
      <c r="B18098" s="6" t="s">
        <v>1</v>
      </c>
      <c r="C18098" s="6" t="s">
        <v>1</v>
      </c>
    </row>
    <row r="18099" spans="1:3" s="7" customFormat="1" x14ac:dyDescent="0.2">
      <c r="A18099" s="6" t="str">
        <f>"CDK5RAP3"</f>
        <v>CDK5RAP3</v>
      </c>
      <c r="B18099" s="6" t="s">
        <v>1</v>
      </c>
      <c r="C18099" s="6" t="s">
        <v>1</v>
      </c>
    </row>
    <row r="18100" spans="1:3" s="7" customFormat="1" x14ac:dyDescent="0.2">
      <c r="A18100" s="6" t="str">
        <f>"CCDC96"</f>
        <v>CCDC96</v>
      </c>
      <c r="B18100" s="6" t="s">
        <v>1</v>
      </c>
      <c r="C18100" s="6" t="s">
        <v>1</v>
      </c>
    </row>
    <row r="18101" spans="1:3" s="7" customFormat="1" x14ac:dyDescent="0.2">
      <c r="A18101" s="6" t="str">
        <f>"AC127024.2"</f>
        <v>AC127024.2</v>
      </c>
      <c r="B18101" s="6" t="s">
        <v>1</v>
      </c>
      <c r="C18101" s="6" t="s">
        <v>1</v>
      </c>
    </row>
    <row r="18102" spans="1:3" s="7" customFormat="1" x14ac:dyDescent="0.2">
      <c r="A18102" s="6" t="str">
        <f>"ANXA6"</f>
        <v>ANXA6</v>
      </c>
      <c r="B18102" s="6" t="s">
        <v>1</v>
      </c>
      <c r="C18102" s="6" t="s">
        <v>1</v>
      </c>
    </row>
    <row r="18103" spans="1:3" s="7" customFormat="1" x14ac:dyDescent="0.2">
      <c r="A18103" s="6" t="str">
        <f>"SEMA4B"</f>
        <v>SEMA4B</v>
      </c>
      <c r="B18103" s="6" t="s">
        <v>1</v>
      </c>
      <c r="C18103" s="6" t="s">
        <v>1</v>
      </c>
    </row>
    <row r="18104" spans="1:3" s="7" customFormat="1" x14ac:dyDescent="0.2">
      <c r="A18104" s="6" t="str">
        <f>"AC105053.1"</f>
        <v>AC105053.1</v>
      </c>
      <c r="B18104" s="6" t="s">
        <v>1</v>
      </c>
      <c r="C18104" s="6" t="s">
        <v>1</v>
      </c>
    </row>
    <row r="18105" spans="1:3" s="7" customFormat="1" x14ac:dyDescent="0.2">
      <c r="A18105" s="6" t="str">
        <f>"C1orf210"</f>
        <v>C1orf210</v>
      </c>
      <c r="B18105" s="6" t="s">
        <v>1</v>
      </c>
      <c r="C18105" s="6" t="s">
        <v>1</v>
      </c>
    </row>
    <row r="18106" spans="1:3" s="7" customFormat="1" x14ac:dyDescent="0.2">
      <c r="A18106" s="6" t="str">
        <f>"AC009159.3"</f>
        <v>AC009159.3</v>
      </c>
      <c r="B18106" s="6" t="s">
        <v>1</v>
      </c>
      <c r="C18106" s="6" t="s">
        <v>1</v>
      </c>
    </row>
    <row r="18107" spans="1:3" s="7" customFormat="1" x14ac:dyDescent="0.2">
      <c r="A18107" s="6" t="str">
        <f>"AC004069.1"</f>
        <v>AC004069.1</v>
      </c>
      <c r="B18107" s="6" t="s">
        <v>1</v>
      </c>
      <c r="C18107" s="6" t="s">
        <v>1</v>
      </c>
    </row>
    <row r="18108" spans="1:3" s="7" customFormat="1" x14ac:dyDescent="0.2">
      <c r="A18108" s="6" t="str">
        <f>"AC005548.1"</f>
        <v>AC005548.1</v>
      </c>
      <c r="B18108" s="6" t="s">
        <v>1</v>
      </c>
      <c r="C18108" s="6" t="s">
        <v>1</v>
      </c>
    </row>
    <row r="18109" spans="1:3" s="7" customFormat="1" x14ac:dyDescent="0.2">
      <c r="A18109" s="6" t="str">
        <f>"SLIT3"</f>
        <v>SLIT3</v>
      </c>
      <c r="B18109" s="6" t="s">
        <v>1</v>
      </c>
      <c r="C18109" s="6" t="s">
        <v>1</v>
      </c>
    </row>
    <row r="18110" spans="1:3" s="7" customFormat="1" x14ac:dyDescent="0.2">
      <c r="A18110" s="6" t="str">
        <f>"REEP6"</f>
        <v>REEP6</v>
      </c>
      <c r="B18110" s="6" t="s">
        <v>1</v>
      </c>
      <c r="C18110" s="6" t="s">
        <v>1</v>
      </c>
    </row>
    <row r="18111" spans="1:3" s="7" customFormat="1" x14ac:dyDescent="0.2">
      <c r="A18111" s="6" t="str">
        <f>"SEMA3F-AS1"</f>
        <v>SEMA3F-AS1</v>
      </c>
      <c r="B18111" s="6" t="s">
        <v>1</v>
      </c>
      <c r="C18111" s="6" t="s">
        <v>1</v>
      </c>
    </row>
    <row r="18112" spans="1:3" s="7" customFormat="1" x14ac:dyDescent="0.2">
      <c r="A18112" s="6" t="str">
        <f>"AC004540.1"</f>
        <v>AC004540.1</v>
      </c>
      <c r="B18112" s="6" t="s">
        <v>1</v>
      </c>
      <c r="C18112" s="6" t="s">
        <v>1</v>
      </c>
    </row>
    <row r="18113" spans="1:3" s="7" customFormat="1" x14ac:dyDescent="0.2">
      <c r="A18113" s="6" t="str">
        <f>"ADCY6-DT"</f>
        <v>ADCY6-DT</v>
      </c>
      <c r="B18113" s="6" t="s">
        <v>1</v>
      </c>
      <c r="C18113" s="6" t="s">
        <v>1</v>
      </c>
    </row>
    <row r="18114" spans="1:3" s="7" customFormat="1" x14ac:dyDescent="0.2">
      <c r="A18114" s="6" t="str">
        <f>"ZBTB44-DT"</f>
        <v>ZBTB44-DT</v>
      </c>
      <c r="B18114" s="6" t="s">
        <v>1</v>
      </c>
      <c r="C18114" s="6" t="s">
        <v>1</v>
      </c>
    </row>
    <row r="18115" spans="1:3" s="7" customFormat="1" x14ac:dyDescent="0.2">
      <c r="A18115" s="6" t="str">
        <f>"AL162417.1"</f>
        <v>AL162417.1</v>
      </c>
      <c r="B18115" s="6" t="s">
        <v>1</v>
      </c>
      <c r="C18115" s="6" t="s">
        <v>1</v>
      </c>
    </row>
    <row r="18116" spans="1:3" s="7" customFormat="1" x14ac:dyDescent="0.2">
      <c r="A18116" s="6" t="str">
        <f>"WHAMMP3"</f>
        <v>WHAMMP3</v>
      </c>
      <c r="B18116" s="6" t="s">
        <v>1</v>
      </c>
      <c r="C18116" s="6" t="s">
        <v>1</v>
      </c>
    </row>
    <row r="18117" spans="1:3" s="7" customFormat="1" x14ac:dyDescent="0.2">
      <c r="A18117" s="6" t="str">
        <f>"BPTF"</f>
        <v>BPTF</v>
      </c>
      <c r="B18117" s="6" t="s">
        <v>1</v>
      </c>
      <c r="C18117" s="6" t="s">
        <v>1</v>
      </c>
    </row>
    <row r="18118" spans="1:3" s="7" customFormat="1" x14ac:dyDescent="0.2">
      <c r="A18118" s="6" t="str">
        <f>"AL162274.3"</f>
        <v>AL162274.3</v>
      </c>
      <c r="B18118" s="6" t="s">
        <v>1</v>
      </c>
      <c r="C18118" s="6" t="s">
        <v>1</v>
      </c>
    </row>
    <row r="18119" spans="1:3" s="7" customFormat="1" x14ac:dyDescent="0.2">
      <c r="A18119" s="6" t="str">
        <f>"ZNF581"</f>
        <v>ZNF581</v>
      </c>
      <c r="B18119" s="6" t="s">
        <v>1</v>
      </c>
      <c r="C18119" s="6" t="s">
        <v>1</v>
      </c>
    </row>
    <row r="18120" spans="1:3" s="7" customFormat="1" x14ac:dyDescent="0.2">
      <c r="A18120" s="6" t="str">
        <f>"AC012313.7"</f>
        <v>AC012313.7</v>
      </c>
      <c r="B18120" s="6" t="s">
        <v>1</v>
      </c>
      <c r="C18120" s="6" t="s">
        <v>1</v>
      </c>
    </row>
    <row r="18121" spans="1:3" s="7" customFormat="1" x14ac:dyDescent="0.2">
      <c r="A18121" s="6" t="str">
        <f>"AC009171.2"</f>
        <v>AC009171.2</v>
      </c>
      <c r="B18121" s="6" t="s">
        <v>1</v>
      </c>
      <c r="C18121" s="6" t="s">
        <v>1</v>
      </c>
    </row>
    <row r="18122" spans="1:3" s="7" customFormat="1" x14ac:dyDescent="0.2">
      <c r="A18122" s="6" t="str">
        <f>"AL844908.1"</f>
        <v>AL844908.1</v>
      </c>
      <c r="B18122" s="6" t="s">
        <v>1</v>
      </c>
      <c r="C18122" s="6" t="s">
        <v>1</v>
      </c>
    </row>
    <row r="18123" spans="1:3" s="7" customFormat="1" x14ac:dyDescent="0.2">
      <c r="A18123" s="6" t="str">
        <f>"CPT2"</f>
        <v>CPT2</v>
      </c>
      <c r="B18123" s="6" t="s">
        <v>1</v>
      </c>
      <c r="C18123" s="6" t="s">
        <v>1</v>
      </c>
    </row>
    <row r="18124" spans="1:3" s="7" customFormat="1" x14ac:dyDescent="0.2">
      <c r="A18124" s="6" t="str">
        <f>"CCL16"</f>
        <v>CCL16</v>
      </c>
      <c r="B18124" s="6" t="s">
        <v>1</v>
      </c>
      <c r="C18124" s="6" t="s">
        <v>1</v>
      </c>
    </row>
    <row r="18125" spans="1:3" s="7" customFormat="1" x14ac:dyDescent="0.2">
      <c r="A18125" s="6" t="str">
        <f>"AC092821.1"</f>
        <v>AC092821.1</v>
      </c>
      <c r="B18125" s="6" t="s">
        <v>1</v>
      </c>
      <c r="C18125" s="6" t="s">
        <v>1</v>
      </c>
    </row>
    <row r="18126" spans="1:3" s="7" customFormat="1" x14ac:dyDescent="0.2">
      <c r="A18126" s="6" t="str">
        <f>"CXXC1"</f>
        <v>CXXC1</v>
      </c>
      <c r="B18126" s="6" t="s">
        <v>1</v>
      </c>
      <c r="C18126" s="6" t="s">
        <v>1</v>
      </c>
    </row>
    <row r="18127" spans="1:3" s="7" customFormat="1" x14ac:dyDescent="0.2">
      <c r="A18127" s="6" t="str">
        <f>"AC012291.3"</f>
        <v>AC012291.3</v>
      </c>
      <c r="B18127" s="6" t="s">
        <v>1</v>
      </c>
      <c r="C18127" s="6" t="s">
        <v>1</v>
      </c>
    </row>
    <row r="18128" spans="1:3" s="7" customFormat="1" x14ac:dyDescent="0.2">
      <c r="A18128" s="6" t="str">
        <f>"AP001053.1"</f>
        <v>AP001053.1</v>
      </c>
      <c r="B18128" s="6" t="s">
        <v>1</v>
      </c>
      <c r="C18128" s="6" t="s">
        <v>1</v>
      </c>
    </row>
    <row r="18129" spans="1:3" s="7" customFormat="1" x14ac:dyDescent="0.2">
      <c r="A18129" s="6" t="str">
        <f>"CASTOR3"</f>
        <v>CASTOR3</v>
      </c>
      <c r="B18129" s="6" t="s">
        <v>1</v>
      </c>
      <c r="C18129" s="6" t="s">
        <v>1</v>
      </c>
    </row>
    <row r="18130" spans="1:3" s="7" customFormat="1" x14ac:dyDescent="0.2">
      <c r="A18130" s="6" t="str">
        <f>"CAMTA1"</f>
        <v>CAMTA1</v>
      </c>
      <c r="B18130" s="6" t="s">
        <v>1</v>
      </c>
      <c r="C18130" s="6" t="s">
        <v>1</v>
      </c>
    </row>
    <row r="18131" spans="1:3" s="7" customFormat="1" x14ac:dyDescent="0.2">
      <c r="A18131" s="6" t="str">
        <f>"AC044849.1"</f>
        <v>AC044849.1</v>
      </c>
      <c r="B18131" s="6" t="s">
        <v>1</v>
      </c>
      <c r="C18131" s="6" t="s">
        <v>1</v>
      </c>
    </row>
    <row r="18132" spans="1:3" s="7" customFormat="1" x14ac:dyDescent="0.2">
      <c r="A18132" s="6" t="str">
        <f>"RELA-DT"</f>
        <v>RELA-DT</v>
      </c>
      <c r="B18132" s="6" t="s">
        <v>1</v>
      </c>
      <c r="C18132" s="6" t="s">
        <v>1</v>
      </c>
    </row>
    <row r="18133" spans="1:3" s="7" customFormat="1" x14ac:dyDescent="0.2">
      <c r="A18133" s="6" t="str">
        <f>"C1QTNF12"</f>
        <v>C1QTNF12</v>
      </c>
      <c r="B18133" s="6" t="s">
        <v>1</v>
      </c>
      <c r="C18133" s="6" t="s">
        <v>1</v>
      </c>
    </row>
    <row r="18134" spans="1:3" s="7" customFormat="1" x14ac:dyDescent="0.2">
      <c r="A18134" s="6" t="str">
        <f>"AL162231.2"</f>
        <v>AL162231.2</v>
      </c>
      <c r="B18134" s="6" t="s">
        <v>1</v>
      </c>
      <c r="C18134" s="6" t="s">
        <v>1</v>
      </c>
    </row>
    <row r="18135" spans="1:3" s="7" customFormat="1" x14ac:dyDescent="0.2">
      <c r="A18135" s="6" t="str">
        <f>"AL021408.2"</f>
        <v>AL021408.2</v>
      </c>
      <c r="B18135" s="6" t="s">
        <v>1</v>
      </c>
      <c r="C18135" s="6" t="s">
        <v>1</v>
      </c>
    </row>
    <row r="18136" spans="1:3" s="7" customFormat="1" x14ac:dyDescent="0.2">
      <c r="A18136" s="6" t="str">
        <f>"AC048380.2"</f>
        <v>AC048380.2</v>
      </c>
      <c r="B18136" s="6" t="s">
        <v>1</v>
      </c>
      <c r="C18136" s="6" t="s">
        <v>1</v>
      </c>
    </row>
    <row r="18137" spans="1:3" s="7" customFormat="1" x14ac:dyDescent="0.2">
      <c r="A18137" s="6" t="str">
        <f>"ZBTB40"</f>
        <v>ZBTB40</v>
      </c>
      <c r="B18137" s="6" t="s">
        <v>1</v>
      </c>
      <c r="C18137" s="6" t="s">
        <v>1</v>
      </c>
    </row>
    <row r="18138" spans="1:3" s="7" customFormat="1" x14ac:dyDescent="0.2">
      <c r="A18138" s="6" t="str">
        <f>"C1QTNF6"</f>
        <v>C1QTNF6</v>
      </c>
      <c r="B18138" s="6" t="s">
        <v>1</v>
      </c>
      <c r="C18138" s="6" t="s">
        <v>1</v>
      </c>
    </row>
    <row r="18139" spans="1:3" s="7" customFormat="1" x14ac:dyDescent="0.2">
      <c r="A18139" s="6" t="str">
        <f>"CNIH3-AS2"</f>
        <v>CNIH3-AS2</v>
      </c>
      <c r="B18139" s="6" t="s">
        <v>1</v>
      </c>
      <c r="C18139" s="6" t="s">
        <v>1</v>
      </c>
    </row>
    <row r="18140" spans="1:3" s="7" customFormat="1" x14ac:dyDescent="0.2">
      <c r="A18140" s="6" t="str">
        <f>"AC233992.3"</f>
        <v>AC233992.3</v>
      </c>
      <c r="B18140" s="6" t="s">
        <v>1</v>
      </c>
      <c r="C18140" s="6" t="s">
        <v>1</v>
      </c>
    </row>
    <row r="18141" spans="1:3" s="7" customFormat="1" x14ac:dyDescent="0.2">
      <c r="A18141" s="6" t="str">
        <f>"AC004522.4"</f>
        <v>AC004522.4</v>
      </c>
      <c r="B18141" s="6" t="s">
        <v>1</v>
      </c>
      <c r="C18141" s="6" t="s">
        <v>1</v>
      </c>
    </row>
    <row r="18142" spans="1:3" s="7" customFormat="1" x14ac:dyDescent="0.2">
      <c r="A18142" s="6" t="str">
        <f>"AC079922.2"</f>
        <v>AC079922.2</v>
      </c>
      <c r="B18142" s="6" t="s">
        <v>1</v>
      </c>
      <c r="C18142" s="6" t="s">
        <v>1</v>
      </c>
    </row>
    <row r="18143" spans="1:3" s="7" customFormat="1" x14ac:dyDescent="0.2">
      <c r="A18143" s="6" t="str">
        <f>"AL391477.1"</f>
        <v>AL391477.1</v>
      </c>
      <c r="B18143" s="6" t="s">
        <v>1</v>
      </c>
      <c r="C18143" s="6" t="s">
        <v>1</v>
      </c>
    </row>
    <row r="18144" spans="1:3" s="7" customFormat="1" x14ac:dyDescent="0.2">
      <c r="A18144" s="6" t="str">
        <f>"AL132857.1"</f>
        <v>AL132857.1</v>
      </c>
      <c r="B18144" s="6" t="s">
        <v>1</v>
      </c>
      <c r="C18144" s="6" t="s">
        <v>1</v>
      </c>
    </row>
    <row r="18145" spans="1:3" s="7" customFormat="1" x14ac:dyDescent="0.2">
      <c r="A18145" s="6" t="str">
        <f>"CRB3"</f>
        <v>CRB3</v>
      </c>
      <c r="B18145" s="6" t="s">
        <v>1</v>
      </c>
      <c r="C18145" s="6" t="s">
        <v>1</v>
      </c>
    </row>
    <row r="18146" spans="1:3" s="7" customFormat="1" x14ac:dyDescent="0.2">
      <c r="A18146" s="6" t="str">
        <f>"AC004156.1"</f>
        <v>AC004156.1</v>
      </c>
      <c r="B18146" s="6" t="s">
        <v>1</v>
      </c>
      <c r="C18146" s="6" t="s">
        <v>1</v>
      </c>
    </row>
    <row r="18147" spans="1:3" s="7" customFormat="1" x14ac:dyDescent="0.2">
      <c r="A18147" s="6" t="str">
        <f>"CCIN"</f>
        <v>CCIN</v>
      </c>
      <c r="B18147" s="6" t="s">
        <v>1</v>
      </c>
      <c r="C18147" s="6" t="s">
        <v>1</v>
      </c>
    </row>
    <row r="18148" spans="1:3" s="7" customFormat="1" x14ac:dyDescent="0.2">
      <c r="A18148" s="6" t="str">
        <f>"B3GALT2"</f>
        <v>B3GALT2</v>
      </c>
      <c r="B18148" s="6" t="s">
        <v>1</v>
      </c>
      <c r="C18148" s="6" t="s">
        <v>1</v>
      </c>
    </row>
    <row r="18149" spans="1:3" s="7" customFormat="1" x14ac:dyDescent="0.2">
      <c r="A18149" s="6" t="str">
        <f>"CDKL5"</f>
        <v>CDKL5</v>
      </c>
      <c r="B18149" s="6" t="s">
        <v>1</v>
      </c>
      <c r="C18149" s="6" t="s">
        <v>1</v>
      </c>
    </row>
    <row r="18150" spans="1:3" s="7" customFormat="1" x14ac:dyDescent="0.2">
      <c r="A18150" s="6" t="str">
        <f>"AL132639.3"</f>
        <v>AL132639.3</v>
      </c>
      <c r="B18150" s="6" t="s">
        <v>1</v>
      </c>
      <c r="C18150" s="6" t="s">
        <v>1</v>
      </c>
    </row>
    <row r="18151" spans="1:3" s="7" customFormat="1" x14ac:dyDescent="0.2">
      <c r="A18151" s="6" t="str">
        <f>"CYCSP34"</f>
        <v>CYCSP34</v>
      </c>
      <c r="B18151" s="6" t="s">
        <v>1</v>
      </c>
      <c r="C18151" s="6" t="s">
        <v>1</v>
      </c>
    </row>
    <row r="18152" spans="1:3" s="7" customFormat="1" x14ac:dyDescent="0.2">
      <c r="A18152" s="6" t="str">
        <f>"ZNF222"</f>
        <v>ZNF222</v>
      </c>
      <c r="B18152" s="6" t="s">
        <v>1</v>
      </c>
      <c r="C18152" s="6" t="s">
        <v>1</v>
      </c>
    </row>
    <row r="18153" spans="1:3" s="7" customFormat="1" x14ac:dyDescent="0.2">
      <c r="A18153" s="6" t="str">
        <f>"B3GNT6"</f>
        <v>B3GNT6</v>
      </c>
      <c r="B18153" s="6" t="s">
        <v>1</v>
      </c>
      <c r="C18153" s="6" t="s">
        <v>1</v>
      </c>
    </row>
    <row r="18154" spans="1:3" s="7" customFormat="1" x14ac:dyDescent="0.2">
      <c r="A18154" s="6" t="str">
        <f>"AC133065.2"</f>
        <v>AC133065.2</v>
      </c>
      <c r="B18154" s="6" t="s">
        <v>1</v>
      </c>
      <c r="C18154" s="6" t="s">
        <v>1</v>
      </c>
    </row>
    <row r="18155" spans="1:3" s="7" customFormat="1" x14ac:dyDescent="0.2">
      <c r="A18155" s="6" t="str">
        <f>"AC012358.1"</f>
        <v>AC012358.1</v>
      </c>
      <c r="B18155" s="6" t="s">
        <v>1</v>
      </c>
      <c r="C18155" s="6" t="s">
        <v>1</v>
      </c>
    </row>
    <row r="18156" spans="1:3" s="7" customFormat="1" x14ac:dyDescent="0.2">
      <c r="A18156" s="6" t="str">
        <f>"ADGRB1"</f>
        <v>ADGRB1</v>
      </c>
      <c r="B18156" s="6" t="s">
        <v>1</v>
      </c>
      <c r="C18156" s="6" t="s">
        <v>1</v>
      </c>
    </row>
    <row r="18157" spans="1:3" s="7" customFormat="1" x14ac:dyDescent="0.2">
      <c r="A18157" s="6" t="str">
        <f>"AL136304.1"</f>
        <v>AL136304.1</v>
      </c>
      <c r="B18157" s="6" t="s">
        <v>1</v>
      </c>
      <c r="C18157" s="6" t="s">
        <v>1</v>
      </c>
    </row>
    <row r="18158" spans="1:3" s="7" customFormat="1" x14ac:dyDescent="0.2">
      <c r="A18158" s="6" t="str">
        <f>"AC083836.1"</f>
        <v>AC083836.1</v>
      </c>
      <c r="B18158" s="6" t="s">
        <v>1</v>
      </c>
      <c r="C18158" s="6" t="s">
        <v>1</v>
      </c>
    </row>
    <row r="18159" spans="1:3" s="7" customFormat="1" x14ac:dyDescent="0.2">
      <c r="A18159" s="6" t="str">
        <f>"AC007000.3"</f>
        <v>AC007000.3</v>
      </c>
      <c r="B18159" s="6" t="s">
        <v>1</v>
      </c>
      <c r="C18159" s="6" t="s">
        <v>1</v>
      </c>
    </row>
    <row r="18160" spans="1:3" s="7" customFormat="1" x14ac:dyDescent="0.2">
      <c r="A18160" s="6" t="str">
        <f>"AF111169.1"</f>
        <v>AF111169.1</v>
      </c>
      <c r="B18160" s="6" t="s">
        <v>1</v>
      </c>
      <c r="C18160" s="6" t="s">
        <v>1</v>
      </c>
    </row>
    <row r="18161" spans="1:3" s="7" customFormat="1" x14ac:dyDescent="0.2">
      <c r="A18161" s="6" t="str">
        <f>"AC020978.9"</f>
        <v>AC020978.9</v>
      </c>
      <c r="B18161" s="6" t="s">
        <v>1</v>
      </c>
      <c r="C18161" s="6" t="s">
        <v>1</v>
      </c>
    </row>
    <row r="18162" spans="1:3" s="7" customFormat="1" x14ac:dyDescent="0.2">
      <c r="A18162" s="6" t="str">
        <f>"AF129075.2"</f>
        <v>AF129075.2</v>
      </c>
      <c r="B18162" s="6" t="s">
        <v>1</v>
      </c>
      <c r="C18162" s="6" t="s">
        <v>1</v>
      </c>
    </row>
    <row r="18163" spans="1:3" s="7" customFormat="1" x14ac:dyDescent="0.2">
      <c r="A18163" s="6" t="str">
        <f>"AC092902.5"</f>
        <v>AC092902.5</v>
      </c>
      <c r="B18163" s="6" t="s">
        <v>1</v>
      </c>
      <c r="C18163" s="6" t="s">
        <v>1</v>
      </c>
    </row>
    <row r="18164" spans="1:3" s="7" customFormat="1" x14ac:dyDescent="0.2">
      <c r="A18164" s="6" t="str">
        <f>"AC105285.1"</f>
        <v>AC105285.1</v>
      </c>
      <c r="B18164" s="6" t="s">
        <v>1</v>
      </c>
      <c r="C18164" s="6" t="s">
        <v>1</v>
      </c>
    </row>
    <row r="18165" spans="1:3" s="7" customFormat="1" x14ac:dyDescent="0.2">
      <c r="A18165" s="6" t="str">
        <f>"AC126544.1"</f>
        <v>AC126544.1</v>
      </c>
      <c r="B18165" s="6" t="s">
        <v>1</v>
      </c>
      <c r="C18165" s="6" t="s">
        <v>1</v>
      </c>
    </row>
    <row r="18166" spans="1:3" s="7" customFormat="1" x14ac:dyDescent="0.2">
      <c r="A18166" s="6" t="str">
        <f>"AC004623.1"</f>
        <v>AC004623.1</v>
      </c>
      <c r="B18166" s="6" t="s">
        <v>1</v>
      </c>
      <c r="C18166" s="6" t="s">
        <v>1</v>
      </c>
    </row>
    <row r="18167" spans="1:3" s="7" customFormat="1" x14ac:dyDescent="0.2">
      <c r="A18167" s="6" t="str">
        <f>"AC004231.1"</f>
        <v>AC004231.1</v>
      </c>
      <c r="B18167" s="6" t="s">
        <v>1</v>
      </c>
      <c r="C18167" s="6" t="s">
        <v>1</v>
      </c>
    </row>
    <row r="18168" spans="1:3" s="7" customFormat="1" x14ac:dyDescent="0.2">
      <c r="A18168" s="6" t="str">
        <f>"AC105233.5"</f>
        <v>AC105233.5</v>
      </c>
      <c r="B18168" s="6" t="s">
        <v>1</v>
      </c>
      <c r="C18168" s="6" t="s">
        <v>1</v>
      </c>
    </row>
    <row r="18169" spans="1:3" s="7" customFormat="1" x14ac:dyDescent="0.2">
      <c r="A18169" s="6" t="str">
        <f>"AC006427.2"</f>
        <v>AC006427.2</v>
      </c>
      <c r="B18169" s="6" t="s">
        <v>1</v>
      </c>
      <c r="C18169" s="6" t="s">
        <v>1</v>
      </c>
    </row>
    <row r="18170" spans="1:3" s="7" customFormat="1" x14ac:dyDescent="0.2">
      <c r="A18170" s="6" t="str">
        <f>"AL132640.3"</f>
        <v>AL132640.3</v>
      </c>
      <c r="B18170" s="6" t="s">
        <v>1</v>
      </c>
      <c r="C18170" s="6" t="s">
        <v>1</v>
      </c>
    </row>
    <row r="18171" spans="1:3" s="7" customFormat="1" x14ac:dyDescent="0.2">
      <c r="A18171" s="6" t="str">
        <f>"AC083843.3"</f>
        <v>AC083843.3</v>
      </c>
      <c r="B18171" s="6" t="s">
        <v>1</v>
      </c>
      <c r="C18171" s="6" t="s">
        <v>1</v>
      </c>
    </row>
    <row r="18172" spans="1:3" s="7" customFormat="1" x14ac:dyDescent="0.2">
      <c r="A18172" s="6" t="str">
        <f>"AL132780.2"</f>
        <v>AL132780.2</v>
      </c>
      <c r="B18172" s="6" t="s">
        <v>1</v>
      </c>
      <c r="C18172" s="6" t="s">
        <v>1</v>
      </c>
    </row>
    <row r="18173" spans="1:3" s="7" customFormat="1" x14ac:dyDescent="0.2">
      <c r="A18173" s="6" t="str">
        <f>"AL929554.1"</f>
        <v>AL929554.1</v>
      </c>
      <c r="B18173" s="6" t="s">
        <v>1</v>
      </c>
      <c r="C18173" s="6" t="s">
        <v>1</v>
      </c>
    </row>
    <row r="18174" spans="1:3" s="7" customFormat="1" x14ac:dyDescent="0.2">
      <c r="A18174" s="6" t="str">
        <f>"CHD5"</f>
        <v>CHD5</v>
      </c>
      <c r="B18174" s="6" t="s">
        <v>1</v>
      </c>
      <c r="C18174" s="6" t="s">
        <v>1</v>
      </c>
    </row>
    <row r="18175" spans="1:3" s="7" customFormat="1" x14ac:dyDescent="0.2">
      <c r="A18175" s="6" t="str">
        <f>"AC009264.1"</f>
        <v>AC009264.1</v>
      </c>
      <c r="B18175" s="6" t="s">
        <v>1</v>
      </c>
      <c r="C18175" s="6" t="s">
        <v>1</v>
      </c>
    </row>
    <row r="18176" spans="1:3" s="7" customFormat="1" x14ac:dyDescent="0.2">
      <c r="A18176" s="6" t="str">
        <f>"AC127070.1"</f>
        <v>AC127070.1</v>
      </c>
      <c r="B18176" s="6" t="s">
        <v>1</v>
      </c>
      <c r="C18176" s="6" t="s">
        <v>1</v>
      </c>
    </row>
    <row r="18177" spans="1:3" s="7" customFormat="1" x14ac:dyDescent="0.2">
      <c r="A18177" s="6" t="str">
        <f>"AC094105.2"</f>
        <v>AC094105.2</v>
      </c>
      <c r="B18177" s="6" t="s">
        <v>1</v>
      </c>
      <c r="C18177" s="6" t="s">
        <v>1</v>
      </c>
    </row>
    <row r="18178" spans="1:3" s="7" customFormat="1" x14ac:dyDescent="0.2">
      <c r="A18178" s="6" t="str">
        <f>"AC009093.11"</f>
        <v>AC009093.11</v>
      </c>
      <c r="B18178" s="6" t="s">
        <v>1</v>
      </c>
      <c r="C18178" s="6" t="s">
        <v>1</v>
      </c>
    </row>
    <row r="18179" spans="1:3" s="7" customFormat="1" x14ac:dyDescent="0.2">
      <c r="A18179" s="6" t="str">
        <f>"BOLA3-AS1"</f>
        <v>BOLA3-AS1</v>
      </c>
      <c r="B18179" s="6" t="s">
        <v>1</v>
      </c>
      <c r="C18179" s="6" t="s">
        <v>1</v>
      </c>
    </row>
    <row r="18180" spans="1:3" s="7" customFormat="1" x14ac:dyDescent="0.2">
      <c r="A18180" s="6" t="str">
        <f>"ATCAY"</f>
        <v>ATCAY</v>
      </c>
      <c r="B18180" s="6" t="s">
        <v>1</v>
      </c>
      <c r="C18180" s="6" t="s">
        <v>1</v>
      </c>
    </row>
    <row r="18181" spans="1:3" s="7" customFormat="1" x14ac:dyDescent="0.2">
      <c r="A18181" s="6" t="str">
        <f>"AC007036.1"</f>
        <v>AC007036.1</v>
      </c>
      <c r="B18181" s="6" t="s">
        <v>1</v>
      </c>
      <c r="C18181" s="6" t="s">
        <v>1</v>
      </c>
    </row>
    <row r="18182" spans="1:3" s="7" customFormat="1" x14ac:dyDescent="0.2">
      <c r="A18182" s="6" t="str">
        <f>"C1orf232"</f>
        <v>C1orf232</v>
      </c>
      <c r="B18182" s="6" t="s">
        <v>1</v>
      </c>
      <c r="C18182" s="6" t="s">
        <v>1</v>
      </c>
    </row>
    <row r="18183" spans="1:3" s="7" customFormat="1" x14ac:dyDescent="0.2">
      <c r="A18183" s="6" t="str">
        <f>"AL031985.3"</f>
        <v>AL031985.3</v>
      </c>
      <c r="B18183" s="6" t="s">
        <v>1</v>
      </c>
      <c r="C18183" s="6" t="s">
        <v>1</v>
      </c>
    </row>
    <row r="18184" spans="1:3" s="7" customFormat="1" x14ac:dyDescent="0.2">
      <c r="A18184" s="6" t="str">
        <f>"AC012184.4"</f>
        <v>AC012184.4</v>
      </c>
      <c r="B18184" s="6" t="s">
        <v>1</v>
      </c>
      <c r="C18184" s="6" t="s">
        <v>1</v>
      </c>
    </row>
    <row r="18185" spans="1:3" s="7" customFormat="1" x14ac:dyDescent="0.2">
      <c r="A18185" s="6" t="str">
        <f>"ZNF224"</f>
        <v>ZNF224</v>
      </c>
      <c r="B18185" s="6" t="s">
        <v>1</v>
      </c>
      <c r="C18185" s="6" t="s">
        <v>1</v>
      </c>
    </row>
    <row r="18186" spans="1:3" s="7" customFormat="1" x14ac:dyDescent="0.2">
      <c r="A18186" s="6" t="str">
        <f>"AC006449.2"</f>
        <v>AC006449.2</v>
      </c>
      <c r="B18186" s="6" t="s">
        <v>1</v>
      </c>
      <c r="C18186" s="6" t="s">
        <v>1</v>
      </c>
    </row>
    <row r="18187" spans="1:3" s="7" customFormat="1" x14ac:dyDescent="0.2">
      <c r="A18187" s="6" t="str">
        <f>"C1orf216"</f>
        <v>C1orf216</v>
      </c>
      <c r="B18187" s="6" t="s">
        <v>1</v>
      </c>
      <c r="C18187" s="6" t="s">
        <v>1</v>
      </c>
    </row>
    <row r="18188" spans="1:3" s="7" customFormat="1" x14ac:dyDescent="0.2">
      <c r="A18188" s="6" t="str">
        <f>"ALAD"</f>
        <v>ALAD</v>
      </c>
      <c r="B18188" s="6" t="s">
        <v>1</v>
      </c>
      <c r="C18188" s="6" t="s">
        <v>1</v>
      </c>
    </row>
    <row r="18189" spans="1:3" s="7" customFormat="1" x14ac:dyDescent="0.2">
      <c r="A18189" s="6" t="str">
        <f>"AC127024.5"</f>
        <v>AC127024.5</v>
      </c>
      <c r="B18189" s="6" t="s">
        <v>1</v>
      </c>
      <c r="C18189" s="6" t="s">
        <v>1</v>
      </c>
    </row>
    <row r="18190" spans="1:3" s="7" customFormat="1" x14ac:dyDescent="0.2">
      <c r="A18190" s="6" t="str">
        <f>"LINC02547"</f>
        <v>LINC02547</v>
      </c>
      <c r="B18190" s="6" t="s">
        <v>1</v>
      </c>
      <c r="C18190" s="6" t="s">
        <v>1</v>
      </c>
    </row>
    <row r="18191" spans="1:3" s="7" customFormat="1" x14ac:dyDescent="0.2">
      <c r="A18191" s="6" t="str">
        <f>"AL512506.3"</f>
        <v>AL512506.3</v>
      </c>
      <c r="B18191" s="6" t="s">
        <v>1</v>
      </c>
      <c r="C18191" s="6" t="s">
        <v>1</v>
      </c>
    </row>
    <row r="18192" spans="1:3" s="7" customFormat="1" x14ac:dyDescent="0.2">
      <c r="A18192" s="6" t="str">
        <f>"AP000229.1"</f>
        <v>AP000229.1</v>
      </c>
      <c r="B18192" s="6" t="s">
        <v>1</v>
      </c>
      <c r="C18192" s="6" t="s">
        <v>1</v>
      </c>
    </row>
    <row r="18193" spans="1:3" s="7" customFormat="1" x14ac:dyDescent="0.2">
      <c r="A18193" s="6" t="str">
        <f>"AL161891.1"</f>
        <v>AL161891.1</v>
      </c>
      <c r="B18193" s="6" t="s">
        <v>1</v>
      </c>
      <c r="C18193" s="6" t="s">
        <v>1</v>
      </c>
    </row>
    <row r="18194" spans="1:3" s="7" customFormat="1" x14ac:dyDescent="0.2">
      <c r="A18194" s="6" t="str">
        <f>"AL161785.1"</f>
        <v>AL161785.1</v>
      </c>
      <c r="B18194" s="6" t="s">
        <v>1</v>
      </c>
      <c r="C18194" s="6" t="s">
        <v>1</v>
      </c>
    </row>
    <row r="18195" spans="1:3" s="7" customFormat="1" x14ac:dyDescent="0.2">
      <c r="A18195" s="6" t="str">
        <f>"AC021701.1"</f>
        <v>AC021701.1</v>
      </c>
      <c r="B18195" s="6" t="s">
        <v>1</v>
      </c>
      <c r="C18195" s="6" t="s">
        <v>1</v>
      </c>
    </row>
    <row r="18196" spans="1:3" s="7" customFormat="1" x14ac:dyDescent="0.2">
      <c r="A18196" s="6" t="str">
        <f>"CDK13"</f>
        <v>CDK13</v>
      </c>
      <c r="B18196" s="6" t="s">
        <v>1</v>
      </c>
      <c r="C18196" s="6" t="s">
        <v>1</v>
      </c>
    </row>
    <row r="18197" spans="1:3" s="7" customFormat="1" x14ac:dyDescent="0.2">
      <c r="A18197" s="6" t="str">
        <f>"RPL39"</f>
        <v>RPL39</v>
      </c>
      <c r="B18197" s="6" t="s">
        <v>1</v>
      </c>
      <c r="C18197" s="6" t="s">
        <v>1</v>
      </c>
    </row>
    <row r="18198" spans="1:3" s="7" customFormat="1" x14ac:dyDescent="0.2">
      <c r="A18198" s="6" t="str">
        <f>"AC021148.1"</f>
        <v>AC021148.1</v>
      </c>
      <c r="B18198" s="6" t="s">
        <v>1</v>
      </c>
      <c r="C18198" s="6" t="s">
        <v>1</v>
      </c>
    </row>
    <row r="18199" spans="1:3" s="7" customFormat="1" x14ac:dyDescent="0.2">
      <c r="A18199" s="6" t="str">
        <f>"AL031963.3"</f>
        <v>AL031963.3</v>
      </c>
      <c r="B18199" s="6" t="s">
        <v>1</v>
      </c>
      <c r="C18199" s="6" t="s">
        <v>1</v>
      </c>
    </row>
    <row r="18200" spans="1:3" s="7" customFormat="1" x14ac:dyDescent="0.2">
      <c r="A18200" s="6" t="str">
        <f>"AL162458.1"</f>
        <v>AL162458.1</v>
      </c>
      <c r="B18200" s="6" t="s">
        <v>1</v>
      </c>
      <c r="C18200" s="6" t="s">
        <v>1</v>
      </c>
    </row>
    <row r="18201" spans="1:3" s="7" customFormat="1" x14ac:dyDescent="0.2">
      <c r="A18201" s="6" t="str">
        <f>"AC021087.5"</f>
        <v>AC021087.5</v>
      </c>
      <c r="B18201" s="6" t="s">
        <v>1</v>
      </c>
      <c r="C18201" s="6" t="s">
        <v>1</v>
      </c>
    </row>
    <row r="18202" spans="1:3" s="7" customFormat="1" x14ac:dyDescent="0.2">
      <c r="A18202" s="6" t="str">
        <f>"AC095031.1"</f>
        <v>AC095031.1</v>
      </c>
      <c r="B18202" s="6" t="s">
        <v>1</v>
      </c>
      <c r="C18202" s="6" t="s">
        <v>1</v>
      </c>
    </row>
    <row r="18203" spans="1:3" s="7" customFormat="1" x14ac:dyDescent="0.2">
      <c r="A18203" s="6" t="str">
        <f>"AL391650.1"</f>
        <v>AL391650.1</v>
      </c>
      <c r="B18203" s="6" t="s">
        <v>1</v>
      </c>
      <c r="C18203" s="6" t="s">
        <v>1</v>
      </c>
    </row>
    <row r="18204" spans="1:3" s="7" customFormat="1" x14ac:dyDescent="0.2">
      <c r="A18204" s="6" t="str">
        <f>"AC233968.1"</f>
        <v>AC233968.1</v>
      </c>
      <c r="B18204" s="6" t="s">
        <v>1</v>
      </c>
      <c r="C18204" s="6" t="s">
        <v>1</v>
      </c>
    </row>
    <row r="18205" spans="1:3" s="7" customFormat="1" x14ac:dyDescent="0.2">
      <c r="A18205" s="6" t="str">
        <f>"TFF3"</f>
        <v>TFF3</v>
      </c>
      <c r="B18205" s="6" t="s">
        <v>1</v>
      </c>
      <c r="C18205" s="6" t="s">
        <v>1</v>
      </c>
    </row>
    <row r="18206" spans="1:3" s="7" customFormat="1" x14ac:dyDescent="0.2">
      <c r="A18206" s="6" t="str">
        <f>"AL022069.3"</f>
        <v>AL022069.3</v>
      </c>
      <c r="B18206" s="6" t="s">
        <v>1</v>
      </c>
      <c r="C18206" s="6" t="s">
        <v>1</v>
      </c>
    </row>
    <row r="18207" spans="1:3" s="7" customFormat="1" x14ac:dyDescent="0.2">
      <c r="A18207" s="6" t="str">
        <f>"AC006511.3"</f>
        <v>AC006511.3</v>
      </c>
      <c r="B18207" s="6" t="s">
        <v>1</v>
      </c>
      <c r="C18207" s="6" t="s">
        <v>1</v>
      </c>
    </row>
    <row r="18208" spans="1:3" s="7" customFormat="1" x14ac:dyDescent="0.2">
      <c r="A18208" s="6" t="str">
        <f>"AC012349.1"</f>
        <v>AC012349.1</v>
      </c>
      <c r="B18208" s="6" t="s">
        <v>1</v>
      </c>
      <c r="C18208" s="6" t="s">
        <v>1</v>
      </c>
    </row>
    <row r="18209" spans="1:3" s="7" customFormat="1" x14ac:dyDescent="0.2">
      <c r="A18209" s="6" t="str">
        <f>"SHOC1"</f>
        <v>SHOC1</v>
      </c>
      <c r="B18209" s="6" t="s">
        <v>1</v>
      </c>
      <c r="C18209" s="6" t="s">
        <v>1</v>
      </c>
    </row>
    <row r="18210" spans="1:3" s="7" customFormat="1" x14ac:dyDescent="0.2">
      <c r="A18210" s="6" t="str">
        <f>"AP001033.1"</f>
        <v>AP001033.1</v>
      </c>
      <c r="B18210" s="6" t="s">
        <v>1</v>
      </c>
      <c r="C18210" s="6" t="s">
        <v>1</v>
      </c>
    </row>
    <row r="18211" spans="1:3" s="7" customFormat="1" x14ac:dyDescent="0.2">
      <c r="A18211" s="6" t="str">
        <f>"CDK8"</f>
        <v>CDK8</v>
      </c>
      <c r="B18211" s="6" t="s">
        <v>1</v>
      </c>
      <c r="C18211" s="6" t="s">
        <v>1</v>
      </c>
    </row>
    <row r="18212" spans="1:3" s="7" customFormat="1" x14ac:dyDescent="0.2">
      <c r="A18212" s="6" t="str">
        <f>"TRBV19"</f>
        <v>TRBV19</v>
      </c>
      <c r="B18212" s="6" t="s">
        <v>1</v>
      </c>
      <c r="C18212" s="6" t="s">
        <v>1</v>
      </c>
    </row>
    <row r="18213" spans="1:3" s="7" customFormat="1" x14ac:dyDescent="0.2">
      <c r="A18213" s="6" t="str">
        <f>"AC051619.6"</f>
        <v>AC051619.6</v>
      </c>
      <c r="B18213" s="6" t="s">
        <v>1</v>
      </c>
      <c r="C18213" s="6" t="s">
        <v>1</v>
      </c>
    </row>
    <row r="18214" spans="1:3" s="7" customFormat="1" x14ac:dyDescent="0.2">
      <c r="A18214" s="6" t="str">
        <f>"PLEKHA6"</f>
        <v>PLEKHA6</v>
      </c>
      <c r="B18214" s="6" t="s">
        <v>1</v>
      </c>
      <c r="C18214" s="6" t="s">
        <v>1</v>
      </c>
    </row>
    <row r="18215" spans="1:3" s="7" customFormat="1" x14ac:dyDescent="0.2">
      <c r="A18215" s="6" t="str">
        <f>"AC004687.2"</f>
        <v>AC004687.2</v>
      </c>
      <c r="B18215" s="6" t="s">
        <v>1</v>
      </c>
      <c r="C18215" s="6" t="s">
        <v>1</v>
      </c>
    </row>
    <row r="18216" spans="1:3" s="7" customFormat="1" x14ac:dyDescent="0.2">
      <c r="A18216" s="6" t="str">
        <f>"AC021097.1"</f>
        <v>AC021097.1</v>
      </c>
      <c r="B18216" s="6" t="s">
        <v>1</v>
      </c>
      <c r="C18216" s="6" t="s">
        <v>1</v>
      </c>
    </row>
    <row r="18217" spans="1:3" s="7" customFormat="1" x14ac:dyDescent="0.2">
      <c r="A18217" s="6" t="str">
        <f>"ADGRG1"</f>
        <v>ADGRG1</v>
      </c>
      <c r="B18217" s="6" t="s">
        <v>1</v>
      </c>
      <c r="C18217" s="6" t="s">
        <v>1</v>
      </c>
    </row>
    <row r="18218" spans="1:3" s="7" customFormat="1" x14ac:dyDescent="0.2">
      <c r="A18218" s="6" t="str">
        <f>"SHMT2"</f>
        <v>SHMT2</v>
      </c>
      <c r="B18218" s="6" t="s">
        <v>1</v>
      </c>
      <c r="C18218" s="6" t="s">
        <v>1</v>
      </c>
    </row>
    <row r="18219" spans="1:3" s="7" customFormat="1" x14ac:dyDescent="0.2">
      <c r="A18219" s="6" t="str">
        <f>"PHF13"</f>
        <v>PHF13</v>
      </c>
      <c r="B18219" s="6" t="s">
        <v>1</v>
      </c>
      <c r="C18219" s="6" t="s">
        <v>1</v>
      </c>
    </row>
    <row r="18220" spans="1:3" s="7" customFormat="1" x14ac:dyDescent="0.2">
      <c r="A18220" s="6" t="str">
        <f>"AC239860.4"</f>
        <v>AC239860.4</v>
      </c>
      <c r="B18220" s="6" t="s">
        <v>1</v>
      </c>
      <c r="C18220" s="6" t="s">
        <v>1</v>
      </c>
    </row>
    <row r="18221" spans="1:3" s="7" customFormat="1" x14ac:dyDescent="0.2">
      <c r="A18221" s="6" t="str">
        <f>"ALOX15P1"</f>
        <v>ALOX15P1</v>
      </c>
      <c r="B18221" s="6" t="s">
        <v>1</v>
      </c>
      <c r="C18221" s="6" t="s">
        <v>1</v>
      </c>
    </row>
    <row r="18222" spans="1:3" s="7" customFormat="1" x14ac:dyDescent="0.2">
      <c r="A18222" s="6" t="str">
        <f>"REELD1"</f>
        <v>REELD1</v>
      </c>
      <c r="B18222" s="6" t="s">
        <v>1</v>
      </c>
      <c r="C18222" s="6" t="s">
        <v>1</v>
      </c>
    </row>
    <row r="18223" spans="1:3" s="7" customFormat="1" x14ac:dyDescent="0.2">
      <c r="A18223" s="6" t="str">
        <f>"RAD51AP1"</f>
        <v>RAD51AP1</v>
      </c>
      <c r="B18223" s="6" t="s">
        <v>1</v>
      </c>
      <c r="C18223" s="6" t="s">
        <v>1</v>
      </c>
    </row>
    <row r="18224" spans="1:3" s="7" customFormat="1" x14ac:dyDescent="0.2">
      <c r="A18224" s="6" t="str">
        <f>"AC106782.5"</f>
        <v>AC106782.5</v>
      </c>
      <c r="B18224" s="6" t="s">
        <v>1</v>
      </c>
      <c r="C18224" s="6" t="s">
        <v>1</v>
      </c>
    </row>
    <row r="18225" spans="1:3" s="7" customFormat="1" x14ac:dyDescent="0.2">
      <c r="A18225" s="6" t="str">
        <f>"TMEM109"</f>
        <v>TMEM109</v>
      </c>
      <c r="B18225" s="6" t="s">
        <v>1</v>
      </c>
      <c r="C18225" s="6" t="s">
        <v>1</v>
      </c>
    </row>
    <row r="18226" spans="1:3" s="7" customFormat="1" x14ac:dyDescent="0.2">
      <c r="A18226" s="6" t="str">
        <f>"AC226119.1"</f>
        <v>AC226119.1</v>
      </c>
      <c r="B18226" s="6" t="s">
        <v>1</v>
      </c>
      <c r="C18226" s="6" t="s">
        <v>1</v>
      </c>
    </row>
    <row r="18227" spans="1:3" s="7" customFormat="1" x14ac:dyDescent="0.2">
      <c r="A18227" s="6" t="str">
        <f>"REEP2"</f>
        <v>REEP2</v>
      </c>
      <c r="B18227" s="6" t="s">
        <v>1</v>
      </c>
      <c r="C18227" s="6" t="s">
        <v>1</v>
      </c>
    </row>
    <row r="18228" spans="1:3" s="7" customFormat="1" x14ac:dyDescent="0.2">
      <c r="A18228" s="6" t="str">
        <f>"AC068587.5"</f>
        <v>AC068587.5</v>
      </c>
      <c r="B18228" s="6" t="s">
        <v>1</v>
      </c>
      <c r="C18228" s="6" t="s">
        <v>1</v>
      </c>
    </row>
    <row r="18229" spans="1:3" s="7" customFormat="1" x14ac:dyDescent="0.2">
      <c r="A18229" s="6" t="str">
        <f>"PHF2"</f>
        <v>PHF2</v>
      </c>
      <c r="B18229" s="6" t="s">
        <v>1</v>
      </c>
      <c r="C18229" s="6" t="s">
        <v>1</v>
      </c>
    </row>
    <row r="18230" spans="1:3" s="7" customFormat="1" x14ac:dyDescent="0.2">
      <c r="A18230" s="6" t="str">
        <f>"AOC4P"</f>
        <v>AOC4P</v>
      </c>
      <c r="B18230" s="6" t="s">
        <v>1</v>
      </c>
      <c r="C18230" s="6" t="s">
        <v>1</v>
      </c>
    </row>
    <row r="18231" spans="1:3" s="7" customFormat="1" x14ac:dyDescent="0.2">
      <c r="A18231" s="6" t="str">
        <f>"SLC2A3P1"</f>
        <v>SLC2A3P1</v>
      </c>
      <c r="B18231" s="6" t="s">
        <v>1</v>
      </c>
      <c r="C18231" s="6" t="s">
        <v>1</v>
      </c>
    </row>
    <row r="18232" spans="1:3" s="7" customFormat="1" x14ac:dyDescent="0.2">
      <c r="A18232" s="6" t="str">
        <f>"TMSB4Y"</f>
        <v>TMSB4Y</v>
      </c>
      <c r="B18232" s="6" t="s">
        <v>1</v>
      </c>
      <c r="C18232" s="6" t="s">
        <v>1</v>
      </c>
    </row>
    <row r="18233" spans="1:3" s="7" customFormat="1" x14ac:dyDescent="0.2">
      <c r="A18233" s="6" t="str">
        <f>"AC004492.1"</f>
        <v>AC004492.1</v>
      </c>
      <c r="B18233" s="6" t="s">
        <v>1</v>
      </c>
      <c r="C18233" s="6" t="s">
        <v>1</v>
      </c>
    </row>
    <row r="18234" spans="1:3" s="7" customFormat="1" x14ac:dyDescent="0.2">
      <c r="A18234" s="6" t="str">
        <f>"AC106795.1"</f>
        <v>AC106795.1</v>
      </c>
      <c r="B18234" s="6" t="s">
        <v>1</v>
      </c>
      <c r="C18234" s="6" t="s">
        <v>1</v>
      </c>
    </row>
    <row r="18235" spans="1:3" s="7" customFormat="1" x14ac:dyDescent="0.2">
      <c r="A18235" s="6" t="str">
        <f>"AC012317.1"</f>
        <v>AC012317.1</v>
      </c>
      <c r="B18235" s="6" t="s">
        <v>1</v>
      </c>
      <c r="C18235" s="6" t="s">
        <v>1</v>
      </c>
    </row>
    <row r="18236" spans="1:3" s="7" customFormat="1" x14ac:dyDescent="0.2">
      <c r="A18236" s="6" t="str">
        <f>"TMEM115"</f>
        <v>TMEM115</v>
      </c>
      <c r="B18236" s="6" t="s">
        <v>1</v>
      </c>
      <c r="C18236" s="6" t="s">
        <v>1</v>
      </c>
    </row>
    <row r="18237" spans="1:3" s="7" customFormat="1" x14ac:dyDescent="0.2">
      <c r="A18237" s="6" t="str">
        <f>"APEX1"</f>
        <v>APEX1</v>
      </c>
      <c r="B18237" s="6" t="s">
        <v>1</v>
      </c>
      <c r="C18237" s="6" t="s">
        <v>1</v>
      </c>
    </row>
    <row r="18238" spans="1:3" s="7" customFormat="1" x14ac:dyDescent="0.2">
      <c r="A18238" s="6" t="str">
        <f>"AC105339.2"</f>
        <v>AC105339.2</v>
      </c>
      <c r="B18238" s="6" t="s">
        <v>1</v>
      </c>
      <c r="C18238" s="6" t="s">
        <v>1</v>
      </c>
    </row>
    <row r="18239" spans="1:3" s="7" customFormat="1" x14ac:dyDescent="0.2">
      <c r="A18239" s="6" t="str">
        <f>"CNGB1"</f>
        <v>CNGB1</v>
      </c>
      <c r="B18239" s="6" t="s">
        <v>1</v>
      </c>
      <c r="C18239" s="6" t="s">
        <v>1</v>
      </c>
    </row>
    <row r="18240" spans="1:3" s="7" customFormat="1" x14ac:dyDescent="0.2">
      <c r="A18240" s="6" t="str">
        <f>"AP001042.1"</f>
        <v>AP001042.1</v>
      </c>
      <c r="B18240" s="6" t="s">
        <v>1</v>
      </c>
      <c r="C18240" s="6" t="s">
        <v>1</v>
      </c>
    </row>
    <row r="18241" spans="1:3" s="7" customFormat="1" x14ac:dyDescent="0.2">
      <c r="A18241" s="6" t="str">
        <f>"AL162615.1"</f>
        <v>AL162615.1</v>
      </c>
      <c r="B18241" s="6" t="s">
        <v>1</v>
      </c>
      <c r="C18241" s="6" t="s">
        <v>1</v>
      </c>
    </row>
    <row r="18242" spans="1:3" s="7" customFormat="1" x14ac:dyDescent="0.2">
      <c r="A18242" s="6" t="str">
        <f>"CDK15"</f>
        <v>CDK15</v>
      </c>
      <c r="B18242" s="6" t="s">
        <v>1</v>
      </c>
      <c r="C18242" s="6" t="s">
        <v>1</v>
      </c>
    </row>
    <row r="18243" spans="1:3" s="7" customFormat="1" x14ac:dyDescent="0.2">
      <c r="A18243" s="6" t="str">
        <f>"CPTP"</f>
        <v>CPTP</v>
      </c>
      <c r="B18243" s="6" t="s">
        <v>1</v>
      </c>
      <c r="C18243" s="6" t="s">
        <v>1</v>
      </c>
    </row>
    <row r="18244" spans="1:3" s="7" customFormat="1" x14ac:dyDescent="0.2">
      <c r="A18244" s="6" t="str">
        <f>"AC083880.1"</f>
        <v>AC083880.1</v>
      </c>
      <c r="B18244" s="6" t="s">
        <v>1</v>
      </c>
      <c r="C18244" s="6" t="s">
        <v>1</v>
      </c>
    </row>
    <row r="18245" spans="1:3" s="7" customFormat="1" x14ac:dyDescent="0.2">
      <c r="A18245" s="6" t="str">
        <f>"AC092755.2"</f>
        <v>AC092755.2</v>
      </c>
      <c r="B18245" s="6" t="s">
        <v>1</v>
      </c>
      <c r="C18245" s="6" t="s">
        <v>1</v>
      </c>
    </row>
    <row r="18246" spans="1:3" s="7" customFormat="1" x14ac:dyDescent="0.2">
      <c r="A18246" s="6" t="str">
        <f>"CPZ"</f>
        <v>CPZ</v>
      </c>
      <c r="B18246" s="6" t="s">
        <v>1</v>
      </c>
      <c r="C18246" s="6" t="s">
        <v>1</v>
      </c>
    </row>
    <row r="18247" spans="1:3" s="7" customFormat="1" x14ac:dyDescent="0.2">
      <c r="A18247" s="6" t="str">
        <f>"APEH"</f>
        <v>APEH</v>
      </c>
      <c r="B18247" s="6" t="s">
        <v>1</v>
      </c>
      <c r="C18247" s="6" t="s">
        <v>1</v>
      </c>
    </row>
    <row r="18248" spans="1:3" s="7" customFormat="1" x14ac:dyDescent="0.2">
      <c r="A18248" s="6" t="str">
        <f>"AC021134.1"</f>
        <v>AC021134.1</v>
      </c>
      <c r="B18248" s="6" t="s">
        <v>1</v>
      </c>
      <c r="C18248" s="6" t="s">
        <v>1</v>
      </c>
    </row>
    <row r="18249" spans="1:3" s="7" customFormat="1" x14ac:dyDescent="0.2">
      <c r="A18249" s="6" t="str">
        <f>"AL022328.2"</f>
        <v>AL022328.2</v>
      </c>
      <c r="B18249" s="6" t="s">
        <v>1</v>
      </c>
      <c r="C18249" s="6" t="s">
        <v>1</v>
      </c>
    </row>
    <row r="18250" spans="1:3" s="7" customFormat="1" x14ac:dyDescent="0.2">
      <c r="A18250" s="6" t="str">
        <f>"ARTN"</f>
        <v>ARTN</v>
      </c>
      <c r="B18250" s="6" t="s">
        <v>1</v>
      </c>
      <c r="C18250" s="6" t="s">
        <v>1</v>
      </c>
    </row>
    <row r="18251" spans="1:3" s="7" customFormat="1" x14ac:dyDescent="0.2">
      <c r="A18251" s="6" t="str">
        <f>"AC083809.1"</f>
        <v>AC083809.1</v>
      </c>
      <c r="B18251" s="6" t="s">
        <v>1</v>
      </c>
      <c r="C18251" s="6" t="s">
        <v>1</v>
      </c>
    </row>
    <row r="18252" spans="1:3" s="7" customFormat="1" x14ac:dyDescent="0.2">
      <c r="A18252" s="6" t="str">
        <f>"AC055840.1"</f>
        <v>AC055840.1</v>
      </c>
      <c r="B18252" s="6" t="s">
        <v>1</v>
      </c>
      <c r="C18252" s="6" t="s">
        <v>1</v>
      </c>
    </row>
    <row r="18253" spans="1:3" s="7" customFormat="1" x14ac:dyDescent="0.2">
      <c r="A18253" s="6" t="str">
        <f>"AC004241.5"</f>
        <v>AC004241.5</v>
      </c>
      <c r="B18253" s="6" t="s">
        <v>1</v>
      </c>
      <c r="C18253" s="6" t="s">
        <v>1</v>
      </c>
    </row>
    <row r="18254" spans="1:3" s="7" customFormat="1" x14ac:dyDescent="0.2">
      <c r="A18254" s="6" t="str">
        <f>"CAP2P1"</f>
        <v>CAP2P1</v>
      </c>
      <c r="B18254" s="6" t="s">
        <v>1</v>
      </c>
      <c r="C18254" s="6" t="s">
        <v>1</v>
      </c>
    </row>
    <row r="18255" spans="1:3" s="7" customFormat="1" x14ac:dyDescent="0.2">
      <c r="A18255" s="6" t="str">
        <f>"AP3S1"</f>
        <v>AP3S1</v>
      </c>
      <c r="B18255" s="6" t="s">
        <v>1</v>
      </c>
      <c r="C18255" s="6" t="s">
        <v>1</v>
      </c>
    </row>
    <row r="18256" spans="1:3" s="7" customFormat="1" x14ac:dyDescent="0.2">
      <c r="A18256" s="6" t="str">
        <f>"AC006946.2"</f>
        <v>AC006946.2</v>
      </c>
      <c r="B18256" s="6" t="s">
        <v>1</v>
      </c>
      <c r="C18256" s="6" t="s">
        <v>1</v>
      </c>
    </row>
    <row r="18257" spans="1:3" s="7" customFormat="1" x14ac:dyDescent="0.2">
      <c r="A18257" s="6" t="str">
        <f>"AL731563.3"</f>
        <v>AL731563.3</v>
      </c>
      <c r="B18257" s="6" t="s">
        <v>1</v>
      </c>
      <c r="C18257" s="6" t="s">
        <v>1</v>
      </c>
    </row>
    <row r="18258" spans="1:3" s="7" customFormat="1" x14ac:dyDescent="0.2">
      <c r="A18258" s="6" t="str">
        <f>"CDK3"</f>
        <v>CDK3</v>
      </c>
      <c r="B18258" s="6" t="s">
        <v>1</v>
      </c>
      <c r="C18258" s="6" t="s">
        <v>1</v>
      </c>
    </row>
    <row r="18259" spans="1:3" s="7" customFormat="1" x14ac:dyDescent="0.2">
      <c r="A18259" s="6" t="str">
        <f>"AF127577.4"</f>
        <v>AF127577.4</v>
      </c>
      <c r="B18259" s="6" t="s">
        <v>1</v>
      </c>
      <c r="C18259" s="6" t="s">
        <v>1</v>
      </c>
    </row>
    <row r="18260" spans="1:3" s="7" customFormat="1" x14ac:dyDescent="0.2">
      <c r="A18260" s="6" t="str">
        <f>"AC108751.4"</f>
        <v>AC108751.4</v>
      </c>
      <c r="B18260" s="6" t="s">
        <v>1</v>
      </c>
      <c r="C18260" s="6" t="s">
        <v>1</v>
      </c>
    </row>
    <row r="18261" spans="1:3" s="7" customFormat="1" x14ac:dyDescent="0.2">
      <c r="A18261" s="6" t="str">
        <f>"C1orf220"</f>
        <v>C1orf220</v>
      </c>
      <c r="B18261" s="6" t="s">
        <v>1</v>
      </c>
      <c r="C18261" s="6" t="s">
        <v>1</v>
      </c>
    </row>
    <row r="18262" spans="1:3" s="7" customFormat="1" x14ac:dyDescent="0.2">
      <c r="A18262" s="6" t="str">
        <f>"AC092821.3"</f>
        <v>AC092821.3</v>
      </c>
      <c r="B18262" s="6" t="s">
        <v>1</v>
      </c>
      <c r="C18262" s="6" t="s">
        <v>1</v>
      </c>
    </row>
    <row r="18263" spans="1:3" s="7" customFormat="1" x14ac:dyDescent="0.2">
      <c r="A18263" s="6" t="str">
        <f>"AC012325.1"</f>
        <v>AC012325.1</v>
      </c>
      <c r="B18263" s="6" t="s">
        <v>1</v>
      </c>
      <c r="C18263" s="6" t="s">
        <v>1</v>
      </c>
    </row>
    <row r="18264" spans="1:3" s="7" customFormat="1" x14ac:dyDescent="0.2">
      <c r="A18264" s="6" t="str">
        <f>"AC006262.1"</f>
        <v>AC006262.1</v>
      </c>
      <c r="B18264" s="6" t="s">
        <v>1</v>
      </c>
      <c r="C18264" s="6" t="s">
        <v>1</v>
      </c>
    </row>
    <row r="18265" spans="1:3" s="7" customFormat="1" x14ac:dyDescent="0.2">
      <c r="A18265" s="6" t="str">
        <f>"RPS10P7"</f>
        <v>RPS10P7</v>
      </c>
      <c r="B18265" s="6" t="s">
        <v>1</v>
      </c>
      <c r="C18265" s="6" t="s">
        <v>1</v>
      </c>
    </row>
    <row r="18266" spans="1:3" s="7" customFormat="1" x14ac:dyDescent="0.2">
      <c r="A18266" s="6" t="str">
        <f>"SEPTIN7P3"</f>
        <v>SEPTIN7P3</v>
      </c>
      <c r="B18266" s="6" t="s">
        <v>1</v>
      </c>
      <c r="C18266" s="6" t="s">
        <v>1</v>
      </c>
    </row>
    <row r="18267" spans="1:3" s="7" customFormat="1" x14ac:dyDescent="0.2">
      <c r="A18267" s="6" t="str">
        <f>"AL031681.2"</f>
        <v>AL031681.2</v>
      </c>
      <c r="B18267" s="6" t="s">
        <v>1</v>
      </c>
      <c r="C18267" s="6" t="s">
        <v>1</v>
      </c>
    </row>
    <row r="18268" spans="1:3" s="7" customFormat="1" x14ac:dyDescent="0.2">
      <c r="A18268" s="6" t="str">
        <f>"AL445685.3"</f>
        <v>AL445685.3</v>
      </c>
      <c r="B18268" s="6" t="s">
        <v>1</v>
      </c>
      <c r="C18268" s="6" t="s">
        <v>1</v>
      </c>
    </row>
    <row r="18269" spans="1:3" s="7" customFormat="1" x14ac:dyDescent="0.2">
      <c r="A18269" s="6" t="str">
        <f>"GRIA3"</f>
        <v>GRIA3</v>
      </c>
      <c r="B18269" s="6" t="s">
        <v>1</v>
      </c>
      <c r="C18269" s="6" t="s">
        <v>1</v>
      </c>
    </row>
    <row r="18270" spans="1:3" s="7" customFormat="1" x14ac:dyDescent="0.2">
      <c r="A18270" s="6" t="str">
        <f>"AC000041.1"</f>
        <v>AC000041.1</v>
      </c>
      <c r="B18270" s="6" t="s">
        <v>1</v>
      </c>
      <c r="C18270" s="6" t="s">
        <v>1</v>
      </c>
    </row>
    <row r="18271" spans="1:3" s="7" customFormat="1" x14ac:dyDescent="0.2">
      <c r="A18271" s="6" t="str">
        <f>"AC007368.1"</f>
        <v>AC007368.1</v>
      </c>
      <c r="B18271" s="6" t="s">
        <v>1</v>
      </c>
      <c r="C18271" s="6" t="s">
        <v>1</v>
      </c>
    </row>
    <row r="18272" spans="1:3" s="7" customFormat="1" x14ac:dyDescent="0.2">
      <c r="A18272" s="6" t="str">
        <f>"AL451136.1"</f>
        <v>AL451136.1</v>
      </c>
      <c r="B18272" s="6" t="s">
        <v>1</v>
      </c>
      <c r="C18272" s="6" t="s">
        <v>1</v>
      </c>
    </row>
    <row r="18273" spans="1:3" s="7" customFormat="1" x14ac:dyDescent="0.2">
      <c r="A18273" s="6" t="str">
        <f>"MALRD1"</f>
        <v>MALRD1</v>
      </c>
      <c r="B18273" s="6" t="s">
        <v>1</v>
      </c>
      <c r="C18273" s="6" t="s">
        <v>1</v>
      </c>
    </row>
    <row r="18274" spans="1:3" s="7" customFormat="1" x14ac:dyDescent="0.2">
      <c r="A18274" s="6" t="str">
        <f>"GPR61"</f>
        <v>GPR61</v>
      </c>
      <c r="B18274" s="6" t="s">
        <v>1</v>
      </c>
      <c r="C18274" s="6" t="s">
        <v>1</v>
      </c>
    </row>
    <row r="18275" spans="1:3" s="7" customFormat="1" x14ac:dyDescent="0.2">
      <c r="A18275" s="6" t="str">
        <f>"GRIK3"</f>
        <v>GRIK3</v>
      </c>
      <c r="B18275" s="6" t="s">
        <v>1</v>
      </c>
      <c r="C18275" s="6" t="s">
        <v>1</v>
      </c>
    </row>
    <row r="18276" spans="1:3" s="7" customFormat="1" x14ac:dyDescent="0.2">
      <c r="A18276" s="6" t="str">
        <f>"RALGAPA1P1"</f>
        <v>RALGAPA1P1</v>
      </c>
      <c r="B18276" s="6" t="s">
        <v>1</v>
      </c>
      <c r="C18276" s="6" t="s">
        <v>1</v>
      </c>
    </row>
    <row r="18277" spans="1:3" s="7" customFormat="1" x14ac:dyDescent="0.2">
      <c r="A18277" s="6" t="str">
        <f>"PHKA1P1"</f>
        <v>PHKA1P1</v>
      </c>
      <c r="B18277" s="6" t="s">
        <v>1</v>
      </c>
      <c r="C18277" s="6" t="s">
        <v>1</v>
      </c>
    </row>
    <row r="18278" spans="1:3" s="7" customFormat="1" x14ac:dyDescent="0.2">
      <c r="A18278" s="6" t="str">
        <f>"AP001005.3"</f>
        <v>AP001005.3</v>
      </c>
      <c r="B18278" s="6" t="s">
        <v>1</v>
      </c>
      <c r="C18278" s="6" t="s">
        <v>1</v>
      </c>
    </row>
    <row r="18279" spans="1:3" s="7" customFormat="1" x14ac:dyDescent="0.2">
      <c r="A18279" s="6" t="str">
        <f>"AL031710.1"</f>
        <v>AL031710.1</v>
      </c>
      <c r="B18279" s="6" t="s">
        <v>1</v>
      </c>
      <c r="C18279" s="6" t="s">
        <v>1</v>
      </c>
    </row>
    <row r="18280" spans="1:3" s="7" customFormat="1" x14ac:dyDescent="0.2">
      <c r="A18280" s="6" t="str">
        <f>"FAM8A4P"</f>
        <v>FAM8A4P</v>
      </c>
      <c r="B18280" s="6" t="s">
        <v>1</v>
      </c>
      <c r="C18280" s="6" t="s">
        <v>1</v>
      </c>
    </row>
    <row r="18281" spans="1:3" s="7" customFormat="1" x14ac:dyDescent="0.2">
      <c r="A18281" s="6" t="str">
        <f>"PCSK2"</f>
        <v>PCSK2</v>
      </c>
      <c r="B18281" s="6" t="s">
        <v>1</v>
      </c>
      <c r="C18281" s="6" t="s">
        <v>1</v>
      </c>
    </row>
    <row r="18282" spans="1:3" s="7" customFormat="1" x14ac:dyDescent="0.2">
      <c r="A18282" s="6" t="str">
        <f>"EMILIN3"</f>
        <v>EMILIN3</v>
      </c>
      <c r="B18282" s="6" t="s">
        <v>1</v>
      </c>
      <c r="C18282" s="6" t="s">
        <v>1</v>
      </c>
    </row>
    <row r="18283" spans="1:3" s="7" customFormat="1" x14ac:dyDescent="0.2">
      <c r="A18283" s="6" t="str">
        <f>"FAR2P3"</f>
        <v>FAR2P3</v>
      </c>
      <c r="B18283" s="6" t="s">
        <v>1</v>
      </c>
      <c r="C18283" s="6" t="s">
        <v>1</v>
      </c>
    </row>
    <row r="18284" spans="1:3" s="7" customFormat="1" x14ac:dyDescent="0.2">
      <c r="A18284" s="6" t="str">
        <f>"AC015818.3"</f>
        <v>AC015818.3</v>
      </c>
      <c r="B18284" s="6" t="s">
        <v>1</v>
      </c>
      <c r="C18284" s="6" t="s">
        <v>1</v>
      </c>
    </row>
    <row r="18285" spans="1:3" s="7" customFormat="1" x14ac:dyDescent="0.2">
      <c r="A18285" s="6" t="str">
        <f>"MAEL"</f>
        <v>MAEL</v>
      </c>
      <c r="B18285" s="6" t="s">
        <v>1</v>
      </c>
      <c r="C18285" s="6" t="s">
        <v>1</v>
      </c>
    </row>
    <row r="18286" spans="1:3" s="7" customFormat="1" x14ac:dyDescent="0.2">
      <c r="A18286" s="6" t="str">
        <f>"RPL9P25"</f>
        <v>RPL9P25</v>
      </c>
      <c r="B18286" s="6" t="s">
        <v>1</v>
      </c>
      <c r="C18286" s="6" t="s">
        <v>1</v>
      </c>
    </row>
    <row r="18287" spans="1:3" s="7" customFormat="1" x14ac:dyDescent="0.2">
      <c r="A18287" s="6" t="str">
        <f>"CNTNAP5"</f>
        <v>CNTNAP5</v>
      </c>
      <c r="B18287" s="6" t="s">
        <v>1</v>
      </c>
      <c r="C18287" s="6" t="s">
        <v>1</v>
      </c>
    </row>
    <row r="18288" spans="1:3" s="7" customFormat="1" x14ac:dyDescent="0.2">
      <c r="A18288" s="6" t="str">
        <f>"AC093726.1"</f>
        <v>AC093726.1</v>
      </c>
      <c r="B18288" s="6" t="s">
        <v>1</v>
      </c>
      <c r="C18288" s="6" t="s">
        <v>1</v>
      </c>
    </row>
    <row r="18289" spans="1:3" s="7" customFormat="1" x14ac:dyDescent="0.2">
      <c r="A18289" s="6" t="str">
        <f>"AL031281.1"</f>
        <v>AL031281.1</v>
      </c>
      <c r="B18289" s="6" t="s">
        <v>1</v>
      </c>
      <c r="C18289" s="6" t="s">
        <v>1</v>
      </c>
    </row>
    <row r="18290" spans="1:3" s="7" customFormat="1" x14ac:dyDescent="0.2">
      <c r="A18290" s="6" t="str">
        <f>"AL392089.1"</f>
        <v>AL392089.1</v>
      </c>
      <c r="B18290" s="6" t="s">
        <v>1</v>
      </c>
      <c r="C18290" s="6" t="s">
        <v>1</v>
      </c>
    </row>
    <row r="18291" spans="1:3" s="7" customFormat="1" x14ac:dyDescent="0.2">
      <c r="A18291" s="6" t="str">
        <f>"FLRT1"</f>
        <v>FLRT1</v>
      </c>
      <c r="B18291" s="6" t="s">
        <v>1</v>
      </c>
      <c r="C18291" s="6" t="s">
        <v>1</v>
      </c>
    </row>
    <row r="18292" spans="1:3" s="7" customFormat="1" x14ac:dyDescent="0.2">
      <c r="A18292" s="6" t="str">
        <f>"AC087284.1"</f>
        <v>AC087284.1</v>
      </c>
      <c r="B18292" s="6" t="s">
        <v>1</v>
      </c>
      <c r="C18292" s="6" t="s">
        <v>1</v>
      </c>
    </row>
    <row r="18293" spans="1:3" s="7" customFormat="1" x14ac:dyDescent="0.2">
      <c r="A18293" s="6" t="str">
        <f>"CELF4"</f>
        <v>CELF4</v>
      </c>
      <c r="B18293" s="6" t="s">
        <v>1</v>
      </c>
      <c r="C18293" s="6" t="s">
        <v>1</v>
      </c>
    </row>
    <row r="18294" spans="1:3" s="7" customFormat="1" x14ac:dyDescent="0.2">
      <c r="A18294" s="6" t="str">
        <f>"TRBV7-6"</f>
        <v>TRBV7-6</v>
      </c>
      <c r="B18294" s="6" t="s">
        <v>1</v>
      </c>
      <c r="C18294" s="6" t="s">
        <v>1</v>
      </c>
    </row>
    <row r="18295" spans="1:3" s="7" customFormat="1" x14ac:dyDescent="0.2">
      <c r="A18295" s="6" t="str">
        <f>"AC012588.1"</f>
        <v>AC012588.1</v>
      </c>
      <c r="B18295" s="6" t="s">
        <v>1</v>
      </c>
      <c r="C18295" s="6" t="s">
        <v>1</v>
      </c>
    </row>
    <row r="18296" spans="1:3" s="7" customFormat="1" x14ac:dyDescent="0.2">
      <c r="A18296" s="6" t="str">
        <f>"GRB14"</f>
        <v>GRB14</v>
      </c>
      <c r="B18296" s="6" t="s">
        <v>1</v>
      </c>
      <c r="C18296" s="6" t="s">
        <v>1</v>
      </c>
    </row>
    <row r="18297" spans="1:3" s="7" customFormat="1" x14ac:dyDescent="0.2">
      <c r="A18297" s="6" t="str">
        <f>"AC093278.2"</f>
        <v>AC093278.2</v>
      </c>
      <c r="B18297" s="6" t="s">
        <v>1</v>
      </c>
      <c r="C18297" s="6" t="s">
        <v>1</v>
      </c>
    </row>
    <row r="18298" spans="1:3" s="7" customFormat="1" x14ac:dyDescent="0.2">
      <c r="A18298" s="6" t="str">
        <f>"DNM1P51"</f>
        <v>DNM1P51</v>
      </c>
      <c r="B18298" s="6" t="s">
        <v>1</v>
      </c>
      <c r="C18298" s="6" t="s">
        <v>1</v>
      </c>
    </row>
    <row r="18299" spans="1:3" s="7" customFormat="1" x14ac:dyDescent="0.2">
      <c r="A18299" s="6" t="str">
        <f>"AL353770.3"</f>
        <v>AL353770.3</v>
      </c>
      <c r="B18299" s="6" t="s">
        <v>1</v>
      </c>
      <c r="C18299" s="6" t="s">
        <v>1</v>
      </c>
    </row>
    <row r="18300" spans="1:3" s="7" customFormat="1" x14ac:dyDescent="0.2">
      <c r="A18300" s="6" t="str">
        <f>"LINC02240"</f>
        <v>LINC02240</v>
      </c>
      <c r="B18300" s="6" t="s">
        <v>1</v>
      </c>
      <c r="C18300" s="6" t="s">
        <v>1</v>
      </c>
    </row>
    <row r="18301" spans="1:3" s="7" customFormat="1" x14ac:dyDescent="0.2">
      <c r="A18301" s="6" t="str">
        <f>"AP000892.4"</f>
        <v>AP000892.4</v>
      </c>
      <c r="B18301" s="6" t="s">
        <v>1</v>
      </c>
      <c r="C18301" s="6" t="s">
        <v>1</v>
      </c>
    </row>
    <row r="18302" spans="1:3" s="7" customFormat="1" x14ac:dyDescent="0.2">
      <c r="A18302" s="6" t="str">
        <f>"AC004899.2"</f>
        <v>AC004899.2</v>
      </c>
      <c r="B18302" s="6" t="s">
        <v>1</v>
      </c>
      <c r="C18302" s="6" t="s">
        <v>1</v>
      </c>
    </row>
    <row r="18303" spans="1:3" s="7" customFormat="1" x14ac:dyDescent="0.2">
      <c r="A18303" s="6" t="str">
        <f>"AL353608.3"</f>
        <v>AL353608.3</v>
      </c>
      <c r="B18303" s="6" t="s">
        <v>1</v>
      </c>
      <c r="C18303" s="6" t="s">
        <v>1</v>
      </c>
    </row>
    <row r="18304" spans="1:3" s="7" customFormat="1" x14ac:dyDescent="0.2">
      <c r="A18304" s="6" t="str">
        <f>"AC013271.1"</f>
        <v>AC013271.1</v>
      </c>
      <c r="B18304" s="6" t="s">
        <v>1</v>
      </c>
      <c r="C18304" s="6" t="s">
        <v>1</v>
      </c>
    </row>
    <row r="18305" spans="1:3" s="7" customFormat="1" x14ac:dyDescent="0.2">
      <c r="A18305" s="6" t="str">
        <f>"TRGV2"</f>
        <v>TRGV2</v>
      </c>
      <c r="B18305" s="6" t="s">
        <v>1</v>
      </c>
      <c r="C18305" s="6" t="s">
        <v>1</v>
      </c>
    </row>
    <row r="18306" spans="1:3" s="7" customFormat="1" x14ac:dyDescent="0.2">
      <c r="A18306" s="6" t="str">
        <f>"LINC01165"</f>
        <v>LINC01165</v>
      </c>
      <c r="B18306" s="6" t="s">
        <v>1</v>
      </c>
      <c r="C18306" s="6" t="s">
        <v>1</v>
      </c>
    </row>
    <row r="18307" spans="1:3" s="7" customFormat="1" x14ac:dyDescent="0.2">
      <c r="A18307" s="6" t="str">
        <f>"TNFRSF13B"</f>
        <v>TNFRSF13B</v>
      </c>
      <c r="B18307" s="6" t="s">
        <v>1</v>
      </c>
      <c r="C18307" s="6" t="s">
        <v>1</v>
      </c>
    </row>
    <row r="18308" spans="1:3" s="7" customFormat="1" x14ac:dyDescent="0.2">
      <c r="A18308" s="6" t="str">
        <f>"AC022167.4"</f>
        <v>AC022167.4</v>
      </c>
      <c r="B18308" s="6" t="s">
        <v>1</v>
      </c>
      <c r="C18308" s="6" t="s">
        <v>1</v>
      </c>
    </row>
    <row r="18309" spans="1:3" s="7" customFormat="1" x14ac:dyDescent="0.2">
      <c r="A18309" s="6" t="str">
        <f>"LINC02128"</f>
        <v>LINC02128</v>
      </c>
      <c r="B18309" s="6" t="s">
        <v>1</v>
      </c>
      <c r="C18309" s="6" t="s">
        <v>1</v>
      </c>
    </row>
    <row r="18310" spans="1:3" s="7" customFormat="1" x14ac:dyDescent="0.2">
      <c r="A18310" s="6" t="str">
        <f>"AC084375.1"</f>
        <v>AC084375.1</v>
      </c>
      <c r="B18310" s="6" t="s">
        <v>1</v>
      </c>
      <c r="C18310" s="6" t="s">
        <v>1</v>
      </c>
    </row>
    <row r="18311" spans="1:3" s="7" customFormat="1" x14ac:dyDescent="0.2">
      <c r="A18311" s="6" t="str">
        <f>"AC013470.1"</f>
        <v>AC013470.1</v>
      </c>
      <c r="B18311" s="6" t="s">
        <v>1</v>
      </c>
      <c r="C18311" s="6" t="s">
        <v>1</v>
      </c>
    </row>
    <row r="18312" spans="1:3" s="7" customFormat="1" x14ac:dyDescent="0.2">
      <c r="A18312" s="6" t="str">
        <f>"AC007333.2"</f>
        <v>AC007333.2</v>
      </c>
      <c r="B18312" s="6" t="s">
        <v>1</v>
      </c>
      <c r="C18312" s="6" t="s">
        <v>1</v>
      </c>
    </row>
    <row r="18313" spans="1:3" s="7" customFormat="1" x14ac:dyDescent="0.2">
      <c r="A18313" s="6" t="str">
        <f>"NDUFB4P11"</f>
        <v>NDUFB4P11</v>
      </c>
      <c r="B18313" s="6" t="s">
        <v>1</v>
      </c>
      <c r="C18313" s="6" t="s">
        <v>1</v>
      </c>
    </row>
    <row r="18314" spans="1:3" s="7" customFormat="1" x14ac:dyDescent="0.2">
      <c r="A18314" s="6" t="str">
        <f>"TBC1D27P"</f>
        <v>TBC1D27P</v>
      </c>
      <c r="B18314" s="6" t="s">
        <v>1</v>
      </c>
      <c r="C18314" s="6" t="s">
        <v>1</v>
      </c>
    </row>
    <row r="18315" spans="1:3" s="7" customFormat="1" x14ac:dyDescent="0.2">
      <c r="A18315" s="6" t="str">
        <f>"AC067956.1"</f>
        <v>AC067956.1</v>
      </c>
      <c r="B18315" s="6" t="s">
        <v>1</v>
      </c>
      <c r="C18315" s="6" t="s">
        <v>1</v>
      </c>
    </row>
    <row r="18316" spans="1:3" s="7" customFormat="1" x14ac:dyDescent="0.2">
      <c r="A18316" s="6" t="str">
        <f>"AC087392.1"</f>
        <v>AC087392.1</v>
      </c>
      <c r="B18316" s="6" t="s">
        <v>1</v>
      </c>
      <c r="C18316" s="6" t="s">
        <v>1</v>
      </c>
    </row>
    <row r="18317" spans="1:3" s="7" customFormat="1" x14ac:dyDescent="0.2">
      <c r="A18317" s="6" t="str">
        <f>"SNX29P1"</f>
        <v>SNX29P1</v>
      </c>
      <c r="B18317" s="6" t="s">
        <v>1</v>
      </c>
      <c r="C18317" s="6" t="s">
        <v>1</v>
      </c>
    </row>
    <row r="18318" spans="1:3" s="7" customFormat="1" x14ac:dyDescent="0.2">
      <c r="A18318" s="6" t="str">
        <f>"AL354733.1"</f>
        <v>AL354733.1</v>
      </c>
      <c r="B18318" s="6" t="s">
        <v>1</v>
      </c>
      <c r="C18318" s="6" t="s">
        <v>1</v>
      </c>
    </row>
    <row r="18319" spans="1:3" s="7" customFormat="1" x14ac:dyDescent="0.2">
      <c r="A18319" s="6" t="str">
        <f>"AC093809.1"</f>
        <v>AC093809.1</v>
      </c>
      <c r="B18319" s="6" t="s">
        <v>1</v>
      </c>
      <c r="C18319" s="6" t="s">
        <v>1</v>
      </c>
    </row>
    <row r="18320" spans="1:3" s="7" customFormat="1" x14ac:dyDescent="0.2">
      <c r="A18320" s="6" t="str">
        <f>"AC119427.2"</f>
        <v>AC119427.2</v>
      </c>
      <c r="B18320" s="6" t="s">
        <v>1</v>
      </c>
      <c r="C18320" s="6" t="s">
        <v>1</v>
      </c>
    </row>
    <row r="18321" spans="1:3" s="7" customFormat="1" x14ac:dyDescent="0.2">
      <c r="A18321" s="6" t="str">
        <f>"APOC4-APOC2"</f>
        <v>APOC4-APOC2</v>
      </c>
      <c r="B18321" s="6" t="s">
        <v>1</v>
      </c>
      <c r="C18321" s="6" t="s">
        <v>1</v>
      </c>
    </row>
    <row r="18322" spans="1:3" s="7" customFormat="1" x14ac:dyDescent="0.2">
      <c r="A18322" s="6" t="str">
        <f>"AC244453.3"</f>
        <v>AC244453.3</v>
      </c>
      <c r="B18322" s="6" t="s">
        <v>1</v>
      </c>
      <c r="C18322" s="6" t="s">
        <v>1</v>
      </c>
    </row>
    <row r="18323" spans="1:3" s="7" customFormat="1" x14ac:dyDescent="0.2">
      <c r="A18323" s="6" t="str">
        <f>"AL451007.3"</f>
        <v>AL451007.3</v>
      </c>
      <c r="B18323" s="6" t="s">
        <v>1</v>
      </c>
      <c r="C18323" s="6" t="s">
        <v>1</v>
      </c>
    </row>
    <row r="18324" spans="1:3" s="7" customFormat="1" x14ac:dyDescent="0.2">
      <c r="A18324" s="6" t="str">
        <f>"GLUD1P2"</f>
        <v>GLUD1P2</v>
      </c>
      <c r="B18324" s="6" t="s">
        <v>1</v>
      </c>
      <c r="C18324" s="6" t="s">
        <v>1</v>
      </c>
    </row>
    <row r="18325" spans="1:3" s="7" customFormat="1" x14ac:dyDescent="0.2">
      <c r="A18325" s="6" t="str">
        <f>"AC127502.3"</f>
        <v>AC127502.3</v>
      </c>
      <c r="B18325" s="6" t="s">
        <v>1</v>
      </c>
      <c r="C18325" s="6" t="s">
        <v>1</v>
      </c>
    </row>
    <row r="18326" spans="1:3" s="7" customFormat="1" x14ac:dyDescent="0.2">
      <c r="A18326" s="6" t="str">
        <f>"AC087045.2"</f>
        <v>AC087045.2</v>
      </c>
      <c r="B18326" s="6" t="s">
        <v>1</v>
      </c>
      <c r="C18326" s="6" t="s">
        <v>1</v>
      </c>
    </row>
    <row r="18327" spans="1:3" s="7" customFormat="1" x14ac:dyDescent="0.2">
      <c r="A18327" s="6" t="str">
        <f>"VN1R108P"</f>
        <v>VN1R108P</v>
      </c>
      <c r="B18327" s="6" t="s">
        <v>1</v>
      </c>
      <c r="C18327" s="6" t="s">
        <v>1</v>
      </c>
    </row>
    <row r="18328" spans="1:3" s="7" customFormat="1" x14ac:dyDescent="0.2">
      <c r="A18328" s="6" t="str">
        <f>"SLC25A5P5"</f>
        <v>SLC25A5P5</v>
      </c>
      <c r="B18328" s="6" t="s">
        <v>1</v>
      </c>
      <c r="C18328" s="6" t="s">
        <v>1</v>
      </c>
    </row>
    <row r="18329" spans="1:3" s="7" customFormat="1" x14ac:dyDescent="0.2">
      <c r="A18329" s="6" t="str">
        <f>"IGFL4"</f>
        <v>IGFL4</v>
      </c>
      <c r="B18329" s="6" t="s">
        <v>1</v>
      </c>
      <c r="C18329" s="6" t="s">
        <v>1</v>
      </c>
    </row>
    <row r="18330" spans="1:3" s="7" customFormat="1" x14ac:dyDescent="0.2">
      <c r="A18330" s="6" t="str">
        <f>"AC244669.2"</f>
        <v>AC244669.2</v>
      </c>
      <c r="B18330" s="6" t="s">
        <v>1</v>
      </c>
      <c r="C18330" s="6" t="s">
        <v>1</v>
      </c>
    </row>
    <row r="18331" spans="1:3" s="7" customFormat="1" x14ac:dyDescent="0.2">
      <c r="A18331" s="6" t="str">
        <f>"ADRA1D"</f>
        <v>ADRA1D</v>
      </c>
      <c r="B18331" s="6" t="s">
        <v>1</v>
      </c>
      <c r="C18331" s="6" t="s">
        <v>1</v>
      </c>
    </row>
    <row r="18332" spans="1:3" s="7" customFormat="1" x14ac:dyDescent="0.2">
      <c r="A18332" s="6" t="str">
        <f>"CHURC1-FNTB"</f>
        <v>CHURC1-FNTB</v>
      </c>
      <c r="B18332" s="6" t="s">
        <v>1</v>
      </c>
      <c r="C18332" s="6" t="s">
        <v>1</v>
      </c>
    </row>
    <row r="18333" spans="1:3" s="7" customFormat="1" x14ac:dyDescent="0.2">
      <c r="A18333" s="6" t="str">
        <f>"GPR78"</f>
        <v>GPR78</v>
      </c>
      <c r="B18333" s="6" t="s">
        <v>1</v>
      </c>
      <c r="C18333" s="6" t="s">
        <v>1</v>
      </c>
    </row>
    <row r="18334" spans="1:3" s="7" customFormat="1" x14ac:dyDescent="0.2">
      <c r="A18334" s="6" t="str">
        <f>"AL445928.2"</f>
        <v>AL445928.2</v>
      </c>
      <c r="B18334" s="6" t="s">
        <v>1</v>
      </c>
      <c r="C18334" s="6" t="s">
        <v>1</v>
      </c>
    </row>
    <row r="18335" spans="1:3" s="7" customFormat="1" x14ac:dyDescent="0.2">
      <c r="A18335" s="6" t="str">
        <f>"PDE11A-AS1"</f>
        <v>PDE11A-AS1</v>
      </c>
      <c r="B18335" s="6" t="s">
        <v>1</v>
      </c>
      <c r="C18335" s="6" t="s">
        <v>1</v>
      </c>
    </row>
    <row r="18336" spans="1:3" s="7" customFormat="1" x14ac:dyDescent="0.2">
      <c r="A18336" s="6" t="str">
        <f>"GLRA3"</f>
        <v>GLRA3</v>
      </c>
      <c r="B18336" s="6" t="s">
        <v>1</v>
      </c>
      <c r="C18336" s="6" t="s">
        <v>1</v>
      </c>
    </row>
    <row r="18337" spans="1:3" s="7" customFormat="1" x14ac:dyDescent="0.2">
      <c r="A18337" s="6" t="str">
        <f>"MIXL1"</f>
        <v>MIXL1</v>
      </c>
      <c r="B18337" s="6" t="s">
        <v>1</v>
      </c>
      <c r="C18337" s="6" t="s">
        <v>1</v>
      </c>
    </row>
    <row r="18338" spans="1:3" s="7" customFormat="1" x14ac:dyDescent="0.2">
      <c r="A18338" s="6" t="str">
        <f>"AL133410.3"</f>
        <v>AL133410.3</v>
      </c>
      <c r="B18338" s="6" t="s">
        <v>1</v>
      </c>
      <c r="C18338" s="6" t="s">
        <v>1</v>
      </c>
    </row>
    <row r="18339" spans="1:3" s="7" customFormat="1" x14ac:dyDescent="0.2">
      <c r="A18339" s="6" t="str">
        <f>"TNFSF12-TNFSF13"</f>
        <v>TNFSF12-TNFSF13</v>
      </c>
      <c r="B18339" s="6" t="s">
        <v>1</v>
      </c>
      <c r="C18339" s="6" t="s">
        <v>1</v>
      </c>
    </row>
    <row r="18340" spans="1:3" s="7" customFormat="1" x14ac:dyDescent="0.2">
      <c r="A18340" s="6" t="str">
        <f>"ASMT"</f>
        <v>ASMT</v>
      </c>
      <c r="B18340" s="6" t="s">
        <v>1</v>
      </c>
      <c r="C18340" s="6" t="s">
        <v>1</v>
      </c>
    </row>
    <row r="18341" spans="1:3" s="7" customFormat="1" x14ac:dyDescent="0.2">
      <c r="A18341" s="6" t="str">
        <f>"AC084809.2"</f>
        <v>AC084809.2</v>
      </c>
      <c r="B18341" s="6" t="s">
        <v>1</v>
      </c>
      <c r="C18341" s="6" t="s">
        <v>1</v>
      </c>
    </row>
    <row r="18342" spans="1:3" s="7" customFormat="1" x14ac:dyDescent="0.2">
      <c r="A18342" s="6" t="str">
        <f>"IGFBP7-AS1"</f>
        <v>IGFBP7-AS1</v>
      </c>
      <c r="B18342" s="6" t="s">
        <v>1</v>
      </c>
      <c r="C18342" s="6" t="s">
        <v>1</v>
      </c>
    </row>
    <row r="18343" spans="1:3" s="7" customFormat="1" x14ac:dyDescent="0.2">
      <c r="A18343" s="6" t="str">
        <f>"MIR4290HG"</f>
        <v>MIR4290HG</v>
      </c>
      <c r="B18343" s="6" t="s">
        <v>1</v>
      </c>
      <c r="C18343" s="6" t="s">
        <v>1</v>
      </c>
    </row>
    <row r="18344" spans="1:3" s="7" customFormat="1" x14ac:dyDescent="0.2">
      <c r="A18344" s="6" t="str">
        <f>"GRID1"</f>
        <v>GRID1</v>
      </c>
      <c r="B18344" s="6" t="s">
        <v>1</v>
      </c>
      <c r="C18344" s="6" t="s">
        <v>1</v>
      </c>
    </row>
    <row r="18345" spans="1:3" s="7" customFormat="1" x14ac:dyDescent="0.2">
      <c r="A18345" s="6" t="str">
        <f>"GRAPL"</f>
        <v>GRAPL</v>
      </c>
      <c r="B18345" s="6" t="s">
        <v>1</v>
      </c>
      <c r="C18345" s="6" t="s">
        <v>1</v>
      </c>
    </row>
    <row r="18346" spans="1:3" s="7" customFormat="1" x14ac:dyDescent="0.2">
      <c r="A18346" s="6" t="str">
        <f>"KLHL2P1"</f>
        <v>KLHL2P1</v>
      </c>
      <c r="B18346" s="6" t="s">
        <v>1</v>
      </c>
      <c r="C18346" s="6" t="s">
        <v>1</v>
      </c>
    </row>
    <row r="18347" spans="1:3" s="7" customFormat="1" x14ac:dyDescent="0.2">
      <c r="A18347" s="6" t="str">
        <f>"AC244517.5"</f>
        <v>AC244517.5</v>
      </c>
      <c r="B18347" s="6" t="s">
        <v>1</v>
      </c>
      <c r="C18347" s="6" t="s">
        <v>1</v>
      </c>
    </row>
    <row r="18348" spans="1:3" s="7" customFormat="1" x14ac:dyDescent="0.2">
      <c r="A18348" s="6" t="str">
        <f>"SOHLH2"</f>
        <v>SOHLH2</v>
      </c>
      <c r="B18348" s="6" t="s">
        <v>1</v>
      </c>
      <c r="C18348" s="6" t="s">
        <v>1</v>
      </c>
    </row>
    <row r="18349" spans="1:3" s="7" customFormat="1" x14ac:dyDescent="0.2">
      <c r="A18349" s="6" t="str">
        <f>"PTPN20CP"</f>
        <v>PTPN20CP</v>
      </c>
      <c r="B18349" s="6" t="s">
        <v>1</v>
      </c>
      <c r="C18349" s="6" t="s">
        <v>1</v>
      </c>
    </row>
    <row r="18350" spans="1:3" s="7" customFormat="1" x14ac:dyDescent="0.2">
      <c r="A18350" s="6" t="str">
        <f>"AC012488.2"</f>
        <v>AC012488.2</v>
      </c>
      <c r="B18350" s="6" t="s">
        <v>1</v>
      </c>
      <c r="C18350" s="6" t="s">
        <v>1</v>
      </c>
    </row>
    <row r="18351" spans="1:3" s="7" customFormat="1" x14ac:dyDescent="0.2">
      <c r="A18351" s="6" t="str">
        <f>"FAR2P1"</f>
        <v>FAR2P1</v>
      </c>
      <c r="B18351" s="6" t="s">
        <v>1</v>
      </c>
      <c r="C18351" s="6" t="s">
        <v>1</v>
      </c>
    </row>
    <row r="18352" spans="1:3" s="7" customFormat="1" x14ac:dyDescent="0.2">
      <c r="A18352" s="6" t="str">
        <f>"AC127526.1"</f>
        <v>AC127526.1</v>
      </c>
      <c r="B18352" s="6" t="s">
        <v>1</v>
      </c>
      <c r="C18352" s="6" t="s">
        <v>1</v>
      </c>
    </row>
    <row r="18353" spans="1:3" s="7" customFormat="1" x14ac:dyDescent="0.2">
      <c r="A18353" s="6" t="str">
        <f>"AC023043.2"</f>
        <v>AC023043.2</v>
      </c>
      <c r="B18353" s="6" t="s">
        <v>1</v>
      </c>
      <c r="C18353" s="6" t="s">
        <v>1</v>
      </c>
    </row>
    <row r="18354" spans="1:3" s="7" customFormat="1" x14ac:dyDescent="0.2">
      <c r="A18354" s="6" t="str">
        <f>"AC087499.2"</f>
        <v>AC087499.2</v>
      </c>
      <c r="B18354" s="6" t="s">
        <v>1</v>
      </c>
      <c r="C18354" s="6" t="s">
        <v>1</v>
      </c>
    </row>
    <row r="18355" spans="1:3" s="7" customFormat="1" x14ac:dyDescent="0.2">
      <c r="A18355" s="6" t="str">
        <f>"AL499604.1"</f>
        <v>AL499604.1</v>
      </c>
      <c r="B18355" s="6" t="s">
        <v>1</v>
      </c>
      <c r="C18355" s="6" t="s">
        <v>1</v>
      </c>
    </row>
    <row r="18356" spans="1:3" s="7" customFormat="1" x14ac:dyDescent="0.2">
      <c r="A18356" s="6" t="str">
        <f>"CASC18"</f>
        <v>CASC18</v>
      </c>
      <c r="B18356" s="6" t="s">
        <v>1</v>
      </c>
      <c r="C18356" s="6" t="s">
        <v>1</v>
      </c>
    </row>
    <row r="18357" spans="1:3" s="7" customFormat="1" x14ac:dyDescent="0.2">
      <c r="A18357" s="6" t="str">
        <f>"AC004980.3"</f>
        <v>AC004980.3</v>
      </c>
      <c r="B18357" s="6" t="s">
        <v>1</v>
      </c>
      <c r="C18357" s="6" t="s">
        <v>1</v>
      </c>
    </row>
    <row r="18358" spans="1:3" s="7" customFormat="1" x14ac:dyDescent="0.2">
      <c r="A18358" s="6" t="str">
        <f>"UGT1A3"</f>
        <v>UGT1A3</v>
      </c>
      <c r="B18358" s="6" t="s">
        <v>1</v>
      </c>
      <c r="C18358" s="6" t="s">
        <v>1</v>
      </c>
    </row>
    <row r="18359" spans="1:3" s="7" customFormat="1" x14ac:dyDescent="0.2">
      <c r="A18359" s="6" t="str">
        <f>"AC087280.2"</f>
        <v>AC087280.2</v>
      </c>
      <c r="B18359" s="6" t="s">
        <v>1</v>
      </c>
      <c r="C18359" s="6" t="s">
        <v>1</v>
      </c>
    </row>
    <row r="18360" spans="1:3" s="7" customFormat="1" x14ac:dyDescent="0.2">
      <c r="A18360" s="6" t="str">
        <f>"AC067852.1"</f>
        <v>AC067852.1</v>
      </c>
      <c r="B18360" s="6" t="s">
        <v>1</v>
      </c>
      <c r="C18360" s="6" t="s">
        <v>1</v>
      </c>
    </row>
    <row r="18361" spans="1:3" s="7" customFormat="1" x14ac:dyDescent="0.2">
      <c r="A18361" s="6" t="str">
        <f>"HNRNPA1P52"</f>
        <v>HNRNPA1P52</v>
      </c>
      <c r="B18361" s="6" t="s">
        <v>1</v>
      </c>
      <c r="C18361" s="6" t="s">
        <v>1</v>
      </c>
    </row>
    <row r="18362" spans="1:3" s="7" customFormat="1" x14ac:dyDescent="0.2">
      <c r="A18362" s="6" t="str">
        <f>"TRGV10"</f>
        <v>TRGV10</v>
      </c>
      <c r="B18362" s="6" t="s">
        <v>1</v>
      </c>
      <c r="C18362" s="6" t="s">
        <v>1</v>
      </c>
    </row>
    <row r="18363" spans="1:3" s="7" customFormat="1" x14ac:dyDescent="0.2">
      <c r="A18363" s="6" t="str">
        <f>"AL450998.1"</f>
        <v>AL450998.1</v>
      </c>
      <c r="B18363" s="6" t="s">
        <v>1</v>
      </c>
      <c r="C18363" s="6" t="s">
        <v>1</v>
      </c>
    </row>
    <row r="18364" spans="1:3" s="7" customFormat="1" x14ac:dyDescent="0.2">
      <c r="A18364" s="6" t="str">
        <f>"HNRNPA1P7"</f>
        <v>HNRNPA1P7</v>
      </c>
      <c r="B18364" s="6" t="s">
        <v>1</v>
      </c>
      <c r="C18364" s="6" t="s">
        <v>1</v>
      </c>
    </row>
    <row r="18365" spans="1:3" s="7" customFormat="1" x14ac:dyDescent="0.2">
      <c r="A18365" s="6" t="str">
        <f>"AL133353.2"</f>
        <v>AL133353.2</v>
      </c>
      <c r="B18365" s="6" t="s">
        <v>1</v>
      </c>
      <c r="C18365" s="6" t="s">
        <v>1</v>
      </c>
    </row>
    <row r="18366" spans="1:3" s="7" customFormat="1" x14ac:dyDescent="0.2">
      <c r="A18366" s="6" t="str">
        <f>"ABHD17AP3"</f>
        <v>ABHD17AP3</v>
      </c>
      <c r="B18366" s="6" t="s">
        <v>1</v>
      </c>
      <c r="C18366" s="6" t="s">
        <v>1</v>
      </c>
    </row>
    <row r="18367" spans="1:3" s="7" customFormat="1" x14ac:dyDescent="0.2">
      <c r="A18367" s="6" t="str">
        <f>"CHRNA3"</f>
        <v>CHRNA3</v>
      </c>
      <c r="B18367" s="6" t="s">
        <v>1</v>
      </c>
      <c r="C18367" s="6" t="s">
        <v>1</v>
      </c>
    </row>
    <row r="18368" spans="1:3" s="7" customFormat="1" x14ac:dyDescent="0.2">
      <c r="A18368" s="6" t="str">
        <f>"AL136164.3"</f>
        <v>AL136164.3</v>
      </c>
      <c r="B18368" s="6" t="s">
        <v>1</v>
      </c>
      <c r="C18368" s="6" t="s">
        <v>1</v>
      </c>
    </row>
    <row r="18369" spans="1:3" s="7" customFormat="1" x14ac:dyDescent="0.2">
      <c r="A18369" s="6" t="str">
        <f>"AL353579.1"</f>
        <v>AL353579.1</v>
      </c>
      <c r="B18369" s="6" t="s">
        <v>1</v>
      </c>
      <c r="C18369" s="6" t="s">
        <v>1</v>
      </c>
    </row>
    <row r="18370" spans="1:3" s="7" customFormat="1" x14ac:dyDescent="0.2">
      <c r="A18370" s="6" t="str">
        <f>"AC084757.3"</f>
        <v>AC084757.3</v>
      </c>
      <c r="B18370" s="6" t="s">
        <v>1</v>
      </c>
      <c r="C18370" s="6" t="s">
        <v>1</v>
      </c>
    </row>
    <row r="18371" spans="1:3" s="7" customFormat="1" x14ac:dyDescent="0.2">
      <c r="A18371" s="6" t="str">
        <f>"AC060234.3"</f>
        <v>AC060234.3</v>
      </c>
      <c r="B18371" s="6" t="s">
        <v>1</v>
      </c>
      <c r="C18371" s="6" t="s">
        <v>1</v>
      </c>
    </row>
    <row r="18372" spans="1:3" s="7" customFormat="1" x14ac:dyDescent="0.2">
      <c r="A18372" s="6" t="str">
        <f>"EBF1"</f>
        <v>EBF1</v>
      </c>
      <c r="B18372" s="6" t="s">
        <v>1</v>
      </c>
      <c r="C18372" s="6" t="s">
        <v>1</v>
      </c>
    </row>
    <row r="18373" spans="1:3" s="7" customFormat="1" x14ac:dyDescent="0.2">
      <c r="A18373" s="6" t="str">
        <f>"CYP19A1"</f>
        <v>CYP19A1</v>
      </c>
      <c r="B18373" s="6" t="s">
        <v>1</v>
      </c>
      <c r="C18373" s="6" t="s">
        <v>1</v>
      </c>
    </row>
    <row r="18374" spans="1:3" s="7" customFormat="1" x14ac:dyDescent="0.2">
      <c r="A18374" s="6" t="str">
        <f>"AL353746.1"</f>
        <v>AL353746.1</v>
      </c>
      <c r="B18374" s="6" t="s">
        <v>1</v>
      </c>
      <c r="C18374" s="6" t="s">
        <v>1</v>
      </c>
    </row>
    <row r="18375" spans="1:3" s="7" customFormat="1" x14ac:dyDescent="0.2">
      <c r="A18375" s="6" t="str">
        <f>"GREB1L"</f>
        <v>GREB1L</v>
      </c>
      <c r="B18375" s="6" t="s">
        <v>1</v>
      </c>
      <c r="C18375" s="6" t="s">
        <v>1</v>
      </c>
    </row>
    <row r="18376" spans="1:3" s="7" customFormat="1" x14ac:dyDescent="0.2">
      <c r="A18376" s="6" t="str">
        <f>"AC093388.1"</f>
        <v>AC093388.1</v>
      </c>
      <c r="B18376" s="6" t="s">
        <v>1</v>
      </c>
      <c r="C18376" s="6" t="s">
        <v>1</v>
      </c>
    </row>
    <row r="18377" spans="1:3" s="7" customFormat="1" x14ac:dyDescent="0.2">
      <c r="A18377" s="6" t="str">
        <f>"MIR548I1"</f>
        <v>MIR548I1</v>
      </c>
      <c r="B18377" s="6" t="s">
        <v>1</v>
      </c>
      <c r="C18377" s="6" t="s">
        <v>1</v>
      </c>
    </row>
    <row r="18378" spans="1:3" s="7" customFormat="1" x14ac:dyDescent="0.2">
      <c r="A18378" s="6" t="str">
        <f>"AC093525.9"</f>
        <v>AC093525.9</v>
      </c>
      <c r="B18378" s="6" t="s">
        <v>1</v>
      </c>
      <c r="C18378" s="6" t="s">
        <v>1</v>
      </c>
    </row>
    <row r="18379" spans="1:3" s="7" customFormat="1" x14ac:dyDescent="0.2">
      <c r="A18379" s="6" t="str">
        <f>"HNRNPH1P1"</f>
        <v>HNRNPH1P1</v>
      </c>
      <c r="B18379" s="6" t="s">
        <v>1</v>
      </c>
      <c r="C18379" s="6" t="s">
        <v>1</v>
      </c>
    </row>
    <row r="18380" spans="1:3" s="7" customFormat="1" x14ac:dyDescent="0.2">
      <c r="A18380" s="6" t="str">
        <f>"AC067930.3"</f>
        <v>AC067930.3</v>
      </c>
      <c r="B18380" s="6" t="s">
        <v>1</v>
      </c>
      <c r="C18380" s="6" t="s">
        <v>1</v>
      </c>
    </row>
    <row r="18381" spans="1:3" s="7" customFormat="1" x14ac:dyDescent="0.2">
      <c r="A18381" s="6" t="str">
        <f>"AC063950.1"</f>
        <v>AC063950.1</v>
      </c>
      <c r="B18381" s="6" t="s">
        <v>1</v>
      </c>
      <c r="C18381" s="6" t="s">
        <v>1</v>
      </c>
    </row>
    <row r="18382" spans="1:3" s="7" customFormat="1" x14ac:dyDescent="0.2">
      <c r="A18382" s="6" t="str">
        <f>"AC007461.1"</f>
        <v>AC007461.1</v>
      </c>
      <c r="B18382" s="6" t="s">
        <v>1</v>
      </c>
      <c r="C18382" s="6" t="s">
        <v>1</v>
      </c>
    </row>
    <row r="18383" spans="1:3" s="7" customFormat="1" x14ac:dyDescent="0.2">
      <c r="A18383" s="6" t="str">
        <f>"LINC01119"</f>
        <v>LINC01119</v>
      </c>
      <c r="B18383" s="6" t="s">
        <v>1</v>
      </c>
      <c r="C18383" s="6" t="s">
        <v>1</v>
      </c>
    </row>
    <row r="18384" spans="1:3" s="7" customFormat="1" x14ac:dyDescent="0.2">
      <c r="A18384" s="6" t="str">
        <f>"AC243772.3"</f>
        <v>AC243772.3</v>
      </c>
      <c r="B18384" s="6" t="s">
        <v>1</v>
      </c>
      <c r="C18384" s="6" t="s">
        <v>1</v>
      </c>
    </row>
    <row r="18385" spans="1:3" s="7" customFormat="1" x14ac:dyDescent="0.2">
      <c r="A18385" s="6" t="str">
        <f>"AC013731.1"</f>
        <v>AC013731.1</v>
      </c>
      <c r="B18385" s="6" t="s">
        <v>1</v>
      </c>
      <c r="C18385" s="6" t="s">
        <v>1</v>
      </c>
    </row>
    <row r="18386" spans="1:3" s="7" customFormat="1" x14ac:dyDescent="0.2">
      <c r="A18386" s="6" t="str">
        <f>"TRBV7-3"</f>
        <v>TRBV7-3</v>
      </c>
      <c r="B18386" s="6" t="s">
        <v>1</v>
      </c>
      <c r="C18386" s="6" t="s">
        <v>1</v>
      </c>
    </row>
    <row r="18387" spans="1:3" s="7" customFormat="1" x14ac:dyDescent="0.2">
      <c r="A18387" s="6" t="str">
        <f>"IGF2BP1"</f>
        <v>IGF2BP1</v>
      </c>
      <c r="B18387" s="6" t="s">
        <v>1</v>
      </c>
      <c r="C18387" s="6" t="s">
        <v>1</v>
      </c>
    </row>
    <row r="18388" spans="1:3" s="7" customFormat="1" x14ac:dyDescent="0.2">
      <c r="A18388" s="6" t="str">
        <f>"PCP4"</f>
        <v>PCP4</v>
      </c>
      <c r="B18388" s="6" t="s">
        <v>1</v>
      </c>
      <c r="C18388" s="6" t="s">
        <v>1</v>
      </c>
    </row>
    <row r="18389" spans="1:3" s="7" customFormat="1" x14ac:dyDescent="0.2">
      <c r="A18389" s="6" t="str">
        <f>"AC087289.2"</f>
        <v>AC087289.2</v>
      </c>
      <c r="B18389" s="6" t="s">
        <v>1</v>
      </c>
      <c r="C18389" s="6" t="s">
        <v>1</v>
      </c>
    </row>
    <row r="18390" spans="1:3" s="7" customFormat="1" x14ac:dyDescent="0.2">
      <c r="A18390" s="6" t="str">
        <f>"AC084082.1"</f>
        <v>AC084082.1</v>
      </c>
      <c r="B18390" s="6" t="s">
        <v>1</v>
      </c>
      <c r="C18390" s="6" t="s">
        <v>1</v>
      </c>
    </row>
    <row r="18391" spans="1:3" s="7" customFormat="1" x14ac:dyDescent="0.2">
      <c r="A18391" s="6" t="str">
        <f>"KCNC1"</f>
        <v>KCNC1</v>
      </c>
      <c r="B18391" s="6" t="s">
        <v>1</v>
      </c>
      <c r="C18391" s="6" t="s">
        <v>1</v>
      </c>
    </row>
    <row r="18392" spans="1:3" s="7" customFormat="1" x14ac:dyDescent="0.2">
      <c r="A18392" s="6" t="str">
        <f>"LHFPL3-AS1"</f>
        <v>LHFPL3-AS1</v>
      </c>
      <c r="B18392" s="6" t="s">
        <v>1</v>
      </c>
      <c r="C18392" s="6" t="s">
        <v>1</v>
      </c>
    </row>
    <row r="18393" spans="1:3" s="7" customFormat="1" x14ac:dyDescent="0.2">
      <c r="A18393" s="6" t="str">
        <f>"MIR3659HG"</f>
        <v>MIR3659HG</v>
      </c>
      <c r="B18393" s="6" t="s">
        <v>1</v>
      </c>
      <c r="C18393" s="6" t="s">
        <v>1</v>
      </c>
    </row>
    <row r="18394" spans="1:3" s="7" customFormat="1" x14ac:dyDescent="0.2">
      <c r="A18394" s="6" t="str">
        <f>"CHRDL1"</f>
        <v>CHRDL1</v>
      </c>
      <c r="B18394" s="6" t="s">
        <v>1</v>
      </c>
      <c r="C18394" s="6" t="s">
        <v>1</v>
      </c>
    </row>
    <row r="18395" spans="1:3" s="7" customFormat="1" x14ac:dyDescent="0.2">
      <c r="A18395" s="6" t="str">
        <f>"EEF1A1P22"</f>
        <v>EEF1A1P22</v>
      </c>
      <c r="B18395" s="6" t="s">
        <v>1</v>
      </c>
      <c r="C18395" s="6" t="s">
        <v>1</v>
      </c>
    </row>
    <row r="18396" spans="1:3" s="7" customFormat="1" x14ac:dyDescent="0.2">
      <c r="A18396" s="6" t="str">
        <f>"DEFA3"</f>
        <v>DEFA3</v>
      </c>
      <c r="B18396" s="6" t="s">
        <v>1</v>
      </c>
      <c r="C18396" s="6" t="s">
        <v>1</v>
      </c>
    </row>
    <row r="18397" spans="1:3" s="7" customFormat="1" x14ac:dyDescent="0.2">
      <c r="A18397" s="6" t="str">
        <f>"AC093732.2"</f>
        <v>AC093732.2</v>
      </c>
      <c r="B18397" s="6" t="s">
        <v>1</v>
      </c>
      <c r="C18397" s="6" t="s">
        <v>1</v>
      </c>
    </row>
    <row r="18398" spans="1:3" s="7" customFormat="1" x14ac:dyDescent="0.2">
      <c r="A18398" s="6" t="str">
        <f>"AC009435.1"</f>
        <v>AC009435.1</v>
      </c>
      <c r="B18398" s="6" t="s">
        <v>1</v>
      </c>
      <c r="C18398" s="6" t="s">
        <v>1</v>
      </c>
    </row>
    <row r="18399" spans="1:3" s="7" customFormat="1" x14ac:dyDescent="0.2">
      <c r="A18399" s="6" t="str">
        <f>"AP000867.5"</f>
        <v>AP000867.5</v>
      </c>
      <c r="B18399" s="6" t="s">
        <v>1</v>
      </c>
      <c r="C18399" s="6" t="s">
        <v>1</v>
      </c>
    </row>
    <row r="18400" spans="1:3" s="7" customFormat="1" x14ac:dyDescent="0.2">
      <c r="A18400" s="6" t="str">
        <f>"NOS1"</f>
        <v>NOS1</v>
      </c>
      <c r="B18400" s="6" t="s">
        <v>1</v>
      </c>
      <c r="C18400" s="6" t="s">
        <v>1</v>
      </c>
    </row>
    <row r="18401" spans="1:3" s="7" customFormat="1" x14ac:dyDescent="0.2">
      <c r="A18401" s="6" t="str">
        <f>"ENPEP"</f>
        <v>ENPEP</v>
      </c>
      <c r="B18401" s="6" t="s">
        <v>1</v>
      </c>
      <c r="C18401" s="6" t="s">
        <v>1</v>
      </c>
    </row>
    <row r="18402" spans="1:3" s="7" customFormat="1" x14ac:dyDescent="0.2">
      <c r="A18402" s="6" t="str">
        <f>"CRYBB2"</f>
        <v>CRYBB2</v>
      </c>
      <c r="B18402" s="6" t="s">
        <v>1</v>
      </c>
      <c r="C18402" s="6" t="s">
        <v>1</v>
      </c>
    </row>
    <row r="18403" spans="1:3" s="7" customFormat="1" x14ac:dyDescent="0.2">
      <c r="A18403" s="6" t="str">
        <f>"AC108477.1"</f>
        <v>AC108477.1</v>
      </c>
      <c r="B18403" s="6" t="s">
        <v>1</v>
      </c>
      <c r="C18403" s="6" t="s">
        <v>1</v>
      </c>
    </row>
    <row r="18404" spans="1:3" s="7" customFormat="1" x14ac:dyDescent="0.2">
      <c r="A18404" s="6" t="str">
        <f>"LINC02218"</f>
        <v>LINC02218</v>
      </c>
      <c r="B18404" s="6" t="s">
        <v>1</v>
      </c>
      <c r="C18404" s="6" t="s">
        <v>1</v>
      </c>
    </row>
    <row r="18405" spans="1:3" s="7" customFormat="1" x14ac:dyDescent="0.2">
      <c r="A18405" s="6" t="str">
        <f>"CCN5"</f>
        <v>CCN5</v>
      </c>
      <c r="B18405" s="6" t="s">
        <v>1</v>
      </c>
      <c r="C18405" s="6" t="s">
        <v>1</v>
      </c>
    </row>
    <row r="18406" spans="1:3" s="7" customFormat="1" x14ac:dyDescent="0.2">
      <c r="A18406" s="6" t="str">
        <f>"KCNF1"</f>
        <v>KCNF1</v>
      </c>
      <c r="B18406" s="6" t="s">
        <v>1</v>
      </c>
      <c r="C18406" s="6" t="s">
        <v>1</v>
      </c>
    </row>
    <row r="18407" spans="1:3" s="7" customFormat="1" x14ac:dyDescent="0.2">
      <c r="A18407" s="6" t="str">
        <f>"AL133338.2"</f>
        <v>AL133338.2</v>
      </c>
      <c r="B18407" s="6" t="s">
        <v>1</v>
      </c>
      <c r="C18407" s="6" t="s">
        <v>1</v>
      </c>
    </row>
    <row r="18408" spans="1:3" s="7" customFormat="1" x14ac:dyDescent="0.2">
      <c r="A18408" s="6" t="str">
        <f>"AC023302.1"</f>
        <v>AC023302.1</v>
      </c>
      <c r="B18408" s="6" t="s">
        <v>1</v>
      </c>
      <c r="C18408" s="6" t="s">
        <v>1</v>
      </c>
    </row>
    <row r="18409" spans="1:3" s="7" customFormat="1" x14ac:dyDescent="0.2">
      <c r="A18409" s="6" t="str">
        <f>"CYP4F2"</f>
        <v>CYP4F2</v>
      </c>
      <c r="B18409" s="6" t="s">
        <v>1</v>
      </c>
      <c r="C18409" s="6" t="s">
        <v>1</v>
      </c>
    </row>
    <row r="18410" spans="1:3" s="7" customFormat="1" x14ac:dyDescent="0.2">
      <c r="A18410" s="6" t="str">
        <f>"AL353699.1"</f>
        <v>AL353699.1</v>
      </c>
      <c r="B18410" s="6" t="s">
        <v>1</v>
      </c>
      <c r="C18410" s="6" t="s">
        <v>1</v>
      </c>
    </row>
    <row r="18411" spans="1:3" s="7" customFormat="1" x14ac:dyDescent="0.2">
      <c r="A18411" s="6" t="str">
        <f>"GK-IT1"</f>
        <v>GK-IT1</v>
      </c>
      <c r="B18411" s="6" t="s">
        <v>1</v>
      </c>
      <c r="C18411" s="6" t="s">
        <v>1</v>
      </c>
    </row>
    <row r="18412" spans="1:3" s="7" customFormat="1" x14ac:dyDescent="0.2">
      <c r="A18412" s="6" t="str">
        <f>"APOB"</f>
        <v>APOB</v>
      </c>
      <c r="B18412" s="6" t="s">
        <v>1</v>
      </c>
      <c r="C18412" s="6" t="s">
        <v>1</v>
      </c>
    </row>
    <row r="18413" spans="1:3" s="7" customFormat="1" x14ac:dyDescent="0.2">
      <c r="A18413" s="6" t="str">
        <f>"HMGN1P3"</f>
        <v>HMGN1P3</v>
      </c>
      <c r="B18413" s="6" t="s">
        <v>1</v>
      </c>
      <c r="C18413" s="6" t="s">
        <v>1</v>
      </c>
    </row>
    <row r="18414" spans="1:3" s="7" customFormat="1" x14ac:dyDescent="0.2">
      <c r="A18414" s="6" t="str">
        <f>"CDRT15P9"</f>
        <v>CDRT15P9</v>
      </c>
      <c r="B18414" s="6" t="s">
        <v>1</v>
      </c>
      <c r="C18414" s="6" t="s">
        <v>1</v>
      </c>
    </row>
    <row r="18415" spans="1:3" s="7" customFormat="1" x14ac:dyDescent="0.2">
      <c r="A18415" s="6" t="str">
        <f>"AL353572.4"</f>
        <v>AL353572.4</v>
      </c>
      <c r="B18415" s="6" t="s">
        <v>1</v>
      </c>
      <c r="C18415" s="6" t="s">
        <v>1</v>
      </c>
    </row>
    <row r="18416" spans="1:3" s="7" customFormat="1" x14ac:dyDescent="0.2">
      <c r="A18416" s="6" t="str">
        <f>"VDAC2P5"</f>
        <v>VDAC2P5</v>
      </c>
      <c r="B18416" s="6" t="s">
        <v>1</v>
      </c>
      <c r="C18416" s="6" t="s">
        <v>1</v>
      </c>
    </row>
    <row r="18417" spans="1:3" s="7" customFormat="1" x14ac:dyDescent="0.2">
      <c r="A18417" s="6" t="str">
        <f>"AC007278.2"</f>
        <v>AC007278.2</v>
      </c>
      <c r="B18417" s="6" t="s">
        <v>1</v>
      </c>
      <c r="C18417" s="6" t="s">
        <v>1</v>
      </c>
    </row>
    <row r="18418" spans="1:3" s="7" customFormat="1" x14ac:dyDescent="0.2">
      <c r="A18418" s="6" t="str">
        <f>"HMGN1P1"</f>
        <v>HMGN1P1</v>
      </c>
      <c r="B18418" s="6" t="s">
        <v>1</v>
      </c>
      <c r="C18418" s="6" t="s">
        <v>1</v>
      </c>
    </row>
    <row r="18419" spans="1:3" s="7" customFormat="1" x14ac:dyDescent="0.2">
      <c r="A18419" s="6" t="str">
        <f>"LINC02056"</f>
        <v>LINC02056</v>
      </c>
      <c r="B18419" s="6" t="s">
        <v>1</v>
      </c>
      <c r="C18419" s="6" t="s">
        <v>1</v>
      </c>
    </row>
    <row r="18420" spans="1:3" s="7" customFormat="1" x14ac:dyDescent="0.2">
      <c r="A18420" s="6" t="str">
        <f>"AC013403.2"</f>
        <v>AC013403.2</v>
      </c>
      <c r="B18420" s="6" t="s">
        <v>1</v>
      </c>
      <c r="C18420" s="6" t="s">
        <v>1</v>
      </c>
    </row>
    <row r="18421" spans="1:3" s="7" customFormat="1" x14ac:dyDescent="0.2">
      <c r="A18421" s="6" t="str">
        <f>"NUTM2G"</f>
        <v>NUTM2G</v>
      </c>
      <c r="B18421" s="6" t="s">
        <v>1</v>
      </c>
      <c r="C18421" s="6" t="s">
        <v>1</v>
      </c>
    </row>
    <row r="18422" spans="1:3" s="7" customFormat="1" x14ac:dyDescent="0.2">
      <c r="A18422" s="6" t="str">
        <f>"AC004817.3"</f>
        <v>AC004817.3</v>
      </c>
      <c r="B18422" s="6" t="s">
        <v>1</v>
      </c>
      <c r="C18422" s="6" t="s">
        <v>1</v>
      </c>
    </row>
    <row r="18423" spans="1:3" s="7" customFormat="1" x14ac:dyDescent="0.2">
      <c r="A18423" s="6" t="str">
        <f>"NXPE2"</f>
        <v>NXPE2</v>
      </c>
      <c r="B18423" s="6" t="s">
        <v>1</v>
      </c>
      <c r="C18423" s="6" t="s">
        <v>1</v>
      </c>
    </row>
    <row r="18424" spans="1:3" s="7" customFormat="1" x14ac:dyDescent="0.2">
      <c r="A18424" s="6" t="str">
        <f>"C1QTNF9B"</f>
        <v>C1QTNF9B</v>
      </c>
      <c r="B18424" s="6" t="s">
        <v>1</v>
      </c>
      <c r="C18424" s="6" t="s">
        <v>1</v>
      </c>
    </row>
    <row r="18425" spans="1:3" s="7" customFormat="1" x14ac:dyDescent="0.2">
      <c r="A18425" s="6" t="str">
        <f>"IGHD"</f>
        <v>IGHD</v>
      </c>
      <c r="B18425" s="6" t="s">
        <v>1</v>
      </c>
      <c r="C18425" s="6" t="s">
        <v>1</v>
      </c>
    </row>
    <row r="18426" spans="1:3" s="7" customFormat="1" x14ac:dyDescent="0.2">
      <c r="A18426" s="6" t="str">
        <f>"GAL3ST1"</f>
        <v>GAL3ST1</v>
      </c>
      <c r="B18426" s="6" t="s">
        <v>1</v>
      </c>
      <c r="C18426" s="6" t="s">
        <v>1</v>
      </c>
    </row>
    <row r="18427" spans="1:3" s="7" customFormat="1" x14ac:dyDescent="0.2">
      <c r="A18427" s="6" t="str">
        <f>"PPIAP43"</f>
        <v>PPIAP43</v>
      </c>
      <c r="B18427" s="6" t="s">
        <v>1</v>
      </c>
      <c r="C18427" s="6" t="s">
        <v>1</v>
      </c>
    </row>
    <row r="18428" spans="1:3" s="7" customFormat="1" x14ac:dyDescent="0.2">
      <c r="A18428" s="6" t="str">
        <f>"AC012501.2"</f>
        <v>AC012501.2</v>
      </c>
      <c r="B18428" s="6" t="s">
        <v>1</v>
      </c>
      <c r="C18428" s="6" t="s">
        <v>1</v>
      </c>
    </row>
    <row r="18429" spans="1:3" s="7" customFormat="1" x14ac:dyDescent="0.2">
      <c r="A18429" s="6" t="str">
        <f>"LINC02082"</f>
        <v>LINC02082</v>
      </c>
      <c r="B18429" s="6" t="s">
        <v>1</v>
      </c>
      <c r="C18429" s="6" t="s">
        <v>1</v>
      </c>
    </row>
    <row r="18430" spans="1:3" s="7" customFormat="1" x14ac:dyDescent="0.2">
      <c r="A18430" s="6" t="str">
        <f>"SOCS5P4"</f>
        <v>SOCS5P4</v>
      </c>
      <c r="B18430" s="6" t="s">
        <v>1</v>
      </c>
      <c r="C18430" s="6" t="s">
        <v>1</v>
      </c>
    </row>
    <row r="18431" spans="1:3" s="7" customFormat="1" x14ac:dyDescent="0.2">
      <c r="A18431" s="6" t="str">
        <f>"WNT6"</f>
        <v>WNT6</v>
      </c>
      <c r="B18431" s="6" t="s">
        <v>1</v>
      </c>
      <c r="C18431" s="6" t="s">
        <v>1</v>
      </c>
    </row>
    <row r="18432" spans="1:3" s="7" customFormat="1" x14ac:dyDescent="0.2">
      <c r="A18432" s="6" t="str">
        <f>"H4C4"</f>
        <v>H4C4</v>
      </c>
      <c r="B18432" s="6" t="s">
        <v>1</v>
      </c>
      <c r="C18432" s="6" t="s">
        <v>1</v>
      </c>
    </row>
    <row r="18433" spans="1:3" s="7" customFormat="1" x14ac:dyDescent="0.2">
      <c r="A18433" s="6" t="str">
        <f>"FAM86KP"</f>
        <v>FAM86KP</v>
      </c>
      <c r="B18433" s="6" t="s">
        <v>1</v>
      </c>
      <c r="C18433" s="6" t="s">
        <v>1</v>
      </c>
    </row>
    <row r="18434" spans="1:3" s="7" customFormat="1" x14ac:dyDescent="0.2">
      <c r="A18434" s="6" t="str">
        <f>"AC009495.2"</f>
        <v>AC009495.2</v>
      </c>
      <c r="B18434" s="6" t="s">
        <v>1</v>
      </c>
      <c r="C18434" s="6" t="s">
        <v>1</v>
      </c>
    </row>
    <row r="18435" spans="1:3" s="7" customFormat="1" x14ac:dyDescent="0.2">
      <c r="A18435" s="6" t="str">
        <f>"CYP2C19"</f>
        <v>CYP2C19</v>
      </c>
      <c r="B18435" s="6" t="s">
        <v>1</v>
      </c>
      <c r="C18435" s="6" t="s">
        <v>1</v>
      </c>
    </row>
    <row r="18436" spans="1:3" s="7" customFormat="1" x14ac:dyDescent="0.2">
      <c r="A18436" s="6" t="str">
        <f>"AL353689.3"</f>
        <v>AL353689.3</v>
      </c>
      <c r="B18436" s="6" t="s">
        <v>1</v>
      </c>
      <c r="C18436" s="6" t="s">
        <v>1</v>
      </c>
    </row>
    <row r="18437" spans="1:3" s="7" customFormat="1" x14ac:dyDescent="0.2">
      <c r="A18437" s="6" t="str">
        <f>"AL031432.2"</f>
        <v>AL031432.2</v>
      </c>
      <c r="B18437" s="6" t="s">
        <v>1</v>
      </c>
      <c r="C18437" s="6" t="s">
        <v>1</v>
      </c>
    </row>
    <row r="18438" spans="1:3" s="7" customFormat="1" x14ac:dyDescent="0.2">
      <c r="A18438" s="6" t="str">
        <f>"AC007279.1"</f>
        <v>AC007279.1</v>
      </c>
      <c r="B18438" s="6" t="s">
        <v>1</v>
      </c>
      <c r="C18438" s="6" t="s">
        <v>1</v>
      </c>
    </row>
    <row r="18439" spans="1:3" s="7" customFormat="1" x14ac:dyDescent="0.2">
      <c r="A18439" s="6" t="str">
        <f>"AC007277.1"</f>
        <v>AC007277.1</v>
      </c>
      <c r="B18439" s="6" t="s">
        <v>1</v>
      </c>
      <c r="C18439" s="6" t="s">
        <v>1</v>
      </c>
    </row>
    <row r="18440" spans="1:3" s="7" customFormat="1" x14ac:dyDescent="0.2">
      <c r="A18440" s="6" t="str">
        <f>"AL353804.3"</f>
        <v>AL353804.3</v>
      </c>
      <c r="B18440" s="6" t="s">
        <v>1</v>
      </c>
      <c r="C18440" s="6" t="s">
        <v>1</v>
      </c>
    </row>
    <row r="18441" spans="1:3" s="7" customFormat="1" x14ac:dyDescent="0.2">
      <c r="A18441" s="6" t="str">
        <f>"LINC02253"</f>
        <v>LINC02253</v>
      </c>
      <c r="B18441" s="6" t="s">
        <v>1</v>
      </c>
      <c r="C18441" s="6" t="s">
        <v>1</v>
      </c>
    </row>
    <row r="18442" spans="1:3" s="7" customFormat="1" x14ac:dyDescent="0.2">
      <c r="A18442" s="6" t="str">
        <f>"LINC01016"</f>
        <v>LINC01016</v>
      </c>
      <c r="B18442" s="6" t="s">
        <v>1</v>
      </c>
      <c r="C18442" s="6" t="s">
        <v>1</v>
      </c>
    </row>
    <row r="18443" spans="1:3" s="7" customFormat="1" x14ac:dyDescent="0.2">
      <c r="A18443" s="6" t="str">
        <f>"AL445623.2"</f>
        <v>AL445623.2</v>
      </c>
      <c r="B18443" s="6" t="s">
        <v>1</v>
      </c>
      <c r="C18443" s="6" t="s">
        <v>1</v>
      </c>
    </row>
    <row r="18444" spans="1:3" s="7" customFormat="1" x14ac:dyDescent="0.2">
      <c r="A18444" s="6" t="str">
        <f>"VN1R20P"</f>
        <v>VN1R20P</v>
      </c>
      <c r="B18444" s="6" t="s">
        <v>1</v>
      </c>
      <c r="C18444" s="6" t="s">
        <v>1</v>
      </c>
    </row>
    <row r="18445" spans="1:3" s="7" customFormat="1" x14ac:dyDescent="0.2">
      <c r="A18445" s="6" t="str">
        <f>"RPL5P30"</f>
        <v>RPL5P30</v>
      </c>
      <c r="B18445" s="6" t="s">
        <v>1</v>
      </c>
      <c r="C18445" s="6" t="s">
        <v>1</v>
      </c>
    </row>
    <row r="18446" spans="1:3" s="7" customFormat="1" x14ac:dyDescent="0.2">
      <c r="A18446" s="6" t="str">
        <f>"S100Z"</f>
        <v>S100Z</v>
      </c>
      <c r="B18446" s="6" t="s">
        <v>1</v>
      </c>
      <c r="C18446" s="6" t="s">
        <v>1</v>
      </c>
    </row>
    <row r="18447" spans="1:3" s="7" customFormat="1" x14ac:dyDescent="0.2">
      <c r="A18447" s="6" t="str">
        <f>"AP000350.5"</f>
        <v>AP000350.5</v>
      </c>
      <c r="B18447" s="6" t="s">
        <v>1</v>
      </c>
      <c r="C18447" s="6" t="s">
        <v>1</v>
      </c>
    </row>
    <row r="18448" spans="1:3" s="7" customFormat="1" x14ac:dyDescent="0.2">
      <c r="A18448" s="6" t="str">
        <f>"AC007569.1"</f>
        <v>AC007569.1</v>
      </c>
      <c r="B18448" s="6" t="s">
        <v>1</v>
      </c>
      <c r="C18448" s="6" t="s">
        <v>1</v>
      </c>
    </row>
    <row r="18449" spans="1:3" s="7" customFormat="1" x14ac:dyDescent="0.2">
      <c r="A18449" s="6" t="str">
        <f>"DELEC1"</f>
        <v>DELEC1</v>
      </c>
      <c r="B18449" s="6" t="s">
        <v>1</v>
      </c>
      <c r="C18449" s="6" t="s">
        <v>1</v>
      </c>
    </row>
    <row r="18450" spans="1:3" s="7" customFormat="1" x14ac:dyDescent="0.2">
      <c r="A18450" s="6" t="str">
        <f>"NPAP1"</f>
        <v>NPAP1</v>
      </c>
      <c r="B18450" s="6" t="s">
        <v>1</v>
      </c>
      <c r="C18450" s="6" t="s">
        <v>1</v>
      </c>
    </row>
    <row r="18451" spans="1:3" s="7" customFormat="1" x14ac:dyDescent="0.2">
      <c r="A18451" s="6" t="str">
        <f>"MIR548XHG"</f>
        <v>MIR548XHG</v>
      </c>
      <c r="B18451" s="6" t="s">
        <v>1</v>
      </c>
      <c r="C18451" s="6" t="s">
        <v>1</v>
      </c>
    </row>
    <row r="18452" spans="1:3" s="7" customFormat="1" x14ac:dyDescent="0.2">
      <c r="A18452" s="6" t="str">
        <f>"AC093525.2"</f>
        <v>AC093525.2</v>
      </c>
      <c r="B18452" s="6" t="s">
        <v>1</v>
      </c>
      <c r="C18452" s="6" t="s">
        <v>1</v>
      </c>
    </row>
    <row r="18453" spans="1:3" s="7" customFormat="1" x14ac:dyDescent="0.2">
      <c r="A18453" s="6" t="str">
        <f>"AC245884.2"</f>
        <v>AC245884.2</v>
      </c>
      <c r="B18453" s="6" t="s">
        <v>1</v>
      </c>
      <c r="C18453" s="6" t="s">
        <v>1</v>
      </c>
    </row>
    <row r="18454" spans="1:3" s="7" customFormat="1" x14ac:dyDescent="0.2">
      <c r="A18454" s="6" t="str">
        <f>"AC087222.1"</f>
        <v>AC087222.1</v>
      </c>
      <c r="B18454" s="6" t="s">
        <v>1</v>
      </c>
      <c r="C18454" s="6" t="s">
        <v>1</v>
      </c>
    </row>
    <row r="18455" spans="1:3" s="7" customFormat="1" x14ac:dyDescent="0.2">
      <c r="A18455" s="6" t="str">
        <f>"KCNE5"</f>
        <v>KCNE5</v>
      </c>
      <c r="B18455" s="6" t="s">
        <v>1</v>
      </c>
      <c r="C18455" s="6" t="s">
        <v>1</v>
      </c>
    </row>
    <row r="18456" spans="1:3" s="7" customFormat="1" x14ac:dyDescent="0.2">
      <c r="A18456" s="6" t="str">
        <f>"KCNJ10"</f>
        <v>KCNJ10</v>
      </c>
      <c r="B18456" s="6" t="s">
        <v>1</v>
      </c>
      <c r="C18456" s="6" t="s">
        <v>1</v>
      </c>
    </row>
    <row r="18457" spans="1:3" s="7" customFormat="1" x14ac:dyDescent="0.2">
      <c r="A18457" s="6" t="str">
        <f>"KCNH8"</f>
        <v>KCNH8</v>
      </c>
      <c r="B18457" s="6" t="s">
        <v>1</v>
      </c>
      <c r="C18457" s="6" t="s">
        <v>1</v>
      </c>
    </row>
    <row r="18458" spans="1:3" s="7" customFormat="1" x14ac:dyDescent="0.2">
      <c r="A18458" s="6" t="str">
        <f>"DEFA1B"</f>
        <v>DEFA1B</v>
      </c>
      <c r="B18458" s="6" t="s">
        <v>1</v>
      </c>
      <c r="C18458" s="6" t="s">
        <v>1</v>
      </c>
    </row>
    <row r="18459" spans="1:3" s="7" customFormat="1" x14ac:dyDescent="0.2">
      <c r="A18459" s="6" t="str">
        <f>"HMSD"</f>
        <v>HMSD</v>
      </c>
      <c r="B18459" s="6" t="s">
        <v>1</v>
      </c>
      <c r="C18459" s="6" t="s">
        <v>1</v>
      </c>
    </row>
    <row r="18460" spans="1:3" s="7" customFormat="1" x14ac:dyDescent="0.2">
      <c r="A18460" s="6" t="str">
        <f>"FLJ46284"</f>
        <v>FLJ46284</v>
      </c>
      <c r="B18460" s="6" t="s">
        <v>1</v>
      </c>
      <c r="C18460" s="6" t="s">
        <v>1</v>
      </c>
    </row>
    <row r="18461" spans="1:3" s="7" customFormat="1" x14ac:dyDescent="0.2">
      <c r="A18461" s="6" t="str">
        <f>"AL353693.1"</f>
        <v>AL353693.1</v>
      </c>
      <c r="B18461" s="6" t="s">
        <v>1</v>
      </c>
      <c r="C18461" s="6" t="s">
        <v>1</v>
      </c>
    </row>
    <row r="18462" spans="1:3" s="7" customFormat="1" x14ac:dyDescent="0.2">
      <c r="A18462" s="6" t="str">
        <f>"KCNA1"</f>
        <v>KCNA1</v>
      </c>
      <c r="B18462" s="6" t="s">
        <v>1</v>
      </c>
      <c r="C18462" s="6" t="s">
        <v>1</v>
      </c>
    </row>
    <row r="18463" spans="1:3" s="7" customFormat="1" x14ac:dyDescent="0.2">
      <c r="A18463" s="6" t="str">
        <f>"P2RX3"</f>
        <v>P2RX3</v>
      </c>
      <c r="B18463" s="6" t="s">
        <v>1</v>
      </c>
      <c r="C18463" s="6" t="s">
        <v>1</v>
      </c>
    </row>
    <row r="18464" spans="1:3" s="7" customFormat="1" x14ac:dyDescent="0.2">
      <c r="A18464" s="6" t="str">
        <f>"AC022098.4"</f>
        <v>AC022098.4</v>
      </c>
      <c r="B18464" s="6" t="s">
        <v>1</v>
      </c>
      <c r="C18464" s="6" t="s">
        <v>1</v>
      </c>
    </row>
    <row r="18465" spans="1:3" s="7" customFormat="1" x14ac:dyDescent="0.2">
      <c r="A18465" s="6" t="str">
        <f>"ASB11"</f>
        <v>ASB11</v>
      </c>
      <c r="B18465" s="6" t="s">
        <v>1</v>
      </c>
      <c r="C18465" s="6" t="s">
        <v>1</v>
      </c>
    </row>
    <row r="18466" spans="1:3" s="7" customFormat="1" x14ac:dyDescent="0.2">
      <c r="A18466" s="6" t="str">
        <f>"AL133485.3"</f>
        <v>AL133485.3</v>
      </c>
      <c r="B18466" s="6" t="s">
        <v>1</v>
      </c>
      <c r="C18466" s="6" t="s">
        <v>1</v>
      </c>
    </row>
    <row r="18467" spans="1:3" s="7" customFormat="1" x14ac:dyDescent="0.2">
      <c r="A18467" s="6" t="str">
        <f>"AL445430.2"</f>
        <v>AL445430.2</v>
      </c>
      <c r="B18467" s="6" t="s">
        <v>1</v>
      </c>
      <c r="C18467" s="6" t="s">
        <v>1</v>
      </c>
    </row>
    <row r="18468" spans="1:3" s="7" customFormat="1" x14ac:dyDescent="0.2">
      <c r="A18468" s="6" t="str">
        <f>"OXT"</f>
        <v>OXT</v>
      </c>
      <c r="B18468" s="6" t="s">
        <v>1</v>
      </c>
      <c r="C18468" s="6" t="s">
        <v>1</v>
      </c>
    </row>
    <row r="18469" spans="1:3" s="7" customFormat="1" x14ac:dyDescent="0.2">
      <c r="A18469" s="6" t="str">
        <f>"LINC02275"</f>
        <v>LINC02275</v>
      </c>
      <c r="B18469" s="6" t="s">
        <v>1</v>
      </c>
      <c r="C18469" s="6" t="s">
        <v>1</v>
      </c>
    </row>
    <row r="18470" spans="1:3" s="7" customFormat="1" x14ac:dyDescent="0.2">
      <c r="A18470" s="6" t="str">
        <f>"AC130686.1"</f>
        <v>AC130686.1</v>
      </c>
      <c r="B18470" s="6" t="s">
        <v>1</v>
      </c>
      <c r="C18470" s="6" t="s">
        <v>1</v>
      </c>
    </row>
    <row r="18471" spans="1:3" s="7" customFormat="1" x14ac:dyDescent="0.2">
      <c r="A18471" s="6" t="str">
        <f>"AC063944.1"</f>
        <v>AC063944.1</v>
      </c>
      <c r="B18471" s="6" t="s">
        <v>1</v>
      </c>
      <c r="C18471" s="6" t="s">
        <v>1</v>
      </c>
    </row>
    <row r="18472" spans="1:3" s="7" customFormat="1" x14ac:dyDescent="0.2">
      <c r="A18472" s="6" t="str">
        <f>"PROK1"</f>
        <v>PROK1</v>
      </c>
      <c r="B18472" s="6" t="s">
        <v>1</v>
      </c>
      <c r="C18472" s="6" t="s">
        <v>1</v>
      </c>
    </row>
    <row r="18473" spans="1:3" s="7" customFormat="1" x14ac:dyDescent="0.2">
      <c r="A18473" s="6" t="str">
        <f>"AC106820.4"</f>
        <v>AC106820.4</v>
      </c>
      <c r="B18473" s="6" t="s">
        <v>1</v>
      </c>
      <c r="C18473" s="6" t="s">
        <v>1</v>
      </c>
    </row>
    <row r="18474" spans="1:3" s="7" customFormat="1" x14ac:dyDescent="0.2">
      <c r="A18474" s="6" t="str">
        <f>"AL133370.1"</f>
        <v>AL133370.1</v>
      </c>
      <c r="B18474" s="6" t="s">
        <v>1</v>
      </c>
      <c r="C18474" s="6" t="s">
        <v>1</v>
      </c>
    </row>
    <row r="18475" spans="1:3" s="7" customFormat="1" x14ac:dyDescent="0.2">
      <c r="A18475" s="6" t="str">
        <f>"AL354892.2"</f>
        <v>AL354892.2</v>
      </c>
      <c r="B18475" s="6" t="s">
        <v>1</v>
      </c>
      <c r="C18475" s="6" t="s">
        <v>1</v>
      </c>
    </row>
    <row r="18476" spans="1:3" s="7" customFormat="1" x14ac:dyDescent="0.2">
      <c r="A18476" s="6" t="str">
        <f>"AL445250.1"</f>
        <v>AL445250.1</v>
      </c>
      <c r="B18476" s="6" t="s">
        <v>1</v>
      </c>
      <c r="C18476" s="6" t="s">
        <v>1</v>
      </c>
    </row>
    <row r="18477" spans="1:3" s="7" customFormat="1" x14ac:dyDescent="0.2">
      <c r="A18477" s="6" t="str">
        <f>"SLC25A48"</f>
        <v>SLC25A48</v>
      </c>
      <c r="B18477" s="6" t="s">
        <v>1</v>
      </c>
      <c r="C18477" s="6" t="s">
        <v>1</v>
      </c>
    </row>
    <row r="18478" spans="1:3" s="7" customFormat="1" x14ac:dyDescent="0.2">
      <c r="A18478" s="6" t="str">
        <f>"SELENOKP1"</f>
        <v>SELENOKP1</v>
      </c>
      <c r="B18478" s="6" t="s">
        <v>1</v>
      </c>
      <c r="C18478" s="6" t="s">
        <v>1</v>
      </c>
    </row>
    <row r="18479" spans="1:3" s="7" customFormat="1" x14ac:dyDescent="0.2">
      <c r="A18479" s="6" t="str">
        <f>"AL133523.1"</f>
        <v>AL133523.1</v>
      </c>
      <c r="B18479" s="6" t="s">
        <v>1</v>
      </c>
      <c r="C18479" s="6" t="s">
        <v>1</v>
      </c>
    </row>
    <row r="18480" spans="1:3" s="7" customFormat="1" x14ac:dyDescent="0.2">
      <c r="A18480" s="6" t="str">
        <f>"UGT2B17"</f>
        <v>UGT2B17</v>
      </c>
      <c r="B18480" s="6" t="s">
        <v>1</v>
      </c>
      <c r="C18480" s="6" t="s">
        <v>1</v>
      </c>
    </row>
    <row r="18481" spans="1:3" s="7" customFormat="1" x14ac:dyDescent="0.2">
      <c r="A18481" s="6" t="str">
        <f>"ENO1P1"</f>
        <v>ENO1P1</v>
      </c>
      <c r="B18481" s="6" t="s">
        <v>1</v>
      </c>
      <c r="C18481" s="6" t="s">
        <v>1</v>
      </c>
    </row>
    <row r="18482" spans="1:3" s="7" customFormat="1" x14ac:dyDescent="0.2">
      <c r="A18482" s="6" t="str">
        <f>"LINC02199"</f>
        <v>LINC02199</v>
      </c>
      <c r="B18482" s="6" t="s">
        <v>1</v>
      </c>
      <c r="C18482" s="6" t="s">
        <v>1</v>
      </c>
    </row>
    <row r="18483" spans="1:3" s="7" customFormat="1" x14ac:dyDescent="0.2">
      <c r="A18483" s="6" t="str">
        <f>"AL022328.3"</f>
        <v>AL022328.3</v>
      </c>
      <c r="B18483" s="6" t="s">
        <v>1</v>
      </c>
      <c r="C18483" s="6" t="s">
        <v>1</v>
      </c>
    </row>
    <row r="18484" spans="1:3" s="7" customFormat="1" x14ac:dyDescent="0.2">
      <c r="A18484" s="6" t="str">
        <f>"AC004974.1"</f>
        <v>AC004974.1</v>
      </c>
      <c r="B18484" s="6" t="s">
        <v>1</v>
      </c>
      <c r="C18484" s="6" t="s">
        <v>1</v>
      </c>
    </row>
    <row r="18485" spans="1:3" s="7" customFormat="1" x14ac:dyDescent="0.2">
      <c r="A18485" s="6" t="str">
        <f>"APOBEC2"</f>
        <v>APOBEC2</v>
      </c>
      <c r="B18485" s="6" t="s">
        <v>1</v>
      </c>
      <c r="C18485" s="6" t="s">
        <v>1</v>
      </c>
    </row>
    <row r="18486" spans="1:3" s="7" customFormat="1" x14ac:dyDescent="0.2">
      <c r="A18486" s="6" t="str">
        <f>"SUDS3P1"</f>
        <v>SUDS3P1</v>
      </c>
      <c r="B18486" s="6" t="s">
        <v>1</v>
      </c>
      <c r="C18486" s="6" t="s">
        <v>1</v>
      </c>
    </row>
    <row r="18487" spans="1:3" s="7" customFormat="1" x14ac:dyDescent="0.2">
      <c r="A18487" s="6" t="str">
        <f>"ASAP1-IT2"</f>
        <v>ASAP1-IT2</v>
      </c>
      <c r="B18487" s="6" t="s">
        <v>1</v>
      </c>
      <c r="C18487" s="6" t="s">
        <v>1</v>
      </c>
    </row>
    <row r="18488" spans="1:3" s="7" customFormat="1" x14ac:dyDescent="0.2">
      <c r="A18488" s="6" t="str">
        <f>"AC242842.3"</f>
        <v>AC242842.3</v>
      </c>
      <c r="B18488" s="6" t="s">
        <v>1</v>
      </c>
      <c r="C18488" s="6" t="s">
        <v>1</v>
      </c>
    </row>
    <row r="18489" spans="1:3" s="7" customFormat="1" x14ac:dyDescent="0.2">
      <c r="A18489" s="6" t="str">
        <f>"AL353732.2"</f>
        <v>AL353732.2</v>
      </c>
      <c r="B18489" s="6" t="s">
        <v>1</v>
      </c>
      <c r="C18489" s="6" t="s">
        <v>1</v>
      </c>
    </row>
    <row r="18490" spans="1:3" s="7" customFormat="1" x14ac:dyDescent="0.2">
      <c r="A18490" s="6" t="str">
        <f>"PAIP1P1"</f>
        <v>PAIP1P1</v>
      </c>
      <c r="B18490" s="6" t="s">
        <v>1</v>
      </c>
      <c r="C18490" s="6" t="s">
        <v>1</v>
      </c>
    </row>
    <row r="18491" spans="1:3" s="7" customFormat="1" x14ac:dyDescent="0.2">
      <c r="A18491" s="6" t="str">
        <f>"MAGI1-IT1"</f>
        <v>MAGI1-IT1</v>
      </c>
      <c r="B18491" s="6" t="s">
        <v>1</v>
      </c>
      <c r="C18491" s="6" t="s">
        <v>1</v>
      </c>
    </row>
    <row r="18492" spans="1:3" s="7" customFormat="1" x14ac:dyDescent="0.2">
      <c r="A18492" s="6" t="str">
        <f>"MDS2"</f>
        <v>MDS2</v>
      </c>
      <c r="B18492" s="6" t="s">
        <v>1</v>
      </c>
      <c r="C18492" s="6" t="s">
        <v>1</v>
      </c>
    </row>
    <row r="18493" spans="1:3" s="7" customFormat="1" x14ac:dyDescent="0.2">
      <c r="A18493" s="6" t="str">
        <f>"AC068446.1"</f>
        <v>AC068446.1</v>
      </c>
      <c r="B18493" s="6" t="s">
        <v>1</v>
      </c>
      <c r="C18493" s="6" t="s">
        <v>1</v>
      </c>
    </row>
    <row r="18494" spans="1:3" s="7" customFormat="1" x14ac:dyDescent="0.2">
      <c r="A18494" s="6" t="str">
        <f>"DNM1P41"</f>
        <v>DNM1P41</v>
      </c>
      <c r="B18494" s="6" t="s">
        <v>1</v>
      </c>
      <c r="C18494" s="6" t="s">
        <v>1</v>
      </c>
    </row>
    <row r="18495" spans="1:3" s="7" customFormat="1" x14ac:dyDescent="0.2">
      <c r="A18495" s="6" t="str">
        <f>"PTPRD-AS1"</f>
        <v>PTPRD-AS1</v>
      </c>
      <c r="B18495" s="6" t="s">
        <v>1</v>
      </c>
      <c r="C18495" s="6" t="s">
        <v>1</v>
      </c>
    </row>
    <row r="18496" spans="1:3" s="7" customFormat="1" x14ac:dyDescent="0.2">
      <c r="A18496" s="6" t="str">
        <f>"AC015802.3"</f>
        <v>AC015802.3</v>
      </c>
      <c r="B18496" s="6" t="s">
        <v>1</v>
      </c>
      <c r="C18496" s="6" t="s">
        <v>1</v>
      </c>
    </row>
    <row r="18497" spans="1:3" s="7" customFormat="1" x14ac:dyDescent="0.2">
      <c r="A18497" s="6" t="str">
        <f>"TGIF2-RAB5IF"</f>
        <v>TGIF2-RAB5IF</v>
      </c>
      <c r="B18497" s="6" t="s">
        <v>1</v>
      </c>
      <c r="C18497" s="6" t="s">
        <v>1</v>
      </c>
    </row>
    <row r="18498" spans="1:3" s="7" customFormat="1" x14ac:dyDescent="0.2">
      <c r="A18498" s="6" t="str">
        <f>"AC009407.1"</f>
        <v>AC009407.1</v>
      </c>
      <c r="B18498" s="6" t="s">
        <v>1</v>
      </c>
      <c r="C18498" s="6" t="s">
        <v>1</v>
      </c>
    </row>
    <row r="18499" spans="1:3" s="7" customFormat="1" x14ac:dyDescent="0.2">
      <c r="A18499" s="6" t="str">
        <f>"AC061958.1"</f>
        <v>AC061958.1</v>
      </c>
      <c r="B18499" s="6" t="s">
        <v>1</v>
      </c>
      <c r="C18499" s="6" t="s">
        <v>1</v>
      </c>
    </row>
    <row r="18500" spans="1:3" s="7" customFormat="1" x14ac:dyDescent="0.2">
      <c r="A18500" s="6" t="str">
        <f>"AC093157.2"</f>
        <v>AC093157.2</v>
      </c>
      <c r="B18500" s="6" t="s">
        <v>1</v>
      </c>
      <c r="C18500" s="6" t="s">
        <v>1</v>
      </c>
    </row>
    <row r="18501" spans="1:3" s="7" customFormat="1" x14ac:dyDescent="0.2">
      <c r="A18501" s="6" t="str">
        <f>"AC093865.1"</f>
        <v>AC093865.1</v>
      </c>
      <c r="B18501" s="6" t="s">
        <v>1</v>
      </c>
      <c r="C18501" s="6" t="s">
        <v>1</v>
      </c>
    </row>
    <row r="18502" spans="1:3" s="7" customFormat="1" x14ac:dyDescent="0.2">
      <c r="A18502" s="6" t="str">
        <f>"AC242376.1"</f>
        <v>AC242376.1</v>
      </c>
      <c r="B18502" s="6" t="s">
        <v>1</v>
      </c>
      <c r="C18502" s="6" t="s">
        <v>1</v>
      </c>
    </row>
    <row r="18503" spans="1:3" s="7" customFormat="1" x14ac:dyDescent="0.2">
      <c r="A18503" s="6" t="str">
        <f>"KLK4"</f>
        <v>KLK4</v>
      </c>
      <c r="B18503" s="6" t="s">
        <v>1</v>
      </c>
      <c r="C18503" s="6" t="s">
        <v>1</v>
      </c>
    </row>
    <row r="18504" spans="1:3" s="7" customFormat="1" x14ac:dyDescent="0.2">
      <c r="A18504" s="6" t="str">
        <f>"AL133163.3"</f>
        <v>AL133163.3</v>
      </c>
      <c r="B18504" s="6" t="s">
        <v>1</v>
      </c>
      <c r="C18504" s="6" t="s">
        <v>1</v>
      </c>
    </row>
    <row r="18505" spans="1:3" s="7" customFormat="1" x14ac:dyDescent="0.2">
      <c r="A18505" s="6" t="str">
        <f>"VIPR2"</f>
        <v>VIPR2</v>
      </c>
      <c r="B18505" s="6" t="s">
        <v>1</v>
      </c>
      <c r="C18505" s="6" t="s">
        <v>1</v>
      </c>
    </row>
    <row r="18506" spans="1:3" s="7" customFormat="1" x14ac:dyDescent="0.2">
      <c r="A18506" s="6" t="str">
        <f>"LINC02197"</f>
        <v>LINC02197</v>
      </c>
      <c r="B18506" s="6" t="s">
        <v>1</v>
      </c>
      <c r="C18506" s="6" t="s">
        <v>1</v>
      </c>
    </row>
    <row r="18507" spans="1:3" s="7" customFormat="1" x14ac:dyDescent="0.2">
      <c r="A18507" s="6" t="str">
        <f>"AC243830.2"</f>
        <v>AC243830.2</v>
      </c>
      <c r="B18507" s="6" t="s">
        <v>1</v>
      </c>
      <c r="C18507" s="6" t="s">
        <v>1</v>
      </c>
    </row>
    <row r="18508" spans="1:3" s="7" customFormat="1" x14ac:dyDescent="0.2">
      <c r="A18508" s="6" t="str">
        <f>"AC254629.1"</f>
        <v>AC254629.1</v>
      </c>
      <c r="B18508" s="6" t="s">
        <v>1</v>
      </c>
      <c r="C18508" s="6" t="s">
        <v>1</v>
      </c>
    </row>
    <row r="18509" spans="1:3" s="7" customFormat="1" x14ac:dyDescent="0.2">
      <c r="A18509" s="6" t="str">
        <f>"SHISA3"</f>
        <v>SHISA3</v>
      </c>
      <c r="B18509" s="6" t="s">
        <v>1</v>
      </c>
      <c r="C18509" s="6" t="s">
        <v>1</v>
      </c>
    </row>
    <row r="18510" spans="1:3" s="7" customFormat="1" x14ac:dyDescent="0.2">
      <c r="A18510" s="6" t="str">
        <f>"AC007128.2"</f>
        <v>AC007128.2</v>
      </c>
      <c r="B18510" s="6" t="s">
        <v>1</v>
      </c>
      <c r="C18510" s="6" t="s">
        <v>1</v>
      </c>
    </row>
    <row r="18511" spans="1:3" s="7" customFormat="1" x14ac:dyDescent="0.2">
      <c r="A18511" s="6" t="str">
        <f>"NXPH2"</f>
        <v>NXPH2</v>
      </c>
      <c r="B18511" s="6" t="s">
        <v>1</v>
      </c>
      <c r="C18511" s="6" t="s">
        <v>1</v>
      </c>
    </row>
    <row r="18512" spans="1:3" s="7" customFormat="1" x14ac:dyDescent="0.2">
      <c r="A18512" s="6" t="str">
        <f>"MIR497HG"</f>
        <v>MIR497HG</v>
      </c>
      <c r="B18512" s="6" t="s">
        <v>1</v>
      </c>
      <c r="C18512" s="6" t="s">
        <v>1</v>
      </c>
    </row>
    <row r="18513" spans="1:3" s="7" customFormat="1" x14ac:dyDescent="0.2">
      <c r="A18513" s="6" t="str">
        <f>"AL450426.1"</f>
        <v>AL450426.1</v>
      </c>
      <c r="B18513" s="6" t="s">
        <v>1</v>
      </c>
      <c r="C18513" s="6" t="s">
        <v>1</v>
      </c>
    </row>
    <row r="18514" spans="1:3" s="7" customFormat="1" x14ac:dyDescent="0.2">
      <c r="A18514" s="6" t="str">
        <f>"AC245008.1"</f>
        <v>AC245008.1</v>
      </c>
      <c r="B18514" s="6" t="s">
        <v>1</v>
      </c>
      <c r="C18514" s="6" t="s">
        <v>1</v>
      </c>
    </row>
    <row r="18515" spans="1:3" s="7" customFormat="1" x14ac:dyDescent="0.2">
      <c r="A18515" s="6" t="str">
        <f>"KCNB2"</f>
        <v>KCNB2</v>
      </c>
      <c r="B18515" s="6" t="s">
        <v>1</v>
      </c>
      <c r="C18515" s="6" t="s">
        <v>1</v>
      </c>
    </row>
    <row r="18516" spans="1:3" s="7" customFormat="1" x14ac:dyDescent="0.2">
      <c r="A18516" s="6" t="str">
        <f>"F7"</f>
        <v>F7</v>
      </c>
      <c r="B18516" s="6" t="s">
        <v>1</v>
      </c>
      <c r="C18516" s="6" t="s">
        <v>1</v>
      </c>
    </row>
    <row r="18517" spans="1:3" s="7" customFormat="1" x14ac:dyDescent="0.2">
      <c r="A18517" s="6" t="str">
        <f>"GABBR2"</f>
        <v>GABBR2</v>
      </c>
      <c r="B18517" s="6" t="s">
        <v>1</v>
      </c>
      <c r="C18517" s="6" t="s">
        <v>1</v>
      </c>
    </row>
    <row r="18518" spans="1:3" s="7" customFormat="1" x14ac:dyDescent="0.2">
      <c r="A18518" s="6" t="str">
        <f>"AC131235.2"</f>
        <v>AC131235.2</v>
      </c>
      <c r="B18518" s="6" t="s">
        <v>1</v>
      </c>
      <c r="C18518" s="6" t="s">
        <v>1</v>
      </c>
    </row>
    <row r="18519" spans="1:3" s="7" customFormat="1" x14ac:dyDescent="0.2">
      <c r="A18519" s="6" t="str">
        <f>"KLRC4"</f>
        <v>KLRC4</v>
      </c>
      <c r="B18519" s="6" t="s">
        <v>1</v>
      </c>
      <c r="C18519" s="6" t="s">
        <v>1</v>
      </c>
    </row>
    <row r="18520" spans="1:3" s="7" customFormat="1" x14ac:dyDescent="0.2">
      <c r="A18520" s="6" t="str">
        <f>"AL031729.1"</f>
        <v>AL031729.1</v>
      </c>
      <c r="B18520" s="6" t="s">
        <v>1</v>
      </c>
      <c r="C18520" s="6" t="s">
        <v>1</v>
      </c>
    </row>
    <row r="18521" spans="1:3" s="7" customFormat="1" x14ac:dyDescent="0.2">
      <c r="A18521" s="6" t="str">
        <f>"AP000654.1"</f>
        <v>AP000654.1</v>
      </c>
      <c r="B18521" s="6" t="s">
        <v>1</v>
      </c>
      <c r="C18521" s="6" t="s">
        <v>1</v>
      </c>
    </row>
    <row r="18522" spans="1:3" s="7" customFormat="1" x14ac:dyDescent="0.2">
      <c r="A18522" s="6" t="str">
        <f>"FBLL1"</f>
        <v>FBLL1</v>
      </c>
      <c r="B18522" s="6" t="s">
        <v>1</v>
      </c>
      <c r="C18522" s="6" t="s">
        <v>1</v>
      </c>
    </row>
    <row r="18523" spans="1:3" s="7" customFormat="1" x14ac:dyDescent="0.2">
      <c r="A18523" s="6" t="str">
        <f>"AC007546.1"</f>
        <v>AC007546.1</v>
      </c>
      <c r="B18523" s="6" t="s">
        <v>1</v>
      </c>
      <c r="C18523" s="6" t="s">
        <v>1</v>
      </c>
    </row>
    <row r="18524" spans="1:3" s="7" customFormat="1" x14ac:dyDescent="0.2">
      <c r="A18524" s="6" t="str">
        <f>"MYOM3"</f>
        <v>MYOM3</v>
      </c>
      <c r="B18524" s="6" t="s">
        <v>1</v>
      </c>
      <c r="C18524" s="6" t="s">
        <v>1</v>
      </c>
    </row>
    <row r="18525" spans="1:3" s="7" customFormat="1" x14ac:dyDescent="0.2">
      <c r="A18525" s="6" t="str">
        <f>"MALLP2"</f>
        <v>MALLP2</v>
      </c>
      <c r="B18525" s="6" t="s">
        <v>1</v>
      </c>
      <c r="C18525" s="6" t="s">
        <v>1</v>
      </c>
    </row>
    <row r="18526" spans="1:3" s="7" customFormat="1" x14ac:dyDescent="0.2">
      <c r="A18526" s="6" t="str">
        <f>"AL022318.4"</f>
        <v>AL022318.4</v>
      </c>
      <c r="B18526" s="6" t="s">
        <v>1</v>
      </c>
      <c r="C18526" s="6" t="s">
        <v>1</v>
      </c>
    </row>
    <row r="18527" spans="1:3" s="7" customFormat="1" x14ac:dyDescent="0.2">
      <c r="A18527" s="6" t="str">
        <f>"AC131159.2"</f>
        <v>AC131159.2</v>
      </c>
      <c r="B18527" s="6" t="s">
        <v>1</v>
      </c>
      <c r="C18527" s="6" t="s">
        <v>1</v>
      </c>
    </row>
    <row r="18528" spans="1:3" s="7" customFormat="1" x14ac:dyDescent="0.2">
      <c r="A18528" s="6" t="str">
        <f>"MYOZ3"</f>
        <v>MYOZ3</v>
      </c>
      <c r="B18528" s="6" t="s">
        <v>1</v>
      </c>
      <c r="C18528" s="6" t="s">
        <v>1</v>
      </c>
    </row>
    <row r="18529" spans="1:3" s="7" customFormat="1" x14ac:dyDescent="0.2">
      <c r="A18529" s="6" t="str">
        <f>"AL353807.3"</f>
        <v>AL353807.3</v>
      </c>
      <c r="B18529" s="6" t="s">
        <v>1</v>
      </c>
      <c r="C18529" s="6" t="s">
        <v>1</v>
      </c>
    </row>
    <row r="18530" spans="1:3" s="7" customFormat="1" x14ac:dyDescent="0.2">
      <c r="A18530" s="6" t="str">
        <f>"AC244100.4"</f>
        <v>AC244100.4</v>
      </c>
      <c r="B18530" s="6" t="s">
        <v>1</v>
      </c>
      <c r="C18530" s="6" t="s">
        <v>1</v>
      </c>
    </row>
    <row r="18531" spans="1:3" s="7" customFormat="1" x14ac:dyDescent="0.2">
      <c r="A18531" s="6" t="str">
        <f>"LINC02042"</f>
        <v>LINC02042</v>
      </c>
      <c r="B18531" s="6" t="s">
        <v>1</v>
      </c>
      <c r="C18531" s="6" t="s">
        <v>1</v>
      </c>
    </row>
    <row r="18532" spans="1:3" s="7" customFormat="1" x14ac:dyDescent="0.2">
      <c r="A18532" s="6" t="str">
        <f>"AC004908.2"</f>
        <v>AC004908.2</v>
      </c>
      <c r="B18532" s="6" t="s">
        <v>1</v>
      </c>
      <c r="C18532" s="6" t="s">
        <v>1</v>
      </c>
    </row>
    <row r="18533" spans="1:3" s="7" customFormat="1" x14ac:dyDescent="0.2">
      <c r="A18533" s="6" t="str">
        <f>"AL133243.4"</f>
        <v>AL133243.4</v>
      </c>
      <c r="B18533" s="6" t="s">
        <v>1</v>
      </c>
      <c r="C18533" s="6" t="s">
        <v>1</v>
      </c>
    </row>
    <row r="18534" spans="1:3" s="7" customFormat="1" x14ac:dyDescent="0.2">
      <c r="A18534" s="6" t="str">
        <f>"AP000560.1"</f>
        <v>AP000560.1</v>
      </c>
      <c r="B18534" s="6" t="s">
        <v>1</v>
      </c>
      <c r="C18534" s="6" t="s">
        <v>1</v>
      </c>
    </row>
    <row r="18535" spans="1:3" s="7" customFormat="1" x14ac:dyDescent="0.2">
      <c r="A18535" s="6" t="str">
        <f>"LINC01118"</f>
        <v>LINC01118</v>
      </c>
      <c r="B18535" s="6" t="s">
        <v>1</v>
      </c>
      <c r="C18535" s="6" t="s">
        <v>1</v>
      </c>
    </row>
    <row r="18536" spans="1:3" s="7" customFormat="1" x14ac:dyDescent="0.2">
      <c r="A18536" s="6" t="str">
        <f>"AC007128.1"</f>
        <v>AC007128.1</v>
      </c>
      <c r="B18536" s="6" t="s">
        <v>1</v>
      </c>
      <c r="C18536" s="6" t="s">
        <v>1</v>
      </c>
    </row>
    <row r="18537" spans="1:3" s="7" customFormat="1" x14ac:dyDescent="0.2">
      <c r="A18537" s="6" t="str">
        <f>"ADRA1A"</f>
        <v>ADRA1A</v>
      </c>
      <c r="B18537" s="6" t="s">
        <v>1</v>
      </c>
      <c r="C18537" s="6" t="s">
        <v>1</v>
      </c>
    </row>
    <row r="18538" spans="1:3" s="7" customFormat="1" x14ac:dyDescent="0.2">
      <c r="A18538" s="6" t="str">
        <f>"TMEM139-AS1"</f>
        <v>TMEM139-AS1</v>
      </c>
      <c r="B18538" s="6" t="s">
        <v>1</v>
      </c>
      <c r="C18538" s="6" t="s">
        <v>1</v>
      </c>
    </row>
    <row r="18539" spans="1:3" s="7" customFormat="1" x14ac:dyDescent="0.2">
      <c r="A18539" s="6" t="str">
        <f>"AC243547.1"</f>
        <v>AC243547.1</v>
      </c>
      <c r="B18539" s="6" t="s">
        <v>1</v>
      </c>
      <c r="C18539" s="6" t="s">
        <v>1</v>
      </c>
    </row>
    <row r="18540" spans="1:3" s="7" customFormat="1" x14ac:dyDescent="0.2">
      <c r="A18540" s="6" t="str">
        <f>"P2RX6P"</f>
        <v>P2RX6P</v>
      </c>
      <c r="B18540" s="6" t="s">
        <v>1</v>
      </c>
      <c r="C18540" s="6" t="s">
        <v>1</v>
      </c>
    </row>
    <row r="18541" spans="1:3" s="7" customFormat="1" x14ac:dyDescent="0.2">
      <c r="A18541" s="6" t="str">
        <f>"PACERR"</f>
        <v>PACERR</v>
      </c>
      <c r="B18541" s="6" t="s">
        <v>1</v>
      </c>
      <c r="C18541" s="6" t="s">
        <v>1</v>
      </c>
    </row>
    <row r="18542" spans="1:3" s="7" customFormat="1" x14ac:dyDescent="0.2">
      <c r="A18542" s="6" t="str">
        <f>"CRYBB3"</f>
        <v>CRYBB3</v>
      </c>
      <c r="B18542" s="6" t="s">
        <v>1</v>
      </c>
      <c r="C18542" s="6" t="s">
        <v>1</v>
      </c>
    </row>
    <row r="18543" spans="1:3" s="7" customFormat="1" x14ac:dyDescent="0.2">
      <c r="A18543" s="6" t="str">
        <f>"RPL4P6"</f>
        <v>RPL4P6</v>
      </c>
      <c r="B18543" s="6" t="s">
        <v>1</v>
      </c>
      <c r="C18543" s="6" t="s">
        <v>1</v>
      </c>
    </row>
    <row r="18544" spans="1:3" s="7" customFormat="1" x14ac:dyDescent="0.2">
      <c r="A18544" s="6" t="str">
        <f>"NECTIN3-AS1"</f>
        <v>NECTIN3-AS1</v>
      </c>
      <c r="B18544" s="6" t="s">
        <v>1</v>
      </c>
      <c r="C18544" s="6" t="s">
        <v>1</v>
      </c>
    </row>
    <row r="18545" spans="1:3" s="7" customFormat="1" x14ac:dyDescent="0.2">
      <c r="A18545" s="6" t="str">
        <f>"AC106886.3"</f>
        <v>AC106886.3</v>
      </c>
      <c r="B18545" s="6" t="s">
        <v>1</v>
      </c>
      <c r="C18545" s="6" t="s">
        <v>1</v>
      </c>
    </row>
    <row r="18546" spans="1:3" s="7" customFormat="1" x14ac:dyDescent="0.2">
      <c r="A18546" s="6" t="str">
        <f>"AC084337.1"</f>
        <v>AC084337.1</v>
      </c>
      <c r="B18546" s="6" t="s">
        <v>1</v>
      </c>
      <c r="C18546" s="6" t="s">
        <v>1</v>
      </c>
    </row>
    <row r="18547" spans="1:3" s="7" customFormat="1" x14ac:dyDescent="0.2">
      <c r="A18547" s="6" t="str">
        <f>"ADRA1B"</f>
        <v>ADRA1B</v>
      </c>
      <c r="B18547" s="6" t="s">
        <v>1</v>
      </c>
      <c r="C18547" s="6" t="s">
        <v>1</v>
      </c>
    </row>
    <row r="18548" spans="1:3" s="7" customFormat="1" x14ac:dyDescent="0.2">
      <c r="A18548" s="6" t="str">
        <f>"AC009299.2"</f>
        <v>AC009299.2</v>
      </c>
      <c r="B18548" s="6" t="s">
        <v>1</v>
      </c>
      <c r="C18548" s="6" t="s">
        <v>1</v>
      </c>
    </row>
    <row r="18549" spans="1:3" s="7" customFormat="1" x14ac:dyDescent="0.2">
      <c r="A18549" s="6" t="str">
        <f>"TMEM151A"</f>
        <v>TMEM151A</v>
      </c>
      <c r="B18549" s="6" t="s">
        <v>1</v>
      </c>
      <c r="C18549" s="6" t="s">
        <v>1</v>
      </c>
    </row>
    <row r="18550" spans="1:3" s="7" customFormat="1" x14ac:dyDescent="0.2">
      <c r="A18550" s="6" t="str">
        <f>"AC007216.3"</f>
        <v>AC007216.3</v>
      </c>
      <c r="B18550" s="6" t="s">
        <v>1</v>
      </c>
      <c r="C18550" s="6" t="s">
        <v>1</v>
      </c>
    </row>
    <row r="18551" spans="1:3" s="7" customFormat="1" x14ac:dyDescent="0.2">
      <c r="A18551" s="6" t="str">
        <f>"IFNG"</f>
        <v>IFNG</v>
      </c>
      <c r="B18551" s="6" t="s">
        <v>1</v>
      </c>
      <c r="C18551" s="6" t="s">
        <v>1</v>
      </c>
    </row>
    <row r="18552" spans="1:3" s="7" customFormat="1" x14ac:dyDescent="0.2">
      <c r="A18552" s="6" t="str">
        <f>"OXCT2P1"</f>
        <v>OXCT2P1</v>
      </c>
      <c r="B18552" s="6" t="s">
        <v>1</v>
      </c>
      <c r="C18552" s="6" t="s">
        <v>1</v>
      </c>
    </row>
    <row r="18553" spans="1:3" s="7" customFormat="1" x14ac:dyDescent="0.2">
      <c r="A18553" s="6" t="str">
        <f>"CYP2C9"</f>
        <v>CYP2C9</v>
      </c>
      <c r="B18553" s="6" t="s">
        <v>1</v>
      </c>
      <c r="C18553" s="6" t="s">
        <v>1</v>
      </c>
    </row>
    <row r="18554" spans="1:3" s="7" customFormat="1" x14ac:dyDescent="0.2">
      <c r="A18554" s="6" t="str">
        <f>"AC009509.1"</f>
        <v>AC009509.1</v>
      </c>
      <c r="B18554" s="6" t="s">
        <v>1</v>
      </c>
      <c r="C18554" s="6" t="s">
        <v>1</v>
      </c>
    </row>
    <row r="18555" spans="1:3" s="7" customFormat="1" x14ac:dyDescent="0.2">
      <c r="A18555" s="6" t="str">
        <f>"ADORA1"</f>
        <v>ADORA1</v>
      </c>
      <c r="B18555" s="6" t="s">
        <v>1</v>
      </c>
      <c r="C18555" s="6" t="s">
        <v>1</v>
      </c>
    </row>
    <row r="18556" spans="1:3" s="7" customFormat="1" x14ac:dyDescent="0.2">
      <c r="A18556" s="6" t="str">
        <f>"UGT2B15"</f>
        <v>UGT2B15</v>
      </c>
      <c r="B18556" s="6" t="s">
        <v>1</v>
      </c>
      <c r="C18556" s="6" t="s">
        <v>1</v>
      </c>
    </row>
    <row r="18557" spans="1:3" s="7" customFormat="1" x14ac:dyDescent="0.2">
      <c r="A18557" s="6" t="str">
        <f>"AC243829.4"</f>
        <v>AC243829.4</v>
      </c>
      <c r="B18557" s="6" t="s">
        <v>1</v>
      </c>
      <c r="C18557" s="6" t="s">
        <v>1</v>
      </c>
    </row>
    <row r="18558" spans="1:3" s="7" customFormat="1" x14ac:dyDescent="0.2">
      <c r="A18558" s="6" t="str">
        <f>"AL133245.1"</f>
        <v>AL133245.1</v>
      </c>
      <c r="B18558" s="6" t="s">
        <v>1</v>
      </c>
      <c r="C18558" s="6" t="s">
        <v>1</v>
      </c>
    </row>
    <row r="18559" spans="1:3" s="7" customFormat="1" x14ac:dyDescent="0.2">
      <c r="A18559" s="6" t="str">
        <f>"AC004801.2"</f>
        <v>AC004801.2</v>
      </c>
      <c r="B18559" s="6" t="s">
        <v>1</v>
      </c>
      <c r="C18559" s="6" t="s">
        <v>1</v>
      </c>
    </row>
    <row r="18560" spans="1:3" s="7" customFormat="1" x14ac:dyDescent="0.2">
      <c r="A18560" s="6" t="str">
        <f>"MS4A10"</f>
        <v>MS4A10</v>
      </c>
      <c r="B18560" s="6" t="s">
        <v>1</v>
      </c>
      <c r="C18560" s="6" t="s">
        <v>1</v>
      </c>
    </row>
    <row r="18561" spans="1:3" s="7" customFormat="1" x14ac:dyDescent="0.2">
      <c r="A18561" s="6" t="str">
        <f>"LINC01093"</f>
        <v>LINC01093</v>
      </c>
      <c r="B18561" s="6" t="s">
        <v>1</v>
      </c>
      <c r="C18561" s="6" t="s">
        <v>1</v>
      </c>
    </row>
    <row r="18562" spans="1:3" s="7" customFormat="1" x14ac:dyDescent="0.2">
      <c r="A18562" s="6" t="str">
        <f>"AL451166.1"</f>
        <v>AL451166.1</v>
      </c>
      <c r="B18562" s="6" t="s">
        <v>1</v>
      </c>
      <c r="C18562" s="6" t="s">
        <v>1</v>
      </c>
    </row>
    <row r="18563" spans="1:3" s="7" customFormat="1" x14ac:dyDescent="0.2">
      <c r="A18563" s="6" t="str">
        <f>"HSP90AB2P"</f>
        <v>HSP90AB2P</v>
      </c>
      <c r="B18563" s="6" t="s">
        <v>1</v>
      </c>
      <c r="C18563" s="6" t="s">
        <v>1</v>
      </c>
    </row>
    <row r="18564" spans="1:3" s="7" customFormat="1" x14ac:dyDescent="0.2">
      <c r="A18564" s="6" t="str">
        <f>"AC064807.4"</f>
        <v>AC064807.4</v>
      </c>
      <c r="B18564" s="6" t="s">
        <v>1</v>
      </c>
      <c r="C18564" s="6" t="s">
        <v>1</v>
      </c>
    </row>
    <row r="18565" spans="1:3" s="7" customFormat="1" x14ac:dyDescent="0.2">
      <c r="A18565" s="6" t="str">
        <f>"UGT1A7"</f>
        <v>UGT1A7</v>
      </c>
      <c r="B18565" s="6" t="s">
        <v>1</v>
      </c>
      <c r="C18565" s="6" t="s">
        <v>1</v>
      </c>
    </row>
    <row r="18566" spans="1:3" s="7" customFormat="1" x14ac:dyDescent="0.2">
      <c r="A18566" s="6" t="str">
        <f>"MAB21L2"</f>
        <v>MAB21L2</v>
      </c>
      <c r="B18566" s="6" t="s">
        <v>1</v>
      </c>
      <c r="C18566" s="6" t="s">
        <v>1</v>
      </c>
    </row>
    <row r="18567" spans="1:3" s="7" customFormat="1" x14ac:dyDescent="0.2">
      <c r="A18567" s="6" t="str">
        <f>"P2RY12"</f>
        <v>P2RY12</v>
      </c>
      <c r="B18567" s="6" t="s">
        <v>1</v>
      </c>
      <c r="C18567" s="6" t="s">
        <v>1</v>
      </c>
    </row>
    <row r="18568" spans="1:3" s="7" customFormat="1" x14ac:dyDescent="0.2">
      <c r="A18568" s="6" t="str">
        <f>"AC022079.2"</f>
        <v>AC022079.2</v>
      </c>
      <c r="B18568" s="6" t="s">
        <v>1</v>
      </c>
      <c r="C18568" s="6" t="s">
        <v>1</v>
      </c>
    </row>
    <row r="18569" spans="1:3" s="7" customFormat="1" x14ac:dyDescent="0.2">
      <c r="A18569" s="6" t="str">
        <f>"KLRC3"</f>
        <v>KLRC3</v>
      </c>
      <c r="B18569" s="6" t="s">
        <v>1</v>
      </c>
      <c r="C18569" s="6" t="s">
        <v>1</v>
      </c>
    </row>
    <row r="18570" spans="1:3" s="7" customFormat="1" x14ac:dyDescent="0.2">
      <c r="A18570" s="6" t="str">
        <f>"AL445531.1"</f>
        <v>AL445531.1</v>
      </c>
      <c r="B18570" s="6" t="s">
        <v>1</v>
      </c>
      <c r="C18570" s="6" t="s">
        <v>1</v>
      </c>
    </row>
    <row r="18571" spans="1:3" s="7" customFormat="1" x14ac:dyDescent="0.2">
      <c r="A18571" s="6" t="str">
        <f>"RNF112"</f>
        <v>RNF112</v>
      </c>
      <c r="B18571" s="6" t="s">
        <v>1</v>
      </c>
      <c r="C18571" s="6" t="s">
        <v>1</v>
      </c>
    </row>
    <row r="18572" spans="1:3" s="7" customFormat="1" x14ac:dyDescent="0.2">
      <c r="A18572" s="6" t="str">
        <f>"AL451064.2"</f>
        <v>AL451064.2</v>
      </c>
      <c r="B18572" s="6" t="s">
        <v>1</v>
      </c>
      <c r="C18572" s="6" t="s">
        <v>1</v>
      </c>
    </row>
    <row r="18573" spans="1:3" s="7" customFormat="1" x14ac:dyDescent="0.2">
      <c r="A18573" s="6" t="str">
        <f>"LINC01058"</f>
        <v>LINC01058</v>
      </c>
      <c r="B18573" s="6" t="s">
        <v>1</v>
      </c>
      <c r="C18573" s="6" t="s">
        <v>1</v>
      </c>
    </row>
    <row r="18574" spans="1:3" s="7" customFormat="1" x14ac:dyDescent="0.2">
      <c r="A18574" s="6" t="str">
        <f>"AC108451.1"</f>
        <v>AC108451.1</v>
      </c>
      <c r="B18574" s="6" t="s">
        <v>1</v>
      </c>
      <c r="C18574" s="6" t="s">
        <v>1</v>
      </c>
    </row>
    <row r="18575" spans="1:3" s="7" customFormat="1" x14ac:dyDescent="0.2">
      <c r="A18575" s="6" t="str">
        <f>"AC022306.2"</f>
        <v>AC022306.2</v>
      </c>
      <c r="B18575" s="6" t="s">
        <v>1</v>
      </c>
      <c r="C18575" s="6" t="s">
        <v>1</v>
      </c>
    </row>
    <row r="18576" spans="1:3" s="7" customFormat="1" x14ac:dyDescent="0.2">
      <c r="A18576" s="6" t="str">
        <f>"LINC01185"</f>
        <v>LINC01185</v>
      </c>
      <c r="B18576" s="6" t="s">
        <v>1</v>
      </c>
      <c r="C18576" s="6" t="s">
        <v>1</v>
      </c>
    </row>
    <row r="18577" spans="1:3" s="7" customFormat="1" x14ac:dyDescent="0.2">
      <c r="A18577" s="6" t="str">
        <f>"TBC1D3H"</f>
        <v>TBC1D3H</v>
      </c>
      <c r="B18577" s="6" t="s">
        <v>1</v>
      </c>
      <c r="C18577" s="6" t="s">
        <v>1</v>
      </c>
    </row>
    <row r="18578" spans="1:3" s="7" customFormat="1" x14ac:dyDescent="0.2">
      <c r="A18578" s="6" t="str">
        <f>"GLDC"</f>
        <v>GLDC</v>
      </c>
      <c r="B18578" s="6" t="s">
        <v>1</v>
      </c>
      <c r="C18578" s="6" t="s">
        <v>1</v>
      </c>
    </row>
    <row r="18579" spans="1:3" s="7" customFormat="1" x14ac:dyDescent="0.2">
      <c r="A18579" s="6" t="str">
        <f>"MIR4432HG"</f>
        <v>MIR4432HG</v>
      </c>
      <c r="B18579" s="6" t="s">
        <v>1</v>
      </c>
      <c r="C18579" s="6" t="s">
        <v>1</v>
      </c>
    </row>
    <row r="18580" spans="1:3" s="7" customFormat="1" x14ac:dyDescent="0.2">
      <c r="A18580" s="6" t="str">
        <f>"ASCL4"</f>
        <v>ASCL4</v>
      </c>
      <c r="B18580" s="6" t="s">
        <v>1</v>
      </c>
      <c r="C18580" s="6" t="s">
        <v>1</v>
      </c>
    </row>
    <row r="18581" spans="1:3" s="7" customFormat="1" x14ac:dyDescent="0.2">
      <c r="A18581" s="6" t="str">
        <f>"NOTUM"</f>
        <v>NOTUM</v>
      </c>
      <c r="B18581" s="6" t="s">
        <v>1</v>
      </c>
      <c r="C18581" s="6" t="s">
        <v>1</v>
      </c>
    </row>
    <row r="18582" spans="1:3" s="7" customFormat="1" x14ac:dyDescent="0.2">
      <c r="A18582" s="6" t="str">
        <f>"AL022724.3"</f>
        <v>AL022724.3</v>
      </c>
      <c r="B18582" s="6" t="s">
        <v>1</v>
      </c>
      <c r="C18582" s="6" t="s">
        <v>1</v>
      </c>
    </row>
    <row r="18583" spans="1:3" s="7" customFormat="1" x14ac:dyDescent="0.2">
      <c r="A18583" s="6" t="str">
        <f>"GLIS2-AS1"</f>
        <v>GLIS2-AS1</v>
      </c>
      <c r="B18583" s="6" t="s">
        <v>1</v>
      </c>
      <c r="C18583" s="6" t="s">
        <v>1</v>
      </c>
    </row>
    <row r="18584" spans="1:3" s="7" customFormat="1" x14ac:dyDescent="0.2">
      <c r="A18584" s="6" t="str">
        <f>"TBC1D3I"</f>
        <v>TBC1D3I</v>
      </c>
      <c r="B18584" s="6" t="s">
        <v>1</v>
      </c>
      <c r="C18584" s="6" t="s">
        <v>1</v>
      </c>
    </row>
    <row r="18585" spans="1:3" s="7" customFormat="1" x14ac:dyDescent="0.2">
      <c r="A18585" s="6" t="str">
        <f>"AC068025.1"</f>
        <v>AC068025.1</v>
      </c>
      <c r="B18585" s="6" t="s">
        <v>1</v>
      </c>
      <c r="C18585" s="6" t="s">
        <v>1</v>
      </c>
    </row>
    <row r="18586" spans="1:3" s="7" customFormat="1" x14ac:dyDescent="0.2">
      <c r="A18586" s="6" t="str">
        <f>"LEAP2"</f>
        <v>LEAP2</v>
      </c>
      <c r="B18586" s="6" t="s">
        <v>1</v>
      </c>
      <c r="C18586" s="6" t="s">
        <v>1</v>
      </c>
    </row>
    <row r="18587" spans="1:3" s="7" customFormat="1" x14ac:dyDescent="0.2">
      <c r="A18587" s="6" t="str">
        <f>"TTC9B"</f>
        <v>TTC9B</v>
      </c>
      <c r="B18587" s="6" t="s">
        <v>1</v>
      </c>
      <c r="C18587" s="6" t="s">
        <v>1</v>
      </c>
    </row>
    <row r="18588" spans="1:3" s="7" customFormat="1" x14ac:dyDescent="0.2">
      <c r="A18588" s="6" t="str">
        <f>"AC107031.1"</f>
        <v>AC107031.1</v>
      </c>
      <c r="B18588" s="6" t="s">
        <v>1</v>
      </c>
      <c r="C18588" s="6" t="s">
        <v>1</v>
      </c>
    </row>
    <row r="18589" spans="1:3" s="7" customFormat="1" x14ac:dyDescent="0.2">
      <c r="A18589" s="6" t="str">
        <f>"APOA1"</f>
        <v>APOA1</v>
      </c>
      <c r="B18589" s="6" t="s">
        <v>1</v>
      </c>
      <c r="C18589" s="6" t="s">
        <v>1</v>
      </c>
    </row>
    <row r="18590" spans="1:3" s="7" customFormat="1" x14ac:dyDescent="0.2">
      <c r="A18590" s="6" t="str">
        <f>"AC007271.1"</f>
        <v>AC007271.1</v>
      </c>
      <c r="B18590" s="6" t="s">
        <v>1</v>
      </c>
      <c r="C18590" s="6" t="s">
        <v>1</v>
      </c>
    </row>
    <row r="18591" spans="1:3" s="7" customFormat="1" x14ac:dyDescent="0.2">
      <c r="A18591" s="6" t="str">
        <f>"AP000357.2"</f>
        <v>AP000357.2</v>
      </c>
      <c r="B18591" s="6" t="s">
        <v>1</v>
      </c>
      <c r="C18591" s="6" t="s">
        <v>1</v>
      </c>
    </row>
    <row r="18592" spans="1:3" s="7" customFormat="1" x14ac:dyDescent="0.2">
      <c r="A18592" s="6" t="str">
        <f>"RPL7AP11"</f>
        <v>RPL7AP11</v>
      </c>
      <c r="B18592" s="6" t="s">
        <v>1</v>
      </c>
      <c r="C18592" s="6" t="s">
        <v>1</v>
      </c>
    </row>
    <row r="18593" spans="1:3" s="7" customFormat="1" x14ac:dyDescent="0.2">
      <c r="A18593" s="6" t="str">
        <f>"AC253572.1"</f>
        <v>AC253572.1</v>
      </c>
      <c r="B18593" s="6" t="s">
        <v>1</v>
      </c>
      <c r="C18593" s="6" t="s">
        <v>1</v>
      </c>
    </row>
    <row r="18594" spans="1:3" s="7" customFormat="1" x14ac:dyDescent="0.2">
      <c r="A18594" s="6" t="str">
        <f>"CYP2D8P"</f>
        <v>CYP2D8P</v>
      </c>
      <c r="B18594" s="6" t="s">
        <v>1</v>
      </c>
      <c r="C18594" s="6" t="s">
        <v>1</v>
      </c>
    </row>
    <row r="18595" spans="1:3" s="7" customFormat="1" x14ac:dyDescent="0.2">
      <c r="A18595" s="6" t="str">
        <f>"FALEC"</f>
        <v>FALEC</v>
      </c>
      <c r="B18595" s="6" t="s">
        <v>1</v>
      </c>
      <c r="C18595" s="6" t="s">
        <v>1</v>
      </c>
    </row>
    <row r="18596" spans="1:3" s="7" customFormat="1" x14ac:dyDescent="0.2">
      <c r="A18596" s="6" t="str">
        <f>"AC062037.3"</f>
        <v>AC062037.3</v>
      </c>
      <c r="B18596" s="6" t="s">
        <v>1</v>
      </c>
      <c r="C18596" s="6" t="s">
        <v>1</v>
      </c>
    </row>
    <row r="18597" spans="1:3" s="7" customFormat="1" x14ac:dyDescent="0.2">
      <c r="A18597" s="6" t="str">
        <f>"KCNG4"</f>
        <v>KCNG4</v>
      </c>
      <c r="B18597" s="6" t="s">
        <v>1</v>
      </c>
      <c r="C18597" s="6" t="s">
        <v>1</v>
      </c>
    </row>
    <row r="18598" spans="1:3" s="7" customFormat="1" x14ac:dyDescent="0.2">
      <c r="A18598" s="6" t="str">
        <f>"AC130448.1"</f>
        <v>AC130448.1</v>
      </c>
      <c r="B18598" s="6" t="s">
        <v>1</v>
      </c>
      <c r="C18598" s="6" t="s">
        <v>1</v>
      </c>
    </row>
    <row r="18599" spans="1:3" s="7" customFormat="1" x14ac:dyDescent="0.2">
      <c r="A18599" s="6" t="str">
        <f>"AC023282.1"</f>
        <v>AC023282.1</v>
      </c>
      <c r="B18599" s="6" t="s">
        <v>1</v>
      </c>
      <c r="C18599" s="6" t="s">
        <v>1</v>
      </c>
    </row>
    <row r="18600" spans="1:3" s="7" customFormat="1" x14ac:dyDescent="0.2">
      <c r="A18600" s="6" t="str">
        <f>"HAR1A"</f>
        <v>HAR1A</v>
      </c>
      <c r="B18600" s="6" t="s">
        <v>1</v>
      </c>
      <c r="C18600" s="6" t="s">
        <v>1</v>
      </c>
    </row>
    <row r="18601" spans="1:3" s="7" customFormat="1" x14ac:dyDescent="0.2">
      <c r="A18601" s="6" t="str">
        <f>"RPL7AP30"</f>
        <v>RPL7AP30</v>
      </c>
      <c r="B18601" s="6" t="s">
        <v>1</v>
      </c>
      <c r="C18601" s="6" t="s">
        <v>1</v>
      </c>
    </row>
    <row r="18602" spans="1:3" s="7" customFormat="1" x14ac:dyDescent="0.2">
      <c r="A18602" s="6" t="str">
        <f>"AC068408.1"</f>
        <v>AC068408.1</v>
      </c>
      <c r="B18602" s="6" t="s">
        <v>1</v>
      </c>
      <c r="C18602" s="6" t="s">
        <v>1</v>
      </c>
    </row>
    <row r="18603" spans="1:3" s="7" customFormat="1" x14ac:dyDescent="0.2">
      <c r="A18603" s="6" t="str">
        <f>"AC009271.2"</f>
        <v>AC009271.2</v>
      </c>
      <c r="B18603" s="6" t="s">
        <v>1</v>
      </c>
      <c r="C18603" s="6" t="s">
        <v>1</v>
      </c>
    </row>
    <row r="18604" spans="1:3" s="7" customFormat="1" x14ac:dyDescent="0.2">
      <c r="A18604" s="6" t="str">
        <f>"AC084824.3"</f>
        <v>AC084824.3</v>
      </c>
      <c r="B18604" s="6" t="s">
        <v>1</v>
      </c>
      <c r="C18604" s="6" t="s">
        <v>1</v>
      </c>
    </row>
    <row r="18605" spans="1:3" s="7" customFormat="1" x14ac:dyDescent="0.2">
      <c r="A18605" s="6" t="str">
        <f>"FLJ40194"</f>
        <v>FLJ40194</v>
      </c>
      <c r="B18605" s="6" t="s">
        <v>1</v>
      </c>
      <c r="C18605" s="6" t="s">
        <v>1</v>
      </c>
    </row>
    <row r="18606" spans="1:3" s="7" customFormat="1" x14ac:dyDescent="0.2">
      <c r="A18606" s="6" t="str">
        <f>"AC108125.1"</f>
        <v>AC108125.1</v>
      </c>
      <c r="B18606" s="6" t="s">
        <v>1</v>
      </c>
      <c r="C18606" s="6" t="s">
        <v>1</v>
      </c>
    </row>
    <row r="18607" spans="1:3" s="7" customFormat="1" x14ac:dyDescent="0.2">
      <c r="A18607" s="6" t="str">
        <f>"NONOP2"</f>
        <v>NONOP2</v>
      </c>
      <c r="B18607" s="6" t="s">
        <v>1</v>
      </c>
      <c r="C18607" s="6" t="s">
        <v>1</v>
      </c>
    </row>
    <row r="18608" spans="1:3" s="7" customFormat="1" x14ac:dyDescent="0.2">
      <c r="A18608" s="6" t="str">
        <f>"AC004882.3"</f>
        <v>AC004882.3</v>
      </c>
      <c r="B18608" s="6" t="s">
        <v>1</v>
      </c>
      <c r="C18608" s="6" t="s">
        <v>1</v>
      </c>
    </row>
    <row r="18609" spans="1:3" s="7" customFormat="1" x14ac:dyDescent="0.2">
      <c r="A18609" s="6" t="str">
        <f>"PPIAP22"</f>
        <v>PPIAP22</v>
      </c>
      <c r="B18609" s="6" t="s">
        <v>1</v>
      </c>
      <c r="C18609" s="6" t="s">
        <v>1</v>
      </c>
    </row>
    <row r="18610" spans="1:3" s="7" customFormat="1" x14ac:dyDescent="0.2">
      <c r="A18610" s="6" t="str">
        <f>"AC013643.2"</f>
        <v>AC013643.2</v>
      </c>
      <c r="B18610" s="6" t="s">
        <v>1</v>
      </c>
      <c r="C18610" s="6" t="s">
        <v>1</v>
      </c>
    </row>
    <row r="18611" spans="1:3" s="7" customFormat="1" x14ac:dyDescent="0.2">
      <c r="A18611" s="6" t="str">
        <f>"PDCL3P5"</f>
        <v>PDCL3P5</v>
      </c>
      <c r="B18611" s="6" t="s">
        <v>1</v>
      </c>
      <c r="C18611" s="6" t="s">
        <v>1</v>
      </c>
    </row>
    <row r="18612" spans="1:3" s="7" customFormat="1" x14ac:dyDescent="0.2">
      <c r="A18612" s="6" t="str">
        <f>"AP000786.1"</f>
        <v>AP000786.1</v>
      </c>
      <c r="B18612" s="6" t="s">
        <v>1</v>
      </c>
      <c r="C18612" s="6" t="s">
        <v>1</v>
      </c>
    </row>
    <row r="18613" spans="1:3" s="7" customFormat="1" x14ac:dyDescent="0.2">
      <c r="A18613" s="6" t="str">
        <f>"SELE"</f>
        <v>SELE</v>
      </c>
      <c r="B18613" s="6" t="s">
        <v>1</v>
      </c>
      <c r="C18613" s="6" t="s">
        <v>1</v>
      </c>
    </row>
    <row r="18614" spans="1:3" s="7" customFormat="1" x14ac:dyDescent="0.2">
      <c r="A18614" s="6" t="str">
        <f>"AC131235.3"</f>
        <v>AC131235.3</v>
      </c>
      <c r="B18614" s="6" t="s">
        <v>1</v>
      </c>
      <c r="C18614" s="6" t="s">
        <v>1</v>
      </c>
    </row>
    <row r="18615" spans="1:3" s="7" customFormat="1" x14ac:dyDescent="0.2">
      <c r="A18615" s="6" t="str">
        <f>"NXPH3"</f>
        <v>NXPH3</v>
      </c>
      <c r="B18615" s="6" t="s">
        <v>1</v>
      </c>
      <c r="C18615" s="6" t="s">
        <v>1</v>
      </c>
    </row>
    <row r="18616" spans="1:3" s="7" customFormat="1" x14ac:dyDescent="0.2">
      <c r="A18616" s="6" t="str">
        <f>"AC084782.2"</f>
        <v>AC084782.2</v>
      </c>
      <c r="B18616" s="6" t="s">
        <v>1</v>
      </c>
      <c r="C18616" s="6" t="s">
        <v>1</v>
      </c>
    </row>
    <row r="18617" spans="1:3" s="7" customFormat="1" x14ac:dyDescent="0.2">
      <c r="A18617" s="6" t="str">
        <f>"AC012508.1"</f>
        <v>AC012508.1</v>
      </c>
      <c r="B18617" s="6" t="s">
        <v>1</v>
      </c>
      <c r="C18617" s="6" t="s">
        <v>1</v>
      </c>
    </row>
    <row r="18618" spans="1:3" s="7" customFormat="1" x14ac:dyDescent="0.2">
      <c r="A18618" s="6" t="str">
        <f>"AL031667.3"</f>
        <v>AL031667.3</v>
      </c>
      <c r="B18618" s="6" t="s">
        <v>1</v>
      </c>
      <c r="C18618" s="6" t="s">
        <v>1</v>
      </c>
    </row>
    <row r="18619" spans="1:3" s="7" customFormat="1" x14ac:dyDescent="0.2">
      <c r="A18619" s="6" t="str">
        <f>"BRD7P2"</f>
        <v>BRD7P2</v>
      </c>
      <c r="B18619" s="6" t="s">
        <v>1</v>
      </c>
      <c r="C18619" s="6" t="s">
        <v>1</v>
      </c>
    </row>
    <row r="18620" spans="1:3" s="7" customFormat="1" x14ac:dyDescent="0.2">
      <c r="A18620" s="6" t="str">
        <f>"AL449423.1"</f>
        <v>AL449423.1</v>
      </c>
      <c r="B18620" s="6" t="s">
        <v>1</v>
      </c>
      <c r="C18620" s="6" t="s">
        <v>1</v>
      </c>
    </row>
    <row r="18621" spans="1:3" s="7" customFormat="1" x14ac:dyDescent="0.2">
      <c r="A18621" s="6" t="str">
        <f>"AC009275.1"</f>
        <v>AC009275.1</v>
      </c>
      <c r="B18621" s="6" t="s">
        <v>1</v>
      </c>
      <c r="C18621" s="6" t="s">
        <v>1</v>
      </c>
    </row>
    <row r="18622" spans="1:3" s="7" customFormat="1" x14ac:dyDescent="0.2">
      <c r="A18622" s="6" t="str">
        <f>"KLK1"</f>
        <v>KLK1</v>
      </c>
      <c r="B18622" s="6" t="s">
        <v>1</v>
      </c>
      <c r="C18622" s="6" t="s">
        <v>1</v>
      </c>
    </row>
    <row r="18623" spans="1:3" s="7" customFormat="1" x14ac:dyDescent="0.2">
      <c r="A18623" s="6" t="str">
        <f>"AC007317.1"</f>
        <v>AC007317.1</v>
      </c>
      <c r="B18623" s="6" t="s">
        <v>1</v>
      </c>
      <c r="C18623" s="6" t="s">
        <v>1</v>
      </c>
    </row>
    <row r="18624" spans="1:3" s="7" customFormat="1" x14ac:dyDescent="0.2">
      <c r="A18624" s="6" t="str">
        <f>"CHRNB2"</f>
        <v>CHRNB2</v>
      </c>
      <c r="B18624" s="6" t="s">
        <v>1</v>
      </c>
      <c r="C18624" s="6" t="s">
        <v>1</v>
      </c>
    </row>
    <row r="18625" spans="1:3" s="7" customFormat="1" x14ac:dyDescent="0.2">
      <c r="A18625" s="6" t="str">
        <f>"VGF"</f>
        <v>VGF</v>
      </c>
      <c r="B18625" s="6" t="s">
        <v>1</v>
      </c>
      <c r="C18625" s="6" t="s">
        <v>1</v>
      </c>
    </row>
    <row r="18626" spans="1:3" s="7" customFormat="1" x14ac:dyDescent="0.2">
      <c r="A18626" s="6" t="str">
        <f>"AC243967.2"</f>
        <v>AC243967.2</v>
      </c>
      <c r="B18626" s="6" t="s">
        <v>1</v>
      </c>
      <c r="C18626" s="6" t="s">
        <v>1</v>
      </c>
    </row>
    <row r="18627" spans="1:3" s="7" customFormat="1" x14ac:dyDescent="0.2">
      <c r="A18627" s="6" t="str">
        <f>"TBC1D3P5"</f>
        <v>TBC1D3P5</v>
      </c>
      <c r="B18627" s="6" t="s">
        <v>1</v>
      </c>
      <c r="C18627" s="6" t="s">
        <v>1</v>
      </c>
    </row>
    <row r="18628" spans="1:3" s="7" customFormat="1" x14ac:dyDescent="0.2">
      <c r="A18628" s="6" t="str">
        <f>"GLYATL1"</f>
        <v>GLYATL1</v>
      </c>
      <c r="B18628" s="6" t="s">
        <v>1</v>
      </c>
      <c r="C18628" s="6" t="s">
        <v>1</v>
      </c>
    </row>
    <row r="18629" spans="1:3" s="7" customFormat="1" x14ac:dyDescent="0.2">
      <c r="A18629" s="6" t="str">
        <f>"HAR1B"</f>
        <v>HAR1B</v>
      </c>
      <c r="B18629" s="6" t="s">
        <v>1</v>
      </c>
      <c r="C18629" s="6" t="s">
        <v>1</v>
      </c>
    </row>
    <row r="18630" spans="1:3" s="7" customFormat="1" x14ac:dyDescent="0.2">
      <c r="A18630" s="6" t="str">
        <f>"LINC02036"</f>
        <v>LINC02036</v>
      </c>
      <c r="B18630" s="6" t="s">
        <v>1</v>
      </c>
      <c r="C18630" s="6" t="s">
        <v>1</v>
      </c>
    </row>
    <row r="18631" spans="1:3" s="7" customFormat="1" x14ac:dyDescent="0.2">
      <c r="A18631" s="6" t="str">
        <f>"INSL3"</f>
        <v>INSL3</v>
      </c>
      <c r="B18631" s="6" t="s">
        <v>1</v>
      </c>
      <c r="C18631" s="6" t="s">
        <v>1</v>
      </c>
    </row>
    <row r="18632" spans="1:3" s="7" customFormat="1" x14ac:dyDescent="0.2">
      <c r="A18632" s="6" t="str">
        <f>"REPIN1-AS1"</f>
        <v>REPIN1-AS1</v>
      </c>
      <c r="B18632" s="6" t="s">
        <v>1</v>
      </c>
      <c r="C18632" s="6" t="s">
        <v>1</v>
      </c>
    </row>
    <row r="18633" spans="1:3" s="7" customFormat="1" x14ac:dyDescent="0.2">
      <c r="A18633" s="6" t="str">
        <f>"AC087392.3"</f>
        <v>AC087392.3</v>
      </c>
      <c r="B18633" s="6" t="s">
        <v>1</v>
      </c>
      <c r="C18633" s="6" t="s">
        <v>1</v>
      </c>
    </row>
    <row r="18634" spans="1:3" s="7" customFormat="1" x14ac:dyDescent="0.2">
      <c r="A18634" s="6" t="str">
        <f>"LINC01122"</f>
        <v>LINC01122</v>
      </c>
      <c r="B18634" s="6" t="s">
        <v>1</v>
      </c>
      <c r="C18634" s="6" t="s">
        <v>1</v>
      </c>
    </row>
    <row r="18635" spans="1:3" s="7" customFormat="1" x14ac:dyDescent="0.2">
      <c r="A18635" s="6" t="str">
        <f>"MYOCD"</f>
        <v>MYOCD</v>
      </c>
      <c r="B18635" s="6" t="s">
        <v>1</v>
      </c>
      <c r="C18635" s="6" t="s">
        <v>1</v>
      </c>
    </row>
    <row r="18636" spans="1:3" s="7" customFormat="1" x14ac:dyDescent="0.2">
      <c r="A18636" s="6" t="str">
        <f>"AP000879.1"</f>
        <v>AP000879.1</v>
      </c>
      <c r="B18636" s="6" t="s">
        <v>1</v>
      </c>
      <c r="C18636" s="6" t="s">
        <v>1</v>
      </c>
    </row>
    <row r="18637" spans="1:3" s="7" customFormat="1" x14ac:dyDescent="0.2">
      <c r="A18637" s="6" t="str">
        <f>"ZC3H12B"</f>
        <v>ZC3H12B</v>
      </c>
      <c r="B18637" s="6" t="s">
        <v>1</v>
      </c>
      <c r="C18637" s="6" t="s">
        <v>1</v>
      </c>
    </row>
    <row r="18638" spans="1:3" s="7" customFormat="1" x14ac:dyDescent="0.2">
      <c r="A18638" s="6" t="str">
        <f>"CHRNG"</f>
        <v>CHRNG</v>
      </c>
      <c r="B18638" s="6" t="s">
        <v>1</v>
      </c>
      <c r="C18638" s="6" t="s">
        <v>1</v>
      </c>
    </row>
    <row r="18639" spans="1:3" s="7" customFormat="1" x14ac:dyDescent="0.2">
      <c r="A18639" s="6" t="str">
        <f>"G6PC2"</f>
        <v>G6PC2</v>
      </c>
      <c r="B18639" s="6" t="s">
        <v>1</v>
      </c>
      <c r="C18639" s="6" t="s">
        <v>1</v>
      </c>
    </row>
    <row r="18640" spans="1:3" s="7" customFormat="1" x14ac:dyDescent="0.2">
      <c r="A18640" s="6" t="str">
        <f>"AL135744.1"</f>
        <v>AL135744.1</v>
      </c>
      <c r="B18640" s="6" t="s">
        <v>1</v>
      </c>
      <c r="C18640" s="6" t="s">
        <v>1</v>
      </c>
    </row>
    <row r="18641" spans="1:3" s="7" customFormat="1" x14ac:dyDescent="0.2">
      <c r="A18641" s="6" t="str">
        <f>"AC131934.1"</f>
        <v>AC131934.1</v>
      </c>
      <c r="B18641" s="6" t="s">
        <v>1</v>
      </c>
      <c r="C18641" s="6" t="s">
        <v>1</v>
      </c>
    </row>
    <row r="18642" spans="1:3" s="7" customFormat="1" x14ac:dyDescent="0.2">
      <c r="A18642" s="6" t="str">
        <f>"AC022182.1"</f>
        <v>AC022182.1</v>
      </c>
      <c r="B18642" s="6" t="s">
        <v>1</v>
      </c>
      <c r="C18642" s="6" t="s">
        <v>1</v>
      </c>
    </row>
    <row r="18643" spans="1:3" s="7" customFormat="1" x14ac:dyDescent="0.2">
      <c r="A18643" s="6" t="str">
        <f>"LINC02235"</f>
        <v>LINC02235</v>
      </c>
      <c r="B18643" s="6" t="s">
        <v>1</v>
      </c>
      <c r="C18643" s="6" t="s">
        <v>1</v>
      </c>
    </row>
    <row r="18644" spans="1:3" s="7" customFormat="1" x14ac:dyDescent="0.2">
      <c r="A18644" s="6" t="str">
        <f>"AC084017.1"</f>
        <v>AC084017.1</v>
      </c>
      <c r="B18644" s="6" t="s">
        <v>1</v>
      </c>
      <c r="C18644" s="6" t="s">
        <v>1</v>
      </c>
    </row>
    <row r="18645" spans="1:3" s="7" customFormat="1" x14ac:dyDescent="0.2">
      <c r="A18645" s="6" t="str">
        <f>"SORCS1"</f>
        <v>SORCS1</v>
      </c>
      <c r="B18645" s="6" t="s">
        <v>1</v>
      </c>
      <c r="C18645" s="6" t="s">
        <v>1</v>
      </c>
    </row>
    <row r="18646" spans="1:3" s="7" customFormat="1" x14ac:dyDescent="0.2">
      <c r="A18646" s="6" t="str">
        <f>"KCNH4"</f>
        <v>KCNH4</v>
      </c>
      <c r="B18646" s="6" t="s">
        <v>1</v>
      </c>
      <c r="C18646" s="6" t="s">
        <v>1</v>
      </c>
    </row>
    <row r="18647" spans="1:3" s="7" customFormat="1" x14ac:dyDescent="0.2">
      <c r="A18647" s="6" t="str">
        <f>"AL353795.2"</f>
        <v>AL353795.2</v>
      </c>
      <c r="B18647" s="6" t="s">
        <v>1</v>
      </c>
      <c r="C18647" s="6" t="s">
        <v>1</v>
      </c>
    </row>
    <row r="18648" spans="1:3" s="7" customFormat="1" x14ac:dyDescent="0.2">
      <c r="A18648" s="6" t="str">
        <f>"ALDH8A1"</f>
        <v>ALDH8A1</v>
      </c>
      <c r="B18648" s="6" t="s">
        <v>1</v>
      </c>
      <c r="C18648" s="6" t="s">
        <v>1</v>
      </c>
    </row>
    <row r="18649" spans="1:3" s="7" customFormat="1" x14ac:dyDescent="0.2">
      <c r="A18649" s="6" t="str">
        <f>"NYAP2"</f>
        <v>NYAP2</v>
      </c>
      <c r="B18649" s="6" t="s">
        <v>1</v>
      </c>
      <c r="C18649" s="6" t="s">
        <v>1</v>
      </c>
    </row>
    <row r="18650" spans="1:3" s="7" customFormat="1" x14ac:dyDescent="0.2">
      <c r="A18650" s="6" t="str">
        <f>"AP000695.2"</f>
        <v>AP000695.2</v>
      </c>
      <c r="B18650" s="6" t="s">
        <v>1</v>
      </c>
      <c r="C18650" s="6" t="s">
        <v>1</v>
      </c>
    </row>
    <row r="18651" spans="1:3" s="7" customFormat="1" x14ac:dyDescent="0.2">
      <c r="A18651" s="6" t="str">
        <f>"AL031768.1"</f>
        <v>AL031768.1</v>
      </c>
      <c r="B18651" s="6" t="s">
        <v>1</v>
      </c>
      <c r="C18651" s="6" t="s">
        <v>1</v>
      </c>
    </row>
    <row r="18652" spans="1:3" s="7" customFormat="1" x14ac:dyDescent="0.2">
      <c r="A18652" s="6" t="str">
        <f>"C22orf42"</f>
        <v>C22orf42</v>
      </c>
      <c r="B18652" s="6" t="s">
        <v>1</v>
      </c>
      <c r="C18652" s="6" t="s">
        <v>1</v>
      </c>
    </row>
    <row r="18653" spans="1:3" s="7" customFormat="1" x14ac:dyDescent="0.2">
      <c r="A18653" s="6" t="str">
        <f>"AC063926.3"</f>
        <v>AC063926.3</v>
      </c>
      <c r="B18653" s="6" t="s">
        <v>1</v>
      </c>
      <c r="C18653" s="6" t="s">
        <v>1</v>
      </c>
    </row>
    <row r="18654" spans="1:3" s="7" customFormat="1" x14ac:dyDescent="0.2">
      <c r="A18654" s="6" t="str">
        <f>"DNM1P35"</f>
        <v>DNM1P35</v>
      </c>
      <c r="B18654" s="6" t="s">
        <v>1</v>
      </c>
      <c r="C18654" s="6" t="s">
        <v>1</v>
      </c>
    </row>
    <row r="18655" spans="1:3" s="7" customFormat="1" x14ac:dyDescent="0.2">
      <c r="A18655" s="6" t="str">
        <f>"AC093817.1"</f>
        <v>AC093817.1</v>
      </c>
      <c r="B18655" s="6" t="s">
        <v>1</v>
      </c>
      <c r="C18655" s="6" t="s">
        <v>1</v>
      </c>
    </row>
    <row r="18656" spans="1:3" s="7" customFormat="1" x14ac:dyDescent="0.2">
      <c r="A18656" s="6" t="str">
        <f>"AP000695.1"</f>
        <v>AP000695.1</v>
      </c>
      <c r="B18656" s="6" t="s">
        <v>1</v>
      </c>
      <c r="C18656" s="6" t="s">
        <v>1</v>
      </c>
    </row>
    <row r="18657" spans="1:3" s="7" customFormat="1" x14ac:dyDescent="0.2">
      <c r="A18657" s="6" t="str">
        <f>"AC010173.1"</f>
        <v>AC010173.1</v>
      </c>
      <c r="B18657" s="6" t="s">
        <v>1</v>
      </c>
      <c r="C18657" s="6" t="s">
        <v>1</v>
      </c>
    </row>
    <row r="18658" spans="1:3" s="7" customFormat="1" x14ac:dyDescent="0.2">
      <c r="A18658" s="6" t="str">
        <f>"AC130324.1"</f>
        <v>AC130324.1</v>
      </c>
      <c r="B18658" s="6" t="s">
        <v>1</v>
      </c>
      <c r="C18658" s="6" t="s">
        <v>1</v>
      </c>
    </row>
    <row r="18659" spans="1:3" s="7" customFormat="1" x14ac:dyDescent="0.2">
      <c r="A18659" s="6" t="str">
        <f>"DNM1P34"</f>
        <v>DNM1P34</v>
      </c>
      <c r="B18659" s="6" t="s">
        <v>1</v>
      </c>
      <c r="C18659" s="6" t="s">
        <v>1</v>
      </c>
    </row>
    <row r="18660" spans="1:3" s="7" customFormat="1" x14ac:dyDescent="0.2">
      <c r="A18660" s="6" t="str">
        <f>"AC107027.1"</f>
        <v>AC107027.1</v>
      </c>
      <c r="B18660" s="6" t="s">
        <v>1</v>
      </c>
      <c r="C18660" s="6" t="s">
        <v>1</v>
      </c>
    </row>
    <row r="18661" spans="1:3" s="7" customFormat="1" x14ac:dyDescent="0.2">
      <c r="A18661" s="6" t="str">
        <f>"GPRC5D"</f>
        <v>GPRC5D</v>
      </c>
      <c r="B18661" s="6" t="s">
        <v>1</v>
      </c>
      <c r="C18661" s="6" t="s">
        <v>1</v>
      </c>
    </row>
    <row r="18662" spans="1:3" s="7" customFormat="1" x14ac:dyDescent="0.2">
      <c r="A18662" s="6" t="str">
        <f>"AP000845.1"</f>
        <v>AP000845.1</v>
      </c>
      <c r="B18662" s="6" t="s">
        <v>1</v>
      </c>
      <c r="C18662" s="6" t="s">
        <v>1</v>
      </c>
    </row>
    <row r="18663" spans="1:3" s="7" customFormat="1" x14ac:dyDescent="0.2">
      <c r="A18663" s="6" t="str">
        <f>"MSANTD3-TMEFF1"</f>
        <v>MSANTD3-TMEFF1</v>
      </c>
      <c r="B18663" s="6" t="s">
        <v>1</v>
      </c>
      <c r="C18663" s="6" t="s">
        <v>1</v>
      </c>
    </row>
    <row r="18664" spans="1:3" s="7" customFormat="1" x14ac:dyDescent="0.2">
      <c r="A18664" s="6" t="str">
        <f>"FIRRE"</f>
        <v>FIRRE</v>
      </c>
      <c r="B18664" s="6" t="s">
        <v>1</v>
      </c>
      <c r="C18664" s="6" t="s">
        <v>1</v>
      </c>
    </row>
    <row r="18665" spans="1:3" s="7" customFormat="1" x14ac:dyDescent="0.2">
      <c r="A18665" s="6" t="str">
        <f>"LINC02137"</f>
        <v>LINC02137</v>
      </c>
      <c r="B18665" s="6" t="s">
        <v>1</v>
      </c>
      <c r="C18665" s="6" t="s">
        <v>1</v>
      </c>
    </row>
    <row r="18666" spans="1:3" s="7" customFormat="1" x14ac:dyDescent="0.2">
      <c r="A18666" s="6" t="str">
        <f>"WNT5A-AS1"</f>
        <v>WNT5A-AS1</v>
      </c>
      <c r="B18666" s="6" t="s">
        <v>1</v>
      </c>
      <c r="C18666" s="6" t="s">
        <v>1</v>
      </c>
    </row>
    <row r="18667" spans="1:3" s="7" customFormat="1" x14ac:dyDescent="0.2">
      <c r="A18667" s="6" t="str">
        <f>"AC108052.1"</f>
        <v>AC108052.1</v>
      </c>
      <c r="B18667" s="6" t="s">
        <v>1</v>
      </c>
      <c r="C18667" s="6" t="s">
        <v>1</v>
      </c>
    </row>
    <row r="18668" spans="1:3" s="7" customFormat="1" x14ac:dyDescent="0.2">
      <c r="A18668" s="6" t="str">
        <f>"AC022532.1"</f>
        <v>AC022532.1</v>
      </c>
      <c r="B18668" s="6" t="s">
        <v>1</v>
      </c>
      <c r="C18668" s="6" t="s">
        <v>1</v>
      </c>
    </row>
    <row r="18669" spans="1:3" s="7" customFormat="1" x14ac:dyDescent="0.2">
      <c r="A18669" s="6" t="str">
        <f>"AL133342.1"</f>
        <v>AL133342.1</v>
      </c>
      <c r="B18669" s="6" t="s">
        <v>1</v>
      </c>
      <c r="C18669" s="6" t="s">
        <v>1</v>
      </c>
    </row>
    <row r="18670" spans="1:3" s="7" customFormat="1" x14ac:dyDescent="0.2">
      <c r="A18670" s="6" t="str">
        <f>"AL136295.2"</f>
        <v>AL136295.2</v>
      </c>
      <c r="B18670" s="6" t="s">
        <v>1</v>
      </c>
      <c r="C18670" s="6" t="s">
        <v>1</v>
      </c>
    </row>
    <row r="18671" spans="1:3" s="7" customFormat="1" x14ac:dyDescent="0.2">
      <c r="A18671" s="6" t="str">
        <f>"SHANK2-AS1"</f>
        <v>SHANK2-AS1</v>
      </c>
      <c r="B18671" s="6" t="s">
        <v>1</v>
      </c>
      <c r="C18671" s="6" t="s">
        <v>1</v>
      </c>
    </row>
    <row r="18672" spans="1:3" s="7" customFormat="1" x14ac:dyDescent="0.2">
      <c r="A18672" s="6" t="str">
        <f>"LEMD1-DT"</f>
        <v>LEMD1-DT</v>
      </c>
      <c r="B18672" s="6" t="s">
        <v>1</v>
      </c>
      <c r="C18672" s="6" t="s">
        <v>1</v>
      </c>
    </row>
    <row r="18673" spans="1:3" s="7" customFormat="1" x14ac:dyDescent="0.2">
      <c r="A18673" s="6" t="str">
        <f>"POU6F2"</f>
        <v>POU6F2</v>
      </c>
      <c r="B18673" s="6" t="s">
        <v>1</v>
      </c>
      <c r="C18673" s="6" t="s">
        <v>1</v>
      </c>
    </row>
    <row r="18674" spans="1:3" s="7" customFormat="1" x14ac:dyDescent="0.2">
      <c r="A18674" s="6" t="str">
        <f>"LINC02223"</f>
        <v>LINC02223</v>
      </c>
      <c r="B18674" s="6" t="s">
        <v>1</v>
      </c>
      <c r="C18674" s="6" t="s">
        <v>1</v>
      </c>
    </row>
    <row r="18675" spans="1:3" s="7" customFormat="1" x14ac:dyDescent="0.2">
      <c r="A18675" s="6" t="str">
        <f>"PPIAP8"</f>
        <v>PPIAP8</v>
      </c>
      <c r="B18675" s="6" t="s">
        <v>1</v>
      </c>
      <c r="C18675" s="6" t="s">
        <v>1</v>
      </c>
    </row>
    <row r="18676" spans="1:3" s="7" customFormat="1" x14ac:dyDescent="0.2">
      <c r="A18676" s="6" t="str">
        <f>"AC129492.6"</f>
        <v>AC129492.6</v>
      </c>
      <c r="B18676" s="6" t="s">
        <v>1</v>
      </c>
      <c r="C18676" s="6" t="s">
        <v>1</v>
      </c>
    </row>
    <row r="18677" spans="1:3" s="7" customFormat="1" x14ac:dyDescent="0.2">
      <c r="A18677" s="6" t="str">
        <f>"MAGEL2"</f>
        <v>MAGEL2</v>
      </c>
      <c r="B18677" s="6" t="s">
        <v>1</v>
      </c>
      <c r="C18677" s="6" t="s">
        <v>1</v>
      </c>
    </row>
    <row r="18678" spans="1:3" s="7" customFormat="1" x14ac:dyDescent="0.2">
      <c r="A18678" s="6" t="str">
        <f>"RAD51AP2"</f>
        <v>RAD51AP2</v>
      </c>
      <c r="B18678" s="6" t="s">
        <v>1</v>
      </c>
      <c r="C18678" s="6" t="s">
        <v>1</v>
      </c>
    </row>
    <row r="18679" spans="1:3" s="7" customFormat="1" x14ac:dyDescent="0.2">
      <c r="A18679" s="6" t="str">
        <f>"AC093159.1"</f>
        <v>AC093159.1</v>
      </c>
      <c r="B18679" s="6" t="s">
        <v>1</v>
      </c>
      <c r="C18679" s="6" t="s">
        <v>1</v>
      </c>
    </row>
    <row r="18680" spans="1:3" s="7" customFormat="1" x14ac:dyDescent="0.2">
      <c r="A18680" s="6" t="str">
        <f>"AC107071.1"</f>
        <v>AC107071.1</v>
      </c>
      <c r="B18680" s="6" t="s">
        <v>1</v>
      </c>
      <c r="C18680" s="6" t="s">
        <v>1</v>
      </c>
    </row>
    <row r="18681" spans="1:3" s="7" customFormat="1" x14ac:dyDescent="0.2">
      <c r="A18681" s="6" t="str">
        <f>"ASB5"</f>
        <v>ASB5</v>
      </c>
      <c r="B18681" s="6" t="s">
        <v>1</v>
      </c>
      <c r="C18681" s="6" t="s">
        <v>1</v>
      </c>
    </row>
    <row r="18682" spans="1:3" s="7" customFormat="1" x14ac:dyDescent="0.2">
      <c r="A18682" s="6" t="str">
        <f>"LINC01116"</f>
        <v>LINC01116</v>
      </c>
      <c r="B18682" s="6" t="s">
        <v>1</v>
      </c>
      <c r="C18682" s="6" t="s">
        <v>1</v>
      </c>
    </row>
    <row r="18683" spans="1:3" s="7" customFormat="1" x14ac:dyDescent="0.2">
      <c r="A18683" s="6" t="str">
        <f>"AC128688.1"</f>
        <v>AC128688.1</v>
      </c>
      <c r="B18683" s="6" t="s">
        <v>1</v>
      </c>
      <c r="C18683" s="6" t="s">
        <v>1</v>
      </c>
    </row>
    <row r="18684" spans="1:3" s="7" customFormat="1" x14ac:dyDescent="0.2">
      <c r="A18684" s="6" t="str">
        <f>"GLI1"</f>
        <v>GLI1</v>
      </c>
      <c r="B18684" s="6" t="s">
        <v>1</v>
      </c>
      <c r="C18684" s="6" t="s">
        <v>1</v>
      </c>
    </row>
    <row r="18685" spans="1:3" s="7" customFormat="1" x14ac:dyDescent="0.2">
      <c r="A18685" s="6" t="str">
        <f>"AL442128.2"</f>
        <v>AL442128.2</v>
      </c>
      <c r="B18685" s="6" t="s">
        <v>1</v>
      </c>
      <c r="C18685" s="6" t="s">
        <v>1</v>
      </c>
    </row>
    <row r="18686" spans="1:3" s="7" customFormat="1" x14ac:dyDescent="0.2">
      <c r="A18686" s="6" t="str">
        <f>"ADORA2A-AS1"</f>
        <v>ADORA2A-AS1</v>
      </c>
      <c r="B18686" s="6" t="s">
        <v>1</v>
      </c>
      <c r="C18686" s="6" t="s">
        <v>1</v>
      </c>
    </row>
    <row r="18687" spans="1:3" s="7" customFormat="1" x14ac:dyDescent="0.2">
      <c r="A18687" s="6" t="str">
        <f>"FLJ30679"</f>
        <v>FLJ30679</v>
      </c>
      <c r="B18687" s="6" t="s">
        <v>1</v>
      </c>
      <c r="C18687" s="6" t="s">
        <v>1</v>
      </c>
    </row>
    <row r="18688" spans="1:3" s="7" customFormat="1" x14ac:dyDescent="0.2">
      <c r="A18688" s="6" t="str">
        <f>"AL353719.1"</f>
        <v>AL353719.1</v>
      </c>
      <c r="B18688" s="6" t="s">
        <v>1</v>
      </c>
      <c r="C18688" s="6" t="s">
        <v>1</v>
      </c>
    </row>
    <row r="18689" spans="1:3" s="7" customFormat="1" x14ac:dyDescent="0.2">
      <c r="A18689" s="6" t="str">
        <f>"AL031595.2"</f>
        <v>AL031595.2</v>
      </c>
      <c r="B18689" s="6" t="s">
        <v>1</v>
      </c>
      <c r="C18689" s="6" t="s">
        <v>1</v>
      </c>
    </row>
    <row r="18690" spans="1:3" s="7" customFormat="1" x14ac:dyDescent="0.2">
      <c r="A18690" s="6" t="str">
        <f>"NUP210L"</f>
        <v>NUP210L</v>
      </c>
      <c r="B18690" s="6" t="s">
        <v>1</v>
      </c>
      <c r="C18690" s="6" t="s">
        <v>1</v>
      </c>
    </row>
    <row r="18691" spans="1:3" s="7" customFormat="1" x14ac:dyDescent="0.2">
      <c r="A18691" s="6" t="str">
        <f>"AC093843.1"</f>
        <v>AC093843.1</v>
      </c>
      <c r="B18691" s="6" t="s">
        <v>1</v>
      </c>
      <c r="C18691" s="6" t="s">
        <v>1</v>
      </c>
    </row>
    <row r="18692" spans="1:3" s="7" customFormat="1" x14ac:dyDescent="0.2">
      <c r="A18692" s="6" t="str">
        <f>"AC007106.1"</f>
        <v>AC007106.1</v>
      </c>
      <c r="B18692" s="6" t="s">
        <v>1</v>
      </c>
      <c r="C18692" s="6" t="s">
        <v>1</v>
      </c>
    </row>
    <row r="18693" spans="1:3" s="7" customFormat="1" x14ac:dyDescent="0.2">
      <c r="A18693" s="6" t="str">
        <f>"AL136090.2"</f>
        <v>AL136090.2</v>
      </c>
      <c r="B18693" s="6" t="s">
        <v>1</v>
      </c>
      <c r="C18693" s="6" t="s">
        <v>1</v>
      </c>
    </row>
    <row r="18694" spans="1:3" s="7" customFormat="1" x14ac:dyDescent="0.2">
      <c r="A18694" s="6" t="str">
        <f>"BRSK1"</f>
        <v>BRSK1</v>
      </c>
      <c r="B18694" s="6" t="s">
        <v>1</v>
      </c>
      <c r="C18694" s="6" t="s">
        <v>1</v>
      </c>
    </row>
    <row r="18695" spans="1:3" s="7" customFormat="1" x14ac:dyDescent="0.2">
      <c r="A18695" s="6" t="str">
        <f>"AL353588.1"</f>
        <v>AL353588.1</v>
      </c>
      <c r="B18695" s="6" t="s">
        <v>1</v>
      </c>
      <c r="C18695" s="6" t="s">
        <v>1</v>
      </c>
    </row>
    <row r="18696" spans="1:3" s="7" customFormat="1" x14ac:dyDescent="0.2">
      <c r="A18696" s="6" t="str">
        <f>"ECEL1"</f>
        <v>ECEL1</v>
      </c>
      <c r="B18696" s="6" t="s">
        <v>1</v>
      </c>
      <c r="C18696" s="6" t="s">
        <v>1</v>
      </c>
    </row>
    <row r="18697" spans="1:3" s="7" customFormat="1" x14ac:dyDescent="0.2">
      <c r="A18697" s="6" t="str">
        <f>"AC131009.3"</f>
        <v>AC131009.3</v>
      </c>
      <c r="B18697" s="6" t="s">
        <v>1</v>
      </c>
      <c r="C18697" s="6" t="s">
        <v>1</v>
      </c>
    </row>
    <row r="18698" spans="1:3" s="7" customFormat="1" x14ac:dyDescent="0.2">
      <c r="A18698" s="6" t="str">
        <f>"AC067852.3"</f>
        <v>AC067852.3</v>
      </c>
      <c r="B18698" s="6" t="s">
        <v>1</v>
      </c>
      <c r="C18698" s="6" t="s">
        <v>1</v>
      </c>
    </row>
    <row r="18699" spans="1:3" s="7" customFormat="1" x14ac:dyDescent="0.2">
      <c r="A18699" s="6" t="str">
        <f>"AL133477.1"</f>
        <v>AL133477.1</v>
      </c>
      <c r="B18699" s="6" t="s">
        <v>1</v>
      </c>
      <c r="C18699" s="6" t="s">
        <v>1</v>
      </c>
    </row>
    <row r="18700" spans="1:3" s="7" customFormat="1" x14ac:dyDescent="0.2">
      <c r="A18700" s="6" t="str">
        <f>"LINC02099"</f>
        <v>LINC02099</v>
      </c>
      <c r="B18700" s="6" t="s">
        <v>1</v>
      </c>
      <c r="C18700" s="6" t="s">
        <v>1</v>
      </c>
    </row>
    <row r="18701" spans="1:3" s="7" customFormat="1" x14ac:dyDescent="0.2">
      <c r="A18701" s="6" t="str">
        <f>"GPR62"</f>
        <v>GPR62</v>
      </c>
      <c r="B18701" s="6" t="s">
        <v>1</v>
      </c>
      <c r="C18701" s="6" t="s">
        <v>1</v>
      </c>
    </row>
    <row r="18702" spans="1:3" s="7" customFormat="1" x14ac:dyDescent="0.2">
      <c r="A18702" s="6" t="str">
        <f>"AC064801.1"</f>
        <v>AC064801.1</v>
      </c>
      <c r="B18702" s="6" t="s">
        <v>1</v>
      </c>
      <c r="C18702" s="6" t="s">
        <v>1</v>
      </c>
    </row>
    <row r="18703" spans="1:3" s="7" customFormat="1" x14ac:dyDescent="0.2">
      <c r="A18703" s="6" t="str">
        <f>"AL353152.2"</f>
        <v>AL353152.2</v>
      </c>
      <c r="B18703" s="6" t="s">
        <v>1</v>
      </c>
      <c r="C18703" s="6" t="s">
        <v>1</v>
      </c>
    </row>
    <row r="18704" spans="1:3" s="7" customFormat="1" x14ac:dyDescent="0.2">
      <c r="A18704" s="6" t="str">
        <f>"IFNE"</f>
        <v>IFNE</v>
      </c>
      <c r="B18704" s="6" t="s">
        <v>1</v>
      </c>
      <c r="C18704" s="6" t="s">
        <v>1</v>
      </c>
    </row>
    <row r="18705" spans="1:3" s="7" customFormat="1" x14ac:dyDescent="0.2">
      <c r="A18705" s="6" t="str">
        <f>"AL133410.2"</f>
        <v>AL133410.2</v>
      </c>
      <c r="B18705" s="6" t="s">
        <v>1</v>
      </c>
      <c r="C18705" s="6" t="s">
        <v>1</v>
      </c>
    </row>
    <row r="18706" spans="1:3" s="7" customFormat="1" x14ac:dyDescent="0.2">
      <c r="A18706" s="6" t="str">
        <f>"KCNIP2"</f>
        <v>KCNIP2</v>
      </c>
      <c r="B18706" s="6" t="s">
        <v>1</v>
      </c>
      <c r="C18706" s="6" t="s">
        <v>1</v>
      </c>
    </row>
    <row r="18707" spans="1:3" s="7" customFormat="1" x14ac:dyDescent="0.2">
      <c r="A18707" s="6" t="str">
        <f>"CCR5AS"</f>
        <v>CCR5AS</v>
      </c>
      <c r="B18707" s="6" t="s">
        <v>1</v>
      </c>
      <c r="C18707" s="6" t="s">
        <v>1</v>
      </c>
    </row>
    <row r="18708" spans="1:3" s="7" customFormat="1" x14ac:dyDescent="0.2">
      <c r="A18708" s="6" t="str">
        <f>"SHH"</f>
        <v>SHH</v>
      </c>
      <c r="B18708" s="6" t="s">
        <v>1</v>
      </c>
      <c r="C18708" s="6" t="s">
        <v>1</v>
      </c>
    </row>
    <row r="18709" spans="1:3" s="7" customFormat="1" x14ac:dyDescent="0.2">
      <c r="A18709" s="6" t="str">
        <f>"ASB12"</f>
        <v>ASB12</v>
      </c>
      <c r="B18709" s="6" t="s">
        <v>1</v>
      </c>
      <c r="C18709" s="6" t="s">
        <v>1</v>
      </c>
    </row>
    <row r="18710" spans="1:3" s="7" customFormat="1" x14ac:dyDescent="0.2">
      <c r="A18710" s="6" t="str">
        <f>"ZSWIM8-AS1"</f>
        <v>ZSWIM8-AS1</v>
      </c>
      <c r="B18710" s="6" t="s">
        <v>1</v>
      </c>
      <c r="C18710" s="6" t="s">
        <v>1</v>
      </c>
    </row>
    <row r="18711" spans="1:3" s="7" customFormat="1" x14ac:dyDescent="0.2">
      <c r="A18711" s="6" t="str">
        <f>"F2RL2"</f>
        <v>F2RL2</v>
      </c>
      <c r="B18711" s="6" t="s">
        <v>1</v>
      </c>
      <c r="C18711" s="6" t="s">
        <v>1</v>
      </c>
    </row>
    <row r="18712" spans="1:3" s="7" customFormat="1" x14ac:dyDescent="0.2">
      <c r="A18712" s="6" t="str">
        <f>"GADL1"</f>
        <v>GADL1</v>
      </c>
      <c r="B18712" s="6" t="s">
        <v>1</v>
      </c>
      <c r="C18712" s="6" t="s">
        <v>1</v>
      </c>
    </row>
    <row r="18713" spans="1:3" s="7" customFormat="1" x14ac:dyDescent="0.2">
      <c r="A18713" s="6" t="str">
        <f>"AC009974.1"</f>
        <v>AC009974.1</v>
      </c>
      <c r="B18713" s="6" t="s">
        <v>1</v>
      </c>
      <c r="C18713" s="6" t="s">
        <v>1</v>
      </c>
    </row>
    <row r="18714" spans="1:3" s="7" customFormat="1" x14ac:dyDescent="0.2">
      <c r="A18714" s="6" t="str">
        <f>"AL133243.2"</f>
        <v>AL133243.2</v>
      </c>
      <c r="B18714" s="6" t="s">
        <v>1</v>
      </c>
      <c r="C18714" s="6" t="s">
        <v>1</v>
      </c>
    </row>
    <row r="18715" spans="1:3" s="7" customFormat="1" x14ac:dyDescent="0.2">
      <c r="A18715" s="6" t="str">
        <f>"LINC01198"</f>
        <v>LINC01198</v>
      </c>
      <c r="B18715" s="6" t="s">
        <v>1</v>
      </c>
      <c r="C18715" s="6" t="s">
        <v>1</v>
      </c>
    </row>
    <row r="18716" spans="1:3" s="7" customFormat="1" x14ac:dyDescent="0.2">
      <c r="A18716" s="6" t="str">
        <f>"CYP4A22"</f>
        <v>CYP4A22</v>
      </c>
      <c r="B18716" s="6" t="s">
        <v>1</v>
      </c>
      <c r="C18716" s="6" t="s">
        <v>1</v>
      </c>
    </row>
    <row r="18717" spans="1:3" s="7" customFormat="1" x14ac:dyDescent="0.2">
      <c r="A18717" s="6" t="str">
        <f>"PHKA2-AS1"</f>
        <v>PHKA2-AS1</v>
      </c>
      <c r="B18717" s="6" t="s">
        <v>1</v>
      </c>
      <c r="C18717" s="6" t="s">
        <v>1</v>
      </c>
    </row>
    <row r="18718" spans="1:3" s="7" customFormat="1" x14ac:dyDescent="0.2">
      <c r="A18718" s="6" t="str">
        <f>"AC004825.3"</f>
        <v>AC004825.3</v>
      </c>
      <c r="B18718" s="6" t="s">
        <v>1</v>
      </c>
      <c r="C18718" s="6" t="s">
        <v>1</v>
      </c>
    </row>
    <row r="18719" spans="1:3" s="7" customFormat="1" x14ac:dyDescent="0.2">
      <c r="A18719" s="6" t="str">
        <f>"AC010168.1"</f>
        <v>AC010168.1</v>
      </c>
      <c r="B18719" s="6" t="s">
        <v>1</v>
      </c>
      <c r="C18719" s="6" t="s">
        <v>1</v>
      </c>
    </row>
    <row r="18720" spans="1:3" s="7" customFormat="1" x14ac:dyDescent="0.2">
      <c r="A18720" s="6" t="str">
        <f>"AP000356.2"</f>
        <v>AP000356.2</v>
      </c>
      <c r="B18720" s="6" t="s">
        <v>1</v>
      </c>
      <c r="C18720" s="6" t="s">
        <v>1</v>
      </c>
    </row>
    <row r="18721" spans="1:3" s="7" customFormat="1" x14ac:dyDescent="0.2">
      <c r="A18721" s="6" t="str">
        <f>"AL031602.1"</f>
        <v>AL031602.1</v>
      </c>
      <c r="B18721" s="6" t="s">
        <v>1</v>
      </c>
      <c r="C18721" s="6" t="s">
        <v>1</v>
      </c>
    </row>
    <row r="18722" spans="1:3" s="7" customFormat="1" x14ac:dyDescent="0.2">
      <c r="A18722" s="6" t="str">
        <f>"AL512343.2"</f>
        <v>AL512343.2</v>
      </c>
      <c r="B18722" s="6" t="s">
        <v>1</v>
      </c>
      <c r="C18722" s="6" t="s">
        <v>1</v>
      </c>
    </row>
    <row r="18723" spans="1:3" s="7" customFormat="1" x14ac:dyDescent="0.2">
      <c r="A18723" s="6" t="str">
        <f>"PRNCR1"</f>
        <v>PRNCR1</v>
      </c>
      <c r="B18723" s="6" t="s">
        <v>1</v>
      </c>
      <c r="C18723" s="6" t="s">
        <v>1</v>
      </c>
    </row>
    <row r="18724" spans="1:3" s="7" customFormat="1" x14ac:dyDescent="0.2">
      <c r="A18724" s="6" t="str">
        <f>"AL023806.4"</f>
        <v>AL023806.4</v>
      </c>
      <c r="B18724" s="6" t="s">
        <v>1</v>
      </c>
      <c r="C18724" s="6" t="s">
        <v>1</v>
      </c>
    </row>
    <row r="18725" spans="1:3" s="7" customFormat="1" x14ac:dyDescent="0.2">
      <c r="A18725" s="6" t="str">
        <f>"AC243960.1"</f>
        <v>AC243960.1</v>
      </c>
      <c r="B18725" s="6" t="s">
        <v>1</v>
      </c>
      <c r="C18725" s="6" t="s">
        <v>1</v>
      </c>
    </row>
    <row r="18726" spans="1:3" s="7" customFormat="1" x14ac:dyDescent="0.2">
      <c r="A18726" s="6" t="str">
        <f>"HNRNPCP1"</f>
        <v>HNRNPCP1</v>
      </c>
      <c r="B18726" s="6" t="s">
        <v>1</v>
      </c>
      <c r="C18726" s="6" t="s">
        <v>1</v>
      </c>
    </row>
    <row r="18727" spans="1:3" s="7" customFormat="1" x14ac:dyDescent="0.2">
      <c r="A18727" s="6" t="str">
        <f>"LINC01124"</f>
        <v>LINC01124</v>
      </c>
      <c r="B18727" s="6" t="s">
        <v>1</v>
      </c>
      <c r="C18727" s="6" t="s">
        <v>1</v>
      </c>
    </row>
    <row r="18728" spans="1:3" s="7" customFormat="1" x14ac:dyDescent="0.2">
      <c r="A18728" s="6" t="str">
        <f>"AP000679.1"</f>
        <v>AP000679.1</v>
      </c>
      <c r="B18728" s="6" t="s">
        <v>1</v>
      </c>
      <c r="C18728" s="6" t="s">
        <v>1</v>
      </c>
    </row>
    <row r="18729" spans="1:3" s="7" customFormat="1" x14ac:dyDescent="0.2">
      <c r="A18729" s="6" t="str">
        <f>"AC060234.2"</f>
        <v>AC060234.2</v>
      </c>
      <c r="B18729" s="6" t="s">
        <v>1</v>
      </c>
      <c r="C18729" s="6" t="s">
        <v>1</v>
      </c>
    </row>
    <row r="18730" spans="1:3" s="7" customFormat="1" x14ac:dyDescent="0.2">
      <c r="A18730" s="6" t="str">
        <f>"C22orf34"</f>
        <v>C22orf34</v>
      </c>
      <c r="B18730" s="6" t="s">
        <v>1</v>
      </c>
      <c r="C18730" s="6" t="s">
        <v>1</v>
      </c>
    </row>
    <row r="18731" spans="1:3" s="7" customFormat="1" x14ac:dyDescent="0.2">
      <c r="A18731" s="6" t="str">
        <f>"CASQ2"</f>
        <v>CASQ2</v>
      </c>
      <c r="B18731" s="6" t="s">
        <v>1</v>
      </c>
      <c r="C18731" s="6" t="s">
        <v>1</v>
      </c>
    </row>
    <row r="18732" spans="1:3" s="7" customFormat="1" x14ac:dyDescent="0.2">
      <c r="A18732" s="6" t="str">
        <f>"KCNK13"</f>
        <v>KCNK13</v>
      </c>
      <c r="B18732" s="6" t="s">
        <v>1</v>
      </c>
      <c r="C18732" s="6" t="s">
        <v>1</v>
      </c>
    </row>
    <row r="18733" spans="1:3" s="7" customFormat="1" x14ac:dyDescent="0.2">
      <c r="A18733" s="6" t="str">
        <f>"WNT1"</f>
        <v>WNT1</v>
      </c>
      <c r="B18733" s="6" t="s">
        <v>1</v>
      </c>
      <c r="C18733" s="6" t="s">
        <v>1</v>
      </c>
    </row>
    <row r="18734" spans="1:3" s="7" customFormat="1" x14ac:dyDescent="0.2">
      <c r="A18734" s="6" t="str">
        <f>"CYP2A7P2"</f>
        <v>CYP2A7P2</v>
      </c>
      <c r="B18734" s="6" t="s">
        <v>1</v>
      </c>
      <c r="C18734" s="6" t="s">
        <v>1</v>
      </c>
    </row>
    <row r="18735" spans="1:3" s="7" customFormat="1" x14ac:dyDescent="0.2">
      <c r="A18735" s="6" t="str">
        <f>"CRIM1-DT"</f>
        <v>CRIM1-DT</v>
      </c>
      <c r="B18735" s="6" t="s">
        <v>1</v>
      </c>
      <c r="C18735" s="6" t="s">
        <v>1</v>
      </c>
    </row>
    <row r="18736" spans="1:3" s="7" customFormat="1" x14ac:dyDescent="0.2">
      <c r="A18736" s="6" t="str">
        <f>"AL133482.1"</f>
        <v>AL133482.1</v>
      </c>
      <c r="B18736" s="6" t="s">
        <v>1</v>
      </c>
      <c r="C18736" s="6" t="s">
        <v>1</v>
      </c>
    </row>
    <row r="18737" spans="1:3" s="7" customFormat="1" x14ac:dyDescent="0.2">
      <c r="A18737" s="6" t="str">
        <f>"LGI3"</f>
        <v>LGI3</v>
      </c>
      <c r="B18737" s="6" t="s">
        <v>1</v>
      </c>
      <c r="C18737" s="6" t="s">
        <v>1</v>
      </c>
    </row>
    <row r="18738" spans="1:3" s="7" customFormat="1" x14ac:dyDescent="0.2">
      <c r="A18738" s="6" t="str">
        <f>"AC093884.1"</f>
        <v>AC093884.1</v>
      </c>
      <c r="B18738" s="6" t="s">
        <v>1</v>
      </c>
      <c r="C18738" s="6" t="s">
        <v>1</v>
      </c>
    </row>
    <row r="18739" spans="1:3" s="7" customFormat="1" x14ac:dyDescent="0.2">
      <c r="A18739" s="6" t="str">
        <f>"AP000866.5"</f>
        <v>AP000866.5</v>
      </c>
      <c r="B18739" s="6" t="s">
        <v>1</v>
      </c>
      <c r="C18739" s="6" t="s">
        <v>1</v>
      </c>
    </row>
    <row r="18740" spans="1:3" s="7" customFormat="1" x14ac:dyDescent="0.2">
      <c r="A18740" s="6" t="str">
        <f>"LINC02259"</f>
        <v>LINC02259</v>
      </c>
      <c r="B18740" s="6" t="s">
        <v>1</v>
      </c>
      <c r="C18740" s="6" t="s">
        <v>1</v>
      </c>
    </row>
    <row r="18741" spans="1:3" s="7" customFormat="1" x14ac:dyDescent="0.2">
      <c r="A18741" s="6" t="str">
        <f>"MKRN7P"</f>
        <v>MKRN7P</v>
      </c>
      <c r="B18741" s="6" t="s">
        <v>1</v>
      </c>
      <c r="C18741" s="6" t="s">
        <v>1</v>
      </c>
    </row>
    <row r="18742" spans="1:3" s="7" customFormat="1" x14ac:dyDescent="0.2">
      <c r="A18742" s="6" t="str">
        <f>"AC062028.1"</f>
        <v>AC062028.1</v>
      </c>
      <c r="B18742" s="6" t="s">
        <v>1</v>
      </c>
      <c r="C18742" s="6" t="s">
        <v>1</v>
      </c>
    </row>
    <row r="18743" spans="1:3" s="7" customFormat="1" x14ac:dyDescent="0.2">
      <c r="A18743" s="6" t="str">
        <f>"LINC02029"</f>
        <v>LINC02029</v>
      </c>
      <c r="B18743" s="6" t="s">
        <v>1</v>
      </c>
      <c r="C18743" s="6" t="s">
        <v>1</v>
      </c>
    </row>
    <row r="18744" spans="1:3" s="7" customFormat="1" x14ac:dyDescent="0.2">
      <c r="A18744" s="6" t="str">
        <f>"AC084335.1"</f>
        <v>AC084335.1</v>
      </c>
      <c r="B18744" s="6" t="s">
        <v>1</v>
      </c>
      <c r="C18744" s="6" t="s">
        <v>1</v>
      </c>
    </row>
    <row r="18745" spans="1:3" s="7" customFormat="1" x14ac:dyDescent="0.2">
      <c r="A18745" s="6" t="str">
        <f>"AC012414.4"</f>
        <v>AC012414.4</v>
      </c>
      <c r="B18745" s="6" t="s">
        <v>1</v>
      </c>
      <c r="C18745" s="6" t="s">
        <v>1</v>
      </c>
    </row>
    <row r="18746" spans="1:3" s="7" customFormat="1" x14ac:dyDescent="0.2">
      <c r="A18746" s="6" t="str">
        <f>"AC012443.2"</f>
        <v>AC012443.2</v>
      </c>
      <c r="B18746" s="6" t="s">
        <v>1</v>
      </c>
      <c r="C18746" s="6" t="s">
        <v>1</v>
      </c>
    </row>
    <row r="18747" spans="1:3" s="7" customFormat="1" x14ac:dyDescent="0.2">
      <c r="A18747" s="6" t="str">
        <f>"OXCT2"</f>
        <v>OXCT2</v>
      </c>
      <c r="B18747" s="6" t="s">
        <v>1</v>
      </c>
      <c r="C18747" s="6" t="s">
        <v>1</v>
      </c>
    </row>
    <row r="18748" spans="1:3" s="7" customFormat="1" x14ac:dyDescent="0.2">
      <c r="A18748" s="6" t="str">
        <f>"AC093829.1"</f>
        <v>AC093829.1</v>
      </c>
      <c r="B18748" s="6" t="s">
        <v>1</v>
      </c>
      <c r="C18748" s="6" t="s">
        <v>1</v>
      </c>
    </row>
    <row r="18749" spans="1:3" s="7" customFormat="1" x14ac:dyDescent="0.2">
      <c r="A18749" s="6" t="str">
        <f>"KCND2"</f>
        <v>KCND2</v>
      </c>
      <c r="B18749" s="6" t="s">
        <v>1</v>
      </c>
      <c r="C18749" s="6" t="s">
        <v>1</v>
      </c>
    </row>
    <row r="18750" spans="1:3" s="7" customFormat="1" x14ac:dyDescent="0.2">
      <c r="A18750" s="6" t="str">
        <f>"AC093908.1"</f>
        <v>AC093908.1</v>
      </c>
      <c r="B18750" s="6" t="s">
        <v>1</v>
      </c>
      <c r="C18750" s="6" t="s">
        <v>1</v>
      </c>
    </row>
    <row r="18751" spans="1:3" s="7" customFormat="1" x14ac:dyDescent="0.2">
      <c r="A18751" s="6" t="str">
        <f>"CRYM-AS1"</f>
        <v>CRYM-AS1</v>
      </c>
      <c r="B18751" s="6" t="s">
        <v>1</v>
      </c>
      <c r="C18751" s="6" t="s">
        <v>1</v>
      </c>
    </row>
    <row r="18752" spans="1:3" s="7" customFormat="1" x14ac:dyDescent="0.2">
      <c r="A18752" s="6" t="str">
        <f>"AL352979.4"</f>
        <v>AL352979.4</v>
      </c>
      <c r="B18752" s="6" t="s">
        <v>1</v>
      </c>
      <c r="C18752" s="6" t="s">
        <v>1</v>
      </c>
    </row>
    <row r="18753" spans="1:3" s="7" customFormat="1" x14ac:dyDescent="0.2">
      <c r="A18753" s="6" t="str">
        <f>"SEC61G-DT"</f>
        <v>SEC61G-DT</v>
      </c>
      <c r="B18753" s="6" t="s">
        <v>1</v>
      </c>
      <c r="C18753" s="6" t="s">
        <v>1</v>
      </c>
    </row>
    <row r="18754" spans="1:3" s="7" customFormat="1" x14ac:dyDescent="0.2">
      <c r="A18754" s="6" t="str">
        <f>"AC022154.1"</f>
        <v>AC022154.1</v>
      </c>
      <c r="B18754" s="6" t="s">
        <v>1</v>
      </c>
      <c r="C18754" s="6" t="s">
        <v>1</v>
      </c>
    </row>
    <row r="18755" spans="1:3" s="7" customFormat="1" x14ac:dyDescent="0.2">
      <c r="A18755" s="6" t="str">
        <f>"AL445437.1"</f>
        <v>AL445437.1</v>
      </c>
      <c r="B18755" s="6" t="s">
        <v>1</v>
      </c>
      <c r="C18755" s="6" t="s">
        <v>1</v>
      </c>
    </row>
    <row r="18756" spans="1:3" s="7" customFormat="1" x14ac:dyDescent="0.2">
      <c r="A18756" s="6" t="str">
        <f>"BAALC-AS2"</f>
        <v>BAALC-AS2</v>
      </c>
      <c r="B18756" s="6" t="s">
        <v>1</v>
      </c>
      <c r="C18756" s="6" t="s">
        <v>1</v>
      </c>
    </row>
    <row r="18757" spans="1:3" s="7" customFormat="1" x14ac:dyDescent="0.2">
      <c r="A18757" s="6" t="str">
        <f>"KLHL30"</f>
        <v>KLHL30</v>
      </c>
      <c r="B18757" s="6" t="s">
        <v>1</v>
      </c>
      <c r="C18757" s="6" t="s">
        <v>1</v>
      </c>
    </row>
    <row r="18758" spans="1:3" s="7" customFormat="1" x14ac:dyDescent="0.2">
      <c r="A18758" s="6" t="str">
        <f>"LINC02231"</f>
        <v>LINC02231</v>
      </c>
      <c r="B18758" s="6" t="s">
        <v>1</v>
      </c>
      <c r="C18758" s="6" t="s">
        <v>1</v>
      </c>
    </row>
    <row r="18759" spans="1:3" s="7" customFormat="1" x14ac:dyDescent="0.2">
      <c r="A18759" s="6" t="str">
        <f>"MIR7-3HG"</f>
        <v>MIR7-3HG</v>
      </c>
      <c r="B18759" s="6" t="s">
        <v>1</v>
      </c>
      <c r="C18759" s="6" t="s">
        <v>1</v>
      </c>
    </row>
    <row r="18760" spans="1:3" s="7" customFormat="1" x14ac:dyDescent="0.2">
      <c r="A18760" s="6" t="str">
        <f>"CEACAM8"</f>
        <v>CEACAM8</v>
      </c>
      <c r="B18760" s="6" t="s">
        <v>1</v>
      </c>
      <c r="C18760" s="6" t="s">
        <v>1</v>
      </c>
    </row>
    <row r="18761" spans="1:3" s="7" customFormat="1" x14ac:dyDescent="0.2">
      <c r="A18761" s="6" t="str">
        <f>"AC064805.1"</f>
        <v>AC064805.1</v>
      </c>
      <c r="B18761" s="6" t="s">
        <v>1</v>
      </c>
      <c r="C18761" s="6" t="s">
        <v>1</v>
      </c>
    </row>
    <row r="18762" spans="1:3" s="7" customFormat="1" x14ac:dyDescent="0.2">
      <c r="A18762" s="6" t="str">
        <f>"PPIAP89"</f>
        <v>PPIAP89</v>
      </c>
      <c r="B18762" s="6" t="s">
        <v>1</v>
      </c>
      <c r="C18762" s="6" t="s">
        <v>1</v>
      </c>
    </row>
    <row r="18763" spans="1:3" s="7" customFormat="1" x14ac:dyDescent="0.2">
      <c r="A18763" s="6" t="str">
        <f>"AC245884.8"</f>
        <v>AC245884.8</v>
      </c>
      <c r="B18763" s="6" t="s">
        <v>1</v>
      </c>
      <c r="C18763" s="6" t="s">
        <v>1</v>
      </c>
    </row>
    <row r="18764" spans="1:3" s="7" customFormat="1" x14ac:dyDescent="0.2">
      <c r="A18764" s="6" t="str">
        <f>"AC128687.2"</f>
        <v>AC128687.2</v>
      </c>
      <c r="B18764" s="6" t="s">
        <v>1</v>
      </c>
      <c r="C18764" s="6" t="s">
        <v>1</v>
      </c>
    </row>
    <row r="18765" spans="1:3" s="7" customFormat="1" x14ac:dyDescent="0.2">
      <c r="A18765" s="6" t="str">
        <f>"AL353804.1"</f>
        <v>AL353804.1</v>
      </c>
      <c r="B18765" s="6" t="s">
        <v>1</v>
      </c>
      <c r="C18765" s="6" t="s">
        <v>1</v>
      </c>
    </row>
    <row r="18766" spans="1:3" s="7" customFormat="1" x14ac:dyDescent="0.2">
      <c r="A18766" s="6" t="str">
        <f>"AC093799.1"</f>
        <v>AC093799.1</v>
      </c>
      <c r="B18766" s="6" t="s">
        <v>1</v>
      </c>
      <c r="C18766" s="6" t="s">
        <v>1</v>
      </c>
    </row>
    <row r="18767" spans="1:3" s="7" customFormat="1" x14ac:dyDescent="0.2">
      <c r="A18767" s="6" t="str">
        <f>"AC127520.1"</f>
        <v>AC127520.1</v>
      </c>
      <c r="B18767" s="6" t="s">
        <v>1</v>
      </c>
      <c r="C18767" s="6" t="s">
        <v>1</v>
      </c>
    </row>
    <row r="18768" spans="1:3" s="7" customFormat="1" x14ac:dyDescent="0.2">
      <c r="A18768" s="6" t="str">
        <f>"FAR2P2"</f>
        <v>FAR2P2</v>
      </c>
      <c r="B18768" s="6" t="s">
        <v>1</v>
      </c>
      <c r="C18768" s="6" t="s">
        <v>1</v>
      </c>
    </row>
    <row r="18769" spans="1:3" s="7" customFormat="1" x14ac:dyDescent="0.2">
      <c r="A18769" s="6" t="str">
        <f>"PRMT5-AS1"</f>
        <v>PRMT5-AS1</v>
      </c>
      <c r="B18769" s="6" t="s">
        <v>1</v>
      </c>
      <c r="C18769" s="6" t="s">
        <v>1</v>
      </c>
    </row>
    <row r="18770" spans="1:3" s="7" customFormat="1" x14ac:dyDescent="0.2">
      <c r="A18770" s="6" t="str">
        <f>"ODAPH"</f>
        <v>ODAPH</v>
      </c>
      <c r="B18770" s="6" t="s">
        <v>1</v>
      </c>
      <c r="C18770" s="6" t="s">
        <v>1</v>
      </c>
    </row>
    <row r="18771" spans="1:3" s="7" customFormat="1" x14ac:dyDescent="0.2">
      <c r="A18771" s="6" t="str">
        <f>"LINC02078"</f>
        <v>LINC02078</v>
      </c>
      <c r="B18771" s="6" t="s">
        <v>1</v>
      </c>
      <c r="C18771" s="6" t="s">
        <v>1</v>
      </c>
    </row>
    <row r="18772" spans="1:3" s="7" customFormat="1" x14ac:dyDescent="0.2">
      <c r="A18772" s="6" t="str">
        <f>"AC093523.1"</f>
        <v>AC093523.1</v>
      </c>
      <c r="B18772" s="6" t="s">
        <v>1</v>
      </c>
      <c r="C18772" s="6" t="s">
        <v>1</v>
      </c>
    </row>
    <row r="18773" spans="1:3" s="7" customFormat="1" x14ac:dyDescent="0.2">
      <c r="A18773" s="6" t="str">
        <f>"AP000553.5"</f>
        <v>AP000553.5</v>
      </c>
      <c r="B18773" s="6" t="s">
        <v>1</v>
      </c>
      <c r="C18773" s="6" t="s">
        <v>1</v>
      </c>
    </row>
    <row r="18774" spans="1:3" s="7" customFormat="1" x14ac:dyDescent="0.2">
      <c r="A18774" s="6" t="str">
        <f>"CARD17"</f>
        <v>CARD17</v>
      </c>
      <c r="B18774" s="6" t="s">
        <v>1</v>
      </c>
      <c r="C18774" s="6" t="s">
        <v>1</v>
      </c>
    </row>
    <row r="18775" spans="1:3" s="7" customFormat="1" x14ac:dyDescent="0.2">
      <c r="A18775" s="6" t="str">
        <f>"MAFA"</f>
        <v>MAFA</v>
      </c>
      <c r="B18775" s="6" t="s">
        <v>1</v>
      </c>
      <c r="C18775" s="6" t="s">
        <v>1</v>
      </c>
    </row>
    <row r="18776" spans="1:3" s="7" customFormat="1" x14ac:dyDescent="0.2">
      <c r="A18776" s="6" t="str">
        <f>"ECI2-DT"</f>
        <v>ECI2-DT</v>
      </c>
      <c r="B18776" s="6" t="s">
        <v>1</v>
      </c>
      <c r="C18776" s="6" t="s">
        <v>1</v>
      </c>
    </row>
    <row r="18777" spans="1:3" s="7" customFormat="1" x14ac:dyDescent="0.2">
      <c r="A18777" s="6" t="str">
        <f>"CARMN"</f>
        <v>CARMN</v>
      </c>
      <c r="B18777" s="6" t="s">
        <v>1</v>
      </c>
      <c r="C18777" s="6" t="s">
        <v>1</v>
      </c>
    </row>
    <row r="18778" spans="1:3" s="7" customFormat="1" x14ac:dyDescent="0.2">
      <c r="A18778" s="6" t="str">
        <f>"AL353596.1"</f>
        <v>AL353596.1</v>
      </c>
      <c r="B18778" s="6" t="s">
        <v>1</v>
      </c>
      <c r="C18778" s="6" t="s">
        <v>1</v>
      </c>
    </row>
    <row r="18779" spans="1:3" s="7" customFormat="1" x14ac:dyDescent="0.2">
      <c r="A18779" s="6" t="str">
        <f>"AC007448.4"</f>
        <v>AC007448.4</v>
      </c>
      <c r="B18779" s="6" t="s">
        <v>1</v>
      </c>
      <c r="C18779" s="6" t="s">
        <v>1</v>
      </c>
    </row>
    <row r="18780" spans="1:3" s="7" customFormat="1" x14ac:dyDescent="0.2">
      <c r="A18780" s="6" t="str">
        <f>"AL022329.1"</f>
        <v>AL022329.1</v>
      </c>
      <c r="B18780" s="6" t="s">
        <v>1</v>
      </c>
      <c r="C18780" s="6" t="s">
        <v>1</v>
      </c>
    </row>
    <row r="18781" spans="1:3" s="7" customFormat="1" x14ac:dyDescent="0.2">
      <c r="A18781" s="6" t="str">
        <f>"INO80B-WBP1"</f>
        <v>INO80B-WBP1</v>
      </c>
      <c r="B18781" s="6" t="s">
        <v>1</v>
      </c>
      <c r="C18781" s="6" t="s">
        <v>1</v>
      </c>
    </row>
    <row r="18782" spans="1:3" s="7" customFormat="1" x14ac:dyDescent="0.2">
      <c r="A18782" s="6" t="str">
        <f>"EEF1A1P4"</f>
        <v>EEF1A1P4</v>
      </c>
      <c r="B18782" s="6" t="s">
        <v>1</v>
      </c>
      <c r="C18782" s="6" t="s">
        <v>1</v>
      </c>
    </row>
    <row r="18783" spans="1:3" s="7" customFormat="1" x14ac:dyDescent="0.2">
      <c r="A18783" s="6" t="str">
        <f>"MSANTD1"</f>
        <v>MSANTD1</v>
      </c>
      <c r="B18783" s="6" t="s">
        <v>1</v>
      </c>
      <c r="C18783" s="6" t="s">
        <v>1</v>
      </c>
    </row>
    <row r="18784" spans="1:3" s="7" customFormat="1" x14ac:dyDescent="0.2">
      <c r="A18784" s="6" t="str">
        <f>"AC067930.2"</f>
        <v>AC067930.2</v>
      </c>
      <c r="B18784" s="6" t="s">
        <v>1</v>
      </c>
      <c r="C18784" s="6" t="s">
        <v>1</v>
      </c>
    </row>
    <row r="18785" spans="1:3" s="7" customFormat="1" x14ac:dyDescent="0.2">
      <c r="A18785" s="6" t="str">
        <f>"AL023581.2"</f>
        <v>AL023581.2</v>
      </c>
      <c r="B18785" s="6" t="s">
        <v>1</v>
      </c>
      <c r="C18785" s="6" t="s">
        <v>1</v>
      </c>
    </row>
    <row r="18786" spans="1:3" s="7" customFormat="1" x14ac:dyDescent="0.2">
      <c r="A18786" s="6" t="str">
        <f>"BAAT"</f>
        <v>BAAT</v>
      </c>
      <c r="B18786" s="6" t="s">
        <v>1</v>
      </c>
      <c r="C18786" s="6" t="s">
        <v>1</v>
      </c>
    </row>
    <row r="18787" spans="1:3" s="7" customFormat="1" x14ac:dyDescent="0.2">
      <c r="A18787" s="6" t="str">
        <f>"MED15P9"</f>
        <v>MED15P9</v>
      </c>
      <c r="B18787" s="6" t="s">
        <v>1</v>
      </c>
      <c r="C18787" s="6" t="s">
        <v>1</v>
      </c>
    </row>
    <row r="18788" spans="1:3" s="7" customFormat="1" x14ac:dyDescent="0.2">
      <c r="A18788" s="6" t="str">
        <f>"AC087639.2"</f>
        <v>AC087639.2</v>
      </c>
      <c r="B18788" s="6" t="s">
        <v>1</v>
      </c>
      <c r="C18788" s="6" t="s">
        <v>1</v>
      </c>
    </row>
    <row r="18789" spans="1:3" s="7" customFormat="1" x14ac:dyDescent="0.2">
      <c r="A18789" s="6" t="str">
        <f>"AC007608.3"</f>
        <v>AC007608.3</v>
      </c>
      <c r="B18789" s="6" t="s">
        <v>1</v>
      </c>
      <c r="C18789" s="6" t="s">
        <v>1</v>
      </c>
    </row>
    <row r="18790" spans="1:3" s="7" customFormat="1" x14ac:dyDescent="0.2">
      <c r="A18790" s="6" t="str">
        <f>"AL445670.1"</f>
        <v>AL445670.1</v>
      </c>
      <c r="B18790" s="6" t="s">
        <v>1</v>
      </c>
      <c r="C18790" s="6" t="s">
        <v>1</v>
      </c>
    </row>
    <row r="18791" spans="1:3" s="7" customFormat="1" x14ac:dyDescent="0.2">
      <c r="A18791" s="6" t="str">
        <f>"AC093642.2"</f>
        <v>AC093642.2</v>
      </c>
      <c r="B18791" s="6" t="s">
        <v>1</v>
      </c>
      <c r="C18791" s="6" t="s">
        <v>1</v>
      </c>
    </row>
    <row r="18792" spans="1:3" s="7" customFormat="1" x14ac:dyDescent="0.2">
      <c r="A18792" s="6" t="str">
        <f>"F2RL3"</f>
        <v>F2RL3</v>
      </c>
      <c r="B18792" s="6" t="s">
        <v>1</v>
      </c>
      <c r="C18792" s="6" t="s">
        <v>1</v>
      </c>
    </row>
    <row r="18793" spans="1:3" s="7" customFormat="1" x14ac:dyDescent="0.2">
      <c r="A18793" s="6" t="str">
        <f>"MSC-AS1"</f>
        <v>MSC-AS1</v>
      </c>
      <c r="B18793" s="6" t="s">
        <v>1</v>
      </c>
      <c r="C18793" s="6" t="s">
        <v>1</v>
      </c>
    </row>
    <row r="18794" spans="1:3" s="7" customFormat="1" x14ac:dyDescent="0.2">
      <c r="A18794" s="6" t="str">
        <f>"AC084125.4"</f>
        <v>AC084125.4</v>
      </c>
      <c r="B18794" s="6" t="s">
        <v>1</v>
      </c>
      <c r="C18794" s="6" t="s">
        <v>1</v>
      </c>
    </row>
    <row r="18795" spans="1:3" s="7" customFormat="1" x14ac:dyDescent="0.2">
      <c r="A18795" s="6" t="str">
        <f>"WSCD1"</f>
        <v>WSCD1</v>
      </c>
      <c r="B18795" s="6" t="s">
        <v>1</v>
      </c>
      <c r="C18795" s="6" t="s">
        <v>1</v>
      </c>
    </row>
    <row r="18796" spans="1:3" s="7" customFormat="1" x14ac:dyDescent="0.2">
      <c r="A18796" s="6" t="str">
        <f>"AC127537.1"</f>
        <v>AC127537.1</v>
      </c>
      <c r="B18796" s="6" t="s">
        <v>1</v>
      </c>
      <c r="C18796" s="6" t="s">
        <v>1</v>
      </c>
    </row>
    <row r="18797" spans="1:3" s="7" customFormat="1" x14ac:dyDescent="0.2">
      <c r="A18797" s="6" t="str">
        <f>"LINC01012"</f>
        <v>LINC01012</v>
      </c>
      <c r="B18797" s="6" t="s">
        <v>1</v>
      </c>
      <c r="C18797" s="6" t="s">
        <v>1</v>
      </c>
    </row>
    <row r="18798" spans="1:3" s="7" customFormat="1" x14ac:dyDescent="0.2">
      <c r="A18798" s="6" t="str">
        <f>"ASPA"</f>
        <v>ASPA</v>
      </c>
      <c r="B18798" s="6" t="s">
        <v>1</v>
      </c>
      <c r="C18798" s="6" t="s">
        <v>1</v>
      </c>
    </row>
    <row r="18799" spans="1:3" s="7" customFormat="1" x14ac:dyDescent="0.2">
      <c r="A18799" s="6" t="str">
        <f>"AC131212.2"</f>
        <v>AC131212.2</v>
      </c>
      <c r="B18799" s="6" t="s">
        <v>1</v>
      </c>
      <c r="C18799" s="6" t="s">
        <v>1</v>
      </c>
    </row>
    <row r="18800" spans="1:3" s="7" customFormat="1" x14ac:dyDescent="0.2">
      <c r="A18800" s="6" t="str">
        <f>"AC022148.1"</f>
        <v>AC022148.1</v>
      </c>
      <c r="B18800" s="6" t="s">
        <v>1</v>
      </c>
      <c r="C18800" s="6" t="s">
        <v>1</v>
      </c>
    </row>
    <row r="18801" spans="1:3" s="7" customFormat="1" x14ac:dyDescent="0.2">
      <c r="A18801" s="6" t="str">
        <f>"AC067838.1"</f>
        <v>AC067838.1</v>
      </c>
      <c r="B18801" s="6" t="s">
        <v>1</v>
      </c>
      <c r="C18801" s="6" t="s">
        <v>1</v>
      </c>
    </row>
    <row r="18802" spans="1:3" s="7" customFormat="1" x14ac:dyDescent="0.2">
      <c r="A18802" s="6" t="str">
        <f>"AC083967.1"</f>
        <v>AC083967.1</v>
      </c>
      <c r="B18802" s="6" t="s">
        <v>1</v>
      </c>
      <c r="C18802" s="6" t="s">
        <v>1</v>
      </c>
    </row>
    <row r="18803" spans="1:3" s="7" customFormat="1" x14ac:dyDescent="0.2">
      <c r="A18803" s="6" t="str">
        <f>"PABPC4L"</f>
        <v>PABPC4L</v>
      </c>
      <c r="B18803" s="6" t="s">
        <v>1</v>
      </c>
      <c r="C18803" s="6" t="s">
        <v>1</v>
      </c>
    </row>
    <row r="18804" spans="1:3" s="7" customFormat="1" x14ac:dyDescent="0.2">
      <c r="A18804" s="6" t="str">
        <f>"GABRD"</f>
        <v>GABRD</v>
      </c>
      <c r="B18804" s="6" t="s">
        <v>1</v>
      </c>
      <c r="C18804" s="6" t="s">
        <v>1</v>
      </c>
    </row>
    <row r="18805" spans="1:3" s="7" customFormat="1" x14ac:dyDescent="0.2">
      <c r="A18805" s="6" t="str">
        <f>"H4C5"</f>
        <v>H4C5</v>
      </c>
      <c r="B18805" s="6" t="s">
        <v>1</v>
      </c>
      <c r="C18805" s="6" t="s">
        <v>1</v>
      </c>
    </row>
    <row r="18806" spans="1:3" s="7" customFormat="1" x14ac:dyDescent="0.2">
      <c r="A18806" s="6" t="str">
        <f>"AC106820.2"</f>
        <v>AC106820.2</v>
      </c>
      <c r="B18806" s="6" t="s">
        <v>1</v>
      </c>
      <c r="C18806" s="6" t="s">
        <v>1</v>
      </c>
    </row>
    <row r="18807" spans="1:3" s="7" customFormat="1" x14ac:dyDescent="0.2">
      <c r="A18807" s="6" t="str">
        <f>"UCN"</f>
        <v>UCN</v>
      </c>
      <c r="B18807" s="6" t="s">
        <v>1</v>
      </c>
      <c r="C18807" s="6" t="s">
        <v>1</v>
      </c>
    </row>
    <row r="18808" spans="1:3" s="7" customFormat="1" x14ac:dyDescent="0.2">
      <c r="A18808" s="6" t="str">
        <f>"WWC2-AS2"</f>
        <v>WWC2-AS2</v>
      </c>
      <c r="B18808" s="6" t="s">
        <v>1</v>
      </c>
      <c r="C18808" s="6" t="s">
        <v>1</v>
      </c>
    </row>
    <row r="18809" spans="1:3" s="7" customFormat="1" x14ac:dyDescent="0.2">
      <c r="A18809" s="6" t="str">
        <f>"AC243654.3"</f>
        <v>AC243654.3</v>
      </c>
      <c r="B18809" s="6" t="s">
        <v>1</v>
      </c>
      <c r="C18809" s="6" t="s">
        <v>1</v>
      </c>
    </row>
    <row r="18810" spans="1:3" s="7" customFormat="1" x14ac:dyDescent="0.2">
      <c r="A18810" s="6" t="str">
        <f>"AL133551.1"</f>
        <v>AL133551.1</v>
      </c>
      <c r="B18810" s="6" t="s">
        <v>1</v>
      </c>
      <c r="C18810" s="6" t="s">
        <v>1</v>
      </c>
    </row>
    <row r="18811" spans="1:3" s="7" customFormat="1" x14ac:dyDescent="0.2">
      <c r="A18811" s="6" t="str">
        <f>"LINC02242"</f>
        <v>LINC02242</v>
      </c>
      <c r="B18811" s="6" t="s">
        <v>1</v>
      </c>
      <c r="C18811" s="6" t="s">
        <v>1</v>
      </c>
    </row>
    <row r="18812" spans="1:3" s="7" customFormat="1" x14ac:dyDescent="0.2">
      <c r="A18812" s="6" t="str">
        <f>"NPHS1"</f>
        <v>NPHS1</v>
      </c>
      <c r="B18812" s="6" t="s">
        <v>1</v>
      </c>
      <c r="C18812" s="6" t="s">
        <v>1</v>
      </c>
    </row>
    <row r="18813" spans="1:3" s="7" customFormat="1" x14ac:dyDescent="0.2">
      <c r="A18813" s="6" t="str">
        <f>"LINC02106"</f>
        <v>LINC02106</v>
      </c>
      <c r="B18813" s="6" t="s">
        <v>1</v>
      </c>
      <c r="C18813" s="6" t="s">
        <v>1</v>
      </c>
    </row>
    <row r="18814" spans="1:3" s="7" customFormat="1" x14ac:dyDescent="0.2">
      <c r="A18814" s="6" t="str">
        <f>"RNF148"</f>
        <v>RNF148</v>
      </c>
      <c r="B18814" s="6" t="s">
        <v>1</v>
      </c>
      <c r="C18814" s="6" t="s">
        <v>1</v>
      </c>
    </row>
    <row r="18815" spans="1:3" s="7" customFormat="1" x14ac:dyDescent="0.2">
      <c r="A18815" s="6" t="str">
        <f>"LINC02301"</f>
        <v>LINC02301</v>
      </c>
      <c r="B18815" s="6" t="s">
        <v>1</v>
      </c>
      <c r="C18815" s="6" t="s">
        <v>1</v>
      </c>
    </row>
    <row r="18816" spans="1:3" s="7" customFormat="1" x14ac:dyDescent="0.2">
      <c r="A18816" s="6" t="str">
        <f>"HNF1A"</f>
        <v>HNF1A</v>
      </c>
      <c r="B18816" s="6" t="s">
        <v>1</v>
      </c>
      <c r="C18816" s="6" t="s">
        <v>1</v>
      </c>
    </row>
    <row r="18817" spans="1:3" s="7" customFormat="1" x14ac:dyDescent="0.2">
      <c r="A18817" s="6" t="str">
        <f>"FAM90A25P"</f>
        <v>FAM90A25P</v>
      </c>
      <c r="B18817" s="6" t="s">
        <v>1</v>
      </c>
      <c r="C18817" s="6" t="s">
        <v>1</v>
      </c>
    </row>
    <row r="18818" spans="1:3" s="7" customFormat="1" x14ac:dyDescent="0.2">
      <c r="A18818" s="6" t="str">
        <f>"RPL7AP28"</f>
        <v>RPL7AP28</v>
      </c>
      <c r="B18818" s="6" t="s">
        <v>1</v>
      </c>
      <c r="C18818" s="6" t="s">
        <v>1</v>
      </c>
    </row>
    <row r="18819" spans="1:3" s="7" customFormat="1" x14ac:dyDescent="0.2">
      <c r="A18819" s="6" t="str">
        <f>"LORICRIN"</f>
        <v>LORICRIN</v>
      </c>
      <c r="B18819" s="6" t="s">
        <v>1</v>
      </c>
      <c r="C18819" s="6" t="s">
        <v>1</v>
      </c>
    </row>
    <row r="18820" spans="1:3" s="7" customFormat="1" x14ac:dyDescent="0.2">
      <c r="A18820" s="6" t="str">
        <f>"AL031587.3"</f>
        <v>AL031587.3</v>
      </c>
      <c r="B18820" s="6" t="s">
        <v>1</v>
      </c>
      <c r="C18820" s="6" t="s">
        <v>1</v>
      </c>
    </row>
    <row r="18821" spans="1:3" s="7" customFormat="1" x14ac:dyDescent="0.2">
      <c r="A18821" s="6" t="str">
        <f>"KLRC2"</f>
        <v>KLRC2</v>
      </c>
      <c r="B18821" s="6" t="s">
        <v>1</v>
      </c>
      <c r="C18821" s="6" t="s">
        <v>1</v>
      </c>
    </row>
    <row r="18822" spans="1:3" s="7" customFormat="1" x14ac:dyDescent="0.2">
      <c r="A18822" s="6" t="str">
        <f>"LINC02076"</f>
        <v>LINC02076</v>
      </c>
      <c r="B18822" s="6" t="s">
        <v>1</v>
      </c>
      <c r="C18822" s="6" t="s">
        <v>1</v>
      </c>
    </row>
    <row r="18823" spans="1:3" s="7" customFormat="1" x14ac:dyDescent="0.2">
      <c r="A18823" s="6" t="str">
        <f>"AC015819.1"</f>
        <v>AC015819.1</v>
      </c>
      <c r="B18823" s="6" t="s">
        <v>1</v>
      </c>
      <c r="C18823" s="6" t="s">
        <v>1</v>
      </c>
    </row>
    <row r="18824" spans="1:3" s="7" customFormat="1" x14ac:dyDescent="0.2">
      <c r="A18824" s="6" t="str">
        <f>"LINC02282"</f>
        <v>LINC02282</v>
      </c>
      <c r="B18824" s="6" t="s">
        <v>1</v>
      </c>
      <c r="C18824" s="6" t="s">
        <v>1</v>
      </c>
    </row>
    <row r="18825" spans="1:3" s="7" customFormat="1" x14ac:dyDescent="0.2">
      <c r="A18825" s="6" t="str">
        <f>"GABRR1"</f>
        <v>GABRR1</v>
      </c>
      <c r="B18825" s="6" t="s">
        <v>1</v>
      </c>
      <c r="C18825" s="6" t="s">
        <v>1</v>
      </c>
    </row>
    <row r="18826" spans="1:3" s="7" customFormat="1" x14ac:dyDescent="0.2">
      <c r="A18826" s="6" t="str">
        <f>"TGFBR3L"</f>
        <v>TGFBR3L</v>
      </c>
      <c r="B18826" s="6" t="s">
        <v>1</v>
      </c>
      <c r="C18826" s="6" t="s">
        <v>1</v>
      </c>
    </row>
    <row r="18827" spans="1:3" s="7" customFormat="1" x14ac:dyDescent="0.2">
      <c r="A18827" s="6" t="str">
        <f>"IFITM3P2"</f>
        <v>IFITM3P2</v>
      </c>
      <c r="B18827" s="6" t="s">
        <v>1</v>
      </c>
      <c r="C18827" s="6" t="s">
        <v>1</v>
      </c>
    </row>
    <row r="18828" spans="1:3" s="7" customFormat="1" x14ac:dyDescent="0.2">
      <c r="A18828" s="6" t="str">
        <f>"DFFBP1"</f>
        <v>DFFBP1</v>
      </c>
      <c r="B18828" s="6" t="s">
        <v>1</v>
      </c>
      <c r="C18828" s="6" t="s">
        <v>1</v>
      </c>
    </row>
    <row r="18829" spans="1:3" s="7" customFormat="1" x14ac:dyDescent="0.2">
      <c r="A18829" s="6" t="str">
        <f>"SMAD5-AS1"</f>
        <v>SMAD5-AS1</v>
      </c>
      <c r="B18829" s="6" t="s">
        <v>1</v>
      </c>
      <c r="C18829" s="6" t="s">
        <v>1</v>
      </c>
    </row>
    <row r="18830" spans="1:3" s="7" customFormat="1" x14ac:dyDescent="0.2">
      <c r="A18830" s="6" t="str">
        <f>"AC107419.1"</f>
        <v>AC107419.1</v>
      </c>
      <c r="B18830" s="6" t="s">
        <v>1</v>
      </c>
      <c r="C18830" s="6" t="s">
        <v>1</v>
      </c>
    </row>
    <row r="18831" spans="1:3" s="7" customFormat="1" x14ac:dyDescent="0.2">
      <c r="A18831" s="6" t="str">
        <f>"LINC02178"</f>
        <v>LINC02178</v>
      </c>
      <c r="B18831" s="6" t="s">
        <v>1</v>
      </c>
      <c r="C18831" s="6" t="s">
        <v>1</v>
      </c>
    </row>
    <row r="18832" spans="1:3" s="7" customFormat="1" x14ac:dyDescent="0.2">
      <c r="A18832" s="6" t="str">
        <f>"AL442636.1"</f>
        <v>AL442636.1</v>
      </c>
      <c r="B18832" s="6" t="s">
        <v>1</v>
      </c>
      <c r="C18832" s="6" t="s">
        <v>1</v>
      </c>
    </row>
    <row r="18833" spans="1:3" s="7" customFormat="1" x14ac:dyDescent="0.2">
      <c r="A18833" s="6" t="str">
        <f>"LINC02145"</f>
        <v>LINC02145</v>
      </c>
      <c r="B18833" s="6" t="s">
        <v>1</v>
      </c>
      <c r="C18833" s="6" t="s">
        <v>1</v>
      </c>
    </row>
    <row r="18834" spans="1:3" s="7" customFormat="1" x14ac:dyDescent="0.2">
      <c r="A18834" s="6" t="str">
        <f>"AL445228.2"</f>
        <v>AL445228.2</v>
      </c>
      <c r="B18834" s="6" t="s">
        <v>1</v>
      </c>
      <c r="C18834" s="6" t="s">
        <v>1</v>
      </c>
    </row>
    <row r="18835" spans="1:3" s="7" customFormat="1" x14ac:dyDescent="0.2">
      <c r="A18835" s="6" t="str">
        <f>"HNRNPA1P40"</f>
        <v>HNRNPA1P40</v>
      </c>
      <c r="B18835" s="6" t="s">
        <v>1</v>
      </c>
      <c r="C18835" s="6" t="s">
        <v>1</v>
      </c>
    </row>
    <row r="18836" spans="1:3" s="7" customFormat="1" x14ac:dyDescent="0.2">
      <c r="A18836" s="6" t="str">
        <f>"TRBV7-9"</f>
        <v>TRBV7-9</v>
      </c>
      <c r="B18836" s="6" t="s">
        <v>1</v>
      </c>
      <c r="C18836" s="6" t="s">
        <v>1</v>
      </c>
    </row>
    <row r="18837" spans="1:3" s="7" customFormat="1" x14ac:dyDescent="0.2">
      <c r="A18837" s="6" t="str">
        <f>"CDRT15P14"</f>
        <v>CDRT15P14</v>
      </c>
      <c r="B18837" s="6" t="s">
        <v>1</v>
      </c>
      <c r="C18837" s="6" t="s">
        <v>1</v>
      </c>
    </row>
    <row r="18838" spans="1:3" s="7" customFormat="1" x14ac:dyDescent="0.2">
      <c r="A18838" s="6" t="str">
        <f>"MIR4713HG"</f>
        <v>MIR4713HG</v>
      </c>
      <c r="B18838" s="6" t="s">
        <v>1</v>
      </c>
      <c r="C18838" s="6" t="s">
        <v>1</v>
      </c>
    </row>
    <row r="18839" spans="1:3" s="7" customFormat="1" x14ac:dyDescent="0.2">
      <c r="A18839" s="6" t="str">
        <f>"MSGN1"</f>
        <v>MSGN1</v>
      </c>
      <c r="B18839" s="6" t="s">
        <v>1</v>
      </c>
      <c r="C18839" s="6" t="s">
        <v>1</v>
      </c>
    </row>
    <row r="18840" spans="1:3" s="7" customFormat="1" x14ac:dyDescent="0.2">
      <c r="A18840" s="6" t="str">
        <f>"AC108667.2"</f>
        <v>AC108667.2</v>
      </c>
      <c r="B18840" s="6" t="s">
        <v>1</v>
      </c>
      <c r="C18840" s="6" t="s">
        <v>1</v>
      </c>
    </row>
    <row r="18841" spans="1:3" s="7" customFormat="1" x14ac:dyDescent="0.2">
      <c r="A18841" s="6" t="str">
        <f>"AL031663.1"</f>
        <v>AL031663.1</v>
      </c>
      <c r="B18841" s="6" t="s">
        <v>1</v>
      </c>
      <c r="C18841" s="6" t="s">
        <v>1</v>
      </c>
    </row>
    <row r="18842" spans="1:3" s="7" customFormat="1" x14ac:dyDescent="0.2">
      <c r="A18842" s="6" t="str">
        <f>"AC243965.2"</f>
        <v>AC243965.2</v>
      </c>
      <c r="B18842" s="6" t="s">
        <v>1</v>
      </c>
      <c r="C18842" s="6" t="s">
        <v>1</v>
      </c>
    </row>
    <row r="18843" spans="1:3" s="7" customFormat="1" x14ac:dyDescent="0.2">
      <c r="A18843" s="6" t="str">
        <f>"AC022126.1"</f>
        <v>AC022126.1</v>
      </c>
      <c r="B18843" s="6" t="s">
        <v>1</v>
      </c>
      <c r="C18843" s="6" t="s">
        <v>1</v>
      </c>
    </row>
    <row r="18844" spans="1:3" s="7" customFormat="1" x14ac:dyDescent="0.2">
      <c r="A18844" s="6" t="str">
        <f>"EEF1B2P3"</f>
        <v>EEF1B2P3</v>
      </c>
      <c r="B18844" s="6" t="s">
        <v>1</v>
      </c>
      <c r="C18844" s="6" t="s">
        <v>1</v>
      </c>
    </row>
    <row r="18845" spans="1:3" s="7" customFormat="1" x14ac:dyDescent="0.2">
      <c r="A18845" s="6" t="str">
        <f>"AP000640.1"</f>
        <v>AP000640.1</v>
      </c>
      <c r="B18845" s="6" t="s">
        <v>1</v>
      </c>
      <c r="C18845" s="6" t="s">
        <v>1</v>
      </c>
    </row>
    <row r="18846" spans="1:3" s="7" customFormat="1" x14ac:dyDescent="0.2">
      <c r="A18846" s="6" t="str">
        <f>"AL353150.1"</f>
        <v>AL353150.1</v>
      </c>
      <c r="B18846" s="6" t="s">
        <v>1</v>
      </c>
      <c r="C18846" s="6" t="s">
        <v>1</v>
      </c>
    </row>
    <row r="18847" spans="1:3" s="7" customFormat="1" x14ac:dyDescent="0.2">
      <c r="A18847" s="6" t="str">
        <f>"LNX1-AS2"</f>
        <v>LNX1-AS2</v>
      </c>
      <c r="B18847" s="6" t="s">
        <v>1</v>
      </c>
      <c r="C18847" s="6" t="s">
        <v>1</v>
      </c>
    </row>
    <row r="18848" spans="1:3" s="7" customFormat="1" x14ac:dyDescent="0.2">
      <c r="A18848" s="6" t="str">
        <f>"AC245100.6"</f>
        <v>AC245100.6</v>
      </c>
      <c r="B18848" s="6" t="s">
        <v>1</v>
      </c>
      <c r="C18848" s="6" t="s">
        <v>1</v>
      </c>
    </row>
    <row r="18849" spans="1:3" s="7" customFormat="1" x14ac:dyDescent="0.2">
      <c r="A18849" s="6" t="str">
        <f>"RPL6P27"</f>
        <v>RPL6P27</v>
      </c>
      <c r="B18849" s="6" t="s">
        <v>1</v>
      </c>
      <c r="C18849" s="6" t="s">
        <v>1</v>
      </c>
    </row>
    <row r="18850" spans="1:3" s="7" customFormat="1" x14ac:dyDescent="0.2">
      <c r="A18850" s="6" t="str">
        <f>"ALG1L2"</f>
        <v>ALG1L2</v>
      </c>
      <c r="B18850" s="6" t="s">
        <v>1</v>
      </c>
      <c r="C18850" s="6" t="s">
        <v>1</v>
      </c>
    </row>
    <row r="18851" spans="1:3" s="7" customFormat="1" x14ac:dyDescent="0.2">
      <c r="A18851" s="6" t="str">
        <f>"LINC02071"</f>
        <v>LINC02071</v>
      </c>
      <c r="B18851" s="6" t="s">
        <v>1</v>
      </c>
      <c r="C18851" s="6" t="s">
        <v>1</v>
      </c>
    </row>
    <row r="18852" spans="1:3" s="7" customFormat="1" x14ac:dyDescent="0.2">
      <c r="A18852" s="6" t="str">
        <f>"PPEF1"</f>
        <v>PPEF1</v>
      </c>
      <c r="B18852" s="6" t="s">
        <v>1</v>
      </c>
      <c r="C18852" s="6" t="s">
        <v>1</v>
      </c>
    </row>
    <row r="18853" spans="1:3" s="7" customFormat="1" x14ac:dyDescent="0.2">
      <c r="A18853" s="6" t="str">
        <f>"AC087386.1"</f>
        <v>AC087386.1</v>
      </c>
      <c r="B18853" s="6" t="s">
        <v>1</v>
      </c>
      <c r="C18853" s="6" t="s">
        <v>1</v>
      </c>
    </row>
    <row r="18854" spans="1:3" s="7" customFormat="1" x14ac:dyDescent="0.2">
      <c r="A18854" s="6" t="str">
        <f>"AC106818.2"</f>
        <v>AC106818.2</v>
      </c>
      <c r="B18854" s="6" t="s">
        <v>1</v>
      </c>
      <c r="C18854" s="6" t="s">
        <v>1</v>
      </c>
    </row>
    <row r="18855" spans="1:3" s="7" customFormat="1" x14ac:dyDescent="0.2">
      <c r="A18855" s="6" t="str">
        <f>"POU5F2"</f>
        <v>POU5F2</v>
      </c>
      <c r="B18855" s="6" t="s">
        <v>1</v>
      </c>
      <c r="C18855" s="6" t="s">
        <v>1</v>
      </c>
    </row>
    <row r="18856" spans="1:3" s="7" customFormat="1" x14ac:dyDescent="0.2">
      <c r="A18856" s="6" t="str">
        <f>"HAND2-AS1"</f>
        <v>HAND2-AS1</v>
      </c>
      <c r="B18856" s="6" t="s">
        <v>1</v>
      </c>
      <c r="C18856" s="6" t="s">
        <v>1</v>
      </c>
    </row>
    <row r="18857" spans="1:3" s="7" customFormat="1" x14ac:dyDescent="0.2">
      <c r="A18857" s="6" t="str">
        <f>"AL450306.1"</f>
        <v>AL450306.1</v>
      </c>
      <c r="B18857" s="6" t="s">
        <v>1</v>
      </c>
      <c r="C18857" s="6" t="s">
        <v>1</v>
      </c>
    </row>
    <row r="18858" spans="1:3" s="7" customFormat="1" x14ac:dyDescent="0.2">
      <c r="A18858" s="6" t="str">
        <f>"AL031600.3"</f>
        <v>AL031600.3</v>
      </c>
      <c r="B18858" s="6" t="s">
        <v>1</v>
      </c>
      <c r="C18858" s="6" t="s">
        <v>1</v>
      </c>
    </row>
    <row r="18859" spans="1:3" s="7" customFormat="1" x14ac:dyDescent="0.2">
      <c r="A18859" s="6" t="str">
        <f>"PRKXP1"</f>
        <v>PRKXP1</v>
      </c>
      <c r="B18859" s="6" t="s">
        <v>1</v>
      </c>
      <c r="C18859" s="6" t="s">
        <v>1</v>
      </c>
    </row>
    <row r="18860" spans="1:3" s="7" customFormat="1" x14ac:dyDescent="0.2">
      <c r="A18860" s="6" t="str">
        <f>"GRASLND"</f>
        <v>GRASLND</v>
      </c>
      <c r="B18860" s="6" t="s">
        <v>1</v>
      </c>
      <c r="C18860" s="6" t="s">
        <v>1</v>
      </c>
    </row>
    <row r="18861" spans="1:3" s="7" customFormat="1" x14ac:dyDescent="0.2">
      <c r="A18861" s="6" t="str">
        <f>"AC131206.1"</f>
        <v>AC131206.1</v>
      </c>
      <c r="B18861" s="6" t="s">
        <v>1</v>
      </c>
      <c r="C18861" s="6" t="s">
        <v>1</v>
      </c>
    </row>
    <row r="18862" spans="1:3" s="7" customFormat="1" x14ac:dyDescent="0.2">
      <c r="A18862" s="6" t="str">
        <f>"RPL7AP6"</f>
        <v>RPL7AP6</v>
      </c>
      <c r="B18862" s="6" t="s">
        <v>1</v>
      </c>
      <c r="C18862" s="6" t="s">
        <v>1</v>
      </c>
    </row>
    <row r="18863" spans="1:3" s="7" customFormat="1" x14ac:dyDescent="0.2">
      <c r="A18863" s="6" t="str">
        <f>"CHST1"</f>
        <v>CHST1</v>
      </c>
      <c r="B18863" s="6" t="s">
        <v>1</v>
      </c>
      <c r="C18863" s="6" t="s">
        <v>1</v>
      </c>
    </row>
    <row r="18864" spans="1:3" s="7" customFormat="1" x14ac:dyDescent="0.2">
      <c r="A18864" s="6" t="str">
        <f>"LINC01067"</f>
        <v>LINC01067</v>
      </c>
      <c r="B18864" s="6" t="s">
        <v>1</v>
      </c>
      <c r="C18864" s="6" t="s">
        <v>1</v>
      </c>
    </row>
    <row r="18865" spans="1:3" s="7" customFormat="1" x14ac:dyDescent="0.2">
      <c r="A18865" s="6" t="str">
        <f>"GRIK4"</f>
        <v>GRIK4</v>
      </c>
      <c r="B18865" s="6" t="s">
        <v>1</v>
      </c>
      <c r="C18865" s="6" t="s">
        <v>1</v>
      </c>
    </row>
    <row r="18866" spans="1:3" s="7" customFormat="1" x14ac:dyDescent="0.2">
      <c r="A18866" s="6" t="str">
        <f>"AC009403.2"</f>
        <v>AC009403.2</v>
      </c>
      <c r="B18866" s="6" t="s">
        <v>1</v>
      </c>
      <c r="C18866" s="6" t="s">
        <v>1</v>
      </c>
    </row>
    <row r="18867" spans="1:3" s="7" customFormat="1" x14ac:dyDescent="0.2">
      <c r="A18867" s="6" t="str">
        <f>"NOXRED1"</f>
        <v>NOXRED1</v>
      </c>
      <c r="B18867" s="6" t="s">
        <v>1</v>
      </c>
      <c r="C18867" s="6" t="s">
        <v>1</v>
      </c>
    </row>
    <row r="18868" spans="1:3" s="7" customFormat="1" x14ac:dyDescent="0.2">
      <c r="A18868" s="6" t="str">
        <f>"AC022217.3"</f>
        <v>AC022217.3</v>
      </c>
      <c r="B18868" s="6" t="s">
        <v>1</v>
      </c>
      <c r="C18868" s="6" t="s">
        <v>1</v>
      </c>
    </row>
    <row r="18869" spans="1:3" s="7" customFormat="1" x14ac:dyDescent="0.2">
      <c r="A18869" s="6" t="str">
        <f>"AC131009.4"</f>
        <v>AC131009.4</v>
      </c>
      <c r="B18869" s="6" t="s">
        <v>1</v>
      </c>
      <c r="C18869" s="6" t="s">
        <v>1</v>
      </c>
    </row>
    <row r="18870" spans="1:3" s="7" customFormat="1" x14ac:dyDescent="0.2">
      <c r="A18870" s="6" t="str">
        <f>"ENDOU"</f>
        <v>ENDOU</v>
      </c>
      <c r="B18870" s="6" t="s">
        <v>1</v>
      </c>
      <c r="C18870" s="6" t="s">
        <v>1</v>
      </c>
    </row>
    <row r="18871" spans="1:3" s="7" customFormat="1" x14ac:dyDescent="0.2">
      <c r="A18871" s="6" t="str">
        <f>"LINC02163"</f>
        <v>LINC02163</v>
      </c>
      <c r="B18871" s="6" t="s">
        <v>1</v>
      </c>
      <c r="C18871" s="6" t="s">
        <v>1</v>
      </c>
    </row>
    <row r="18872" spans="1:3" s="7" customFormat="1" x14ac:dyDescent="0.2">
      <c r="A18872" s="6" t="str">
        <f>"LHX4"</f>
        <v>LHX4</v>
      </c>
      <c r="B18872" s="6" t="s">
        <v>1</v>
      </c>
      <c r="C18872" s="6" t="s">
        <v>1</v>
      </c>
    </row>
    <row r="18873" spans="1:3" s="7" customFormat="1" x14ac:dyDescent="0.2">
      <c r="A18873" s="6" t="str">
        <f>"RPL9P7"</f>
        <v>RPL9P7</v>
      </c>
      <c r="B18873" s="6" t="s">
        <v>1</v>
      </c>
      <c r="C18873" s="6" t="s">
        <v>1</v>
      </c>
    </row>
    <row r="18874" spans="1:3" s="7" customFormat="1" x14ac:dyDescent="0.2">
      <c r="A18874" s="6" t="str">
        <f>"C20orf144"</f>
        <v>C20orf144</v>
      </c>
      <c r="B18874" s="6" t="s">
        <v>1</v>
      </c>
      <c r="C18874" s="6" t="s">
        <v>1</v>
      </c>
    </row>
    <row r="18875" spans="1:3" s="7" customFormat="1" x14ac:dyDescent="0.2">
      <c r="A18875" s="6" t="str">
        <f>"AC128709.3"</f>
        <v>AC128709.3</v>
      </c>
      <c r="B18875" s="6" t="s">
        <v>1</v>
      </c>
      <c r="C18875" s="6" t="s">
        <v>1</v>
      </c>
    </row>
    <row r="18876" spans="1:3" s="7" customFormat="1" x14ac:dyDescent="0.2">
      <c r="A18876" s="6" t="str">
        <f>"AC093866.1"</f>
        <v>AC093866.1</v>
      </c>
      <c r="B18876" s="6" t="s">
        <v>1</v>
      </c>
      <c r="C18876" s="6" t="s">
        <v>1</v>
      </c>
    </row>
    <row r="18877" spans="1:3" s="7" customFormat="1" x14ac:dyDescent="0.2">
      <c r="A18877" s="6" t="str">
        <f>"HMGB3P22"</f>
        <v>HMGB3P22</v>
      </c>
      <c r="B18877" s="6" t="s">
        <v>1</v>
      </c>
      <c r="C18877" s="6" t="s">
        <v>1</v>
      </c>
    </row>
    <row r="18878" spans="1:3" s="7" customFormat="1" x14ac:dyDescent="0.2">
      <c r="A18878" s="6" t="str">
        <f>"GRIK5"</f>
        <v>GRIK5</v>
      </c>
      <c r="B18878" s="6" t="s">
        <v>1</v>
      </c>
      <c r="C18878" s="6" t="s">
        <v>1</v>
      </c>
    </row>
    <row r="18879" spans="1:3" s="7" customFormat="1" x14ac:dyDescent="0.2">
      <c r="A18879" s="6" t="str">
        <f>"WNT8B"</f>
        <v>WNT8B</v>
      </c>
      <c r="B18879" s="6" t="s">
        <v>1</v>
      </c>
      <c r="C18879" s="6" t="s">
        <v>1</v>
      </c>
    </row>
    <row r="18880" spans="1:3" s="7" customFormat="1" x14ac:dyDescent="0.2">
      <c r="A18880" s="6" t="str">
        <f>"AC063960.2"</f>
        <v>AC063960.2</v>
      </c>
      <c r="B18880" s="6" t="s">
        <v>1</v>
      </c>
      <c r="C18880" s="6" t="s">
        <v>1</v>
      </c>
    </row>
    <row r="18881" spans="1:3" s="7" customFormat="1" x14ac:dyDescent="0.2">
      <c r="A18881" s="6" t="str">
        <f>"AL031719.2"</f>
        <v>AL031719.2</v>
      </c>
      <c r="B18881" s="6" t="s">
        <v>1</v>
      </c>
      <c r="C18881" s="6" t="s">
        <v>1</v>
      </c>
    </row>
    <row r="18882" spans="1:3" s="7" customFormat="1" x14ac:dyDescent="0.2">
      <c r="A18882" s="6" t="str">
        <f>"AL133500.1"</f>
        <v>AL133500.1</v>
      </c>
      <c r="B18882" s="6" t="s">
        <v>1</v>
      </c>
      <c r="C18882" s="6" t="s">
        <v>1</v>
      </c>
    </row>
    <row r="18883" spans="1:3" s="7" customFormat="1" x14ac:dyDescent="0.2">
      <c r="A18883" s="6" t="str">
        <f>"AL031846.2"</f>
        <v>AL031846.2</v>
      </c>
      <c r="B18883" s="6" t="s">
        <v>1</v>
      </c>
      <c r="C18883" s="6" t="s">
        <v>1</v>
      </c>
    </row>
    <row r="18884" spans="1:3" s="7" customFormat="1" x14ac:dyDescent="0.2">
      <c r="A18884" s="6" t="str">
        <f>"MAMDC2-AS1"</f>
        <v>MAMDC2-AS1</v>
      </c>
      <c r="B18884" s="6" t="s">
        <v>1</v>
      </c>
      <c r="C18884" s="6" t="s">
        <v>1</v>
      </c>
    </row>
    <row r="18885" spans="1:3" s="7" customFormat="1" x14ac:dyDescent="0.2">
      <c r="A18885" s="6" t="str">
        <f>"PCOLCE2"</f>
        <v>PCOLCE2</v>
      </c>
      <c r="B18885" s="6" t="s">
        <v>1</v>
      </c>
      <c r="C18885" s="6" t="s">
        <v>1</v>
      </c>
    </row>
    <row r="18886" spans="1:3" s="7" customFormat="1" x14ac:dyDescent="0.2">
      <c r="A18886" s="6" t="str">
        <f>"AC093227.1"</f>
        <v>AC093227.1</v>
      </c>
      <c r="B18886" s="6" t="s">
        <v>1</v>
      </c>
      <c r="C18886" s="6" t="s">
        <v>1</v>
      </c>
    </row>
    <row r="18887" spans="1:3" s="7" customFormat="1" x14ac:dyDescent="0.2">
      <c r="A18887" s="6" t="str">
        <f>"CECR2"</f>
        <v>CECR2</v>
      </c>
      <c r="B18887" s="6" t="s">
        <v>1</v>
      </c>
      <c r="C18887" s="6" t="s">
        <v>1</v>
      </c>
    </row>
    <row r="18888" spans="1:3" s="7" customFormat="1" x14ac:dyDescent="0.2">
      <c r="A18888" s="6" t="str">
        <f>"TBC1D3P1-DHX40P1"</f>
        <v>TBC1D3P1-DHX40P1</v>
      </c>
      <c r="B18888" s="6" t="s">
        <v>1</v>
      </c>
      <c r="C18888" s="6" t="s">
        <v>1</v>
      </c>
    </row>
    <row r="18889" spans="1:3" s="7" customFormat="1" x14ac:dyDescent="0.2">
      <c r="A18889" s="6" t="str">
        <f>"AC087071.1"</f>
        <v>AC087071.1</v>
      </c>
      <c r="B18889" s="6" t="s">
        <v>1</v>
      </c>
      <c r="C18889" s="6" t="s">
        <v>1</v>
      </c>
    </row>
    <row r="18890" spans="1:3" s="7" customFormat="1" x14ac:dyDescent="0.2">
      <c r="A18890" s="6" t="str">
        <f>"AL135999.3"</f>
        <v>AL135999.3</v>
      </c>
      <c r="B18890" s="6" t="s">
        <v>1</v>
      </c>
      <c r="C18890" s="6" t="s">
        <v>1</v>
      </c>
    </row>
    <row r="18891" spans="1:3" s="7" customFormat="1" x14ac:dyDescent="0.2">
      <c r="A18891" s="6" t="str">
        <f>"TMEM130"</f>
        <v>TMEM130</v>
      </c>
      <c r="B18891" s="6" t="s">
        <v>1</v>
      </c>
      <c r="C18891" s="6" t="s">
        <v>1</v>
      </c>
    </row>
    <row r="18892" spans="1:3" s="7" customFormat="1" x14ac:dyDescent="0.2">
      <c r="A18892" s="6" t="str">
        <f>"ZCCHC18"</f>
        <v>ZCCHC18</v>
      </c>
      <c r="B18892" s="6" t="s">
        <v>1</v>
      </c>
      <c r="C18892" s="6" t="s">
        <v>1</v>
      </c>
    </row>
    <row r="18893" spans="1:3" s="7" customFormat="1" x14ac:dyDescent="0.2">
      <c r="A18893" s="6" t="str">
        <f>"FABP5P14"</f>
        <v>FABP5P14</v>
      </c>
      <c r="B18893" s="6" t="s">
        <v>1</v>
      </c>
      <c r="C18893" s="6" t="s">
        <v>1</v>
      </c>
    </row>
    <row r="18894" spans="1:3" s="7" customFormat="1" x14ac:dyDescent="0.2">
      <c r="A18894" s="6" t="str">
        <f>"AC004921.2"</f>
        <v>AC004921.2</v>
      </c>
      <c r="B18894" s="6" t="s">
        <v>1</v>
      </c>
      <c r="C18894" s="6" t="s">
        <v>1</v>
      </c>
    </row>
    <row r="18895" spans="1:3" s="7" customFormat="1" x14ac:dyDescent="0.2">
      <c r="A18895" s="6" t="str">
        <f>"AC130343.3"</f>
        <v>AC130343.3</v>
      </c>
      <c r="B18895" s="6" t="s">
        <v>1</v>
      </c>
      <c r="C18895" s="6" t="s">
        <v>1</v>
      </c>
    </row>
    <row r="18896" spans="1:3" s="7" customFormat="1" x14ac:dyDescent="0.2">
      <c r="A18896" s="6" t="str">
        <f>"NXNL2"</f>
        <v>NXNL2</v>
      </c>
      <c r="B18896" s="6" t="s">
        <v>1</v>
      </c>
      <c r="C18896" s="6" t="s">
        <v>1</v>
      </c>
    </row>
    <row r="18897" spans="1:3" s="7" customFormat="1" x14ac:dyDescent="0.2">
      <c r="A18897" s="6" t="str">
        <f>"AC009686.2"</f>
        <v>AC009686.2</v>
      </c>
      <c r="B18897" s="6" t="s">
        <v>1</v>
      </c>
      <c r="C18897" s="6" t="s">
        <v>1</v>
      </c>
    </row>
    <row r="18898" spans="1:3" s="7" customFormat="1" x14ac:dyDescent="0.2">
      <c r="A18898" s="6" t="str">
        <f>"AC093787.2"</f>
        <v>AC093787.2</v>
      </c>
      <c r="B18898" s="6" t="s">
        <v>1</v>
      </c>
      <c r="C18898" s="6" t="s">
        <v>1</v>
      </c>
    </row>
    <row r="18899" spans="1:3" s="7" customFormat="1" x14ac:dyDescent="0.2">
      <c r="A18899" s="6" t="str">
        <f>"AF064860.2"</f>
        <v>AF064860.2</v>
      </c>
      <c r="B18899" s="6" t="s">
        <v>1</v>
      </c>
      <c r="C18899" s="6" t="s">
        <v>1</v>
      </c>
    </row>
    <row r="18900" spans="1:3" s="7" customFormat="1" x14ac:dyDescent="0.2">
      <c r="A18900" s="6" t="str">
        <f>"AC007342.8"</f>
        <v>AC007342.8</v>
      </c>
      <c r="B18900" s="6" t="s">
        <v>1</v>
      </c>
      <c r="C18900" s="6" t="s">
        <v>1</v>
      </c>
    </row>
    <row r="18901" spans="1:3" s="7" customFormat="1" x14ac:dyDescent="0.2">
      <c r="A18901" s="6" t="str">
        <f>"PPIAP21"</f>
        <v>PPIAP21</v>
      </c>
      <c r="B18901" s="6" t="s">
        <v>1</v>
      </c>
      <c r="C18901" s="6" t="s">
        <v>1</v>
      </c>
    </row>
    <row r="18902" spans="1:3" s="7" customFormat="1" x14ac:dyDescent="0.2">
      <c r="A18902" s="6" t="str">
        <f>"AP001020.2"</f>
        <v>AP001020.2</v>
      </c>
      <c r="B18902" s="6" t="s">
        <v>1</v>
      </c>
      <c r="C18902" s="6" t="s">
        <v>1</v>
      </c>
    </row>
    <row r="18903" spans="1:3" s="7" customFormat="1" x14ac:dyDescent="0.2">
      <c r="A18903" s="6" t="str">
        <f>"AC022893.1"</f>
        <v>AC022893.1</v>
      </c>
      <c r="B18903" s="6" t="s">
        <v>1</v>
      </c>
      <c r="C18903" s="6" t="s">
        <v>1</v>
      </c>
    </row>
    <row r="18904" spans="1:3" s="7" customFormat="1" x14ac:dyDescent="0.2">
      <c r="A18904" s="6" t="str">
        <f>"MRPS17P1"</f>
        <v>MRPS17P1</v>
      </c>
      <c r="B18904" s="6" t="s">
        <v>1</v>
      </c>
      <c r="C18904" s="6" t="s">
        <v>1</v>
      </c>
    </row>
    <row r="18905" spans="1:3" s="7" customFormat="1" x14ac:dyDescent="0.2">
      <c r="A18905" s="6" t="str">
        <f>"AC004707.1"</f>
        <v>AC004707.1</v>
      </c>
      <c r="B18905" s="6" t="s">
        <v>1</v>
      </c>
      <c r="C18905" s="6" t="s">
        <v>1</v>
      </c>
    </row>
    <row r="18906" spans="1:3" s="7" customFormat="1" x14ac:dyDescent="0.2">
      <c r="A18906" s="6" t="str">
        <f>"KLRC4-KLRK1"</f>
        <v>KLRC4-KLRK1</v>
      </c>
      <c r="B18906" s="6" t="s">
        <v>1</v>
      </c>
      <c r="C18906" s="6" t="s">
        <v>1</v>
      </c>
    </row>
    <row r="18907" spans="1:3" s="7" customFormat="1" x14ac:dyDescent="0.2">
      <c r="A18907" s="6" t="str">
        <f>"AL445645.1"</f>
        <v>AL445645.1</v>
      </c>
      <c r="B18907" s="6" t="s">
        <v>1</v>
      </c>
      <c r="C18907" s="6" t="s">
        <v>1</v>
      </c>
    </row>
    <row r="18908" spans="1:3" s="7" customFormat="1" x14ac:dyDescent="0.2">
      <c r="A18908" s="6" t="str">
        <f>"CRTC3-AS1"</f>
        <v>CRTC3-AS1</v>
      </c>
      <c r="B18908" s="6" t="s">
        <v>1</v>
      </c>
      <c r="C18908" s="6" t="s">
        <v>1</v>
      </c>
    </row>
    <row r="18909" spans="1:3" s="7" customFormat="1" x14ac:dyDescent="0.2">
      <c r="A18909" s="6" t="str">
        <f>"AC007319.1"</f>
        <v>AC007319.1</v>
      </c>
      <c r="B18909" s="6" t="s">
        <v>1</v>
      </c>
      <c r="C18909" s="6" t="s">
        <v>1</v>
      </c>
    </row>
    <row r="18910" spans="1:3" s="7" customFormat="1" x14ac:dyDescent="0.2">
      <c r="A18910" s="6" t="str">
        <f>"SAMD11"</f>
        <v>SAMD11</v>
      </c>
      <c r="B18910" s="6" t="s">
        <v>1</v>
      </c>
      <c r="C18910" s="6" t="s">
        <v>1</v>
      </c>
    </row>
    <row r="18911" spans="1:3" s="7" customFormat="1" x14ac:dyDescent="0.2">
      <c r="A18911" s="6" t="str">
        <f>"AC013448.1"</f>
        <v>AC013448.1</v>
      </c>
      <c r="B18911" s="6" t="s">
        <v>1</v>
      </c>
      <c r="C18911" s="6" t="s">
        <v>1</v>
      </c>
    </row>
    <row r="18912" spans="1:3" s="7" customFormat="1" x14ac:dyDescent="0.2">
      <c r="A18912" s="6" t="str">
        <f>"RPL7P23"</f>
        <v>RPL7P23</v>
      </c>
      <c r="B18912" s="6" t="s">
        <v>1</v>
      </c>
      <c r="C18912" s="6" t="s">
        <v>1</v>
      </c>
    </row>
    <row r="18913" spans="1:3" s="7" customFormat="1" x14ac:dyDescent="0.2">
      <c r="A18913" s="6" t="str">
        <f>"DEFB103B"</f>
        <v>DEFB103B</v>
      </c>
      <c r="B18913" s="6" t="s">
        <v>1</v>
      </c>
      <c r="C18913" s="6" t="s">
        <v>1</v>
      </c>
    </row>
    <row r="18914" spans="1:3" s="7" customFormat="1" x14ac:dyDescent="0.2">
      <c r="A18914" s="6" t="str">
        <f>"AL031282.1"</f>
        <v>AL031282.1</v>
      </c>
      <c r="B18914" s="6" t="s">
        <v>1</v>
      </c>
      <c r="C18914" s="6" t="s">
        <v>1</v>
      </c>
    </row>
    <row r="18915" spans="1:3" s="7" customFormat="1" x14ac:dyDescent="0.2">
      <c r="A18915" s="6" t="str">
        <f>"PPIAP11"</f>
        <v>PPIAP11</v>
      </c>
      <c r="B18915" s="6" t="s">
        <v>1</v>
      </c>
      <c r="C18915" s="6" t="s">
        <v>1</v>
      </c>
    </row>
    <row r="18916" spans="1:3" s="7" customFormat="1" x14ac:dyDescent="0.2">
      <c r="A18916" s="6" t="str">
        <f>"AC084782.3"</f>
        <v>AC084782.3</v>
      </c>
      <c r="B18916" s="6" t="s">
        <v>1</v>
      </c>
      <c r="C18916" s="6" t="s">
        <v>1</v>
      </c>
    </row>
    <row r="18917" spans="1:3" s="7" customFormat="1" x14ac:dyDescent="0.2">
      <c r="A18917" s="6" t="str">
        <f>"AC004877.2"</f>
        <v>AC004877.2</v>
      </c>
      <c r="B18917" s="6" t="s">
        <v>1</v>
      </c>
      <c r="C18917" s="6" t="s">
        <v>1</v>
      </c>
    </row>
    <row r="18918" spans="1:3" s="7" customFormat="1" x14ac:dyDescent="0.2">
      <c r="A18918" s="6" t="str">
        <f>"AC012645.2"</f>
        <v>AC012645.2</v>
      </c>
      <c r="B18918" s="6" t="s">
        <v>1</v>
      </c>
      <c r="C18918" s="6" t="s">
        <v>1</v>
      </c>
    </row>
    <row r="18919" spans="1:3" s="7" customFormat="1" x14ac:dyDescent="0.2">
      <c r="A18919" s="6" t="str">
        <f>"AC068189.1"</f>
        <v>AC068189.1</v>
      </c>
      <c r="B18919" s="6" t="s">
        <v>1</v>
      </c>
      <c r="C18919" s="6" t="s">
        <v>1</v>
      </c>
    </row>
    <row r="18920" spans="1:3" s="7" customFormat="1" x14ac:dyDescent="0.2">
      <c r="A18920" s="6" t="str">
        <f>"TMEM145"</f>
        <v>TMEM145</v>
      </c>
      <c r="B18920" s="6" t="s">
        <v>1</v>
      </c>
      <c r="C18920" s="6" t="s">
        <v>1</v>
      </c>
    </row>
    <row r="18921" spans="1:3" s="7" customFormat="1" x14ac:dyDescent="0.2">
      <c r="A18921" s="6" t="str">
        <f>"AL353135.2"</f>
        <v>AL353135.2</v>
      </c>
      <c r="B18921" s="6" t="s">
        <v>1</v>
      </c>
      <c r="C18921" s="6" t="s">
        <v>1</v>
      </c>
    </row>
    <row r="18922" spans="1:3" s="7" customFormat="1" x14ac:dyDescent="0.2">
      <c r="A18922" s="6" t="str">
        <f>"ALG1L5P"</f>
        <v>ALG1L5P</v>
      </c>
      <c r="B18922" s="6" t="s">
        <v>1</v>
      </c>
      <c r="C18922" s="6" t="s">
        <v>1</v>
      </c>
    </row>
    <row r="18923" spans="1:3" s="7" customFormat="1" x14ac:dyDescent="0.2">
      <c r="A18923" s="6" t="str">
        <f>"LINC01179"</f>
        <v>LINC01179</v>
      </c>
      <c r="B18923" s="6" t="s">
        <v>1</v>
      </c>
      <c r="C18923" s="6" t="s">
        <v>1</v>
      </c>
    </row>
    <row r="18924" spans="1:3" s="7" customFormat="1" x14ac:dyDescent="0.2">
      <c r="A18924" s="6" t="str">
        <f>"AC093639.3"</f>
        <v>AC093639.3</v>
      </c>
      <c r="B18924" s="6" t="s">
        <v>1</v>
      </c>
      <c r="C18924" s="6" t="s">
        <v>1</v>
      </c>
    </row>
    <row r="18925" spans="1:3" s="7" customFormat="1" x14ac:dyDescent="0.2">
      <c r="A18925" s="6" t="str">
        <f>"DOC2GP"</f>
        <v>DOC2GP</v>
      </c>
      <c r="B18925" s="6" t="s">
        <v>1</v>
      </c>
      <c r="C18925" s="6" t="s">
        <v>1</v>
      </c>
    </row>
    <row r="18926" spans="1:3" s="7" customFormat="1" x14ac:dyDescent="0.2">
      <c r="A18926" s="6" t="str">
        <f>"AC012645.4"</f>
        <v>AC012645.4</v>
      </c>
      <c r="B18926" s="6" t="s">
        <v>1</v>
      </c>
      <c r="C18926" s="6" t="s">
        <v>1</v>
      </c>
    </row>
    <row r="18927" spans="1:3" s="7" customFormat="1" x14ac:dyDescent="0.2">
      <c r="A18927" s="6" t="str">
        <f>"AL136295.22"</f>
        <v>AL136295.22</v>
      </c>
      <c r="B18927" s="6" t="s">
        <v>1</v>
      </c>
      <c r="C18927" s="6" t="s">
        <v>1</v>
      </c>
    </row>
    <row r="18928" spans="1:3" s="7" customFormat="1" x14ac:dyDescent="0.2">
      <c r="A18928" s="6" t="str">
        <f>"MYL3"</f>
        <v>MYL3</v>
      </c>
      <c r="B18928" s="6" t="s">
        <v>1</v>
      </c>
      <c r="C18928" s="6" t="s">
        <v>1</v>
      </c>
    </row>
    <row r="18929" spans="1:3" s="7" customFormat="1" x14ac:dyDescent="0.2">
      <c r="A18929" s="6" t="str">
        <f>"ODF1"</f>
        <v>ODF1</v>
      </c>
      <c r="B18929" s="6" t="s">
        <v>1</v>
      </c>
      <c r="C18929" s="6" t="s">
        <v>1</v>
      </c>
    </row>
    <row r="18930" spans="1:3" s="7" customFormat="1" x14ac:dyDescent="0.2">
      <c r="A18930" s="6" t="str">
        <f>"ALMS1-IT1"</f>
        <v>ALMS1-IT1</v>
      </c>
      <c r="B18930" s="6" t="s">
        <v>1</v>
      </c>
      <c r="C18930" s="6" t="s">
        <v>1</v>
      </c>
    </row>
    <row r="18931" spans="1:3" s="7" customFormat="1" x14ac:dyDescent="0.2">
      <c r="A18931" s="6" t="str">
        <f>"AC061992.2"</f>
        <v>AC061992.2</v>
      </c>
      <c r="B18931" s="6" t="s">
        <v>1</v>
      </c>
      <c r="C18931" s="6" t="s">
        <v>1</v>
      </c>
    </row>
    <row r="18932" spans="1:3" s="7" customFormat="1" x14ac:dyDescent="0.2">
      <c r="A18932" s="6" t="str">
        <f>"AC007497.1"</f>
        <v>AC007497.1</v>
      </c>
      <c r="B18932" s="6" t="s">
        <v>1</v>
      </c>
      <c r="C18932" s="6" t="s">
        <v>1</v>
      </c>
    </row>
    <row r="18933" spans="1:3" s="7" customFormat="1" x14ac:dyDescent="0.2">
      <c r="A18933" s="6" t="str">
        <f>"CRTAC1"</f>
        <v>CRTAC1</v>
      </c>
      <c r="B18933" s="6" t="s">
        <v>1</v>
      </c>
      <c r="C18933" s="6" t="s">
        <v>1</v>
      </c>
    </row>
    <row r="18934" spans="1:3" s="7" customFormat="1" x14ac:dyDescent="0.2">
      <c r="A18934" s="6" t="str">
        <f>"CNTN4-AS1"</f>
        <v>CNTN4-AS1</v>
      </c>
      <c r="B18934" s="6" t="s">
        <v>1</v>
      </c>
      <c r="C18934" s="6" t="s">
        <v>1</v>
      </c>
    </row>
    <row r="18935" spans="1:3" s="7" customFormat="1" x14ac:dyDescent="0.2">
      <c r="A18935" s="6" t="str">
        <f>"CHRM3-AS2"</f>
        <v>CHRM3-AS2</v>
      </c>
      <c r="B18935" s="6" t="s">
        <v>1</v>
      </c>
      <c r="C18935" s="6" t="s">
        <v>1</v>
      </c>
    </row>
    <row r="18936" spans="1:3" s="7" customFormat="1" x14ac:dyDescent="0.2">
      <c r="A18936" s="6" t="str">
        <f>"AC063923.2"</f>
        <v>AC063923.2</v>
      </c>
      <c r="B18936" s="6" t="s">
        <v>1</v>
      </c>
      <c r="C18936" s="6" t="s">
        <v>1</v>
      </c>
    </row>
    <row r="18937" spans="1:3" s="7" customFormat="1" x14ac:dyDescent="0.2">
      <c r="A18937" s="6" t="str">
        <f>"AC245052.4"</f>
        <v>AC245052.4</v>
      </c>
      <c r="B18937" s="6" t="s">
        <v>1</v>
      </c>
      <c r="C18937" s="6" t="s">
        <v>1</v>
      </c>
    </row>
    <row r="18938" spans="1:3" s="7" customFormat="1" x14ac:dyDescent="0.2">
      <c r="A18938" s="6" t="str">
        <f>"AC130650.2"</f>
        <v>AC130650.2</v>
      </c>
      <c r="B18938" s="6" t="s">
        <v>1</v>
      </c>
      <c r="C18938" s="6" t="s">
        <v>1</v>
      </c>
    </row>
    <row r="18939" spans="1:3" s="7" customFormat="1" x14ac:dyDescent="0.2">
      <c r="A18939" s="6" t="str">
        <f>"AC130352.1"</f>
        <v>AC130352.1</v>
      </c>
      <c r="B18939" s="6" t="s">
        <v>1</v>
      </c>
      <c r="C18939" s="6" t="s">
        <v>1</v>
      </c>
    </row>
    <row r="18940" spans="1:3" s="7" customFormat="1" x14ac:dyDescent="0.2">
      <c r="A18940" s="6" t="str">
        <f>"AC093567.1"</f>
        <v>AC093567.1</v>
      </c>
      <c r="B18940" s="6" t="s">
        <v>1</v>
      </c>
      <c r="C18940" s="6" t="s">
        <v>1</v>
      </c>
    </row>
    <row r="18941" spans="1:3" s="7" customFormat="1" x14ac:dyDescent="0.2">
      <c r="A18941" s="6" t="str">
        <f>"AC132872.3"</f>
        <v>AC132872.3</v>
      </c>
      <c r="B18941" s="6" t="s">
        <v>1</v>
      </c>
      <c r="C18941" s="6" t="s">
        <v>1</v>
      </c>
    </row>
    <row r="18942" spans="1:3" s="7" customFormat="1" x14ac:dyDescent="0.2">
      <c r="A18942" s="6" t="str">
        <f>"AC107959.3"</f>
        <v>AC107959.3</v>
      </c>
      <c r="B18942" s="6" t="s">
        <v>1</v>
      </c>
      <c r="C18942" s="6" t="s">
        <v>1</v>
      </c>
    </row>
    <row r="18943" spans="1:3" s="7" customFormat="1" x14ac:dyDescent="0.2">
      <c r="A18943" s="6" t="str">
        <f>"DNM1P47"</f>
        <v>DNM1P47</v>
      </c>
      <c r="B18943" s="6" t="s">
        <v>1</v>
      </c>
      <c r="C18943" s="6" t="s">
        <v>1</v>
      </c>
    </row>
    <row r="18944" spans="1:3" s="7" customFormat="1" x14ac:dyDescent="0.2">
      <c r="A18944" s="6" t="str">
        <f>"AC068305.2"</f>
        <v>AC068305.2</v>
      </c>
      <c r="B18944" s="6" t="s">
        <v>1</v>
      </c>
      <c r="C18944" s="6" t="s">
        <v>1</v>
      </c>
    </row>
    <row r="18945" spans="1:3" s="7" customFormat="1" x14ac:dyDescent="0.2">
      <c r="A18945" s="6" t="str">
        <f>"AC107926.1"</f>
        <v>AC107926.1</v>
      </c>
      <c r="B18945" s="6" t="s">
        <v>1</v>
      </c>
      <c r="C18945" s="6" t="s">
        <v>1</v>
      </c>
    </row>
    <row r="18946" spans="1:3" s="7" customFormat="1" x14ac:dyDescent="0.2">
      <c r="A18946" s="6" t="str">
        <f>"AC009902.3"</f>
        <v>AC009902.3</v>
      </c>
      <c r="B18946" s="6" t="s">
        <v>1</v>
      </c>
      <c r="C18946" s="6" t="s">
        <v>1</v>
      </c>
    </row>
    <row r="18947" spans="1:3" s="7" customFormat="1" x14ac:dyDescent="0.2">
      <c r="A18947" s="6" t="str">
        <f>"AC022762.2"</f>
        <v>AC022762.2</v>
      </c>
      <c r="B18947" s="6" t="s">
        <v>1</v>
      </c>
      <c r="C18947" s="6" t="s">
        <v>1</v>
      </c>
    </row>
    <row r="18948" spans="1:3" s="7" customFormat="1" x14ac:dyDescent="0.2">
      <c r="A18948" s="6" t="str">
        <f>"AC009318.4"</f>
        <v>AC009318.4</v>
      </c>
      <c r="B18948" s="6" t="s">
        <v>1</v>
      </c>
      <c r="C18948" s="6" t="s">
        <v>1</v>
      </c>
    </row>
    <row r="18949" spans="1:3" s="7" customFormat="1" x14ac:dyDescent="0.2">
      <c r="A18949" s="6" t="str">
        <f>"AC093535.1"</f>
        <v>AC093535.1</v>
      </c>
      <c r="B18949" s="6" t="s">
        <v>1</v>
      </c>
      <c r="C18949" s="6" t="s">
        <v>1</v>
      </c>
    </row>
    <row r="18950" spans="1:3" s="7" customFormat="1" x14ac:dyDescent="0.2">
      <c r="A18950" s="6" t="str">
        <f>"AC127070.4"</f>
        <v>AC127070.4</v>
      </c>
      <c r="B18950" s="6" t="s">
        <v>1</v>
      </c>
      <c r="C18950" s="6" t="s">
        <v>1</v>
      </c>
    </row>
    <row r="18951" spans="1:3" s="7" customFormat="1" x14ac:dyDescent="0.2">
      <c r="A18951" s="6" t="str">
        <f>"AL031315.1"</f>
        <v>AL031315.1</v>
      </c>
      <c r="B18951" s="6" t="s">
        <v>1</v>
      </c>
      <c r="C18951" s="6" t="s">
        <v>1</v>
      </c>
    </row>
    <row r="18952" spans="1:3" s="7" customFormat="1" x14ac:dyDescent="0.2">
      <c r="A18952" s="6" t="str">
        <f>"RNF17"</f>
        <v>RNF17</v>
      </c>
      <c r="B18952" s="6" t="s">
        <v>1</v>
      </c>
      <c r="C18952" s="6" t="s">
        <v>1</v>
      </c>
    </row>
    <row r="18953" spans="1:3" s="7" customFormat="1" x14ac:dyDescent="0.2">
      <c r="A18953" s="6" t="str">
        <f>"INSYN2B"</f>
        <v>INSYN2B</v>
      </c>
      <c r="B18953" s="6" t="s">
        <v>1</v>
      </c>
      <c r="C18953" s="6" t="s">
        <v>1</v>
      </c>
    </row>
    <row r="18954" spans="1:3" s="7" customFormat="1" x14ac:dyDescent="0.2">
      <c r="A18954" s="6" t="str">
        <f>"AC243829.1"</f>
        <v>AC243829.1</v>
      </c>
      <c r="B18954" s="6" t="s">
        <v>1</v>
      </c>
      <c r="C18954" s="6" t="s">
        <v>1</v>
      </c>
    </row>
    <row r="18955" spans="1:3" s="7" customFormat="1" x14ac:dyDescent="0.2">
      <c r="A18955" s="6" t="str">
        <f>"AC004808.2"</f>
        <v>AC004808.2</v>
      </c>
      <c r="B18955" s="6" t="s">
        <v>1</v>
      </c>
      <c r="C18955" s="6" t="s">
        <v>1</v>
      </c>
    </row>
    <row r="18956" spans="1:3" s="7" customFormat="1" x14ac:dyDescent="0.2">
      <c r="A18956" s="6" t="str">
        <f>"FLT4"</f>
        <v>FLT4</v>
      </c>
      <c r="B18956" s="6" t="s">
        <v>1</v>
      </c>
      <c r="C18956" s="6" t="s">
        <v>1</v>
      </c>
    </row>
    <row r="18957" spans="1:3" s="7" customFormat="1" x14ac:dyDescent="0.2">
      <c r="A18957" s="6" t="str">
        <f>"AC007106.2"</f>
        <v>AC007106.2</v>
      </c>
      <c r="B18957" s="6" t="s">
        <v>1</v>
      </c>
      <c r="C18957" s="6" t="s">
        <v>1</v>
      </c>
    </row>
    <row r="18958" spans="1:3" s="7" customFormat="1" x14ac:dyDescent="0.2">
      <c r="A18958" s="6" t="str">
        <f>"AC022211.4"</f>
        <v>AC022211.4</v>
      </c>
      <c r="B18958" s="6" t="s">
        <v>1</v>
      </c>
      <c r="C18958" s="6" t="s">
        <v>1</v>
      </c>
    </row>
    <row r="18959" spans="1:3" s="7" customFormat="1" x14ac:dyDescent="0.2">
      <c r="A18959" s="6" t="str">
        <f>"AC087163.1"</f>
        <v>AC087163.1</v>
      </c>
      <c r="B18959" s="6" t="s">
        <v>1</v>
      </c>
      <c r="C18959" s="6" t="s">
        <v>1</v>
      </c>
    </row>
    <row r="18960" spans="1:3" s="7" customFormat="1" x14ac:dyDescent="0.2">
      <c r="A18960" s="6" t="str">
        <f>"AC084876.2"</f>
        <v>AC084876.2</v>
      </c>
      <c r="B18960" s="6" t="s">
        <v>1</v>
      </c>
      <c r="C18960" s="6" t="s">
        <v>1</v>
      </c>
    </row>
    <row r="18961" spans="1:3" s="7" customFormat="1" x14ac:dyDescent="0.2">
      <c r="A18961" s="6" t="str">
        <f>"AC009396.1"</f>
        <v>AC009396.1</v>
      </c>
      <c r="B18961" s="6" t="s">
        <v>1</v>
      </c>
      <c r="C18961" s="6" t="s">
        <v>1</v>
      </c>
    </row>
    <row r="18962" spans="1:3" s="7" customFormat="1" x14ac:dyDescent="0.2">
      <c r="A18962" s="6" t="str">
        <f>"LINC01152"</f>
        <v>LINC01152</v>
      </c>
      <c r="B18962" s="6" t="s">
        <v>1</v>
      </c>
      <c r="C18962" s="6" t="s">
        <v>1</v>
      </c>
    </row>
    <row r="18963" spans="1:3" s="7" customFormat="1" x14ac:dyDescent="0.2">
      <c r="A18963" s="6" t="str">
        <f>"AL136162.1"</f>
        <v>AL136162.1</v>
      </c>
      <c r="B18963" s="6" t="s">
        <v>1</v>
      </c>
      <c r="C18963" s="6" t="s">
        <v>1</v>
      </c>
    </row>
    <row r="18964" spans="1:3" s="7" customFormat="1" x14ac:dyDescent="0.2">
      <c r="A18964" s="6" t="str">
        <f>"BTBD7P1"</f>
        <v>BTBD7P1</v>
      </c>
      <c r="B18964" s="6" t="s">
        <v>1</v>
      </c>
      <c r="C18964" s="6" t="s">
        <v>1</v>
      </c>
    </row>
    <row r="18965" spans="1:3" s="7" customFormat="1" x14ac:dyDescent="0.2">
      <c r="A18965" s="6" t="str">
        <f>"SMARCA5-AS1"</f>
        <v>SMARCA5-AS1</v>
      </c>
      <c r="B18965" s="6" t="s">
        <v>1</v>
      </c>
      <c r="C18965" s="6" t="s">
        <v>1</v>
      </c>
    </row>
    <row r="18966" spans="1:3" s="7" customFormat="1" x14ac:dyDescent="0.2">
      <c r="A18966" s="6" t="str">
        <f>"CASC19"</f>
        <v>CASC19</v>
      </c>
      <c r="B18966" s="6" t="s">
        <v>1</v>
      </c>
      <c r="C18966" s="6" t="s">
        <v>1</v>
      </c>
    </row>
    <row r="18967" spans="1:3" s="7" customFormat="1" x14ac:dyDescent="0.2">
      <c r="A18967" s="6" t="str">
        <f>"ENHO"</f>
        <v>ENHO</v>
      </c>
      <c r="B18967" s="6" t="s">
        <v>1</v>
      </c>
      <c r="C18967" s="6" t="s">
        <v>1</v>
      </c>
    </row>
    <row r="18968" spans="1:3" s="7" customFormat="1" x14ac:dyDescent="0.2">
      <c r="A18968" s="6" t="str">
        <f>"AC007161.3"</f>
        <v>AC007161.3</v>
      </c>
      <c r="B18968" s="6" t="s">
        <v>1</v>
      </c>
      <c r="C18968" s="6" t="s">
        <v>1</v>
      </c>
    </row>
    <row r="18969" spans="1:3" s="7" customFormat="1" x14ac:dyDescent="0.2">
      <c r="A18969" s="6" t="str">
        <f>"CYP3A4"</f>
        <v>CYP3A4</v>
      </c>
      <c r="B18969" s="6" t="s">
        <v>1</v>
      </c>
      <c r="C18969" s="6" t="s">
        <v>1</v>
      </c>
    </row>
    <row r="18970" spans="1:3" s="7" customFormat="1" x14ac:dyDescent="0.2">
      <c r="A18970" s="6" t="str">
        <f>"AL353898.3"</f>
        <v>AL353898.3</v>
      </c>
      <c r="B18970" s="6" t="s">
        <v>1</v>
      </c>
      <c r="C18970" s="6" t="s">
        <v>1</v>
      </c>
    </row>
    <row r="18971" spans="1:3" s="7" customFormat="1" x14ac:dyDescent="0.2">
      <c r="A18971" s="6" t="str">
        <f>"AC068279.1"</f>
        <v>AC068279.1</v>
      </c>
      <c r="B18971" s="6" t="s">
        <v>1</v>
      </c>
      <c r="C18971" s="6" t="s">
        <v>1</v>
      </c>
    </row>
    <row r="18972" spans="1:3" s="7" customFormat="1" x14ac:dyDescent="0.2">
      <c r="A18972" s="6" t="str">
        <f>"VEGFD"</f>
        <v>VEGFD</v>
      </c>
      <c r="B18972" s="6" t="s">
        <v>1</v>
      </c>
      <c r="C18972" s="6" t="s">
        <v>1</v>
      </c>
    </row>
    <row r="18973" spans="1:3" s="7" customFormat="1" x14ac:dyDescent="0.2">
      <c r="A18973" s="6" t="str">
        <f>"AC093525.10"</f>
        <v>AC093525.10</v>
      </c>
      <c r="B18973" s="6" t="s">
        <v>1</v>
      </c>
      <c r="C18973" s="6" t="s">
        <v>1</v>
      </c>
    </row>
    <row r="18974" spans="1:3" s="7" customFormat="1" x14ac:dyDescent="0.2">
      <c r="A18974" s="6" t="str">
        <f>"C2CD6"</f>
        <v>C2CD6</v>
      </c>
      <c r="B18974" s="6" t="s">
        <v>1</v>
      </c>
      <c r="C18974" s="6" t="s">
        <v>1</v>
      </c>
    </row>
    <row r="18975" spans="1:3" s="7" customFormat="1" x14ac:dyDescent="0.2">
      <c r="A18975" s="6" t="str">
        <f>"AC244213.1"</f>
        <v>AC244213.1</v>
      </c>
      <c r="B18975" s="6" t="s">
        <v>1</v>
      </c>
      <c r="C18975" s="6" t="s">
        <v>1</v>
      </c>
    </row>
    <row r="18976" spans="1:3" s="7" customFormat="1" x14ac:dyDescent="0.2">
      <c r="A18976" s="6" t="str">
        <f>"AC068389.1"</f>
        <v>AC068389.1</v>
      </c>
      <c r="B18976" s="6" t="s">
        <v>1</v>
      </c>
      <c r="C18976" s="6" t="s">
        <v>1</v>
      </c>
    </row>
    <row r="18977" spans="1:3" s="7" customFormat="1" x14ac:dyDescent="0.2">
      <c r="A18977" s="6" t="str">
        <f>"LINC02246"</f>
        <v>LINC02246</v>
      </c>
      <c r="B18977" s="6" t="s">
        <v>1</v>
      </c>
      <c r="C18977" s="6" t="s">
        <v>1</v>
      </c>
    </row>
    <row r="18978" spans="1:3" s="7" customFormat="1" x14ac:dyDescent="0.2">
      <c r="A18978" s="6" t="str">
        <f>"HNF4A"</f>
        <v>HNF4A</v>
      </c>
      <c r="B18978" s="6" t="s">
        <v>1</v>
      </c>
      <c r="C18978" s="6" t="s">
        <v>1</v>
      </c>
    </row>
    <row r="18979" spans="1:3" s="7" customFormat="1" x14ac:dyDescent="0.2">
      <c r="A18979" s="6" t="str">
        <f>"DEFA1"</f>
        <v>DEFA1</v>
      </c>
      <c r="B18979" s="6" t="s">
        <v>1</v>
      </c>
      <c r="C18979" s="6" t="s">
        <v>1</v>
      </c>
    </row>
    <row r="18980" spans="1:3" s="7" customFormat="1" x14ac:dyDescent="0.2">
      <c r="A18980" s="6" t="str">
        <f>"AC093827.3"</f>
        <v>AC093827.3</v>
      </c>
      <c r="B18980" s="6" t="s">
        <v>1</v>
      </c>
      <c r="C18980" s="6" t="s">
        <v>1</v>
      </c>
    </row>
    <row r="18981" spans="1:3" s="7" customFormat="1" x14ac:dyDescent="0.2">
      <c r="A18981" s="6" t="str">
        <f>"AC009630.4"</f>
        <v>AC009630.4</v>
      </c>
      <c r="B18981" s="6" t="s">
        <v>1</v>
      </c>
      <c r="C18981" s="6" t="s">
        <v>1</v>
      </c>
    </row>
    <row r="18982" spans="1:3" s="7" customFormat="1" x14ac:dyDescent="0.2">
      <c r="A18982" s="6" t="str">
        <f>"LINC01115"</f>
        <v>LINC01115</v>
      </c>
      <c r="B18982" s="6" t="s">
        <v>1</v>
      </c>
      <c r="C18982" s="6" t="s">
        <v>1</v>
      </c>
    </row>
    <row r="18983" spans="1:3" s="7" customFormat="1" x14ac:dyDescent="0.2">
      <c r="A18983" s="6" t="str">
        <f>"NOSTRIN"</f>
        <v>NOSTRIN</v>
      </c>
      <c r="B18983" s="6" t="s">
        <v>1</v>
      </c>
      <c r="C18983" s="6" t="s">
        <v>1</v>
      </c>
    </row>
    <row r="18984" spans="1:3" s="7" customFormat="1" x14ac:dyDescent="0.2">
      <c r="A18984" s="6" t="str">
        <f>"AC022966.2"</f>
        <v>AC022966.2</v>
      </c>
      <c r="B18984" s="6" t="s">
        <v>1</v>
      </c>
      <c r="C18984" s="6" t="s">
        <v>1</v>
      </c>
    </row>
    <row r="18985" spans="1:3" s="7" customFormat="1" x14ac:dyDescent="0.2">
      <c r="A18985" s="6" t="str">
        <f>"AC004846.1"</f>
        <v>AC004846.1</v>
      </c>
      <c r="B18985" s="6" t="s">
        <v>1</v>
      </c>
      <c r="C18985" s="6" t="s">
        <v>1</v>
      </c>
    </row>
    <row r="18986" spans="1:3" s="7" customFormat="1" x14ac:dyDescent="0.2">
      <c r="A18986" s="6" t="str">
        <f>"PPFIA4"</f>
        <v>PPFIA4</v>
      </c>
      <c r="B18986" s="6" t="s">
        <v>1</v>
      </c>
      <c r="C18986" s="6" t="s">
        <v>1</v>
      </c>
    </row>
    <row r="18987" spans="1:3" s="7" customFormat="1" x14ac:dyDescent="0.2">
      <c r="A18987" s="6" t="str">
        <f>"PDC-AS1"</f>
        <v>PDC-AS1</v>
      </c>
      <c r="B18987" s="6" t="s">
        <v>1</v>
      </c>
      <c r="C18987" s="6" t="s">
        <v>1</v>
      </c>
    </row>
    <row r="18988" spans="1:3" s="7" customFormat="1" x14ac:dyDescent="0.2">
      <c r="A18988" s="6" t="str">
        <f>"EEF1DP2"</f>
        <v>EEF1DP2</v>
      </c>
      <c r="B18988" s="6" t="s">
        <v>1</v>
      </c>
      <c r="C18988" s="6" t="s">
        <v>1</v>
      </c>
    </row>
    <row r="18989" spans="1:3" s="7" customFormat="1" x14ac:dyDescent="0.2">
      <c r="A18989" s="6" t="str">
        <f>"AC127164.1"</f>
        <v>AC127164.1</v>
      </c>
      <c r="B18989" s="6" t="s">
        <v>1</v>
      </c>
      <c r="C18989" s="6" t="s">
        <v>1</v>
      </c>
    </row>
    <row r="18990" spans="1:3" s="7" customFormat="1" x14ac:dyDescent="0.2">
      <c r="A18990" s="6" t="str">
        <f>"CDPF1P1"</f>
        <v>CDPF1P1</v>
      </c>
      <c r="B18990" s="6" t="s">
        <v>1</v>
      </c>
      <c r="C18990" s="6" t="s">
        <v>1</v>
      </c>
    </row>
    <row r="18991" spans="1:3" s="7" customFormat="1" x14ac:dyDescent="0.2">
      <c r="A18991" s="6" t="str">
        <f>"AC108025.1"</f>
        <v>AC108025.1</v>
      </c>
      <c r="B18991" s="6" t="s">
        <v>1</v>
      </c>
      <c r="C18991" s="6" t="s">
        <v>1</v>
      </c>
    </row>
    <row r="18992" spans="1:3" s="7" customFormat="1" x14ac:dyDescent="0.2">
      <c r="A18992" s="6" t="str">
        <f>"AL031772.1"</f>
        <v>AL031772.1</v>
      </c>
      <c r="B18992" s="6" t="s">
        <v>1</v>
      </c>
      <c r="C18992" s="6" t="s">
        <v>1</v>
      </c>
    </row>
    <row r="18993" spans="1:3" s="7" customFormat="1" x14ac:dyDescent="0.2">
      <c r="A18993" s="6" t="str">
        <f>"AL031055.1"</f>
        <v>AL031055.1</v>
      </c>
      <c r="B18993" s="6" t="s">
        <v>1</v>
      </c>
      <c r="C18993" s="6" t="s">
        <v>1</v>
      </c>
    </row>
    <row r="18994" spans="1:3" s="7" customFormat="1" x14ac:dyDescent="0.2">
      <c r="A18994" s="6" t="str">
        <f>"AL133343.2"</f>
        <v>AL133343.2</v>
      </c>
      <c r="B18994" s="6" t="s">
        <v>1</v>
      </c>
      <c r="C18994" s="6" t="s">
        <v>1</v>
      </c>
    </row>
    <row r="18995" spans="1:3" s="7" customFormat="1" x14ac:dyDescent="0.2">
      <c r="A18995" s="6" t="str">
        <f>"AL353747.2"</f>
        <v>AL353747.2</v>
      </c>
      <c r="B18995" s="6" t="s">
        <v>1</v>
      </c>
      <c r="C18995" s="6" t="s">
        <v>1</v>
      </c>
    </row>
    <row r="18996" spans="1:3" s="7" customFormat="1" x14ac:dyDescent="0.2">
      <c r="A18996" s="6" t="str">
        <f>"AC009522.1"</f>
        <v>AC009522.1</v>
      </c>
      <c r="B18996" s="6" t="s">
        <v>1</v>
      </c>
      <c r="C18996" s="6" t="s">
        <v>1</v>
      </c>
    </row>
    <row r="18997" spans="1:3" s="7" customFormat="1" x14ac:dyDescent="0.2">
      <c r="A18997" s="6" t="str">
        <f>"AC009948.1"</f>
        <v>AC009948.1</v>
      </c>
      <c r="B18997" s="6" t="s">
        <v>1</v>
      </c>
      <c r="C18997" s="6" t="s">
        <v>1</v>
      </c>
    </row>
    <row r="18998" spans="1:3" s="7" customFormat="1" x14ac:dyDescent="0.2">
      <c r="A18998" s="6" t="str">
        <f>"AC009812.4"</f>
        <v>AC009812.4</v>
      </c>
      <c r="B18998" s="6" t="s">
        <v>1</v>
      </c>
      <c r="C18998" s="6" t="s">
        <v>1</v>
      </c>
    </row>
    <row r="18999" spans="1:3" s="7" customFormat="1" x14ac:dyDescent="0.2">
      <c r="A18999" s="6" t="str">
        <f>"AC093323.3"</f>
        <v>AC093323.3</v>
      </c>
      <c r="B18999" s="6" t="s">
        <v>1</v>
      </c>
      <c r="C18999" s="6" t="s">
        <v>1</v>
      </c>
    </row>
    <row r="19000" spans="1:3" s="7" customFormat="1" x14ac:dyDescent="0.2">
      <c r="A19000" s="6" t="str">
        <f>"WNT16"</f>
        <v>WNT16</v>
      </c>
      <c r="B19000" s="6" t="s">
        <v>1</v>
      </c>
      <c r="C19000" s="6" t="s">
        <v>1</v>
      </c>
    </row>
    <row r="19001" spans="1:3" s="7" customFormat="1" x14ac:dyDescent="0.2">
      <c r="A19001" s="6" t="str">
        <f>"CNR1"</f>
        <v>CNR1</v>
      </c>
      <c r="B19001" s="6" t="s">
        <v>1</v>
      </c>
      <c r="C19001" s="6" t="s">
        <v>1</v>
      </c>
    </row>
    <row r="19002" spans="1:3" s="7" customFormat="1" x14ac:dyDescent="0.2">
      <c r="A19002" s="6" t="str">
        <f>"SHISAL2A"</f>
        <v>SHISAL2A</v>
      </c>
      <c r="B19002" s="6" t="s">
        <v>1</v>
      </c>
      <c r="C19002" s="6" t="s">
        <v>1</v>
      </c>
    </row>
    <row r="19003" spans="1:3" s="7" customFormat="1" x14ac:dyDescent="0.2">
      <c r="A19003" s="6" t="str">
        <f>"AC009570.1"</f>
        <v>AC009570.1</v>
      </c>
      <c r="B19003" s="6" t="s">
        <v>1</v>
      </c>
      <c r="C19003" s="6" t="s">
        <v>1</v>
      </c>
    </row>
    <row r="19004" spans="1:3" s="7" customFormat="1" x14ac:dyDescent="0.2">
      <c r="A19004" s="6" t="str">
        <f>"AL031009.1"</f>
        <v>AL031009.1</v>
      </c>
      <c r="B19004" s="6" t="s">
        <v>1</v>
      </c>
      <c r="C19004" s="6" t="s">
        <v>1</v>
      </c>
    </row>
    <row r="19005" spans="1:3" s="7" customFormat="1" x14ac:dyDescent="0.2">
      <c r="A19005" s="6" t="str">
        <f>"AP000692.1"</f>
        <v>AP000692.1</v>
      </c>
      <c r="B19005" s="6" t="s">
        <v>1</v>
      </c>
      <c r="C19005" s="6" t="s">
        <v>1</v>
      </c>
    </row>
    <row r="19006" spans="1:3" s="7" customFormat="1" x14ac:dyDescent="0.2">
      <c r="A19006" s="6" t="str">
        <f>"P2RX5"</f>
        <v>P2RX5</v>
      </c>
      <c r="B19006" s="6" t="s">
        <v>1</v>
      </c>
      <c r="C19006" s="6" t="s">
        <v>1</v>
      </c>
    </row>
    <row r="19007" spans="1:3" s="7" customFormat="1" x14ac:dyDescent="0.2">
      <c r="A19007" s="6" t="str">
        <f>"AC007342.7"</f>
        <v>AC007342.7</v>
      </c>
      <c r="B19007" s="6" t="s">
        <v>1</v>
      </c>
      <c r="C19007" s="6" t="s">
        <v>1</v>
      </c>
    </row>
    <row r="19008" spans="1:3" s="7" customFormat="1" x14ac:dyDescent="0.2">
      <c r="A19008" s="6" t="str">
        <f>"AC004877.1"</f>
        <v>AC004877.1</v>
      </c>
      <c r="B19008" s="6" t="s">
        <v>1</v>
      </c>
      <c r="C19008" s="6" t="s">
        <v>1</v>
      </c>
    </row>
    <row r="19009" spans="1:3" s="7" customFormat="1" x14ac:dyDescent="0.2">
      <c r="A19009" s="6" t="str">
        <f>"AC007225.1"</f>
        <v>AC007225.1</v>
      </c>
      <c r="B19009" s="6" t="s">
        <v>1</v>
      </c>
      <c r="C19009" s="6" t="s">
        <v>1</v>
      </c>
    </row>
    <row r="19010" spans="1:3" s="7" customFormat="1" x14ac:dyDescent="0.2">
      <c r="A19010" s="6" t="str">
        <f>"PCP2"</f>
        <v>PCP2</v>
      </c>
      <c r="B19010" s="6" t="s">
        <v>1</v>
      </c>
      <c r="C19010" s="6" t="s">
        <v>1</v>
      </c>
    </row>
    <row r="19011" spans="1:3" s="7" customFormat="1" x14ac:dyDescent="0.2">
      <c r="A19011" s="6" t="str">
        <f>"SLC26A5"</f>
        <v>SLC26A5</v>
      </c>
      <c r="B19011" s="6" t="s">
        <v>1</v>
      </c>
      <c r="C19011" s="6" t="s">
        <v>1</v>
      </c>
    </row>
    <row r="19012" spans="1:3" s="7" customFormat="1" x14ac:dyDescent="0.2">
      <c r="A19012" s="6" t="str">
        <f>"AL445985.2"</f>
        <v>AL445985.2</v>
      </c>
      <c r="B19012" s="6" t="s">
        <v>1</v>
      </c>
      <c r="C19012" s="6" t="s">
        <v>1</v>
      </c>
    </row>
    <row r="19013" spans="1:3" s="7" customFormat="1" x14ac:dyDescent="0.2">
      <c r="A19013" s="6" t="str">
        <f>"RPL15P5"</f>
        <v>RPL15P5</v>
      </c>
      <c r="B19013" s="6" t="s">
        <v>1</v>
      </c>
      <c r="C19013" s="6" t="s">
        <v>1</v>
      </c>
    </row>
    <row r="19014" spans="1:3" s="7" customFormat="1" x14ac:dyDescent="0.2">
      <c r="A19014" s="6" t="str">
        <f>"ZNF252P-AS1"</f>
        <v>ZNF252P-AS1</v>
      </c>
      <c r="B19014" s="6" t="s">
        <v>1</v>
      </c>
      <c r="C19014" s="6" t="s">
        <v>1</v>
      </c>
    </row>
    <row r="19015" spans="1:3" s="7" customFormat="1" x14ac:dyDescent="0.2">
      <c r="A19015" s="6" t="str">
        <f>"AC060766.5"</f>
        <v>AC060766.5</v>
      </c>
      <c r="B19015" s="6" t="s">
        <v>1</v>
      </c>
      <c r="C19015" s="6" t="s">
        <v>1</v>
      </c>
    </row>
    <row r="19016" spans="1:3" s="7" customFormat="1" x14ac:dyDescent="0.2">
      <c r="A19016" s="6" t="str">
        <f>"EEF1A1P19"</f>
        <v>EEF1A1P19</v>
      </c>
      <c r="B19016" s="6" t="s">
        <v>1</v>
      </c>
      <c r="C19016" s="6" t="s">
        <v>1</v>
      </c>
    </row>
    <row r="19017" spans="1:3" s="7" customFormat="1" x14ac:dyDescent="0.2">
      <c r="A19017" s="6" t="str">
        <f>"LINC01126"</f>
        <v>LINC01126</v>
      </c>
      <c r="B19017" s="6" t="s">
        <v>1</v>
      </c>
      <c r="C19017" s="6" t="s">
        <v>1</v>
      </c>
    </row>
    <row r="19018" spans="1:3" s="7" customFormat="1" x14ac:dyDescent="0.2">
      <c r="A19018" s="6" t="str">
        <f>"LHX2"</f>
        <v>LHX2</v>
      </c>
      <c r="B19018" s="6" t="s">
        <v>1</v>
      </c>
      <c r="C19018" s="6" t="s">
        <v>1</v>
      </c>
    </row>
    <row r="19019" spans="1:3" s="7" customFormat="1" x14ac:dyDescent="0.2">
      <c r="A19019" s="6" t="str">
        <f>"PPIC-AS1"</f>
        <v>PPIC-AS1</v>
      </c>
      <c r="B19019" s="6" t="s">
        <v>1</v>
      </c>
      <c r="C19019" s="6" t="s">
        <v>1</v>
      </c>
    </row>
    <row r="19020" spans="1:3" s="7" customFormat="1" x14ac:dyDescent="0.2">
      <c r="A19020" s="6" t="str">
        <f>"MYPN"</f>
        <v>MYPN</v>
      </c>
      <c r="B19020" s="6" t="s">
        <v>1</v>
      </c>
      <c r="C19020" s="6" t="s">
        <v>1</v>
      </c>
    </row>
    <row r="19021" spans="1:3" s="7" customFormat="1" x14ac:dyDescent="0.2">
      <c r="A19021" s="6" t="str">
        <f>"ZSCAN23"</f>
        <v>ZSCAN23</v>
      </c>
      <c r="B19021" s="6" t="s">
        <v>1</v>
      </c>
      <c r="C19021" s="6" t="s">
        <v>1</v>
      </c>
    </row>
    <row r="19022" spans="1:3" s="7" customFormat="1" x14ac:dyDescent="0.2">
      <c r="A19022" s="6" t="str">
        <f>"AC022414.1"</f>
        <v>AC022414.1</v>
      </c>
      <c r="B19022" s="6" t="s">
        <v>1</v>
      </c>
      <c r="C19022" s="6" t="s">
        <v>1</v>
      </c>
    </row>
    <row r="19023" spans="1:3" s="7" customFormat="1" x14ac:dyDescent="0.2">
      <c r="A19023" s="6" t="str">
        <f>"AL031777.1"</f>
        <v>AL031777.1</v>
      </c>
      <c r="B19023" s="6" t="s">
        <v>1</v>
      </c>
      <c r="C19023" s="6" t="s">
        <v>1</v>
      </c>
    </row>
    <row r="19024" spans="1:3" s="7" customFormat="1" x14ac:dyDescent="0.2">
      <c r="A19024" s="6" t="str">
        <f>"CEMP1"</f>
        <v>CEMP1</v>
      </c>
      <c r="B19024" s="6" t="s">
        <v>1</v>
      </c>
      <c r="C19024" s="6" t="s">
        <v>1</v>
      </c>
    </row>
    <row r="19025" spans="1:3" s="7" customFormat="1" x14ac:dyDescent="0.2">
      <c r="A19025" s="6" t="str">
        <f>"AC130456.4"</f>
        <v>AC130456.4</v>
      </c>
      <c r="B19025" s="6" t="s">
        <v>1</v>
      </c>
      <c r="C19025" s="6" t="s">
        <v>1</v>
      </c>
    </row>
    <row r="19026" spans="1:3" s="7" customFormat="1" x14ac:dyDescent="0.2">
      <c r="A19026" s="6" t="str">
        <f>"MYO3B"</f>
        <v>MYO3B</v>
      </c>
      <c r="B19026" s="6" t="s">
        <v>1</v>
      </c>
      <c r="C19026" s="6" t="s">
        <v>1</v>
      </c>
    </row>
    <row r="19027" spans="1:3" s="7" customFormat="1" x14ac:dyDescent="0.2">
      <c r="A19027" s="6" t="str">
        <f>"AC015849.5"</f>
        <v>AC015849.5</v>
      </c>
      <c r="B19027" s="6" t="s">
        <v>1</v>
      </c>
      <c r="C19027" s="6" t="s">
        <v>1</v>
      </c>
    </row>
    <row r="19028" spans="1:3" s="7" customFormat="1" x14ac:dyDescent="0.2">
      <c r="A19028" s="6" t="str">
        <f>"PHF24"</f>
        <v>PHF24</v>
      </c>
      <c r="B19028" s="6" t="s">
        <v>1</v>
      </c>
      <c r="C19028" s="6" t="s">
        <v>1</v>
      </c>
    </row>
    <row r="19029" spans="1:3" s="7" customFormat="1" x14ac:dyDescent="0.2">
      <c r="A19029" s="6" t="str">
        <f>"F11-AS1"</f>
        <v>F11-AS1</v>
      </c>
      <c r="B19029" s="6" t="s">
        <v>1</v>
      </c>
      <c r="C19029" s="6" t="s">
        <v>1</v>
      </c>
    </row>
    <row r="19030" spans="1:3" s="7" customFormat="1" x14ac:dyDescent="0.2">
      <c r="A19030" s="6" t="str">
        <f>"AC022217.1"</f>
        <v>AC022217.1</v>
      </c>
      <c r="B19030" s="6" t="s">
        <v>1</v>
      </c>
      <c r="C19030" s="6" t="s">
        <v>1</v>
      </c>
    </row>
    <row r="19031" spans="1:3" s="7" customFormat="1" x14ac:dyDescent="0.2">
      <c r="A19031" s="6" t="str">
        <f>"AL031658.1"</f>
        <v>AL031658.1</v>
      </c>
      <c r="B19031" s="6" t="s">
        <v>1</v>
      </c>
      <c r="C19031" s="6" t="s">
        <v>1</v>
      </c>
    </row>
    <row r="19032" spans="1:3" s="7" customFormat="1" x14ac:dyDescent="0.2">
      <c r="A19032" s="6" t="str">
        <f>"AC009501.2"</f>
        <v>AC009501.2</v>
      </c>
      <c r="B19032" s="6" t="s">
        <v>1</v>
      </c>
      <c r="C19032" s="6" t="s">
        <v>1</v>
      </c>
    </row>
    <row r="19033" spans="1:3" s="7" customFormat="1" x14ac:dyDescent="0.2">
      <c r="A19033" s="6" t="str">
        <f>"APOBEC3H"</f>
        <v>APOBEC3H</v>
      </c>
      <c r="B19033" s="6" t="s">
        <v>1</v>
      </c>
      <c r="C19033" s="6" t="s">
        <v>1</v>
      </c>
    </row>
    <row r="19034" spans="1:3" s="7" customFormat="1" x14ac:dyDescent="0.2">
      <c r="A19034" s="6" t="str">
        <f>"P3R3URF-PIK3R3"</f>
        <v>P3R3URF-PIK3R3</v>
      </c>
      <c r="B19034" s="6" t="s">
        <v>1</v>
      </c>
      <c r="C19034" s="6" t="s">
        <v>1</v>
      </c>
    </row>
    <row r="19035" spans="1:3" s="7" customFormat="1" x14ac:dyDescent="0.2">
      <c r="A19035" s="6" t="str">
        <f>"PTMAP2"</f>
        <v>PTMAP2</v>
      </c>
      <c r="B19035" s="6" t="s">
        <v>1</v>
      </c>
      <c r="C19035" s="6" t="s">
        <v>1</v>
      </c>
    </row>
    <row r="19036" spans="1:3" s="7" customFormat="1" x14ac:dyDescent="0.2">
      <c r="A19036" s="6" t="str">
        <f>"AC131888.1"</f>
        <v>AC131888.1</v>
      </c>
      <c r="B19036" s="6" t="s">
        <v>1</v>
      </c>
      <c r="C19036" s="6" t="s">
        <v>1</v>
      </c>
    </row>
    <row r="19037" spans="1:3" s="7" customFormat="1" x14ac:dyDescent="0.2">
      <c r="A19037" s="6" t="str">
        <f>"RPL7P9"</f>
        <v>RPL7P9</v>
      </c>
      <c r="B19037" s="6" t="s">
        <v>1</v>
      </c>
      <c r="C19037" s="6" t="s">
        <v>1</v>
      </c>
    </row>
    <row r="19038" spans="1:3" s="7" customFormat="1" x14ac:dyDescent="0.2">
      <c r="A19038" s="6" t="str">
        <f>"AC132938.2"</f>
        <v>AC132938.2</v>
      </c>
      <c r="B19038" s="6" t="s">
        <v>1</v>
      </c>
      <c r="C19038" s="6" t="s">
        <v>1</v>
      </c>
    </row>
    <row r="19039" spans="1:3" s="7" customFormat="1" x14ac:dyDescent="0.2">
      <c r="A19039" s="6" t="str">
        <f>"ALG1L8P"</f>
        <v>ALG1L8P</v>
      </c>
      <c r="B19039" s="6" t="s">
        <v>1</v>
      </c>
      <c r="C19039" s="6" t="s">
        <v>1</v>
      </c>
    </row>
    <row r="19040" spans="1:3" s="7" customFormat="1" x14ac:dyDescent="0.2">
      <c r="A19040" s="6" t="str">
        <f>"PHYHIPL"</f>
        <v>PHYHIPL</v>
      </c>
      <c r="B19040" s="6" t="s">
        <v>1</v>
      </c>
      <c r="C19040" s="6" t="s">
        <v>1</v>
      </c>
    </row>
    <row r="19041" spans="1:3" s="7" customFormat="1" x14ac:dyDescent="0.2">
      <c r="A19041" s="6" t="str">
        <f>"PPBP"</f>
        <v>PPBP</v>
      </c>
      <c r="B19041" s="6" t="s">
        <v>1</v>
      </c>
      <c r="C19041" s="6" t="s">
        <v>1</v>
      </c>
    </row>
    <row r="19042" spans="1:3" s="7" customFormat="1" x14ac:dyDescent="0.2">
      <c r="A19042" s="6" t="str">
        <f>"TREML1"</f>
        <v>TREML1</v>
      </c>
      <c r="B19042" s="6" t="s">
        <v>1</v>
      </c>
      <c r="C19042" s="6" t="s">
        <v>1</v>
      </c>
    </row>
    <row r="19043" spans="1:3" s="7" customFormat="1" x14ac:dyDescent="0.2">
      <c r="A19043" s="6" t="str">
        <f>"PI16"</f>
        <v>PI16</v>
      </c>
      <c r="B19043" s="6" t="s">
        <v>1</v>
      </c>
      <c r="C19043" s="6" t="s">
        <v>1</v>
      </c>
    </row>
    <row r="19044" spans="1:3" s="7" customFormat="1" x14ac:dyDescent="0.2">
      <c r="A19044" s="6" t="str">
        <f>"AL353759.1"</f>
        <v>AL353759.1</v>
      </c>
      <c r="B19044" s="6" t="s">
        <v>1</v>
      </c>
      <c r="C19044" s="6" t="s">
        <v>1</v>
      </c>
    </row>
    <row r="19045" spans="1:3" s="7" customFormat="1" x14ac:dyDescent="0.2">
      <c r="A19045" s="6" t="str">
        <f>"TTTY2B"</f>
        <v>TTTY2B</v>
      </c>
      <c r="B19045" s="6" t="s">
        <v>1</v>
      </c>
      <c r="C19045" s="6" t="s">
        <v>1</v>
      </c>
    </row>
    <row r="19046" spans="1:3" s="7" customFormat="1" x14ac:dyDescent="0.2">
      <c r="A19046" s="6" t="str">
        <f>"AC242022.2"</f>
        <v>AC242022.2</v>
      </c>
      <c r="B19046" s="6" t="s">
        <v>1</v>
      </c>
      <c r="C19046" s="6" t="s">
        <v>1</v>
      </c>
    </row>
    <row r="19047" spans="1:3" s="7" customFormat="1" x14ac:dyDescent="0.2">
      <c r="A19047" s="6" t="str">
        <f>"PCSEAT"</f>
        <v>PCSEAT</v>
      </c>
      <c r="B19047" s="6" t="s">
        <v>1</v>
      </c>
      <c r="C19047" s="6" t="s">
        <v>1</v>
      </c>
    </row>
    <row r="19048" spans="1:3" s="7" customFormat="1" x14ac:dyDescent="0.2">
      <c r="A19048" s="6" t="str">
        <f>"AC008781.1"</f>
        <v>AC008781.1</v>
      </c>
      <c r="B19048" s="6" t="s">
        <v>1</v>
      </c>
      <c r="C19048" s="6" t="s">
        <v>1</v>
      </c>
    </row>
    <row r="19049" spans="1:3" s="7" customFormat="1" x14ac:dyDescent="0.2">
      <c r="A19049" s="6" t="str">
        <f>"AC004706.1"</f>
        <v>AC004706.1</v>
      </c>
      <c r="B19049" s="6" t="s">
        <v>1</v>
      </c>
      <c r="C19049" s="6" t="s">
        <v>1</v>
      </c>
    </row>
    <row r="19050" spans="1:3" s="7" customFormat="1" x14ac:dyDescent="0.2">
      <c r="A19050" s="6" t="str">
        <f>"AL451069.2"</f>
        <v>AL451069.2</v>
      </c>
      <c r="B19050" s="6" t="s">
        <v>1</v>
      </c>
      <c r="C19050" s="6" t="s">
        <v>1</v>
      </c>
    </row>
    <row r="19051" spans="1:3" s="7" customFormat="1" x14ac:dyDescent="0.2">
      <c r="A19051" s="6" t="str">
        <f>"ASTN1"</f>
        <v>ASTN1</v>
      </c>
      <c r="B19051" s="6" t="s">
        <v>1</v>
      </c>
      <c r="C19051" s="6" t="s">
        <v>1</v>
      </c>
    </row>
    <row r="19052" spans="1:3" s="7" customFormat="1" x14ac:dyDescent="0.2">
      <c r="A19052" s="6" t="str">
        <f>"AP000866.6"</f>
        <v>AP000866.6</v>
      </c>
      <c r="B19052" s="6" t="s">
        <v>1</v>
      </c>
      <c r="C19052" s="6" t="s">
        <v>1</v>
      </c>
    </row>
    <row r="19053" spans="1:3" s="7" customFormat="1" x14ac:dyDescent="0.2">
      <c r="A19053" s="6" t="str">
        <f>"SOD3"</f>
        <v>SOD3</v>
      </c>
      <c r="B19053" s="6" t="s">
        <v>1</v>
      </c>
      <c r="C19053" s="6" t="s">
        <v>1</v>
      </c>
    </row>
    <row r="19054" spans="1:3" s="7" customFormat="1" x14ac:dyDescent="0.2">
      <c r="A19054" s="6" t="str">
        <f>"AC068282.2"</f>
        <v>AC068282.2</v>
      </c>
      <c r="B19054" s="6" t="s">
        <v>1</v>
      </c>
      <c r="C19054" s="6" t="s">
        <v>1</v>
      </c>
    </row>
    <row r="19055" spans="1:3" s="7" customFormat="1" x14ac:dyDescent="0.2">
      <c r="A19055" s="6" t="str">
        <f>"MYMX"</f>
        <v>MYMX</v>
      </c>
      <c r="B19055" s="6" t="s">
        <v>1</v>
      </c>
      <c r="C19055" s="6" t="s">
        <v>1</v>
      </c>
    </row>
    <row r="19056" spans="1:3" s="7" customFormat="1" x14ac:dyDescent="0.2">
      <c r="A19056" s="6" t="str">
        <f>"AC023024.2"</f>
        <v>AC023024.2</v>
      </c>
      <c r="B19056" s="6" t="s">
        <v>1</v>
      </c>
      <c r="C19056" s="6" t="s">
        <v>1</v>
      </c>
    </row>
    <row r="19057" spans="1:3" s="7" customFormat="1" x14ac:dyDescent="0.2">
      <c r="A19057" s="6" t="str">
        <f>"AC107223.1"</f>
        <v>AC107223.1</v>
      </c>
      <c r="B19057" s="6" t="s">
        <v>1</v>
      </c>
      <c r="C19057" s="6" t="s">
        <v>1</v>
      </c>
    </row>
    <row r="19058" spans="1:3" s="7" customFormat="1" x14ac:dyDescent="0.2">
      <c r="A19058" s="6" t="str">
        <f>"AC093627.7"</f>
        <v>AC093627.7</v>
      </c>
      <c r="B19058" s="6" t="s">
        <v>1</v>
      </c>
      <c r="C19058" s="6" t="s">
        <v>1</v>
      </c>
    </row>
    <row r="19059" spans="1:3" s="7" customFormat="1" x14ac:dyDescent="0.2">
      <c r="A19059" s="6" t="str">
        <f>"AL354696.1"</f>
        <v>AL354696.1</v>
      </c>
      <c r="B19059" s="6" t="s">
        <v>1</v>
      </c>
      <c r="C19059" s="6" t="s">
        <v>1</v>
      </c>
    </row>
    <row r="19060" spans="1:3" s="7" customFormat="1" x14ac:dyDescent="0.2">
      <c r="A19060" s="6" t="str">
        <f>"PPIAP59"</f>
        <v>PPIAP59</v>
      </c>
      <c r="B19060" s="6" t="s">
        <v>1</v>
      </c>
      <c r="C19060" s="6" t="s">
        <v>1</v>
      </c>
    </row>
    <row r="19061" spans="1:3" s="7" customFormat="1" x14ac:dyDescent="0.2">
      <c r="A19061" s="6" t="str">
        <f>"AC022417.1"</f>
        <v>AC022417.1</v>
      </c>
      <c r="B19061" s="6" t="s">
        <v>1</v>
      </c>
      <c r="C19061" s="6" t="s">
        <v>1</v>
      </c>
    </row>
    <row r="19062" spans="1:3" s="7" customFormat="1" x14ac:dyDescent="0.2">
      <c r="A19062" s="6" t="str">
        <f>"LINC01139"</f>
        <v>LINC01139</v>
      </c>
      <c r="B19062" s="6" t="s">
        <v>1</v>
      </c>
      <c r="C19062" s="6" t="s">
        <v>1</v>
      </c>
    </row>
    <row r="19063" spans="1:3" s="7" customFormat="1" x14ac:dyDescent="0.2">
      <c r="A19063" s="6" t="str">
        <f>"DNASE1L2"</f>
        <v>DNASE1L2</v>
      </c>
      <c r="B19063" s="6" t="s">
        <v>1</v>
      </c>
      <c r="C19063" s="6" t="s">
        <v>1</v>
      </c>
    </row>
    <row r="19064" spans="1:3" s="7" customFormat="1" x14ac:dyDescent="0.2">
      <c r="A19064" s="6" t="str">
        <f>"AC004943.1"</f>
        <v>AC004943.1</v>
      </c>
      <c r="B19064" s="6" t="s">
        <v>1</v>
      </c>
      <c r="C19064" s="6" t="s">
        <v>1</v>
      </c>
    </row>
    <row r="19065" spans="1:3" s="7" customFormat="1" x14ac:dyDescent="0.2">
      <c r="A19065" s="6" t="str">
        <f>"AC087468.2"</f>
        <v>AC087468.2</v>
      </c>
      <c r="B19065" s="6" t="s">
        <v>1</v>
      </c>
      <c r="C19065" s="6" t="s">
        <v>1</v>
      </c>
    </row>
    <row r="19066" spans="1:3" s="7" customFormat="1" x14ac:dyDescent="0.2">
      <c r="A19066" s="6" t="str">
        <f>"MED14OS"</f>
        <v>MED14OS</v>
      </c>
      <c r="B19066" s="6" t="s">
        <v>1</v>
      </c>
      <c r="C19066" s="6" t="s">
        <v>1</v>
      </c>
    </row>
    <row r="19067" spans="1:3" s="7" customFormat="1" x14ac:dyDescent="0.2">
      <c r="A19067" s="6" t="str">
        <f>"TREH"</f>
        <v>TREH</v>
      </c>
      <c r="B19067" s="6" t="s">
        <v>1</v>
      </c>
      <c r="C19067" s="6" t="s">
        <v>1</v>
      </c>
    </row>
    <row r="19068" spans="1:3" s="7" customFormat="1" x14ac:dyDescent="0.2">
      <c r="A19068" s="6" t="str">
        <f>"NXF2B"</f>
        <v>NXF2B</v>
      </c>
      <c r="B19068" s="6" t="s">
        <v>1</v>
      </c>
      <c r="C19068" s="6" t="s">
        <v>1</v>
      </c>
    </row>
    <row r="19069" spans="1:3" s="7" customFormat="1" x14ac:dyDescent="0.2">
      <c r="A19069" s="6" t="str">
        <f>"HAS2-AS1"</f>
        <v>HAS2-AS1</v>
      </c>
      <c r="B19069" s="6" t="s">
        <v>1</v>
      </c>
      <c r="C19069" s="6" t="s">
        <v>1</v>
      </c>
    </row>
    <row r="19070" spans="1:3" s="7" customFormat="1" x14ac:dyDescent="0.2">
      <c r="A19070" s="6" t="str">
        <f>"AC004847.1"</f>
        <v>AC004847.1</v>
      </c>
      <c r="B19070" s="6" t="s">
        <v>1</v>
      </c>
      <c r="C19070" s="6" t="s">
        <v>1</v>
      </c>
    </row>
    <row r="19071" spans="1:3" s="7" customFormat="1" x14ac:dyDescent="0.2">
      <c r="A19071" s="6" t="str">
        <f>"AL031005.1"</f>
        <v>AL031005.1</v>
      </c>
      <c r="B19071" s="6" t="s">
        <v>1</v>
      </c>
      <c r="C19071" s="6" t="s">
        <v>1</v>
      </c>
    </row>
    <row r="19072" spans="1:3" s="7" customFormat="1" x14ac:dyDescent="0.2">
      <c r="A19072" s="6" t="str">
        <f>"ECEL1P1"</f>
        <v>ECEL1P1</v>
      </c>
      <c r="B19072" s="6" t="s">
        <v>1</v>
      </c>
      <c r="C19072" s="6" t="s">
        <v>1</v>
      </c>
    </row>
    <row r="19073" spans="1:3" s="7" customFormat="1" x14ac:dyDescent="0.2">
      <c r="A19073" s="6" t="str">
        <f>"RNF182"</f>
        <v>RNF182</v>
      </c>
      <c r="B19073" s="6" t="s">
        <v>1</v>
      </c>
      <c r="C19073" s="6" t="s">
        <v>1</v>
      </c>
    </row>
    <row r="19074" spans="1:3" s="7" customFormat="1" x14ac:dyDescent="0.2">
      <c r="A19074" s="6" t="str">
        <f>"AC022730.4"</f>
        <v>AC022730.4</v>
      </c>
      <c r="B19074" s="6" t="s">
        <v>1</v>
      </c>
      <c r="C19074" s="6" t="s">
        <v>1</v>
      </c>
    </row>
    <row r="19075" spans="1:3" s="7" customFormat="1" x14ac:dyDescent="0.2">
      <c r="A19075" s="6" t="str">
        <f>"SRGAP3-AS4"</f>
        <v>SRGAP3-AS4</v>
      </c>
      <c r="B19075" s="6" t="s">
        <v>1</v>
      </c>
      <c r="C19075" s="6" t="s">
        <v>1</v>
      </c>
    </row>
    <row r="19076" spans="1:3" s="7" customFormat="1" x14ac:dyDescent="0.2">
      <c r="A19076" s="6" t="str">
        <f>"STXBP5L"</f>
        <v>STXBP5L</v>
      </c>
      <c r="B19076" s="6" t="s">
        <v>1</v>
      </c>
      <c r="C19076" s="6" t="s">
        <v>1</v>
      </c>
    </row>
    <row r="19077" spans="1:3" s="7" customFormat="1" x14ac:dyDescent="0.2">
      <c r="A19077" s="6" t="str">
        <f>"CRIP3"</f>
        <v>CRIP3</v>
      </c>
      <c r="B19077" s="6" t="s">
        <v>1</v>
      </c>
      <c r="C19077" s="6" t="s">
        <v>1</v>
      </c>
    </row>
    <row r="19078" spans="1:3" s="7" customFormat="1" x14ac:dyDescent="0.2">
      <c r="A19078" s="6" t="str">
        <f>"GLT8D2"</f>
        <v>GLT8D2</v>
      </c>
      <c r="B19078" s="6" t="s">
        <v>1</v>
      </c>
      <c r="C19078" s="6" t="s">
        <v>1</v>
      </c>
    </row>
    <row r="19079" spans="1:3" s="7" customFormat="1" x14ac:dyDescent="0.2">
      <c r="A19079" s="6" t="str">
        <f>"AC023043.4"</f>
        <v>AC023043.4</v>
      </c>
      <c r="B19079" s="6" t="s">
        <v>1</v>
      </c>
      <c r="C19079" s="6" t="s">
        <v>1</v>
      </c>
    </row>
    <row r="19080" spans="1:3" s="7" customFormat="1" x14ac:dyDescent="0.2">
      <c r="A19080" s="6" t="str">
        <f>"AP000356.3"</f>
        <v>AP000356.3</v>
      </c>
      <c r="B19080" s="6" t="s">
        <v>1</v>
      </c>
      <c r="C19080" s="6" t="s">
        <v>1</v>
      </c>
    </row>
    <row r="19081" spans="1:3" s="7" customFormat="1" x14ac:dyDescent="0.2">
      <c r="A19081" s="6" t="str">
        <f>"BSN-DT"</f>
        <v>BSN-DT</v>
      </c>
      <c r="B19081" s="6" t="s">
        <v>1</v>
      </c>
      <c r="C19081" s="6" t="s">
        <v>1</v>
      </c>
    </row>
    <row r="19082" spans="1:3" s="7" customFormat="1" x14ac:dyDescent="0.2">
      <c r="A19082" s="6" t="str">
        <f>"EMX2OS"</f>
        <v>EMX2OS</v>
      </c>
      <c r="B19082" s="6" t="s">
        <v>1</v>
      </c>
      <c r="C19082" s="6" t="s">
        <v>1</v>
      </c>
    </row>
    <row r="19083" spans="1:3" s="7" customFormat="1" x14ac:dyDescent="0.2">
      <c r="A19083" s="6" t="str">
        <f>"NEIL3"</f>
        <v>NEIL3</v>
      </c>
      <c r="B19083" s="6" t="s">
        <v>1</v>
      </c>
      <c r="C19083" s="6" t="s">
        <v>1</v>
      </c>
    </row>
    <row r="19084" spans="1:3" s="7" customFormat="1" x14ac:dyDescent="0.2">
      <c r="A19084" s="6" t="str">
        <f>"AC060766.4"</f>
        <v>AC060766.4</v>
      </c>
      <c r="B19084" s="6" t="s">
        <v>1</v>
      </c>
      <c r="C19084" s="6" t="s">
        <v>1</v>
      </c>
    </row>
    <row r="19085" spans="1:3" s="7" customFormat="1" x14ac:dyDescent="0.2">
      <c r="A19085" s="6" t="str">
        <f>"AC007389.1"</f>
        <v>AC007389.1</v>
      </c>
      <c r="B19085" s="6" t="s">
        <v>1</v>
      </c>
      <c r="C19085" s="6" t="s">
        <v>1</v>
      </c>
    </row>
    <row r="19086" spans="1:3" s="7" customFormat="1" x14ac:dyDescent="0.2">
      <c r="A19086" s="6" t="str">
        <f>"AC068205.2"</f>
        <v>AC068205.2</v>
      </c>
      <c r="B19086" s="6" t="s">
        <v>1</v>
      </c>
      <c r="C19086" s="6" t="s">
        <v>1</v>
      </c>
    </row>
    <row r="19087" spans="1:3" s="7" customFormat="1" x14ac:dyDescent="0.2">
      <c r="A19087" s="6" t="str">
        <f>"AL512306.2"</f>
        <v>AL512306.2</v>
      </c>
      <c r="B19087" s="6" t="s">
        <v>1</v>
      </c>
      <c r="C19087" s="6" t="s">
        <v>1</v>
      </c>
    </row>
    <row r="19088" spans="1:3" s="7" customFormat="1" x14ac:dyDescent="0.2">
      <c r="A19088" s="6" t="str">
        <f>"FLJ38576"</f>
        <v>FLJ38576</v>
      </c>
      <c r="B19088" s="6" t="s">
        <v>1</v>
      </c>
      <c r="C19088" s="6" t="s">
        <v>1</v>
      </c>
    </row>
    <row r="19089" spans="1:3" s="7" customFormat="1" x14ac:dyDescent="0.2">
      <c r="A19089" s="6" t="str">
        <f>"LINC02028"</f>
        <v>LINC02028</v>
      </c>
      <c r="B19089" s="6" t="s">
        <v>1</v>
      </c>
      <c r="C19089" s="6" t="s">
        <v>1</v>
      </c>
    </row>
    <row r="19090" spans="1:3" s="7" customFormat="1" x14ac:dyDescent="0.2">
      <c r="A19090" s="6" t="str">
        <f>"S1PR1"</f>
        <v>S1PR1</v>
      </c>
      <c r="B19090" s="6" t="s">
        <v>1</v>
      </c>
      <c r="C19090" s="6" t="s">
        <v>1</v>
      </c>
    </row>
    <row r="19091" spans="1:3" s="7" customFormat="1" x14ac:dyDescent="0.2">
      <c r="A19091" s="6" t="str">
        <f>"APLNR"</f>
        <v>APLNR</v>
      </c>
      <c r="B19091" s="6" t="s">
        <v>1</v>
      </c>
      <c r="C19091" s="6" t="s">
        <v>1</v>
      </c>
    </row>
    <row r="19092" spans="1:3" s="7" customFormat="1" x14ac:dyDescent="0.2">
      <c r="A19092" s="6" t="str">
        <f>"AC009902.2"</f>
        <v>AC009902.2</v>
      </c>
      <c r="B19092" s="6" t="s">
        <v>1</v>
      </c>
      <c r="C19092" s="6" t="s">
        <v>1</v>
      </c>
    </row>
    <row r="19093" spans="1:3" s="7" customFormat="1" x14ac:dyDescent="0.2">
      <c r="A19093" s="6" t="str">
        <f>"SUCNR1"</f>
        <v>SUCNR1</v>
      </c>
      <c r="B19093" s="6" t="s">
        <v>1</v>
      </c>
      <c r="C19093" s="6" t="s">
        <v>1</v>
      </c>
    </row>
    <row r="19094" spans="1:3" s="7" customFormat="1" x14ac:dyDescent="0.2">
      <c r="A19094" s="6" t="str">
        <f>"KCNA3"</f>
        <v>KCNA3</v>
      </c>
      <c r="B19094" s="6" t="s">
        <v>1</v>
      </c>
      <c r="C19094" s="6" t="s">
        <v>1</v>
      </c>
    </row>
    <row r="19095" spans="1:3" s="7" customFormat="1" x14ac:dyDescent="0.2">
      <c r="A19095" s="6" t="str">
        <f>"AC087482.1"</f>
        <v>AC087482.1</v>
      </c>
      <c r="B19095" s="6" t="s">
        <v>1</v>
      </c>
      <c r="C19095" s="6" t="s">
        <v>1</v>
      </c>
    </row>
    <row r="19096" spans="1:3" s="7" customFormat="1" x14ac:dyDescent="0.2">
      <c r="A19096" s="6" t="str">
        <f>"ADPGK-AS1"</f>
        <v>ADPGK-AS1</v>
      </c>
      <c r="B19096" s="6" t="s">
        <v>1</v>
      </c>
      <c r="C19096" s="6" t="s">
        <v>1</v>
      </c>
    </row>
    <row r="19097" spans="1:3" s="7" customFormat="1" x14ac:dyDescent="0.2">
      <c r="A19097" s="6" t="str">
        <f>"AC004834.1"</f>
        <v>AC004834.1</v>
      </c>
      <c r="B19097" s="6" t="s">
        <v>1</v>
      </c>
      <c r="C19097" s="6" t="s">
        <v>1</v>
      </c>
    </row>
    <row r="19098" spans="1:3" s="7" customFormat="1" x14ac:dyDescent="0.2">
      <c r="A19098" s="6" t="str">
        <f>"CHRD"</f>
        <v>CHRD</v>
      </c>
      <c r="B19098" s="6" t="s">
        <v>1</v>
      </c>
      <c r="C19098" s="6" t="s">
        <v>1</v>
      </c>
    </row>
    <row r="19099" spans="1:3" s="7" customFormat="1" x14ac:dyDescent="0.2">
      <c r="A19099" s="6" t="str">
        <f>"KCNA2"</f>
        <v>KCNA2</v>
      </c>
      <c r="B19099" s="6" t="s">
        <v>1</v>
      </c>
      <c r="C19099" s="6" t="s">
        <v>1</v>
      </c>
    </row>
    <row r="19100" spans="1:3" s="7" customFormat="1" x14ac:dyDescent="0.2">
      <c r="A19100" s="6" t="str">
        <f>"EEF1A1P9"</f>
        <v>EEF1A1P9</v>
      </c>
      <c r="B19100" s="6" t="s">
        <v>1</v>
      </c>
      <c r="C19100" s="6" t="s">
        <v>1</v>
      </c>
    </row>
    <row r="19101" spans="1:3" s="7" customFormat="1" x14ac:dyDescent="0.2">
      <c r="A19101" s="6" t="str">
        <f>"AC009318.2"</f>
        <v>AC009318.2</v>
      </c>
      <c r="B19101" s="6" t="s">
        <v>1</v>
      </c>
      <c r="C19101" s="6" t="s">
        <v>1</v>
      </c>
    </row>
    <row r="19102" spans="1:3" s="7" customFormat="1" x14ac:dyDescent="0.2">
      <c r="A19102" s="6" t="str">
        <f>"AC127526.2"</f>
        <v>AC127526.2</v>
      </c>
      <c r="B19102" s="6" t="s">
        <v>1</v>
      </c>
      <c r="C19102" s="6" t="s">
        <v>1</v>
      </c>
    </row>
    <row r="19103" spans="1:3" s="7" customFormat="1" x14ac:dyDescent="0.2">
      <c r="A19103" s="6" t="str">
        <f>"CYP3A7"</f>
        <v>CYP3A7</v>
      </c>
      <c r="B19103" s="6" t="s">
        <v>1</v>
      </c>
      <c r="C19103" s="6" t="s">
        <v>1</v>
      </c>
    </row>
    <row r="19104" spans="1:3" s="7" customFormat="1" x14ac:dyDescent="0.2">
      <c r="A19104" s="6" t="str">
        <f>"MAGED4"</f>
        <v>MAGED4</v>
      </c>
      <c r="B19104" s="6" t="s">
        <v>1</v>
      </c>
      <c r="C19104" s="6" t="s">
        <v>1</v>
      </c>
    </row>
    <row r="19105" spans="1:3" s="7" customFormat="1" x14ac:dyDescent="0.2">
      <c r="A19105" s="6" t="str">
        <f>"AC107982.3"</f>
        <v>AC107982.3</v>
      </c>
      <c r="B19105" s="6" t="s">
        <v>1</v>
      </c>
      <c r="C19105" s="6" t="s">
        <v>1</v>
      </c>
    </row>
    <row r="19106" spans="1:3" s="7" customFormat="1" x14ac:dyDescent="0.2">
      <c r="A19106" s="6" t="str">
        <f>"AC009318.3"</f>
        <v>AC009318.3</v>
      </c>
      <c r="B19106" s="6" t="s">
        <v>1</v>
      </c>
      <c r="C19106" s="6" t="s">
        <v>1</v>
      </c>
    </row>
    <row r="19107" spans="1:3" s="7" customFormat="1" x14ac:dyDescent="0.2">
      <c r="A19107" s="6" t="str">
        <f>"VIT"</f>
        <v>VIT</v>
      </c>
      <c r="B19107" s="6" t="s">
        <v>1</v>
      </c>
      <c r="C19107" s="6" t="s">
        <v>1</v>
      </c>
    </row>
    <row r="19108" spans="1:3" s="7" customFormat="1" x14ac:dyDescent="0.2">
      <c r="A19108" s="6" t="str">
        <f>"AC068446.2"</f>
        <v>AC068446.2</v>
      </c>
      <c r="B19108" s="6" t="s">
        <v>1</v>
      </c>
      <c r="C19108" s="6" t="s">
        <v>1</v>
      </c>
    </row>
    <row r="19109" spans="1:3" s="7" customFormat="1" x14ac:dyDescent="0.2">
      <c r="A19109" s="6" t="str">
        <f>"PROSER2-AS1"</f>
        <v>PROSER2-AS1</v>
      </c>
      <c r="B19109" s="6" t="s">
        <v>1</v>
      </c>
      <c r="C19109" s="6" t="s">
        <v>1</v>
      </c>
    </row>
    <row r="19110" spans="1:3" s="7" customFormat="1" x14ac:dyDescent="0.2">
      <c r="A19110" s="6" t="str">
        <f>"AL133373.3"</f>
        <v>AL133373.3</v>
      </c>
      <c r="B19110" s="6" t="s">
        <v>1</v>
      </c>
      <c r="C19110" s="6" t="s">
        <v>1</v>
      </c>
    </row>
    <row r="19111" spans="1:3" s="7" customFormat="1" x14ac:dyDescent="0.2">
      <c r="A19111" s="6" t="str">
        <f>"AP000437.1"</f>
        <v>AP000437.1</v>
      </c>
      <c r="B19111" s="6" t="s">
        <v>1</v>
      </c>
      <c r="C19111" s="6" t="s">
        <v>1</v>
      </c>
    </row>
    <row r="19112" spans="1:3" s="7" customFormat="1" x14ac:dyDescent="0.2">
      <c r="A19112" s="6" t="str">
        <f>"AL023802.1"</f>
        <v>AL023802.1</v>
      </c>
      <c r="B19112" s="6" t="s">
        <v>1</v>
      </c>
      <c r="C19112" s="6" t="s">
        <v>1</v>
      </c>
    </row>
    <row r="19113" spans="1:3" s="7" customFormat="1" x14ac:dyDescent="0.2">
      <c r="A19113" s="6" t="str">
        <f>"GABRR2"</f>
        <v>GABRR2</v>
      </c>
      <c r="B19113" s="6" t="s">
        <v>1</v>
      </c>
      <c r="C19113" s="6" t="s">
        <v>1</v>
      </c>
    </row>
    <row r="19114" spans="1:3" s="7" customFormat="1" x14ac:dyDescent="0.2">
      <c r="A19114" s="6" t="str">
        <f>"CRLF2"</f>
        <v>CRLF2</v>
      </c>
      <c r="B19114" s="6" t="s">
        <v>1</v>
      </c>
      <c r="C19114" s="6" t="s">
        <v>1</v>
      </c>
    </row>
    <row r="19115" spans="1:3" s="7" customFormat="1" x14ac:dyDescent="0.2">
      <c r="A19115" s="6" t="str">
        <f>"HNF1A-AS1"</f>
        <v>HNF1A-AS1</v>
      </c>
      <c r="B19115" s="6" t="s">
        <v>1</v>
      </c>
      <c r="C19115" s="6" t="s">
        <v>1</v>
      </c>
    </row>
    <row r="19116" spans="1:3" s="7" customFormat="1" x14ac:dyDescent="0.2">
      <c r="A19116" s="6" t="str">
        <f>"AC131025.3"</f>
        <v>AC131025.3</v>
      </c>
      <c r="B19116" s="6" t="s">
        <v>1</v>
      </c>
      <c r="C19116" s="6" t="s">
        <v>1</v>
      </c>
    </row>
    <row r="19117" spans="1:3" s="7" customFormat="1" x14ac:dyDescent="0.2">
      <c r="A19117" s="6" t="str">
        <f>"AC245884.11"</f>
        <v>AC245884.11</v>
      </c>
      <c r="B19117" s="6" t="s">
        <v>1</v>
      </c>
      <c r="C19117" s="6" t="s">
        <v>1</v>
      </c>
    </row>
    <row r="19118" spans="1:3" s="7" customFormat="1" x14ac:dyDescent="0.2">
      <c r="A19118" s="6" t="str">
        <f>"AC012447.1"</f>
        <v>AC012447.1</v>
      </c>
      <c r="B19118" s="6" t="s">
        <v>1</v>
      </c>
      <c r="C19118" s="6" t="s">
        <v>1</v>
      </c>
    </row>
    <row r="19119" spans="1:3" s="7" customFormat="1" x14ac:dyDescent="0.2">
      <c r="A19119" s="6" t="str">
        <f>"AC087239.1"</f>
        <v>AC087239.1</v>
      </c>
      <c r="B19119" s="6" t="s">
        <v>1</v>
      </c>
      <c r="C19119" s="6" t="s">
        <v>1</v>
      </c>
    </row>
    <row r="19120" spans="1:3" s="7" customFormat="1" x14ac:dyDescent="0.2">
      <c r="A19120" s="6" t="str">
        <f>"HNRNPA1P10"</f>
        <v>HNRNPA1P10</v>
      </c>
      <c r="B19120" s="6" t="s">
        <v>1</v>
      </c>
      <c r="C19120" s="6" t="s">
        <v>1</v>
      </c>
    </row>
    <row r="19121" spans="1:3" s="7" customFormat="1" x14ac:dyDescent="0.2">
      <c r="A19121" s="6" t="str">
        <f>"LINC01014"</f>
        <v>LINC01014</v>
      </c>
      <c r="B19121" s="6" t="s">
        <v>1</v>
      </c>
      <c r="C19121" s="6" t="s">
        <v>1</v>
      </c>
    </row>
    <row r="19122" spans="1:3" s="7" customFormat="1" x14ac:dyDescent="0.2">
      <c r="A19122" s="6" t="str">
        <f>"LINC01215"</f>
        <v>LINC01215</v>
      </c>
      <c r="B19122" s="6" t="s">
        <v>1</v>
      </c>
      <c r="C19122" s="6" t="s">
        <v>1</v>
      </c>
    </row>
    <row r="19123" spans="1:3" s="7" customFormat="1" x14ac:dyDescent="0.2">
      <c r="A19123" s="6" t="str">
        <f>"AL359921.2"</f>
        <v>AL359921.2</v>
      </c>
      <c r="B19123" s="6" t="s">
        <v>1</v>
      </c>
      <c r="C19123" s="6" t="s">
        <v>1</v>
      </c>
    </row>
    <row r="19124" spans="1:3" s="7" customFormat="1" x14ac:dyDescent="0.2">
      <c r="A19124" s="6" t="str">
        <f>"AL450345.2"</f>
        <v>AL450345.2</v>
      </c>
      <c r="B19124" s="6" t="s">
        <v>1</v>
      </c>
      <c r="C19124" s="6" t="s">
        <v>1</v>
      </c>
    </row>
    <row r="19125" spans="1:3" s="7" customFormat="1" x14ac:dyDescent="0.2">
      <c r="A19125" s="6" t="str">
        <f>"AL133318.1"</f>
        <v>AL133318.1</v>
      </c>
      <c r="B19125" s="6" t="s">
        <v>1</v>
      </c>
      <c r="C19125" s="6" t="s">
        <v>1</v>
      </c>
    </row>
    <row r="19126" spans="1:3" s="7" customFormat="1" x14ac:dyDescent="0.2">
      <c r="A19126" s="6" t="str">
        <f>"AC009948.2"</f>
        <v>AC009948.2</v>
      </c>
      <c r="B19126" s="6" t="s">
        <v>1</v>
      </c>
      <c r="C19126" s="6" t="s">
        <v>1</v>
      </c>
    </row>
    <row r="19127" spans="1:3" s="7" customFormat="1" x14ac:dyDescent="0.2">
      <c r="A19127" s="6" t="str">
        <f>"LHX6"</f>
        <v>LHX6</v>
      </c>
      <c r="B19127" s="6" t="s">
        <v>1</v>
      </c>
      <c r="C19127" s="6" t="s">
        <v>1</v>
      </c>
    </row>
    <row r="19128" spans="1:3" s="7" customFormat="1" x14ac:dyDescent="0.2">
      <c r="A19128" s="6" t="str">
        <f>"SRP54-AS1"</f>
        <v>SRP54-AS1</v>
      </c>
      <c r="B19128" s="6" t="s">
        <v>1</v>
      </c>
      <c r="C19128" s="6" t="s">
        <v>1</v>
      </c>
    </row>
    <row r="19129" spans="1:3" s="7" customFormat="1" x14ac:dyDescent="0.2">
      <c r="A19129" s="6" t="str">
        <f>"AC064799.1"</f>
        <v>AC064799.1</v>
      </c>
      <c r="B19129" s="6" t="s">
        <v>1</v>
      </c>
      <c r="C19129" s="6" t="s">
        <v>1</v>
      </c>
    </row>
    <row r="19130" spans="1:3" s="7" customFormat="1" x14ac:dyDescent="0.2">
      <c r="A19130" s="6" t="str">
        <f>"AP000580.1"</f>
        <v>AP000580.1</v>
      </c>
      <c r="B19130" s="6" t="s">
        <v>1</v>
      </c>
      <c r="C19130" s="6" t="s">
        <v>1</v>
      </c>
    </row>
    <row r="19131" spans="1:3" s="7" customFormat="1" x14ac:dyDescent="0.2">
      <c r="A19131" s="6" t="str">
        <f>"TNFRSF4"</f>
        <v>TNFRSF4</v>
      </c>
      <c r="B19131" s="6" t="s">
        <v>1</v>
      </c>
      <c r="C19131" s="6" t="s">
        <v>1</v>
      </c>
    </row>
    <row r="19132" spans="1:3" s="7" customFormat="1" x14ac:dyDescent="0.2">
      <c r="A19132" s="6" t="str">
        <f>"AP000894.4"</f>
        <v>AP000894.4</v>
      </c>
      <c r="B19132" s="6" t="s">
        <v>1</v>
      </c>
      <c r="C19132" s="6" t="s">
        <v>1</v>
      </c>
    </row>
    <row r="19133" spans="1:3" s="7" customFormat="1" x14ac:dyDescent="0.2">
      <c r="A19133" s="6" t="str">
        <f>"SRPX"</f>
        <v>SRPX</v>
      </c>
      <c r="B19133" s="6" t="s">
        <v>1</v>
      </c>
      <c r="C19133" s="6" t="s">
        <v>1</v>
      </c>
    </row>
    <row r="19134" spans="1:3" s="7" customFormat="1" x14ac:dyDescent="0.2">
      <c r="A19134" s="6" t="str">
        <f>"MYLKP1"</f>
        <v>MYLKP1</v>
      </c>
      <c r="B19134" s="6" t="s">
        <v>1</v>
      </c>
      <c r="C19134" s="6" t="s">
        <v>1</v>
      </c>
    </row>
    <row r="19135" spans="1:3" s="7" customFormat="1" x14ac:dyDescent="0.2">
      <c r="A19135" s="6" t="str">
        <f>"AC129926.1"</f>
        <v>AC129926.1</v>
      </c>
      <c r="B19135" s="6" t="s">
        <v>1</v>
      </c>
      <c r="C19135" s="6" t="s">
        <v>1</v>
      </c>
    </row>
    <row r="19136" spans="1:3" s="7" customFormat="1" x14ac:dyDescent="0.2">
      <c r="A19136" s="6" t="str">
        <f>"AC093535.2"</f>
        <v>AC093535.2</v>
      </c>
      <c r="B19136" s="6" t="s">
        <v>1</v>
      </c>
      <c r="C19136" s="6" t="s">
        <v>1</v>
      </c>
    </row>
    <row r="19137" spans="1:3" s="7" customFormat="1" x14ac:dyDescent="0.2">
      <c r="A19137" s="6" t="str">
        <f>"CYP4F22"</f>
        <v>CYP4F22</v>
      </c>
      <c r="B19137" s="6" t="s">
        <v>1</v>
      </c>
      <c r="C19137" s="6" t="s">
        <v>1</v>
      </c>
    </row>
    <row r="19138" spans="1:3" s="7" customFormat="1" x14ac:dyDescent="0.2">
      <c r="A19138" s="6" t="str">
        <f>"TMEM151B"</f>
        <v>TMEM151B</v>
      </c>
      <c r="B19138" s="6" t="s">
        <v>1</v>
      </c>
      <c r="C19138" s="6" t="s">
        <v>1</v>
      </c>
    </row>
    <row r="19139" spans="1:3" s="7" customFormat="1" x14ac:dyDescent="0.2">
      <c r="A19139" s="6" t="str">
        <f>"AC063979.1"</f>
        <v>AC063979.1</v>
      </c>
      <c r="B19139" s="6" t="s">
        <v>1</v>
      </c>
      <c r="C19139" s="6" t="s">
        <v>1</v>
      </c>
    </row>
    <row r="19140" spans="1:3" s="7" customFormat="1" x14ac:dyDescent="0.2">
      <c r="A19140" s="6" t="str">
        <f>"AC084262.2"</f>
        <v>AC084262.2</v>
      </c>
      <c r="B19140" s="6" t="s">
        <v>1</v>
      </c>
      <c r="C19140" s="6" t="s">
        <v>1</v>
      </c>
    </row>
    <row r="19141" spans="1:3" s="7" customFormat="1" x14ac:dyDescent="0.2">
      <c r="A19141" s="6" t="str">
        <f>"AC012459.1"</f>
        <v>AC012459.1</v>
      </c>
      <c r="B19141" s="6" t="s">
        <v>1</v>
      </c>
      <c r="C19141" s="6" t="s">
        <v>1</v>
      </c>
    </row>
    <row r="19142" spans="1:3" s="7" customFormat="1" x14ac:dyDescent="0.2">
      <c r="A19142" s="6" t="str">
        <f>"MCTS2P"</f>
        <v>MCTS2P</v>
      </c>
      <c r="B19142" s="6" t="s">
        <v>1</v>
      </c>
      <c r="C19142" s="6" t="s">
        <v>1</v>
      </c>
    </row>
    <row r="19143" spans="1:3" s="7" customFormat="1" x14ac:dyDescent="0.2">
      <c r="A19143" s="6" t="str">
        <f>"AL445248.1"</f>
        <v>AL445248.1</v>
      </c>
      <c r="B19143" s="6" t="s">
        <v>1</v>
      </c>
      <c r="C19143" s="6" t="s">
        <v>1</v>
      </c>
    </row>
    <row r="19144" spans="1:3" s="7" customFormat="1" x14ac:dyDescent="0.2">
      <c r="A19144" s="6" t="str">
        <f>"NEFM"</f>
        <v>NEFM</v>
      </c>
      <c r="B19144" s="6" t="s">
        <v>1</v>
      </c>
      <c r="C19144" s="6" t="s">
        <v>1</v>
      </c>
    </row>
    <row r="19145" spans="1:3" s="7" customFormat="1" x14ac:dyDescent="0.2">
      <c r="A19145" s="6" t="str">
        <f>"AL031123.5"</f>
        <v>AL031123.5</v>
      </c>
      <c r="B19145" s="6" t="s">
        <v>1</v>
      </c>
      <c r="C19145" s="6" t="s">
        <v>1</v>
      </c>
    </row>
    <row r="19146" spans="1:3" s="7" customFormat="1" x14ac:dyDescent="0.2">
      <c r="A19146" s="6" t="str">
        <f>"LGALS17A"</f>
        <v>LGALS17A</v>
      </c>
      <c r="B19146" s="6" t="s">
        <v>1</v>
      </c>
      <c r="C19146" s="6" t="s">
        <v>1</v>
      </c>
    </row>
    <row r="19147" spans="1:3" s="7" customFormat="1" x14ac:dyDescent="0.2">
      <c r="A19147" s="6" t="str">
        <f>"MIR924HG"</f>
        <v>MIR924HG</v>
      </c>
      <c r="B19147" s="6" t="s">
        <v>1</v>
      </c>
      <c r="C19147" s="6" t="s">
        <v>1</v>
      </c>
    </row>
    <row r="19148" spans="1:3" s="7" customFormat="1" x14ac:dyDescent="0.2">
      <c r="A19148" s="6" t="str">
        <f>"AL133268.1"</f>
        <v>AL133268.1</v>
      </c>
      <c r="B19148" s="6" t="s">
        <v>1</v>
      </c>
      <c r="C19148" s="6" t="s">
        <v>1</v>
      </c>
    </row>
    <row r="19149" spans="1:3" s="7" customFormat="1" x14ac:dyDescent="0.2">
      <c r="A19149" s="6" t="str">
        <f>"AL136295.3"</f>
        <v>AL136295.3</v>
      </c>
      <c r="B19149" s="6" t="s">
        <v>1</v>
      </c>
      <c r="C19149" s="6" t="s">
        <v>1</v>
      </c>
    </row>
    <row r="19150" spans="1:3" s="7" customFormat="1" x14ac:dyDescent="0.2">
      <c r="A19150" s="6" t="str">
        <f>"AC107081.2"</f>
        <v>AC107081.2</v>
      </c>
      <c r="B19150" s="6" t="s">
        <v>1</v>
      </c>
      <c r="C19150" s="6" t="s">
        <v>1</v>
      </c>
    </row>
    <row r="19151" spans="1:3" s="7" customFormat="1" x14ac:dyDescent="0.2">
      <c r="A19151" s="6" t="str">
        <f>"DNM1P46"</f>
        <v>DNM1P46</v>
      </c>
      <c r="B19151" s="6" t="s">
        <v>1</v>
      </c>
      <c r="C19151" s="6" t="s">
        <v>1</v>
      </c>
    </row>
    <row r="19152" spans="1:3" s="7" customFormat="1" x14ac:dyDescent="0.2">
      <c r="A19152" s="6" t="str">
        <f>"NECAB1"</f>
        <v>NECAB1</v>
      </c>
      <c r="B19152" s="6" t="s">
        <v>1</v>
      </c>
      <c r="C19152" s="6" t="s">
        <v>1</v>
      </c>
    </row>
    <row r="19153" spans="1:3" s="7" customFormat="1" x14ac:dyDescent="0.2">
      <c r="A19153" s="6" t="str">
        <f>"TNFSF11"</f>
        <v>TNFSF11</v>
      </c>
      <c r="B19153" s="6" t="s">
        <v>1</v>
      </c>
      <c r="C19153" s="6" t="s">
        <v>1</v>
      </c>
    </row>
    <row r="19154" spans="1:3" s="7" customFormat="1" x14ac:dyDescent="0.2">
      <c r="A19154" s="6" t="str">
        <f>"DNAJC19P5"</f>
        <v>DNAJC19P5</v>
      </c>
      <c r="B19154" s="6" t="s">
        <v>1</v>
      </c>
      <c r="C19154" s="6" t="s">
        <v>1</v>
      </c>
    </row>
    <row r="19155" spans="1:3" s="7" customFormat="1" x14ac:dyDescent="0.2">
      <c r="A19155" s="6" t="str">
        <f>"LINC02303"</f>
        <v>LINC02303</v>
      </c>
      <c r="B19155" s="6" t="s">
        <v>1</v>
      </c>
      <c r="C19155" s="6" t="s">
        <v>1</v>
      </c>
    </row>
    <row r="19156" spans="1:3" s="7" customFormat="1" x14ac:dyDescent="0.2">
      <c r="A19156" s="6" t="str">
        <f>"GREM1"</f>
        <v>GREM1</v>
      </c>
      <c r="B19156" s="6" t="s">
        <v>1</v>
      </c>
      <c r="C19156" s="6" t="s">
        <v>1</v>
      </c>
    </row>
    <row r="19157" spans="1:3" s="7" customFormat="1" x14ac:dyDescent="0.2">
      <c r="A19157" s="6" t="str">
        <f>"ENPP6"</f>
        <v>ENPP6</v>
      </c>
      <c r="B19157" s="6" t="s">
        <v>1</v>
      </c>
      <c r="C19157" s="6" t="s">
        <v>1</v>
      </c>
    </row>
    <row r="19158" spans="1:3" s="7" customFormat="1" x14ac:dyDescent="0.2">
      <c r="A19158" s="6" t="str">
        <f>"AL133346.1"</f>
        <v>AL133346.1</v>
      </c>
      <c r="B19158" s="6" t="s">
        <v>1</v>
      </c>
      <c r="C19158" s="6" t="s">
        <v>1</v>
      </c>
    </row>
    <row r="19159" spans="1:3" s="7" customFormat="1" x14ac:dyDescent="0.2">
      <c r="A19159" s="6" t="str">
        <f>"GALNT15"</f>
        <v>GALNT15</v>
      </c>
      <c r="B19159" s="6" t="s">
        <v>1</v>
      </c>
      <c r="C19159" s="6" t="s">
        <v>1</v>
      </c>
    </row>
    <row r="19160" spans="1:3" s="7" customFormat="1" x14ac:dyDescent="0.2">
      <c r="A19160" s="6" t="str">
        <f>"AL353708.3"</f>
        <v>AL353708.3</v>
      </c>
      <c r="B19160" s="6" t="s">
        <v>1</v>
      </c>
      <c r="C19160" s="6" t="s">
        <v>1</v>
      </c>
    </row>
    <row r="19161" spans="1:3" s="7" customFormat="1" x14ac:dyDescent="0.2">
      <c r="A19161" s="6" t="str">
        <f>"GPR83"</f>
        <v>GPR83</v>
      </c>
      <c r="B19161" s="6" t="s">
        <v>1</v>
      </c>
      <c r="C19161" s="6" t="s">
        <v>1</v>
      </c>
    </row>
    <row r="19162" spans="1:3" s="7" customFormat="1" x14ac:dyDescent="0.2">
      <c r="A19162" s="6" t="str">
        <f>"AL512363.1"</f>
        <v>AL512363.1</v>
      </c>
      <c r="B19162" s="6" t="s">
        <v>1</v>
      </c>
      <c r="C19162" s="6" t="s">
        <v>1</v>
      </c>
    </row>
    <row r="19163" spans="1:3" s="7" customFormat="1" x14ac:dyDescent="0.2">
      <c r="A19163" s="6" t="str">
        <f>"AL353795.3"</f>
        <v>AL353795.3</v>
      </c>
      <c r="B19163" s="6" t="s">
        <v>1</v>
      </c>
      <c r="C19163" s="6" t="s">
        <v>1</v>
      </c>
    </row>
    <row r="19164" spans="1:3" s="7" customFormat="1" x14ac:dyDescent="0.2">
      <c r="A19164" s="6" t="str">
        <f>"AC127496.5"</f>
        <v>AC127496.5</v>
      </c>
      <c r="B19164" s="6" t="s">
        <v>1</v>
      </c>
      <c r="C19164" s="6" t="s">
        <v>1</v>
      </c>
    </row>
    <row r="19165" spans="1:3" s="7" customFormat="1" x14ac:dyDescent="0.2">
      <c r="A19165" s="6" t="str">
        <f>"P3H2-AS1"</f>
        <v>P3H2-AS1</v>
      </c>
      <c r="B19165" s="6" t="s">
        <v>1</v>
      </c>
      <c r="C19165" s="6" t="s">
        <v>1</v>
      </c>
    </row>
    <row r="19166" spans="1:3" s="7" customFormat="1" x14ac:dyDescent="0.2">
      <c r="A19166" s="6" t="str">
        <f>"WNK4"</f>
        <v>WNK4</v>
      </c>
      <c r="B19166" s="6" t="s">
        <v>1</v>
      </c>
      <c r="C19166" s="6" t="s">
        <v>1</v>
      </c>
    </row>
    <row r="19167" spans="1:3" s="7" customFormat="1" x14ac:dyDescent="0.2">
      <c r="A19167" s="6" t="str">
        <f>"NPC1L1"</f>
        <v>NPC1L1</v>
      </c>
      <c r="B19167" s="6" t="s">
        <v>1</v>
      </c>
      <c r="C19167" s="6" t="s">
        <v>1</v>
      </c>
    </row>
    <row r="19168" spans="1:3" s="7" customFormat="1" x14ac:dyDescent="0.2">
      <c r="A19168" s="6" t="str">
        <f>"AC131160.1"</f>
        <v>AC131160.1</v>
      </c>
      <c r="B19168" s="6" t="s">
        <v>1</v>
      </c>
      <c r="C19168" s="6" t="s">
        <v>1</v>
      </c>
    </row>
    <row r="19169" spans="1:3" s="7" customFormat="1" x14ac:dyDescent="0.2">
      <c r="A19169" s="6" t="str">
        <f>"APLP1"</f>
        <v>APLP1</v>
      </c>
      <c r="B19169" s="6" t="s">
        <v>1</v>
      </c>
      <c r="C19169" s="6" t="s">
        <v>1</v>
      </c>
    </row>
    <row r="19170" spans="1:3" s="7" customFormat="1" x14ac:dyDescent="0.2">
      <c r="A19170" s="6" t="str">
        <f>"CELP"</f>
        <v>CELP</v>
      </c>
      <c r="B19170" s="6" t="s">
        <v>1</v>
      </c>
      <c r="C19170" s="6" t="s">
        <v>1</v>
      </c>
    </row>
    <row r="19171" spans="1:3" s="7" customFormat="1" x14ac:dyDescent="0.2">
      <c r="A19171" s="6" t="str">
        <f>"CREG2"</f>
        <v>CREG2</v>
      </c>
      <c r="B19171" s="6" t="s">
        <v>1</v>
      </c>
      <c r="C19171" s="6" t="s">
        <v>1</v>
      </c>
    </row>
    <row r="19172" spans="1:3" s="7" customFormat="1" x14ac:dyDescent="0.2">
      <c r="A19172" s="6" t="str">
        <f>"AC108457.1"</f>
        <v>AC108457.1</v>
      </c>
      <c r="B19172" s="6" t="s">
        <v>1</v>
      </c>
      <c r="C19172" s="6" t="s">
        <v>1</v>
      </c>
    </row>
    <row r="19173" spans="1:3" s="7" customFormat="1" x14ac:dyDescent="0.2">
      <c r="A19173" s="6" t="str">
        <f>"AC004893.2"</f>
        <v>AC004893.2</v>
      </c>
      <c r="B19173" s="6" t="s">
        <v>1</v>
      </c>
      <c r="C19173" s="6" t="s">
        <v>1</v>
      </c>
    </row>
    <row r="19174" spans="1:3" s="7" customFormat="1" x14ac:dyDescent="0.2">
      <c r="A19174" s="6" t="str">
        <f>"ODAM"</f>
        <v>ODAM</v>
      </c>
      <c r="B19174" s="6" t="s">
        <v>1</v>
      </c>
      <c r="C19174" s="6" t="s">
        <v>1</v>
      </c>
    </row>
    <row r="19175" spans="1:3" s="7" customFormat="1" x14ac:dyDescent="0.2">
      <c r="A19175" s="6" t="str">
        <f>"LGI4"</f>
        <v>LGI4</v>
      </c>
      <c r="B19175" s="6" t="s">
        <v>1</v>
      </c>
      <c r="C19175" s="6" t="s">
        <v>1</v>
      </c>
    </row>
    <row r="19176" spans="1:3" s="7" customFormat="1" x14ac:dyDescent="0.2">
      <c r="A19176" s="6" t="str">
        <f>"KLHL14"</f>
        <v>KLHL14</v>
      </c>
      <c r="B19176" s="6" t="s">
        <v>1</v>
      </c>
      <c r="C19176" s="6" t="s">
        <v>1</v>
      </c>
    </row>
    <row r="19177" spans="1:3" s="7" customFormat="1" x14ac:dyDescent="0.2">
      <c r="A19177" s="6" t="str">
        <f>"RFLNA"</f>
        <v>RFLNA</v>
      </c>
      <c r="B19177" s="6" t="s">
        <v>1</v>
      </c>
      <c r="C19177" s="6" t="s">
        <v>1</v>
      </c>
    </row>
    <row r="19178" spans="1:3" s="7" customFormat="1" x14ac:dyDescent="0.2">
      <c r="A19178" s="6" t="str">
        <f>"C20orf197"</f>
        <v>C20orf197</v>
      </c>
      <c r="B19178" s="6" t="s">
        <v>1</v>
      </c>
      <c r="C19178" s="6" t="s">
        <v>1</v>
      </c>
    </row>
    <row r="19179" spans="1:3" s="7" customFormat="1" x14ac:dyDescent="0.2">
      <c r="A19179" s="6" t="str">
        <f>"MIR2117HG"</f>
        <v>MIR2117HG</v>
      </c>
      <c r="B19179" s="6" t="s">
        <v>1</v>
      </c>
      <c r="C19179" s="6" t="s">
        <v>1</v>
      </c>
    </row>
    <row r="19180" spans="1:3" s="7" customFormat="1" x14ac:dyDescent="0.2">
      <c r="A19180" s="6" t="str">
        <f>"LINC02280"</f>
        <v>LINC02280</v>
      </c>
      <c r="B19180" s="6" t="s">
        <v>1</v>
      </c>
      <c r="C19180" s="6" t="s">
        <v>1</v>
      </c>
    </row>
    <row r="19181" spans="1:3" s="7" customFormat="1" x14ac:dyDescent="0.2">
      <c r="A19181" s="6" t="str">
        <f>"GRIK1-AS1"</f>
        <v>GRIK1-AS1</v>
      </c>
      <c r="B19181" s="6" t="s">
        <v>1</v>
      </c>
      <c r="C19181" s="6" t="s">
        <v>1</v>
      </c>
    </row>
    <row r="19182" spans="1:3" s="7" customFormat="1" x14ac:dyDescent="0.2">
      <c r="A19182" s="6" t="str">
        <f>"AC132872.2"</f>
        <v>AC132872.2</v>
      </c>
      <c r="B19182" s="6" t="s">
        <v>1</v>
      </c>
      <c r="C19182" s="6" t="s">
        <v>1</v>
      </c>
    </row>
    <row r="19183" spans="1:3" s="7" customFormat="1" x14ac:dyDescent="0.2">
      <c r="A19183" s="6" t="str">
        <f>"LINC02108"</f>
        <v>LINC02108</v>
      </c>
      <c r="B19183" s="6" t="s">
        <v>1</v>
      </c>
      <c r="C19183" s="6" t="s">
        <v>1</v>
      </c>
    </row>
    <row r="19184" spans="1:3" s="7" customFormat="1" x14ac:dyDescent="0.2">
      <c r="A19184" s="6" t="str">
        <f>"AP000977.1"</f>
        <v>AP000977.1</v>
      </c>
      <c r="B19184" s="6" t="s">
        <v>1</v>
      </c>
      <c r="C19184" s="6" t="s">
        <v>1</v>
      </c>
    </row>
    <row r="19185" spans="1:3" s="7" customFormat="1" x14ac:dyDescent="0.2">
      <c r="A19185" s="6" t="str">
        <f>"AC108479.1"</f>
        <v>AC108479.1</v>
      </c>
      <c r="B19185" s="6" t="s">
        <v>1</v>
      </c>
      <c r="C19185" s="6" t="s">
        <v>1</v>
      </c>
    </row>
    <row r="19186" spans="1:3" s="7" customFormat="1" x14ac:dyDescent="0.2">
      <c r="A19186" s="6" t="str">
        <f>"MYOZ1"</f>
        <v>MYOZ1</v>
      </c>
      <c r="B19186" s="6" t="s">
        <v>1</v>
      </c>
      <c r="C19186" s="6" t="s">
        <v>1</v>
      </c>
    </row>
    <row r="19187" spans="1:3" s="7" customFormat="1" x14ac:dyDescent="0.2">
      <c r="A19187" s="6" t="str">
        <f>"IGFALS"</f>
        <v>IGFALS</v>
      </c>
      <c r="B19187" s="6" t="s">
        <v>1</v>
      </c>
      <c r="C19187" s="6" t="s">
        <v>1</v>
      </c>
    </row>
    <row r="19188" spans="1:3" s="7" customFormat="1" x14ac:dyDescent="0.2">
      <c r="A19188" s="6" t="str">
        <f>"SRRM5"</f>
        <v>SRRM5</v>
      </c>
      <c r="B19188" s="6" t="s">
        <v>1</v>
      </c>
      <c r="C19188" s="6" t="s">
        <v>1</v>
      </c>
    </row>
    <row r="19189" spans="1:3" s="7" customFormat="1" x14ac:dyDescent="0.2">
      <c r="A19189" s="6" t="str">
        <f>"AC087354.1"</f>
        <v>AC087354.1</v>
      </c>
      <c r="B19189" s="6" t="s">
        <v>1</v>
      </c>
      <c r="C19189" s="6" t="s">
        <v>1</v>
      </c>
    </row>
    <row r="19190" spans="1:3" s="7" customFormat="1" x14ac:dyDescent="0.2">
      <c r="A19190" s="6" t="str">
        <f>"ECE1-AS1"</f>
        <v>ECE1-AS1</v>
      </c>
      <c r="B19190" s="6" t="s">
        <v>1</v>
      </c>
      <c r="C19190" s="6" t="s">
        <v>1</v>
      </c>
    </row>
    <row r="19191" spans="1:3" s="7" customFormat="1" x14ac:dyDescent="0.2">
      <c r="A19191" s="6" t="str">
        <f>"PPIAP40"</f>
        <v>PPIAP40</v>
      </c>
      <c r="B19191" s="6" t="s">
        <v>1</v>
      </c>
      <c r="C19191" s="6" t="s">
        <v>1</v>
      </c>
    </row>
    <row r="19192" spans="1:3" s="7" customFormat="1" x14ac:dyDescent="0.2">
      <c r="A19192" s="6" t="str">
        <f>"RPL4P4"</f>
        <v>RPL4P4</v>
      </c>
      <c r="B19192" s="6" t="s">
        <v>1</v>
      </c>
      <c r="C19192" s="6" t="s">
        <v>1</v>
      </c>
    </row>
    <row r="19193" spans="1:3" s="7" customFormat="1" x14ac:dyDescent="0.2">
      <c r="A19193" s="6" t="str">
        <f>"AC093525.4"</f>
        <v>AC093525.4</v>
      </c>
      <c r="B19193" s="6" t="s">
        <v>1</v>
      </c>
      <c r="C19193" s="6" t="s">
        <v>1</v>
      </c>
    </row>
    <row r="19194" spans="1:3" s="7" customFormat="1" x14ac:dyDescent="0.2">
      <c r="A19194" s="6" t="str">
        <f>"AL031775.1"</f>
        <v>AL031775.1</v>
      </c>
      <c r="B19194" s="6" t="s">
        <v>1</v>
      </c>
      <c r="C19194" s="6" t="s">
        <v>1</v>
      </c>
    </row>
    <row r="19195" spans="1:3" s="7" customFormat="1" x14ac:dyDescent="0.2">
      <c r="A19195" s="6" t="str">
        <f>"AC007390.1"</f>
        <v>AC007390.1</v>
      </c>
      <c r="B19195" s="6" t="s">
        <v>1</v>
      </c>
      <c r="C19195" s="6" t="s">
        <v>1</v>
      </c>
    </row>
    <row r="19196" spans="1:3" s="7" customFormat="1" x14ac:dyDescent="0.2">
      <c r="A19196" s="6" t="str">
        <f>"AC246817.1"</f>
        <v>AC246817.1</v>
      </c>
      <c r="B19196" s="6" t="s">
        <v>1</v>
      </c>
      <c r="C19196" s="6" t="s">
        <v>1</v>
      </c>
    </row>
    <row r="19197" spans="1:3" s="7" customFormat="1" x14ac:dyDescent="0.2">
      <c r="A19197" s="6" t="str">
        <f>"IPO9-AS1"</f>
        <v>IPO9-AS1</v>
      </c>
      <c r="B19197" s="6" t="s">
        <v>1</v>
      </c>
      <c r="C19197" s="6" t="s">
        <v>1</v>
      </c>
    </row>
    <row r="19198" spans="1:3" s="7" customFormat="1" x14ac:dyDescent="0.2">
      <c r="A19198" s="6" t="str">
        <f>"NUPR2"</f>
        <v>NUPR2</v>
      </c>
      <c r="B19198" s="6" t="s">
        <v>1</v>
      </c>
      <c r="C19198" s="6" t="s">
        <v>1</v>
      </c>
    </row>
    <row r="19199" spans="1:3" s="7" customFormat="1" x14ac:dyDescent="0.2">
      <c r="A19199" s="6" t="str">
        <f>"LHFPL3-AS2"</f>
        <v>LHFPL3-AS2</v>
      </c>
      <c r="B19199" s="6" t="s">
        <v>1</v>
      </c>
      <c r="C19199" s="6" t="s">
        <v>1</v>
      </c>
    </row>
    <row r="19200" spans="1:3" s="7" customFormat="1" x14ac:dyDescent="0.2">
      <c r="A19200" s="6" t="str">
        <f>"LINC01136"</f>
        <v>LINC01136</v>
      </c>
      <c r="B19200" s="6" t="s">
        <v>1</v>
      </c>
      <c r="C19200" s="6" t="s">
        <v>1</v>
      </c>
    </row>
    <row r="19201" spans="1:3" s="7" customFormat="1" x14ac:dyDescent="0.2">
      <c r="A19201" s="6" t="str">
        <f>"SHE"</f>
        <v>SHE</v>
      </c>
      <c r="B19201" s="6" t="s">
        <v>1</v>
      </c>
      <c r="C19201" s="6" t="s">
        <v>1</v>
      </c>
    </row>
    <row r="19202" spans="1:3" s="7" customFormat="1" x14ac:dyDescent="0.2">
      <c r="A19202" s="6" t="str">
        <f>"UGT1A4"</f>
        <v>UGT1A4</v>
      </c>
      <c r="B19202" s="6" t="s">
        <v>1</v>
      </c>
      <c r="C19202" s="6" t="s">
        <v>1</v>
      </c>
    </row>
    <row r="19203" spans="1:3" s="7" customFormat="1" x14ac:dyDescent="0.2">
      <c r="A19203" s="6" t="str">
        <f>"PDCD6-AHRR"</f>
        <v>PDCD6-AHRR</v>
      </c>
      <c r="B19203" s="6" t="s">
        <v>1</v>
      </c>
      <c r="C19203" s="6" t="s">
        <v>1</v>
      </c>
    </row>
    <row r="19204" spans="1:3" s="7" customFormat="1" x14ac:dyDescent="0.2">
      <c r="A19204" s="6" t="str">
        <f>"AC068580.5"</f>
        <v>AC068580.5</v>
      </c>
      <c r="B19204" s="6" t="s">
        <v>1</v>
      </c>
      <c r="C19204" s="6" t="s">
        <v>1</v>
      </c>
    </row>
    <row r="19205" spans="1:3" s="7" customFormat="1" x14ac:dyDescent="0.2">
      <c r="A19205" s="6" t="str">
        <f>"AC013726.1"</f>
        <v>AC013726.1</v>
      </c>
      <c r="B19205" s="6" t="s">
        <v>1</v>
      </c>
      <c r="C19205" s="6" t="s">
        <v>1</v>
      </c>
    </row>
    <row r="19206" spans="1:3" s="7" customFormat="1" x14ac:dyDescent="0.2">
      <c r="A19206" s="6" t="str">
        <f>"AC009312.1"</f>
        <v>AC009312.1</v>
      </c>
      <c r="B19206" s="6" t="s">
        <v>1</v>
      </c>
      <c r="C19206" s="6" t="s">
        <v>1</v>
      </c>
    </row>
    <row r="19207" spans="1:3" s="7" customFormat="1" x14ac:dyDescent="0.2">
      <c r="A19207" s="6" t="str">
        <f>"NPB"</f>
        <v>NPB</v>
      </c>
      <c r="B19207" s="6" t="s">
        <v>1</v>
      </c>
      <c r="C19207" s="6" t="s">
        <v>1</v>
      </c>
    </row>
    <row r="19208" spans="1:3" s="7" customFormat="1" x14ac:dyDescent="0.2">
      <c r="A19208" s="6" t="str">
        <f>"AC093496.1"</f>
        <v>AC093496.1</v>
      </c>
      <c r="B19208" s="6" t="s">
        <v>1</v>
      </c>
      <c r="C19208" s="6" t="s">
        <v>1</v>
      </c>
    </row>
    <row r="19209" spans="1:3" s="7" customFormat="1" x14ac:dyDescent="0.2">
      <c r="A19209" s="6" t="str">
        <f>"CELF2-DT"</f>
        <v>CELF2-DT</v>
      </c>
      <c r="B19209" s="6" t="s">
        <v>1</v>
      </c>
      <c r="C19209" s="6" t="s">
        <v>1</v>
      </c>
    </row>
    <row r="19210" spans="1:3" s="7" customFormat="1" x14ac:dyDescent="0.2">
      <c r="A19210" s="6" t="str">
        <f>"AP000350.8"</f>
        <v>AP000350.8</v>
      </c>
      <c r="B19210" s="6" t="s">
        <v>1</v>
      </c>
      <c r="C19210" s="6" t="s">
        <v>1</v>
      </c>
    </row>
    <row r="19211" spans="1:3" s="7" customFormat="1" x14ac:dyDescent="0.2">
      <c r="A19211" s="6" t="str">
        <f>"KLHL6-AS1"</f>
        <v>KLHL6-AS1</v>
      </c>
      <c r="B19211" s="6" t="s">
        <v>1</v>
      </c>
      <c r="C19211" s="6" t="s">
        <v>1</v>
      </c>
    </row>
    <row r="19212" spans="1:3" s="7" customFormat="1" x14ac:dyDescent="0.2">
      <c r="A19212" s="6" t="str">
        <f>"SOS1-IT1"</f>
        <v>SOS1-IT1</v>
      </c>
      <c r="B19212" s="6" t="s">
        <v>1</v>
      </c>
      <c r="C19212" s="6" t="s">
        <v>1</v>
      </c>
    </row>
    <row r="19213" spans="1:3" s="7" customFormat="1" x14ac:dyDescent="0.2">
      <c r="A19213" s="6" t="str">
        <f>"KCNJ1"</f>
        <v>KCNJ1</v>
      </c>
      <c r="B19213" s="6" t="s">
        <v>1</v>
      </c>
      <c r="C19213" s="6" t="s">
        <v>1</v>
      </c>
    </row>
    <row r="19214" spans="1:3" s="7" customFormat="1" x14ac:dyDescent="0.2">
      <c r="A19214" s="6" t="str">
        <f>"AC084740.1"</f>
        <v>AC084740.1</v>
      </c>
      <c r="B19214" s="6" t="s">
        <v>1</v>
      </c>
      <c r="C19214" s="6" t="s">
        <v>1</v>
      </c>
    </row>
    <row r="19215" spans="1:3" s="7" customFormat="1" x14ac:dyDescent="0.2">
      <c r="A19215" s="6" t="str">
        <f>"KLK14"</f>
        <v>KLK14</v>
      </c>
      <c r="B19215" s="6" t="s">
        <v>1</v>
      </c>
      <c r="C19215" s="6" t="s">
        <v>1</v>
      </c>
    </row>
    <row r="19216" spans="1:3" s="7" customFormat="1" x14ac:dyDescent="0.2">
      <c r="A19216" s="6" t="str">
        <f>"AC023055.1"</f>
        <v>AC023055.1</v>
      </c>
      <c r="B19216" s="6" t="s">
        <v>1</v>
      </c>
      <c r="C19216" s="6" t="s">
        <v>1</v>
      </c>
    </row>
    <row r="19217" spans="1:3" s="7" customFormat="1" x14ac:dyDescent="0.2">
      <c r="A19217" s="6" t="str">
        <f>"KLHL33"</f>
        <v>KLHL33</v>
      </c>
      <c r="B19217" s="6" t="s">
        <v>1</v>
      </c>
      <c r="C19217" s="6" t="s">
        <v>1</v>
      </c>
    </row>
    <row r="19218" spans="1:3" s="7" customFormat="1" x14ac:dyDescent="0.2">
      <c r="A19218" s="6" t="str">
        <f>"CCR4"</f>
        <v>CCR4</v>
      </c>
      <c r="B19218" s="6" t="s">
        <v>1</v>
      </c>
      <c r="C19218" s="6" t="s">
        <v>1</v>
      </c>
    </row>
    <row r="19219" spans="1:3" s="7" customFormat="1" x14ac:dyDescent="0.2">
      <c r="A19219" s="6" t="str">
        <f>"CHRNB4"</f>
        <v>CHRNB4</v>
      </c>
      <c r="B19219" s="6" t="s">
        <v>1</v>
      </c>
      <c r="C19219" s="6" t="s">
        <v>1</v>
      </c>
    </row>
    <row r="19220" spans="1:3" s="7" customFormat="1" x14ac:dyDescent="0.2">
      <c r="A19220" s="6" t="str">
        <f>"AC009961.3"</f>
        <v>AC009961.3</v>
      </c>
      <c r="B19220" s="6" t="s">
        <v>1</v>
      </c>
      <c r="C19220" s="6" t="s">
        <v>1</v>
      </c>
    </row>
    <row r="19221" spans="1:3" s="7" customFormat="1" x14ac:dyDescent="0.2">
      <c r="A19221" s="6" t="str">
        <f>"AC015799.1"</f>
        <v>AC015799.1</v>
      </c>
      <c r="B19221" s="6" t="s">
        <v>1</v>
      </c>
      <c r="C19221" s="6" t="s">
        <v>1</v>
      </c>
    </row>
    <row r="19222" spans="1:3" s="7" customFormat="1" x14ac:dyDescent="0.2">
      <c r="A19222" s="6" t="str">
        <f>"AC015802.4"</f>
        <v>AC015802.4</v>
      </c>
      <c r="B19222" s="6" t="s">
        <v>1</v>
      </c>
      <c r="C19222" s="6" t="s">
        <v>1</v>
      </c>
    </row>
    <row r="19223" spans="1:3" s="7" customFormat="1" x14ac:dyDescent="0.2">
      <c r="A19223" s="6" t="str">
        <f>"AC007318.1"</f>
        <v>AC007318.1</v>
      </c>
      <c r="B19223" s="6" t="s">
        <v>1</v>
      </c>
      <c r="C19223" s="6" t="s">
        <v>1</v>
      </c>
    </row>
    <row r="19224" spans="1:3" s="7" customFormat="1" x14ac:dyDescent="0.2">
      <c r="A19224" s="6" t="str">
        <f>"AL354833.1"</f>
        <v>AL354833.1</v>
      </c>
      <c r="B19224" s="6" t="s">
        <v>1</v>
      </c>
      <c r="C19224" s="6" t="s">
        <v>1</v>
      </c>
    </row>
    <row r="19225" spans="1:3" s="7" customFormat="1" x14ac:dyDescent="0.2">
      <c r="A19225" s="6" t="str">
        <f>"AC084824.1"</f>
        <v>AC084824.1</v>
      </c>
      <c r="B19225" s="6" t="s">
        <v>1</v>
      </c>
      <c r="C19225" s="6" t="s">
        <v>1</v>
      </c>
    </row>
    <row r="19226" spans="1:3" s="7" customFormat="1" x14ac:dyDescent="0.2">
      <c r="A19226" s="6" t="str">
        <f>"NEFH"</f>
        <v>NEFH</v>
      </c>
      <c r="B19226" s="6" t="s">
        <v>1</v>
      </c>
      <c r="C19226" s="6" t="s">
        <v>1</v>
      </c>
    </row>
    <row r="19227" spans="1:3" s="7" customFormat="1" x14ac:dyDescent="0.2">
      <c r="A19227" s="6" t="str">
        <f>"LINC02236"</f>
        <v>LINC02236</v>
      </c>
      <c r="B19227" s="6" t="s">
        <v>1</v>
      </c>
      <c r="C19227" s="6" t="s">
        <v>1</v>
      </c>
    </row>
    <row r="19228" spans="1:3" s="7" customFormat="1" x14ac:dyDescent="0.2">
      <c r="A19228" s="6" t="str">
        <f>"LPAL2"</f>
        <v>LPAL2</v>
      </c>
      <c r="B19228" s="6" t="s">
        <v>1</v>
      </c>
      <c r="C19228" s="6" t="s">
        <v>1</v>
      </c>
    </row>
    <row r="19229" spans="1:3" s="7" customFormat="1" x14ac:dyDescent="0.2">
      <c r="A19229" s="6" t="str">
        <f>"IGF2"</f>
        <v>IGF2</v>
      </c>
      <c r="B19229" s="6" t="s">
        <v>1</v>
      </c>
      <c r="C19229" s="6" t="s">
        <v>1</v>
      </c>
    </row>
    <row r="19230" spans="1:3" s="7" customFormat="1" x14ac:dyDescent="0.2">
      <c r="A19230" s="6" t="str">
        <f>"C2orf66"</f>
        <v>C2orf66</v>
      </c>
      <c r="B19230" s="6" t="s">
        <v>1</v>
      </c>
      <c r="C19230" s="6" t="s">
        <v>1</v>
      </c>
    </row>
    <row r="19231" spans="1:3" s="7" customFormat="1" x14ac:dyDescent="0.2">
      <c r="A19231" s="6" t="str">
        <f>"TREX2"</f>
        <v>TREX2</v>
      </c>
      <c r="B19231" s="6" t="s">
        <v>1</v>
      </c>
      <c r="C19231" s="6" t="s">
        <v>1</v>
      </c>
    </row>
    <row r="19232" spans="1:3" s="7" customFormat="1" x14ac:dyDescent="0.2">
      <c r="A19232" s="6" t="str">
        <f>"AP000542.3"</f>
        <v>AP000542.3</v>
      </c>
      <c r="B19232" s="6" t="s">
        <v>1</v>
      </c>
      <c r="C19232" s="6" t="s">
        <v>1</v>
      </c>
    </row>
    <row r="19233" spans="1:3" s="7" customFormat="1" x14ac:dyDescent="0.2">
      <c r="A19233" s="6" t="str">
        <f>"TNFRSF11B"</f>
        <v>TNFRSF11B</v>
      </c>
      <c r="B19233" s="6" t="s">
        <v>1</v>
      </c>
      <c r="C19233" s="6" t="s">
        <v>1</v>
      </c>
    </row>
    <row r="19234" spans="1:3" s="7" customFormat="1" x14ac:dyDescent="0.2">
      <c r="A19234" s="6" t="str">
        <f>"LINC01209"</f>
        <v>LINC01209</v>
      </c>
      <c r="B19234" s="6" t="s">
        <v>1</v>
      </c>
      <c r="C19234" s="6" t="s">
        <v>1</v>
      </c>
    </row>
    <row r="19235" spans="1:3" s="7" customFormat="1" x14ac:dyDescent="0.2">
      <c r="A19235" s="6" t="str">
        <f>"ENO1-AS1"</f>
        <v>ENO1-AS1</v>
      </c>
      <c r="B19235" s="6" t="s">
        <v>1</v>
      </c>
      <c r="C19235" s="6" t="s">
        <v>1</v>
      </c>
    </row>
    <row r="19236" spans="1:3" s="7" customFormat="1" x14ac:dyDescent="0.2">
      <c r="A19236" s="6" t="str">
        <f>"AL136169.1"</f>
        <v>AL136169.1</v>
      </c>
      <c r="B19236" s="6" t="s">
        <v>1</v>
      </c>
      <c r="C19236" s="6" t="s">
        <v>1</v>
      </c>
    </row>
    <row r="19237" spans="1:3" s="7" customFormat="1" x14ac:dyDescent="0.2">
      <c r="A19237" s="6" t="str">
        <f>"LINC02122"</f>
        <v>LINC02122</v>
      </c>
      <c r="B19237" s="6" t="s">
        <v>1</v>
      </c>
      <c r="C19237" s="6" t="s">
        <v>1</v>
      </c>
    </row>
    <row r="19238" spans="1:3" s="7" customFormat="1" x14ac:dyDescent="0.2">
      <c r="A19238" s="6" t="str">
        <f>"AC093702.1"</f>
        <v>AC093702.1</v>
      </c>
      <c r="B19238" s="6" t="s">
        <v>1</v>
      </c>
      <c r="C19238" s="6" t="s">
        <v>1</v>
      </c>
    </row>
    <row r="19239" spans="1:3" s="7" customFormat="1" x14ac:dyDescent="0.2">
      <c r="A19239" s="6" t="str">
        <f>"CCN4"</f>
        <v>CCN4</v>
      </c>
      <c r="B19239" s="6" t="s">
        <v>1</v>
      </c>
      <c r="C19239" s="6" t="s">
        <v>1</v>
      </c>
    </row>
    <row r="19240" spans="1:3" s="7" customFormat="1" x14ac:dyDescent="0.2">
      <c r="A19240" s="6" t="str">
        <f>"TBC1D29P"</f>
        <v>TBC1D29P</v>
      </c>
      <c r="B19240" s="6" t="s">
        <v>1</v>
      </c>
      <c r="C19240" s="6" t="s">
        <v>1</v>
      </c>
    </row>
    <row r="19241" spans="1:3" s="7" customFormat="1" x14ac:dyDescent="0.2">
      <c r="A19241" s="6" t="str">
        <f>"MAJIN"</f>
        <v>MAJIN</v>
      </c>
      <c r="B19241" s="6" t="s">
        <v>1</v>
      </c>
      <c r="C19241" s="6" t="s">
        <v>1</v>
      </c>
    </row>
    <row r="19242" spans="1:3" s="7" customFormat="1" x14ac:dyDescent="0.2">
      <c r="A19242" s="6" t="str">
        <f>"ENO1P4"</f>
        <v>ENO1P4</v>
      </c>
      <c r="B19242" s="6" t="s">
        <v>1</v>
      </c>
      <c r="C19242" s="6" t="s">
        <v>1</v>
      </c>
    </row>
    <row r="19243" spans="1:3" s="7" customFormat="1" x14ac:dyDescent="0.2">
      <c r="A19243" s="6" t="str">
        <f>"RANBP3L"</f>
        <v>RANBP3L</v>
      </c>
      <c r="B19243" s="6" t="s">
        <v>1</v>
      </c>
      <c r="C19243" s="6" t="s">
        <v>1</v>
      </c>
    </row>
    <row r="19244" spans="1:3" s="7" customFormat="1" x14ac:dyDescent="0.2">
      <c r="A19244" s="6" t="str">
        <f>"AC007387.1"</f>
        <v>AC007387.1</v>
      </c>
      <c r="B19244" s="6" t="s">
        <v>1</v>
      </c>
      <c r="C19244" s="6" t="s">
        <v>1</v>
      </c>
    </row>
    <row r="19245" spans="1:3" s="7" customFormat="1" x14ac:dyDescent="0.2">
      <c r="A19245" s="6" t="str">
        <f>"EMC1-AS1"</f>
        <v>EMC1-AS1</v>
      </c>
      <c r="B19245" s="6" t="s">
        <v>1</v>
      </c>
      <c r="C19245" s="6" t="s">
        <v>1</v>
      </c>
    </row>
    <row r="19246" spans="1:3" s="7" customFormat="1" x14ac:dyDescent="0.2">
      <c r="A19246" s="6" t="str">
        <f>"EEF1A1P12"</f>
        <v>EEF1A1P12</v>
      </c>
      <c r="B19246" s="6" t="s">
        <v>1</v>
      </c>
      <c r="C19246" s="6" t="s">
        <v>1</v>
      </c>
    </row>
    <row r="19247" spans="1:3" s="7" customFormat="1" x14ac:dyDescent="0.2">
      <c r="A19247" s="6" t="str">
        <f>"HCG20"</f>
        <v>HCG20</v>
      </c>
      <c r="B19247" s="6" t="s">
        <v>1</v>
      </c>
      <c r="C19247" s="6" t="s">
        <v>1</v>
      </c>
    </row>
    <row r="19248" spans="1:3" s="7" customFormat="1" x14ac:dyDescent="0.2">
      <c r="A19248" s="6" t="str">
        <f>"SRMS"</f>
        <v>SRMS</v>
      </c>
      <c r="B19248" s="6" t="s">
        <v>1</v>
      </c>
      <c r="C19248" s="6" t="s">
        <v>1</v>
      </c>
    </row>
    <row r="19249" spans="1:3" s="7" customFormat="1" x14ac:dyDescent="0.2">
      <c r="A19249" s="6" t="str">
        <f>"AC106886.4"</f>
        <v>AC106886.4</v>
      </c>
      <c r="B19249" s="6" t="s">
        <v>1</v>
      </c>
      <c r="C19249" s="6" t="s">
        <v>1</v>
      </c>
    </row>
    <row r="19250" spans="1:3" s="7" customFormat="1" x14ac:dyDescent="0.2">
      <c r="A19250" s="6" t="str">
        <f>"ADM5"</f>
        <v>ADM5</v>
      </c>
      <c r="B19250" s="6" t="s">
        <v>1</v>
      </c>
      <c r="C19250" s="6" t="s">
        <v>1</v>
      </c>
    </row>
    <row r="19251" spans="1:3" s="7" customFormat="1" x14ac:dyDescent="0.2">
      <c r="A19251" s="6" t="str">
        <f>"LRIG2-DT"</f>
        <v>LRIG2-DT</v>
      </c>
      <c r="B19251" s="6" t="s">
        <v>1</v>
      </c>
      <c r="C19251" s="6" t="s">
        <v>1</v>
      </c>
    </row>
    <row r="19252" spans="1:3" s="7" customFormat="1" x14ac:dyDescent="0.2">
      <c r="A19252" s="6" t="str">
        <f>"VDAC1P8"</f>
        <v>VDAC1P8</v>
      </c>
      <c r="B19252" s="6" t="s">
        <v>1</v>
      </c>
      <c r="C19252" s="6" t="s">
        <v>1</v>
      </c>
    </row>
    <row r="19253" spans="1:3" s="7" customFormat="1" x14ac:dyDescent="0.2">
      <c r="A19253" s="6" t="str">
        <f>"AL133351.4"</f>
        <v>AL133351.4</v>
      </c>
      <c r="B19253" s="6" t="s">
        <v>1</v>
      </c>
      <c r="C19253" s="6" t="s">
        <v>1</v>
      </c>
    </row>
    <row r="19254" spans="1:3" s="7" customFormat="1" x14ac:dyDescent="0.2">
      <c r="A19254" s="6" t="str">
        <f>"HAMP"</f>
        <v>HAMP</v>
      </c>
      <c r="B19254" s="6" t="s">
        <v>1</v>
      </c>
      <c r="C19254" s="6" t="s">
        <v>1</v>
      </c>
    </row>
    <row r="19255" spans="1:3" s="7" customFormat="1" x14ac:dyDescent="0.2">
      <c r="A19255" s="6" t="str">
        <f>"ASIC2"</f>
        <v>ASIC2</v>
      </c>
      <c r="B19255" s="6" t="s">
        <v>1</v>
      </c>
      <c r="C19255" s="6" t="s">
        <v>1</v>
      </c>
    </row>
    <row r="19256" spans="1:3" s="7" customFormat="1" x14ac:dyDescent="0.2">
      <c r="A19256" s="6" t="str">
        <f>"AC004846.2"</f>
        <v>AC004846.2</v>
      </c>
      <c r="B19256" s="6" t="s">
        <v>1</v>
      </c>
      <c r="C19256" s="6" t="s">
        <v>1</v>
      </c>
    </row>
    <row r="19257" spans="1:3" s="7" customFormat="1" x14ac:dyDescent="0.2">
      <c r="A19257" s="6" t="str">
        <f>"ADH4"</f>
        <v>ADH4</v>
      </c>
      <c r="B19257" s="6" t="s">
        <v>1</v>
      </c>
      <c r="C19257" s="6" t="s">
        <v>1</v>
      </c>
    </row>
    <row r="19258" spans="1:3" s="7" customFormat="1" x14ac:dyDescent="0.2">
      <c r="A19258" s="6" t="str">
        <f>"AC243919.2"</f>
        <v>AC243919.2</v>
      </c>
      <c r="B19258" s="6" t="s">
        <v>1</v>
      </c>
      <c r="C19258" s="6" t="s">
        <v>1</v>
      </c>
    </row>
    <row r="19259" spans="1:3" s="7" customFormat="1" x14ac:dyDescent="0.2">
      <c r="A19259" s="6" t="str">
        <f>"N4BP2L2-IT2"</f>
        <v>N4BP2L2-IT2</v>
      </c>
      <c r="B19259" s="6" t="s">
        <v>1</v>
      </c>
      <c r="C19259" s="6" t="s">
        <v>1</v>
      </c>
    </row>
    <row r="19260" spans="1:3" s="7" customFormat="1" x14ac:dyDescent="0.2">
      <c r="A19260" s="6" t="str">
        <f>"HCG22"</f>
        <v>HCG22</v>
      </c>
      <c r="B19260" s="6" t="s">
        <v>1</v>
      </c>
      <c r="C19260" s="6" t="s">
        <v>1</v>
      </c>
    </row>
    <row r="19261" spans="1:3" s="7" customFormat="1" x14ac:dyDescent="0.2">
      <c r="A19261" s="6" t="str">
        <f>"VIL1"</f>
        <v>VIL1</v>
      </c>
      <c r="B19261" s="6" t="s">
        <v>1</v>
      </c>
      <c r="C19261" s="6" t="s">
        <v>1</v>
      </c>
    </row>
    <row r="19262" spans="1:3" s="7" customFormat="1" x14ac:dyDescent="0.2">
      <c r="A19262" s="6" t="str">
        <f>"AL353763.1"</f>
        <v>AL353763.1</v>
      </c>
      <c r="B19262" s="6" t="s">
        <v>1</v>
      </c>
      <c r="C19262" s="6" t="s">
        <v>1</v>
      </c>
    </row>
    <row r="19263" spans="1:3" s="7" customFormat="1" x14ac:dyDescent="0.2">
      <c r="A19263" s="6" t="str">
        <f>"CYP21A1P"</f>
        <v>CYP21A1P</v>
      </c>
      <c r="B19263" s="6" t="s">
        <v>1</v>
      </c>
      <c r="C19263" s="6" t="s">
        <v>1</v>
      </c>
    </row>
    <row r="19264" spans="1:3" s="7" customFormat="1" x14ac:dyDescent="0.2">
      <c r="A19264" s="6" t="str">
        <f>"AL451123.1"</f>
        <v>AL451123.1</v>
      </c>
      <c r="B19264" s="6" t="s">
        <v>1</v>
      </c>
      <c r="C19264" s="6" t="s">
        <v>1</v>
      </c>
    </row>
    <row r="19265" spans="1:3" s="7" customFormat="1" x14ac:dyDescent="0.2">
      <c r="A19265" s="6" t="str">
        <f>"AL353151.2"</f>
        <v>AL353151.2</v>
      </c>
      <c r="B19265" s="6" t="s">
        <v>1</v>
      </c>
      <c r="C19265" s="6" t="s">
        <v>1</v>
      </c>
    </row>
    <row r="19266" spans="1:3" s="7" customFormat="1" x14ac:dyDescent="0.2">
      <c r="A19266" s="6" t="str">
        <f>"CNTN2"</f>
        <v>CNTN2</v>
      </c>
      <c r="B19266" s="6" t="s">
        <v>1</v>
      </c>
      <c r="C19266" s="6" t="s">
        <v>1</v>
      </c>
    </row>
    <row r="19267" spans="1:3" s="7" customFormat="1" x14ac:dyDescent="0.2">
      <c r="A19267" s="6" t="str">
        <f>"RNF175"</f>
        <v>RNF175</v>
      </c>
      <c r="B19267" s="6" t="s">
        <v>1</v>
      </c>
      <c r="C19267" s="6" t="s">
        <v>1</v>
      </c>
    </row>
    <row r="19268" spans="1:3" s="7" customFormat="1" x14ac:dyDescent="0.2">
      <c r="A19268" s="6" t="str">
        <f>"AC254562.3"</f>
        <v>AC254562.3</v>
      </c>
      <c r="B19268" s="6" t="s">
        <v>1</v>
      </c>
      <c r="C19268" s="6" t="s">
        <v>1</v>
      </c>
    </row>
    <row r="19269" spans="1:3" s="7" customFormat="1" x14ac:dyDescent="0.2">
      <c r="A19269" s="6" t="str">
        <f>"AL133355.1"</f>
        <v>AL133355.1</v>
      </c>
      <c r="B19269" s="6" t="s">
        <v>1</v>
      </c>
      <c r="C19269" s="6" t="s">
        <v>1</v>
      </c>
    </row>
    <row r="19270" spans="1:3" s="7" customFormat="1" x14ac:dyDescent="0.2">
      <c r="A19270" s="6" t="str">
        <f>"AL031432.3"</f>
        <v>AL031432.3</v>
      </c>
      <c r="B19270" s="6" t="s">
        <v>1</v>
      </c>
      <c r="C19270" s="6" t="s">
        <v>1</v>
      </c>
    </row>
    <row r="19271" spans="1:3" s="7" customFormat="1" x14ac:dyDescent="0.2">
      <c r="A19271" s="6" t="str">
        <f>"GJC1"</f>
        <v>GJC1</v>
      </c>
      <c r="B19271" s="6" t="s">
        <v>1</v>
      </c>
      <c r="C19271" s="6" t="s">
        <v>1</v>
      </c>
    </row>
    <row r="19272" spans="1:3" s="7" customFormat="1" x14ac:dyDescent="0.2">
      <c r="A19272" s="6" t="str">
        <f>"AC131011.1"</f>
        <v>AC131011.1</v>
      </c>
      <c r="B19272" s="6" t="s">
        <v>1</v>
      </c>
      <c r="C19272" s="6" t="s">
        <v>1</v>
      </c>
    </row>
    <row r="19273" spans="1:3" s="7" customFormat="1" x14ac:dyDescent="0.2">
      <c r="A19273" s="6" t="str">
        <f>"TBC1D26"</f>
        <v>TBC1D26</v>
      </c>
      <c r="B19273" s="6" t="s">
        <v>1</v>
      </c>
      <c r="C19273" s="6" t="s">
        <v>1</v>
      </c>
    </row>
    <row r="19274" spans="1:3" s="7" customFormat="1" x14ac:dyDescent="0.2">
      <c r="A19274" s="6" t="str">
        <f>"VN1R1"</f>
        <v>VN1R1</v>
      </c>
      <c r="B19274" s="6" t="s">
        <v>1</v>
      </c>
      <c r="C19274" s="6" t="s">
        <v>1</v>
      </c>
    </row>
    <row r="19275" spans="1:3" s="7" customFormat="1" x14ac:dyDescent="0.2">
      <c r="A19275" s="6" t="str">
        <f>"AL354707.1"</f>
        <v>AL354707.1</v>
      </c>
      <c r="B19275" s="6" t="s">
        <v>1</v>
      </c>
      <c r="C19275" s="6" t="s">
        <v>1</v>
      </c>
    </row>
    <row r="19276" spans="1:3" s="7" customFormat="1" x14ac:dyDescent="0.2">
      <c r="A19276" s="6" t="str">
        <f>"ALK"</f>
        <v>ALK</v>
      </c>
      <c r="B19276" s="6" t="s">
        <v>1</v>
      </c>
      <c r="C19276" s="6" t="s">
        <v>1</v>
      </c>
    </row>
    <row r="19277" spans="1:3" s="7" customFormat="1" x14ac:dyDescent="0.2">
      <c r="A19277" s="6" t="str">
        <f>"AC007448.5"</f>
        <v>AC007448.5</v>
      </c>
      <c r="B19277" s="6" t="s">
        <v>1</v>
      </c>
      <c r="C19277" s="6" t="s">
        <v>1</v>
      </c>
    </row>
    <row r="19278" spans="1:3" s="7" customFormat="1" x14ac:dyDescent="0.2">
      <c r="A19278" s="6" t="str">
        <f>"AL024498.1"</f>
        <v>AL024498.1</v>
      </c>
      <c r="B19278" s="6" t="s">
        <v>1</v>
      </c>
      <c r="C19278" s="6" t="s">
        <v>1</v>
      </c>
    </row>
    <row r="19279" spans="1:3" s="7" customFormat="1" x14ac:dyDescent="0.2">
      <c r="A19279" s="6" t="str">
        <f>"EBLN2"</f>
        <v>EBLN2</v>
      </c>
      <c r="B19279" s="6" t="s">
        <v>1</v>
      </c>
      <c r="C19279" s="6" t="s">
        <v>1</v>
      </c>
    </row>
    <row r="19280" spans="1:3" s="7" customFormat="1" x14ac:dyDescent="0.2">
      <c r="A19280" s="6" t="str">
        <f>"BTBD16"</f>
        <v>BTBD16</v>
      </c>
      <c r="B19280" s="6" t="s">
        <v>1</v>
      </c>
      <c r="C19280" s="6" t="s">
        <v>1</v>
      </c>
    </row>
    <row r="19281" spans="1:3" s="7" customFormat="1" x14ac:dyDescent="0.2">
      <c r="A19281" s="6" t="str">
        <f>"AC060766.1"</f>
        <v>AC060766.1</v>
      </c>
      <c r="B19281" s="6" t="s">
        <v>1</v>
      </c>
      <c r="C19281" s="6" t="s">
        <v>1</v>
      </c>
    </row>
    <row r="19282" spans="1:3" s="7" customFormat="1" x14ac:dyDescent="0.2">
      <c r="A19282" s="6" t="str">
        <f>"RPL13AP25"</f>
        <v>RPL13AP25</v>
      </c>
      <c r="B19282" s="6" t="s">
        <v>1</v>
      </c>
      <c r="C19282" s="6" t="s">
        <v>1</v>
      </c>
    </row>
    <row r="19283" spans="1:3" s="7" customFormat="1" x14ac:dyDescent="0.2">
      <c r="A19283" s="6" t="str">
        <f>"ALOX12B"</f>
        <v>ALOX12B</v>
      </c>
      <c r="B19283" s="6" t="s">
        <v>1</v>
      </c>
      <c r="C19283" s="6" t="s">
        <v>1</v>
      </c>
    </row>
    <row r="19284" spans="1:3" s="7" customFormat="1" x14ac:dyDescent="0.2">
      <c r="A19284" s="6" t="str">
        <f>"SETBP1-DT"</f>
        <v>SETBP1-DT</v>
      </c>
      <c r="B19284" s="6" t="s">
        <v>1</v>
      </c>
      <c r="C19284" s="6" t="s">
        <v>1</v>
      </c>
    </row>
    <row r="19285" spans="1:3" s="7" customFormat="1" x14ac:dyDescent="0.2">
      <c r="A19285" s="6" t="str">
        <f>"SEMA3D"</f>
        <v>SEMA3D</v>
      </c>
      <c r="B19285" s="6" t="s">
        <v>1</v>
      </c>
      <c r="C19285" s="6" t="s">
        <v>1</v>
      </c>
    </row>
    <row r="19286" spans="1:3" s="7" customFormat="1" x14ac:dyDescent="0.2">
      <c r="A19286" s="6" t="str">
        <f>"UCN2"</f>
        <v>UCN2</v>
      </c>
      <c r="B19286" s="6" t="s">
        <v>1</v>
      </c>
      <c r="C19286" s="6" t="s">
        <v>1</v>
      </c>
    </row>
    <row r="19287" spans="1:3" s="7" customFormat="1" x14ac:dyDescent="0.2">
      <c r="A19287" s="6" t="str">
        <f>"AC009802.1"</f>
        <v>AC009802.1</v>
      </c>
      <c r="B19287" s="6" t="s">
        <v>1</v>
      </c>
      <c r="C19287" s="6" t="s">
        <v>1</v>
      </c>
    </row>
    <row r="19288" spans="1:3" s="7" customFormat="1" x14ac:dyDescent="0.2">
      <c r="A19288" s="6" t="str">
        <f>"AC093675.1"</f>
        <v>AC093675.1</v>
      </c>
      <c r="B19288" s="6" t="s">
        <v>1</v>
      </c>
      <c r="C19288" s="6" t="s">
        <v>1</v>
      </c>
    </row>
    <row r="19289" spans="1:3" s="7" customFormat="1" x14ac:dyDescent="0.2">
      <c r="A19289" s="6" t="str">
        <f>"CHMP4BP1"</f>
        <v>CHMP4BP1</v>
      </c>
      <c r="B19289" s="6" t="s">
        <v>1</v>
      </c>
      <c r="C19289" s="6" t="s">
        <v>1</v>
      </c>
    </row>
    <row r="19290" spans="1:3" s="7" customFormat="1" x14ac:dyDescent="0.2">
      <c r="A19290" s="6" t="str">
        <f>"GPX1P1"</f>
        <v>GPX1P1</v>
      </c>
      <c r="B19290" s="6" t="s">
        <v>1</v>
      </c>
      <c r="C19290" s="6" t="s">
        <v>1</v>
      </c>
    </row>
    <row r="19291" spans="1:3" s="7" customFormat="1" x14ac:dyDescent="0.2">
      <c r="A19291" s="6" t="str">
        <f>"RADIL"</f>
        <v>RADIL</v>
      </c>
      <c r="B19291" s="6" t="s">
        <v>1</v>
      </c>
      <c r="C19291" s="6" t="s">
        <v>1</v>
      </c>
    </row>
    <row r="19292" spans="1:3" s="7" customFormat="1" x14ac:dyDescent="0.2">
      <c r="A19292" s="6" t="str">
        <f>"AL354892.3"</f>
        <v>AL354892.3</v>
      </c>
      <c r="B19292" s="6" t="s">
        <v>1</v>
      </c>
      <c r="C19292" s="6" t="s">
        <v>1</v>
      </c>
    </row>
    <row r="19293" spans="1:3" s="7" customFormat="1" x14ac:dyDescent="0.2">
      <c r="A19293" s="6" t="str">
        <f>"AC106795.3"</f>
        <v>AC106795.3</v>
      </c>
      <c r="B19293" s="6" t="s">
        <v>1</v>
      </c>
      <c r="C19293" s="6" t="s">
        <v>1</v>
      </c>
    </row>
    <row r="19294" spans="1:3" s="7" customFormat="1" x14ac:dyDescent="0.2">
      <c r="A19294" s="6" t="str">
        <f>"MYO16"</f>
        <v>MYO16</v>
      </c>
      <c r="B19294" s="6" t="s">
        <v>1</v>
      </c>
      <c r="C19294" s="6" t="s">
        <v>1</v>
      </c>
    </row>
    <row r="19295" spans="1:3" s="7" customFormat="1" x14ac:dyDescent="0.2">
      <c r="A19295" s="6" t="str">
        <f>"CRYGS"</f>
        <v>CRYGS</v>
      </c>
      <c r="B19295" s="6" t="s">
        <v>1</v>
      </c>
      <c r="C19295" s="6" t="s">
        <v>1</v>
      </c>
    </row>
    <row r="19296" spans="1:3" s="7" customFormat="1" x14ac:dyDescent="0.2">
      <c r="A19296" s="6" t="str">
        <f>"AC023024.1"</f>
        <v>AC023024.1</v>
      </c>
      <c r="B19296" s="6" t="s">
        <v>1</v>
      </c>
      <c r="C19296" s="6" t="s">
        <v>1</v>
      </c>
    </row>
    <row r="19297" spans="1:3" s="7" customFormat="1" x14ac:dyDescent="0.2">
      <c r="A19297" s="6" t="str">
        <f>"CRTAM"</f>
        <v>CRTAM</v>
      </c>
      <c r="B19297" s="6" t="s">
        <v>1</v>
      </c>
      <c r="C19297" s="6" t="s">
        <v>1</v>
      </c>
    </row>
    <row r="19298" spans="1:3" s="7" customFormat="1" x14ac:dyDescent="0.2">
      <c r="A19298" s="6" t="str">
        <f>"AC108449.2"</f>
        <v>AC108449.2</v>
      </c>
      <c r="B19298" s="6" t="s">
        <v>1</v>
      </c>
      <c r="C19298" s="6" t="s">
        <v>1</v>
      </c>
    </row>
    <row r="19299" spans="1:3" s="7" customFormat="1" x14ac:dyDescent="0.2">
      <c r="A19299" s="6" t="str">
        <f>"AC009754.2"</f>
        <v>AC009754.2</v>
      </c>
      <c r="B19299" s="6" t="s">
        <v>1</v>
      </c>
      <c r="C19299" s="6" t="s">
        <v>1</v>
      </c>
    </row>
    <row r="19300" spans="1:3" s="7" customFormat="1" x14ac:dyDescent="0.2">
      <c r="A19300" s="6" t="str">
        <f>"AC008494.3"</f>
        <v>AC008494.3</v>
      </c>
      <c r="B19300" s="6" t="s">
        <v>1</v>
      </c>
      <c r="C19300" s="6" t="s">
        <v>1</v>
      </c>
    </row>
    <row r="19301" spans="1:3" s="7" customFormat="1" x14ac:dyDescent="0.2">
      <c r="A19301" s="6" t="str">
        <f>"TRDC"</f>
        <v>TRDC</v>
      </c>
      <c r="B19301" s="6" t="s">
        <v>1</v>
      </c>
      <c r="C19301" s="6" t="s">
        <v>1</v>
      </c>
    </row>
    <row r="19302" spans="1:3" s="7" customFormat="1" x14ac:dyDescent="0.2">
      <c r="A19302" s="6" t="str">
        <f>"WSCD2"</f>
        <v>WSCD2</v>
      </c>
      <c r="B19302" s="6" t="s">
        <v>1</v>
      </c>
      <c r="C19302" s="6" t="s">
        <v>1</v>
      </c>
    </row>
    <row r="19303" spans="1:3" s="7" customFormat="1" x14ac:dyDescent="0.2">
      <c r="A19303" s="6" t="str">
        <f>"AL031118.1"</f>
        <v>AL031118.1</v>
      </c>
      <c r="B19303" s="6" t="s">
        <v>1</v>
      </c>
      <c r="C19303" s="6" t="s">
        <v>1</v>
      </c>
    </row>
    <row r="19304" spans="1:3" s="7" customFormat="1" x14ac:dyDescent="0.2">
      <c r="A19304" s="6" t="str">
        <f>"AL133517.1"</f>
        <v>AL133517.1</v>
      </c>
      <c r="B19304" s="6" t="s">
        <v>1</v>
      </c>
      <c r="C19304" s="6" t="s">
        <v>1</v>
      </c>
    </row>
    <row r="19305" spans="1:3" s="7" customFormat="1" x14ac:dyDescent="0.2">
      <c r="A19305" s="6" t="str">
        <f>"PLGLB1"</f>
        <v>PLGLB1</v>
      </c>
      <c r="B19305" s="6" t="s">
        <v>1</v>
      </c>
      <c r="C19305" s="6" t="s">
        <v>1</v>
      </c>
    </row>
    <row r="19306" spans="1:3" s="7" customFormat="1" x14ac:dyDescent="0.2">
      <c r="A19306" s="6" t="str">
        <f>"AC022706.1"</f>
        <v>AC022706.1</v>
      </c>
      <c r="B19306" s="6" t="s">
        <v>1</v>
      </c>
      <c r="C19306" s="6" t="s">
        <v>1</v>
      </c>
    </row>
    <row r="19307" spans="1:3" s="7" customFormat="1" x14ac:dyDescent="0.2">
      <c r="A19307" s="6" t="str">
        <f>"AP000873.1"</f>
        <v>AP000873.1</v>
      </c>
      <c r="B19307" s="6" t="s">
        <v>1</v>
      </c>
      <c r="C19307" s="6" t="s">
        <v>1</v>
      </c>
    </row>
    <row r="19308" spans="1:3" s="7" customFormat="1" x14ac:dyDescent="0.2">
      <c r="A19308" s="6" t="str">
        <f>"INSYN2A"</f>
        <v>INSYN2A</v>
      </c>
      <c r="B19308" s="6" t="s">
        <v>1</v>
      </c>
      <c r="C19308" s="6" t="s">
        <v>1</v>
      </c>
    </row>
    <row r="19309" spans="1:3" s="7" customFormat="1" x14ac:dyDescent="0.2">
      <c r="A19309" s="6" t="str">
        <f>"AC107958.2"</f>
        <v>AC107958.2</v>
      </c>
      <c r="B19309" s="6" t="s">
        <v>1</v>
      </c>
      <c r="C19309" s="6" t="s">
        <v>1</v>
      </c>
    </row>
    <row r="19310" spans="1:3" s="7" customFormat="1" x14ac:dyDescent="0.2">
      <c r="A19310" s="6" t="str">
        <f>"C2orf91"</f>
        <v>C2orf91</v>
      </c>
      <c r="B19310" s="6" t="s">
        <v>1</v>
      </c>
      <c r="C19310" s="6" t="s">
        <v>1</v>
      </c>
    </row>
    <row r="19311" spans="1:3" s="7" customFormat="1" x14ac:dyDescent="0.2">
      <c r="A19311" s="6" t="str">
        <f>"AL512356.1"</f>
        <v>AL512356.1</v>
      </c>
      <c r="B19311" s="6" t="s">
        <v>1</v>
      </c>
      <c r="C19311" s="6" t="s">
        <v>1</v>
      </c>
    </row>
    <row r="19312" spans="1:3" s="7" customFormat="1" x14ac:dyDescent="0.2">
      <c r="A19312" s="6" t="str">
        <f>"CCR10"</f>
        <v>CCR10</v>
      </c>
      <c r="B19312" s="6" t="s">
        <v>1</v>
      </c>
      <c r="C19312" s="6" t="s">
        <v>1</v>
      </c>
    </row>
    <row r="19313" spans="1:3" s="7" customFormat="1" x14ac:dyDescent="0.2">
      <c r="A19313" s="6" t="str">
        <f>"AC022497.1"</f>
        <v>AC022497.1</v>
      </c>
      <c r="B19313" s="6" t="s">
        <v>1</v>
      </c>
      <c r="C19313" s="6" t="s">
        <v>1</v>
      </c>
    </row>
    <row r="19314" spans="1:3" s="7" customFormat="1" x14ac:dyDescent="0.2">
      <c r="A19314" s="6" t="str">
        <f>"AC087294.1"</f>
        <v>AC087294.1</v>
      </c>
      <c r="B19314" s="6" t="s">
        <v>1</v>
      </c>
      <c r="C19314" s="6" t="s">
        <v>1</v>
      </c>
    </row>
    <row r="19315" spans="1:3" s="7" customFormat="1" x14ac:dyDescent="0.2">
      <c r="A19315" s="6" t="str">
        <f>"GLIS3-AS1"</f>
        <v>GLIS3-AS1</v>
      </c>
      <c r="B19315" s="6" t="s">
        <v>1</v>
      </c>
      <c r="C19315" s="6" t="s">
        <v>1</v>
      </c>
    </row>
    <row r="19316" spans="1:3" s="7" customFormat="1" x14ac:dyDescent="0.2">
      <c r="A19316" s="6" t="str">
        <f>"MADCAM1"</f>
        <v>MADCAM1</v>
      </c>
      <c r="B19316" s="6" t="s">
        <v>1</v>
      </c>
      <c r="C19316" s="6" t="s">
        <v>1</v>
      </c>
    </row>
    <row r="19317" spans="1:3" s="7" customFormat="1" x14ac:dyDescent="0.2">
      <c r="A19317" s="6" t="str">
        <f>"AP000553.1"</f>
        <v>AP000553.1</v>
      </c>
      <c r="B19317" s="6" t="s">
        <v>1</v>
      </c>
      <c r="C19317" s="6" t="s">
        <v>1</v>
      </c>
    </row>
    <row r="19318" spans="1:3" s="7" customFormat="1" x14ac:dyDescent="0.2">
      <c r="A19318" s="6" t="str">
        <f>"AC106820.3"</f>
        <v>AC106820.3</v>
      </c>
      <c r="B19318" s="6" t="s">
        <v>1</v>
      </c>
      <c r="C19318" s="6" t="s">
        <v>1</v>
      </c>
    </row>
    <row r="19319" spans="1:3" s="7" customFormat="1" x14ac:dyDescent="0.2">
      <c r="A19319" s="6" t="str">
        <f>"AC013643.3"</f>
        <v>AC013643.3</v>
      </c>
      <c r="B19319" s="6" t="s">
        <v>1</v>
      </c>
      <c r="C19319" s="6" t="s">
        <v>1</v>
      </c>
    </row>
    <row r="19320" spans="1:3" s="7" customFormat="1" x14ac:dyDescent="0.2">
      <c r="A19320" s="6" t="str">
        <f>"OXCT1-AS1"</f>
        <v>OXCT1-AS1</v>
      </c>
      <c r="B19320" s="6" t="s">
        <v>1</v>
      </c>
      <c r="C19320" s="6" t="s">
        <v>1</v>
      </c>
    </row>
    <row r="19321" spans="1:3" s="7" customFormat="1" x14ac:dyDescent="0.2">
      <c r="A19321" s="6" t="str">
        <f>"FANCB"</f>
        <v>FANCB</v>
      </c>
      <c r="B19321" s="6" t="s">
        <v>1</v>
      </c>
      <c r="C19321" s="6" t="s">
        <v>1</v>
      </c>
    </row>
    <row r="19322" spans="1:3" s="7" customFormat="1" x14ac:dyDescent="0.2">
      <c r="A19322" s="6" t="str">
        <f>"AC063943.2"</f>
        <v>AC063943.2</v>
      </c>
      <c r="B19322" s="6" t="s">
        <v>1</v>
      </c>
      <c r="C19322" s="6" t="s">
        <v>1</v>
      </c>
    </row>
    <row r="19323" spans="1:3" s="7" customFormat="1" x14ac:dyDescent="0.2">
      <c r="A19323" s="6" t="str">
        <f>"AL135791.1"</f>
        <v>AL135791.1</v>
      </c>
      <c r="B19323" s="6" t="s">
        <v>1</v>
      </c>
      <c r="C19323" s="6" t="s">
        <v>1</v>
      </c>
    </row>
    <row r="19324" spans="1:3" s="7" customFormat="1" x14ac:dyDescent="0.2">
      <c r="A19324" s="6" t="str">
        <f>"AP000919.1"</f>
        <v>AP000919.1</v>
      </c>
      <c r="B19324" s="6" t="s">
        <v>1</v>
      </c>
      <c r="C19324" s="6" t="s">
        <v>1</v>
      </c>
    </row>
    <row r="19325" spans="1:3" s="7" customFormat="1" x14ac:dyDescent="0.2">
      <c r="A19325" s="6" t="str">
        <f>"AP000926.2"</f>
        <v>AP000926.2</v>
      </c>
      <c r="B19325" s="6" t="s">
        <v>1</v>
      </c>
      <c r="C19325" s="6" t="s">
        <v>1</v>
      </c>
    </row>
    <row r="19326" spans="1:3" s="7" customFormat="1" x14ac:dyDescent="0.2">
      <c r="A19326" s="6" t="str">
        <f>"AC093525.8"</f>
        <v>AC093525.8</v>
      </c>
      <c r="B19326" s="6" t="s">
        <v>1</v>
      </c>
      <c r="C19326" s="6" t="s">
        <v>1</v>
      </c>
    </row>
    <row r="19327" spans="1:3" s="7" customFormat="1" x14ac:dyDescent="0.2">
      <c r="A19327" s="6" t="str">
        <f>"AC022819.1"</f>
        <v>AC022819.1</v>
      </c>
      <c r="B19327" s="6" t="s">
        <v>1</v>
      </c>
      <c r="C19327" s="6" t="s">
        <v>1</v>
      </c>
    </row>
    <row r="19328" spans="1:3" s="7" customFormat="1" x14ac:dyDescent="0.2">
      <c r="A19328" s="6" t="str">
        <f>"STX1B"</f>
        <v>STX1B</v>
      </c>
      <c r="B19328" s="6" t="s">
        <v>1</v>
      </c>
      <c r="C19328" s="6" t="s">
        <v>1</v>
      </c>
    </row>
    <row r="19329" spans="1:3" s="7" customFormat="1" x14ac:dyDescent="0.2">
      <c r="A19329" s="6" t="str">
        <f>"PDCL3P4"</f>
        <v>PDCL3P4</v>
      </c>
      <c r="B19329" s="6" t="s">
        <v>1</v>
      </c>
      <c r="C19329" s="6" t="s">
        <v>1</v>
      </c>
    </row>
    <row r="19330" spans="1:3" s="7" customFormat="1" x14ac:dyDescent="0.2">
      <c r="A19330" s="6" t="str">
        <f>"INTS4P1"</f>
        <v>INTS4P1</v>
      </c>
      <c r="B19330" s="6" t="s">
        <v>1</v>
      </c>
      <c r="C19330" s="6" t="s">
        <v>1</v>
      </c>
    </row>
    <row r="19331" spans="1:3" s="7" customFormat="1" x14ac:dyDescent="0.2">
      <c r="A19331" s="6" t="str">
        <f>"RPL7P1"</f>
        <v>RPL7P1</v>
      </c>
      <c r="B19331" s="6" t="s">
        <v>1</v>
      </c>
      <c r="C19331" s="6" t="s">
        <v>1</v>
      </c>
    </row>
    <row r="19332" spans="1:3" s="7" customFormat="1" x14ac:dyDescent="0.2">
      <c r="A19332" s="6" t="str">
        <f>"GPR63"</f>
        <v>GPR63</v>
      </c>
      <c r="B19332" s="6" t="s">
        <v>1</v>
      </c>
      <c r="C19332" s="6" t="s">
        <v>1</v>
      </c>
    </row>
    <row r="19333" spans="1:3" s="7" customFormat="1" x14ac:dyDescent="0.2">
      <c r="A19333" s="6" t="str">
        <f>"SAG"</f>
        <v>SAG</v>
      </c>
      <c r="B19333" s="6" t="s">
        <v>1</v>
      </c>
      <c r="C19333" s="6" t="s">
        <v>1</v>
      </c>
    </row>
    <row r="19334" spans="1:3" s="7" customFormat="1" x14ac:dyDescent="0.2">
      <c r="A19334" s="6" t="str">
        <f>"AC007405.2"</f>
        <v>AC007405.2</v>
      </c>
      <c r="B19334" s="6" t="s">
        <v>1</v>
      </c>
      <c r="C19334" s="6" t="s">
        <v>1</v>
      </c>
    </row>
    <row r="19335" spans="1:3" s="7" customFormat="1" x14ac:dyDescent="0.2">
      <c r="A19335" s="6" t="str">
        <f>"AC007278.1"</f>
        <v>AC007278.1</v>
      </c>
      <c r="B19335" s="6" t="s">
        <v>1</v>
      </c>
      <c r="C19335" s="6" t="s">
        <v>1</v>
      </c>
    </row>
    <row r="19336" spans="1:3" s="7" customFormat="1" x14ac:dyDescent="0.2">
      <c r="A19336" s="6" t="str">
        <f>"SHLD2P1"</f>
        <v>SHLD2P1</v>
      </c>
      <c r="B19336" s="6" t="s">
        <v>1</v>
      </c>
      <c r="C19336" s="6" t="s">
        <v>1</v>
      </c>
    </row>
    <row r="19337" spans="1:3" s="7" customFormat="1" x14ac:dyDescent="0.2">
      <c r="A19337" s="6" t="str">
        <f>"CEACAM21"</f>
        <v>CEACAM21</v>
      </c>
      <c r="B19337" s="6" t="s">
        <v>1</v>
      </c>
      <c r="C19337" s="6" t="s">
        <v>1</v>
      </c>
    </row>
    <row r="19338" spans="1:3" s="7" customFormat="1" x14ac:dyDescent="0.2">
      <c r="A19338" s="6" t="str">
        <f>"AC007326.5"</f>
        <v>AC007326.5</v>
      </c>
      <c r="B19338" s="6" t="s">
        <v>1</v>
      </c>
      <c r="C19338" s="6" t="s">
        <v>1</v>
      </c>
    </row>
    <row r="19339" spans="1:3" s="7" customFormat="1" x14ac:dyDescent="0.2">
      <c r="A19339" s="6" t="str">
        <f>"AC132192.2"</f>
        <v>AC132192.2</v>
      </c>
      <c r="B19339" s="6" t="s">
        <v>1</v>
      </c>
      <c r="C19339" s="6" t="s">
        <v>1</v>
      </c>
    </row>
    <row r="19340" spans="1:3" s="7" customFormat="1" x14ac:dyDescent="0.2">
      <c r="A19340" s="6" t="str">
        <f>"TRGC1"</f>
        <v>TRGC1</v>
      </c>
      <c r="B19340" s="6" t="s">
        <v>1</v>
      </c>
      <c r="C19340" s="6" t="s">
        <v>1</v>
      </c>
    </row>
    <row r="19341" spans="1:3" s="7" customFormat="1" x14ac:dyDescent="0.2">
      <c r="A19341" s="6" t="str">
        <f>"AL139405.1"</f>
        <v>AL139405.1</v>
      </c>
      <c r="B19341" s="6" t="s">
        <v>1</v>
      </c>
      <c r="C19341" s="6" t="s">
        <v>1</v>
      </c>
    </row>
    <row r="19342" spans="1:3" s="7" customFormat="1" x14ac:dyDescent="0.2">
      <c r="A19342" s="6" t="str">
        <f>"CHRM1"</f>
        <v>CHRM1</v>
      </c>
      <c r="B19342" s="6" t="s">
        <v>1</v>
      </c>
      <c r="C19342" s="6" t="s">
        <v>1</v>
      </c>
    </row>
    <row r="19343" spans="1:3" s="7" customFormat="1" x14ac:dyDescent="0.2">
      <c r="A19343" s="6" t="str">
        <f>"AP000944.7"</f>
        <v>AP000944.7</v>
      </c>
      <c r="B19343" s="6" t="s">
        <v>1</v>
      </c>
      <c r="C19343" s="6" t="s">
        <v>1</v>
      </c>
    </row>
    <row r="19344" spans="1:3" s="7" customFormat="1" x14ac:dyDescent="0.2">
      <c r="A19344" s="6" t="str">
        <f>"EDNRB"</f>
        <v>EDNRB</v>
      </c>
      <c r="B19344" s="6" t="s">
        <v>1</v>
      </c>
      <c r="C19344" s="6" t="s">
        <v>1</v>
      </c>
    </row>
    <row r="19345" spans="1:3" s="7" customFormat="1" x14ac:dyDescent="0.2">
      <c r="A19345" s="6" t="str">
        <f>"MS4A14"</f>
        <v>MS4A14</v>
      </c>
      <c r="B19345" s="6" t="s">
        <v>1</v>
      </c>
      <c r="C19345" s="6" t="s">
        <v>1</v>
      </c>
    </row>
    <row r="19346" spans="1:3" s="7" customFormat="1" x14ac:dyDescent="0.2">
      <c r="A19346" s="6" t="str">
        <f>"AL136116.3"</f>
        <v>AL136116.3</v>
      </c>
      <c r="B19346" s="6" t="s">
        <v>1</v>
      </c>
      <c r="C19346" s="6" t="s">
        <v>1</v>
      </c>
    </row>
    <row r="19347" spans="1:3" s="7" customFormat="1" x14ac:dyDescent="0.2">
      <c r="A19347" s="6" t="str">
        <f>"CNNM3-DT"</f>
        <v>CNNM3-DT</v>
      </c>
      <c r="B19347" s="6" t="s">
        <v>1</v>
      </c>
      <c r="C19347" s="6" t="s">
        <v>1</v>
      </c>
    </row>
    <row r="19348" spans="1:3" s="7" customFormat="1" x14ac:dyDescent="0.2">
      <c r="A19348" s="6" t="str">
        <f>"PAGE5"</f>
        <v>PAGE5</v>
      </c>
      <c r="B19348" s="6" t="s">
        <v>1</v>
      </c>
      <c r="C19348" s="6" t="s">
        <v>1</v>
      </c>
    </row>
    <row r="19349" spans="1:3" s="7" customFormat="1" x14ac:dyDescent="0.2">
      <c r="A19349" s="6" t="str">
        <f>"RPLP0P6"</f>
        <v>RPLP0P6</v>
      </c>
      <c r="B19349" s="6" t="s">
        <v>1</v>
      </c>
      <c r="C19349" s="6" t="s">
        <v>1</v>
      </c>
    </row>
    <row r="19350" spans="1:3" s="7" customFormat="1" x14ac:dyDescent="0.2">
      <c r="A19350" s="6" t="str">
        <f>"TTLL10-AS1"</f>
        <v>TTLL10-AS1</v>
      </c>
      <c r="B19350" s="6" t="s">
        <v>1</v>
      </c>
      <c r="C19350" s="6" t="s">
        <v>1</v>
      </c>
    </row>
    <row r="19351" spans="1:3" s="7" customFormat="1" x14ac:dyDescent="0.2">
      <c r="A19351" s="6" t="str">
        <f>"AC015726.1"</f>
        <v>AC015726.1</v>
      </c>
      <c r="B19351" s="6" t="s">
        <v>1</v>
      </c>
      <c r="C19351" s="6" t="s">
        <v>1</v>
      </c>
    </row>
    <row r="19352" spans="1:3" s="7" customFormat="1" x14ac:dyDescent="0.2">
      <c r="A19352" s="6" t="str">
        <f>"SEC14L4"</f>
        <v>SEC14L4</v>
      </c>
      <c r="B19352" s="6" t="s">
        <v>1</v>
      </c>
      <c r="C19352" s="6" t="s">
        <v>1</v>
      </c>
    </row>
    <row r="19353" spans="1:3" s="7" customFormat="1" x14ac:dyDescent="0.2">
      <c r="A19353" s="6" t="str">
        <f>"KCNA7"</f>
        <v>KCNA7</v>
      </c>
      <c r="B19353" s="6" t="s">
        <v>1</v>
      </c>
      <c r="C19353" s="6" t="s">
        <v>1</v>
      </c>
    </row>
    <row r="19354" spans="1:3" s="7" customFormat="1" x14ac:dyDescent="0.2">
      <c r="A19354" s="6" t="str">
        <f>"MYO1H"</f>
        <v>MYO1H</v>
      </c>
      <c r="B19354" s="6" t="s">
        <v>1</v>
      </c>
      <c r="C19354" s="6" t="s">
        <v>1</v>
      </c>
    </row>
    <row r="19355" spans="1:3" s="7" customFormat="1" x14ac:dyDescent="0.2">
      <c r="A19355" s="6" t="str">
        <f>"PLGLB2"</f>
        <v>PLGLB2</v>
      </c>
      <c r="B19355" s="6" t="s">
        <v>1</v>
      </c>
      <c r="C19355" s="6" t="s">
        <v>1</v>
      </c>
    </row>
    <row r="19356" spans="1:3" s="7" customFormat="1" x14ac:dyDescent="0.2">
      <c r="A19356" s="6" t="str">
        <f>"AC022613.1"</f>
        <v>AC022613.1</v>
      </c>
      <c r="B19356" s="6" t="s">
        <v>1</v>
      </c>
      <c r="C19356" s="6" t="s">
        <v>1</v>
      </c>
    </row>
    <row r="19357" spans="1:3" s="7" customFormat="1" x14ac:dyDescent="0.2">
      <c r="A19357" s="6" t="str">
        <f>"AC022144.1"</f>
        <v>AC022144.1</v>
      </c>
      <c r="B19357" s="6" t="s">
        <v>1</v>
      </c>
      <c r="C19357" s="6" t="s">
        <v>1</v>
      </c>
    </row>
    <row r="19358" spans="1:3" s="7" customFormat="1" x14ac:dyDescent="0.2">
      <c r="A19358" s="6" t="str">
        <f>"LINC01013"</f>
        <v>LINC01013</v>
      </c>
      <c r="B19358" s="6" t="s">
        <v>1</v>
      </c>
      <c r="C19358" s="6" t="s">
        <v>1</v>
      </c>
    </row>
    <row r="19359" spans="1:3" s="7" customFormat="1" x14ac:dyDescent="0.2">
      <c r="A19359" s="6" t="str">
        <f>"AC243964.3"</f>
        <v>AC243964.3</v>
      </c>
      <c r="B19359" s="6" t="s">
        <v>1</v>
      </c>
      <c r="C19359" s="6" t="s">
        <v>1</v>
      </c>
    </row>
    <row r="19360" spans="1:3" s="7" customFormat="1" x14ac:dyDescent="0.2">
      <c r="A19360" s="6" t="str">
        <f>"ASTL"</f>
        <v>ASTL</v>
      </c>
      <c r="B19360" s="6" t="s">
        <v>1</v>
      </c>
      <c r="C19360" s="6" t="s">
        <v>1</v>
      </c>
    </row>
    <row r="19361" spans="1:3" s="7" customFormat="1" x14ac:dyDescent="0.2">
      <c r="A19361" s="6" t="str">
        <f>"AP000550.1"</f>
        <v>AP000550.1</v>
      </c>
      <c r="B19361" s="6" t="s">
        <v>1</v>
      </c>
      <c r="C19361" s="6" t="s">
        <v>1</v>
      </c>
    </row>
    <row r="19362" spans="1:3" s="7" customFormat="1" x14ac:dyDescent="0.2">
      <c r="A19362" s="6" t="str">
        <f>"AC087491.1"</f>
        <v>AC087491.1</v>
      </c>
      <c r="B19362" s="6" t="s">
        <v>1</v>
      </c>
      <c r="C19362" s="6" t="s">
        <v>1</v>
      </c>
    </row>
    <row r="19363" spans="1:3" s="7" customFormat="1" x14ac:dyDescent="0.2">
      <c r="A19363" s="6" t="str">
        <f>"AC068587.2"</f>
        <v>AC068587.2</v>
      </c>
      <c r="B19363" s="6" t="s">
        <v>1</v>
      </c>
      <c r="C19363" s="6" t="s">
        <v>1</v>
      </c>
    </row>
    <row r="19364" spans="1:3" s="7" customFormat="1" x14ac:dyDescent="0.2">
      <c r="A19364" s="6" t="str">
        <f>"REP15"</f>
        <v>REP15</v>
      </c>
      <c r="B19364" s="6" t="s">
        <v>1</v>
      </c>
      <c r="C19364" s="6" t="s">
        <v>1</v>
      </c>
    </row>
    <row r="19365" spans="1:3" s="7" customFormat="1" x14ac:dyDescent="0.2">
      <c r="A19365" s="6" t="str">
        <f>"FLT3"</f>
        <v>FLT3</v>
      </c>
      <c r="B19365" s="6" t="s">
        <v>1</v>
      </c>
      <c r="C19365" s="6" t="s">
        <v>1</v>
      </c>
    </row>
    <row r="19366" spans="1:3" s="7" customFormat="1" x14ac:dyDescent="0.2">
      <c r="A19366" s="6" t="str">
        <f>"RPL10P16"</f>
        <v>RPL10P16</v>
      </c>
      <c r="B19366" s="6" t="s">
        <v>1</v>
      </c>
      <c r="C19366" s="6" t="s">
        <v>1</v>
      </c>
    </row>
    <row r="19367" spans="1:3" s="7" customFormat="1" x14ac:dyDescent="0.2">
      <c r="A19367" s="6" t="str">
        <f>"LINC01031"</f>
        <v>LINC01031</v>
      </c>
      <c r="B19367" s="6" t="s">
        <v>1</v>
      </c>
      <c r="C19367" s="6" t="s">
        <v>1</v>
      </c>
    </row>
    <row r="19368" spans="1:3" s="7" customFormat="1" x14ac:dyDescent="0.2">
      <c r="A19368" s="6" t="str">
        <f>"P4HA3"</f>
        <v>P4HA3</v>
      </c>
      <c r="B19368" s="6" t="s">
        <v>1</v>
      </c>
      <c r="C19368" s="6" t="s">
        <v>1</v>
      </c>
    </row>
    <row r="19369" spans="1:3" s="7" customFormat="1" x14ac:dyDescent="0.2">
      <c r="A19369" s="6" t="str">
        <f>"DEPDC4"</f>
        <v>DEPDC4</v>
      </c>
      <c r="B19369" s="6" t="s">
        <v>1</v>
      </c>
      <c r="C19369" s="6" t="s">
        <v>1</v>
      </c>
    </row>
    <row r="19370" spans="1:3" s="7" customFormat="1" x14ac:dyDescent="0.2">
      <c r="A19370" s="6" t="str">
        <f>"DEFB4B"</f>
        <v>DEFB4B</v>
      </c>
      <c r="B19370" s="6" t="s">
        <v>1</v>
      </c>
      <c r="C19370" s="6" t="s">
        <v>1</v>
      </c>
    </row>
    <row r="19371" spans="1:3" s="7" customFormat="1" x14ac:dyDescent="0.2">
      <c r="A19371" s="6" t="str">
        <f>"GLUD2"</f>
        <v>GLUD2</v>
      </c>
      <c r="B19371" s="6" t="s">
        <v>1</v>
      </c>
      <c r="C19371" s="6" t="s">
        <v>1</v>
      </c>
    </row>
    <row r="19372" spans="1:3" s="7" customFormat="1" x14ac:dyDescent="0.2">
      <c r="A19372" s="6" t="str">
        <f>"LINC01151"</f>
        <v>LINC01151</v>
      </c>
      <c r="B19372" s="6" t="s">
        <v>1</v>
      </c>
      <c r="C19372" s="6" t="s">
        <v>1</v>
      </c>
    </row>
    <row r="19373" spans="1:3" s="7" customFormat="1" x14ac:dyDescent="0.2">
      <c r="A19373" s="6" t="str">
        <f>"AL031673.1"</f>
        <v>AL031673.1</v>
      </c>
      <c r="B19373" s="6" t="s">
        <v>1</v>
      </c>
      <c r="C19373" s="6" t="s">
        <v>1</v>
      </c>
    </row>
    <row r="19374" spans="1:3" s="7" customFormat="1" x14ac:dyDescent="0.2">
      <c r="A19374" s="6" t="str">
        <f>"AL133520.1"</f>
        <v>AL133520.1</v>
      </c>
      <c r="B19374" s="6" t="s">
        <v>1</v>
      </c>
      <c r="C19374" s="6" t="s">
        <v>1</v>
      </c>
    </row>
    <row r="19375" spans="1:3" s="7" customFormat="1" x14ac:dyDescent="0.2">
      <c r="A19375" s="6" t="str">
        <f>"CEACAM22P"</f>
        <v>CEACAM22P</v>
      </c>
      <c r="B19375" s="6" t="s">
        <v>1</v>
      </c>
      <c r="C19375" s="6" t="s">
        <v>1</v>
      </c>
    </row>
    <row r="19376" spans="1:3" s="7" customFormat="1" x14ac:dyDescent="0.2">
      <c r="A19376" s="6" t="str">
        <f>"AC107214.1"</f>
        <v>AC107214.1</v>
      </c>
      <c r="B19376" s="6" t="s">
        <v>1</v>
      </c>
      <c r="C19376" s="6" t="s">
        <v>1</v>
      </c>
    </row>
    <row r="19377" spans="1:3" s="7" customFormat="1" x14ac:dyDescent="0.2">
      <c r="A19377" s="6" t="str">
        <f>"AC243967.1"</f>
        <v>AC243967.1</v>
      </c>
      <c r="B19377" s="6" t="s">
        <v>1</v>
      </c>
      <c r="C19377" s="6" t="s">
        <v>1</v>
      </c>
    </row>
    <row r="19378" spans="1:3" s="7" customFormat="1" x14ac:dyDescent="0.2">
      <c r="A19378" s="6" t="str">
        <f>"TTN"</f>
        <v>TTN</v>
      </c>
      <c r="B19378" s="6" t="s">
        <v>1</v>
      </c>
      <c r="C19378" s="6" t="s">
        <v>1</v>
      </c>
    </row>
    <row r="19379" spans="1:3" s="7" customFormat="1" x14ac:dyDescent="0.2">
      <c r="A19379" s="6" t="str">
        <f>"AL133227.1"</f>
        <v>AL133227.1</v>
      </c>
      <c r="B19379" s="6" t="s">
        <v>1</v>
      </c>
      <c r="C19379" s="6" t="s">
        <v>1</v>
      </c>
    </row>
    <row r="19380" spans="1:3" s="7" customFormat="1" x14ac:dyDescent="0.2">
      <c r="A19380" s="6" t="str">
        <f>"AC107398.4"</f>
        <v>AC107398.4</v>
      </c>
      <c r="B19380" s="6" t="s">
        <v>1</v>
      </c>
      <c r="C19380" s="6" t="s">
        <v>1</v>
      </c>
    </row>
    <row r="19381" spans="1:3" s="7" customFormat="1" x14ac:dyDescent="0.2">
      <c r="A19381" s="6" t="str">
        <f>"AC004870.1"</f>
        <v>AC004870.1</v>
      </c>
      <c r="B19381" s="6" t="s">
        <v>1</v>
      </c>
      <c r="C19381" s="6" t="s">
        <v>1</v>
      </c>
    </row>
    <row r="19382" spans="1:3" s="7" customFormat="1" x14ac:dyDescent="0.2">
      <c r="A19382" s="6" t="str">
        <f>"TMEM156"</f>
        <v>TMEM156</v>
      </c>
      <c r="B19382" s="6" t="s">
        <v>1</v>
      </c>
      <c r="C19382" s="6" t="s">
        <v>1</v>
      </c>
    </row>
    <row r="19383" spans="1:3" s="7" customFormat="1" x14ac:dyDescent="0.2">
      <c r="A19383" s="6" t="str">
        <f>"AL022344.1"</f>
        <v>AL022344.1</v>
      </c>
      <c r="B19383" s="6" t="s">
        <v>1</v>
      </c>
      <c r="C19383" s="6" t="s">
        <v>1</v>
      </c>
    </row>
    <row r="19384" spans="1:3" s="7" customFormat="1" x14ac:dyDescent="0.2">
      <c r="A19384" s="6" t="str">
        <f>"SOCS2-AS1"</f>
        <v>SOCS2-AS1</v>
      </c>
      <c r="B19384" s="6" t="s">
        <v>1</v>
      </c>
      <c r="C19384" s="6" t="s">
        <v>1</v>
      </c>
    </row>
    <row r="19385" spans="1:3" s="7" customFormat="1" x14ac:dyDescent="0.2">
      <c r="A19385" s="6" t="str">
        <f>"AL450992.1"</f>
        <v>AL450992.1</v>
      </c>
      <c r="B19385" s="6" t="s">
        <v>1</v>
      </c>
      <c r="C19385" s="6" t="s">
        <v>1</v>
      </c>
    </row>
    <row r="19386" spans="1:3" s="7" customFormat="1" x14ac:dyDescent="0.2">
      <c r="A19386" s="6" t="str">
        <f>"AC007298.2"</f>
        <v>AC007298.2</v>
      </c>
      <c r="B19386" s="6" t="s">
        <v>1</v>
      </c>
      <c r="C19386" s="6" t="s">
        <v>1</v>
      </c>
    </row>
    <row r="19387" spans="1:3" s="7" customFormat="1" x14ac:dyDescent="0.2">
      <c r="A19387" s="6" t="str">
        <f>"LEXM"</f>
        <v>LEXM</v>
      </c>
      <c r="B19387" s="6" t="s">
        <v>1</v>
      </c>
      <c r="C19387" s="6" t="s">
        <v>1</v>
      </c>
    </row>
    <row r="19388" spans="1:3" s="7" customFormat="1" x14ac:dyDescent="0.2">
      <c r="A19388" s="6" t="str">
        <f>"AC062022.2"</f>
        <v>AC062022.2</v>
      </c>
      <c r="B19388" s="6" t="s">
        <v>1</v>
      </c>
      <c r="C19388" s="6" t="s">
        <v>1</v>
      </c>
    </row>
    <row r="19389" spans="1:3" s="7" customFormat="1" x14ac:dyDescent="0.2">
      <c r="A19389" s="6" t="str">
        <f>"AC022387.2"</f>
        <v>AC022387.2</v>
      </c>
      <c r="B19389" s="6" t="s">
        <v>1</v>
      </c>
      <c r="C19389" s="6" t="s">
        <v>1</v>
      </c>
    </row>
    <row r="19390" spans="1:3" s="7" customFormat="1" x14ac:dyDescent="0.2">
      <c r="A19390" s="6" t="str">
        <f>"TRHDE-AS1"</f>
        <v>TRHDE-AS1</v>
      </c>
      <c r="B19390" s="6" t="s">
        <v>1</v>
      </c>
      <c r="C19390" s="6" t="s">
        <v>1</v>
      </c>
    </row>
    <row r="19391" spans="1:3" s="7" customFormat="1" x14ac:dyDescent="0.2">
      <c r="A19391" s="6" t="str">
        <f>"AC022400.4"</f>
        <v>AC022400.4</v>
      </c>
      <c r="B19391" s="6" t="s">
        <v>1</v>
      </c>
      <c r="C19391" s="6" t="s">
        <v>1</v>
      </c>
    </row>
    <row r="19392" spans="1:3" s="7" customFormat="1" x14ac:dyDescent="0.2">
      <c r="A19392" s="6" t="str">
        <f>"LRP1B"</f>
        <v>LRP1B</v>
      </c>
      <c r="B19392" s="6" t="s">
        <v>1</v>
      </c>
      <c r="C19392" s="6" t="s">
        <v>1</v>
      </c>
    </row>
    <row r="19393" spans="1:3" s="7" customFormat="1" x14ac:dyDescent="0.2">
      <c r="A19393" s="6" t="str">
        <f>"AL353708.1"</f>
        <v>AL353708.1</v>
      </c>
      <c r="B19393" s="6" t="s">
        <v>1</v>
      </c>
      <c r="C19393" s="6" t="s">
        <v>1</v>
      </c>
    </row>
    <row r="19394" spans="1:3" s="7" customFormat="1" x14ac:dyDescent="0.2">
      <c r="A19394" s="6" t="str">
        <f>"EBI3"</f>
        <v>EBI3</v>
      </c>
      <c r="B19394" s="6" t="s">
        <v>1</v>
      </c>
      <c r="C19394" s="6" t="s">
        <v>1</v>
      </c>
    </row>
    <row r="19395" spans="1:3" s="7" customFormat="1" x14ac:dyDescent="0.2">
      <c r="A19395" s="6" t="str">
        <f>"WNT10B"</f>
        <v>WNT10B</v>
      </c>
      <c r="B19395" s="6" t="s">
        <v>1</v>
      </c>
      <c r="C19395" s="6" t="s">
        <v>1</v>
      </c>
    </row>
    <row r="19396" spans="1:3" s="7" customFormat="1" x14ac:dyDescent="0.2">
      <c r="A19396" s="6" t="str">
        <f>"AC004967.1"</f>
        <v>AC004967.1</v>
      </c>
      <c r="B19396" s="6" t="s">
        <v>1</v>
      </c>
      <c r="C19396" s="6" t="s">
        <v>1</v>
      </c>
    </row>
    <row r="19397" spans="1:3" s="7" customFormat="1" x14ac:dyDescent="0.2">
      <c r="A19397" s="6" t="str">
        <f>"AP000542.2"</f>
        <v>AP000542.2</v>
      </c>
      <c r="B19397" s="6" t="s">
        <v>1</v>
      </c>
      <c r="C19397" s="6" t="s">
        <v>1</v>
      </c>
    </row>
    <row r="19398" spans="1:3" s="7" customFormat="1" x14ac:dyDescent="0.2">
      <c r="A19398" s="6" t="str">
        <f>"KCNH6"</f>
        <v>KCNH6</v>
      </c>
      <c r="B19398" s="6" t="s">
        <v>1</v>
      </c>
      <c r="C19398" s="6" t="s">
        <v>1</v>
      </c>
    </row>
    <row r="19399" spans="1:3" s="7" customFormat="1" x14ac:dyDescent="0.2">
      <c r="A19399" s="6" t="str">
        <f>"SLC28A1"</f>
        <v>SLC28A1</v>
      </c>
      <c r="B19399" s="6" t="s">
        <v>1</v>
      </c>
      <c r="C19399" s="6" t="s">
        <v>1</v>
      </c>
    </row>
    <row r="19400" spans="1:3" s="7" customFormat="1" x14ac:dyDescent="0.2">
      <c r="A19400" s="6" t="str">
        <f>"AP000487.1"</f>
        <v>AP000487.1</v>
      </c>
      <c r="B19400" s="6" t="s">
        <v>1</v>
      </c>
      <c r="C19400" s="6" t="s">
        <v>1</v>
      </c>
    </row>
    <row r="19401" spans="1:3" s="7" customFormat="1" x14ac:dyDescent="0.2">
      <c r="A19401" s="6" t="str">
        <f>"AL023284.4"</f>
        <v>AL023284.4</v>
      </c>
      <c r="B19401" s="6" t="s">
        <v>1</v>
      </c>
      <c r="C19401" s="6" t="s">
        <v>1</v>
      </c>
    </row>
    <row r="19402" spans="1:3" s="7" customFormat="1" x14ac:dyDescent="0.2">
      <c r="A19402" s="6" t="str">
        <f>"TREML4"</f>
        <v>TREML4</v>
      </c>
      <c r="B19402" s="6" t="s">
        <v>1</v>
      </c>
      <c r="C19402" s="6" t="s">
        <v>1</v>
      </c>
    </row>
    <row r="19403" spans="1:3" s="7" customFormat="1" x14ac:dyDescent="0.2">
      <c r="A19403" s="6" t="str">
        <f>"AC009630.1"</f>
        <v>AC009630.1</v>
      </c>
      <c r="B19403" s="6" t="s">
        <v>1</v>
      </c>
      <c r="C19403" s="6" t="s">
        <v>1</v>
      </c>
    </row>
    <row r="19404" spans="1:3" s="7" customFormat="1" x14ac:dyDescent="0.2">
      <c r="A19404" s="6" t="str">
        <f>"AP000432.2"</f>
        <v>AP000432.2</v>
      </c>
      <c r="B19404" s="6" t="s">
        <v>1</v>
      </c>
      <c r="C19404" s="6" t="s">
        <v>1</v>
      </c>
    </row>
    <row r="19405" spans="1:3" s="7" customFormat="1" x14ac:dyDescent="0.2">
      <c r="A19405" s="6" t="str">
        <f>"LINC02068"</f>
        <v>LINC02068</v>
      </c>
      <c r="B19405" s="6" t="s">
        <v>1</v>
      </c>
      <c r="C19405" s="6" t="s">
        <v>1</v>
      </c>
    </row>
    <row r="19406" spans="1:3" s="7" customFormat="1" x14ac:dyDescent="0.2">
      <c r="A19406" s="6" t="str">
        <f>"AC010148.1"</f>
        <v>AC010148.1</v>
      </c>
      <c r="B19406" s="6" t="s">
        <v>1</v>
      </c>
      <c r="C19406" s="6" t="s">
        <v>1</v>
      </c>
    </row>
    <row r="19407" spans="1:3" s="7" customFormat="1" x14ac:dyDescent="0.2">
      <c r="A19407" s="6" t="str">
        <f>"CYP21A2"</f>
        <v>CYP21A2</v>
      </c>
      <c r="B19407" s="6" t="s">
        <v>1</v>
      </c>
      <c r="C19407" s="6" t="s">
        <v>1</v>
      </c>
    </row>
    <row r="19408" spans="1:3" s="7" customFormat="1" x14ac:dyDescent="0.2">
      <c r="A19408" s="6" t="str">
        <f>"AP000424.1"</f>
        <v>AP000424.1</v>
      </c>
      <c r="B19408" s="6" t="s">
        <v>1</v>
      </c>
      <c r="C19408" s="6" t="s">
        <v>1</v>
      </c>
    </row>
    <row r="19409" spans="1:3" s="7" customFormat="1" x14ac:dyDescent="0.2">
      <c r="A19409" s="6" t="str">
        <f>"LGALS8-AS1"</f>
        <v>LGALS8-AS1</v>
      </c>
      <c r="B19409" s="6" t="s">
        <v>1</v>
      </c>
      <c r="C19409" s="6" t="s">
        <v>1</v>
      </c>
    </row>
    <row r="19410" spans="1:3" s="7" customFormat="1" x14ac:dyDescent="0.2">
      <c r="A19410" s="6" t="str">
        <f>"LINC02288"</f>
        <v>LINC02288</v>
      </c>
      <c r="B19410" s="6" t="s">
        <v>1</v>
      </c>
      <c r="C19410" s="6" t="s">
        <v>1</v>
      </c>
    </row>
    <row r="19411" spans="1:3" s="7" customFormat="1" x14ac:dyDescent="0.2">
      <c r="A19411" s="6" t="str">
        <f>"AC004951.4"</f>
        <v>AC004951.4</v>
      </c>
      <c r="B19411" s="6" t="s">
        <v>1</v>
      </c>
      <c r="C19411" s="6" t="s">
        <v>1</v>
      </c>
    </row>
    <row r="19412" spans="1:3" s="7" customFormat="1" x14ac:dyDescent="0.2">
      <c r="A19412" s="6" t="str">
        <f>"AC022613.2"</f>
        <v>AC022613.2</v>
      </c>
      <c r="B19412" s="6" t="s">
        <v>1</v>
      </c>
      <c r="C19412" s="6" t="s">
        <v>1</v>
      </c>
    </row>
    <row r="19413" spans="1:3" s="7" customFormat="1" x14ac:dyDescent="0.2">
      <c r="A19413" s="6" t="str">
        <f>"AC244472.1"</f>
        <v>AC244472.1</v>
      </c>
      <c r="B19413" s="6" t="s">
        <v>1</v>
      </c>
      <c r="C19413" s="6" t="s">
        <v>1</v>
      </c>
    </row>
    <row r="19414" spans="1:3" s="7" customFormat="1" x14ac:dyDescent="0.2">
      <c r="A19414" s="6" t="str">
        <f>"KLRC1"</f>
        <v>KLRC1</v>
      </c>
      <c r="B19414" s="6" t="s">
        <v>1</v>
      </c>
      <c r="C19414" s="6" t="s">
        <v>1</v>
      </c>
    </row>
    <row r="19415" spans="1:3" s="7" customFormat="1" x14ac:dyDescent="0.2">
      <c r="A19415" s="6" t="str">
        <f>"AC131392.1"</f>
        <v>AC131392.1</v>
      </c>
      <c r="B19415" s="6" t="s">
        <v>1</v>
      </c>
      <c r="C19415" s="6" t="s">
        <v>1</v>
      </c>
    </row>
    <row r="19416" spans="1:3" s="7" customFormat="1" x14ac:dyDescent="0.2">
      <c r="A19416" s="6" t="str">
        <f>"AC108488.1"</f>
        <v>AC108488.1</v>
      </c>
      <c r="B19416" s="6" t="s">
        <v>1</v>
      </c>
      <c r="C19416" s="6" t="s">
        <v>1</v>
      </c>
    </row>
    <row r="19417" spans="1:3" s="7" customFormat="1" x14ac:dyDescent="0.2">
      <c r="A19417" s="6" t="str">
        <f>"FZD9"</f>
        <v>FZD9</v>
      </c>
      <c r="B19417" s="6" t="s">
        <v>1</v>
      </c>
      <c r="C19417" s="6" t="s">
        <v>1</v>
      </c>
    </row>
    <row r="19418" spans="1:3" s="7" customFormat="1" x14ac:dyDescent="0.2">
      <c r="A19418" s="6" t="str">
        <f>"MAFTRR"</f>
        <v>MAFTRR</v>
      </c>
      <c r="B19418" s="6" t="s">
        <v>1</v>
      </c>
      <c r="C19418" s="6" t="s">
        <v>1</v>
      </c>
    </row>
    <row r="19419" spans="1:3" s="7" customFormat="1" x14ac:dyDescent="0.2">
      <c r="A19419" s="6" t="str">
        <f>"AC093462.1"</f>
        <v>AC093462.1</v>
      </c>
      <c r="B19419" s="6" t="s">
        <v>1</v>
      </c>
      <c r="C19419" s="6" t="s">
        <v>1</v>
      </c>
    </row>
    <row r="19420" spans="1:3" s="7" customFormat="1" x14ac:dyDescent="0.2">
      <c r="A19420" s="6" t="str">
        <f>"AC007292.2"</f>
        <v>AC007292.2</v>
      </c>
      <c r="B19420" s="6" t="s">
        <v>1</v>
      </c>
      <c r="C19420" s="6" t="s">
        <v>1</v>
      </c>
    </row>
    <row r="19421" spans="1:3" s="7" customFormat="1" x14ac:dyDescent="0.2">
      <c r="A19421" s="6" t="str">
        <f>"AL133215.2"</f>
        <v>AL133215.2</v>
      </c>
      <c r="B19421" s="6" t="s">
        <v>1</v>
      </c>
      <c r="C19421" s="6" t="s">
        <v>1</v>
      </c>
    </row>
    <row r="19422" spans="1:3" s="7" customFormat="1" x14ac:dyDescent="0.2">
      <c r="A19422" s="6" t="str">
        <f>"LINC02054"</f>
        <v>LINC02054</v>
      </c>
      <c r="B19422" s="6" t="s">
        <v>1</v>
      </c>
      <c r="C19422" s="6" t="s">
        <v>1</v>
      </c>
    </row>
    <row r="19423" spans="1:3" s="7" customFormat="1" x14ac:dyDescent="0.2">
      <c r="A19423" s="6" t="str">
        <f>"AC004835.1"</f>
        <v>AC004835.1</v>
      </c>
      <c r="B19423" s="6" t="s">
        <v>1</v>
      </c>
      <c r="C19423" s="6" t="s">
        <v>1</v>
      </c>
    </row>
    <row r="19424" spans="1:3" s="7" customFormat="1" x14ac:dyDescent="0.2">
      <c r="A19424" s="6" t="str">
        <f>"AL031848.2"</f>
        <v>AL031848.2</v>
      </c>
      <c r="B19424" s="6" t="s">
        <v>1</v>
      </c>
      <c r="C19424" s="6" t="s">
        <v>1</v>
      </c>
    </row>
    <row r="19425" spans="1:3" s="7" customFormat="1" x14ac:dyDescent="0.2">
      <c r="A19425" s="6" t="str">
        <f>"AC007342.9"</f>
        <v>AC007342.9</v>
      </c>
      <c r="B19425" s="6" t="s">
        <v>1</v>
      </c>
      <c r="C19425" s="6" t="s">
        <v>1</v>
      </c>
    </row>
    <row r="19426" spans="1:3" s="7" customFormat="1" x14ac:dyDescent="0.2">
      <c r="A19426" s="6" t="str">
        <f>"VENTX"</f>
        <v>VENTX</v>
      </c>
      <c r="B19426" s="6" t="s">
        <v>1</v>
      </c>
      <c r="C19426" s="6" t="s">
        <v>1</v>
      </c>
    </row>
    <row r="19427" spans="1:3" s="7" customFormat="1" x14ac:dyDescent="0.2">
      <c r="A19427" s="6" t="str">
        <f>"S100A7A"</f>
        <v>S100A7A</v>
      </c>
      <c r="B19427" s="6" t="s">
        <v>1</v>
      </c>
      <c r="C19427" s="6" t="s">
        <v>1</v>
      </c>
    </row>
    <row r="19428" spans="1:3" s="7" customFormat="1" x14ac:dyDescent="0.2">
      <c r="A19428" s="6" t="str">
        <f>"CHN1"</f>
        <v>CHN1</v>
      </c>
      <c r="B19428" s="6" t="s">
        <v>1</v>
      </c>
      <c r="C19428" s="6" t="s">
        <v>1</v>
      </c>
    </row>
    <row r="19429" spans="1:3" s="7" customFormat="1" x14ac:dyDescent="0.2">
      <c r="A19429" s="6" t="str">
        <f>"AC245100.4"</f>
        <v>AC245100.4</v>
      </c>
      <c r="B19429" s="6" t="s">
        <v>1</v>
      </c>
      <c r="C19429" s="6" t="s">
        <v>1</v>
      </c>
    </row>
    <row r="19430" spans="1:3" s="7" customFormat="1" x14ac:dyDescent="0.2">
      <c r="A19430" s="6" t="str">
        <f>"LINC01010"</f>
        <v>LINC01010</v>
      </c>
      <c r="B19430" s="6" t="s">
        <v>1</v>
      </c>
      <c r="C19430" s="6" t="s">
        <v>1</v>
      </c>
    </row>
    <row r="19431" spans="1:3" s="7" customFormat="1" x14ac:dyDescent="0.2">
      <c r="A19431" s="6" t="str">
        <f>"ASB14"</f>
        <v>ASB14</v>
      </c>
      <c r="B19431" s="6" t="s">
        <v>1</v>
      </c>
      <c r="C19431" s="6" t="s">
        <v>1</v>
      </c>
    </row>
    <row r="19432" spans="1:3" s="7" customFormat="1" x14ac:dyDescent="0.2">
      <c r="A19432" s="6" t="str">
        <f>"AC022463.1"</f>
        <v>AC022463.1</v>
      </c>
      <c r="B19432" s="6" t="s">
        <v>1</v>
      </c>
      <c r="C19432" s="6" t="s">
        <v>1</v>
      </c>
    </row>
    <row r="19433" spans="1:3" s="7" customFormat="1" x14ac:dyDescent="0.2">
      <c r="A19433" s="6" t="str">
        <f>"TBC1D3"</f>
        <v>TBC1D3</v>
      </c>
      <c r="B19433" s="6" t="s">
        <v>1</v>
      </c>
      <c r="C19433" s="6" t="s">
        <v>1</v>
      </c>
    </row>
    <row r="19434" spans="1:3" s="7" customFormat="1" x14ac:dyDescent="0.2">
      <c r="A19434" s="6" t="str">
        <f>"MIR9-1HG"</f>
        <v>MIR9-1HG</v>
      </c>
      <c r="B19434" s="6" t="s">
        <v>1</v>
      </c>
      <c r="C19434" s="6" t="s">
        <v>1</v>
      </c>
    </row>
    <row r="19435" spans="1:3" s="7" customFormat="1" x14ac:dyDescent="0.2">
      <c r="A19435" s="6" t="str">
        <f>"S100B"</f>
        <v>S100B</v>
      </c>
      <c r="B19435" s="6" t="s">
        <v>1</v>
      </c>
      <c r="C19435" s="6" t="s">
        <v>1</v>
      </c>
    </row>
    <row r="19436" spans="1:3" s="7" customFormat="1" x14ac:dyDescent="0.2">
      <c r="A19436" s="6" t="str">
        <f>"TRIL"</f>
        <v>TRIL</v>
      </c>
      <c r="B19436" s="6" t="s">
        <v>1</v>
      </c>
      <c r="C19436" s="6" t="s">
        <v>1</v>
      </c>
    </row>
    <row r="19437" spans="1:3" s="7" customFormat="1" x14ac:dyDescent="0.2">
      <c r="A19437" s="6" t="str">
        <f>"ALDH1A2"</f>
        <v>ALDH1A2</v>
      </c>
      <c r="B19437" s="6" t="s">
        <v>1</v>
      </c>
      <c r="C19437" s="6" t="s">
        <v>1</v>
      </c>
    </row>
    <row r="19438" spans="1:3" s="7" customFormat="1" x14ac:dyDescent="0.2">
      <c r="A19438" s="6" t="str">
        <f>"SHBG"</f>
        <v>SHBG</v>
      </c>
      <c r="B19438" s="6" t="s">
        <v>1</v>
      </c>
      <c r="C19438" s="6" t="s">
        <v>1</v>
      </c>
    </row>
    <row r="19439" spans="1:3" s="7" customFormat="1" x14ac:dyDescent="0.2">
      <c r="A19439" s="6" t="str">
        <f>"AC007126.1"</f>
        <v>AC007126.1</v>
      </c>
      <c r="B19439" s="6" t="s">
        <v>1</v>
      </c>
      <c r="C19439" s="6" t="s">
        <v>1</v>
      </c>
    </row>
    <row r="19440" spans="1:3" s="7" customFormat="1" x14ac:dyDescent="0.2">
      <c r="A19440" s="6" t="str">
        <f>"PPDPFL"</f>
        <v>PPDPFL</v>
      </c>
      <c r="B19440" s="6" t="s">
        <v>1</v>
      </c>
      <c r="C19440" s="6" t="s">
        <v>1</v>
      </c>
    </row>
    <row r="19441" spans="1:3" s="7" customFormat="1" x14ac:dyDescent="0.2">
      <c r="A19441" s="6" t="str">
        <f>"AC127496.7"</f>
        <v>AC127496.7</v>
      </c>
      <c r="B19441" s="6" t="s">
        <v>1</v>
      </c>
      <c r="C19441" s="6" t="s">
        <v>1</v>
      </c>
    </row>
    <row r="19442" spans="1:3" s="7" customFormat="1" x14ac:dyDescent="0.2">
      <c r="A19442" s="6" t="str">
        <f>"AC132872.5"</f>
        <v>AC132872.5</v>
      </c>
      <c r="B19442" s="6" t="s">
        <v>1</v>
      </c>
      <c r="C19442" s="6" t="s">
        <v>1</v>
      </c>
    </row>
    <row r="19443" spans="1:3" s="7" customFormat="1" x14ac:dyDescent="0.2">
      <c r="A19443" s="6" t="str">
        <f>"TRH"</f>
        <v>TRH</v>
      </c>
      <c r="B19443" s="6" t="s">
        <v>1</v>
      </c>
      <c r="C19443" s="6" t="s">
        <v>1</v>
      </c>
    </row>
    <row r="19444" spans="1:3" s="7" customFormat="1" x14ac:dyDescent="0.2">
      <c r="A19444" s="6" t="str">
        <f>"AC022023.2"</f>
        <v>AC022023.2</v>
      </c>
      <c r="B19444" s="6" t="s">
        <v>1</v>
      </c>
      <c r="C19444" s="6" t="s">
        <v>1</v>
      </c>
    </row>
    <row r="19445" spans="1:3" s="7" customFormat="1" x14ac:dyDescent="0.2">
      <c r="A19445" s="6" t="str">
        <f>"CHODL"</f>
        <v>CHODL</v>
      </c>
      <c r="B19445" s="6" t="s">
        <v>1</v>
      </c>
      <c r="C19445" s="6" t="s">
        <v>1</v>
      </c>
    </row>
    <row r="19446" spans="1:3" s="7" customFormat="1" x14ac:dyDescent="0.2">
      <c r="A19446" s="6" t="str">
        <f>"DEPDC1B"</f>
        <v>DEPDC1B</v>
      </c>
      <c r="B19446" s="6" t="s">
        <v>1</v>
      </c>
      <c r="C19446" s="6" t="s">
        <v>1</v>
      </c>
    </row>
    <row r="19447" spans="1:3" s="7" customFormat="1" x14ac:dyDescent="0.2">
      <c r="A19447" s="6" t="str">
        <f>"AC128685.1"</f>
        <v>AC128685.1</v>
      </c>
      <c r="B19447" s="6" t="s">
        <v>1</v>
      </c>
      <c r="C19447" s="6" t="s">
        <v>1</v>
      </c>
    </row>
    <row r="19448" spans="1:3" s="7" customFormat="1" x14ac:dyDescent="0.2">
      <c r="A19448" s="6" t="str">
        <f>"FAT3"</f>
        <v>FAT3</v>
      </c>
      <c r="B19448" s="6" t="s">
        <v>1</v>
      </c>
      <c r="C19448" s="6" t="s">
        <v>1</v>
      </c>
    </row>
    <row r="19449" spans="1:3" s="7" customFormat="1" x14ac:dyDescent="0.2">
      <c r="A19449" s="6" t="str">
        <f>"AP000442.1"</f>
        <v>AP000442.1</v>
      </c>
      <c r="B19449" s="6" t="s">
        <v>1</v>
      </c>
      <c r="C19449" s="6" t="s">
        <v>1</v>
      </c>
    </row>
    <row r="19450" spans="1:3" s="7" customFormat="1" x14ac:dyDescent="0.2">
      <c r="A19450" s="6" t="str">
        <f>"AC244197.2"</f>
        <v>AC244197.2</v>
      </c>
      <c r="B19450" s="6" t="s">
        <v>1</v>
      </c>
      <c r="C19450" s="6" t="s">
        <v>1</v>
      </c>
    </row>
    <row r="19451" spans="1:3" s="7" customFormat="1" x14ac:dyDescent="0.2">
      <c r="A19451" s="6" t="str">
        <f>"AC009652.1"</f>
        <v>AC009652.1</v>
      </c>
      <c r="B19451" s="6" t="s">
        <v>1</v>
      </c>
      <c r="C19451" s="6" t="s">
        <v>1</v>
      </c>
    </row>
    <row r="19452" spans="1:3" s="7" customFormat="1" x14ac:dyDescent="0.2">
      <c r="A19452" s="6" t="str">
        <f>"AC093899.2"</f>
        <v>AC093899.2</v>
      </c>
      <c r="B19452" s="6" t="s">
        <v>1</v>
      </c>
      <c r="C19452" s="6" t="s">
        <v>1</v>
      </c>
    </row>
    <row r="19453" spans="1:3" s="7" customFormat="1" x14ac:dyDescent="0.2">
      <c r="A19453" s="6" t="str">
        <f>"AL031123.1"</f>
        <v>AL031123.1</v>
      </c>
      <c r="B19453" s="6" t="s">
        <v>1</v>
      </c>
      <c r="C19453" s="6" t="s">
        <v>1</v>
      </c>
    </row>
    <row r="19454" spans="1:3" s="7" customFormat="1" x14ac:dyDescent="0.2">
      <c r="A19454" s="6" t="str">
        <f>"ASGR1"</f>
        <v>ASGR1</v>
      </c>
      <c r="B19454" s="6" t="s">
        <v>1</v>
      </c>
      <c r="C19454" s="6" t="s">
        <v>1</v>
      </c>
    </row>
    <row r="19455" spans="1:3" s="7" customFormat="1" x14ac:dyDescent="0.2">
      <c r="A19455" s="6" t="str">
        <f>"AL445231.1"</f>
        <v>AL445231.1</v>
      </c>
      <c r="B19455" s="6" t="s">
        <v>1</v>
      </c>
      <c r="C19455" s="6" t="s">
        <v>1</v>
      </c>
    </row>
    <row r="19456" spans="1:3" s="7" customFormat="1" x14ac:dyDescent="0.2">
      <c r="A19456" s="6" t="str">
        <f>"REN"</f>
        <v>REN</v>
      </c>
      <c r="B19456" s="6" t="s">
        <v>1</v>
      </c>
      <c r="C19456" s="6" t="s">
        <v>1</v>
      </c>
    </row>
    <row r="19457" spans="1:3" s="7" customFormat="1" x14ac:dyDescent="0.2">
      <c r="A19457" s="6" t="str">
        <f>"AC106897.1"</f>
        <v>AC106897.1</v>
      </c>
      <c r="B19457" s="6" t="s">
        <v>1</v>
      </c>
      <c r="C19457" s="6" t="s">
        <v>1</v>
      </c>
    </row>
    <row r="19458" spans="1:3" s="7" customFormat="1" x14ac:dyDescent="0.2">
      <c r="A19458" s="6" t="str">
        <f>"AC022509.1"</f>
        <v>AC022509.1</v>
      </c>
      <c r="B19458" s="6" t="s">
        <v>1</v>
      </c>
      <c r="C19458" s="6" t="s">
        <v>1</v>
      </c>
    </row>
    <row r="19459" spans="1:3" s="7" customFormat="1" x14ac:dyDescent="0.2">
      <c r="A19459" s="6" t="str">
        <f>"LRFN2"</f>
        <v>LRFN2</v>
      </c>
      <c r="B19459" s="6" t="s">
        <v>1</v>
      </c>
      <c r="C19459" s="6" t="s">
        <v>1</v>
      </c>
    </row>
    <row r="19460" spans="1:3" s="7" customFormat="1" x14ac:dyDescent="0.2">
      <c r="A19460" s="6" t="str">
        <f>"MRPS30-DT"</f>
        <v>MRPS30-DT</v>
      </c>
      <c r="B19460" s="6" t="s">
        <v>1</v>
      </c>
      <c r="C19460" s="6" t="s">
        <v>1</v>
      </c>
    </row>
    <row r="19461" spans="1:3" s="7" customFormat="1" x14ac:dyDescent="0.2">
      <c r="A19461" s="6" t="str">
        <f>"TREML3P"</f>
        <v>TREML3P</v>
      </c>
      <c r="B19461" s="6" t="s">
        <v>1</v>
      </c>
      <c r="C19461" s="6" t="s">
        <v>1</v>
      </c>
    </row>
    <row r="19462" spans="1:3" s="7" customFormat="1" x14ac:dyDescent="0.2">
      <c r="A19462" s="6" t="str">
        <f>"AC007365.1"</f>
        <v>AC007365.1</v>
      </c>
      <c r="B19462" s="6" t="s">
        <v>1</v>
      </c>
      <c r="C19462" s="6" t="s">
        <v>1</v>
      </c>
    </row>
    <row r="19463" spans="1:3" s="7" customFormat="1" x14ac:dyDescent="0.2">
      <c r="A19463" s="6" t="str">
        <f>"AC004691.2"</f>
        <v>AC004691.2</v>
      </c>
      <c r="B19463" s="6" t="s">
        <v>1</v>
      </c>
      <c r="C19463" s="6" t="s">
        <v>1</v>
      </c>
    </row>
    <row r="19464" spans="1:3" s="7" customFormat="1" x14ac:dyDescent="0.2">
      <c r="A19464" s="6" t="str">
        <f>"KCNAB1"</f>
        <v>KCNAB1</v>
      </c>
      <c r="B19464" s="6" t="s">
        <v>1</v>
      </c>
      <c r="C19464" s="6" t="s">
        <v>1</v>
      </c>
    </row>
    <row r="19465" spans="1:3" s="7" customFormat="1" x14ac:dyDescent="0.2">
      <c r="A19465" s="6" t="str">
        <f>"C2orf88"</f>
        <v>C2orf88</v>
      </c>
      <c r="B19465" s="6" t="s">
        <v>1</v>
      </c>
      <c r="C19465" s="6" t="s">
        <v>1</v>
      </c>
    </row>
    <row r="19466" spans="1:3" s="7" customFormat="1" x14ac:dyDescent="0.2">
      <c r="A19466" s="6" t="str">
        <f>"AC011330.2"</f>
        <v>AC011330.2</v>
      </c>
      <c r="B19466" s="6" t="s">
        <v>1</v>
      </c>
      <c r="C19466" s="6" t="s">
        <v>1</v>
      </c>
    </row>
    <row r="19467" spans="1:3" s="7" customFormat="1" x14ac:dyDescent="0.2">
      <c r="A19467" s="6" t="str">
        <f>"ADRA2C"</f>
        <v>ADRA2C</v>
      </c>
      <c r="B19467" s="6" t="s">
        <v>1</v>
      </c>
      <c r="C19467" s="6" t="s">
        <v>1</v>
      </c>
    </row>
    <row r="19468" spans="1:3" s="7" customFormat="1" x14ac:dyDescent="0.2">
      <c r="A19468" s="6" t="str">
        <f>"ZYG11A"</f>
        <v>ZYG11A</v>
      </c>
      <c r="B19468" s="6" t="s">
        <v>1</v>
      </c>
      <c r="C19468" s="6" t="s">
        <v>1</v>
      </c>
    </row>
    <row r="19469" spans="1:3" s="7" customFormat="1" x14ac:dyDescent="0.2">
      <c r="A19469" s="6" t="str">
        <f>"HNRNPA1P33"</f>
        <v>HNRNPA1P33</v>
      </c>
      <c r="B19469" s="6" t="s">
        <v>1</v>
      </c>
      <c r="C19469" s="6" t="s">
        <v>1</v>
      </c>
    </row>
    <row r="19470" spans="1:3" s="7" customFormat="1" x14ac:dyDescent="0.2">
      <c r="A19470" s="6" t="str">
        <f>"C20orf204"</f>
        <v>C20orf204</v>
      </c>
      <c r="B19470" s="6" t="s">
        <v>1</v>
      </c>
      <c r="C19470" s="6" t="s">
        <v>1</v>
      </c>
    </row>
    <row r="19471" spans="1:3" s="7" customFormat="1" x14ac:dyDescent="0.2">
      <c r="A19471" s="6" t="str">
        <f>"FLJ12825"</f>
        <v>FLJ12825</v>
      </c>
      <c r="B19471" s="6" t="s">
        <v>1</v>
      </c>
      <c r="C19471" s="6" t="s">
        <v>1</v>
      </c>
    </row>
    <row r="19472" spans="1:3" s="7" customFormat="1" x14ac:dyDescent="0.2">
      <c r="A19472" s="6" t="str">
        <f>"AC244453.2"</f>
        <v>AC244453.2</v>
      </c>
      <c r="B19472" s="6" t="s">
        <v>1</v>
      </c>
      <c r="C19472" s="6" t="s">
        <v>1</v>
      </c>
    </row>
    <row r="19473" spans="1:3" s="7" customFormat="1" x14ac:dyDescent="0.2">
      <c r="A19473" s="6" t="str">
        <f>"PACSIN1"</f>
        <v>PACSIN1</v>
      </c>
      <c r="B19473" s="6" t="s">
        <v>1</v>
      </c>
      <c r="C19473" s="6" t="s">
        <v>1</v>
      </c>
    </row>
    <row r="19474" spans="1:3" s="7" customFormat="1" x14ac:dyDescent="0.2">
      <c r="A19474" s="6" t="str">
        <f>"AL512283.2"</f>
        <v>AL512283.2</v>
      </c>
      <c r="B19474" s="6" t="s">
        <v>1</v>
      </c>
      <c r="C19474" s="6" t="s">
        <v>1</v>
      </c>
    </row>
    <row r="19475" spans="1:3" s="7" customFormat="1" x14ac:dyDescent="0.2">
      <c r="A19475" s="6" t="str">
        <f>"AC009309.1"</f>
        <v>AC009309.1</v>
      </c>
      <c r="B19475" s="6" t="s">
        <v>1</v>
      </c>
      <c r="C19475" s="6" t="s">
        <v>1</v>
      </c>
    </row>
    <row r="19476" spans="1:3" s="7" customFormat="1" x14ac:dyDescent="0.2">
      <c r="A19476" s="6" t="str">
        <f>"AL133352.1"</f>
        <v>AL133352.1</v>
      </c>
      <c r="B19476" s="6" t="s">
        <v>1</v>
      </c>
      <c r="C19476" s="6" t="s">
        <v>1</v>
      </c>
    </row>
    <row r="19477" spans="1:3" s="7" customFormat="1" x14ac:dyDescent="0.2">
      <c r="A19477" s="6" t="str">
        <f>"CYP11A1"</f>
        <v>CYP11A1</v>
      </c>
      <c r="B19477" s="6" t="s">
        <v>1</v>
      </c>
      <c r="C19477" s="6" t="s">
        <v>1</v>
      </c>
    </row>
    <row r="19478" spans="1:3" s="7" customFormat="1" x14ac:dyDescent="0.2">
      <c r="A19478" s="6" t="str">
        <f>"LGR5"</f>
        <v>LGR5</v>
      </c>
      <c r="B19478" s="6" t="s">
        <v>1</v>
      </c>
      <c r="C19478" s="6" t="s">
        <v>1</v>
      </c>
    </row>
    <row r="19479" spans="1:3" s="7" customFormat="1" x14ac:dyDescent="0.2">
      <c r="A19479" s="6" t="str">
        <f>"OCA2"</f>
        <v>OCA2</v>
      </c>
      <c r="B19479" s="6" t="s">
        <v>1</v>
      </c>
      <c r="C19479" s="6" t="s">
        <v>1</v>
      </c>
    </row>
    <row r="19480" spans="1:3" s="7" customFormat="1" x14ac:dyDescent="0.2">
      <c r="A19480" s="6" t="str">
        <f>"AC009560.1"</f>
        <v>AC009560.1</v>
      </c>
      <c r="B19480" s="6" t="s">
        <v>1</v>
      </c>
      <c r="C19480" s="6" t="s">
        <v>1</v>
      </c>
    </row>
    <row r="19481" spans="1:3" s="7" customFormat="1" x14ac:dyDescent="0.2">
      <c r="A19481" s="6" t="str">
        <f>"AC007402.2"</f>
        <v>AC007402.2</v>
      </c>
      <c r="B19481" s="6" t="s">
        <v>1</v>
      </c>
      <c r="C19481" s="6" t="s">
        <v>1</v>
      </c>
    </row>
    <row r="19482" spans="1:3" s="7" customFormat="1" x14ac:dyDescent="0.2">
      <c r="A19482" s="6" t="str">
        <f>"DENND2A"</f>
        <v>DENND2A</v>
      </c>
      <c r="B19482" s="6" t="s">
        <v>1</v>
      </c>
      <c r="C19482" s="6" t="s">
        <v>1</v>
      </c>
    </row>
    <row r="19483" spans="1:3" s="7" customFormat="1" x14ac:dyDescent="0.2">
      <c r="A19483" s="6" t="str">
        <f>"AC084036.1"</f>
        <v>AC084036.1</v>
      </c>
      <c r="B19483" s="6" t="s">
        <v>1</v>
      </c>
      <c r="C19483" s="6" t="s">
        <v>1</v>
      </c>
    </row>
    <row r="19484" spans="1:3" s="7" customFormat="1" x14ac:dyDescent="0.2">
      <c r="A19484" s="6" t="str">
        <f>"LINC02207"</f>
        <v>LINC02207</v>
      </c>
      <c r="B19484" s="6" t="s">
        <v>1</v>
      </c>
      <c r="C19484" s="6" t="s">
        <v>1</v>
      </c>
    </row>
    <row r="19485" spans="1:3" s="7" customFormat="1" x14ac:dyDescent="0.2">
      <c r="A19485" s="6" t="str">
        <f>"LHFPL5"</f>
        <v>LHFPL5</v>
      </c>
      <c r="B19485" s="6" t="s">
        <v>1</v>
      </c>
      <c r="C19485" s="6" t="s">
        <v>1</v>
      </c>
    </row>
    <row r="19486" spans="1:3" s="7" customFormat="1" x14ac:dyDescent="0.2">
      <c r="A19486" s="6" t="str">
        <f>"CASC8"</f>
        <v>CASC8</v>
      </c>
      <c r="B19486" s="6" t="s">
        <v>1</v>
      </c>
      <c r="C19486" s="6" t="s">
        <v>1</v>
      </c>
    </row>
    <row r="19487" spans="1:3" s="7" customFormat="1" x14ac:dyDescent="0.2">
      <c r="A19487" s="6" t="str">
        <f>"AC004982.1"</f>
        <v>AC004982.1</v>
      </c>
      <c r="B19487" s="6" t="s">
        <v>1</v>
      </c>
      <c r="C19487" s="6" t="s">
        <v>1</v>
      </c>
    </row>
    <row r="19488" spans="1:3" s="7" customFormat="1" x14ac:dyDescent="0.2">
      <c r="A19488" s="6" t="str">
        <f>"AL358781.1"</f>
        <v>AL358781.1</v>
      </c>
      <c r="B19488" s="6" t="s">
        <v>1</v>
      </c>
      <c r="C19488" s="6" t="s">
        <v>1</v>
      </c>
    </row>
    <row r="19489" spans="1:3" s="7" customFormat="1" x14ac:dyDescent="0.2">
      <c r="A19489" s="6" t="str">
        <f>"LPO"</f>
        <v>LPO</v>
      </c>
      <c r="B19489" s="6" t="s">
        <v>1</v>
      </c>
      <c r="C19489" s="6" t="s">
        <v>1</v>
      </c>
    </row>
    <row r="19490" spans="1:3" s="7" customFormat="1" x14ac:dyDescent="0.2">
      <c r="A19490" s="6" t="str">
        <f>"LINC01121"</f>
        <v>LINC01121</v>
      </c>
      <c r="B19490" s="6" t="s">
        <v>1</v>
      </c>
      <c r="C19490" s="6" t="s">
        <v>1</v>
      </c>
    </row>
    <row r="19491" spans="1:3" s="7" customFormat="1" x14ac:dyDescent="0.2">
      <c r="A19491" s="6" t="str">
        <f>"HCG15"</f>
        <v>HCG15</v>
      </c>
      <c r="B19491" s="6" t="s">
        <v>1</v>
      </c>
      <c r="C19491" s="6" t="s">
        <v>1</v>
      </c>
    </row>
    <row r="19492" spans="1:3" s="7" customFormat="1" x14ac:dyDescent="0.2">
      <c r="A19492" s="6" t="str">
        <f>"AL354809.1"</f>
        <v>AL354809.1</v>
      </c>
      <c r="B19492" s="6" t="s">
        <v>1</v>
      </c>
      <c r="C19492" s="6" t="s">
        <v>1</v>
      </c>
    </row>
    <row r="19493" spans="1:3" s="7" customFormat="1" x14ac:dyDescent="0.2">
      <c r="A19493" s="6" t="str">
        <f>"FAM106A"</f>
        <v>FAM106A</v>
      </c>
      <c r="B19493" s="6" t="s">
        <v>1</v>
      </c>
      <c r="C19493" s="6" t="s">
        <v>1</v>
      </c>
    </row>
    <row r="19494" spans="1:3" s="7" customFormat="1" x14ac:dyDescent="0.2">
      <c r="A19494" s="6" t="str">
        <f>"AC093599.2"</f>
        <v>AC093599.2</v>
      </c>
      <c r="B19494" s="6" t="s">
        <v>1</v>
      </c>
      <c r="C19494" s="6" t="s">
        <v>1</v>
      </c>
    </row>
    <row r="19495" spans="1:3" s="7" customFormat="1" x14ac:dyDescent="0.2">
      <c r="A19495" s="6" t="str">
        <f>"BAIAP2L2"</f>
        <v>BAIAP2L2</v>
      </c>
      <c r="B19495" s="6" t="s">
        <v>1</v>
      </c>
      <c r="C19495" s="6" t="s">
        <v>1</v>
      </c>
    </row>
    <row r="19496" spans="1:3" s="7" customFormat="1" x14ac:dyDescent="0.2">
      <c r="A19496" s="6" t="str">
        <f>"PDCD1LG2"</f>
        <v>PDCD1LG2</v>
      </c>
      <c r="B19496" s="6" t="s">
        <v>1</v>
      </c>
      <c r="C19496" s="6" t="s">
        <v>1</v>
      </c>
    </row>
    <row r="19497" spans="1:3" s="7" customFormat="1" x14ac:dyDescent="0.2">
      <c r="A19497" s="6" t="str">
        <f>"ZNF257"</f>
        <v>ZNF257</v>
      </c>
      <c r="B19497" s="6" t="s">
        <v>1</v>
      </c>
      <c r="C19497" s="6" t="s">
        <v>1</v>
      </c>
    </row>
    <row r="19498" spans="1:3" s="7" customFormat="1" x14ac:dyDescent="0.2">
      <c r="A19498" s="6" t="str">
        <f>"MSI1"</f>
        <v>MSI1</v>
      </c>
      <c r="B19498" s="6" t="s">
        <v>1</v>
      </c>
      <c r="C19498" s="6" t="s">
        <v>1</v>
      </c>
    </row>
    <row r="19499" spans="1:3" s="7" customFormat="1" x14ac:dyDescent="0.2">
      <c r="A19499" s="6" t="str">
        <f>"LINC02292"</f>
        <v>LINC02292</v>
      </c>
      <c r="B19499" s="6" t="s">
        <v>1</v>
      </c>
      <c r="C19499" s="6" t="s">
        <v>1</v>
      </c>
    </row>
    <row r="19500" spans="1:3" s="7" customFormat="1" x14ac:dyDescent="0.2">
      <c r="A19500" s="6" t="str">
        <f>"C20orf202"</f>
        <v>C20orf202</v>
      </c>
      <c r="B19500" s="6" t="s">
        <v>1</v>
      </c>
      <c r="C19500" s="6" t="s">
        <v>1</v>
      </c>
    </row>
    <row r="19501" spans="1:3" s="7" customFormat="1" x14ac:dyDescent="0.2">
      <c r="A19501" s="6" t="str">
        <f>"HASPIN"</f>
        <v>HASPIN</v>
      </c>
      <c r="B19501" s="6" t="s">
        <v>1</v>
      </c>
      <c r="C19501" s="6" t="s">
        <v>1</v>
      </c>
    </row>
    <row r="19502" spans="1:3" s="7" customFormat="1" x14ac:dyDescent="0.2">
      <c r="A19502" s="6" t="str">
        <f>"NUTM2HP"</f>
        <v>NUTM2HP</v>
      </c>
      <c r="B19502" s="6" t="s">
        <v>1</v>
      </c>
      <c r="C19502" s="6" t="s">
        <v>1</v>
      </c>
    </row>
    <row r="19503" spans="1:3" s="7" customFormat="1" x14ac:dyDescent="0.2">
      <c r="A19503" s="6" t="str">
        <f>"AC087645.2"</f>
        <v>AC087645.2</v>
      </c>
      <c r="B19503" s="6" t="s">
        <v>1</v>
      </c>
      <c r="C19503" s="6" t="s">
        <v>1</v>
      </c>
    </row>
    <row r="19504" spans="1:3" s="7" customFormat="1" x14ac:dyDescent="0.2">
      <c r="A19504" s="6" t="str">
        <f>"CCNP"</f>
        <v>CCNP</v>
      </c>
      <c r="B19504" s="6" t="s">
        <v>1</v>
      </c>
      <c r="C19504" s="6" t="s">
        <v>1</v>
      </c>
    </row>
    <row r="19505" spans="1:3" s="7" customFormat="1" x14ac:dyDescent="0.2">
      <c r="A19505" s="6" t="str">
        <f>"AC084759.3"</f>
        <v>AC084759.3</v>
      </c>
      <c r="B19505" s="6" t="s">
        <v>1</v>
      </c>
      <c r="C19505" s="6" t="s">
        <v>1</v>
      </c>
    </row>
    <row r="19506" spans="1:3" s="7" customFormat="1" x14ac:dyDescent="0.2">
      <c r="A19506" s="6" t="str">
        <f>"AC023509.3"</f>
        <v>AC023509.3</v>
      </c>
      <c r="B19506" s="6" t="s">
        <v>1</v>
      </c>
      <c r="C19506" s="6" t="s">
        <v>1</v>
      </c>
    </row>
    <row r="19507" spans="1:3" s="7" customFormat="1" x14ac:dyDescent="0.2">
      <c r="A19507" s="6" t="str">
        <f>"AC004969.1"</f>
        <v>AC004969.1</v>
      </c>
      <c r="B19507" s="6" t="s">
        <v>1</v>
      </c>
      <c r="C19507" s="6" t="s">
        <v>1</v>
      </c>
    </row>
    <row r="19508" spans="1:3" s="7" customFormat="1" x14ac:dyDescent="0.2">
      <c r="A19508" s="6" t="str">
        <f>"AC009812.3"</f>
        <v>AC009812.3</v>
      </c>
      <c r="B19508" s="6" t="s">
        <v>1</v>
      </c>
      <c r="C19508" s="6" t="s">
        <v>1</v>
      </c>
    </row>
    <row r="19509" spans="1:3" s="7" customFormat="1" x14ac:dyDescent="0.2">
      <c r="A19509" s="6" t="str">
        <f>"MIR222HG"</f>
        <v>MIR222HG</v>
      </c>
      <c r="B19509" s="6" t="s">
        <v>1</v>
      </c>
      <c r="C19509" s="6" t="s">
        <v>1</v>
      </c>
    </row>
    <row r="19510" spans="1:3" s="7" customFormat="1" x14ac:dyDescent="0.2">
      <c r="A19510" s="6" t="str">
        <f>"MYRIP"</f>
        <v>MYRIP</v>
      </c>
      <c r="B19510" s="6" t="s">
        <v>1</v>
      </c>
      <c r="C19510" s="6" t="s">
        <v>1</v>
      </c>
    </row>
    <row r="19511" spans="1:3" s="7" customFormat="1" x14ac:dyDescent="0.2">
      <c r="A19511" s="6" t="str">
        <f>"AL445253.1"</f>
        <v>AL445253.1</v>
      </c>
      <c r="B19511" s="6" t="s">
        <v>1</v>
      </c>
      <c r="C19511" s="6" t="s">
        <v>1</v>
      </c>
    </row>
    <row r="19512" spans="1:3" s="7" customFormat="1" x14ac:dyDescent="0.2">
      <c r="A19512" s="6" t="str">
        <f>"AL023806.3"</f>
        <v>AL023806.3</v>
      </c>
      <c r="B19512" s="6" t="s">
        <v>1</v>
      </c>
      <c r="C19512" s="6" t="s">
        <v>1</v>
      </c>
    </row>
    <row r="19513" spans="1:3" s="7" customFormat="1" x14ac:dyDescent="0.2">
      <c r="A19513" s="6" t="str">
        <f>"AC023355.1"</f>
        <v>AC023355.1</v>
      </c>
      <c r="B19513" s="6" t="s">
        <v>1</v>
      </c>
      <c r="C19513" s="6" t="s">
        <v>1</v>
      </c>
    </row>
    <row r="19514" spans="1:3" s="7" customFormat="1" x14ac:dyDescent="0.2">
      <c r="A19514" s="6" t="str">
        <f>"CARNS1"</f>
        <v>CARNS1</v>
      </c>
      <c r="B19514" s="6" t="s">
        <v>1</v>
      </c>
      <c r="C19514" s="6" t="s">
        <v>1</v>
      </c>
    </row>
    <row r="19515" spans="1:3" s="7" customFormat="1" x14ac:dyDescent="0.2">
      <c r="A19515" s="6" t="str">
        <f>"NPFFR1"</f>
        <v>NPFFR1</v>
      </c>
      <c r="B19515" s="6" t="s">
        <v>1</v>
      </c>
      <c r="C19515" s="6" t="s">
        <v>1</v>
      </c>
    </row>
    <row r="19516" spans="1:3" s="7" customFormat="1" x14ac:dyDescent="0.2">
      <c r="A19516" s="6" t="str">
        <f>"AC087164.1"</f>
        <v>AC087164.1</v>
      </c>
      <c r="B19516" s="6" t="s">
        <v>1</v>
      </c>
      <c r="C19516" s="6" t="s">
        <v>1</v>
      </c>
    </row>
    <row r="19517" spans="1:3" s="7" customFormat="1" x14ac:dyDescent="0.2">
      <c r="A19517" s="6" t="str">
        <f>"AL031777.2"</f>
        <v>AL031777.2</v>
      </c>
      <c r="B19517" s="6" t="s">
        <v>1</v>
      </c>
      <c r="C19517" s="6" t="s">
        <v>1</v>
      </c>
    </row>
    <row r="19518" spans="1:3" s="7" customFormat="1" x14ac:dyDescent="0.2">
      <c r="A19518" s="6" t="str">
        <f>"BRINP1"</f>
        <v>BRINP1</v>
      </c>
      <c r="B19518" s="6" t="s">
        <v>1</v>
      </c>
      <c r="C19518" s="6" t="s">
        <v>1</v>
      </c>
    </row>
    <row r="19519" spans="1:3" s="7" customFormat="1" x14ac:dyDescent="0.2">
      <c r="A19519" s="6" t="str">
        <f>"AC004771.2"</f>
        <v>AC004771.2</v>
      </c>
      <c r="B19519" s="6" t="s">
        <v>1</v>
      </c>
      <c r="C19519" s="6" t="s">
        <v>1</v>
      </c>
    </row>
    <row r="19520" spans="1:3" s="7" customFormat="1" x14ac:dyDescent="0.2">
      <c r="A19520" s="6" t="str">
        <f>"BATF3"</f>
        <v>BATF3</v>
      </c>
      <c r="B19520" s="6" t="s">
        <v>1</v>
      </c>
      <c r="C19520" s="6" t="s">
        <v>1</v>
      </c>
    </row>
    <row r="19521" spans="1:3" s="7" customFormat="1" x14ac:dyDescent="0.2">
      <c r="A19521" s="6" t="str">
        <f>"AC067930.5"</f>
        <v>AC067930.5</v>
      </c>
      <c r="B19521" s="6" t="s">
        <v>1</v>
      </c>
      <c r="C19521" s="6" t="s">
        <v>1</v>
      </c>
    </row>
    <row r="19522" spans="1:3" s="7" customFormat="1" x14ac:dyDescent="0.2">
      <c r="A19522" s="6" t="str">
        <f>"PDCD6IPP2"</f>
        <v>PDCD6IPP2</v>
      </c>
      <c r="B19522" s="6" t="s">
        <v>1</v>
      </c>
      <c r="C19522" s="6" t="s">
        <v>1</v>
      </c>
    </row>
    <row r="19523" spans="1:3" s="7" customFormat="1" x14ac:dyDescent="0.2">
      <c r="A19523" s="6" t="str">
        <f>"AP000688.1"</f>
        <v>AP000688.1</v>
      </c>
      <c r="B19523" s="6" t="s">
        <v>1</v>
      </c>
      <c r="C19523" s="6" t="s">
        <v>1</v>
      </c>
    </row>
    <row r="19524" spans="1:3" s="7" customFormat="1" x14ac:dyDescent="0.2">
      <c r="A19524" s="6" t="str">
        <f>"AC009271.1"</f>
        <v>AC009271.1</v>
      </c>
      <c r="B19524" s="6" t="s">
        <v>1</v>
      </c>
      <c r="C19524" s="6" t="s">
        <v>1</v>
      </c>
    </row>
    <row r="19525" spans="1:3" s="7" customFormat="1" x14ac:dyDescent="0.2">
      <c r="A19525" s="6" t="str">
        <f>"Z68871.1"</f>
        <v>Z68871.1</v>
      </c>
      <c r="B19525" s="6" t="s">
        <v>1</v>
      </c>
      <c r="C19525" s="6" t="s">
        <v>1</v>
      </c>
    </row>
    <row r="19526" spans="1:3" s="7" customFormat="1" x14ac:dyDescent="0.2">
      <c r="A19526" s="6" t="str">
        <f>"AC083973.1"</f>
        <v>AC083973.1</v>
      </c>
      <c r="B19526" s="6" t="s">
        <v>1</v>
      </c>
      <c r="C19526" s="6" t="s">
        <v>1</v>
      </c>
    </row>
    <row r="19527" spans="1:3" s="7" customFormat="1" x14ac:dyDescent="0.2">
      <c r="A19527" s="6" t="str">
        <f>"SHISAL1"</f>
        <v>SHISAL1</v>
      </c>
      <c r="B19527" s="6" t="s">
        <v>1</v>
      </c>
      <c r="C19527" s="6" t="s">
        <v>1</v>
      </c>
    </row>
    <row r="19528" spans="1:3" s="7" customFormat="1" x14ac:dyDescent="0.2">
      <c r="A19528" s="6" t="str">
        <f>"EEF1A1P11"</f>
        <v>EEF1A1P11</v>
      </c>
      <c r="B19528" s="6" t="s">
        <v>1</v>
      </c>
      <c r="C19528" s="6" t="s">
        <v>1</v>
      </c>
    </row>
    <row r="19529" spans="1:3" s="7" customFormat="1" x14ac:dyDescent="0.2">
      <c r="A19529" s="6" t="str">
        <f>"DEPDC7"</f>
        <v>DEPDC7</v>
      </c>
      <c r="B19529" s="6" t="s">
        <v>1</v>
      </c>
      <c r="C19529" s="6" t="s">
        <v>1</v>
      </c>
    </row>
    <row r="19530" spans="1:3" s="7" customFormat="1" x14ac:dyDescent="0.2">
      <c r="A19530" s="6" t="str">
        <f>"NUTM2E"</f>
        <v>NUTM2E</v>
      </c>
      <c r="B19530" s="6" t="s">
        <v>1</v>
      </c>
      <c r="C19530" s="6" t="s">
        <v>1</v>
      </c>
    </row>
    <row r="19531" spans="1:3" s="7" customFormat="1" x14ac:dyDescent="0.2">
      <c r="A19531" s="6" t="str">
        <f>"MYO3A"</f>
        <v>MYO3A</v>
      </c>
      <c r="B19531" s="6" t="s">
        <v>1</v>
      </c>
      <c r="C19531" s="6" t="s">
        <v>1</v>
      </c>
    </row>
    <row r="19532" spans="1:3" s="7" customFormat="1" x14ac:dyDescent="0.2">
      <c r="A19532" s="6" t="str">
        <f>"AC245041.1"</f>
        <v>AC245041.1</v>
      </c>
      <c r="B19532" s="6" t="s">
        <v>1</v>
      </c>
      <c r="C19532" s="6" t="s">
        <v>1</v>
      </c>
    </row>
    <row r="19533" spans="1:3" s="7" customFormat="1" x14ac:dyDescent="0.2">
      <c r="A19533" s="6" t="str">
        <f>"AC022784.1"</f>
        <v>AC022784.1</v>
      </c>
      <c r="B19533" s="6" t="s">
        <v>1</v>
      </c>
      <c r="C19533" s="6" t="s">
        <v>1</v>
      </c>
    </row>
    <row r="19534" spans="1:3" s="7" customFormat="1" x14ac:dyDescent="0.2">
      <c r="A19534" s="6" t="str">
        <f>"DGCR5"</f>
        <v>DGCR5</v>
      </c>
      <c r="B19534" s="6" t="s">
        <v>1</v>
      </c>
      <c r="C19534" s="6" t="s">
        <v>1</v>
      </c>
    </row>
    <row r="19535" spans="1:3" s="7" customFormat="1" x14ac:dyDescent="0.2">
      <c r="A19535" s="6" t="str">
        <f>"LINC02268"</f>
        <v>LINC02268</v>
      </c>
      <c r="B19535" s="6" t="s">
        <v>1</v>
      </c>
      <c r="C19535" s="6" t="s">
        <v>1</v>
      </c>
    </row>
    <row r="19536" spans="1:3" s="7" customFormat="1" x14ac:dyDescent="0.2">
      <c r="A19536" s="6" t="str">
        <f>"NECAB2"</f>
        <v>NECAB2</v>
      </c>
      <c r="B19536" s="6" t="s">
        <v>1</v>
      </c>
      <c r="C19536" s="6" t="s">
        <v>1</v>
      </c>
    </row>
    <row r="19537" spans="1:3" s="7" customFormat="1" x14ac:dyDescent="0.2">
      <c r="A19537" s="6" t="str">
        <f>"AC012676.1"</f>
        <v>AC012676.1</v>
      </c>
      <c r="B19537" s="6" t="s">
        <v>1</v>
      </c>
      <c r="C19537" s="6" t="s">
        <v>1</v>
      </c>
    </row>
    <row r="19538" spans="1:3" s="7" customFormat="1" x14ac:dyDescent="0.2">
      <c r="A19538" s="6" t="str">
        <f>"TNFRSF8"</f>
        <v>TNFRSF8</v>
      </c>
      <c r="B19538" s="6" t="s">
        <v>1</v>
      </c>
      <c r="C19538" s="6" t="s">
        <v>1</v>
      </c>
    </row>
    <row r="19539" spans="1:3" s="7" customFormat="1" x14ac:dyDescent="0.2">
      <c r="A19539" s="6" t="str">
        <f>"AC007191.1"</f>
        <v>AC007191.1</v>
      </c>
      <c r="B19539" s="6" t="s">
        <v>1</v>
      </c>
      <c r="C19539" s="6" t="s">
        <v>1</v>
      </c>
    </row>
    <row r="19540" spans="1:3" s="7" customFormat="1" x14ac:dyDescent="0.2">
      <c r="A19540" s="6" t="str">
        <f>"LINC02254"</f>
        <v>LINC02254</v>
      </c>
      <c r="B19540" s="6" t="s">
        <v>1</v>
      </c>
      <c r="C19540" s="6" t="s">
        <v>1</v>
      </c>
    </row>
    <row r="19541" spans="1:3" s="7" customFormat="1" x14ac:dyDescent="0.2">
      <c r="A19541" s="6" t="str">
        <f>"AC108448.3"</f>
        <v>AC108448.3</v>
      </c>
      <c r="B19541" s="6" t="s">
        <v>1</v>
      </c>
      <c r="C19541" s="6" t="s">
        <v>1</v>
      </c>
    </row>
    <row r="19542" spans="1:3" s="7" customFormat="1" x14ac:dyDescent="0.2">
      <c r="A19542" s="6" t="str">
        <f>"AC093620.1"</f>
        <v>AC093620.1</v>
      </c>
      <c r="B19542" s="6" t="s">
        <v>1</v>
      </c>
      <c r="C19542" s="6" t="s">
        <v>1</v>
      </c>
    </row>
    <row r="19543" spans="1:3" s="7" customFormat="1" x14ac:dyDescent="0.2">
      <c r="A19543" s="6" t="str">
        <f>"LPA"</f>
        <v>LPA</v>
      </c>
      <c r="B19543" s="6" t="s">
        <v>1</v>
      </c>
      <c r="C19543" s="6" t="s">
        <v>1</v>
      </c>
    </row>
    <row r="19544" spans="1:3" s="7" customFormat="1" x14ac:dyDescent="0.2">
      <c r="A19544" s="6" t="str">
        <f>"KLKB1"</f>
        <v>KLKB1</v>
      </c>
      <c r="B19544" s="6" t="s">
        <v>1</v>
      </c>
      <c r="C19544" s="6" t="s">
        <v>1</v>
      </c>
    </row>
    <row r="19545" spans="1:3" s="7" customFormat="1" x14ac:dyDescent="0.2">
      <c r="A19545" s="6" t="str">
        <f>"AC004817.4"</f>
        <v>AC004817.4</v>
      </c>
      <c r="B19545" s="6" t="s">
        <v>1</v>
      </c>
      <c r="C19545" s="6" t="s">
        <v>1</v>
      </c>
    </row>
    <row r="19546" spans="1:3" s="7" customFormat="1" x14ac:dyDescent="0.2">
      <c r="A19546" s="6" t="str">
        <f>"AL450124.1"</f>
        <v>AL450124.1</v>
      </c>
      <c r="B19546" s="6" t="s">
        <v>1</v>
      </c>
      <c r="C19546" s="6" t="s">
        <v>1</v>
      </c>
    </row>
    <row r="19547" spans="1:3" s="7" customFormat="1" x14ac:dyDescent="0.2">
      <c r="A19547" s="6" t="str">
        <f>"LINC02202"</f>
        <v>LINC02202</v>
      </c>
      <c r="B19547" s="6" t="s">
        <v>1</v>
      </c>
      <c r="C19547" s="6" t="s">
        <v>1</v>
      </c>
    </row>
    <row r="19548" spans="1:3" s="7" customFormat="1" x14ac:dyDescent="0.2">
      <c r="A19548" s="6" t="str">
        <f>"LINC02158"</f>
        <v>LINC02158</v>
      </c>
      <c r="B19548" s="6" t="s">
        <v>1</v>
      </c>
      <c r="C19548" s="6" t="s">
        <v>1</v>
      </c>
    </row>
    <row r="19549" spans="1:3" s="7" customFormat="1" x14ac:dyDescent="0.2">
      <c r="A19549" s="6" t="str">
        <f>"AC087235.2"</f>
        <v>AC087235.2</v>
      </c>
      <c r="B19549" s="6" t="s">
        <v>1</v>
      </c>
      <c r="C19549" s="6" t="s">
        <v>1</v>
      </c>
    </row>
    <row r="19550" spans="1:3" s="7" customFormat="1" x14ac:dyDescent="0.2">
      <c r="A19550" s="6" t="str">
        <f>"AL133243.3"</f>
        <v>AL133243.3</v>
      </c>
      <c r="B19550" s="6" t="s">
        <v>1</v>
      </c>
      <c r="C19550" s="6" t="s">
        <v>1</v>
      </c>
    </row>
    <row r="19551" spans="1:3" s="7" customFormat="1" x14ac:dyDescent="0.2">
      <c r="A19551" s="6" t="str">
        <f>"AC067968.1"</f>
        <v>AC067968.1</v>
      </c>
      <c r="B19551" s="6" t="s">
        <v>1</v>
      </c>
      <c r="C19551" s="6" t="s">
        <v>1</v>
      </c>
    </row>
    <row r="19552" spans="1:3" s="7" customFormat="1" x14ac:dyDescent="0.2">
      <c r="A19552" s="6" t="str">
        <f>"AL450384.2"</f>
        <v>AL450384.2</v>
      </c>
      <c r="B19552" s="6" t="s">
        <v>1</v>
      </c>
      <c r="C19552" s="6" t="s">
        <v>1</v>
      </c>
    </row>
    <row r="19553" spans="1:3" s="7" customFormat="1" x14ac:dyDescent="0.2">
      <c r="A19553" s="6" t="str">
        <f>"AC009961.1"</f>
        <v>AC009961.1</v>
      </c>
      <c r="B19553" s="6" t="s">
        <v>1</v>
      </c>
      <c r="C19553" s="6" t="s">
        <v>1</v>
      </c>
    </row>
    <row r="19554" spans="1:3" s="7" customFormat="1" x14ac:dyDescent="0.2">
      <c r="A19554" s="6" t="str">
        <f>"CYP26C1"</f>
        <v>CYP26C1</v>
      </c>
      <c r="B19554" s="6" t="s">
        <v>1</v>
      </c>
      <c r="C19554" s="6" t="s">
        <v>1</v>
      </c>
    </row>
    <row r="19555" spans="1:3" s="7" customFormat="1" x14ac:dyDescent="0.2">
      <c r="A19555" s="6" t="str">
        <f>"AC007240.3"</f>
        <v>AC007240.3</v>
      </c>
      <c r="B19555" s="6" t="s">
        <v>1</v>
      </c>
      <c r="C19555" s="6" t="s">
        <v>1</v>
      </c>
    </row>
    <row r="19556" spans="1:3" s="7" customFormat="1" x14ac:dyDescent="0.2">
      <c r="A19556" s="6" t="str">
        <f>"AP000829.1"</f>
        <v>AP000829.1</v>
      </c>
      <c r="B19556" s="6" t="s">
        <v>1</v>
      </c>
      <c r="C19556" s="6" t="s">
        <v>1</v>
      </c>
    </row>
    <row r="19557" spans="1:3" s="7" customFormat="1" x14ac:dyDescent="0.2">
      <c r="A19557" s="6" t="str">
        <f>"FAM89A"</f>
        <v>FAM89A</v>
      </c>
      <c r="B19557" s="6" t="s">
        <v>1</v>
      </c>
      <c r="C19557" s="6" t="s">
        <v>1</v>
      </c>
    </row>
    <row r="19558" spans="1:3" s="7" customFormat="1" x14ac:dyDescent="0.2">
      <c r="A19558" s="6" t="str">
        <f>"AP000974.1"</f>
        <v>AP000974.1</v>
      </c>
      <c r="B19558" s="6" t="s">
        <v>1</v>
      </c>
      <c r="C19558" s="6" t="s">
        <v>1</v>
      </c>
    </row>
    <row r="19559" spans="1:3" s="7" customFormat="1" x14ac:dyDescent="0.2">
      <c r="A19559" s="6" t="str">
        <f>"AC244636.3"</f>
        <v>AC244636.3</v>
      </c>
      <c r="B19559" s="6" t="s">
        <v>1</v>
      </c>
      <c r="C19559" s="6" t="s">
        <v>1</v>
      </c>
    </row>
    <row r="19560" spans="1:3" s="7" customFormat="1" x14ac:dyDescent="0.2">
      <c r="A19560" s="6" t="str">
        <f>"C3orf36"</f>
        <v>C3orf36</v>
      </c>
      <c r="B19560" s="6" t="s">
        <v>1</v>
      </c>
      <c r="C19560" s="6" t="s">
        <v>1</v>
      </c>
    </row>
    <row r="19561" spans="1:3" s="7" customFormat="1" x14ac:dyDescent="0.2">
      <c r="A19561" s="6" t="str">
        <f>"AC108066.2"</f>
        <v>AC108066.2</v>
      </c>
      <c r="B19561" s="6" t="s">
        <v>1</v>
      </c>
      <c r="C19561" s="6" t="s">
        <v>1</v>
      </c>
    </row>
    <row r="19562" spans="1:3" s="7" customFormat="1" x14ac:dyDescent="0.2">
      <c r="A19562" s="6" t="str">
        <f>"MIR3945HG"</f>
        <v>MIR3945HG</v>
      </c>
      <c r="B19562" s="6" t="s">
        <v>1</v>
      </c>
      <c r="C19562" s="6" t="s">
        <v>1</v>
      </c>
    </row>
    <row r="19563" spans="1:3" s="7" customFormat="1" x14ac:dyDescent="0.2">
      <c r="A19563" s="6" t="str">
        <f>"AC009950.1"</f>
        <v>AC009950.1</v>
      </c>
      <c r="B19563" s="6" t="s">
        <v>1</v>
      </c>
      <c r="C19563" s="6" t="s">
        <v>1</v>
      </c>
    </row>
    <row r="19564" spans="1:3" s="7" customFormat="1" x14ac:dyDescent="0.2">
      <c r="A19564" s="6" t="str">
        <f>"EMILIN1"</f>
        <v>EMILIN1</v>
      </c>
      <c r="B19564" s="6" t="s">
        <v>1</v>
      </c>
      <c r="C19564" s="6" t="s">
        <v>1</v>
      </c>
    </row>
    <row r="19565" spans="1:3" s="7" customFormat="1" x14ac:dyDescent="0.2">
      <c r="A19565" s="6" t="str">
        <f>"CCR7"</f>
        <v>CCR7</v>
      </c>
      <c r="B19565" s="6" t="s">
        <v>1</v>
      </c>
      <c r="C19565" s="6" t="s">
        <v>1</v>
      </c>
    </row>
    <row r="19566" spans="1:3" s="7" customFormat="1" x14ac:dyDescent="0.2">
      <c r="A19566" s="6" t="str">
        <f>"GLB1L3"</f>
        <v>GLB1L3</v>
      </c>
      <c r="B19566" s="6" t="s">
        <v>1</v>
      </c>
      <c r="C19566" s="6" t="s">
        <v>1</v>
      </c>
    </row>
    <row r="19567" spans="1:3" s="7" customFormat="1" x14ac:dyDescent="0.2">
      <c r="A19567" s="6" t="str">
        <f>"TMEM163"</f>
        <v>TMEM163</v>
      </c>
      <c r="B19567" s="6" t="s">
        <v>1</v>
      </c>
      <c r="C19567" s="6" t="s">
        <v>1</v>
      </c>
    </row>
    <row r="19568" spans="1:3" s="7" customFormat="1" x14ac:dyDescent="0.2">
      <c r="A19568" s="6" t="str">
        <f>"EDA2R"</f>
        <v>EDA2R</v>
      </c>
      <c r="B19568" s="6" t="s">
        <v>1</v>
      </c>
      <c r="C19568" s="6" t="s">
        <v>1</v>
      </c>
    </row>
    <row r="19569" spans="1:3" s="7" customFormat="1" x14ac:dyDescent="0.2">
      <c r="A19569" s="6" t="str">
        <f>"AL450326.2"</f>
        <v>AL450326.2</v>
      </c>
      <c r="B19569" s="6" t="s">
        <v>1</v>
      </c>
      <c r="C19569" s="6" t="s">
        <v>1</v>
      </c>
    </row>
    <row r="19570" spans="1:3" s="7" customFormat="1" x14ac:dyDescent="0.2">
      <c r="A19570" s="6" t="str">
        <f>"MSC"</f>
        <v>MSC</v>
      </c>
      <c r="B19570" s="6" t="s">
        <v>1</v>
      </c>
      <c r="C19570" s="6" t="s">
        <v>1</v>
      </c>
    </row>
    <row r="19571" spans="1:3" s="7" customFormat="1" x14ac:dyDescent="0.2">
      <c r="A19571" s="6" t="str">
        <f>"MIR663AHG"</f>
        <v>MIR663AHG</v>
      </c>
      <c r="B19571" s="6" t="s">
        <v>1</v>
      </c>
      <c r="C19571" s="6" t="s">
        <v>1</v>
      </c>
    </row>
    <row r="19572" spans="1:3" s="7" customFormat="1" x14ac:dyDescent="0.2">
      <c r="A19572" s="6" t="str">
        <f>"AC084819.1"</f>
        <v>AC084819.1</v>
      </c>
      <c r="B19572" s="6" t="s">
        <v>1</v>
      </c>
      <c r="C19572" s="6" t="s">
        <v>1</v>
      </c>
    </row>
    <row r="19573" spans="1:3" s="7" customFormat="1" x14ac:dyDescent="0.2">
      <c r="A19573" s="6" t="str">
        <f>"HMGN2P46"</f>
        <v>HMGN2P46</v>
      </c>
      <c r="B19573" s="6" t="s">
        <v>1</v>
      </c>
      <c r="C19573" s="6" t="s">
        <v>1</v>
      </c>
    </row>
    <row r="19574" spans="1:3" s="7" customFormat="1" x14ac:dyDescent="0.2">
      <c r="A19574" s="6" t="str">
        <f>"AC093635.1"</f>
        <v>AC093635.1</v>
      </c>
      <c r="B19574" s="6" t="s">
        <v>1</v>
      </c>
      <c r="C19574" s="6" t="s">
        <v>1</v>
      </c>
    </row>
    <row r="19575" spans="1:3" s="7" customFormat="1" x14ac:dyDescent="0.2">
      <c r="A19575" s="6" t="str">
        <f>"LINC01176"</f>
        <v>LINC01176</v>
      </c>
      <c r="B19575" s="6" t="s">
        <v>1</v>
      </c>
      <c r="C19575" s="6" t="s">
        <v>1</v>
      </c>
    </row>
    <row r="19576" spans="1:3" s="7" customFormat="1" x14ac:dyDescent="0.2">
      <c r="A19576" s="6" t="str">
        <f>"AC106820.5"</f>
        <v>AC106820.5</v>
      </c>
      <c r="B19576" s="6" t="s">
        <v>1</v>
      </c>
      <c r="C19576" s="6" t="s">
        <v>1</v>
      </c>
    </row>
    <row r="19577" spans="1:3" s="7" customFormat="1" x14ac:dyDescent="0.2">
      <c r="A19577" s="6" t="str">
        <f>"AC108673.2"</f>
        <v>AC108673.2</v>
      </c>
      <c r="B19577" s="6" t="s">
        <v>1</v>
      </c>
      <c r="C19577" s="6" t="s">
        <v>1</v>
      </c>
    </row>
    <row r="19578" spans="1:3" s="7" customFormat="1" x14ac:dyDescent="0.2">
      <c r="A19578" s="6" t="str">
        <f>"ADGRG2"</f>
        <v>ADGRG2</v>
      </c>
      <c r="B19578" s="6" t="s">
        <v>1</v>
      </c>
      <c r="C19578" s="6" t="s">
        <v>1</v>
      </c>
    </row>
    <row r="19579" spans="1:3" s="7" customFormat="1" x14ac:dyDescent="0.2">
      <c r="A19579" s="6" t="str">
        <f>"AL024507.2"</f>
        <v>AL024507.2</v>
      </c>
      <c r="B19579" s="6" t="s">
        <v>1</v>
      </c>
      <c r="C19579" s="6" t="s">
        <v>1</v>
      </c>
    </row>
    <row r="19580" spans="1:3" s="7" customFormat="1" x14ac:dyDescent="0.2">
      <c r="A19580" s="6" t="str">
        <f>"GRIP2"</f>
        <v>GRIP2</v>
      </c>
      <c r="B19580" s="6" t="s">
        <v>1</v>
      </c>
      <c r="C19580" s="6" t="s">
        <v>1</v>
      </c>
    </row>
    <row r="19581" spans="1:3" s="7" customFormat="1" x14ac:dyDescent="0.2">
      <c r="A19581" s="6" t="str">
        <f>"ARC"</f>
        <v>ARC</v>
      </c>
      <c r="B19581" s="6" t="s">
        <v>1</v>
      </c>
      <c r="C19581" s="6" t="s">
        <v>1</v>
      </c>
    </row>
    <row r="19582" spans="1:3" s="7" customFormat="1" x14ac:dyDescent="0.2">
      <c r="A19582" s="6" t="str">
        <f>"AL354696.2"</f>
        <v>AL354696.2</v>
      </c>
      <c r="B19582" s="6" t="s">
        <v>1</v>
      </c>
      <c r="C19582" s="6" t="s">
        <v>1</v>
      </c>
    </row>
    <row r="19583" spans="1:3" s="7" customFormat="1" x14ac:dyDescent="0.2">
      <c r="A19583" s="6" t="str">
        <f>"PPIAP46"</f>
        <v>PPIAP46</v>
      </c>
      <c r="B19583" s="6" t="s">
        <v>1</v>
      </c>
      <c r="C19583" s="6" t="s">
        <v>1</v>
      </c>
    </row>
    <row r="19584" spans="1:3" s="7" customFormat="1" x14ac:dyDescent="0.2">
      <c r="A19584" s="6" t="str">
        <f>"AL031686.1"</f>
        <v>AL031686.1</v>
      </c>
      <c r="B19584" s="6" t="s">
        <v>1</v>
      </c>
      <c r="C19584" s="6" t="s">
        <v>1</v>
      </c>
    </row>
    <row r="19585" spans="1:3" s="7" customFormat="1" x14ac:dyDescent="0.2">
      <c r="A19585" s="6" t="str">
        <f>"VLDLR-AS1"</f>
        <v>VLDLR-AS1</v>
      </c>
      <c r="B19585" s="6" t="s">
        <v>1</v>
      </c>
      <c r="C19585" s="6" t="s">
        <v>1</v>
      </c>
    </row>
    <row r="19586" spans="1:3" s="7" customFormat="1" x14ac:dyDescent="0.2">
      <c r="A19586" s="6" t="str">
        <f>"AC087501.4"</f>
        <v>AC087501.4</v>
      </c>
      <c r="B19586" s="6" t="s">
        <v>1</v>
      </c>
      <c r="C19586" s="6" t="s">
        <v>1</v>
      </c>
    </row>
    <row r="19587" spans="1:3" s="7" customFormat="1" x14ac:dyDescent="0.2">
      <c r="A19587" s="6" t="str">
        <f>"H4C12"</f>
        <v>H4C12</v>
      </c>
      <c r="B19587" s="6" t="s">
        <v>1</v>
      </c>
      <c r="C19587" s="6" t="s">
        <v>1</v>
      </c>
    </row>
    <row r="19588" spans="1:3" s="7" customFormat="1" x14ac:dyDescent="0.2">
      <c r="A19588" s="6" t="str">
        <f>"GPR85"</f>
        <v>GPR85</v>
      </c>
      <c r="B19588" s="6" t="s">
        <v>1</v>
      </c>
      <c r="C19588" s="6" t="s">
        <v>1</v>
      </c>
    </row>
    <row r="19589" spans="1:3" s="7" customFormat="1" x14ac:dyDescent="0.2">
      <c r="A19589" s="6" t="str">
        <f>"EXOSC10-AS1"</f>
        <v>EXOSC10-AS1</v>
      </c>
      <c r="B19589" s="6" t="s">
        <v>1</v>
      </c>
      <c r="C19589" s="6" t="s">
        <v>1</v>
      </c>
    </row>
    <row r="19590" spans="1:3" s="7" customFormat="1" x14ac:dyDescent="0.2">
      <c r="A19590" s="6" t="str">
        <f>"DEFB124"</f>
        <v>DEFB124</v>
      </c>
      <c r="B19590" s="6" t="s">
        <v>1</v>
      </c>
      <c r="C19590" s="6" t="s">
        <v>1</v>
      </c>
    </row>
    <row r="19591" spans="1:3" s="7" customFormat="1" x14ac:dyDescent="0.2">
      <c r="A19591" s="6" t="str">
        <f>"CCR2"</f>
        <v>CCR2</v>
      </c>
      <c r="B19591" s="6" t="s">
        <v>1</v>
      </c>
      <c r="C19591" s="6" t="s">
        <v>1</v>
      </c>
    </row>
    <row r="19592" spans="1:3" s="7" customFormat="1" x14ac:dyDescent="0.2">
      <c r="A19592" s="6" t="str">
        <f>"WTAPP1"</f>
        <v>WTAPP1</v>
      </c>
      <c r="B19592" s="6" t="s">
        <v>1</v>
      </c>
      <c r="C19592" s="6" t="s">
        <v>1</v>
      </c>
    </row>
    <row r="19593" spans="1:3" s="7" customFormat="1" x14ac:dyDescent="0.2">
      <c r="A19593" s="6" t="str">
        <f>"LINC02267"</f>
        <v>LINC02267</v>
      </c>
      <c r="B19593" s="6" t="s">
        <v>1</v>
      </c>
      <c r="C19593" s="6" t="s">
        <v>1</v>
      </c>
    </row>
    <row r="19594" spans="1:3" s="7" customFormat="1" x14ac:dyDescent="0.2">
      <c r="A19594" s="6" t="str">
        <f>"AC022509.3"</f>
        <v>AC022509.3</v>
      </c>
      <c r="B19594" s="6" t="s">
        <v>1</v>
      </c>
      <c r="C19594" s="6" t="s">
        <v>1</v>
      </c>
    </row>
    <row r="19595" spans="1:3" s="7" customFormat="1" x14ac:dyDescent="0.2">
      <c r="A19595" s="6" t="str">
        <f>"LINC02073"</f>
        <v>LINC02073</v>
      </c>
      <c r="B19595" s="6" t="s">
        <v>1</v>
      </c>
      <c r="C19595" s="6" t="s">
        <v>1</v>
      </c>
    </row>
    <row r="19596" spans="1:3" s="7" customFormat="1" x14ac:dyDescent="0.2">
      <c r="A19596" s="6" t="str">
        <f>"AL031432.4"</f>
        <v>AL031432.4</v>
      </c>
      <c r="B19596" s="6" t="s">
        <v>1</v>
      </c>
      <c r="C19596" s="6" t="s">
        <v>1</v>
      </c>
    </row>
    <row r="19597" spans="1:3" s="7" customFormat="1" x14ac:dyDescent="0.2">
      <c r="A19597" s="6" t="str">
        <f>"ASGR2"</f>
        <v>ASGR2</v>
      </c>
      <c r="B19597" s="6" t="s">
        <v>1</v>
      </c>
      <c r="C19597" s="6" t="s">
        <v>1</v>
      </c>
    </row>
    <row r="19598" spans="1:3" s="7" customFormat="1" x14ac:dyDescent="0.2">
      <c r="A19598" s="6" t="str">
        <f>"EDIL3-DT"</f>
        <v>EDIL3-DT</v>
      </c>
      <c r="B19598" s="6" t="s">
        <v>1</v>
      </c>
      <c r="C19598" s="6" t="s">
        <v>1</v>
      </c>
    </row>
    <row r="19599" spans="1:3" s="7" customFormat="1" x14ac:dyDescent="0.2">
      <c r="A19599" s="6" t="str">
        <f>"P2RY14"</f>
        <v>P2RY14</v>
      </c>
      <c r="B19599" s="6" t="s">
        <v>1</v>
      </c>
      <c r="C19599" s="6" t="s">
        <v>1</v>
      </c>
    </row>
    <row r="19600" spans="1:3" s="7" customFormat="1" x14ac:dyDescent="0.2">
      <c r="A19600" s="6" t="str">
        <f>"HACD1"</f>
        <v>HACD1</v>
      </c>
      <c r="B19600" s="6" t="s">
        <v>1</v>
      </c>
      <c r="C19600" s="6" t="s">
        <v>1</v>
      </c>
    </row>
    <row r="19601" spans="1:3" s="7" customFormat="1" x14ac:dyDescent="0.2">
      <c r="A19601" s="6" t="str">
        <f>"NDUFB2-AS1"</f>
        <v>NDUFB2-AS1</v>
      </c>
      <c r="B19601" s="6" t="s">
        <v>1</v>
      </c>
      <c r="C19601" s="6" t="s">
        <v>1</v>
      </c>
    </row>
    <row r="19602" spans="1:3" s="7" customFormat="1" x14ac:dyDescent="0.2">
      <c r="A19602" s="6" t="str">
        <f>"APOC2"</f>
        <v>APOC2</v>
      </c>
      <c r="B19602" s="6" t="s">
        <v>1</v>
      </c>
      <c r="C19602" s="6" t="s">
        <v>1</v>
      </c>
    </row>
    <row r="19603" spans="1:3" s="7" customFormat="1" x14ac:dyDescent="0.2">
      <c r="A19603" s="6" t="str">
        <f>"AL442663.3"</f>
        <v>AL442663.3</v>
      </c>
      <c r="B19603" s="6" t="s">
        <v>1</v>
      </c>
      <c r="C19603" s="6" t="s">
        <v>1</v>
      </c>
    </row>
    <row r="19604" spans="1:3" s="7" customFormat="1" x14ac:dyDescent="0.2">
      <c r="A19604" s="6" t="str">
        <f>"AC108134.2"</f>
        <v>AC108134.2</v>
      </c>
      <c r="B19604" s="6" t="s">
        <v>1</v>
      </c>
      <c r="C19604" s="6" t="s">
        <v>1</v>
      </c>
    </row>
    <row r="19605" spans="1:3" s="7" customFormat="1" x14ac:dyDescent="0.2">
      <c r="A19605" s="6" t="str">
        <f>"MLANA"</f>
        <v>MLANA</v>
      </c>
      <c r="B19605" s="6" t="s">
        <v>1</v>
      </c>
      <c r="C19605" s="6" t="s">
        <v>1</v>
      </c>
    </row>
    <row r="19606" spans="1:3" s="7" customFormat="1" x14ac:dyDescent="0.2">
      <c r="A19606" s="6" t="str">
        <f>"AC009486.2"</f>
        <v>AC009486.2</v>
      </c>
      <c r="B19606" s="6" t="s">
        <v>1</v>
      </c>
      <c r="C19606" s="6" t="s">
        <v>1</v>
      </c>
    </row>
    <row r="19607" spans="1:3" s="7" customFormat="1" x14ac:dyDescent="0.2">
      <c r="A19607" s="6" t="str">
        <f>"AL133410.1"</f>
        <v>AL133410.1</v>
      </c>
      <c r="B19607" s="6" t="s">
        <v>1</v>
      </c>
      <c r="C19607" s="6" t="s">
        <v>1</v>
      </c>
    </row>
    <row r="19608" spans="1:3" s="7" customFormat="1" x14ac:dyDescent="0.2">
      <c r="A19608" s="6" t="str">
        <f>"AQP11"</f>
        <v>AQP11</v>
      </c>
      <c r="B19608" s="6" t="s">
        <v>1</v>
      </c>
      <c r="C19608" s="6" t="s">
        <v>1</v>
      </c>
    </row>
    <row r="19609" spans="1:3" s="7" customFormat="1" x14ac:dyDescent="0.2">
      <c r="A19609" s="6" t="str">
        <f>"AL031666.2"</f>
        <v>AL031666.2</v>
      </c>
      <c r="B19609" s="6" t="s">
        <v>1</v>
      </c>
      <c r="C19609" s="6" t="s">
        <v>1</v>
      </c>
    </row>
    <row r="19610" spans="1:3" s="7" customFormat="1" x14ac:dyDescent="0.2">
      <c r="A19610" s="6" t="str">
        <f>"SNX29P2"</f>
        <v>SNX29P2</v>
      </c>
      <c r="B19610" s="6" t="s">
        <v>1</v>
      </c>
      <c r="C19610" s="6" t="s">
        <v>1</v>
      </c>
    </row>
    <row r="19611" spans="1:3" s="7" customFormat="1" x14ac:dyDescent="0.2">
      <c r="A19611" s="6" t="str">
        <f>"AC023300.3"</f>
        <v>AC023300.3</v>
      </c>
      <c r="B19611" s="6" t="s">
        <v>1</v>
      </c>
      <c r="C19611" s="6" t="s">
        <v>1</v>
      </c>
    </row>
    <row r="19612" spans="1:3" s="7" customFormat="1" x14ac:dyDescent="0.2">
      <c r="A19612" s="6" t="str">
        <f>"ADORA3"</f>
        <v>ADORA3</v>
      </c>
      <c r="B19612" s="6" t="s">
        <v>1</v>
      </c>
      <c r="C19612" s="6" t="s">
        <v>1</v>
      </c>
    </row>
    <row r="19613" spans="1:3" s="7" customFormat="1" x14ac:dyDescent="0.2">
      <c r="A19613" s="6" t="str">
        <f>"SLURP1"</f>
        <v>SLURP1</v>
      </c>
      <c r="B19613" s="6" t="s">
        <v>1</v>
      </c>
      <c r="C19613" s="6" t="s">
        <v>1</v>
      </c>
    </row>
    <row r="19614" spans="1:3" s="7" customFormat="1" x14ac:dyDescent="0.2">
      <c r="A19614" s="6" t="str">
        <f>"KCND1"</f>
        <v>KCND1</v>
      </c>
      <c r="B19614" s="6" t="s">
        <v>1</v>
      </c>
      <c r="C19614" s="6" t="s">
        <v>1</v>
      </c>
    </row>
    <row r="19615" spans="1:3" s="7" customFormat="1" x14ac:dyDescent="0.2">
      <c r="A19615" s="6" t="str">
        <f>"LPL"</f>
        <v>LPL</v>
      </c>
      <c r="B19615" s="6" t="s">
        <v>1</v>
      </c>
      <c r="C19615" s="6" t="s">
        <v>1</v>
      </c>
    </row>
    <row r="19616" spans="1:3" s="7" customFormat="1" x14ac:dyDescent="0.2">
      <c r="A19616" s="6" t="str">
        <f>"ZC4H2"</f>
        <v>ZC4H2</v>
      </c>
      <c r="B19616" s="6" t="s">
        <v>1</v>
      </c>
      <c r="C19616" s="6" t="s">
        <v>1</v>
      </c>
    </row>
    <row r="19617" spans="1:3" s="7" customFormat="1" x14ac:dyDescent="0.2">
      <c r="A19617" s="6" t="str">
        <f>"KCNJ11"</f>
        <v>KCNJ11</v>
      </c>
      <c r="B19617" s="6" t="s">
        <v>1</v>
      </c>
      <c r="C19617" s="6" t="s">
        <v>1</v>
      </c>
    </row>
    <row r="19618" spans="1:3" s="7" customFormat="1" x14ac:dyDescent="0.2">
      <c r="A19618" s="6" t="str">
        <f>"MZB1"</f>
        <v>MZB1</v>
      </c>
      <c r="B19618" s="6" t="s">
        <v>1</v>
      </c>
      <c r="C19618" s="6" t="s">
        <v>1</v>
      </c>
    </row>
    <row r="19619" spans="1:3" s="7" customFormat="1" x14ac:dyDescent="0.2">
      <c r="A19619" s="6" t="str">
        <f>"LEFTY1"</f>
        <v>LEFTY1</v>
      </c>
      <c r="B19619" s="6" t="s">
        <v>1</v>
      </c>
      <c r="C19619" s="6" t="s">
        <v>1</v>
      </c>
    </row>
    <row r="19620" spans="1:3" s="7" customFormat="1" x14ac:dyDescent="0.2">
      <c r="A19620" s="6" t="str">
        <f>"KCNG3"</f>
        <v>KCNG3</v>
      </c>
      <c r="B19620" s="6" t="s">
        <v>1</v>
      </c>
      <c r="C19620" s="6" t="s">
        <v>1</v>
      </c>
    </row>
    <row r="19621" spans="1:3" s="7" customFormat="1" x14ac:dyDescent="0.2">
      <c r="A19621" s="6" t="str">
        <f>"FITM1"</f>
        <v>FITM1</v>
      </c>
      <c r="B19621" s="6" t="s">
        <v>1</v>
      </c>
      <c r="C19621" s="6" t="s">
        <v>1</v>
      </c>
    </row>
    <row r="19622" spans="1:3" s="7" customFormat="1" x14ac:dyDescent="0.2">
      <c r="A19622" s="6" t="str">
        <f>"HNRNPA1P16"</f>
        <v>HNRNPA1P16</v>
      </c>
      <c r="B19622" s="6" t="s">
        <v>1</v>
      </c>
      <c r="C19622" s="6" t="s">
        <v>1</v>
      </c>
    </row>
    <row r="19623" spans="1:3" s="7" customFormat="1" x14ac:dyDescent="0.2">
      <c r="A19623" s="6" t="str">
        <f>"AC067852.5"</f>
        <v>AC067852.5</v>
      </c>
      <c r="B19623" s="6" t="s">
        <v>1</v>
      </c>
      <c r="C19623" s="6" t="s">
        <v>1</v>
      </c>
    </row>
    <row r="19624" spans="1:3" s="7" customFormat="1" x14ac:dyDescent="0.2">
      <c r="A19624" s="6" t="str">
        <f>"RNF139-AS1"</f>
        <v>RNF139-AS1</v>
      </c>
      <c r="B19624" s="6" t="s">
        <v>1</v>
      </c>
      <c r="C19624" s="6" t="s">
        <v>1</v>
      </c>
    </row>
    <row r="19625" spans="1:3" s="7" customFormat="1" x14ac:dyDescent="0.2">
      <c r="A19625" s="6" t="str">
        <f>"AC009303.4"</f>
        <v>AC009303.4</v>
      </c>
      <c r="B19625" s="6" t="s">
        <v>1</v>
      </c>
      <c r="C19625" s="6" t="s">
        <v>1</v>
      </c>
    </row>
    <row r="19626" spans="1:3" s="7" customFormat="1" x14ac:dyDescent="0.2">
      <c r="A19626" s="6" t="str">
        <f>"AC093249.6"</f>
        <v>AC093249.6</v>
      </c>
      <c r="B19626" s="6" t="s">
        <v>1</v>
      </c>
      <c r="C19626" s="6" t="s">
        <v>1</v>
      </c>
    </row>
    <row r="19627" spans="1:3" s="7" customFormat="1" x14ac:dyDescent="0.2">
      <c r="A19627" s="6" t="str">
        <f>"GLOD5"</f>
        <v>GLOD5</v>
      </c>
      <c r="B19627" s="6" t="s">
        <v>1</v>
      </c>
      <c r="C19627" s="6" t="s">
        <v>1</v>
      </c>
    </row>
    <row r="19628" spans="1:3" s="7" customFormat="1" x14ac:dyDescent="0.2">
      <c r="A19628" s="6" t="str">
        <f>"AL353796.1"</f>
        <v>AL353796.1</v>
      </c>
      <c r="B19628" s="6" t="s">
        <v>1</v>
      </c>
      <c r="C19628" s="6" t="s">
        <v>1</v>
      </c>
    </row>
    <row r="19629" spans="1:3" s="7" customFormat="1" x14ac:dyDescent="0.2">
      <c r="A19629" s="6" t="str">
        <f>"RELN"</f>
        <v>RELN</v>
      </c>
      <c r="B19629" s="6" t="s">
        <v>1</v>
      </c>
      <c r="C19629" s="6" t="s">
        <v>1</v>
      </c>
    </row>
    <row r="19630" spans="1:3" s="7" customFormat="1" x14ac:dyDescent="0.2">
      <c r="A19630" s="6" t="str">
        <f>"SLC26A7"</f>
        <v>SLC26A7</v>
      </c>
      <c r="B19630" s="6" t="s">
        <v>1</v>
      </c>
      <c r="C19630" s="6" t="s">
        <v>1</v>
      </c>
    </row>
    <row r="19631" spans="1:3" s="7" customFormat="1" x14ac:dyDescent="0.2">
      <c r="A19631" s="6" t="str">
        <f>"PLIN1"</f>
        <v>PLIN1</v>
      </c>
      <c r="B19631" s="6" t="s">
        <v>1</v>
      </c>
      <c r="C19631" s="6" t="s">
        <v>1</v>
      </c>
    </row>
    <row r="19632" spans="1:3" s="7" customFormat="1" x14ac:dyDescent="0.2">
      <c r="A19632" s="6" t="str">
        <f>"AC012676.5"</f>
        <v>AC012676.5</v>
      </c>
      <c r="B19632" s="6" t="s">
        <v>1</v>
      </c>
      <c r="C19632" s="6" t="s">
        <v>1</v>
      </c>
    </row>
    <row r="19633" spans="1:3" s="7" customFormat="1" x14ac:dyDescent="0.2">
      <c r="A19633" s="6" t="str">
        <f>"CCR3"</f>
        <v>CCR3</v>
      </c>
      <c r="B19633" s="6" t="s">
        <v>1</v>
      </c>
      <c r="C19633" s="6" t="s">
        <v>1</v>
      </c>
    </row>
    <row r="19634" spans="1:3" s="7" customFormat="1" x14ac:dyDescent="0.2">
      <c r="A19634" s="6" t="str">
        <f>"SRRM4"</f>
        <v>SRRM4</v>
      </c>
      <c r="B19634" s="6" t="s">
        <v>1</v>
      </c>
      <c r="C19634" s="6" t="s">
        <v>1</v>
      </c>
    </row>
    <row r="19635" spans="1:3" s="7" customFormat="1" x14ac:dyDescent="0.2">
      <c r="A19635" s="6" t="str">
        <f>"AC012485.2"</f>
        <v>AC012485.2</v>
      </c>
      <c r="B19635" s="6" t="s">
        <v>1</v>
      </c>
      <c r="C19635" s="6" t="s">
        <v>1</v>
      </c>
    </row>
    <row r="19636" spans="1:3" s="7" customFormat="1" x14ac:dyDescent="0.2">
      <c r="A19636" s="6" t="str">
        <f>"S100A3"</f>
        <v>S100A3</v>
      </c>
      <c r="B19636" s="6" t="s">
        <v>1</v>
      </c>
      <c r="C19636" s="6" t="s">
        <v>1</v>
      </c>
    </row>
    <row r="19637" spans="1:3" s="7" customFormat="1" x14ac:dyDescent="0.2">
      <c r="A19637" s="6" t="str">
        <f>"AC004918.3"</f>
        <v>AC004918.3</v>
      </c>
      <c r="B19637" s="6" t="s">
        <v>1</v>
      </c>
      <c r="C19637" s="6" t="s">
        <v>1</v>
      </c>
    </row>
    <row r="19638" spans="1:3" s="7" customFormat="1" x14ac:dyDescent="0.2">
      <c r="A19638" s="6" t="str">
        <f>"NPAS3"</f>
        <v>NPAS3</v>
      </c>
      <c r="B19638" s="6" t="s">
        <v>1</v>
      </c>
      <c r="C19638" s="6" t="s">
        <v>1</v>
      </c>
    </row>
    <row r="19639" spans="1:3" s="7" customFormat="1" x14ac:dyDescent="0.2">
      <c r="A19639" s="6" t="str">
        <f>"S100A5"</f>
        <v>S100A5</v>
      </c>
      <c r="B19639" s="6" t="s">
        <v>1</v>
      </c>
      <c r="C19639" s="6" t="s">
        <v>1</v>
      </c>
    </row>
    <row r="19640" spans="1:3" s="7" customFormat="1" x14ac:dyDescent="0.2">
      <c r="A19640" s="6" t="str">
        <f>"AC066615.1"</f>
        <v>AC066615.1</v>
      </c>
      <c r="B19640" s="6" t="s">
        <v>1</v>
      </c>
      <c r="C19640" s="6" t="s">
        <v>1</v>
      </c>
    </row>
    <row r="19641" spans="1:3" s="7" customFormat="1" x14ac:dyDescent="0.2">
      <c r="A19641" s="6" t="str">
        <f>"ENAM"</f>
        <v>ENAM</v>
      </c>
      <c r="B19641" s="6" t="s">
        <v>1</v>
      </c>
      <c r="C19641" s="6" t="s">
        <v>1</v>
      </c>
    </row>
    <row r="19642" spans="1:3" s="7" customFormat="1" x14ac:dyDescent="0.2">
      <c r="A19642" s="6" t="str">
        <f>"FASLG"</f>
        <v>FASLG</v>
      </c>
      <c r="B19642" s="6" t="s">
        <v>1</v>
      </c>
      <c r="C19642" s="6" t="s">
        <v>1</v>
      </c>
    </row>
    <row r="19643" spans="1:3" s="7" customFormat="1" x14ac:dyDescent="0.2">
      <c r="A19643" s="6" t="str">
        <f>"CYP2D6"</f>
        <v>CYP2D6</v>
      </c>
      <c r="B19643" s="6" t="s">
        <v>1</v>
      </c>
      <c r="C19643" s="6" t="s">
        <v>1</v>
      </c>
    </row>
    <row r="19644" spans="1:3" s="7" customFormat="1" x14ac:dyDescent="0.2">
      <c r="A19644" s="6" t="str">
        <f>"AL031668.2"</f>
        <v>AL031668.2</v>
      </c>
      <c r="B19644" s="6" t="s">
        <v>1</v>
      </c>
      <c r="C19644" s="6" t="s">
        <v>1</v>
      </c>
    </row>
    <row r="19645" spans="1:3" s="7" customFormat="1" x14ac:dyDescent="0.2">
      <c r="A19645" s="6" t="str">
        <f>"FAM86FP"</f>
        <v>FAM86FP</v>
      </c>
      <c r="B19645" s="6" t="s">
        <v>1</v>
      </c>
      <c r="C19645" s="6" t="s">
        <v>1</v>
      </c>
    </row>
    <row r="19646" spans="1:3" s="7" customFormat="1" x14ac:dyDescent="0.2">
      <c r="A19646" s="6" t="str">
        <f>"ZSCAN4"</f>
        <v>ZSCAN4</v>
      </c>
      <c r="B19646" s="6" t="s">
        <v>1</v>
      </c>
      <c r="C19646" s="6" t="s">
        <v>1</v>
      </c>
    </row>
    <row r="19647" spans="1:3" s="7" customFormat="1" x14ac:dyDescent="0.2">
      <c r="A19647" s="6" t="str">
        <f>"ADRA2B"</f>
        <v>ADRA2B</v>
      </c>
      <c r="B19647" s="6" t="s">
        <v>1</v>
      </c>
      <c r="C19647" s="6" t="s">
        <v>1</v>
      </c>
    </row>
    <row r="19648" spans="1:3" s="7" customFormat="1" x14ac:dyDescent="0.2">
      <c r="A19648" s="6" t="str">
        <f>"MAMSTR"</f>
        <v>MAMSTR</v>
      </c>
      <c r="B19648" s="6" t="s">
        <v>1</v>
      </c>
      <c r="C19648" s="6" t="s">
        <v>1</v>
      </c>
    </row>
    <row r="19649" spans="1:3" s="7" customFormat="1" x14ac:dyDescent="0.2">
      <c r="A19649" s="6" t="str">
        <f>"AC012441.2"</f>
        <v>AC012441.2</v>
      </c>
      <c r="B19649" s="6" t="s">
        <v>1</v>
      </c>
      <c r="C19649" s="6" t="s">
        <v>1</v>
      </c>
    </row>
    <row r="19650" spans="1:3" s="7" customFormat="1" x14ac:dyDescent="0.2">
      <c r="A19650" s="6" t="str">
        <f>"FAM86HP"</f>
        <v>FAM86HP</v>
      </c>
      <c r="B19650" s="6" t="s">
        <v>1</v>
      </c>
      <c r="C19650" s="6" t="s">
        <v>1</v>
      </c>
    </row>
    <row r="19651" spans="1:3" s="7" customFormat="1" x14ac:dyDescent="0.2">
      <c r="A19651" s="6" t="str">
        <f>"AC060766.7"</f>
        <v>AC060766.7</v>
      </c>
      <c r="B19651" s="6" t="s">
        <v>1</v>
      </c>
      <c r="C19651" s="6" t="s">
        <v>1</v>
      </c>
    </row>
    <row r="19652" spans="1:3" s="7" customFormat="1" x14ac:dyDescent="0.2">
      <c r="A19652" s="6" t="str">
        <f>"MYO16-AS1"</f>
        <v>MYO16-AS1</v>
      </c>
      <c r="B19652" s="6" t="s">
        <v>1</v>
      </c>
      <c r="C19652" s="6" t="s">
        <v>1</v>
      </c>
    </row>
    <row r="19653" spans="1:3" s="7" customFormat="1" x14ac:dyDescent="0.2">
      <c r="A19653" s="6" t="str">
        <f>"CASP5"</f>
        <v>CASP5</v>
      </c>
      <c r="B19653" s="6" t="s">
        <v>1</v>
      </c>
      <c r="C19653" s="6" t="s">
        <v>1</v>
      </c>
    </row>
    <row r="19654" spans="1:3" s="7" customFormat="1" x14ac:dyDescent="0.2">
      <c r="A19654" s="6" t="str">
        <f>"CNRIP1"</f>
        <v>CNRIP1</v>
      </c>
      <c r="B19654" s="6" t="s">
        <v>1</v>
      </c>
      <c r="C19654" s="6" t="s">
        <v>1</v>
      </c>
    </row>
    <row r="19655" spans="1:3" s="7" customFormat="1" x14ac:dyDescent="0.2">
      <c r="A19655" s="6" t="str">
        <f>"AC087632.2"</f>
        <v>AC087632.2</v>
      </c>
      <c r="B19655" s="6" t="s">
        <v>1</v>
      </c>
      <c r="C19655" s="6" t="s">
        <v>1</v>
      </c>
    </row>
    <row r="19656" spans="1:3" s="7" customFormat="1" x14ac:dyDescent="0.2">
      <c r="A19656" s="6" t="str">
        <f>"EME1"</f>
        <v>EME1</v>
      </c>
      <c r="B19656" s="6" t="s">
        <v>1</v>
      </c>
      <c r="C19656" s="6" t="s">
        <v>1</v>
      </c>
    </row>
    <row r="19657" spans="1:3" s="7" customFormat="1" x14ac:dyDescent="0.2">
      <c r="A19657" s="6" t="str">
        <f>"SLC26A1"</f>
        <v>SLC26A1</v>
      </c>
      <c r="B19657" s="6" t="s">
        <v>1</v>
      </c>
      <c r="C19657" s="6" t="s">
        <v>1</v>
      </c>
    </row>
    <row r="19658" spans="1:3" s="7" customFormat="1" x14ac:dyDescent="0.2">
      <c r="A19658" s="6" t="str">
        <f>"ALKAL1"</f>
        <v>ALKAL1</v>
      </c>
      <c r="B19658" s="6" t="s">
        <v>1</v>
      </c>
      <c r="C19658" s="6" t="s">
        <v>1</v>
      </c>
    </row>
    <row r="19659" spans="1:3" s="7" customFormat="1" x14ac:dyDescent="0.2">
      <c r="A19659" s="6" t="str">
        <f>"FLG-AS1"</f>
        <v>FLG-AS1</v>
      </c>
      <c r="B19659" s="6" t="s">
        <v>1</v>
      </c>
      <c r="C19659" s="6" t="s">
        <v>1</v>
      </c>
    </row>
    <row r="19660" spans="1:3" s="7" customFormat="1" x14ac:dyDescent="0.2">
      <c r="A19660" s="6" t="str">
        <f>"PRKG1"</f>
        <v>PRKG1</v>
      </c>
      <c r="B19660" s="6" t="s">
        <v>1</v>
      </c>
      <c r="C19660" s="6" t="s">
        <v>1</v>
      </c>
    </row>
    <row r="19661" spans="1:3" s="7" customFormat="1" x14ac:dyDescent="0.2">
      <c r="A19661" s="6" t="str">
        <f>"CYP2G1P"</f>
        <v>CYP2G1P</v>
      </c>
      <c r="B19661" s="6" t="s">
        <v>1</v>
      </c>
      <c r="C19661" s="6" t="s">
        <v>1</v>
      </c>
    </row>
    <row r="19662" spans="1:3" s="7" customFormat="1" x14ac:dyDescent="0.2">
      <c r="A19662" s="6" t="str">
        <f>"OR2L2"</f>
        <v>OR2L2</v>
      </c>
      <c r="B19662" s="6" t="s">
        <v>1</v>
      </c>
      <c r="C19662" s="6" t="s">
        <v>1</v>
      </c>
    </row>
    <row r="19663" spans="1:3" s="7" customFormat="1" x14ac:dyDescent="0.2">
      <c r="A19663" s="6" t="str">
        <f>"LINC02257"</f>
        <v>LINC02257</v>
      </c>
      <c r="B19663" s="6" t="s">
        <v>1</v>
      </c>
      <c r="C19663" s="6" t="s">
        <v>1</v>
      </c>
    </row>
    <row r="19664" spans="1:3" s="7" customFormat="1" x14ac:dyDescent="0.2">
      <c r="A19664" s="6" t="str">
        <f>"GLUD1P3"</f>
        <v>GLUD1P3</v>
      </c>
      <c r="B19664" s="6" t="s">
        <v>1</v>
      </c>
      <c r="C19664" s="6" t="s">
        <v>1</v>
      </c>
    </row>
    <row r="19665" spans="1:3" s="7" customFormat="1" x14ac:dyDescent="0.2">
      <c r="A19665" s="6" t="str">
        <f>"AC108058.1"</f>
        <v>AC108058.1</v>
      </c>
      <c r="B19665" s="6" t="s">
        <v>1</v>
      </c>
      <c r="C19665" s="6" t="s">
        <v>1</v>
      </c>
    </row>
    <row r="19666" spans="1:3" s="7" customFormat="1" x14ac:dyDescent="0.2">
      <c r="A19666" s="6" t="str">
        <f>"AC009495.3"</f>
        <v>AC009495.3</v>
      </c>
      <c r="B19666" s="6" t="s">
        <v>1</v>
      </c>
      <c r="C19666" s="6" t="s">
        <v>1</v>
      </c>
    </row>
    <row r="19667" spans="1:3" s="7" customFormat="1" x14ac:dyDescent="0.2">
      <c r="A19667" s="6" t="str">
        <f>"ASB4"</f>
        <v>ASB4</v>
      </c>
      <c r="B19667" s="6" t="s">
        <v>1</v>
      </c>
      <c r="C19667" s="6" t="s">
        <v>1</v>
      </c>
    </row>
    <row r="19668" spans="1:3" s="7" customFormat="1" x14ac:dyDescent="0.2">
      <c r="A19668" s="6" t="str">
        <f>"AL449363.2"</f>
        <v>AL449363.2</v>
      </c>
      <c r="B19668" s="6" t="s">
        <v>1</v>
      </c>
      <c r="C19668" s="6" t="s">
        <v>1</v>
      </c>
    </row>
    <row r="19669" spans="1:3" s="7" customFormat="1" x14ac:dyDescent="0.2">
      <c r="A19669" s="6" t="str">
        <f>"FABP3"</f>
        <v>FABP3</v>
      </c>
      <c r="B19669" s="6" t="s">
        <v>1</v>
      </c>
      <c r="C19669" s="6" t="s">
        <v>1</v>
      </c>
    </row>
    <row r="19670" spans="1:3" s="7" customFormat="1" x14ac:dyDescent="0.2">
      <c r="A19670" s="6" t="str">
        <f>"AC004918.1"</f>
        <v>AC004918.1</v>
      </c>
      <c r="B19670" s="6" t="s">
        <v>1</v>
      </c>
      <c r="C19670" s="6" t="s">
        <v>1</v>
      </c>
    </row>
    <row r="19671" spans="1:3" s="7" customFormat="1" x14ac:dyDescent="0.2">
      <c r="A19671" s="6" t="str">
        <f>"ZNF239"</f>
        <v>ZNF239</v>
      </c>
      <c r="B19671" s="6" t="s">
        <v>1</v>
      </c>
      <c r="C19671" s="6" t="s">
        <v>1</v>
      </c>
    </row>
    <row r="19672" spans="1:3" s="7" customFormat="1" x14ac:dyDescent="0.2">
      <c r="A19672" s="6" t="str">
        <f>"CYP2U1-AS1"</f>
        <v>CYP2U1-AS1</v>
      </c>
      <c r="B19672" s="6" t="s">
        <v>1</v>
      </c>
      <c r="C19672" s="6" t="s">
        <v>1</v>
      </c>
    </row>
    <row r="19673" spans="1:3" s="7" customFormat="1" x14ac:dyDescent="0.2">
      <c r="A19673" s="6" t="str">
        <f>"LINC02198"</f>
        <v>LINC02198</v>
      </c>
      <c r="B19673" s="6" t="s">
        <v>1</v>
      </c>
      <c r="C19673" s="6" t="s">
        <v>1</v>
      </c>
    </row>
    <row r="19674" spans="1:3" s="7" customFormat="1" x14ac:dyDescent="0.2">
      <c r="A19674" s="6" t="str">
        <f>"LINC01187"</f>
        <v>LINC01187</v>
      </c>
      <c r="B19674" s="6" t="s">
        <v>1</v>
      </c>
      <c r="C19674" s="6" t="s">
        <v>1</v>
      </c>
    </row>
    <row r="19675" spans="1:3" s="7" customFormat="1" x14ac:dyDescent="0.2">
      <c r="A19675" s="6" t="str">
        <f>"AC087289.3"</f>
        <v>AC087289.3</v>
      </c>
      <c r="B19675" s="6" t="s">
        <v>1</v>
      </c>
      <c r="C19675" s="6" t="s">
        <v>1</v>
      </c>
    </row>
    <row r="19676" spans="1:3" s="7" customFormat="1" x14ac:dyDescent="0.2">
      <c r="A19676" s="6" t="str">
        <f>"AC015712.1"</f>
        <v>AC015712.1</v>
      </c>
      <c r="B19676" s="6" t="s">
        <v>1</v>
      </c>
      <c r="C19676" s="6" t="s">
        <v>1</v>
      </c>
    </row>
    <row r="19677" spans="1:3" s="7" customFormat="1" x14ac:dyDescent="0.2">
      <c r="A19677" s="6" t="str">
        <f>"AC129507.4"</f>
        <v>AC129507.4</v>
      </c>
      <c r="B19677" s="6" t="s">
        <v>1</v>
      </c>
      <c r="C19677" s="6" t="s">
        <v>1</v>
      </c>
    </row>
    <row r="19678" spans="1:3" s="7" customFormat="1" x14ac:dyDescent="0.2">
      <c r="A19678" s="6" t="str">
        <f>"AC062029.1"</f>
        <v>AC062029.1</v>
      </c>
      <c r="B19678" s="6" t="s">
        <v>1</v>
      </c>
      <c r="C19678" s="6" t="s">
        <v>1</v>
      </c>
    </row>
    <row r="19679" spans="1:3" s="7" customFormat="1" x14ac:dyDescent="0.2">
      <c r="A19679" s="6" t="str">
        <f>"SUGCT"</f>
        <v>SUGCT</v>
      </c>
      <c r="B19679" s="6" t="s">
        <v>1</v>
      </c>
      <c r="C19679" s="6" t="s">
        <v>1</v>
      </c>
    </row>
    <row r="19680" spans="1:3" s="7" customFormat="1" x14ac:dyDescent="0.2">
      <c r="A19680" s="6" t="str">
        <f>"SNX31"</f>
        <v>SNX31</v>
      </c>
      <c r="B19680" s="6" t="s">
        <v>1</v>
      </c>
      <c r="C19680" s="6" t="s">
        <v>1</v>
      </c>
    </row>
    <row r="19681" spans="1:3" s="7" customFormat="1" x14ac:dyDescent="0.2">
      <c r="A19681" s="6" t="str">
        <f>"AP000350.6"</f>
        <v>AP000350.6</v>
      </c>
      <c r="B19681" s="6" t="s">
        <v>1</v>
      </c>
      <c r="C19681" s="6" t="s">
        <v>1</v>
      </c>
    </row>
    <row r="19682" spans="1:3" s="7" customFormat="1" x14ac:dyDescent="0.2">
      <c r="A19682" s="6" t="str">
        <f>"PDE11A"</f>
        <v>PDE11A</v>
      </c>
      <c r="B19682" s="6" t="s">
        <v>1</v>
      </c>
      <c r="C19682" s="6" t="s">
        <v>1</v>
      </c>
    </row>
    <row r="19683" spans="1:3" s="7" customFormat="1" x14ac:dyDescent="0.2">
      <c r="A19683" s="6" t="str">
        <f>"TBC1D3C"</f>
        <v>TBC1D3C</v>
      </c>
      <c r="B19683" s="6" t="s">
        <v>1</v>
      </c>
      <c r="C19683" s="6" t="s">
        <v>1</v>
      </c>
    </row>
    <row r="19684" spans="1:3" s="7" customFormat="1" x14ac:dyDescent="0.2">
      <c r="A19684" s="6" t="str">
        <f>"C22orf24"</f>
        <v>C22orf24</v>
      </c>
      <c r="B19684" s="6" t="s">
        <v>1</v>
      </c>
      <c r="C19684" s="6" t="s">
        <v>1</v>
      </c>
    </row>
    <row r="19685" spans="1:3" s="7" customFormat="1" x14ac:dyDescent="0.2">
      <c r="A19685" s="6" t="str">
        <f>"RPPH1"</f>
        <v>RPPH1</v>
      </c>
      <c r="B19685" s="6" t="s">
        <v>1</v>
      </c>
      <c r="C19685" s="6" t="s">
        <v>1</v>
      </c>
    </row>
    <row r="19686" spans="1:3" s="7" customFormat="1" x14ac:dyDescent="0.2">
      <c r="A19686" s="6" t="str">
        <f>"EML2-AS1"</f>
        <v>EML2-AS1</v>
      </c>
      <c r="B19686" s="6" t="s">
        <v>1</v>
      </c>
      <c r="C19686" s="6" t="s">
        <v>1</v>
      </c>
    </row>
    <row r="19687" spans="1:3" s="7" customFormat="1" x14ac:dyDescent="0.2">
      <c r="A19687" s="6" t="str">
        <f>"C1QTNF8"</f>
        <v>C1QTNF8</v>
      </c>
      <c r="B19687" s="6" t="s">
        <v>1</v>
      </c>
      <c r="C19687" s="6" t="s">
        <v>1</v>
      </c>
    </row>
    <row r="19688" spans="1:3" s="7" customFormat="1" x14ac:dyDescent="0.2">
      <c r="A19688" s="6" t="str">
        <f>"ENO3"</f>
        <v>ENO3</v>
      </c>
      <c r="B19688" s="6" t="s">
        <v>1</v>
      </c>
      <c r="C19688" s="6" t="s">
        <v>1</v>
      </c>
    </row>
    <row r="19689" spans="1:3" s="7" customFormat="1" x14ac:dyDescent="0.2">
      <c r="A19689" s="6" t="str">
        <f>"CASP4LP"</f>
        <v>CASP4LP</v>
      </c>
      <c r="B19689" s="6" t="s">
        <v>1</v>
      </c>
      <c r="C19689" s="6" t="s">
        <v>1</v>
      </c>
    </row>
    <row r="19690" spans="1:3" s="7" customFormat="1" x14ac:dyDescent="0.2">
      <c r="A19690" s="6" t="str">
        <f>"AC012485.3"</f>
        <v>AC012485.3</v>
      </c>
      <c r="B19690" s="6" t="s">
        <v>1</v>
      </c>
      <c r="C19690" s="6" t="s">
        <v>1</v>
      </c>
    </row>
    <row r="19691" spans="1:3" s="7" customFormat="1" x14ac:dyDescent="0.2">
      <c r="A19691" s="6" t="str">
        <f>"AC022031.2"</f>
        <v>AC022031.2</v>
      </c>
      <c r="B19691" s="6" t="s">
        <v>1</v>
      </c>
      <c r="C19691" s="6" t="s">
        <v>1</v>
      </c>
    </row>
    <row r="19692" spans="1:3" s="7" customFormat="1" x14ac:dyDescent="0.2">
      <c r="A19692" s="6" t="str">
        <f>"LHFPL1"</f>
        <v>LHFPL1</v>
      </c>
      <c r="B19692" s="6" t="s">
        <v>1</v>
      </c>
      <c r="C19692" s="6" t="s">
        <v>1</v>
      </c>
    </row>
    <row r="19693" spans="1:3" s="7" customFormat="1" x14ac:dyDescent="0.2">
      <c r="A19693" s="6" t="str">
        <f>"AC068533.4"</f>
        <v>AC068533.4</v>
      </c>
      <c r="B19693" s="6" t="s">
        <v>1</v>
      </c>
      <c r="C19693" s="6" t="s">
        <v>1</v>
      </c>
    </row>
    <row r="19694" spans="1:3" s="7" customFormat="1" x14ac:dyDescent="0.2">
      <c r="A19694" s="6" t="str">
        <f>"CHSY3"</f>
        <v>CHSY3</v>
      </c>
      <c r="B19694" s="6" t="s">
        <v>1</v>
      </c>
      <c r="C19694" s="6" t="s">
        <v>1</v>
      </c>
    </row>
    <row r="19695" spans="1:3" s="7" customFormat="1" x14ac:dyDescent="0.2">
      <c r="A19695" s="6" t="str">
        <f>"PDE1B"</f>
        <v>PDE1B</v>
      </c>
      <c r="B19695" s="6" t="s">
        <v>1</v>
      </c>
      <c r="C19695" s="6" t="s">
        <v>1</v>
      </c>
    </row>
    <row r="19696" spans="1:3" s="7" customFormat="1" x14ac:dyDescent="0.2">
      <c r="A19696" s="6" t="str">
        <f>"PHYHIP"</f>
        <v>PHYHIP</v>
      </c>
      <c r="B19696" s="6" t="s">
        <v>1</v>
      </c>
      <c r="C19696" s="6" t="s">
        <v>1</v>
      </c>
    </row>
    <row r="19697" spans="1:3" s="7" customFormat="1" x14ac:dyDescent="0.2">
      <c r="A19697" s="6" t="str">
        <f>"NPBWR1"</f>
        <v>NPBWR1</v>
      </c>
      <c r="B19697" s="6" t="s">
        <v>1</v>
      </c>
      <c r="C19697" s="6" t="s">
        <v>1</v>
      </c>
    </row>
    <row r="19698" spans="1:3" s="7" customFormat="1" x14ac:dyDescent="0.2">
      <c r="A19698" s="6" t="str">
        <f>"AP000688.2"</f>
        <v>AP000688.2</v>
      </c>
      <c r="B19698" s="6" t="s">
        <v>1</v>
      </c>
      <c r="C19698" s="6" t="s">
        <v>1</v>
      </c>
    </row>
    <row r="19699" spans="1:3" s="7" customFormat="1" x14ac:dyDescent="0.2">
      <c r="A19699" s="6" t="str">
        <f>"KLRA1P"</f>
        <v>KLRA1P</v>
      </c>
      <c r="B19699" s="6" t="s">
        <v>1</v>
      </c>
      <c r="C19699" s="6" t="s">
        <v>1</v>
      </c>
    </row>
    <row r="19700" spans="1:3" s="7" customFormat="1" x14ac:dyDescent="0.2">
      <c r="A19700" s="6" t="str">
        <f>"AC007541.1"</f>
        <v>AC007541.1</v>
      </c>
      <c r="B19700" s="6" t="s">
        <v>1</v>
      </c>
      <c r="C19700" s="6" t="s">
        <v>1</v>
      </c>
    </row>
    <row r="19701" spans="1:3" s="7" customFormat="1" x14ac:dyDescent="0.2">
      <c r="A19701" s="6" t="str">
        <f>"AC009404.1"</f>
        <v>AC009404.1</v>
      </c>
      <c r="B19701" s="6" t="s">
        <v>1</v>
      </c>
      <c r="C19701" s="6" t="s">
        <v>1</v>
      </c>
    </row>
    <row r="19702" spans="1:3" s="7" customFormat="1" x14ac:dyDescent="0.2">
      <c r="A19702" s="6" t="str">
        <f>"FMO1"</f>
        <v>FMO1</v>
      </c>
      <c r="B19702" s="6" t="s">
        <v>1</v>
      </c>
      <c r="C19702" s="6" t="s">
        <v>1</v>
      </c>
    </row>
    <row r="19703" spans="1:3" s="7" customFormat="1" x14ac:dyDescent="0.2">
      <c r="A19703" s="6" t="str">
        <f>"HCAR1"</f>
        <v>HCAR1</v>
      </c>
      <c r="B19703" s="6" t="s">
        <v>1</v>
      </c>
      <c r="C19703" s="6" t="s">
        <v>1</v>
      </c>
    </row>
    <row r="19704" spans="1:3" s="7" customFormat="1" x14ac:dyDescent="0.2">
      <c r="A19704" s="6" t="str">
        <f>"KCNH2"</f>
        <v>KCNH2</v>
      </c>
      <c r="B19704" s="6" t="s">
        <v>1</v>
      </c>
      <c r="C19704" s="6" t="s">
        <v>1</v>
      </c>
    </row>
    <row r="19705" spans="1:3" s="7" customFormat="1" x14ac:dyDescent="0.2">
      <c r="A19705" s="6" t="str">
        <f>"LINC01094"</f>
        <v>LINC01094</v>
      </c>
      <c r="B19705" s="6" t="s">
        <v>1</v>
      </c>
      <c r="C19705" s="6" t="s">
        <v>1</v>
      </c>
    </row>
    <row r="19706" spans="1:3" s="7" customFormat="1" x14ac:dyDescent="0.2">
      <c r="A19706" s="6" t="str">
        <f>"RAMP2"</f>
        <v>RAMP2</v>
      </c>
      <c r="B19706" s="6" t="s">
        <v>1</v>
      </c>
      <c r="C19706" s="6" t="s">
        <v>1</v>
      </c>
    </row>
    <row r="19707" spans="1:3" s="7" customFormat="1" x14ac:dyDescent="0.2">
      <c r="A19707" s="6" t="str">
        <f>"AC015712.6"</f>
        <v>AC015712.6</v>
      </c>
      <c r="B19707" s="6" t="s">
        <v>1</v>
      </c>
      <c r="C19707" s="6" t="s">
        <v>1</v>
      </c>
    </row>
    <row r="19708" spans="1:3" s="7" customFormat="1" x14ac:dyDescent="0.2">
      <c r="A19708" s="6" t="str">
        <f>"CYP46A1"</f>
        <v>CYP46A1</v>
      </c>
      <c r="B19708" s="6" t="s">
        <v>1</v>
      </c>
      <c r="C19708" s="6" t="s">
        <v>1</v>
      </c>
    </row>
    <row r="19709" spans="1:3" s="7" customFormat="1" x14ac:dyDescent="0.2">
      <c r="A19709" s="6" t="str">
        <f>"LOXL2"</f>
        <v>LOXL2</v>
      </c>
      <c r="B19709" s="6" t="s">
        <v>1</v>
      </c>
      <c r="C19709" s="6" t="s">
        <v>1</v>
      </c>
    </row>
    <row r="19710" spans="1:3" s="7" customFormat="1" x14ac:dyDescent="0.2">
      <c r="A19710" s="6" t="str">
        <f>"AL451042.1"</f>
        <v>AL451042.1</v>
      </c>
      <c r="B19710" s="6" t="s">
        <v>1</v>
      </c>
      <c r="C19710" s="6" t="s">
        <v>1</v>
      </c>
    </row>
    <row r="19711" spans="1:3" s="7" customFormat="1" x14ac:dyDescent="0.2">
      <c r="A19711" s="6" t="str">
        <f>"AL135818.1"</f>
        <v>AL135818.1</v>
      </c>
      <c r="B19711" s="6" t="s">
        <v>1</v>
      </c>
      <c r="C19711" s="6" t="s">
        <v>1</v>
      </c>
    </row>
    <row r="19712" spans="1:3" s="7" customFormat="1" x14ac:dyDescent="0.2">
      <c r="A19712" s="6" t="str">
        <f>"FKBP14-AS1"</f>
        <v>FKBP14-AS1</v>
      </c>
      <c r="B19712" s="6" t="s">
        <v>1</v>
      </c>
      <c r="C19712" s="6" t="s">
        <v>1</v>
      </c>
    </row>
    <row r="19713" spans="1:3" s="7" customFormat="1" x14ac:dyDescent="0.2">
      <c r="A19713" s="6" t="str">
        <f>"GJC3"</f>
        <v>GJC3</v>
      </c>
      <c r="B19713" s="6" t="s">
        <v>1</v>
      </c>
      <c r="C19713" s="6" t="s">
        <v>1</v>
      </c>
    </row>
    <row r="19714" spans="1:3" s="7" customFormat="1" x14ac:dyDescent="0.2">
      <c r="A19714" s="6" t="str">
        <f>"PCOLCE-AS1"</f>
        <v>PCOLCE-AS1</v>
      </c>
      <c r="B19714" s="6" t="s">
        <v>1</v>
      </c>
      <c r="C19714" s="6" t="s">
        <v>1</v>
      </c>
    </row>
    <row r="19715" spans="1:3" s="7" customFormat="1" x14ac:dyDescent="0.2">
      <c r="A19715" s="6" t="str">
        <f>"FAM90A1"</f>
        <v>FAM90A1</v>
      </c>
      <c r="B19715" s="6" t="s">
        <v>1</v>
      </c>
      <c r="C19715" s="6" t="s">
        <v>1</v>
      </c>
    </row>
    <row r="19716" spans="1:3" s="7" customFormat="1" x14ac:dyDescent="0.2">
      <c r="A19716" s="6" t="str">
        <f>"FZD4-DT"</f>
        <v>FZD4-DT</v>
      </c>
      <c r="B19716" s="6" t="s">
        <v>1</v>
      </c>
      <c r="C19716" s="6" t="s">
        <v>1</v>
      </c>
    </row>
    <row r="19717" spans="1:3" s="7" customFormat="1" x14ac:dyDescent="0.2">
      <c r="A19717" s="6" t="str">
        <f>"AL031666.1"</f>
        <v>AL031666.1</v>
      </c>
      <c r="B19717" s="6" t="s">
        <v>1</v>
      </c>
      <c r="C19717" s="6" t="s">
        <v>1</v>
      </c>
    </row>
    <row r="19718" spans="1:3" s="7" customFormat="1" x14ac:dyDescent="0.2">
      <c r="A19718" s="6" t="str">
        <f>"MS4A1"</f>
        <v>MS4A1</v>
      </c>
      <c r="B19718" s="6" t="s">
        <v>1</v>
      </c>
      <c r="C19718" s="6" t="s">
        <v>1</v>
      </c>
    </row>
    <row r="19719" spans="1:3" s="7" customFormat="1" x14ac:dyDescent="0.2">
      <c r="A19719" s="6" t="str">
        <f>"CNTN4"</f>
        <v>CNTN4</v>
      </c>
      <c r="B19719" s="6" t="s">
        <v>1</v>
      </c>
      <c r="C19719" s="6" t="s">
        <v>1</v>
      </c>
    </row>
    <row r="19720" spans="1:3" s="7" customFormat="1" x14ac:dyDescent="0.2">
      <c r="A19720" s="6" t="str">
        <f>"NOVA1"</f>
        <v>NOVA1</v>
      </c>
      <c r="B19720" s="6" t="s">
        <v>1</v>
      </c>
      <c r="C19720" s="6" t="s">
        <v>1</v>
      </c>
    </row>
    <row r="19721" spans="1:3" s="7" customFormat="1" x14ac:dyDescent="0.2">
      <c r="A19721" s="6" t="str">
        <f>"GABRQ"</f>
        <v>GABRQ</v>
      </c>
      <c r="B19721" s="6" t="s">
        <v>1</v>
      </c>
      <c r="C19721" s="6" t="s">
        <v>1</v>
      </c>
    </row>
    <row r="19722" spans="1:3" s="7" customFormat="1" x14ac:dyDescent="0.2">
      <c r="A19722" s="6" t="str">
        <f>"RAD9B"</f>
        <v>RAD9B</v>
      </c>
      <c r="B19722" s="6" t="s">
        <v>1</v>
      </c>
      <c r="C19722" s="6" t="s">
        <v>1</v>
      </c>
    </row>
    <row r="19723" spans="1:3" s="7" customFormat="1" x14ac:dyDescent="0.2">
      <c r="A19723" s="6" t="str">
        <f>"GRIN1"</f>
        <v>GRIN1</v>
      </c>
      <c r="B19723" s="6" t="s">
        <v>1</v>
      </c>
      <c r="C19723" s="6" t="s">
        <v>1</v>
      </c>
    </row>
    <row r="19724" spans="1:3" s="7" customFormat="1" x14ac:dyDescent="0.2">
      <c r="A19724" s="6" t="str">
        <f>"SOD2-OT1"</f>
        <v>SOD2-OT1</v>
      </c>
      <c r="B19724" s="6" t="s">
        <v>1</v>
      </c>
      <c r="C19724" s="6" t="s">
        <v>1</v>
      </c>
    </row>
    <row r="19725" spans="1:3" s="7" customFormat="1" x14ac:dyDescent="0.2">
      <c r="A19725" s="6" t="str">
        <f>"MYRFL"</f>
        <v>MYRFL</v>
      </c>
      <c r="B19725" s="6" t="s">
        <v>1</v>
      </c>
      <c r="C19725" s="6" t="s">
        <v>1</v>
      </c>
    </row>
    <row r="19726" spans="1:3" s="7" customFormat="1" x14ac:dyDescent="0.2">
      <c r="A19726" s="6" t="str">
        <f>"LINC01004"</f>
        <v>LINC01004</v>
      </c>
      <c r="B19726" s="6" t="s">
        <v>1</v>
      </c>
      <c r="C19726" s="6" t="s">
        <v>1</v>
      </c>
    </row>
    <row r="19727" spans="1:3" s="7" customFormat="1" x14ac:dyDescent="0.2">
      <c r="A19727" s="6" t="str">
        <f>"PLG"</f>
        <v>PLG</v>
      </c>
      <c r="B19727" s="6" t="s">
        <v>1</v>
      </c>
      <c r="C19727" s="6" t="s">
        <v>1</v>
      </c>
    </row>
    <row r="19728" spans="1:3" s="7" customFormat="1" x14ac:dyDescent="0.2">
      <c r="A19728" s="6" t="str">
        <f>"MAB21L3"</f>
        <v>MAB21L3</v>
      </c>
      <c r="B19728" s="6" t="s">
        <v>1</v>
      </c>
      <c r="C19728" s="6" t="s">
        <v>1</v>
      </c>
    </row>
    <row r="19729" spans="1:3" s="7" customFormat="1" x14ac:dyDescent="0.2">
      <c r="A19729" s="6" t="str">
        <f>"KLHL7-DT"</f>
        <v>KLHL7-DT</v>
      </c>
      <c r="B19729" s="6" t="s">
        <v>1</v>
      </c>
      <c r="C19729" s="6" t="s">
        <v>1</v>
      </c>
    </row>
    <row r="19730" spans="1:3" s="7" customFormat="1" x14ac:dyDescent="0.2">
      <c r="A19730" s="6" t="str">
        <f>"ASPHD1"</f>
        <v>ASPHD1</v>
      </c>
      <c r="B19730" s="6" t="s">
        <v>1</v>
      </c>
      <c r="C19730" s="6" t="s">
        <v>1</v>
      </c>
    </row>
    <row r="19731" spans="1:3" s="7" customFormat="1" x14ac:dyDescent="0.2">
      <c r="A19731" s="6" t="str">
        <f>"ODC1-DT"</f>
        <v>ODC1-DT</v>
      </c>
      <c r="B19731" s="6" t="s">
        <v>1</v>
      </c>
      <c r="C19731" s="6" t="s">
        <v>1</v>
      </c>
    </row>
    <row r="19732" spans="1:3" s="7" customFormat="1" x14ac:dyDescent="0.2">
      <c r="A19732" s="6" t="str">
        <f>"LINC01060"</f>
        <v>LINC01060</v>
      </c>
      <c r="B19732" s="6" t="s">
        <v>1</v>
      </c>
      <c r="C19732" s="6" t="s">
        <v>1</v>
      </c>
    </row>
    <row r="19733" spans="1:3" s="7" customFormat="1" x14ac:dyDescent="0.2">
      <c r="A19733" s="6" t="str">
        <f>"AC245060.6"</f>
        <v>AC245060.6</v>
      </c>
      <c r="B19733" s="6" t="s">
        <v>1</v>
      </c>
      <c r="C19733" s="6" t="s">
        <v>1</v>
      </c>
    </row>
    <row r="19734" spans="1:3" s="7" customFormat="1" x14ac:dyDescent="0.2">
      <c r="A19734" s="6" t="str">
        <f>"MS4A2"</f>
        <v>MS4A2</v>
      </c>
      <c r="B19734" s="6" t="s">
        <v>1</v>
      </c>
      <c r="C19734" s="6" t="s">
        <v>1</v>
      </c>
    </row>
    <row r="19735" spans="1:3" s="7" customFormat="1" x14ac:dyDescent="0.2">
      <c r="A19735" s="6" t="str">
        <f>"PDCD1"</f>
        <v>PDCD1</v>
      </c>
      <c r="B19735" s="6" t="s">
        <v>1</v>
      </c>
      <c r="C19735" s="6" t="s">
        <v>1</v>
      </c>
    </row>
    <row r="19736" spans="1:3" s="7" customFormat="1" x14ac:dyDescent="0.2">
      <c r="A19736" s="6" t="str">
        <f>"P2RX5-TAX1BP3"</f>
        <v>P2RX5-TAX1BP3</v>
      </c>
      <c r="B19736" s="6" t="s">
        <v>1</v>
      </c>
      <c r="C19736" s="6" t="s">
        <v>1</v>
      </c>
    </row>
    <row r="19737" spans="1:3" s="7" customFormat="1" x14ac:dyDescent="0.2">
      <c r="A19737" s="6" t="str">
        <f>"PHKG1"</f>
        <v>PHKG1</v>
      </c>
      <c r="B19737" s="6" t="s">
        <v>1</v>
      </c>
      <c r="C19737" s="6" t="s">
        <v>1</v>
      </c>
    </row>
    <row r="19738" spans="1:3" s="7" customFormat="1" x14ac:dyDescent="0.2">
      <c r="A19738" s="6" t="str">
        <f>"LINC02256"</f>
        <v>LINC02256</v>
      </c>
      <c r="B19738" s="6" t="s">
        <v>1</v>
      </c>
      <c r="C19738" s="6" t="s">
        <v>1</v>
      </c>
    </row>
    <row r="19739" spans="1:3" s="7" customFormat="1" x14ac:dyDescent="0.2">
      <c r="A19739" s="6" t="str">
        <f>"TNF"</f>
        <v>TNF</v>
      </c>
      <c r="B19739" s="6" t="s">
        <v>1</v>
      </c>
      <c r="C19739" s="6" t="s">
        <v>1</v>
      </c>
    </row>
    <row r="19740" spans="1:3" s="7" customFormat="1" x14ac:dyDescent="0.2">
      <c r="A19740" s="6" t="str">
        <f>"AL512329.2"</f>
        <v>AL512329.2</v>
      </c>
      <c r="B19740" s="6" t="s">
        <v>1</v>
      </c>
      <c r="C19740" s="6" t="s">
        <v>1</v>
      </c>
    </row>
    <row r="19741" spans="1:3" s="7" customFormat="1" x14ac:dyDescent="0.2">
      <c r="A19741" s="6" t="str">
        <f>"NEBL-AS1"</f>
        <v>NEBL-AS1</v>
      </c>
      <c r="B19741" s="6" t="s">
        <v>1</v>
      </c>
      <c r="C19741" s="6" t="s">
        <v>1</v>
      </c>
    </row>
    <row r="19742" spans="1:3" s="7" customFormat="1" x14ac:dyDescent="0.2">
      <c r="A19742" s="6" t="str">
        <f>"IGF2BP3"</f>
        <v>IGF2BP3</v>
      </c>
      <c r="B19742" s="6" t="s">
        <v>1</v>
      </c>
      <c r="C19742" s="6" t="s">
        <v>1</v>
      </c>
    </row>
    <row r="19743" spans="1:3" s="7" customFormat="1" x14ac:dyDescent="0.2">
      <c r="A19743" s="6" t="str">
        <f>"EYS"</f>
        <v>EYS</v>
      </c>
      <c r="B19743" s="6" t="s">
        <v>1</v>
      </c>
      <c r="C19743" s="6" t="s">
        <v>1</v>
      </c>
    </row>
    <row r="19744" spans="1:3" s="7" customFormat="1" x14ac:dyDescent="0.2">
      <c r="A19744" s="6" t="str">
        <f>"SRL"</f>
        <v>SRL</v>
      </c>
      <c r="B19744" s="6" t="s">
        <v>1</v>
      </c>
      <c r="C19744" s="6" t="s">
        <v>1</v>
      </c>
    </row>
    <row r="19745" spans="1:3" s="7" customFormat="1" x14ac:dyDescent="0.2">
      <c r="A19745" s="6" t="str">
        <f>"GPR84"</f>
        <v>GPR84</v>
      </c>
      <c r="B19745" s="6" t="s">
        <v>1</v>
      </c>
      <c r="C19745" s="6" t="s">
        <v>1</v>
      </c>
    </row>
    <row r="19746" spans="1:3" s="7" customFormat="1" x14ac:dyDescent="0.2">
      <c r="A19746" s="6" t="str">
        <f>"AC063960.1"</f>
        <v>AC063960.1</v>
      </c>
      <c r="B19746" s="6" t="s">
        <v>1</v>
      </c>
      <c r="C19746" s="6" t="s">
        <v>1</v>
      </c>
    </row>
    <row r="19747" spans="1:3" s="7" customFormat="1" x14ac:dyDescent="0.2">
      <c r="A19747" s="6" t="str">
        <f>"TNFRSF9"</f>
        <v>TNFRSF9</v>
      </c>
      <c r="B19747" s="6" t="s">
        <v>1</v>
      </c>
      <c r="C19747" s="6" t="s">
        <v>1</v>
      </c>
    </row>
    <row r="19748" spans="1:3" s="7" customFormat="1" x14ac:dyDescent="0.2">
      <c r="A19748" s="6" t="str">
        <f>"AF064858.1"</f>
        <v>AF064858.1</v>
      </c>
      <c r="B19748" s="6" t="s">
        <v>1</v>
      </c>
      <c r="C19748" s="6" t="s">
        <v>1</v>
      </c>
    </row>
    <row r="19749" spans="1:3" s="7" customFormat="1" x14ac:dyDescent="0.2">
      <c r="A19749" s="6" t="str">
        <f>"NEB"</f>
        <v>NEB</v>
      </c>
      <c r="B19749" s="6" t="s">
        <v>1</v>
      </c>
      <c r="C19749" s="6" t="s">
        <v>1</v>
      </c>
    </row>
    <row r="19750" spans="1:3" s="7" customFormat="1" x14ac:dyDescent="0.2">
      <c r="A19750" s="6" t="str">
        <f>"MLLT11"</f>
        <v>MLLT11</v>
      </c>
      <c r="B19750" s="6" t="s">
        <v>1</v>
      </c>
      <c r="C19750" s="6" t="s">
        <v>1</v>
      </c>
    </row>
    <row r="19751" spans="1:3" s="7" customFormat="1" x14ac:dyDescent="0.2">
      <c r="A19751" s="6" t="str">
        <f>"OBSCN-AS1"</f>
        <v>OBSCN-AS1</v>
      </c>
      <c r="B19751" s="6" t="s">
        <v>1</v>
      </c>
      <c r="C19751" s="6" t="s">
        <v>1</v>
      </c>
    </row>
    <row r="19752" spans="1:3" s="7" customFormat="1" x14ac:dyDescent="0.2">
      <c r="A19752" s="6" t="str">
        <f>"AC107959.4"</f>
        <v>AC107959.4</v>
      </c>
      <c r="B19752" s="6" t="s">
        <v>1</v>
      </c>
      <c r="C19752" s="6" t="s">
        <v>1</v>
      </c>
    </row>
    <row r="19753" spans="1:3" s="7" customFormat="1" x14ac:dyDescent="0.2">
      <c r="A19753" s="6" t="str">
        <f>"AC068473.3"</f>
        <v>AC068473.3</v>
      </c>
      <c r="B19753" s="6" t="s">
        <v>1</v>
      </c>
      <c r="C19753" s="6" t="s">
        <v>1</v>
      </c>
    </row>
    <row r="19754" spans="1:3" s="7" customFormat="1" x14ac:dyDescent="0.2">
      <c r="A19754" s="6" t="str">
        <f>"AC013717.1"</f>
        <v>AC013717.1</v>
      </c>
      <c r="B19754" s="6" t="s">
        <v>1</v>
      </c>
      <c r="C19754" s="6" t="s">
        <v>1</v>
      </c>
    </row>
    <row r="19755" spans="1:3" s="7" customFormat="1" x14ac:dyDescent="0.2">
      <c r="A19755" s="6" t="str">
        <f>"AC107294.2"</f>
        <v>AC107294.2</v>
      </c>
      <c r="B19755" s="6" t="s">
        <v>1</v>
      </c>
      <c r="C19755" s="6" t="s">
        <v>1</v>
      </c>
    </row>
    <row r="19756" spans="1:3" s="7" customFormat="1" x14ac:dyDescent="0.2">
      <c r="A19756" s="6" t="str">
        <f>"MIR646HG"</f>
        <v>MIR646HG</v>
      </c>
      <c r="B19756" s="6" t="s">
        <v>1</v>
      </c>
      <c r="C19756" s="6" t="s">
        <v>1</v>
      </c>
    </row>
    <row r="19757" spans="1:3" s="7" customFormat="1" x14ac:dyDescent="0.2">
      <c r="A19757" s="6" t="str">
        <f>"RPL41P2"</f>
        <v>RPL41P2</v>
      </c>
      <c r="B19757" s="6" t="s">
        <v>1</v>
      </c>
      <c r="C19757" s="6" t="s">
        <v>1</v>
      </c>
    </row>
    <row r="19758" spans="1:3" s="7" customFormat="1" x14ac:dyDescent="0.2">
      <c r="A19758" s="6" t="str">
        <f>"AP000781.2"</f>
        <v>AP000781.2</v>
      </c>
      <c r="B19758" s="6" t="s">
        <v>1</v>
      </c>
      <c r="C19758" s="6" t="s">
        <v>1</v>
      </c>
    </row>
    <row r="19759" spans="1:3" s="7" customFormat="1" x14ac:dyDescent="0.2">
      <c r="A19759" s="6" t="str">
        <f>"AC093582.1"</f>
        <v>AC093582.1</v>
      </c>
      <c r="B19759" s="6" t="s">
        <v>1</v>
      </c>
      <c r="C19759" s="6" t="s">
        <v>1</v>
      </c>
    </row>
    <row r="19760" spans="1:3" s="7" customFormat="1" x14ac:dyDescent="0.2">
      <c r="A19760" s="6" t="str">
        <f>"GPR82"</f>
        <v>GPR82</v>
      </c>
      <c r="B19760" s="6" t="s">
        <v>1</v>
      </c>
      <c r="C19760" s="6" t="s">
        <v>1</v>
      </c>
    </row>
    <row r="19761" spans="1:3" s="7" customFormat="1" x14ac:dyDescent="0.2">
      <c r="A19761" s="6" t="str">
        <f>"AC127502.1"</f>
        <v>AC127502.1</v>
      </c>
      <c r="B19761" s="6" t="s">
        <v>1</v>
      </c>
      <c r="C19761" s="6" t="s">
        <v>1</v>
      </c>
    </row>
    <row r="19762" spans="1:3" s="7" customFormat="1" x14ac:dyDescent="0.2">
      <c r="A19762" s="6" t="str">
        <f>"OCLNP1"</f>
        <v>OCLNP1</v>
      </c>
      <c r="B19762" s="6" t="s">
        <v>1</v>
      </c>
      <c r="C19762" s="6" t="s">
        <v>1</v>
      </c>
    </row>
    <row r="19763" spans="1:3" s="7" customFormat="1" x14ac:dyDescent="0.2">
      <c r="A19763" s="6" t="str">
        <f>"CRYAB"</f>
        <v>CRYAB</v>
      </c>
      <c r="B19763" s="6" t="s">
        <v>1</v>
      </c>
      <c r="C19763" s="6" t="s">
        <v>1</v>
      </c>
    </row>
    <row r="19764" spans="1:3" s="7" customFormat="1" x14ac:dyDescent="0.2">
      <c r="A19764" s="6" t="str">
        <f>"AC084018.2"</f>
        <v>AC084018.2</v>
      </c>
      <c r="B19764" s="6" t="s">
        <v>1</v>
      </c>
      <c r="C19764" s="6" t="s">
        <v>1</v>
      </c>
    </row>
    <row r="19765" spans="1:3" s="7" customFormat="1" x14ac:dyDescent="0.2">
      <c r="A19765" s="6" t="str">
        <f>"AC013394.1"</f>
        <v>AC013394.1</v>
      </c>
      <c r="B19765" s="6" t="s">
        <v>1</v>
      </c>
      <c r="C19765" s="6" t="s">
        <v>1</v>
      </c>
    </row>
    <row r="19766" spans="1:3" s="7" customFormat="1" x14ac:dyDescent="0.2">
      <c r="A19766" s="6" t="str">
        <f>"LDHC"</f>
        <v>LDHC</v>
      </c>
      <c r="B19766" s="6" t="s">
        <v>1</v>
      </c>
      <c r="C19766" s="6" t="s">
        <v>1</v>
      </c>
    </row>
    <row r="19767" spans="1:3" s="7" customFormat="1" x14ac:dyDescent="0.2">
      <c r="A19767" s="6" t="str">
        <f>"MYO7B"</f>
        <v>MYO7B</v>
      </c>
      <c r="B19767" s="6" t="s">
        <v>1</v>
      </c>
      <c r="C19767" s="6" t="s">
        <v>1</v>
      </c>
    </row>
    <row r="19768" spans="1:3" s="7" customFormat="1" x14ac:dyDescent="0.2">
      <c r="A19768" s="6" t="str">
        <f>"LEF1-AS1"</f>
        <v>LEF1-AS1</v>
      </c>
      <c r="B19768" s="6" t="s">
        <v>1</v>
      </c>
      <c r="C19768" s="6" t="s">
        <v>1</v>
      </c>
    </row>
    <row r="19769" spans="1:3" s="7" customFormat="1" x14ac:dyDescent="0.2">
      <c r="A19769" s="6" t="str">
        <f>"TGM5"</f>
        <v>TGM5</v>
      </c>
      <c r="B19769" s="6" t="s">
        <v>1</v>
      </c>
      <c r="C19769" s="6" t="s">
        <v>1</v>
      </c>
    </row>
    <row r="19770" spans="1:3" s="7" customFormat="1" x14ac:dyDescent="0.2">
      <c r="A19770" s="6" t="str">
        <f>"AC004870.2"</f>
        <v>AC004870.2</v>
      </c>
      <c r="B19770" s="6" t="s">
        <v>1</v>
      </c>
      <c r="C19770" s="6" t="s">
        <v>1</v>
      </c>
    </row>
    <row r="19771" spans="1:3" s="7" customFormat="1" x14ac:dyDescent="0.2">
      <c r="A19771" s="6" t="str">
        <f>"HCG14"</f>
        <v>HCG14</v>
      </c>
      <c r="B19771" s="6" t="s">
        <v>1</v>
      </c>
      <c r="C19771" s="6" t="s">
        <v>1</v>
      </c>
    </row>
    <row r="19772" spans="1:3" s="7" customFormat="1" x14ac:dyDescent="0.2">
      <c r="A19772" s="6" t="str">
        <f>"AC132872.4"</f>
        <v>AC132872.4</v>
      </c>
      <c r="B19772" s="6" t="s">
        <v>1</v>
      </c>
      <c r="C19772" s="6" t="s">
        <v>1</v>
      </c>
    </row>
    <row r="19773" spans="1:3" s="7" customFormat="1" x14ac:dyDescent="0.2">
      <c r="A19773" s="6" t="str">
        <f>"LINC01127"</f>
        <v>LINC01127</v>
      </c>
      <c r="B19773" s="6" t="s">
        <v>1</v>
      </c>
      <c r="C19773" s="6" t="s">
        <v>1</v>
      </c>
    </row>
    <row r="19774" spans="1:3" s="7" customFormat="1" x14ac:dyDescent="0.2">
      <c r="A19774" s="6" t="str">
        <f>"TTYH1"</f>
        <v>TTYH1</v>
      </c>
      <c r="B19774" s="6" t="s">
        <v>1</v>
      </c>
      <c r="C19774" s="6" t="s">
        <v>1</v>
      </c>
    </row>
    <row r="19775" spans="1:3" s="7" customFormat="1" x14ac:dyDescent="0.2">
      <c r="A19775" s="6" t="str">
        <f>"AP000873.2"</f>
        <v>AP000873.2</v>
      </c>
      <c r="B19775" s="6" t="s">
        <v>1</v>
      </c>
      <c r="C19775" s="6" t="s">
        <v>1</v>
      </c>
    </row>
    <row r="19776" spans="1:3" s="7" customFormat="1" x14ac:dyDescent="0.2">
      <c r="A19776" s="6" t="str">
        <f>"NOX5"</f>
        <v>NOX5</v>
      </c>
      <c r="B19776" s="6" t="s">
        <v>1</v>
      </c>
      <c r="C19776" s="6" t="s">
        <v>1</v>
      </c>
    </row>
    <row r="19777" spans="1:3" s="7" customFormat="1" x14ac:dyDescent="0.2">
      <c r="A19777" s="6" t="str">
        <f>"GALNT17"</f>
        <v>GALNT17</v>
      </c>
      <c r="B19777" s="6" t="s">
        <v>1</v>
      </c>
      <c r="C19777" s="6" t="s">
        <v>1</v>
      </c>
    </row>
    <row r="19778" spans="1:3" s="7" customFormat="1" x14ac:dyDescent="0.2">
      <c r="A19778" s="6" t="str">
        <f>"AC007384.1"</f>
        <v>AC007384.1</v>
      </c>
      <c r="B19778" s="6" t="s">
        <v>1</v>
      </c>
      <c r="C19778" s="6" t="s">
        <v>1</v>
      </c>
    </row>
    <row r="19779" spans="1:3" s="7" customFormat="1" x14ac:dyDescent="0.2">
      <c r="A19779" s="6" t="str">
        <f>"CHST13"</f>
        <v>CHST13</v>
      </c>
      <c r="B19779" s="6" t="s">
        <v>1</v>
      </c>
      <c r="C19779" s="6" t="s">
        <v>1</v>
      </c>
    </row>
    <row r="19780" spans="1:3" s="7" customFormat="1" x14ac:dyDescent="0.2">
      <c r="A19780" s="6" t="str">
        <f>"WNT11"</f>
        <v>WNT11</v>
      </c>
      <c r="B19780" s="6" t="s">
        <v>1</v>
      </c>
      <c r="C19780" s="6" t="s">
        <v>1</v>
      </c>
    </row>
    <row r="19781" spans="1:3" s="7" customFormat="1" x14ac:dyDescent="0.2">
      <c r="A19781" s="6" t="str">
        <f>"CHST5"</f>
        <v>CHST5</v>
      </c>
      <c r="B19781" s="6" t="s">
        <v>1</v>
      </c>
      <c r="C19781" s="6" t="s">
        <v>1</v>
      </c>
    </row>
    <row r="19782" spans="1:3" s="7" customFormat="1" x14ac:dyDescent="0.2">
      <c r="A19782" s="6" t="str">
        <f>"C2CD4D"</f>
        <v>C2CD4D</v>
      </c>
      <c r="B19782" s="6" t="s">
        <v>1</v>
      </c>
      <c r="C19782" s="6" t="s">
        <v>1</v>
      </c>
    </row>
    <row r="19783" spans="1:3" s="7" customFormat="1" x14ac:dyDescent="0.2">
      <c r="A19783" s="6" t="str">
        <f>"CRISP3"</f>
        <v>CRISP3</v>
      </c>
      <c r="B19783" s="6" t="s">
        <v>1</v>
      </c>
      <c r="C19783" s="6" t="s">
        <v>1</v>
      </c>
    </row>
    <row r="19784" spans="1:3" s="7" customFormat="1" x14ac:dyDescent="0.2">
      <c r="A19784" s="6" t="str">
        <f>"PTPN20"</f>
        <v>PTPN20</v>
      </c>
      <c r="B19784" s="6" t="s">
        <v>1</v>
      </c>
      <c r="C19784" s="6" t="s">
        <v>1</v>
      </c>
    </row>
    <row r="19785" spans="1:3" s="7" customFormat="1" x14ac:dyDescent="0.2">
      <c r="A19785" s="6" t="str">
        <f>"EMSLR"</f>
        <v>EMSLR</v>
      </c>
      <c r="B19785" s="6" t="s">
        <v>1</v>
      </c>
      <c r="C19785" s="6" t="s">
        <v>1</v>
      </c>
    </row>
    <row r="19786" spans="1:3" s="7" customFormat="1" x14ac:dyDescent="0.2">
      <c r="A19786" s="6" t="str">
        <f>"AL512356.3"</f>
        <v>AL512356.3</v>
      </c>
      <c r="B19786" s="6" t="s">
        <v>1</v>
      </c>
      <c r="C19786" s="6" t="s">
        <v>1</v>
      </c>
    </row>
    <row r="19787" spans="1:3" s="7" customFormat="1" x14ac:dyDescent="0.2">
      <c r="A19787" s="6" t="str">
        <f>"CHRFAM7A"</f>
        <v>CHRFAM7A</v>
      </c>
      <c r="B19787" s="6" t="s">
        <v>1</v>
      </c>
      <c r="C19787" s="6" t="s">
        <v>1</v>
      </c>
    </row>
    <row r="19788" spans="1:3" s="7" customFormat="1" x14ac:dyDescent="0.2">
      <c r="A19788" s="6" t="str">
        <f>"AC007546.3"</f>
        <v>AC007546.3</v>
      </c>
      <c r="B19788" s="6" t="s">
        <v>1</v>
      </c>
      <c r="C19788" s="6" t="s">
        <v>1</v>
      </c>
    </row>
    <row r="19789" spans="1:3" s="7" customFormat="1" x14ac:dyDescent="0.2">
      <c r="A19789" s="6" t="str">
        <f>"AL023806.1"</f>
        <v>AL023806.1</v>
      </c>
      <c r="B19789" s="6" t="s">
        <v>1</v>
      </c>
      <c r="C19789" s="6" t="s">
        <v>1</v>
      </c>
    </row>
    <row r="19790" spans="1:3" s="7" customFormat="1" x14ac:dyDescent="0.2">
      <c r="A19790" s="6" t="str">
        <f>"AL353743.2"</f>
        <v>AL353743.2</v>
      </c>
      <c r="B19790" s="6" t="s">
        <v>1</v>
      </c>
      <c r="C19790" s="6" t="s">
        <v>1</v>
      </c>
    </row>
    <row r="19791" spans="1:3" s="7" customFormat="1" x14ac:dyDescent="0.2">
      <c r="A19791" s="6" t="str">
        <f>"KCNIP3"</f>
        <v>KCNIP3</v>
      </c>
      <c r="B19791" s="6" t="s">
        <v>1</v>
      </c>
      <c r="C19791" s="6" t="s">
        <v>1</v>
      </c>
    </row>
    <row r="19792" spans="1:3" s="7" customFormat="1" x14ac:dyDescent="0.2">
      <c r="A19792" s="6" t="str">
        <f>"AL023803.2"</f>
        <v>AL023803.2</v>
      </c>
      <c r="B19792" s="6" t="s">
        <v>1</v>
      </c>
      <c r="C19792" s="6" t="s">
        <v>1</v>
      </c>
    </row>
    <row r="19793" spans="1:3" s="7" customFormat="1" x14ac:dyDescent="0.2">
      <c r="A19793" s="6" t="str">
        <f>"WNK3"</f>
        <v>WNK3</v>
      </c>
      <c r="B19793" s="6" t="s">
        <v>1</v>
      </c>
      <c r="C19793" s="6" t="s">
        <v>1</v>
      </c>
    </row>
    <row r="19794" spans="1:3" s="7" customFormat="1" x14ac:dyDescent="0.2">
      <c r="A19794" s="6" t="str">
        <f>"AC108134.1"</f>
        <v>AC108134.1</v>
      </c>
      <c r="B19794" s="6" t="s">
        <v>1</v>
      </c>
      <c r="C19794" s="6" t="s">
        <v>1</v>
      </c>
    </row>
    <row r="19795" spans="1:3" s="7" customFormat="1" x14ac:dyDescent="0.2">
      <c r="A19795" s="6" t="str">
        <f>"AP000766.1"</f>
        <v>AP000766.1</v>
      </c>
      <c r="B19795" s="6" t="s">
        <v>1</v>
      </c>
      <c r="C19795" s="6" t="s">
        <v>1</v>
      </c>
    </row>
    <row r="19796" spans="1:3" s="7" customFormat="1" x14ac:dyDescent="0.2">
      <c r="A19796" s="6" t="str">
        <f>"LINC02298"</f>
        <v>LINC02298</v>
      </c>
      <c r="B19796" s="6" t="s">
        <v>1</v>
      </c>
      <c r="C19796" s="6" t="s">
        <v>1</v>
      </c>
    </row>
    <row r="19797" spans="1:3" s="7" customFormat="1" x14ac:dyDescent="0.2">
      <c r="A19797" s="6" t="str">
        <f>"MIR4280HG"</f>
        <v>MIR4280HG</v>
      </c>
      <c r="B19797" s="6" t="s">
        <v>1</v>
      </c>
      <c r="C19797" s="6" t="s">
        <v>1</v>
      </c>
    </row>
    <row r="19798" spans="1:3" s="7" customFormat="1" x14ac:dyDescent="0.2">
      <c r="A19798" s="6" t="str">
        <f>"AC130456.5"</f>
        <v>AC130456.5</v>
      </c>
      <c r="B19798" s="6" t="s">
        <v>1</v>
      </c>
      <c r="C19798" s="6" t="s">
        <v>1</v>
      </c>
    </row>
    <row r="19799" spans="1:3" s="7" customFormat="1" x14ac:dyDescent="0.2">
      <c r="A19799" s="6" t="str">
        <f>"HCG25"</f>
        <v>HCG25</v>
      </c>
      <c r="B19799" s="6" t="s">
        <v>1</v>
      </c>
      <c r="C19799" s="6" t="s">
        <v>1</v>
      </c>
    </row>
    <row r="19800" spans="1:3" s="7" customFormat="1" x14ac:dyDescent="0.2">
      <c r="A19800" s="6" t="str">
        <f>"B4GALNT2"</f>
        <v>B4GALNT2</v>
      </c>
      <c r="B19800" s="6" t="s">
        <v>1</v>
      </c>
      <c r="C19800" s="6" t="s">
        <v>1</v>
      </c>
    </row>
    <row r="19801" spans="1:3" s="7" customFormat="1" x14ac:dyDescent="0.2">
      <c r="A19801" s="6" t="str">
        <f>"AC068338.3"</f>
        <v>AC068338.3</v>
      </c>
      <c r="B19801" s="6" t="s">
        <v>1</v>
      </c>
      <c r="C19801" s="6" t="s">
        <v>1</v>
      </c>
    </row>
    <row r="19802" spans="1:3" s="7" customFormat="1" x14ac:dyDescent="0.2">
      <c r="A19802" s="6" t="str">
        <f>"HCG27"</f>
        <v>HCG27</v>
      </c>
      <c r="B19802" s="6" t="s">
        <v>1</v>
      </c>
      <c r="C19802" s="6" t="s">
        <v>1</v>
      </c>
    </row>
    <row r="19803" spans="1:3" s="7" customFormat="1" x14ac:dyDescent="0.2">
      <c r="A19803" s="6" t="str">
        <f>"C2orf27A"</f>
        <v>C2orf27A</v>
      </c>
      <c r="B19803" s="6" t="s">
        <v>1</v>
      </c>
      <c r="C19803" s="6" t="s">
        <v>1</v>
      </c>
    </row>
    <row r="19804" spans="1:3" s="7" customFormat="1" x14ac:dyDescent="0.2">
      <c r="A19804" s="6" t="str">
        <f>"EEF1A1P13"</f>
        <v>EEF1A1P13</v>
      </c>
      <c r="B19804" s="6" t="s">
        <v>1</v>
      </c>
      <c r="C19804" s="6" t="s">
        <v>1</v>
      </c>
    </row>
    <row r="19805" spans="1:3" s="7" customFormat="1" x14ac:dyDescent="0.2">
      <c r="A19805" s="6" t="str">
        <f>"EMID1"</f>
        <v>EMID1</v>
      </c>
      <c r="B19805" s="6" t="s">
        <v>1</v>
      </c>
      <c r="C19805" s="6" t="s">
        <v>1</v>
      </c>
    </row>
    <row r="19806" spans="1:3" s="7" customFormat="1" x14ac:dyDescent="0.2">
      <c r="A19806" s="6" t="str">
        <f>"SRPK3"</f>
        <v>SRPK3</v>
      </c>
      <c r="B19806" s="6" t="s">
        <v>1</v>
      </c>
      <c r="C19806" s="6" t="s">
        <v>1</v>
      </c>
    </row>
    <row r="19807" spans="1:3" s="7" customFormat="1" x14ac:dyDescent="0.2">
      <c r="A19807" s="6" t="str">
        <f>"CNR2"</f>
        <v>CNR2</v>
      </c>
      <c r="B19807" s="6" t="s">
        <v>1</v>
      </c>
      <c r="C19807" s="6" t="s">
        <v>1</v>
      </c>
    </row>
    <row r="19808" spans="1:3" s="7" customFormat="1" x14ac:dyDescent="0.2">
      <c r="A19808" s="6" t="str">
        <f>"IGHA2"</f>
        <v>IGHA2</v>
      </c>
      <c r="B19808" s="6" t="s">
        <v>1</v>
      </c>
      <c r="C19808" s="6" t="s">
        <v>1</v>
      </c>
    </row>
    <row r="19809" spans="1:3" s="7" customFormat="1" x14ac:dyDescent="0.2">
      <c r="A19809" s="6" t="str">
        <f>"ALDOB"</f>
        <v>ALDOB</v>
      </c>
      <c r="B19809" s="6" t="s">
        <v>1</v>
      </c>
      <c r="C19809" s="6" t="s">
        <v>1</v>
      </c>
    </row>
    <row r="19810" spans="1:3" s="7" customFormat="1" x14ac:dyDescent="0.2">
      <c r="A19810" s="6" t="str">
        <f>"CYP2C8"</f>
        <v>CYP2C8</v>
      </c>
      <c r="B19810" s="6" t="s">
        <v>1</v>
      </c>
      <c r="C19810" s="6" t="s">
        <v>1</v>
      </c>
    </row>
    <row r="19811" spans="1:3" s="7" customFormat="1" x14ac:dyDescent="0.2">
      <c r="A19811" s="6" t="str">
        <f>"AL354714.1"</f>
        <v>AL354714.1</v>
      </c>
      <c r="B19811" s="6" t="s">
        <v>1</v>
      </c>
      <c r="C19811" s="6" t="s">
        <v>1</v>
      </c>
    </row>
    <row r="19812" spans="1:3" s="7" customFormat="1" x14ac:dyDescent="0.2">
      <c r="A19812" s="6" t="str">
        <f>"AC066580.1"</f>
        <v>AC066580.1</v>
      </c>
      <c r="B19812" s="6" t="s">
        <v>1</v>
      </c>
      <c r="C19812" s="6" t="s">
        <v>1</v>
      </c>
    </row>
    <row r="19813" spans="1:3" s="7" customFormat="1" x14ac:dyDescent="0.2">
      <c r="A19813" s="6" t="str">
        <f>"HAPLN4"</f>
        <v>HAPLN4</v>
      </c>
      <c r="B19813" s="6" t="s">
        <v>1</v>
      </c>
      <c r="C19813" s="6" t="s">
        <v>1</v>
      </c>
    </row>
    <row r="19814" spans="1:3" s="7" customFormat="1" x14ac:dyDescent="0.2">
      <c r="A19814" s="6" t="str">
        <f>"CHRM4"</f>
        <v>CHRM4</v>
      </c>
      <c r="B19814" s="6" t="s">
        <v>1</v>
      </c>
      <c r="C19814" s="6" t="s">
        <v>1</v>
      </c>
    </row>
    <row r="19815" spans="1:3" s="7" customFormat="1" x14ac:dyDescent="0.2">
      <c r="A19815" s="6" t="str">
        <f>"NDUFV2P1"</f>
        <v>NDUFV2P1</v>
      </c>
      <c r="B19815" s="6" t="s">
        <v>1</v>
      </c>
      <c r="C19815" s="6" t="s">
        <v>1</v>
      </c>
    </row>
    <row r="19816" spans="1:3" s="7" customFormat="1" x14ac:dyDescent="0.2">
      <c r="A19816" s="6" t="str">
        <f>"AC087477.2"</f>
        <v>AC087477.2</v>
      </c>
      <c r="B19816" s="6" t="s">
        <v>1</v>
      </c>
      <c r="C19816" s="6" t="s">
        <v>1</v>
      </c>
    </row>
    <row r="19817" spans="1:3" s="7" customFormat="1" x14ac:dyDescent="0.2">
      <c r="A19817" s="6" t="str">
        <f>"MYLPF"</f>
        <v>MYLPF</v>
      </c>
      <c r="B19817" s="6" t="s">
        <v>1</v>
      </c>
      <c r="C19817" s="6" t="s">
        <v>1</v>
      </c>
    </row>
    <row r="19818" spans="1:3" s="7" customFormat="1" x14ac:dyDescent="0.2">
      <c r="A19818" s="6" t="str">
        <f>"HABP2"</f>
        <v>HABP2</v>
      </c>
      <c r="B19818" s="6" t="s">
        <v>1</v>
      </c>
      <c r="C19818" s="6" t="s">
        <v>1</v>
      </c>
    </row>
    <row r="19819" spans="1:3" s="7" customFormat="1" x14ac:dyDescent="0.2">
      <c r="A19819" s="6" t="str">
        <f>"AL450326.1"</f>
        <v>AL450326.1</v>
      </c>
      <c r="B19819" s="6" t="s">
        <v>1</v>
      </c>
      <c r="C19819" s="6" t="s">
        <v>1</v>
      </c>
    </row>
    <row r="19820" spans="1:3" s="7" customFormat="1" x14ac:dyDescent="0.2">
      <c r="A19820" s="6" t="str">
        <f>"GPRIN2"</f>
        <v>GPRIN2</v>
      </c>
      <c r="B19820" s="6" t="s">
        <v>1</v>
      </c>
      <c r="C19820" s="6" t="s">
        <v>1</v>
      </c>
    </row>
    <row r="19821" spans="1:3" s="7" customFormat="1" x14ac:dyDescent="0.2">
      <c r="A19821" s="6" t="str">
        <f>"TFR2"</f>
        <v>TFR2</v>
      </c>
      <c r="B19821" s="6" t="s">
        <v>1</v>
      </c>
      <c r="C19821" s="6" t="s">
        <v>1</v>
      </c>
    </row>
    <row r="19822" spans="1:3" s="7" customFormat="1" x14ac:dyDescent="0.2">
      <c r="A19822" s="6" t="str">
        <f>"TMEM132B"</f>
        <v>TMEM132B</v>
      </c>
      <c r="B19822" s="6" t="s">
        <v>1</v>
      </c>
      <c r="C19822" s="6" t="s">
        <v>1</v>
      </c>
    </row>
    <row r="19823" spans="1:3" s="7" customFormat="1" x14ac:dyDescent="0.2">
      <c r="A19823" s="6" t="str">
        <f>"AC067750.1"</f>
        <v>AC067750.1</v>
      </c>
      <c r="B19823" s="6" t="s">
        <v>1</v>
      </c>
      <c r="C19823" s="6" t="s">
        <v>1</v>
      </c>
    </row>
    <row r="19824" spans="1:3" s="7" customFormat="1" x14ac:dyDescent="0.2">
      <c r="A19824" s="6" t="str">
        <f>"CDKN3"</f>
        <v>CDKN3</v>
      </c>
      <c r="B19824" s="6" t="s">
        <v>1</v>
      </c>
      <c r="C19824" s="6" t="s">
        <v>1</v>
      </c>
    </row>
    <row r="19825" spans="1:3" s="7" customFormat="1" x14ac:dyDescent="0.2">
      <c r="A19825" s="6" t="str">
        <f>"AC107081.3"</f>
        <v>AC107081.3</v>
      </c>
      <c r="B19825" s="6" t="s">
        <v>1</v>
      </c>
      <c r="C19825" s="6" t="s">
        <v>1</v>
      </c>
    </row>
    <row r="19826" spans="1:3" s="7" customFormat="1" x14ac:dyDescent="0.2">
      <c r="A19826" s="6" t="str">
        <f>"KLHDC7B-DT"</f>
        <v>KLHDC7B-DT</v>
      </c>
      <c r="B19826" s="6" t="s">
        <v>1</v>
      </c>
      <c r="C19826" s="6" t="s">
        <v>1</v>
      </c>
    </row>
    <row r="19827" spans="1:3" s="7" customFormat="1" x14ac:dyDescent="0.2">
      <c r="A19827" s="6" t="str">
        <f>"TRG-AS1"</f>
        <v>TRG-AS1</v>
      </c>
      <c r="B19827" s="6" t="s">
        <v>1</v>
      </c>
      <c r="C19827" s="6" t="s">
        <v>1</v>
      </c>
    </row>
    <row r="19828" spans="1:3" s="7" customFormat="1" x14ac:dyDescent="0.2">
      <c r="A19828" s="6" t="str">
        <f>"KCNAB3"</f>
        <v>KCNAB3</v>
      </c>
      <c r="B19828" s="6" t="s">
        <v>1</v>
      </c>
      <c r="C19828" s="6" t="s">
        <v>1</v>
      </c>
    </row>
    <row r="19829" spans="1:3" s="7" customFormat="1" x14ac:dyDescent="0.2">
      <c r="A19829" s="6" t="str">
        <f>"AC130304.1"</f>
        <v>AC130304.1</v>
      </c>
      <c r="B19829" s="6" t="s">
        <v>1</v>
      </c>
      <c r="C19829" s="6" t="s">
        <v>1</v>
      </c>
    </row>
    <row r="19830" spans="1:3" s="7" customFormat="1" x14ac:dyDescent="0.2">
      <c r="A19830" s="6" t="str">
        <f>"HNRNPA1P27"</f>
        <v>HNRNPA1P27</v>
      </c>
      <c r="B19830" s="6" t="s">
        <v>1</v>
      </c>
      <c r="C19830" s="6" t="s">
        <v>1</v>
      </c>
    </row>
    <row r="19831" spans="1:3" s="7" customFormat="1" x14ac:dyDescent="0.2">
      <c r="A19831" s="6" t="str">
        <f>"AC108134.3"</f>
        <v>AC108134.3</v>
      </c>
      <c r="B19831" s="6" t="s">
        <v>1</v>
      </c>
      <c r="C19831" s="6" t="s">
        <v>1</v>
      </c>
    </row>
    <row r="19832" spans="1:3" s="7" customFormat="1" x14ac:dyDescent="0.2">
      <c r="A19832" s="6" t="str">
        <f>"EDAR"</f>
        <v>EDAR</v>
      </c>
      <c r="B19832" s="6" t="s">
        <v>1</v>
      </c>
      <c r="C19832" s="6" t="s">
        <v>1</v>
      </c>
    </row>
    <row r="19833" spans="1:3" s="7" customFormat="1" x14ac:dyDescent="0.2">
      <c r="A19833" s="6" t="str">
        <f>"KBTBD12"</f>
        <v>KBTBD12</v>
      </c>
      <c r="B19833" s="6" t="s">
        <v>1</v>
      </c>
      <c r="C19833" s="6" t="s">
        <v>1</v>
      </c>
    </row>
    <row r="19834" spans="1:3" s="7" customFormat="1" x14ac:dyDescent="0.2">
      <c r="A19834" s="6" t="str">
        <f>"KBTBD8"</f>
        <v>KBTBD8</v>
      </c>
      <c r="B19834" s="6" t="s">
        <v>1</v>
      </c>
      <c r="C19834" s="6" t="s">
        <v>1</v>
      </c>
    </row>
    <row r="19835" spans="1:3" s="7" customFormat="1" x14ac:dyDescent="0.2">
      <c r="A19835" s="6" t="str">
        <f>"GREB1"</f>
        <v>GREB1</v>
      </c>
      <c r="B19835" s="6" t="s">
        <v>1</v>
      </c>
      <c r="C19835" s="6" t="s">
        <v>1</v>
      </c>
    </row>
    <row r="19836" spans="1:3" s="7" customFormat="1" x14ac:dyDescent="0.2">
      <c r="A19836" s="6" t="str">
        <f>"AL354836.1"</f>
        <v>AL354836.1</v>
      </c>
      <c r="B19836" s="6" t="s">
        <v>1</v>
      </c>
      <c r="C19836" s="6" t="s">
        <v>1</v>
      </c>
    </row>
    <row r="19837" spans="1:3" s="7" customFormat="1" x14ac:dyDescent="0.2">
      <c r="A19837" s="6" t="str">
        <f>"AC108471.2"</f>
        <v>AC108471.2</v>
      </c>
      <c r="B19837" s="6" t="s">
        <v>1</v>
      </c>
      <c r="C19837" s="6" t="s">
        <v>1</v>
      </c>
    </row>
    <row r="19838" spans="1:3" s="7" customFormat="1" x14ac:dyDescent="0.2">
      <c r="A19838" s="6" t="str">
        <f>"AL133331.1"</f>
        <v>AL133331.1</v>
      </c>
      <c r="B19838" s="6" t="s">
        <v>1</v>
      </c>
      <c r="C19838" s="6" t="s">
        <v>1</v>
      </c>
    </row>
    <row r="19839" spans="1:3" s="7" customFormat="1" x14ac:dyDescent="0.2">
      <c r="A19839" s="6" t="str">
        <f>"ALOX12"</f>
        <v>ALOX12</v>
      </c>
      <c r="B19839" s="6" t="s">
        <v>1</v>
      </c>
      <c r="C19839" s="6" t="s">
        <v>1</v>
      </c>
    </row>
    <row r="19840" spans="1:3" s="7" customFormat="1" x14ac:dyDescent="0.2">
      <c r="A19840" s="6" t="str">
        <f>"AC093904.2"</f>
        <v>AC093904.2</v>
      </c>
      <c r="B19840" s="6" t="s">
        <v>1</v>
      </c>
      <c r="C19840" s="6" t="s">
        <v>1</v>
      </c>
    </row>
    <row r="19841" spans="1:3" s="7" customFormat="1" x14ac:dyDescent="0.2">
      <c r="A19841" s="6" t="str">
        <f>"SLC26A8"</f>
        <v>SLC26A8</v>
      </c>
      <c r="B19841" s="6" t="s">
        <v>1</v>
      </c>
      <c r="C19841" s="6" t="s">
        <v>1</v>
      </c>
    </row>
    <row r="19842" spans="1:3" s="7" customFormat="1" x14ac:dyDescent="0.2">
      <c r="A19842" s="6" t="str">
        <f>"AL136038.4"</f>
        <v>AL136038.4</v>
      </c>
      <c r="B19842" s="6" t="s">
        <v>1</v>
      </c>
      <c r="C19842" s="6" t="s">
        <v>1</v>
      </c>
    </row>
    <row r="19843" spans="1:3" s="7" customFormat="1" x14ac:dyDescent="0.2">
      <c r="A19843" s="6" t="str">
        <f>"HAS1"</f>
        <v>HAS1</v>
      </c>
      <c r="B19843" s="6" t="s">
        <v>1</v>
      </c>
      <c r="C19843" s="6" t="s">
        <v>1</v>
      </c>
    </row>
    <row r="19844" spans="1:3" s="7" customFormat="1" x14ac:dyDescent="0.2">
      <c r="A19844" s="6" t="str">
        <f>"CDRT15P6"</f>
        <v>CDRT15P6</v>
      </c>
      <c r="B19844" s="6" t="s">
        <v>1</v>
      </c>
      <c r="C19844" s="6" t="s">
        <v>1</v>
      </c>
    </row>
    <row r="19845" spans="1:3" s="7" customFormat="1" x14ac:dyDescent="0.2">
      <c r="A19845" s="6" t="str">
        <f>"CHRNA5"</f>
        <v>CHRNA5</v>
      </c>
      <c r="B19845" s="6" t="s">
        <v>1</v>
      </c>
      <c r="C19845" s="6" t="s">
        <v>1</v>
      </c>
    </row>
    <row r="19846" spans="1:3" s="7" customFormat="1" x14ac:dyDescent="0.2">
      <c r="A19846" s="6" t="str">
        <f>"LINC01224"</f>
        <v>LINC01224</v>
      </c>
      <c r="B19846" s="6" t="s">
        <v>1</v>
      </c>
      <c r="C19846" s="6" t="s">
        <v>1</v>
      </c>
    </row>
    <row r="19847" spans="1:3" s="7" customFormat="1" x14ac:dyDescent="0.2">
      <c r="A19847" s="6" t="str">
        <f>"MIR3142HG"</f>
        <v>MIR3142HG</v>
      </c>
      <c r="B19847" s="6" t="s">
        <v>1</v>
      </c>
      <c r="C19847" s="6" t="s">
        <v>1</v>
      </c>
    </row>
    <row r="19848" spans="1:3" s="7" customFormat="1" x14ac:dyDescent="0.2">
      <c r="A19848" s="6" t="str">
        <f>"AC004825.2"</f>
        <v>AC004825.2</v>
      </c>
      <c r="B19848" s="6" t="s">
        <v>1</v>
      </c>
      <c r="C19848" s="6" t="s">
        <v>1</v>
      </c>
    </row>
    <row r="19849" spans="1:3" s="7" customFormat="1" x14ac:dyDescent="0.2">
      <c r="A19849" s="6" t="str">
        <f>"ECEL1P2"</f>
        <v>ECEL1P2</v>
      </c>
      <c r="B19849" s="6" t="s">
        <v>1</v>
      </c>
      <c r="C19849" s="6" t="s">
        <v>1</v>
      </c>
    </row>
    <row r="19850" spans="1:3" s="7" customFormat="1" x14ac:dyDescent="0.2">
      <c r="A19850" s="6" t="str">
        <f>"MCM3AP-AS1"</f>
        <v>MCM3AP-AS1</v>
      </c>
      <c r="B19850" s="6" t="s">
        <v>1</v>
      </c>
      <c r="C19850" s="6" t="s">
        <v>1</v>
      </c>
    </row>
    <row r="19851" spans="1:3" s="7" customFormat="1" x14ac:dyDescent="0.2">
      <c r="A19851" s="6" t="str">
        <f>"BRICD5"</f>
        <v>BRICD5</v>
      </c>
      <c r="B19851" s="6" t="s">
        <v>1</v>
      </c>
      <c r="C19851" s="6" t="s">
        <v>1</v>
      </c>
    </row>
    <row r="19852" spans="1:3" s="7" customFormat="1" x14ac:dyDescent="0.2">
      <c r="A19852" s="6" t="str">
        <f>"AC084880.1"</f>
        <v>AC084880.1</v>
      </c>
      <c r="B19852" s="6" t="s">
        <v>1</v>
      </c>
      <c r="C19852" s="6" t="s">
        <v>1</v>
      </c>
    </row>
    <row r="19853" spans="1:3" s="7" customFormat="1" x14ac:dyDescent="0.2">
      <c r="A19853" s="6" t="str">
        <f>"IGFL2-AS1"</f>
        <v>IGFL2-AS1</v>
      </c>
      <c r="B19853" s="6" t="s">
        <v>1</v>
      </c>
      <c r="C19853" s="6" t="s">
        <v>1</v>
      </c>
    </row>
    <row r="19854" spans="1:3" s="7" customFormat="1" x14ac:dyDescent="0.2">
      <c r="A19854" s="6" t="str">
        <f>"ENPP1"</f>
        <v>ENPP1</v>
      </c>
      <c r="B19854" s="6" t="s">
        <v>1</v>
      </c>
      <c r="C19854" s="6" t="s">
        <v>1</v>
      </c>
    </row>
    <row r="19855" spans="1:3" s="7" customFormat="1" x14ac:dyDescent="0.2">
      <c r="A19855" s="6" t="str">
        <f>"DNAJC27-AS1"</f>
        <v>DNAJC27-AS1</v>
      </c>
      <c r="B19855" s="6" t="s">
        <v>1</v>
      </c>
      <c r="C19855" s="6" t="s">
        <v>1</v>
      </c>
    </row>
    <row r="19856" spans="1:3" s="7" customFormat="1" x14ac:dyDescent="0.2">
      <c r="A19856" s="6" t="str">
        <f>"DOCK3"</f>
        <v>DOCK3</v>
      </c>
      <c r="B19856" s="6" t="s">
        <v>1</v>
      </c>
      <c r="C19856" s="6" t="s">
        <v>1</v>
      </c>
    </row>
    <row r="19857" spans="1:3" s="7" customFormat="1" x14ac:dyDescent="0.2">
      <c r="A19857" s="6" t="str">
        <f>"CYP26B1"</f>
        <v>CYP26B1</v>
      </c>
      <c r="B19857" s="6" t="s">
        <v>1</v>
      </c>
      <c r="C19857" s="6" t="s">
        <v>1</v>
      </c>
    </row>
    <row r="19858" spans="1:3" s="7" customFormat="1" x14ac:dyDescent="0.2">
      <c r="A19858" s="6" t="str">
        <f>"STXBP5-AS1"</f>
        <v>STXBP5-AS1</v>
      </c>
      <c r="B19858" s="6" t="s">
        <v>1</v>
      </c>
      <c r="C19858" s="6" t="s">
        <v>1</v>
      </c>
    </row>
    <row r="19859" spans="1:3" s="7" customFormat="1" x14ac:dyDescent="0.2">
      <c r="A19859" s="6" t="str">
        <f>"AC015656.1"</f>
        <v>AC015656.1</v>
      </c>
      <c r="B19859" s="6" t="s">
        <v>1</v>
      </c>
      <c r="C19859" s="6" t="s">
        <v>1</v>
      </c>
    </row>
    <row r="19860" spans="1:3" s="7" customFormat="1" x14ac:dyDescent="0.2">
      <c r="A19860" s="6" t="str">
        <f>"AC009283.1"</f>
        <v>AC009283.1</v>
      </c>
      <c r="B19860" s="6" t="s">
        <v>1</v>
      </c>
      <c r="C19860" s="6" t="s">
        <v>1</v>
      </c>
    </row>
    <row r="19861" spans="1:3" s="7" customFormat="1" x14ac:dyDescent="0.2">
      <c r="A19861" s="6" t="str">
        <f>"PROCR"</f>
        <v>PROCR</v>
      </c>
      <c r="B19861" s="6" t="s">
        <v>1</v>
      </c>
      <c r="C19861" s="6" t="s">
        <v>1</v>
      </c>
    </row>
    <row r="19862" spans="1:3" s="7" customFormat="1" x14ac:dyDescent="0.2">
      <c r="A19862" s="6" t="str">
        <f>"AL031283.1"</f>
        <v>AL031283.1</v>
      </c>
      <c r="B19862" s="6" t="s">
        <v>1</v>
      </c>
      <c r="C19862" s="6" t="s">
        <v>1</v>
      </c>
    </row>
    <row r="19863" spans="1:3" s="7" customFormat="1" x14ac:dyDescent="0.2">
      <c r="A19863" s="6" t="str">
        <f>"AC084125.2"</f>
        <v>AC084125.2</v>
      </c>
      <c r="B19863" s="6" t="s">
        <v>1</v>
      </c>
      <c r="C19863" s="6" t="s">
        <v>1</v>
      </c>
    </row>
    <row r="19864" spans="1:3" s="7" customFormat="1" x14ac:dyDescent="0.2">
      <c r="A19864" s="6" t="str">
        <f>"LINC01134"</f>
        <v>LINC01134</v>
      </c>
      <c r="B19864" s="6" t="s">
        <v>1</v>
      </c>
      <c r="C19864" s="6" t="s">
        <v>1</v>
      </c>
    </row>
    <row r="19865" spans="1:3" s="7" customFormat="1" x14ac:dyDescent="0.2">
      <c r="A19865" s="6" t="str">
        <f>"RNF157"</f>
        <v>RNF157</v>
      </c>
      <c r="B19865" s="6" t="s">
        <v>1</v>
      </c>
      <c r="C19865" s="6" t="s">
        <v>1</v>
      </c>
    </row>
    <row r="19866" spans="1:3" s="7" customFormat="1" x14ac:dyDescent="0.2">
      <c r="A19866" s="6" t="str">
        <f>"FLJ31356"</f>
        <v>FLJ31356</v>
      </c>
      <c r="B19866" s="6" t="s">
        <v>1</v>
      </c>
      <c r="C19866" s="6" t="s">
        <v>1</v>
      </c>
    </row>
    <row r="19867" spans="1:3" s="7" customFormat="1" x14ac:dyDescent="0.2">
      <c r="A19867" s="6" t="str">
        <f>"B4GALNT4"</f>
        <v>B4GALNT4</v>
      </c>
      <c r="B19867" s="6" t="s">
        <v>1</v>
      </c>
      <c r="C19867" s="6" t="s">
        <v>1</v>
      </c>
    </row>
    <row r="19868" spans="1:3" s="7" customFormat="1" x14ac:dyDescent="0.2">
      <c r="A19868" s="6" t="str">
        <f>"PRLR"</f>
        <v>PRLR</v>
      </c>
      <c r="B19868" s="6" t="s">
        <v>1</v>
      </c>
      <c r="C19868" s="6" t="s">
        <v>1</v>
      </c>
    </row>
    <row r="19869" spans="1:3" s="7" customFormat="1" x14ac:dyDescent="0.2">
      <c r="A19869" s="6" t="str">
        <f>"NUS1P2"</f>
        <v>NUS1P2</v>
      </c>
      <c r="B19869" s="6" t="s">
        <v>1</v>
      </c>
      <c r="C19869" s="6" t="s">
        <v>1</v>
      </c>
    </row>
    <row r="19870" spans="1:3" s="7" customFormat="1" x14ac:dyDescent="0.2">
      <c r="A19870" s="6" t="str">
        <f>"AC012435.2"</f>
        <v>AC012435.2</v>
      </c>
      <c r="B19870" s="6" t="s">
        <v>1</v>
      </c>
      <c r="C19870" s="6" t="s">
        <v>1</v>
      </c>
    </row>
    <row r="19871" spans="1:3" s="7" customFormat="1" x14ac:dyDescent="0.2">
      <c r="A19871" s="6" t="str">
        <f>"AC245060.5"</f>
        <v>AC245060.5</v>
      </c>
      <c r="B19871" s="6" t="s">
        <v>1</v>
      </c>
      <c r="C19871" s="6" t="s">
        <v>1</v>
      </c>
    </row>
    <row r="19872" spans="1:3" s="7" customFormat="1" x14ac:dyDescent="0.2">
      <c r="A19872" s="6" t="str">
        <f>"LEMD1"</f>
        <v>LEMD1</v>
      </c>
      <c r="B19872" s="6" t="s">
        <v>1</v>
      </c>
      <c r="C19872" s="6" t="s">
        <v>1</v>
      </c>
    </row>
    <row r="19873" spans="1:3" s="7" customFormat="1" x14ac:dyDescent="0.2">
      <c r="A19873" s="6" t="str">
        <f>"KCNJ18"</f>
        <v>KCNJ18</v>
      </c>
      <c r="B19873" s="6" t="s">
        <v>1</v>
      </c>
      <c r="C19873" s="6" t="s">
        <v>1</v>
      </c>
    </row>
    <row r="19874" spans="1:3" s="7" customFormat="1" x14ac:dyDescent="0.2">
      <c r="A19874" s="6" t="str">
        <f>"BASP1-AS1"</f>
        <v>BASP1-AS1</v>
      </c>
      <c r="B19874" s="6" t="s">
        <v>1</v>
      </c>
      <c r="C19874" s="6" t="s">
        <v>1</v>
      </c>
    </row>
    <row r="19875" spans="1:3" s="7" customFormat="1" x14ac:dyDescent="0.2">
      <c r="A19875" s="6" t="str">
        <f>"KLHL31"</f>
        <v>KLHL31</v>
      </c>
      <c r="B19875" s="6" t="s">
        <v>1</v>
      </c>
      <c r="C19875" s="6" t="s">
        <v>1</v>
      </c>
    </row>
    <row r="19876" spans="1:3" s="7" customFormat="1" x14ac:dyDescent="0.2">
      <c r="A19876" s="6" t="str">
        <f>"WNT3"</f>
        <v>WNT3</v>
      </c>
      <c r="B19876" s="6" t="s">
        <v>1</v>
      </c>
      <c r="C19876" s="6" t="s">
        <v>1</v>
      </c>
    </row>
    <row r="19877" spans="1:3" s="7" customFormat="1" x14ac:dyDescent="0.2">
      <c r="A19877" s="6" t="str">
        <f>"ALG1L13P"</f>
        <v>ALG1L13P</v>
      </c>
      <c r="B19877" s="6" t="s">
        <v>1</v>
      </c>
      <c r="C19877" s="6" t="s">
        <v>1</v>
      </c>
    </row>
    <row r="19878" spans="1:3" s="7" customFormat="1" x14ac:dyDescent="0.2">
      <c r="A19878" s="6" t="str">
        <f>"FLJ13224"</f>
        <v>FLJ13224</v>
      </c>
      <c r="B19878" s="6" t="s">
        <v>1</v>
      </c>
      <c r="C19878" s="6" t="s">
        <v>1</v>
      </c>
    </row>
    <row r="19879" spans="1:3" s="7" customFormat="1" x14ac:dyDescent="0.2">
      <c r="A19879" s="6" t="str">
        <f>"OXGR1"</f>
        <v>OXGR1</v>
      </c>
      <c r="B19879" s="6" t="s">
        <v>1</v>
      </c>
      <c r="C19879" s="6" t="s">
        <v>1</v>
      </c>
    </row>
    <row r="19880" spans="1:3" s="7" customFormat="1" x14ac:dyDescent="0.2">
      <c r="A19880" s="6" t="str">
        <f>"AC130371.2"</f>
        <v>AC130371.2</v>
      </c>
      <c r="B19880" s="6" t="s">
        <v>1</v>
      </c>
      <c r="C19880" s="6" t="s">
        <v>1</v>
      </c>
    </row>
    <row r="19881" spans="1:3" s="7" customFormat="1" x14ac:dyDescent="0.2">
      <c r="A19881" s="6" t="str">
        <f>"AC007485.2"</f>
        <v>AC007485.2</v>
      </c>
      <c r="B19881" s="6" t="s">
        <v>1</v>
      </c>
      <c r="C19881" s="6" t="s">
        <v>1</v>
      </c>
    </row>
    <row r="19882" spans="1:3" s="7" customFormat="1" x14ac:dyDescent="0.2">
      <c r="A19882" s="6" t="str">
        <f>"TRGC2"</f>
        <v>TRGC2</v>
      </c>
      <c r="B19882" s="6" t="s">
        <v>1</v>
      </c>
      <c r="C19882" s="6" t="s">
        <v>1</v>
      </c>
    </row>
    <row r="19883" spans="1:3" s="7" customFormat="1" x14ac:dyDescent="0.2">
      <c r="A19883" s="6" t="str">
        <f>"MYLK-AS1"</f>
        <v>MYLK-AS1</v>
      </c>
      <c r="B19883" s="6" t="s">
        <v>1</v>
      </c>
      <c r="C19883" s="6" t="s">
        <v>1</v>
      </c>
    </row>
    <row r="19884" spans="1:3" s="7" customFormat="1" x14ac:dyDescent="0.2">
      <c r="A19884" s="6" t="str">
        <f>"CASKIN1"</f>
        <v>CASKIN1</v>
      </c>
      <c r="B19884" s="6" t="s">
        <v>1</v>
      </c>
      <c r="C19884" s="6" t="s">
        <v>1</v>
      </c>
    </row>
    <row r="19885" spans="1:3" s="7" customFormat="1" x14ac:dyDescent="0.2">
      <c r="A19885" s="6" t="str">
        <f>"LGALS2"</f>
        <v>LGALS2</v>
      </c>
      <c r="B19885" s="6" t="s">
        <v>1</v>
      </c>
      <c r="C19885" s="6" t="s">
        <v>1</v>
      </c>
    </row>
    <row r="19886" spans="1:3" s="7" customFormat="1" x14ac:dyDescent="0.2">
      <c r="A19886" s="6" t="str">
        <f>"AL442125.1"</f>
        <v>AL442125.1</v>
      </c>
      <c r="B19886" s="6" t="s">
        <v>1</v>
      </c>
      <c r="C19886" s="6" t="s">
        <v>1</v>
      </c>
    </row>
    <row r="19887" spans="1:3" s="7" customFormat="1" x14ac:dyDescent="0.2">
      <c r="A19887" s="6" t="str">
        <f>"AC107918.4"</f>
        <v>AC107918.4</v>
      </c>
      <c r="B19887" s="6" t="s">
        <v>1</v>
      </c>
      <c r="C19887" s="6" t="s">
        <v>1</v>
      </c>
    </row>
    <row r="19888" spans="1:3" s="7" customFormat="1" x14ac:dyDescent="0.2">
      <c r="A19888" s="6" t="str">
        <f>"C21orf62"</f>
        <v>C21orf62</v>
      </c>
      <c r="B19888" s="6" t="s">
        <v>1</v>
      </c>
      <c r="C19888" s="6" t="s">
        <v>1</v>
      </c>
    </row>
    <row r="19889" spans="1:3" s="7" customFormat="1" x14ac:dyDescent="0.2">
      <c r="A19889" s="6" t="str">
        <f>"LGSN"</f>
        <v>LGSN</v>
      </c>
      <c r="B19889" s="6" t="s">
        <v>1</v>
      </c>
      <c r="C19889" s="6" t="s">
        <v>1</v>
      </c>
    </row>
    <row r="19890" spans="1:3" s="7" customFormat="1" x14ac:dyDescent="0.2">
      <c r="A19890" s="6" t="str">
        <f>"AC108488.2"</f>
        <v>AC108488.2</v>
      </c>
      <c r="B19890" s="6" t="s">
        <v>1</v>
      </c>
      <c r="C19890" s="6" t="s">
        <v>1</v>
      </c>
    </row>
    <row r="19891" spans="1:3" s="7" customFormat="1" x14ac:dyDescent="0.2">
      <c r="A19891" s="6" t="str">
        <f>"AC064836.2"</f>
        <v>AC064836.2</v>
      </c>
      <c r="B19891" s="6" t="s">
        <v>1</v>
      </c>
      <c r="C19891" s="6" t="s">
        <v>1</v>
      </c>
    </row>
    <row r="19892" spans="1:3" s="7" customFormat="1" x14ac:dyDescent="0.2">
      <c r="A19892" s="6" t="str">
        <f>"GRAP"</f>
        <v>GRAP</v>
      </c>
      <c r="B19892" s="6" t="s">
        <v>1</v>
      </c>
      <c r="C19892" s="6" t="s">
        <v>1</v>
      </c>
    </row>
    <row r="19893" spans="1:3" s="7" customFormat="1" x14ac:dyDescent="0.2">
      <c r="A19893" s="6" t="str">
        <f>"AL353763.2"</f>
        <v>AL353763.2</v>
      </c>
      <c r="B19893" s="6" t="s">
        <v>1</v>
      </c>
      <c r="C19893" s="6" t="s">
        <v>1</v>
      </c>
    </row>
    <row r="19894" spans="1:3" s="7" customFormat="1" x14ac:dyDescent="0.2">
      <c r="A19894" s="6" t="str">
        <f>"CYP27B1"</f>
        <v>CYP27B1</v>
      </c>
      <c r="B19894" s="6" t="s">
        <v>1</v>
      </c>
      <c r="C19894" s="6" t="s">
        <v>1</v>
      </c>
    </row>
    <row r="19895" spans="1:3" s="7" customFormat="1" x14ac:dyDescent="0.2">
      <c r="A19895" s="6" t="str">
        <f>"LINC01220"</f>
        <v>LINC01220</v>
      </c>
      <c r="B19895" s="6" t="s">
        <v>1</v>
      </c>
      <c r="C19895" s="6" t="s">
        <v>1</v>
      </c>
    </row>
    <row r="19896" spans="1:3" s="7" customFormat="1" x14ac:dyDescent="0.2">
      <c r="A19896" s="6" t="str">
        <f>"LHFPL6"</f>
        <v>LHFPL6</v>
      </c>
      <c r="B19896" s="6" t="s">
        <v>1</v>
      </c>
      <c r="C19896" s="6" t="s">
        <v>1</v>
      </c>
    </row>
    <row r="19897" spans="1:3" s="7" customFormat="1" x14ac:dyDescent="0.2">
      <c r="A19897" s="6" t="str">
        <f>"FLRT2"</f>
        <v>FLRT2</v>
      </c>
      <c r="B19897" s="6" t="s">
        <v>1</v>
      </c>
      <c r="C19897" s="6" t="s">
        <v>1</v>
      </c>
    </row>
    <row r="19898" spans="1:3" s="7" customFormat="1" x14ac:dyDescent="0.2">
      <c r="A19898" s="6" t="str">
        <f>"GALNT16"</f>
        <v>GALNT16</v>
      </c>
      <c r="B19898" s="6" t="s">
        <v>1</v>
      </c>
      <c r="C19898" s="6" t="s">
        <v>1</v>
      </c>
    </row>
    <row r="19899" spans="1:3" s="7" customFormat="1" x14ac:dyDescent="0.2">
      <c r="A19899" s="6" t="str">
        <f>"AC093677.2"</f>
        <v>AC093677.2</v>
      </c>
      <c r="B19899" s="6" t="s">
        <v>1</v>
      </c>
      <c r="C19899" s="6" t="s">
        <v>1</v>
      </c>
    </row>
    <row r="19900" spans="1:3" s="7" customFormat="1" x14ac:dyDescent="0.2">
      <c r="A19900" s="6" t="str">
        <f>"LINC02300"</f>
        <v>LINC02300</v>
      </c>
      <c r="B19900" s="6" t="s">
        <v>1</v>
      </c>
      <c r="C19900" s="6" t="s">
        <v>1</v>
      </c>
    </row>
    <row r="19901" spans="1:3" s="7" customFormat="1" x14ac:dyDescent="0.2">
      <c r="A19901" s="6" t="str">
        <f>"AC022098.1"</f>
        <v>AC022098.1</v>
      </c>
      <c r="B19901" s="6" t="s">
        <v>1</v>
      </c>
      <c r="C19901" s="6" t="s">
        <v>1</v>
      </c>
    </row>
    <row r="19902" spans="1:3" s="7" customFormat="1" x14ac:dyDescent="0.2">
      <c r="A19902" s="6" t="str">
        <f>"MYT1L"</f>
        <v>MYT1L</v>
      </c>
      <c r="B19902" s="6" t="s">
        <v>1</v>
      </c>
      <c r="C19902" s="6" t="s">
        <v>1</v>
      </c>
    </row>
    <row r="19903" spans="1:3" s="7" customFormat="1" x14ac:dyDescent="0.2">
      <c r="A19903" s="6" t="str">
        <f>"AC244033.2"</f>
        <v>AC244033.2</v>
      </c>
      <c r="B19903" s="6" t="s">
        <v>1</v>
      </c>
      <c r="C19903" s="6" t="s">
        <v>1</v>
      </c>
    </row>
    <row r="19904" spans="1:3" s="7" customFormat="1" x14ac:dyDescent="0.2">
      <c r="A19904" s="6" t="str">
        <f>"AC131212.3"</f>
        <v>AC131212.3</v>
      </c>
      <c r="B19904" s="6" t="s">
        <v>1</v>
      </c>
      <c r="C19904" s="6" t="s">
        <v>1</v>
      </c>
    </row>
    <row r="19905" spans="1:3" s="7" customFormat="1" x14ac:dyDescent="0.2">
      <c r="A19905" s="6" t="str">
        <f>"DND1P1"</f>
        <v>DND1P1</v>
      </c>
      <c r="B19905" s="6" t="s">
        <v>1</v>
      </c>
      <c r="C19905" s="6" t="s">
        <v>1</v>
      </c>
    </row>
    <row r="19906" spans="1:3" s="7" customFormat="1" x14ac:dyDescent="0.2">
      <c r="A19906" s="6" t="str">
        <f>"AL354754.1"</f>
        <v>AL354754.1</v>
      </c>
      <c r="B19906" s="6" t="s">
        <v>1</v>
      </c>
      <c r="C19906" s="6" t="s">
        <v>1</v>
      </c>
    </row>
    <row r="19907" spans="1:3" s="7" customFormat="1" x14ac:dyDescent="0.2">
      <c r="A19907" s="6" t="str">
        <f>"TRHDE"</f>
        <v>TRHDE</v>
      </c>
      <c r="B19907" s="6" t="s">
        <v>1</v>
      </c>
      <c r="C19907" s="6" t="s">
        <v>1</v>
      </c>
    </row>
    <row r="19908" spans="1:3" s="7" customFormat="1" x14ac:dyDescent="0.2">
      <c r="A19908" s="6" t="str">
        <f>"CAPNS2"</f>
        <v>CAPNS2</v>
      </c>
      <c r="B19908" s="6" t="s">
        <v>1</v>
      </c>
      <c r="C19908" s="6" t="s">
        <v>1</v>
      </c>
    </row>
    <row r="19909" spans="1:3" s="7" customFormat="1" x14ac:dyDescent="0.2">
      <c r="A19909" s="6" t="str">
        <f>"AC022506.2"</f>
        <v>AC022506.2</v>
      </c>
      <c r="B19909" s="6" t="s">
        <v>1</v>
      </c>
      <c r="C19909" s="6" t="s">
        <v>1</v>
      </c>
    </row>
    <row r="19910" spans="1:3" s="7" customFormat="1" x14ac:dyDescent="0.2">
      <c r="A19910" s="6" t="str">
        <f>"AC012513.3"</f>
        <v>AC012513.3</v>
      </c>
      <c r="B19910" s="6" t="s">
        <v>1</v>
      </c>
      <c r="C19910" s="6" t="s">
        <v>1</v>
      </c>
    </row>
    <row r="19911" spans="1:3" s="7" customFormat="1" x14ac:dyDescent="0.2">
      <c r="A19911" s="6" t="str">
        <f>"HNRNPA1P54"</f>
        <v>HNRNPA1P54</v>
      </c>
      <c r="B19911" s="6" t="s">
        <v>1</v>
      </c>
      <c r="C19911" s="6" t="s">
        <v>1</v>
      </c>
    </row>
    <row r="19912" spans="1:3" s="7" customFormat="1" x14ac:dyDescent="0.2">
      <c r="A19912" s="6" t="str">
        <f>"MS4A4A"</f>
        <v>MS4A4A</v>
      </c>
      <c r="B19912" s="6" t="s">
        <v>1</v>
      </c>
      <c r="C19912" s="6" t="s">
        <v>1</v>
      </c>
    </row>
    <row r="19913" spans="1:3" s="7" customFormat="1" x14ac:dyDescent="0.2">
      <c r="A19913" s="6" t="str">
        <f>"LERFS"</f>
        <v>LERFS</v>
      </c>
      <c r="B19913" s="6" t="s">
        <v>1</v>
      </c>
      <c r="C19913" s="6" t="s">
        <v>1</v>
      </c>
    </row>
    <row r="19914" spans="1:3" s="7" customFormat="1" x14ac:dyDescent="0.2">
      <c r="A19914" s="6" t="str">
        <f>"TBC1D3B"</f>
        <v>TBC1D3B</v>
      </c>
      <c r="B19914" s="6" t="s">
        <v>1</v>
      </c>
      <c r="C19914" s="6" t="s">
        <v>1</v>
      </c>
    </row>
    <row r="19915" spans="1:3" s="7" customFormat="1" x14ac:dyDescent="0.2">
      <c r="A19915" s="6" t="str">
        <f>"FLJ31104"</f>
        <v>FLJ31104</v>
      </c>
      <c r="B19915" s="6" t="s">
        <v>1</v>
      </c>
      <c r="C19915" s="6" t="s">
        <v>1</v>
      </c>
    </row>
    <row r="19916" spans="1:3" s="7" customFormat="1" x14ac:dyDescent="0.2">
      <c r="A19916" s="6" t="str">
        <f>"RAD54L"</f>
        <v>RAD54L</v>
      </c>
      <c r="B19916" s="6" t="s">
        <v>1</v>
      </c>
      <c r="C19916" s="6" t="s">
        <v>1</v>
      </c>
    </row>
    <row r="19917" spans="1:3" s="7" customFormat="1" x14ac:dyDescent="0.2">
      <c r="A19917" s="6" t="str">
        <f>"TNFAIP8L2"</f>
        <v>TNFAIP8L2</v>
      </c>
      <c r="B19917" s="6" t="s">
        <v>1</v>
      </c>
      <c r="C19917" s="6" t="s">
        <v>1</v>
      </c>
    </row>
    <row r="19918" spans="1:3" s="7" customFormat="1" x14ac:dyDescent="0.2">
      <c r="A19918" s="6" t="str">
        <f>"MYOT"</f>
        <v>MYOT</v>
      </c>
      <c r="B19918" s="6" t="s">
        <v>1</v>
      </c>
      <c r="C19918" s="6" t="s">
        <v>1</v>
      </c>
    </row>
    <row r="19919" spans="1:3" s="7" customFormat="1" x14ac:dyDescent="0.2">
      <c r="A19919" s="6" t="str">
        <f>"AC130888.1"</f>
        <v>AC130888.1</v>
      </c>
      <c r="B19919" s="6" t="s">
        <v>1</v>
      </c>
      <c r="C19919" s="6" t="s">
        <v>1</v>
      </c>
    </row>
    <row r="19920" spans="1:3" s="7" customFormat="1" x14ac:dyDescent="0.2">
      <c r="A19920" s="6" t="str">
        <f>"C3orf35"</f>
        <v>C3orf35</v>
      </c>
      <c r="B19920" s="6" t="s">
        <v>1</v>
      </c>
      <c r="C19920" s="6" t="s">
        <v>1</v>
      </c>
    </row>
    <row r="19921" spans="1:3" s="7" customFormat="1" x14ac:dyDescent="0.2">
      <c r="A19921" s="6" t="str">
        <f>"ADH1B"</f>
        <v>ADH1B</v>
      </c>
      <c r="B19921" s="6" t="s">
        <v>1</v>
      </c>
      <c r="C19921" s="6" t="s">
        <v>1</v>
      </c>
    </row>
    <row r="19922" spans="1:3" s="7" customFormat="1" x14ac:dyDescent="0.2">
      <c r="A19922" s="6" t="str">
        <f>"GAD1"</f>
        <v>GAD1</v>
      </c>
      <c r="B19922" s="6" t="s">
        <v>1</v>
      </c>
      <c r="C19922" s="6" t="s">
        <v>1</v>
      </c>
    </row>
    <row r="19923" spans="1:3" s="7" customFormat="1" x14ac:dyDescent="0.2">
      <c r="A19923" s="6" t="str">
        <f>"ZBTB8B"</f>
        <v>ZBTB8B</v>
      </c>
      <c r="B19923" s="6" t="s">
        <v>1</v>
      </c>
      <c r="C19923" s="6" t="s">
        <v>1</v>
      </c>
    </row>
    <row r="19924" spans="1:3" s="7" customFormat="1" x14ac:dyDescent="0.2">
      <c r="A19924" s="6" t="str">
        <f>"CARMIL3"</f>
        <v>CARMIL3</v>
      </c>
      <c r="B19924" s="6" t="s">
        <v>1</v>
      </c>
      <c r="C19924" s="6" t="s">
        <v>1</v>
      </c>
    </row>
    <row r="19925" spans="1:3" s="7" customFormat="1" x14ac:dyDescent="0.2">
      <c r="A19925" s="6" t="str">
        <f>"TTC39C-AS1"</f>
        <v>TTC39C-AS1</v>
      </c>
      <c r="B19925" s="6" t="s">
        <v>1</v>
      </c>
      <c r="C19925" s="6" t="s">
        <v>1</v>
      </c>
    </row>
    <row r="19926" spans="1:3" s="7" customFormat="1" x14ac:dyDescent="0.2">
      <c r="A19926" s="6" t="str">
        <f>"SHLD3"</f>
        <v>SHLD3</v>
      </c>
      <c r="B19926" s="6" t="s">
        <v>1</v>
      </c>
      <c r="C19926" s="6" t="s">
        <v>1</v>
      </c>
    </row>
    <row r="19927" spans="1:3" s="7" customFormat="1" x14ac:dyDescent="0.2">
      <c r="A19927" s="6" t="str">
        <f>"CYP2A7"</f>
        <v>CYP2A7</v>
      </c>
      <c r="B19927" s="6" t="s">
        <v>1</v>
      </c>
      <c r="C19927" s="6" t="s">
        <v>1</v>
      </c>
    </row>
    <row r="19928" spans="1:3" s="7" customFormat="1" x14ac:dyDescent="0.2">
      <c r="A19928" s="6" t="str">
        <f>"TBC1D3D"</f>
        <v>TBC1D3D</v>
      </c>
      <c r="B19928" s="6" t="s">
        <v>1</v>
      </c>
      <c r="C19928" s="6" t="s">
        <v>1</v>
      </c>
    </row>
    <row r="19929" spans="1:3" s="7" customFormat="1" x14ac:dyDescent="0.2">
      <c r="A19929" s="6" t="str">
        <f>"NXPH4"</f>
        <v>NXPH4</v>
      </c>
      <c r="B19929" s="6" t="s">
        <v>1</v>
      </c>
      <c r="C19929" s="6" t="s">
        <v>1</v>
      </c>
    </row>
    <row r="19930" spans="1:3" s="7" customFormat="1" x14ac:dyDescent="0.2">
      <c r="A19930" s="6" t="str">
        <f>"HCG4"</f>
        <v>HCG4</v>
      </c>
      <c r="B19930" s="6" t="s">
        <v>1</v>
      </c>
      <c r="C19930" s="6" t="s">
        <v>1</v>
      </c>
    </row>
    <row r="19931" spans="1:3" s="7" customFormat="1" x14ac:dyDescent="0.2">
      <c r="A19931" s="6" t="str">
        <f>"AC013652.1"</f>
        <v>AC013652.1</v>
      </c>
      <c r="B19931" s="6" t="s">
        <v>1</v>
      </c>
      <c r="C19931" s="6" t="s">
        <v>1</v>
      </c>
    </row>
    <row r="19932" spans="1:3" s="7" customFormat="1" x14ac:dyDescent="0.2">
      <c r="A19932" s="6" t="str">
        <f>"P2RY10"</f>
        <v>P2RY10</v>
      </c>
      <c r="B19932" s="6" t="s">
        <v>1</v>
      </c>
      <c r="C19932" s="6" t="s">
        <v>1</v>
      </c>
    </row>
    <row r="19933" spans="1:3" s="7" customFormat="1" x14ac:dyDescent="0.2">
      <c r="A19933" s="6" t="str">
        <f>"GPR68"</f>
        <v>GPR68</v>
      </c>
      <c r="B19933" s="6" t="s">
        <v>1</v>
      </c>
      <c r="C19933" s="6" t="s">
        <v>1</v>
      </c>
    </row>
    <row r="19934" spans="1:3" s="7" customFormat="1" x14ac:dyDescent="0.2">
      <c r="A19934" s="6" t="str">
        <f>"AP000704.1"</f>
        <v>AP000704.1</v>
      </c>
      <c r="B19934" s="6" t="s">
        <v>1</v>
      </c>
      <c r="C19934" s="6" t="s">
        <v>1</v>
      </c>
    </row>
    <row r="19935" spans="1:3" s="7" customFormat="1" x14ac:dyDescent="0.2">
      <c r="A19935" s="6" t="str">
        <f>"ASMTL-AS1"</f>
        <v>ASMTL-AS1</v>
      </c>
      <c r="B19935" s="6" t="s">
        <v>1</v>
      </c>
      <c r="C19935" s="6" t="s">
        <v>1</v>
      </c>
    </row>
    <row r="19936" spans="1:3" s="7" customFormat="1" x14ac:dyDescent="0.2">
      <c r="A19936" s="6" t="str">
        <f>"AL135926.2"</f>
        <v>AL135926.2</v>
      </c>
      <c r="B19936" s="6" t="s">
        <v>1</v>
      </c>
      <c r="C19936" s="6" t="s">
        <v>1</v>
      </c>
    </row>
    <row r="19937" spans="1:3" s="7" customFormat="1" x14ac:dyDescent="0.2">
      <c r="A19937" s="6" t="str">
        <f>"IGFBP6"</f>
        <v>IGFBP6</v>
      </c>
      <c r="B19937" s="6" t="s">
        <v>1</v>
      </c>
      <c r="C19937" s="6" t="s">
        <v>1</v>
      </c>
    </row>
    <row r="19938" spans="1:3" s="7" customFormat="1" x14ac:dyDescent="0.2">
      <c r="A19938" s="6" t="str">
        <f>"AC009962.1"</f>
        <v>AC009962.1</v>
      </c>
      <c r="B19938" s="6" t="s">
        <v>1</v>
      </c>
      <c r="C19938" s="6" t="s">
        <v>1</v>
      </c>
    </row>
    <row r="19939" spans="1:3" s="7" customFormat="1" x14ac:dyDescent="0.2">
      <c r="A19939" s="6" t="str">
        <f>"TMEM158"</f>
        <v>TMEM158</v>
      </c>
      <c r="B19939" s="6" t="s">
        <v>1</v>
      </c>
      <c r="C19939" s="6" t="s">
        <v>1</v>
      </c>
    </row>
    <row r="19940" spans="1:3" s="7" customFormat="1" x14ac:dyDescent="0.2">
      <c r="A19940" s="6" t="str">
        <f>"AC009879.3"</f>
        <v>AC009879.3</v>
      </c>
      <c r="B19940" s="6" t="s">
        <v>1</v>
      </c>
      <c r="C19940" s="6" t="s">
        <v>1</v>
      </c>
    </row>
    <row r="19941" spans="1:3" s="7" customFormat="1" x14ac:dyDescent="0.2">
      <c r="A19941" s="6" t="str">
        <f>"S1PR3"</f>
        <v>S1PR3</v>
      </c>
      <c r="B19941" s="6" t="s">
        <v>1</v>
      </c>
      <c r="C19941" s="6" t="s">
        <v>1</v>
      </c>
    </row>
    <row r="19942" spans="1:3" s="7" customFormat="1" x14ac:dyDescent="0.2">
      <c r="A19942" s="6" t="str">
        <f>"CNTNAP2"</f>
        <v>CNTNAP2</v>
      </c>
      <c r="B19942" s="6" t="s">
        <v>1</v>
      </c>
      <c r="C19942" s="6" t="s">
        <v>1</v>
      </c>
    </row>
    <row r="19943" spans="1:3" s="7" customFormat="1" x14ac:dyDescent="0.2">
      <c r="A19943" s="6" t="str">
        <f>"KCNH1"</f>
        <v>KCNH1</v>
      </c>
      <c r="B19943" s="6" t="s">
        <v>1</v>
      </c>
      <c r="C19943" s="6" t="s">
        <v>1</v>
      </c>
    </row>
    <row r="19944" spans="1:3" s="7" customFormat="1" x14ac:dyDescent="0.2">
      <c r="A19944" s="6" t="str">
        <f>"GRID2IP"</f>
        <v>GRID2IP</v>
      </c>
      <c r="B19944" s="6" t="s">
        <v>1</v>
      </c>
      <c r="C19944" s="6" t="s">
        <v>1</v>
      </c>
    </row>
    <row r="19945" spans="1:3" s="7" customFormat="1" x14ac:dyDescent="0.2">
      <c r="A19945" s="6" t="str">
        <f>"CCNE2"</f>
        <v>CCNE2</v>
      </c>
      <c r="B19945" s="6" t="s">
        <v>1</v>
      </c>
      <c r="C19945" s="6" t="s">
        <v>1</v>
      </c>
    </row>
    <row r="19946" spans="1:3" s="7" customFormat="1" x14ac:dyDescent="0.2">
      <c r="A19946" s="6" t="str">
        <f>"LINC02080"</f>
        <v>LINC02080</v>
      </c>
      <c r="B19946" s="6" t="s">
        <v>1</v>
      </c>
      <c r="C19946" s="6" t="s">
        <v>1</v>
      </c>
    </row>
    <row r="19947" spans="1:3" s="7" customFormat="1" x14ac:dyDescent="0.2">
      <c r="A19947" s="6" t="str">
        <f>"AC012441.1"</f>
        <v>AC012441.1</v>
      </c>
      <c r="B19947" s="6" t="s">
        <v>1</v>
      </c>
      <c r="C19947" s="6" t="s">
        <v>1</v>
      </c>
    </row>
    <row r="19948" spans="1:3" s="7" customFormat="1" x14ac:dyDescent="0.2">
      <c r="A19948" s="6" t="str">
        <f>"EMBP1"</f>
        <v>EMBP1</v>
      </c>
      <c r="B19948" s="6" t="s">
        <v>1</v>
      </c>
      <c r="C19948" s="6" t="s">
        <v>1</v>
      </c>
    </row>
    <row r="19949" spans="1:3" s="7" customFormat="1" x14ac:dyDescent="0.2">
      <c r="A19949" s="6" t="str">
        <f>"AF001548.2"</f>
        <v>AF001548.2</v>
      </c>
      <c r="B19949" s="6" t="s">
        <v>1</v>
      </c>
      <c r="C19949" s="6" t="s">
        <v>1</v>
      </c>
    </row>
    <row r="19950" spans="1:3" s="7" customFormat="1" x14ac:dyDescent="0.2">
      <c r="A19950" s="6" t="str">
        <f>"LOXL3"</f>
        <v>LOXL3</v>
      </c>
      <c r="B19950" s="6" t="s">
        <v>1</v>
      </c>
      <c r="C19950" s="6" t="s">
        <v>1</v>
      </c>
    </row>
    <row r="19951" spans="1:3" s="7" customFormat="1" x14ac:dyDescent="0.2">
      <c r="A19951" s="6" t="str">
        <f>"APLF"</f>
        <v>APLF</v>
      </c>
      <c r="B19951" s="6" t="s">
        <v>1</v>
      </c>
      <c r="C19951" s="6" t="s">
        <v>1</v>
      </c>
    </row>
    <row r="19952" spans="1:3" s="7" customFormat="1" x14ac:dyDescent="0.2">
      <c r="A19952" s="6" t="str">
        <f>"AC022150.4"</f>
        <v>AC022150.4</v>
      </c>
      <c r="B19952" s="6" t="s">
        <v>1</v>
      </c>
      <c r="C19952" s="6" t="s">
        <v>1</v>
      </c>
    </row>
    <row r="19953" spans="1:3" s="7" customFormat="1" x14ac:dyDescent="0.2">
      <c r="A19953" s="6" t="str">
        <f>"MLC1"</f>
        <v>MLC1</v>
      </c>
      <c r="B19953" s="6" t="s">
        <v>1</v>
      </c>
      <c r="C19953" s="6" t="s">
        <v>1</v>
      </c>
    </row>
    <row r="19954" spans="1:3" s="7" customFormat="1" x14ac:dyDescent="0.2">
      <c r="A19954" s="6" t="str">
        <f>"AL136040.1"</f>
        <v>AL136040.1</v>
      </c>
      <c r="B19954" s="6" t="s">
        <v>1</v>
      </c>
      <c r="C19954" s="6" t="s">
        <v>1</v>
      </c>
    </row>
    <row r="19955" spans="1:3" s="7" customFormat="1" x14ac:dyDescent="0.2">
      <c r="A19955" s="6" t="str">
        <f>"INSYN1"</f>
        <v>INSYN1</v>
      </c>
      <c r="B19955" s="6" t="s">
        <v>1</v>
      </c>
      <c r="C19955" s="6" t="s">
        <v>1</v>
      </c>
    </row>
    <row r="19956" spans="1:3" s="7" customFormat="1" x14ac:dyDescent="0.2">
      <c r="A19956" s="6" t="str">
        <f>"MLIP"</f>
        <v>MLIP</v>
      </c>
      <c r="B19956" s="6" t="s">
        <v>1</v>
      </c>
      <c r="C19956" s="6" t="s">
        <v>1</v>
      </c>
    </row>
    <row r="19957" spans="1:3" s="7" customFormat="1" x14ac:dyDescent="0.2">
      <c r="A19957" s="6" t="str">
        <f>"AL133313.1"</f>
        <v>AL133313.1</v>
      </c>
      <c r="B19957" s="6" t="s">
        <v>1</v>
      </c>
      <c r="C19957" s="6" t="s">
        <v>1</v>
      </c>
    </row>
    <row r="19958" spans="1:3" s="7" customFormat="1" x14ac:dyDescent="0.2">
      <c r="A19958" s="6" t="str">
        <f>"GABRB2"</f>
        <v>GABRB2</v>
      </c>
      <c r="B19958" s="6" t="s">
        <v>1</v>
      </c>
      <c r="C19958" s="6" t="s">
        <v>1</v>
      </c>
    </row>
    <row r="19959" spans="1:3" s="7" customFormat="1" x14ac:dyDescent="0.2">
      <c r="A19959" s="6" t="str">
        <f>"AP000769.1"</f>
        <v>AP000769.1</v>
      </c>
      <c r="B19959" s="6" t="s">
        <v>1</v>
      </c>
      <c r="C19959" s="6" t="s">
        <v>1</v>
      </c>
    </row>
    <row r="19960" spans="1:3" s="7" customFormat="1" x14ac:dyDescent="0.2">
      <c r="A19960" s="6" t="str">
        <f>"LEPR"</f>
        <v>LEPR</v>
      </c>
      <c r="B19960" s="6" t="s">
        <v>1</v>
      </c>
      <c r="C19960" s="6" t="s">
        <v>1</v>
      </c>
    </row>
    <row r="19961" spans="1:3" s="7" customFormat="1" x14ac:dyDescent="0.2">
      <c r="A19961" s="6" t="str">
        <f>"EEF1A2"</f>
        <v>EEF1A2</v>
      </c>
      <c r="B19961" s="6" t="s">
        <v>1</v>
      </c>
      <c r="C19961" s="6" t="s">
        <v>1</v>
      </c>
    </row>
    <row r="19962" spans="1:3" s="7" customFormat="1" x14ac:dyDescent="0.2">
      <c r="A19962" s="6" t="str">
        <f>"BRWD1-AS2"</f>
        <v>BRWD1-AS2</v>
      </c>
      <c r="B19962" s="6" t="s">
        <v>1</v>
      </c>
      <c r="C19962" s="6" t="s">
        <v>1</v>
      </c>
    </row>
    <row r="19963" spans="1:3" s="7" customFormat="1" x14ac:dyDescent="0.2">
      <c r="A19963" s="6" t="str">
        <f>"STX16-NPEPL1"</f>
        <v>STX16-NPEPL1</v>
      </c>
      <c r="B19963" s="6" t="s">
        <v>1</v>
      </c>
      <c r="C19963" s="6" t="s">
        <v>1</v>
      </c>
    </row>
    <row r="19964" spans="1:3" s="7" customFormat="1" x14ac:dyDescent="0.2">
      <c r="A19964" s="6" t="str">
        <f>"GRIN2D"</f>
        <v>GRIN2D</v>
      </c>
      <c r="B19964" s="6" t="s">
        <v>1</v>
      </c>
      <c r="C19964" s="6" t="s">
        <v>1</v>
      </c>
    </row>
    <row r="19965" spans="1:3" s="7" customFormat="1" x14ac:dyDescent="0.2">
      <c r="A19965" s="6" t="str">
        <f>"P2RX6"</f>
        <v>P2RX6</v>
      </c>
      <c r="B19965" s="6" t="s">
        <v>1</v>
      </c>
      <c r="C19965" s="6" t="s">
        <v>1</v>
      </c>
    </row>
    <row r="19966" spans="1:3" s="7" customFormat="1" x14ac:dyDescent="0.2">
      <c r="A19966" s="6" t="str">
        <f>"AC022413.1"</f>
        <v>AC022413.1</v>
      </c>
      <c r="B19966" s="6" t="s">
        <v>1</v>
      </c>
      <c r="C19966" s="6" t="s">
        <v>1</v>
      </c>
    </row>
    <row r="19967" spans="1:3" s="7" customFormat="1" x14ac:dyDescent="0.2">
      <c r="A19967" s="6" t="str">
        <f>"AC007342.5"</f>
        <v>AC007342.5</v>
      </c>
      <c r="B19967" s="6" t="s">
        <v>1</v>
      </c>
      <c r="C19967" s="6" t="s">
        <v>1</v>
      </c>
    </row>
    <row r="19968" spans="1:3" s="7" customFormat="1" x14ac:dyDescent="0.2">
      <c r="A19968" s="6" t="str">
        <f>"AC084212.1"</f>
        <v>AC084212.1</v>
      </c>
      <c r="B19968" s="6" t="s">
        <v>1</v>
      </c>
      <c r="C19968" s="6" t="s">
        <v>1</v>
      </c>
    </row>
    <row r="19969" spans="1:3" s="7" customFormat="1" x14ac:dyDescent="0.2">
      <c r="A19969" s="6" t="str">
        <f>"AC009690.1"</f>
        <v>AC009690.1</v>
      </c>
      <c r="B19969" s="6" t="s">
        <v>1</v>
      </c>
      <c r="C19969" s="6" t="s">
        <v>1</v>
      </c>
    </row>
    <row r="19970" spans="1:3" s="7" customFormat="1" x14ac:dyDescent="0.2">
      <c r="A19970" s="6" t="str">
        <f>"DND1"</f>
        <v>DND1</v>
      </c>
      <c r="B19970" s="6" t="s">
        <v>1</v>
      </c>
      <c r="C19970" s="6" t="s">
        <v>1</v>
      </c>
    </row>
    <row r="19971" spans="1:3" s="7" customFormat="1" x14ac:dyDescent="0.2">
      <c r="A19971" s="6" t="str">
        <f>"AC013489.1"</f>
        <v>AC013489.1</v>
      </c>
      <c r="B19971" s="6" t="s">
        <v>1</v>
      </c>
      <c r="C19971" s="6" t="s">
        <v>1</v>
      </c>
    </row>
    <row r="19972" spans="1:3" s="7" customFormat="1" x14ac:dyDescent="0.2">
      <c r="A19972" s="6" t="str">
        <f>"LOH12CR2"</f>
        <v>LOH12CR2</v>
      </c>
      <c r="B19972" s="6" t="s">
        <v>1</v>
      </c>
      <c r="C19972" s="6" t="s">
        <v>1</v>
      </c>
    </row>
    <row r="19973" spans="1:3" s="7" customFormat="1" x14ac:dyDescent="0.2">
      <c r="A19973" s="6" t="str">
        <f>"RFESD"</f>
        <v>RFESD</v>
      </c>
      <c r="B19973" s="6" t="s">
        <v>1</v>
      </c>
      <c r="C19973" s="6" t="s">
        <v>1</v>
      </c>
    </row>
    <row r="19974" spans="1:3" s="7" customFormat="1" x14ac:dyDescent="0.2">
      <c r="A19974" s="6" t="str">
        <f>"AC022929.2"</f>
        <v>AC022929.2</v>
      </c>
      <c r="B19974" s="6" t="s">
        <v>1</v>
      </c>
      <c r="C19974" s="6" t="s">
        <v>1</v>
      </c>
    </row>
    <row r="19975" spans="1:3" s="7" customFormat="1" x14ac:dyDescent="0.2">
      <c r="A19975" s="6" t="str">
        <f>"HNRNPA3P6"</f>
        <v>HNRNPA3P6</v>
      </c>
      <c r="B19975" s="6" t="s">
        <v>1</v>
      </c>
      <c r="C19975" s="6" t="s">
        <v>1</v>
      </c>
    </row>
    <row r="19976" spans="1:3" s="7" customFormat="1" x14ac:dyDescent="0.2">
      <c r="A19976" s="6" t="str">
        <f>"AC023043.1"</f>
        <v>AC023043.1</v>
      </c>
      <c r="B19976" s="6" t="s">
        <v>1</v>
      </c>
      <c r="C19976" s="6" t="s">
        <v>1</v>
      </c>
    </row>
    <row r="19977" spans="1:3" s="7" customFormat="1" x14ac:dyDescent="0.2">
      <c r="A19977" s="6" t="str">
        <f>"AC004938.2"</f>
        <v>AC004938.2</v>
      </c>
      <c r="B19977" s="6" t="s">
        <v>1</v>
      </c>
      <c r="C19977" s="6" t="s">
        <v>1</v>
      </c>
    </row>
    <row r="19978" spans="1:3" s="7" customFormat="1" x14ac:dyDescent="0.2">
      <c r="A19978" s="6" t="str">
        <f>"PTMAP5"</f>
        <v>PTMAP5</v>
      </c>
      <c r="B19978" s="6" t="s">
        <v>1</v>
      </c>
      <c r="C19978" s="6" t="s">
        <v>1</v>
      </c>
    </row>
    <row r="19979" spans="1:3" s="7" customFormat="1" x14ac:dyDescent="0.2">
      <c r="A19979" s="6" t="str">
        <f>"AC013268.1"</f>
        <v>AC013268.1</v>
      </c>
      <c r="B19979" s="6" t="s">
        <v>1</v>
      </c>
      <c r="C19979" s="6" t="s">
        <v>1</v>
      </c>
    </row>
    <row r="19980" spans="1:3" s="7" customFormat="1" x14ac:dyDescent="0.2">
      <c r="A19980" s="6" t="str">
        <f>"KLRF1"</f>
        <v>KLRF1</v>
      </c>
      <c r="B19980" s="6" t="s">
        <v>1</v>
      </c>
      <c r="C19980" s="6" t="s">
        <v>1</v>
      </c>
    </row>
    <row r="19981" spans="1:3" s="7" customFormat="1" x14ac:dyDescent="0.2">
      <c r="A19981" s="6" t="str">
        <f>"AL354718.1"</f>
        <v>AL354718.1</v>
      </c>
      <c r="B19981" s="6" t="s">
        <v>1</v>
      </c>
      <c r="C19981" s="6" t="s">
        <v>1</v>
      </c>
    </row>
    <row r="19982" spans="1:3" s="7" customFormat="1" x14ac:dyDescent="0.2">
      <c r="A19982" s="6" t="str">
        <f>"DNAJC9-AS1"</f>
        <v>DNAJC9-AS1</v>
      </c>
      <c r="B19982" s="6" t="s">
        <v>1</v>
      </c>
      <c r="C19982" s="6" t="s">
        <v>1</v>
      </c>
    </row>
    <row r="19983" spans="1:3" s="7" customFormat="1" x14ac:dyDescent="0.2">
      <c r="A19983" s="6" t="str">
        <f>"H4C8"</f>
        <v>H4C8</v>
      </c>
      <c r="B19983" s="6" t="s">
        <v>1</v>
      </c>
      <c r="C19983" s="6" t="s">
        <v>1</v>
      </c>
    </row>
    <row r="19984" spans="1:3" s="7" customFormat="1" x14ac:dyDescent="0.2">
      <c r="A19984" s="6" t="str">
        <f>"AC244153.1"</f>
        <v>AC244153.1</v>
      </c>
      <c r="B19984" s="6" t="s">
        <v>1</v>
      </c>
      <c r="C19984" s="6" t="s">
        <v>1</v>
      </c>
    </row>
    <row r="19985" spans="1:3" s="7" customFormat="1" x14ac:dyDescent="0.2">
      <c r="A19985" s="6" t="str">
        <f>"CYP27C1"</f>
        <v>CYP27C1</v>
      </c>
      <c r="B19985" s="6" t="s">
        <v>1</v>
      </c>
      <c r="C19985" s="6" t="s">
        <v>1</v>
      </c>
    </row>
    <row r="19986" spans="1:3" s="7" customFormat="1" x14ac:dyDescent="0.2">
      <c r="A19986" s="6" t="str">
        <f>"AC131649.2"</f>
        <v>AC131649.2</v>
      </c>
      <c r="B19986" s="6" t="s">
        <v>1</v>
      </c>
      <c r="C19986" s="6" t="s">
        <v>1</v>
      </c>
    </row>
    <row r="19987" spans="1:3" s="7" customFormat="1" x14ac:dyDescent="0.2">
      <c r="A19987" s="6" t="str">
        <f>"ZNF236-DT"</f>
        <v>ZNF236-DT</v>
      </c>
      <c r="B19987" s="6" t="s">
        <v>1</v>
      </c>
      <c r="C19987" s="6" t="s">
        <v>1</v>
      </c>
    </row>
    <row r="19988" spans="1:3" s="7" customFormat="1" x14ac:dyDescent="0.2">
      <c r="A19988" s="6" t="str">
        <f>"AC004951.2"</f>
        <v>AC004951.2</v>
      </c>
      <c r="B19988" s="6" t="s">
        <v>1</v>
      </c>
      <c r="C19988" s="6" t="s">
        <v>1</v>
      </c>
    </row>
    <row r="19989" spans="1:3" s="7" customFormat="1" x14ac:dyDescent="0.2">
      <c r="A19989" s="6" t="str">
        <f>"NOX4"</f>
        <v>NOX4</v>
      </c>
      <c r="B19989" s="6" t="s">
        <v>1</v>
      </c>
      <c r="C19989" s="6" t="s">
        <v>1</v>
      </c>
    </row>
    <row r="19990" spans="1:3" s="7" customFormat="1" x14ac:dyDescent="0.2">
      <c r="A19990" s="6" t="str">
        <f>"AL135910.1"</f>
        <v>AL135910.1</v>
      </c>
      <c r="B19990" s="6" t="s">
        <v>1</v>
      </c>
      <c r="C19990" s="6" t="s">
        <v>1</v>
      </c>
    </row>
    <row r="19991" spans="1:3" s="7" customFormat="1" x14ac:dyDescent="0.2">
      <c r="A19991" s="6" t="str">
        <f>"SHCBP1"</f>
        <v>SHCBP1</v>
      </c>
      <c r="B19991" s="6" t="s">
        <v>1</v>
      </c>
      <c r="C19991" s="6" t="s">
        <v>1</v>
      </c>
    </row>
    <row r="19992" spans="1:3" s="7" customFormat="1" x14ac:dyDescent="0.2">
      <c r="A19992" s="6" t="str">
        <f>"LINC02289"</f>
        <v>LINC02289</v>
      </c>
      <c r="B19992" s="6" t="s">
        <v>1</v>
      </c>
      <c r="C19992" s="6" t="s">
        <v>1</v>
      </c>
    </row>
    <row r="19993" spans="1:3" s="7" customFormat="1" x14ac:dyDescent="0.2">
      <c r="A19993" s="6" t="str">
        <f>"AC093484.3"</f>
        <v>AC093484.3</v>
      </c>
      <c r="B19993" s="6" t="s">
        <v>1</v>
      </c>
      <c r="C19993" s="6" t="s">
        <v>1</v>
      </c>
    </row>
    <row r="19994" spans="1:3" s="7" customFormat="1" x14ac:dyDescent="0.2">
      <c r="A19994" s="6" t="str">
        <f>"AC108063.2"</f>
        <v>AC108063.2</v>
      </c>
      <c r="B19994" s="6" t="s">
        <v>1</v>
      </c>
      <c r="C19994" s="6" t="s">
        <v>1</v>
      </c>
    </row>
    <row r="19995" spans="1:3" s="7" customFormat="1" x14ac:dyDescent="0.2">
      <c r="A19995" s="6" t="str">
        <f>"MAMDC2"</f>
        <v>MAMDC2</v>
      </c>
      <c r="B19995" s="6" t="s">
        <v>1</v>
      </c>
      <c r="C19995" s="6" t="s">
        <v>1</v>
      </c>
    </row>
    <row r="19996" spans="1:3" s="7" customFormat="1" x14ac:dyDescent="0.2">
      <c r="A19996" s="6" t="str">
        <f>"SLC29A4"</f>
        <v>SLC29A4</v>
      </c>
      <c r="B19996" s="6" t="s">
        <v>1</v>
      </c>
      <c r="C19996" s="6" t="s">
        <v>1</v>
      </c>
    </row>
    <row r="19997" spans="1:3" s="7" customFormat="1" x14ac:dyDescent="0.2">
      <c r="A19997" s="6" t="str">
        <f>"TGFB1I1"</f>
        <v>TGFB1I1</v>
      </c>
      <c r="B19997" s="6" t="s">
        <v>1</v>
      </c>
      <c r="C19997" s="6" t="s">
        <v>1</v>
      </c>
    </row>
    <row r="19998" spans="1:3" s="7" customFormat="1" x14ac:dyDescent="0.2">
      <c r="A19998" s="6" t="str">
        <f>"MAMDC4"</f>
        <v>MAMDC4</v>
      </c>
      <c r="B19998" s="6" t="s">
        <v>1</v>
      </c>
      <c r="C19998" s="6" t="s">
        <v>1</v>
      </c>
    </row>
    <row r="19999" spans="1:3" s="7" customFormat="1" x14ac:dyDescent="0.2">
      <c r="A19999" s="6" t="str">
        <f>"AP000757.1"</f>
        <v>AP000757.1</v>
      </c>
      <c r="B19999" s="6" t="s">
        <v>1</v>
      </c>
      <c r="C19999" s="6" t="s">
        <v>1</v>
      </c>
    </row>
    <row r="20000" spans="1:3" s="7" customFormat="1" x14ac:dyDescent="0.2">
      <c r="A20000" s="6" t="str">
        <f>"EDNRA"</f>
        <v>EDNRA</v>
      </c>
      <c r="B20000" s="6" t="s">
        <v>1</v>
      </c>
      <c r="C20000" s="6" t="s">
        <v>1</v>
      </c>
    </row>
    <row r="20001" spans="1:3" s="7" customFormat="1" x14ac:dyDescent="0.2">
      <c r="A20001" s="6" t="str">
        <f>"AL136295.1"</f>
        <v>AL136295.1</v>
      </c>
      <c r="B20001" s="6" t="s">
        <v>1</v>
      </c>
      <c r="C20001" s="6" t="s">
        <v>1</v>
      </c>
    </row>
    <row r="20002" spans="1:3" s="7" customFormat="1" x14ac:dyDescent="0.2">
      <c r="A20002" s="6" t="str">
        <f>"EDN1"</f>
        <v>EDN1</v>
      </c>
      <c r="B20002" s="6" t="s">
        <v>1</v>
      </c>
      <c r="C20002" s="6" t="s">
        <v>1</v>
      </c>
    </row>
    <row r="20003" spans="1:3" s="7" customFormat="1" x14ac:dyDescent="0.2">
      <c r="A20003" s="6" t="str">
        <f>"CASR"</f>
        <v>CASR</v>
      </c>
      <c r="B20003" s="6" t="s">
        <v>1</v>
      </c>
      <c r="C20003" s="6" t="s">
        <v>1</v>
      </c>
    </row>
    <row r="20004" spans="1:3" s="7" customFormat="1" x14ac:dyDescent="0.2">
      <c r="A20004" s="6" t="str">
        <f>"LINC02175"</f>
        <v>LINC02175</v>
      </c>
      <c r="B20004" s="6" t="s">
        <v>1</v>
      </c>
      <c r="C20004" s="6" t="s">
        <v>1</v>
      </c>
    </row>
    <row r="20005" spans="1:3" s="7" customFormat="1" x14ac:dyDescent="0.2">
      <c r="A20005" s="6" t="str">
        <f>"SLC2A1-AS1"</f>
        <v>SLC2A1-AS1</v>
      </c>
      <c r="B20005" s="6" t="s">
        <v>1</v>
      </c>
      <c r="C20005" s="6" t="s">
        <v>1</v>
      </c>
    </row>
    <row r="20006" spans="1:3" s="7" customFormat="1" x14ac:dyDescent="0.2">
      <c r="A20006" s="6" t="str">
        <f>"ALDH1L1-AS2"</f>
        <v>ALDH1L1-AS2</v>
      </c>
      <c r="B20006" s="6" t="s">
        <v>1</v>
      </c>
      <c r="C20006" s="6" t="s">
        <v>1</v>
      </c>
    </row>
    <row r="20007" spans="1:3" s="7" customFormat="1" x14ac:dyDescent="0.2">
      <c r="A20007" s="6" t="str">
        <f>"AC007405.1"</f>
        <v>AC007405.1</v>
      </c>
      <c r="B20007" s="6" t="s">
        <v>1</v>
      </c>
      <c r="C20007" s="6" t="s">
        <v>1</v>
      </c>
    </row>
    <row r="20008" spans="1:3" s="7" customFormat="1" x14ac:dyDescent="0.2">
      <c r="A20008" s="6" t="str">
        <f>"FKBP9P1"</f>
        <v>FKBP9P1</v>
      </c>
      <c r="B20008" s="6" t="s">
        <v>1</v>
      </c>
      <c r="C20008" s="6" t="s">
        <v>1</v>
      </c>
    </row>
    <row r="20009" spans="1:3" s="7" customFormat="1" x14ac:dyDescent="0.2">
      <c r="A20009" s="6" t="str">
        <f>"AP000446.1"</f>
        <v>AP000446.1</v>
      </c>
      <c r="B20009" s="6" t="s">
        <v>1</v>
      </c>
      <c r="C20009" s="6" t="s">
        <v>1</v>
      </c>
    </row>
    <row r="20010" spans="1:3" s="7" customFormat="1" x14ac:dyDescent="0.2">
      <c r="A20010" s="6" t="str">
        <f>"AL354740.1"</f>
        <v>AL354740.1</v>
      </c>
      <c r="B20010" s="6" t="s">
        <v>1</v>
      </c>
      <c r="C20010" s="6" t="s">
        <v>1</v>
      </c>
    </row>
    <row r="20011" spans="1:3" s="7" customFormat="1" x14ac:dyDescent="0.2">
      <c r="A20011" s="6" t="str">
        <f>"RAET1L"</f>
        <v>RAET1L</v>
      </c>
      <c r="B20011" s="6" t="s">
        <v>1</v>
      </c>
      <c r="C20011" s="6" t="s">
        <v>1</v>
      </c>
    </row>
    <row r="20012" spans="1:3" s="7" customFormat="1" x14ac:dyDescent="0.2">
      <c r="A20012" s="6" t="str">
        <f>"EMC3-AS1"</f>
        <v>EMC3-AS1</v>
      </c>
      <c r="B20012" s="6" t="s">
        <v>1</v>
      </c>
      <c r="C20012" s="6" t="s">
        <v>1</v>
      </c>
    </row>
    <row r="20013" spans="1:3" s="7" customFormat="1" x14ac:dyDescent="0.2">
      <c r="A20013" s="6" t="str">
        <f>"CCR6"</f>
        <v>CCR6</v>
      </c>
      <c r="B20013" s="6" t="s">
        <v>1</v>
      </c>
      <c r="C20013" s="6" t="s">
        <v>1</v>
      </c>
    </row>
    <row r="20014" spans="1:3" s="7" customFormat="1" x14ac:dyDescent="0.2">
      <c r="A20014" s="6" t="str">
        <f>"TTPA"</f>
        <v>TTPA</v>
      </c>
      <c r="B20014" s="6" t="s">
        <v>1</v>
      </c>
      <c r="C20014" s="6" t="s">
        <v>1</v>
      </c>
    </row>
    <row r="20015" spans="1:3" s="7" customFormat="1" x14ac:dyDescent="0.2">
      <c r="A20015" s="6" t="str">
        <f>"AC244502.1"</f>
        <v>AC244502.1</v>
      </c>
      <c r="B20015" s="6" t="s">
        <v>1</v>
      </c>
      <c r="C20015" s="6" t="s">
        <v>1</v>
      </c>
    </row>
    <row r="20016" spans="1:3" s="7" customFormat="1" x14ac:dyDescent="0.2">
      <c r="A20016" s="6" t="str">
        <f>"AC087203.3"</f>
        <v>AC087203.3</v>
      </c>
      <c r="B20016" s="6" t="s">
        <v>1</v>
      </c>
      <c r="C20016" s="6" t="s">
        <v>1</v>
      </c>
    </row>
    <row r="20017" spans="1:3" s="7" customFormat="1" x14ac:dyDescent="0.2">
      <c r="A20017" s="6" t="str">
        <f>"AL512353.1"</f>
        <v>AL512353.1</v>
      </c>
      <c r="B20017" s="6" t="s">
        <v>1</v>
      </c>
      <c r="C20017" s="6" t="s">
        <v>1</v>
      </c>
    </row>
    <row r="20018" spans="1:3" s="7" customFormat="1" x14ac:dyDescent="0.2">
      <c r="A20018" s="6" t="str">
        <f>"BSN"</f>
        <v>BSN</v>
      </c>
      <c r="B20018" s="6" t="s">
        <v>1</v>
      </c>
      <c r="C20018" s="6" t="s">
        <v>1</v>
      </c>
    </row>
    <row r="20019" spans="1:3" s="7" customFormat="1" x14ac:dyDescent="0.2">
      <c r="A20019" s="6" t="str">
        <f>"PABPC1P4"</f>
        <v>PABPC1P4</v>
      </c>
      <c r="B20019" s="6" t="s">
        <v>1</v>
      </c>
      <c r="C20019" s="6" t="s">
        <v>1</v>
      </c>
    </row>
    <row r="20020" spans="1:3" s="7" customFormat="1" x14ac:dyDescent="0.2">
      <c r="A20020" s="6" t="str">
        <f>"AL353743.1"</f>
        <v>AL353743.1</v>
      </c>
      <c r="B20020" s="6" t="s">
        <v>1</v>
      </c>
      <c r="C20020" s="6" t="s">
        <v>1</v>
      </c>
    </row>
    <row r="20021" spans="1:3" s="7" customFormat="1" x14ac:dyDescent="0.2">
      <c r="A20021" s="6" t="str">
        <f>"AC022167.2"</f>
        <v>AC022167.2</v>
      </c>
      <c r="B20021" s="6" t="s">
        <v>1</v>
      </c>
      <c r="C20021" s="6" t="s">
        <v>1</v>
      </c>
    </row>
    <row r="20022" spans="1:3" s="7" customFormat="1" x14ac:dyDescent="0.2">
      <c r="A20022" s="6" t="str">
        <f>"LINC01023"</f>
        <v>LINC01023</v>
      </c>
      <c r="B20022" s="6" t="s">
        <v>1</v>
      </c>
      <c r="C20022" s="6" t="s">
        <v>1</v>
      </c>
    </row>
    <row r="20023" spans="1:3" s="7" customFormat="1" x14ac:dyDescent="0.2">
      <c r="A20023" s="6" t="str">
        <f>"AL353748.3"</f>
        <v>AL353748.3</v>
      </c>
      <c r="B20023" s="6" t="s">
        <v>1</v>
      </c>
      <c r="C20023" s="6" t="s">
        <v>1</v>
      </c>
    </row>
    <row r="20024" spans="1:3" s="7" customFormat="1" x14ac:dyDescent="0.2">
      <c r="A20024" s="6" t="str">
        <f>"CEBPA-DT"</f>
        <v>CEBPA-DT</v>
      </c>
      <c r="B20024" s="6" t="s">
        <v>1</v>
      </c>
      <c r="C20024" s="6" t="s">
        <v>1</v>
      </c>
    </row>
    <row r="20025" spans="1:3" s="7" customFormat="1" x14ac:dyDescent="0.2">
      <c r="A20025" s="6" t="str">
        <f>"AL135999.1"</f>
        <v>AL135999.1</v>
      </c>
      <c r="B20025" s="6" t="s">
        <v>1</v>
      </c>
      <c r="C20025" s="6" t="s">
        <v>1</v>
      </c>
    </row>
    <row r="20026" spans="1:3" s="7" customFormat="1" x14ac:dyDescent="0.2">
      <c r="A20026" s="6" t="str">
        <f>"EXTL3-AS1"</f>
        <v>EXTL3-AS1</v>
      </c>
      <c r="B20026" s="6" t="s">
        <v>1</v>
      </c>
      <c r="C20026" s="6" t="s">
        <v>1</v>
      </c>
    </row>
    <row r="20027" spans="1:3" s="7" customFormat="1" x14ac:dyDescent="0.2">
      <c r="A20027" s="6" t="str">
        <f>"NXF3"</f>
        <v>NXF3</v>
      </c>
      <c r="B20027" s="6" t="s">
        <v>1</v>
      </c>
      <c r="C20027" s="6" t="s">
        <v>1</v>
      </c>
    </row>
    <row r="20028" spans="1:3" s="7" customFormat="1" x14ac:dyDescent="0.2">
      <c r="A20028" s="6" t="str">
        <f>"KLRB1"</f>
        <v>KLRB1</v>
      </c>
      <c r="B20028" s="6" t="s">
        <v>1</v>
      </c>
      <c r="C20028" s="6" t="s">
        <v>1</v>
      </c>
    </row>
    <row r="20029" spans="1:3" s="7" customFormat="1" x14ac:dyDescent="0.2">
      <c r="A20029" s="6" t="str">
        <f>"ZNF233"</f>
        <v>ZNF233</v>
      </c>
      <c r="B20029" s="6" t="s">
        <v>1</v>
      </c>
      <c r="C20029" s="6" t="s">
        <v>1</v>
      </c>
    </row>
    <row r="20030" spans="1:3" s="7" customFormat="1" x14ac:dyDescent="0.2">
      <c r="A20030" s="6" t="str">
        <f>"AC022826.2"</f>
        <v>AC022826.2</v>
      </c>
      <c r="B20030" s="6" t="s">
        <v>1</v>
      </c>
      <c r="C20030" s="6" t="s">
        <v>1</v>
      </c>
    </row>
    <row r="20031" spans="1:3" s="7" customFormat="1" x14ac:dyDescent="0.2">
      <c r="A20031" s="6" t="str">
        <f>"AL031058.1"</f>
        <v>AL031058.1</v>
      </c>
      <c r="B20031" s="6" t="s">
        <v>1</v>
      </c>
      <c r="C20031" s="6" t="s">
        <v>1</v>
      </c>
    </row>
    <row r="20032" spans="1:3" s="7" customFormat="1" x14ac:dyDescent="0.2">
      <c r="A20032" s="6" t="str">
        <f>"AC254633.1"</f>
        <v>AC254633.1</v>
      </c>
      <c r="B20032" s="6" t="s">
        <v>1</v>
      </c>
      <c r="C20032" s="6" t="s">
        <v>1</v>
      </c>
    </row>
    <row r="20033" spans="1:3" s="7" customFormat="1" x14ac:dyDescent="0.2">
      <c r="A20033" s="6" t="str">
        <f>"AC009533.1"</f>
        <v>AC009533.1</v>
      </c>
      <c r="B20033" s="6" t="s">
        <v>1</v>
      </c>
      <c r="C20033" s="6" t="s">
        <v>1</v>
      </c>
    </row>
    <row r="20034" spans="1:3" s="7" customFormat="1" x14ac:dyDescent="0.2">
      <c r="A20034" s="6" t="str">
        <f>"IGFBPL1"</f>
        <v>IGFBPL1</v>
      </c>
      <c r="B20034" s="6" t="s">
        <v>1</v>
      </c>
      <c r="C20034" s="6" t="s">
        <v>1</v>
      </c>
    </row>
    <row r="20035" spans="1:3" s="7" customFormat="1" x14ac:dyDescent="0.2">
      <c r="A20035" s="6" t="str">
        <f>"PTPRD"</f>
        <v>PTPRD</v>
      </c>
      <c r="B20035" s="6" t="s">
        <v>1</v>
      </c>
      <c r="C20035" s="6" t="s">
        <v>1</v>
      </c>
    </row>
    <row r="20036" spans="1:3" s="7" customFormat="1" x14ac:dyDescent="0.2">
      <c r="A20036" s="6" t="str">
        <f>"C2CD4D-AS1"</f>
        <v>C2CD4D-AS1</v>
      </c>
      <c r="B20036" s="6" t="s">
        <v>1</v>
      </c>
      <c r="C20036" s="6" t="s">
        <v>1</v>
      </c>
    </row>
    <row r="20037" spans="1:3" s="7" customFormat="1" x14ac:dyDescent="0.2">
      <c r="A20037" s="6" t="str">
        <f>"OXER1"</f>
        <v>OXER1</v>
      </c>
      <c r="B20037" s="6" t="s">
        <v>1</v>
      </c>
      <c r="C20037" s="6" t="s">
        <v>1</v>
      </c>
    </row>
    <row r="20038" spans="1:3" s="7" customFormat="1" x14ac:dyDescent="0.2">
      <c r="A20038" s="6" t="str">
        <f>"LINC01144"</f>
        <v>LINC01144</v>
      </c>
      <c r="B20038" s="6" t="s">
        <v>1</v>
      </c>
      <c r="C20038" s="6" t="s">
        <v>1</v>
      </c>
    </row>
    <row r="20039" spans="1:3" s="7" customFormat="1" x14ac:dyDescent="0.2">
      <c r="A20039" s="6" t="str">
        <f>"KCNJ16"</f>
        <v>KCNJ16</v>
      </c>
      <c r="B20039" s="6" t="s">
        <v>1</v>
      </c>
      <c r="C20039" s="6" t="s">
        <v>1</v>
      </c>
    </row>
    <row r="20040" spans="1:3" s="7" customFormat="1" x14ac:dyDescent="0.2">
      <c r="A20040" s="6" t="str">
        <f>"HNRNPA1P48"</f>
        <v>HNRNPA1P48</v>
      </c>
      <c r="B20040" s="6" t="s">
        <v>1</v>
      </c>
      <c r="C20040" s="6" t="s">
        <v>1</v>
      </c>
    </row>
    <row r="20041" spans="1:3" s="7" customFormat="1" x14ac:dyDescent="0.2">
      <c r="A20041" s="6" t="str">
        <f>"MIRLET7A1HG"</f>
        <v>MIRLET7A1HG</v>
      </c>
      <c r="B20041" s="6" t="s">
        <v>1</v>
      </c>
      <c r="C20041" s="6" t="s">
        <v>1</v>
      </c>
    </row>
    <row r="20042" spans="1:3" s="7" customFormat="1" x14ac:dyDescent="0.2">
      <c r="A20042" s="6" t="str">
        <f>"PTPRB"</f>
        <v>PTPRB</v>
      </c>
      <c r="B20042" s="6" t="s">
        <v>1</v>
      </c>
      <c r="C20042" s="6" t="s">
        <v>1</v>
      </c>
    </row>
    <row r="20043" spans="1:3" s="7" customFormat="1" x14ac:dyDescent="0.2">
      <c r="A20043" s="6" t="str">
        <f>"UGT1A1"</f>
        <v>UGT1A1</v>
      </c>
      <c r="B20043" s="6" t="s">
        <v>1</v>
      </c>
      <c r="C20043" s="6" t="s">
        <v>1</v>
      </c>
    </row>
    <row r="20044" spans="1:3" s="7" customFormat="1" x14ac:dyDescent="0.2">
      <c r="A20044" s="6" t="str">
        <f>"LENG8-AS1"</f>
        <v>LENG8-AS1</v>
      </c>
      <c r="B20044" s="6" t="s">
        <v>1</v>
      </c>
      <c r="C20044" s="6" t="s">
        <v>1</v>
      </c>
    </row>
    <row r="20045" spans="1:3" s="7" customFormat="1" x14ac:dyDescent="0.2">
      <c r="A20045" s="6" t="str">
        <f>"CCNE1"</f>
        <v>CCNE1</v>
      </c>
      <c r="B20045" s="6" t="s">
        <v>1</v>
      </c>
      <c r="C20045" s="6" t="s">
        <v>1</v>
      </c>
    </row>
    <row r="20046" spans="1:3" s="7" customFormat="1" x14ac:dyDescent="0.2">
      <c r="A20046" s="6" t="str">
        <f>"CEBPB-AS1"</f>
        <v>CEBPB-AS1</v>
      </c>
      <c r="B20046" s="6" t="s">
        <v>1</v>
      </c>
      <c r="C20046" s="6" t="s">
        <v>1</v>
      </c>
    </row>
    <row r="20047" spans="1:3" s="7" customFormat="1" x14ac:dyDescent="0.2">
      <c r="A20047" s="6" t="str">
        <f>"MCOLN3"</f>
        <v>MCOLN3</v>
      </c>
      <c r="B20047" s="6" t="s">
        <v>1</v>
      </c>
      <c r="C20047" s="6" t="s">
        <v>1</v>
      </c>
    </row>
    <row r="20048" spans="1:3" s="7" customFormat="1" x14ac:dyDescent="0.2">
      <c r="A20048" s="6" t="str">
        <f>"COA6-AS1"</f>
        <v>COA6-AS1</v>
      </c>
      <c r="B20048" s="6" t="s">
        <v>1</v>
      </c>
      <c r="C20048" s="6" t="s">
        <v>1</v>
      </c>
    </row>
    <row r="20049" spans="1:3" s="7" customFormat="1" x14ac:dyDescent="0.2">
      <c r="A20049" s="6" t="str">
        <f>"NPIPB14P"</f>
        <v>NPIPB14P</v>
      </c>
      <c r="B20049" s="6" t="s">
        <v>1</v>
      </c>
      <c r="C20049" s="6" t="s">
        <v>1</v>
      </c>
    </row>
    <row r="20050" spans="1:3" s="7" customFormat="1" x14ac:dyDescent="0.2">
      <c r="A20050" s="6" t="str">
        <f>"DGCR11"</f>
        <v>DGCR11</v>
      </c>
      <c r="B20050" s="6" t="s">
        <v>1</v>
      </c>
      <c r="C20050" s="6" t="s">
        <v>1</v>
      </c>
    </row>
    <row r="20051" spans="1:3" s="7" customFormat="1" x14ac:dyDescent="0.2">
      <c r="A20051" s="6" t="str">
        <f>"SALL4"</f>
        <v>SALL4</v>
      </c>
      <c r="B20051" s="6" t="s">
        <v>1</v>
      </c>
      <c r="C20051" s="6" t="s">
        <v>1</v>
      </c>
    </row>
    <row r="20052" spans="1:3" s="7" customFormat="1" x14ac:dyDescent="0.2">
      <c r="A20052" s="6" t="str">
        <f>"DNAJC5B"</f>
        <v>DNAJC5B</v>
      </c>
      <c r="B20052" s="6" t="s">
        <v>1</v>
      </c>
      <c r="C20052" s="6" t="s">
        <v>1</v>
      </c>
    </row>
    <row r="20053" spans="1:3" s="7" customFormat="1" x14ac:dyDescent="0.2">
      <c r="A20053" s="6" t="str">
        <f>"AC084809.1"</f>
        <v>AC084809.1</v>
      </c>
      <c r="B20053" s="6" t="s">
        <v>1</v>
      </c>
      <c r="C20053" s="6" t="s">
        <v>1</v>
      </c>
    </row>
    <row r="20054" spans="1:3" s="7" customFormat="1" x14ac:dyDescent="0.2">
      <c r="A20054" s="6" t="str">
        <f>"SLC25A47P1"</f>
        <v>SLC25A47P1</v>
      </c>
      <c r="B20054" s="6" t="s">
        <v>1</v>
      </c>
      <c r="C20054" s="6" t="s">
        <v>1</v>
      </c>
    </row>
    <row r="20055" spans="1:3" s="7" customFormat="1" x14ac:dyDescent="0.2">
      <c r="A20055" s="6" t="str">
        <f>"TTC41P"</f>
        <v>TTC41P</v>
      </c>
      <c r="B20055" s="6" t="s">
        <v>1</v>
      </c>
      <c r="C20055" s="6" t="s">
        <v>1</v>
      </c>
    </row>
    <row r="20056" spans="1:3" s="7" customFormat="1" x14ac:dyDescent="0.2">
      <c r="A20056" s="6" t="str">
        <f>"KLK8"</f>
        <v>KLK8</v>
      </c>
      <c r="B20056" s="6" t="s">
        <v>1</v>
      </c>
      <c r="C20056" s="6" t="s">
        <v>1</v>
      </c>
    </row>
    <row r="20057" spans="1:3" s="7" customFormat="1" x14ac:dyDescent="0.2">
      <c r="A20057" s="6" t="str">
        <f>"AC004854.2"</f>
        <v>AC004854.2</v>
      </c>
      <c r="B20057" s="6" t="s">
        <v>1</v>
      </c>
      <c r="C20057" s="6" t="s">
        <v>1</v>
      </c>
    </row>
    <row r="20058" spans="1:3" s="7" customFormat="1" x14ac:dyDescent="0.2">
      <c r="A20058" s="6" t="str">
        <f>"AL441992.1"</f>
        <v>AL441992.1</v>
      </c>
      <c r="B20058" s="6" t="s">
        <v>1</v>
      </c>
      <c r="C20058" s="6" t="s">
        <v>1</v>
      </c>
    </row>
    <row r="20059" spans="1:3" s="7" customFormat="1" x14ac:dyDescent="0.2">
      <c r="A20059" s="6" t="str">
        <f>"DEFB103A"</f>
        <v>DEFB103A</v>
      </c>
      <c r="B20059" s="6" t="s">
        <v>1</v>
      </c>
      <c r="C20059" s="6" t="s">
        <v>1</v>
      </c>
    </row>
    <row r="20060" spans="1:3" s="7" customFormat="1" x14ac:dyDescent="0.2">
      <c r="A20060" s="6" t="str">
        <f>"FAM86B2"</f>
        <v>FAM86B2</v>
      </c>
      <c r="B20060" s="6" t="s">
        <v>1</v>
      </c>
      <c r="C20060" s="6" t="s">
        <v>1</v>
      </c>
    </row>
    <row r="20061" spans="1:3" s="7" customFormat="1" x14ac:dyDescent="0.2">
      <c r="A20061" s="6" t="str">
        <f>"FATE1"</f>
        <v>FATE1</v>
      </c>
      <c r="B20061" s="6" t="s">
        <v>1</v>
      </c>
      <c r="C20061" s="6" t="s">
        <v>1</v>
      </c>
    </row>
    <row r="20062" spans="1:3" s="7" customFormat="1" x14ac:dyDescent="0.2">
      <c r="A20062" s="6" t="str">
        <f>"CHRNA10"</f>
        <v>CHRNA10</v>
      </c>
      <c r="B20062" s="6" t="s">
        <v>1</v>
      </c>
      <c r="C20062" s="6" t="s">
        <v>1</v>
      </c>
    </row>
    <row r="20063" spans="1:3" s="7" customFormat="1" x14ac:dyDescent="0.2">
      <c r="A20063" s="6" t="str">
        <f>"AL353747.3"</f>
        <v>AL353747.3</v>
      </c>
      <c r="B20063" s="6" t="s">
        <v>1</v>
      </c>
      <c r="C20063" s="6" t="s">
        <v>1</v>
      </c>
    </row>
    <row r="20064" spans="1:3" s="7" customFormat="1" x14ac:dyDescent="0.2">
      <c r="A20064" s="6" t="str">
        <f>"MIR9-3HG"</f>
        <v>MIR9-3HG</v>
      </c>
      <c r="B20064" s="6" t="s">
        <v>1</v>
      </c>
      <c r="C20064" s="6" t="s">
        <v>1</v>
      </c>
    </row>
    <row r="20065" spans="1:3" s="7" customFormat="1" x14ac:dyDescent="0.2">
      <c r="A20065" s="6" t="str">
        <f>"LINC01018"</f>
        <v>LINC01018</v>
      </c>
      <c r="B20065" s="6" t="s">
        <v>1</v>
      </c>
      <c r="C20065" s="6" t="s">
        <v>1</v>
      </c>
    </row>
    <row r="20066" spans="1:3" s="7" customFormat="1" x14ac:dyDescent="0.2">
      <c r="A20066" s="6" t="str">
        <f>"CRX"</f>
        <v>CRX</v>
      </c>
      <c r="B20066" s="6" t="s">
        <v>1</v>
      </c>
      <c r="C20066" s="6" t="s">
        <v>1</v>
      </c>
    </row>
    <row r="20067" spans="1:3" s="7" customFormat="1" x14ac:dyDescent="0.2">
      <c r="A20067" s="6" t="str">
        <f>"SHC4"</f>
        <v>SHC4</v>
      </c>
      <c r="B20067" s="6" t="s">
        <v>1</v>
      </c>
      <c r="C20067" s="6" t="s">
        <v>1</v>
      </c>
    </row>
    <row r="20068" spans="1:3" s="7" customFormat="1" x14ac:dyDescent="0.2">
      <c r="A20068" s="6" t="str">
        <f>"LINC02055"</f>
        <v>LINC02055</v>
      </c>
      <c r="B20068" s="6" t="s">
        <v>1</v>
      </c>
      <c r="C20068" s="6" t="s">
        <v>1</v>
      </c>
    </row>
    <row r="20069" spans="1:3" s="7" customFormat="1" x14ac:dyDescent="0.2">
      <c r="A20069" s="6" t="str">
        <f>"CYP2D7"</f>
        <v>CYP2D7</v>
      </c>
      <c r="B20069" s="6" t="s">
        <v>1</v>
      </c>
      <c r="C20069" s="6" t="s">
        <v>1</v>
      </c>
    </row>
    <row r="20070" spans="1:3" s="7" customFormat="1" x14ac:dyDescent="0.2">
      <c r="A20070" s="6" t="str">
        <f>"FMN2"</f>
        <v>FMN2</v>
      </c>
      <c r="B20070" s="6" t="s">
        <v>1</v>
      </c>
      <c r="C20070" s="6" t="s">
        <v>1</v>
      </c>
    </row>
    <row r="20071" spans="1:3" s="7" customFormat="1" x14ac:dyDescent="0.2">
      <c r="A20071" s="6" t="str">
        <f>"NOX1"</f>
        <v>NOX1</v>
      </c>
      <c r="B20071" s="6" t="s">
        <v>1</v>
      </c>
      <c r="C20071" s="6" t="s">
        <v>1</v>
      </c>
    </row>
    <row r="20072" spans="1:3" s="7" customFormat="1" x14ac:dyDescent="0.2">
      <c r="A20072" s="6" t="str">
        <f>"AC093673.1"</f>
        <v>AC093673.1</v>
      </c>
      <c r="B20072" s="6" t="s">
        <v>1</v>
      </c>
      <c r="C20072" s="6" t="s">
        <v>1</v>
      </c>
    </row>
    <row r="20073" spans="1:3" s="7" customFormat="1" x14ac:dyDescent="0.2">
      <c r="A20073" s="6" t="str">
        <f>"AC108047.1"</f>
        <v>AC108047.1</v>
      </c>
      <c r="B20073" s="6" t="s">
        <v>1</v>
      </c>
      <c r="C20073" s="6" t="s">
        <v>1</v>
      </c>
    </row>
    <row r="20074" spans="1:3" s="7" customFormat="1" x14ac:dyDescent="0.2">
      <c r="A20074" s="6" t="str">
        <f>"PLEKHA8P1"</f>
        <v>PLEKHA8P1</v>
      </c>
      <c r="B20074" s="6" t="s">
        <v>1</v>
      </c>
      <c r="C20074" s="6" t="s">
        <v>1</v>
      </c>
    </row>
    <row r="20075" spans="1:3" s="7" customFormat="1" x14ac:dyDescent="0.2">
      <c r="A20075" s="6" t="str">
        <f>"AC009812.1"</f>
        <v>AC009812.1</v>
      </c>
      <c r="B20075" s="6" t="s">
        <v>1</v>
      </c>
      <c r="C20075" s="6" t="s">
        <v>1</v>
      </c>
    </row>
    <row r="20076" spans="1:3" s="7" customFormat="1" x14ac:dyDescent="0.2">
      <c r="A20076" s="6" t="str">
        <f>"LINC01160"</f>
        <v>LINC01160</v>
      </c>
      <c r="B20076" s="6" t="s">
        <v>1</v>
      </c>
      <c r="C20076" s="6" t="s">
        <v>1</v>
      </c>
    </row>
    <row r="20077" spans="1:3" s="7" customFormat="1" x14ac:dyDescent="0.2">
      <c r="A20077" s="6" t="str">
        <f>"LINC01226"</f>
        <v>LINC01226</v>
      </c>
      <c r="B20077" s="6" t="s">
        <v>1</v>
      </c>
      <c r="C20077" s="6" t="s">
        <v>1</v>
      </c>
    </row>
    <row r="20078" spans="1:3" s="7" customFormat="1" x14ac:dyDescent="0.2">
      <c r="A20078" s="6" t="str">
        <f>"ADGRG5"</f>
        <v>ADGRG5</v>
      </c>
      <c r="B20078" s="6" t="s">
        <v>1</v>
      </c>
      <c r="C20078" s="6" t="s">
        <v>1</v>
      </c>
    </row>
    <row r="20079" spans="1:3" s="7" customFormat="1" x14ac:dyDescent="0.2">
      <c r="A20079" s="6" t="str">
        <f>"KCNG1"</f>
        <v>KCNG1</v>
      </c>
      <c r="B20079" s="6" t="s">
        <v>1</v>
      </c>
      <c r="C20079" s="6" t="s">
        <v>1</v>
      </c>
    </row>
    <row r="20080" spans="1:3" s="7" customFormat="1" x14ac:dyDescent="0.2">
      <c r="A20080" s="6" t="str">
        <f>"AL441883.1"</f>
        <v>AL441883.1</v>
      </c>
      <c r="B20080" s="6" t="s">
        <v>1</v>
      </c>
      <c r="C20080" s="6" t="s">
        <v>1</v>
      </c>
    </row>
    <row r="20081" spans="1:3" s="7" customFormat="1" x14ac:dyDescent="0.2">
      <c r="A20081" s="6" t="str">
        <f>"LINC01186"</f>
        <v>LINC01186</v>
      </c>
      <c r="B20081" s="6" t="s">
        <v>1</v>
      </c>
      <c r="C20081" s="6" t="s">
        <v>1</v>
      </c>
    </row>
    <row r="20082" spans="1:3" s="7" customFormat="1" x14ac:dyDescent="0.2">
      <c r="A20082" s="6" t="str">
        <f>"PTOV1-AS1"</f>
        <v>PTOV1-AS1</v>
      </c>
      <c r="B20082" s="6" t="s">
        <v>1</v>
      </c>
      <c r="C20082" s="6" t="s">
        <v>1</v>
      </c>
    </row>
    <row r="20083" spans="1:3" s="7" customFormat="1" x14ac:dyDescent="0.2">
      <c r="A20083" s="6" t="str">
        <f>"MYO15A"</f>
        <v>MYO15A</v>
      </c>
      <c r="B20083" s="6" t="s">
        <v>1</v>
      </c>
      <c r="C20083" s="6" t="s">
        <v>1</v>
      </c>
    </row>
    <row r="20084" spans="1:3" s="7" customFormat="1" x14ac:dyDescent="0.2">
      <c r="A20084" s="6" t="str">
        <f>"MCPH1-AS1"</f>
        <v>MCPH1-AS1</v>
      </c>
      <c r="B20084" s="6" t="s">
        <v>1</v>
      </c>
      <c r="C20084" s="6" t="s">
        <v>1</v>
      </c>
    </row>
    <row r="20085" spans="1:3" s="7" customFormat="1" x14ac:dyDescent="0.2">
      <c r="A20085" s="6" t="str">
        <f>"KCNE4"</f>
        <v>KCNE4</v>
      </c>
      <c r="B20085" s="6" t="s">
        <v>1</v>
      </c>
      <c r="C20085" s="6" t="s">
        <v>1</v>
      </c>
    </row>
    <row r="20086" spans="1:3" s="7" customFormat="1" x14ac:dyDescent="0.2">
      <c r="A20086" s="6" t="str">
        <f>"OAZ3"</f>
        <v>OAZ3</v>
      </c>
      <c r="B20086" s="6" t="s">
        <v>1</v>
      </c>
      <c r="C20086" s="6" t="s">
        <v>1</v>
      </c>
    </row>
    <row r="20087" spans="1:3" s="7" customFormat="1" x14ac:dyDescent="0.2">
      <c r="A20087" s="6" t="str">
        <f>"P2RY6"</f>
        <v>P2RY6</v>
      </c>
      <c r="B20087" s="6" t="s">
        <v>1</v>
      </c>
      <c r="C20087" s="6" t="s">
        <v>1</v>
      </c>
    </row>
    <row r="20088" spans="1:3" s="7" customFormat="1" x14ac:dyDescent="0.2">
      <c r="A20088" s="6" t="str">
        <f>"AC004890.2"</f>
        <v>AC004890.2</v>
      </c>
      <c r="B20088" s="6" t="s">
        <v>1</v>
      </c>
      <c r="C20088" s="6" t="s">
        <v>1</v>
      </c>
    </row>
    <row r="20089" spans="1:3" s="7" customFormat="1" x14ac:dyDescent="0.2">
      <c r="A20089" s="6" t="str">
        <f>"GABRA3"</f>
        <v>GABRA3</v>
      </c>
      <c r="B20089" s="6" t="s">
        <v>1</v>
      </c>
      <c r="C20089" s="6" t="s">
        <v>1</v>
      </c>
    </row>
    <row r="20090" spans="1:3" s="7" customFormat="1" x14ac:dyDescent="0.2">
      <c r="A20090" s="6" t="str">
        <f>"ADGRL3"</f>
        <v>ADGRL3</v>
      </c>
      <c r="B20090" s="6" t="s">
        <v>1</v>
      </c>
      <c r="C20090" s="6" t="s">
        <v>1</v>
      </c>
    </row>
    <row r="20091" spans="1:3" s="7" customFormat="1" x14ac:dyDescent="0.2">
      <c r="A20091" s="6" t="str">
        <f>"AC093157.1"</f>
        <v>AC093157.1</v>
      </c>
      <c r="B20091" s="6" t="s">
        <v>1</v>
      </c>
      <c r="C20091" s="6" t="s">
        <v>1</v>
      </c>
    </row>
    <row r="20092" spans="1:3" s="7" customFormat="1" x14ac:dyDescent="0.2">
      <c r="A20092" s="6" t="str">
        <f>"CNTNAP3P2"</f>
        <v>CNTNAP3P2</v>
      </c>
      <c r="B20092" s="6" t="s">
        <v>1</v>
      </c>
      <c r="C20092" s="6" t="s">
        <v>1</v>
      </c>
    </row>
    <row r="20093" spans="1:3" s="7" customFormat="1" x14ac:dyDescent="0.2">
      <c r="A20093" s="6" t="str">
        <f>"P2RX1"</f>
        <v>P2RX1</v>
      </c>
      <c r="B20093" s="6" t="s">
        <v>1</v>
      </c>
      <c r="C20093" s="6" t="s">
        <v>1</v>
      </c>
    </row>
    <row r="20094" spans="1:3" s="7" customFormat="1" x14ac:dyDescent="0.2">
      <c r="A20094" s="6" t="str">
        <f>"PDCD4-AS1"</f>
        <v>PDCD4-AS1</v>
      </c>
      <c r="B20094" s="6" t="s">
        <v>1</v>
      </c>
      <c r="C20094" s="6" t="s">
        <v>1</v>
      </c>
    </row>
    <row r="20095" spans="1:3" s="7" customFormat="1" x14ac:dyDescent="0.2">
      <c r="A20095" s="6" t="str">
        <f>"AC245407.2"</f>
        <v>AC245407.2</v>
      </c>
      <c r="B20095" s="6" t="s">
        <v>1</v>
      </c>
      <c r="C20095" s="6" t="s">
        <v>1</v>
      </c>
    </row>
    <row r="20096" spans="1:3" s="7" customFormat="1" x14ac:dyDescent="0.2">
      <c r="A20096" s="6" t="str">
        <f>"HAP1"</f>
        <v>HAP1</v>
      </c>
      <c r="B20096" s="6" t="s">
        <v>1</v>
      </c>
      <c r="C20096" s="6" t="s">
        <v>1</v>
      </c>
    </row>
    <row r="20097" spans="1:3" s="7" customFormat="1" x14ac:dyDescent="0.2">
      <c r="A20097" s="6" t="str">
        <f>"B4GALT1-AS1"</f>
        <v>B4GALT1-AS1</v>
      </c>
      <c r="B20097" s="6" t="s">
        <v>1</v>
      </c>
      <c r="C20097" s="6" t="s">
        <v>1</v>
      </c>
    </row>
    <row r="20098" spans="1:3" s="7" customFormat="1" x14ac:dyDescent="0.2">
      <c r="A20098" s="6" t="str">
        <f>"SAA4"</f>
        <v>SAA4</v>
      </c>
      <c r="B20098" s="6" t="s">
        <v>1</v>
      </c>
      <c r="C20098" s="6" t="s">
        <v>1</v>
      </c>
    </row>
    <row r="20099" spans="1:3" s="7" customFormat="1" x14ac:dyDescent="0.2">
      <c r="A20099" s="6" t="str">
        <f>"LNCOC1"</f>
        <v>LNCOC1</v>
      </c>
      <c r="B20099" s="6" t="s">
        <v>1</v>
      </c>
      <c r="C20099" s="6" t="s">
        <v>1</v>
      </c>
    </row>
    <row r="20100" spans="1:3" s="7" customFormat="1" x14ac:dyDescent="0.2">
      <c r="A20100" s="6" t="str">
        <f>"CASC9"</f>
        <v>CASC9</v>
      </c>
      <c r="B20100" s="6" t="s">
        <v>1</v>
      </c>
      <c r="C20100" s="6" t="s">
        <v>1</v>
      </c>
    </row>
    <row r="20101" spans="1:3" s="7" customFormat="1" x14ac:dyDescent="0.2">
      <c r="A20101" s="6" t="str">
        <f>"C2CD4A"</f>
        <v>C2CD4A</v>
      </c>
      <c r="B20101" s="6" t="s">
        <v>1</v>
      </c>
      <c r="C20101" s="6" t="s">
        <v>1</v>
      </c>
    </row>
    <row r="20102" spans="1:3" s="7" customFormat="1" x14ac:dyDescent="0.2">
      <c r="A20102" s="6" t="str">
        <f>"KLK5"</f>
        <v>KLK5</v>
      </c>
      <c r="B20102" s="6" t="s">
        <v>1</v>
      </c>
      <c r="C20102" s="6" t="s">
        <v>1</v>
      </c>
    </row>
    <row r="20103" spans="1:3" s="7" customFormat="1" x14ac:dyDescent="0.2">
      <c r="A20103" s="6" t="str">
        <f>"AL031595.3"</f>
        <v>AL031595.3</v>
      </c>
      <c r="B20103" s="6" t="s">
        <v>1</v>
      </c>
      <c r="C20103" s="6" t="s">
        <v>1</v>
      </c>
    </row>
    <row r="20104" spans="1:3" s="7" customFormat="1" x14ac:dyDescent="0.2">
      <c r="A20104" s="6" t="str">
        <f>"AC004706.3"</f>
        <v>AC004706.3</v>
      </c>
      <c r="B20104" s="6" t="s">
        <v>1</v>
      </c>
      <c r="C20104" s="6" t="s">
        <v>1</v>
      </c>
    </row>
    <row r="20105" spans="1:3" s="7" customFormat="1" x14ac:dyDescent="0.2">
      <c r="A20105" s="6" t="str">
        <f>"SMAD6"</f>
        <v>SMAD6</v>
      </c>
      <c r="B20105" s="6" t="s">
        <v>1</v>
      </c>
      <c r="C20105" s="6" t="s">
        <v>1</v>
      </c>
    </row>
    <row r="20106" spans="1:3" s="7" customFormat="1" x14ac:dyDescent="0.2">
      <c r="A20106" s="6" t="str">
        <f>"AC107375.1"</f>
        <v>AC107375.1</v>
      </c>
      <c r="B20106" s="6" t="s">
        <v>1</v>
      </c>
      <c r="C20106" s="6" t="s">
        <v>1</v>
      </c>
    </row>
    <row r="20107" spans="1:3" s="7" customFormat="1" x14ac:dyDescent="0.2">
      <c r="A20107" s="6" t="str">
        <f>"AL133367.1"</f>
        <v>AL133367.1</v>
      </c>
      <c r="B20107" s="6" t="s">
        <v>1</v>
      </c>
      <c r="C20107" s="6" t="s">
        <v>1</v>
      </c>
    </row>
    <row r="20108" spans="1:3" s="7" customFormat="1" x14ac:dyDescent="0.2">
      <c r="A20108" s="6" t="str">
        <f>"BACH2"</f>
        <v>BACH2</v>
      </c>
      <c r="B20108" s="6" t="s">
        <v>1</v>
      </c>
      <c r="C20108" s="6" t="s">
        <v>1</v>
      </c>
    </row>
    <row r="20109" spans="1:3" s="7" customFormat="1" x14ac:dyDescent="0.2">
      <c r="A20109" s="6" t="str">
        <f>"AC106865.1"</f>
        <v>AC106865.1</v>
      </c>
      <c r="B20109" s="6" t="s">
        <v>1</v>
      </c>
      <c r="C20109" s="6" t="s">
        <v>1</v>
      </c>
    </row>
    <row r="20110" spans="1:3" s="7" customFormat="1" x14ac:dyDescent="0.2">
      <c r="A20110" s="6" t="str">
        <f>"GJB6"</f>
        <v>GJB6</v>
      </c>
      <c r="B20110" s="6" t="s">
        <v>1</v>
      </c>
      <c r="C20110" s="6" t="s">
        <v>1</v>
      </c>
    </row>
    <row r="20111" spans="1:3" s="7" customFormat="1" x14ac:dyDescent="0.2">
      <c r="A20111" s="6" t="str">
        <f>"CELF6"</f>
        <v>CELF6</v>
      </c>
      <c r="B20111" s="6" t="s">
        <v>1</v>
      </c>
      <c r="C20111" s="6" t="s">
        <v>1</v>
      </c>
    </row>
    <row r="20112" spans="1:3" s="7" customFormat="1" x14ac:dyDescent="0.2">
      <c r="A20112" s="6" t="str">
        <f>"ZNF284"</f>
        <v>ZNF284</v>
      </c>
      <c r="B20112" s="6" t="s">
        <v>1</v>
      </c>
      <c r="C20112" s="6" t="s">
        <v>1</v>
      </c>
    </row>
    <row r="20113" spans="1:3" s="7" customFormat="1" x14ac:dyDescent="0.2">
      <c r="A20113" s="6" t="str">
        <f>"NYAP1"</f>
        <v>NYAP1</v>
      </c>
      <c r="B20113" s="6" t="s">
        <v>1</v>
      </c>
      <c r="C20113" s="6" t="s">
        <v>1</v>
      </c>
    </row>
    <row r="20114" spans="1:3" s="7" customFormat="1" x14ac:dyDescent="0.2">
      <c r="A20114" s="6" t="str">
        <f>"LINC02038"</f>
        <v>LINC02038</v>
      </c>
      <c r="B20114" s="6" t="s">
        <v>1</v>
      </c>
      <c r="C20114" s="6" t="s">
        <v>1</v>
      </c>
    </row>
    <row r="20115" spans="1:3" s="7" customFormat="1" x14ac:dyDescent="0.2">
      <c r="A20115" s="6" t="str">
        <f>"CARMIL2"</f>
        <v>CARMIL2</v>
      </c>
      <c r="B20115" s="6" t="s">
        <v>1</v>
      </c>
      <c r="C20115" s="6" t="s">
        <v>1</v>
      </c>
    </row>
    <row r="20116" spans="1:3" s="7" customFormat="1" x14ac:dyDescent="0.2">
      <c r="A20116" s="6" t="str">
        <f>"AL353751.1"</f>
        <v>AL353751.1</v>
      </c>
      <c r="B20116" s="6" t="s">
        <v>1</v>
      </c>
      <c r="C20116" s="6" t="s">
        <v>1</v>
      </c>
    </row>
    <row r="20117" spans="1:3" s="7" customFormat="1" x14ac:dyDescent="0.2">
      <c r="A20117" s="6" t="str">
        <f>"CNTN1"</f>
        <v>CNTN1</v>
      </c>
      <c r="B20117" s="6" t="s">
        <v>1</v>
      </c>
      <c r="C20117" s="6" t="s">
        <v>1</v>
      </c>
    </row>
    <row r="20118" spans="1:3" s="7" customFormat="1" x14ac:dyDescent="0.2">
      <c r="A20118" s="6" t="str">
        <f>"RPP38-DT"</f>
        <v>RPP38-DT</v>
      </c>
      <c r="B20118" s="6" t="s">
        <v>1</v>
      </c>
      <c r="C20118" s="6" t="s">
        <v>1</v>
      </c>
    </row>
    <row r="20119" spans="1:3" s="7" customFormat="1" x14ac:dyDescent="0.2">
      <c r="A20119" s="6" t="str">
        <f>"GPRIN1"</f>
        <v>GPRIN1</v>
      </c>
      <c r="B20119" s="6" t="s">
        <v>1</v>
      </c>
      <c r="C20119" s="6" t="s">
        <v>1</v>
      </c>
    </row>
    <row r="20120" spans="1:3" s="7" customFormat="1" x14ac:dyDescent="0.2">
      <c r="A20120" s="6" t="str">
        <f>"NOTCH2NLR"</f>
        <v>NOTCH2NLR</v>
      </c>
      <c r="B20120" s="6" t="s">
        <v>1</v>
      </c>
      <c r="C20120" s="6" t="s">
        <v>1</v>
      </c>
    </row>
    <row r="20121" spans="1:3" s="7" customFormat="1" x14ac:dyDescent="0.2">
      <c r="A20121" s="6" t="str">
        <f>"AC022415.2"</f>
        <v>AC022415.2</v>
      </c>
      <c r="B20121" s="6" t="s">
        <v>1</v>
      </c>
      <c r="C20121" s="6" t="s">
        <v>1</v>
      </c>
    </row>
    <row r="20122" spans="1:3" s="7" customFormat="1" x14ac:dyDescent="0.2">
      <c r="A20122" s="6" t="str">
        <f>"SH3PXD2A-AS1"</f>
        <v>SH3PXD2A-AS1</v>
      </c>
      <c r="B20122" s="6" t="s">
        <v>1</v>
      </c>
      <c r="C20122" s="6" t="s">
        <v>1</v>
      </c>
    </row>
    <row r="20123" spans="1:3" s="7" customFormat="1" x14ac:dyDescent="0.2">
      <c r="A20123" s="6" t="str">
        <f>"MCOLN2"</f>
        <v>MCOLN2</v>
      </c>
      <c r="B20123" s="6" t="s">
        <v>1</v>
      </c>
      <c r="C20123" s="6" t="s">
        <v>1</v>
      </c>
    </row>
    <row r="20124" spans="1:3" s="7" customFormat="1" x14ac:dyDescent="0.2">
      <c r="A20124" s="6" t="str">
        <f>"ASIC3"</f>
        <v>ASIC3</v>
      </c>
      <c r="B20124" s="6" t="s">
        <v>1</v>
      </c>
      <c r="C20124" s="6" t="s">
        <v>1</v>
      </c>
    </row>
    <row r="20125" spans="1:3" s="7" customFormat="1" x14ac:dyDescent="0.2">
      <c r="A20125" s="6" t="str">
        <f>"AC004922.1"</f>
        <v>AC004922.1</v>
      </c>
      <c r="B20125" s="6" t="s">
        <v>1</v>
      </c>
      <c r="C20125" s="6" t="s">
        <v>1</v>
      </c>
    </row>
    <row r="20126" spans="1:3" s="7" customFormat="1" x14ac:dyDescent="0.2">
      <c r="A20126" s="6" t="str">
        <f>"PPAN-P2RY11"</f>
        <v>PPAN-P2RY11</v>
      </c>
      <c r="B20126" s="6" t="s">
        <v>1</v>
      </c>
      <c r="C20126" s="6" t="s">
        <v>1</v>
      </c>
    </row>
    <row r="20127" spans="1:3" s="7" customFormat="1" x14ac:dyDescent="0.2">
      <c r="A20127" s="6" t="str">
        <f>"MIR3150BHG"</f>
        <v>MIR3150BHG</v>
      </c>
      <c r="B20127" s="6" t="s">
        <v>1</v>
      </c>
      <c r="C20127" s="6" t="s">
        <v>1</v>
      </c>
    </row>
    <row r="20128" spans="1:3" s="7" customFormat="1" x14ac:dyDescent="0.2">
      <c r="A20128" s="6" t="str">
        <f>"VGLL3"</f>
        <v>VGLL3</v>
      </c>
      <c r="B20128" s="6" t="s">
        <v>1</v>
      </c>
      <c r="C20128" s="6" t="s">
        <v>1</v>
      </c>
    </row>
    <row r="20129" spans="1:3" s="7" customFormat="1" x14ac:dyDescent="0.2">
      <c r="A20129" s="6" t="str">
        <f>"FAAP24"</f>
        <v>FAAP24</v>
      </c>
      <c r="B20129" s="6" t="s">
        <v>1</v>
      </c>
      <c r="C20129" s="6" t="s">
        <v>1</v>
      </c>
    </row>
    <row r="20130" spans="1:3" s="7" customFormat="1" x14ac:dyDescent="0.2">
      <c r="A20130" s="6" t="str">
        <f>"UFSP1"</f>
        <v>UFSP1</v>
      </c>
      <c r="B20130" s="6" t="s">
        <v>1</v>
      </c>
      <c r="C20130" s="6" t="s">
        <v>1</v>
      </c>
    </row>
    <row r="20131" spans="1:3" s="7" customFormat="1" x14ac:dyDescent="0.2">
      <c r="A20131" s="6" t="str">
        <f>"AC012645.1"</f>
        <v>AC012645.1</v>
      </c>
      <c r="B20131" s="6" t="s">
        <v>1</v>
      </c>
      <c r="C20131" s="6" t="s">
        <v>1</v>
      </c>
    </row>
    <row r="20132" spans="1:3" s="7" customFormat="1" x14ac:dyDescent="0.2">
      <c r="A20132" s="6" t="str">
        <f>"CHRNE"</f>
        <v>CHRNE</v>
      </c>
      <c r="B20132" s="6" t="s">
        <v>1</v>
      </c>
      <c r="C20132" s="6" t="s">
        <v>1</v>
      </c>
    </row>
    <row r="20133" spans="1:3" s="7" customFormat="1" x14ac:dyDescent="0.2">
      <c r="A20133" s="6" t="str">
        <f>"PLEKHG4B"</f>
        <v>PLEKHG4B</v>
      </c>
      <c r="B20133" s="6" t="s">
        <v>1</v>
      </c>
      <c r="C20133" s="6" t="s">
        <v>1</v>
      </c>
    </row>
    <row r="20134" spans="1:3" s="7" customFormat="1" x14ac:dyDescent="0.2">
      <c r="A20134" s="6" t="str">
        <f>"NOXO1"</f>
        <v>NOXO1</v>
      </c>
      <c r="B20134" s="6" t="s">
        <v>1</v>
      </c>
      <c r="C20134" s="6" t="s">
        <v>1</v>
      </c>
    </row>
    <row r="20135" spans="1:3" s="7" customFormat="1" x14ac:dyDescent="0.2">
      <c r="A20135" s="6" t="str">
        <f>"AC007342.4"</f>
        <v>AC007342.4</v>
      </c>
      <c r="B20135" s="6" t="s">
        <v>1</v>
      </c>
      <c r="C20135" s="6" t="s">
        <v>1</v>
      </c>
    </row>
    <row r="20136" spans="1:3" s="7" customFormat="1" x14ac:dyDescent="0.2">
      <c r="A20136" s="6" t="str">
        <f>"AL442067.3"</f>
        <v>AL442067.3</v>
      </c>
      <c r="B20136" s="6" t="s">
        <v>1</v>
      </c>
      <c r="C20136" s="6" t="s">
        <v>1</v>
      </c>
    </row>
    <row r="20137" spans="1:3" s="7" customFormat="1" x14ac:dyDescent="0.2">
      <c r="A20137" s="6" t="str">
        <f>"AL031123.2"</f>
        <v>AL031123.2</v>
      </c>
      <c r="B20137" s="6" t="s">
        <v>1</v>
      </c>
      <c r="C20137" s="6" t="s">
        <v>1</v>
      </c>
    </row>
    <row r="20138" spans="1:3" s="7" customFormat="1" x14ac:dyDescent="0.2">
      <c r="A20138" s="6" t="str">
        <f>"DNMT3B"</f>
        <v>DNMT3B</v>
      </c>
      <c r="B20138" s="6" t="s">
        <v>1</v>
      </c>
      <c r="C20138" s="6" t="s">
        <v>1</v>
      </c>
    </row>
    <row r="20139" spans="1:3" s="7" customFormat="1" x14ac:dyDescent="0.2">
      <c r="A20139" s="6" t="str">
        <f>"ADNP-AS1"</f>
        <v>ADNP-AS1</v>
      </c>
      <c r="B20139" s="6" t="s">
        <v>1</v>
      </c>
      <c r="C20139" s="6" t="s">
        <v>1</v>
      </c>
    </row>
    <row r="20140" spans="1:3" s="7" customFormat="1" x14ac:dyDescent="0.2">
      <c r="A20140" s="6" t="str">
        <f>"AL354920.1"</f>
        <v>AL354920.1</v>
      </c>
      <c r="B20140" s="6" t="s">
        <v>1</v>
      </c>
      <c r="C20140" s="6" t="s">
        <v>1</v>
      </c>
    </row>
    <row r="20141" spans="1:3" s="7" customFormat="1" x14ac:dyDescent="0.2">
      <c r="A20141" s="6" t="str">
        <f>"CASC15"</f>
        <v>CASC15</v>
      </c>
      <c r="B20141" s="6" t="s">
        <v>1</v>
      </c>
      <c r="C20141" s="6" t="s">
        <v>1</v>
      </c>
    </row>
    <row r="20142" spans="1:3" s="7" customFormat="1" x14ac:dyDescent="0.2">
      <c r="A20142" s="6" t="str">
        <f>"TTLL13P"</f>
        <v>TTLL13P</v>
      </c>
      <c r="B20142" s="6" t="s">
        <v>1</v>
      </c>
      <c r="C20142" s="6" t="s">
        <v>1</v>
      </c>
    </row>
    <row r="20143" spans="1:3" s="7" customFormat="1" x14ac:dyDescent="0.2">
      <c r="A20143" s="6" t="str">
        <f>"CEACAM19"</f>
        <v>CEACAM19</v>
      </c>
      <c r="B20143" s="6" t="s">
        <v>1</v>
      </c>
      <c r="C20143" s="6" t="s">
        <v>1</v>
      </c>
    </row>
    <row r="20144" spans="1:3" s="7" customFormat="1" x14ac:dyDescent="0.2">
      <c r="A20144" s="6" t="str">
        <f>"AC007566.1"</f>
        <v>AC007566.1</v>
      </c>
      <c r="B20144" s="6" t="s">
        <v>1</v>
      </c>
      <c r="C20144" s="6" t="s">
        <v>1</v>
      </c>
    </row>
    <row r="20145" spans="1:3" s="7" customFormat="1" x14ac:dyDescent="0.2">
      <c r="A20145" s="6" t="str">
        <f>"FAT4"</f>
        <v>FAT4</v>
      </c>
      <c r="B20145" s="6" t="s">
        <v>1</v>
      </c>
      <c r="C20145" s="6" t="s">
        <v>1</v>
      </c>
    </row>
    <row r="20146" spans="1:3" s="7" customFormat="1" x14ac:dyDescent="0.2">
      <c r="A20146" s="6" t="str">
        <f>"AC244669.1"</f>
        <v>AC244669.1</v>
      </c>
      <c r="B20146" s="6" t="s">
        <v>1</v>
      </c>
      <c r="C20146" s="6" t="s">
        <v>1</v>
      </c>
    </row>
    <row r="20147" spans="1:3" s="7" customFormat="1" x14ac:dyDescent="0.2">
      <c r="A20147" s="6" t="str">
        <f>"MIR4453HG"</f>
        <v>MIR4453HG</v>
      </c>
      <c r="B20147" s="6" t="s">
        <v>1</v>
      </c>
      <c r="C20147" s="6" t="s">
        <v>1</v>
      </c>
    </row>
    <row r="20148" spans="1:3" s="7" customFormat="1" x14ac:dyDescent="0.2">
      <c r="A20148" s="6" t="str">
        <f>"UCP3"</f>
        <v>UCP3</v>
      </c>
      <c r="B20148" s="6" t="s">
        <v>1</v>
      </c>
      <c r="C20148" s="6" t="s">
        <v>1</v>
      </c>
    </row>
    <row r="20149" spans="1:3" s="7" customFormat="1" x14ac:dyDescent="0.2">
      <c r="A20149" s="6" t="str">
        <f>"SHISA6"</f>
        <v>SHISA6</v>
      </c>
      <c r="B20149" s="6" t="s">
        <v>1</v>
      </c>
      <c r="C20149" s="6" t="s">
        <v>1</v>
      </c>
    </row>
    <row r="20150" spans="1:3" s="7" customFormat="1" x14ac:dyDescent="0.2">
      <c r="A20150" s="6" t="str">
        <f>"CCN3"</f>
        <v>CCN3</v>
      </c>
      <c r="B20150" s="6" t="s">
        <v>1</v>
      </c>
      <c r="C20150" s="6" t="s">
        <v>1</v>
      </c>
    </row>
    <row r="20151" spans="1:3" s="7" customFormat="1" x14ac:dyDescent="0.2">
      <c r="A20151" s="6" t="str">
        <f>"KCNJ12"</f>
        <v>KCNJ12</v>
      </c>
      <c r="B20151" s="6" t="s">
        <v>1</v>
      </c>
      <c r="C20151" s="6" t="s">
        <v>1</v>
      </c>
    </row>
    <row r="20152" spans="1:3" s="7" customFormat="1" x14ac:dyDescent="0.2">
      <c r="A20152" s="6" t="str">
        <f>"AC015802.7"</f>
        <v>AC015802.7</v>
      </c>
      <c r="B20152" s="6" t="s">
        <v>1</v>
      </c>
      <c r="C20152" s="6" t="s">
        <v>1</v>
      </c>
    </row>
    <row r="20153" spans="1:3" s="7" customFormat="1" x14ac:dyDescent="0.2">
      <c r="A20153" s="6" t="str">
        <f>"AC106886.2"</f>
        <v>AC106886.2</v>
      </c>
      <c r="B20153" s="6" t="s">
        <v>1</v>
      </c>
      <c r="C20153" s="6" t="s">
        <v>1</v>
      </c>
    </row>
    <row r="20154" spans="1:3" s="7" customFormat="1" x14ac:dyDescent="0.2">
      <c r="A20154" s="6" t="str">
        <f>"LINC01101"</f>
        <v>LINC01101</v>
      </c>
      <c r="B20154" s="6" t="s">
        <v>1</v>
      </c>
      <c r="C20154" s="6" t="s">
        <v>1</v>
      </c>
    </row>
    <row r="20155" spans="1:3" s="7" customFormat="1" x14ac:dyDescent="0.2">
      <c r="A20155" s="6" t="str">
        <f>"C2orf92"</f>
        <v>C2orf92</v>
      </c>
      <c r="B20155" s="6" t="s">
        <v>1</v>
      </c>
      <c r="C20155" s="6" t="s">
        <v>1</v>
      </c>
    </row>
    <row r="20156" spans="1:3" s="7" customFormat="1" x14ac:dyDescent="0.2">
      <c r="A20156" s="6" t="str">
        <f>"AC107464.2"</f>
        <v>AC107464.2</v>
      </c>
      <c r="B20156" s="6" t="s">
        <v>1</v>
      </c>
      <c r="C20156" s="6" t="s">
        <v>1</v>
      </c>
    </row>
    <row r="20157" spans="1:3" s="7" customFormat="1" x14ac:dyDescent="0.2">
      <c r="A20157" s="6" t="str">
        <f>"AC022400.7"</f>
        <v>AC022400.7</v>
      </c>
      <c r="B20157" s="6" t="s">
        <v>1</v>
      </c>
      <c r="C20157" s="6" t="s">
        <v>1</v>
      </c>
    </row>
    <row r="20158" spans="1:3" s="7" customFormat="1" x14ac:dyDescent="0.2">
      <c r="A20158" s="6" t="str">
        <f>"AQP6"</f>
        <v>AQP6</v>
      </c>
      <c r="B20158" s="6" t="s">
        <v>1</v>
      </c>
      <c r="C20158" s="6" t="s">
        <v>1</v>
      </c>
    </row>
    <row r="20159" spans="1:3" s="7" customFormat="1" x14ac:dyDescent="0.2">
      <c r="A20159" s="6" t="str">
        <f>"GJC2"</f>
        <v>GJC2</v>
      </c>
      <c r="B20159" s="6" t="s">
        <v>1</v>
      </c>
      <c r="C20159" s="6" t="s">
        <v>1</v>
      </c>
    </row>
    <row r="20160" spans="1:3" s="7" customFormat="1" x14ac:dyDescent="0.2">
      <c r="A20160" s="6" t="str">
        <f>"AC244100.3"</f>
        <v>AC244100.3</v>
      </c>
      <c r="B20160" s="6" t="s">
        <v>1</v>
      </c>
      <c r="C20160" s="6" t="s">
        <v>1</v>
      </c>
    </row>
    <row r="20161" spans="1:3" s="7" customFormat="1" x14ac:dyDescent="0.2">
      <c r="A20161" s="6" t="str">
        <f>"TTTY10"</f>
        <v>TTTY10</v>
      </c>
      <c r="B20161" s="6" t="s">
        <v>1</v>
      </c>
      <c r="C20161" s="6" t="s">
        <v>1</v>
      </c>
    </row>
    <row r="20162" spans="1:3" s="7" customFormat="1" x14ac:dyDescent="0.2">
      <c r="A20162" s="6" t="str">
        <f>"ZNF625"</f>
        <v>ZNF625</v>
      </c>
      <c r="B20162" s="6" t="s">
        <v>1</v>
      </c>
      <c r="C20162" s="6" t="s">
        <v>1</v>
      </c>
    </row>
    <row r="20163" spans="1:3" s="7" customFormat="1" x14ac:dyDescent="0.2">
      <c r="A20163" s="6" t="str">
        <f>"RAD54B"</f>
        <v>RAD54B</v>
      </c>
      <c r="B20163" s="6" t="s">
        <v>1</v>
      </c>
      <c r="C20163" s="6" t="s">
        <v>1</v>
      </c>
    </row>
    <row r="20164" spans="1:3" s="7" customFormat="1" x14ac:dyDescent="0.2">
      <c r="A20164" s="6" t="str">
        <f>"LDLRAD3"</f>
        <v>LDLRAD3</v>
      </c>
      <c r="B20164" s="6" t="s">
        <v>1</v>
      </c>
      <c r="C20164" s="6" t="s">
        <v>1</v>
      </c>
    </row>
    <row r="20165" spans="1:3" s="7" customFormat="1" x14ac:dyDescent="0.2">
      <c r="A20165" s="6" t="str">
        <f>"LINC01011"</f>
        <v>LINC01011</v>
      </c>
      <c r="B20165" s="6" t="s">
        <v>1</v>
      </c>
      <c r="C20165" s="6" t="s">
        <v>1</v>
      </c>
    </row>
    <row r="20166" spans="1:3" s="7" customFormat="1" x14ac:dyDescent="0.2">
      <c r="A20166" s="6" t="str">
        <f>"ZNF620"</f>
        <v>ZNF620</v>
      </c>
      <c r="B20166" s="6" t="s">
        <v>1</v>
      </c>
      <c r="C20166" s="6" t="s">
        <v>1</v>
      </c>
    </row>
    <row r="20167" spans="1:3" s="7" customFormat="1" x14ac:dyDescent="0.2">
      <c r="A20167" s="6" t="str">
        <f>"PRORSD1P"</f>
        <v>PRORSD1P</v>
      </c>
      <c r="B20167" s="6" t="s">
        <v>1</v>
      </c>
      <c r="C20167" s="6" t="s">
        <v>1</v>
      </c>
    </row>
    <row r="20168" spans="1:3" s="7" customFormat="1" x14ac:dyDescent="0.2">
      <c r="A20168" s="6" t="str">
        <f>"F13A1"</f>
        <v>F13A1</v>
      </c>
      <c r="B20168" s="6" t="s">
        <v>1</v>
      </c>
      <c r="C20168" s="6" t="s">
        <v>1</v>
      </c>
    </row>
    <row r="20169" spans="1:3" s="7" customFormat="1" x14ac:dyDescent="0.2">
      <c r="A20169" s="6" t="str">
        <f>"MYLK4"</f>
        <v>MYLK4</v>
      </c>
      <c r="B20169" s="6" t="s">
        <v>1</v>
      </c>
      <c r="C20169" s="6" t="s">
        <v>1</v>
      </c>
    </row>
    <row r="20170" spans="1:3" s="7" customFormat="1" x14ac:dyDescent="0.2">
      <c r="A20170" s="6" t="str">
        <f>"KLHL35"</f>
        <v>KLHL35</v>
      </c>
      <c r="B20170" s="6" t="s">
        <v>1</v>
      </c>
      <c r="C20170" s="6" t="s">
        <v>1</v>
      </c>
    </row>
    <row r="20171" spans="1:3" s="7" customFormat="1" x14ac:dyDescent="0.2">
      <c r="A20171" s="6" t="str">
        <f>"LNP1"</f>
        <v>LNP1</v>
      </c>
      <c r="B20171" s="6" t="s">
        <v>1</v>
      </c>
      <c r="C20171" s="6" t="s">
        <v>1</v>
      </c>
    </row>
    <row r="20172" spans="1:3" s="7" customFormat="1" x14ac:dyDescent="0.2">
      <c r="A20172" s="6" t="str">
        <f>"SLX1B"</f>
        <v>SLX1B</v>
      </c>
      <c r="B20172" s="6" t="s">
        <v>1</v>
      </c>
      <c r="C20172" s="6" t="s">
        <v>1</v>
      </c>
    </row>
    <row r="20173" spans="1:3" s="7" customFormat="1" x14ac:dyDescent="0.2">
      <c r="A20173" s="6" t="str">
        <f>"AC022211.2"</f>
        <v>AC022211.2</v>
      </c>
      <c r="B20173" s="6" t="s">
        <v>1</v>
      </c>
      <c r="C20173" s="6" t="s">
        <v>1</v>
      </c>
    </row>
    <row r="20174" spans="1:3" s="7" customFormat="1" x14ac:dyDescent="0.2">
      <c r="A20174" s="6" t="str">
        <f>"GABRG3"</f>
        <v>GABRG3</v>
      </c>
      <c r="B20174" s="6" t="s">
        <v>1</v>
      </c>
      <c r="C20174" s="6" t="s">
        <v>1</v>
      </c>
    </row>
    <row r="20175" spans="1:3" s="7" customFormat="1" x14ac:dyDescent="0.2">
      <c r="A20175" s="6" t="str">
        <f>"FLG"</f>
        <v>FLG</v>
      </c>
      <c r="B20175" s="6" t="s">
        <v>1</v>
      </c>
      <c r="C20175" s="6" t="s">
        <v>1</v>
      </c>
    </row>
    <row r="20176" spans="1:3" s="7" customFormat="1" x14ac:dyDescent="0.2">
      <c r="A20176" s="6" t="str">
        <f>"MAMLD1"</f>
        <v>MAMLD1</v>
      </c>
      <c r="B20176" s="6" t="s">
        <v>1</v>
      </c>
      <c r="C20176" s="6" t="s">
        <v>1</v>
      </c>
    </row>
    <row r="20177" spans="1:3" s="7" customFormat="1" x14ac:dyDescent="0.2">
      <c r="A20177" s="6" t="str">
        <f>"AC004967.2"</f>
        <v>AC004967.2</v>
      </c>
      <c r="B20177" s="6" t="s">
        <v>1</v>
      </c>
      <c r="C20177" s="6" t="s">
        <v>1</v>
      </c>
    </row>
    <row r="20178" spans="1:3" s="7" customFormat="1" x14ac:dyDescent="0.2">
      <c r="A20178" s="6" t="str">
        <f>"RAMP2-AS1"</f>
        <v>RAMP2-AS1</v>
      </c>
      <c r="B20178" s="6" t="s">
        <v>1</v>
      </c>
      <c r="C20178" s="6" t="s">
        <v>1</v>
      </c>
    </row>
    <row r="20179" spans="1:3" s="7" customFormat="1" x14ac:dyDescent="0.2">
      <c r="A20179" s="6" t="str">
        <f>"ASB9"</f>
        <v>ASB9</v>
      </c>
      <c r="B20179" s="6" t="s">
        <v>1</v>
      </c>
      <c r="C20179" s="6" t="s">
        <v>1</v>
      </c>
    </row>
    <row r="20180" spans="1:3" s="7" customFormat="1" x14ac:dyDescent="0.2">
      <c r="A20180" s="6" t="str">
        <f>"AC107027.3"</f>
        <v>AC107027.3</v>
      </c>
      <c r="B20180" s="6" t="s">
        <v>1</v>
      </c>
      <c r="C20180" s="6" t="s">
        <v>1</v>
      </c>
    </row>
    <row r="20181" spans="1:3" s="7" customFormat="1" x14ac:dyDescent="0.2">
      <c r="A20181" s="6" t="str">
        <f>"KCNC3"</f>
        <v>KCNC3</v>
      </c>
      <c r="B20181" s="6" t="s">
        <v>1</v>
      </c>
      <c r="C20181" s="6" t="s">
        <v>1</v>
      </c>
    </row>
    <row r="20182" spans="1:3" s="7" customFormat="1" x14ac:dyDescent="0.2">
      <c r="A20182" s="6" t="str">
        <f>"HAAO"</f>
        <v>HAAO</v>
      </c>
      <c r="B20182" s="6" t="s">
        <v>1</v>
      </c>
      <c r="C20182" s="6" t="s">
        <v>1</v>
      </c>
    </row>
    <row r="20183" spans="1:3" s="7" customFormat="1" x14ac:dyDescent="0.2">
      <c r="A20183" s="6" t="str">
        <f>"KLHL41"</f>
        <v>KLHL41</v>
      </c>
      <c r="B20183" s="6" t="s">
        <v>1</v>
      </c>
      <c r="C20183" s="6" t="s">
        <v>1</v>
      </c>
    </row>
    <row r="20184" spans="1:3" s="7" customFormat="1" x14ac:dyDescent="0.2">
      <c r="A20184" s="6" t="str">
        <f>"ZNF280B"</f>
        <v>ZNF280B</v>
      </c>
      <c r="B20184" s="6" t="s">
        <v>1</v>
      </c>
      <c r="C20184" s="6" t="s">
        <v>1</v>
      </c>
    </row>
    <row r="20185" spans="1:3" s="7" customFormat="1" x14ac:dyDescent="0.2">
      <c r="A20185" s="6" t="str">
        <f>"MIR3936HG"</f>
        <v>MIR3936HG</v>
      </c>
      <c r="B20185" s="6" t="s">
        <v>1</v>
      </c>
      <c r="C20185" s="6" t="s">
        <v>1</v>
      </c>
    </row>
    <row r="20186" spans="1:3" s="7" customFormat="1" x14ac:dyDescent="0.2">
      <c r="A20186" s="6" t="str">
        <f>"FLVCR2"</f>
        <v>FLVCR2</v>
      </c>
      <c r="B20186" s="6" t="s">
        <v>1</v>
      </c>
      <c r="C20186" s="6" t="s">
        <v>1</v>
      </c>
    </row>
    <row r="20187" spans="1:3" s="7" customFormat="1" x14ac:dyDescent="0.2">
      <c r="A20187" s="6" t="str">
        <f>"C21orf62-AS1"</f>
        <v>C21orf62-AS1</v>
      </c>
      <c r="B20187" s="6" t="s">
        <v>1</v>
      </c>
      <c r="C20187" s="6" t="s">
        <v>1</v>
      </c>
    </row>
    <row r="20188" spans="1:3" s="7" customFormat="1" x14ac:dyDescent="0.2">
      <c r="A20188" s="6" t="str">
        <f>"AC108134.4"</f>
        <v>AC108134.4</v>
      </c>
      <c r="B20188" s="6" t="s">
        <v>1</v>
      </c>
      <c r="C20188" s="6" t="s">
        <v>1</v>
      </c>
    </row>
    <row r="20189" spans="1:3" s="7" customFormat="1" x14ac:dyDescent="0.2">
      <c r="A20189" s="6" t="str">
        <f>"NPIPB2"</f>
        <v>NPIPB2</v>
      </c>
      <c r="B20189" s="6" t="s">
        <v>1</v>
      </c>
      <c r="C20189" s="6" t="s">
        <v>1</v>
      </c>
    </row>
    <row r="20190" spans="1:3" s="7" customFormat="1" x14ac:dyDescent="0.2">
      <c r="A20190" s="6" t="str">
        <f>"AL023875.1"</f>
        <v>AL023875.1</v>
      </c>
      <c r="B20190" s="6" t="s">
        <v>1</v>
      </c>
      <c r="C20190" s="6" t="s">
        <v>1</v>
      </c>
    </row>
    <row r="20191" spans="1:3" s="7" customFormat="1" x14ac:dyDescent="0.2">
      <c r="A20191" s="6" t="str">
        <f>"NPHP3-ACAD11"</f>
        <v>NPHP3-ACAD11</v>
      </c>
      <c r="B20191" s="6" t="s">
        <v>1</v>
      </c>
      <c r="C20191" s="6" t="s">
        <v>1</v>
      </c>
    </row>
    <row r="20192" spans="1:3" s="7" customFormat="1" x14ac:dyDescent="0.2">
      <c r="A20192" s="6" t="str">
        <f>"NPIPA7"</f>
        <v>NPIPA7</v>
      </c>
      <c r="B20192" s="6" t="s">
        <v>1</v>
      </c>
      <c r="C20192" s="6" t="s">
        <v>1</v>
      </c>
    </row>
    <row r="20193" spans="1:3" s="7" customFormat="1" x14ac:dyDescent="0.2">
      <c r="A20193" s="6" t="str">
        <f>"THAP2"</f>
        <v>THAP2</v>
      </c>
      <c r="B20193" s="6" t="s">
        <v>1</v>
      </c>
      <c r="C20193" s="6" t="s">
        <v>1</v>
      </c>
    </row>
    <row r="20194" spans="1:3" s="7" customFormat="1" x14ac:dyDescent="0.2">
      <c r="A20194" s="6" t="str">
        <f>"DEPDC1"</f>
        <v>DEPDC1</v>
      </c>
      <c r="B20194" s="6" t="s">
        <v>1</v>
      </c>
      <c r="C20194" s="6" t="s">
        <v>1</v>
      </c>
    </row>
    <row r="20195" spans="1:3" s="7" customFormat="1" x14ac:dyDescent="0.2">
      <c r="A20195" s="6" t="str">
        <f>"DNASE1L3"</f>
        <v>DNASE1L3</v>
      </c>
      <c r="B20195" s="6" t="s">
        <v>1</v>
      </c>
      <c r="C20195" s="6" t="s">
        <v>1</v>
      </c>
    </row>
    <row r="20196" spans="1:3" s="7" customFormat="1" x14ac:dyDescent="0.2">
      <c r="A20196" s="6" t="str">
        <f>"AL133338.1"</f>
        <v>AL133338.1</v>
      </c>
      <c r="B20196" s="6" t="s">
        <v>1</v>
      </c>
      <c r="C20196" s="6" t="s">
        <v>1</v>
      </c>
    </row>
    <row r="20197" spans="1:3" s="7" customFormat="1" x14ac:dyDescent="0.2">
      <c r="A20197" s="6" t="str">
        <f>"AP001021.1"</f>
        <v>AP001021.1</v>
      </c>
      <c r="B20197" s="6" t="s">
        <v>1</v>
      </c>
      <c r="C20197" s="6" t="s">
        <v>1</v>
      </c>
    </row>
    <row r="20198" spans="1:3" s="7" customFormat="1" x14ac:dyDescent="0.2">
      <c r="A20198" s="6" t="str">
        <f>"AL445489.1"</f>
        <v>AL445489.1</v>
      </c>
      <c r="B20198" s="6" t="s">
        <v>1</v>
      </c>
      <c r="C20198" s="6" t="s">
        <v>1</v>
      </c>
    </row>
    <row r="20199" spans="1:3" s="7" customFormat="1" x14ac:dyDescent="0.2">
      <c r="A20199" s="6" t="str">
        <f>"ALDH1L2"</f>
        <v>ALDH1L2</v>
      </c>
      <c r="B20199" s="6" t="s">
        <v>1</v>
      </c>
      <c r="C20199" s="6" t="s">
        <v>1</v>
      </c>
    </row>
    <row r="20200" spans="1:3" s="7" customFormat="1" x14ac:dyDescent="0.2">
      <c r="A20200" s="6" t="str">
        <f>"AC245140.2"</f>
        <v>AC245140.2</v>
      </c>
      <c r="B20200" s="6" t="s">
        <v>1</v>
      </c>
      <c r="C20200" s="6" t="s">
        <v>1</v>
      </c>
    </row>
    <row r="20201" spans="1:3" s="7" customFormat="1" x14ac:dyDescent="0.2">
      <c r="A20201" s="6" t="str">
        <f>"ASNS"</f>
        <v>ASNS</v>
      </c>
      <c r="B20201" s="6" t="s">
        <v>1</v>
      </c>
      <c r="C20201" s="6" t="s">
        <v>1</v>
      </c>
    </row>
    <row r="20202" spans="1:3" s="7" customFormat="1" x14ac:dyDescent="0.2">
      <c r="A20202" s="6" t="str">
        <f>"LINC01140"</f>
        <v>LINC01140</v>
      </c>
      <c r="B20202" s="6" t="s">
        <v>1</v>
      </c>
      <c r="C20202" s="6" t="s">
        <v>1</v>
      </c>
    </row>
    <row r="20203" spans="1:3" s="7" customFormat="1" x14ac:dyDescent="0.2">
      <c r="A20203" s="6" t="str">
        <f>"FZD7"</f>
        <v>FZD7</v>
      </c>
      <c r="B20203" s="6" t="s">
        <v>1</v>
      </c>
      <c r="C20203" s="6" t="s">
        <v>1</v>
      </c>
    </row>
    <row r="20204" spans="1:3" s="7" customFormat="1" x14ac:dyDescent="0.2">
      <c r="A20204" s="6" t="str">
        <f>"NEDD8-MDP1"</f>
        <v>NEDD8-MDP1</v>
      </c>
      <c r="B20204" s="6" t="s">
        <v>1</v>
      </c>
      <c r="C20204" s="6" t="s">
        <v>1</v>
      </c>
    </row>
    <row r="20205" spans="1:3" s="7" customFormat="1" x14ac:dyDescent="0.2">
      <c r="A20205" s="6" t="str">
        <f>"PTOV1-AS2"</f>
        <v>PTOV1-AS2</v>
      </c>
      <c r="B20205" s="6" t="s">
        <v>1</v>
      </c>
      <c r="C20205" s="6" t="s">
        <v>1</v>
      </c>
    </row>
    <row r="20206" spans="1:3" s="7" customFormat="1" x14ac:dyDescent="0.2">
      <c r="A20206" s="6" t="str">
        <f>"AC132872.1"</f>
        <v>AC132872.1</v>
      </c>
      <c r="B20206" s="6" t="s">
        <v>1</v>
      </c>
      <c r="C20206" s="6" t="s">
        <v>1</v>
      </c>
    </row>
    <row r="20207" spans="1:3" s="7" customFormat="1" x14ac:dyDescent="0.2">
      <c r="A20207" s="6" t="str">
        <f>"AC012640.2"</f>
        <v>AC012640.2</v>
      </c>
      <c r="B20207" s="6" t="s">
        <v>1</v>
      </c>
      <c r="C20207" s="6" t="s">
        <v>1</v>
      </c>
    </row>
    <row r="20208" spans="1:3" s="7" customFormat="1" x14ac:dyDescent="0.2">
      <c r="A20208" s="6" t="str">
        <f>"LINC01088"</f>
        <v>LINC01088</v>
      </c>
      <c r="B20208" s="6" t="s">
        <v>1</v>
      </c>
      <c r="C20208" s="6" t="s">
        <v>1</v>
      </c>
    </row>
    <row r="20209" spans="1:3" s="7" customFormat="1" x14ac:dyDescent="0.2">
      <c r="A20209" s="6" t="str">
        <f>"COCH"</f>
        <v>COCH</v>
      </c>
      <c r="B20209" s="6" t="s">
        <v>1</v>
      </c>
      <c r="C20209" s="6" t="s">
        <v>1</v>
      </c>
    </row>
    <row r="20210" spans="1:3" s="7" customFormat="1" x14ac:dyDescent="0.2">
      <c r="A20210" s="6" t="str">
        <f>"AP000692.2"</f>
        <v>AP000692.2</v>
      </c>
      <c r="B20210" s="6" t="s">
        <v>1</v>
      </c>
      <c r="C20210" s="6" t="s">
        <v>1</v>
      </c>
    </row>
    <row r="20211" spans="1:3" s="7" customFormat="1" x14ac:dyDescent="0.2">
      <c r="A20211" s="6" t="str">
        <f>"AC007342.3"</f>
        <v>AC007342.3</v>
      </c>
      <c r="B20211" s="6" t="s">
        <v>1</v>
      </c>
      <c r="C20211" s="6" t="s">
        <v>1</v>
      </c>
    </row>
    <row r="20212" spans="1:3" s="7" customFormat="1" x14ac:dyDescent="0.2">
      <c r="A20212" s="6" t="str">
        <f>"FAM95B1"</f>
        <v>FAM95B1</v>
      </c>
      <c r="B20212" s="6" t="s">
        <v>1</v>
      </c>
      <c r="C20212" s="6" t="s">
        <v>1</v>
      </c>
    </row>
    <row r="20213" spans="1:3" s="7" customFormat="1" x14ac:dyDescent="0.2">
      <c r="A20213" s="6" t="str">
        <f>"TTTY14"</f>
        <v>TTTY14</v>
      </c>
      <c r="B20213" s="6" t="s">
        <v>1</v>
      </c>
      <c r="C20213" s="6" t="s">
        <v>1</v>
      </c>
    </row>
    <row r="20214" spans="1:3" s="7" customFormat="1" x14ac:dyDescent="0.2">
      <c r="A20214" s="6" t="str">
        <f>"AC015813.5"</f>
        <v>AC015813.5</v>
      </c>
      <c r="B20214" s="6" t="s">
        <v>1</v>
      </c>
      <c r="C20214" s="6" t="s">
        <v>1</v>
      </c>
    </row>
    <row r="20215" spans="1:3" s="7" customFormat="1" x14ac:dyDescent="0.2">
      <c r="A20215" s="6" t="str">
        <f>"MYO7A"</f>
        <v>MYO7A</v>
      </c>
      <c r="B20215" s="6" t="s">
        <v>1</v>
      </c>
      <c r="C20215" s="6" t="s">
        <v>1</v>
      </c>
    </row>
    <row r="20216" spans="1:3" s="7" customFormat="1" x14ac:dyDescent="0.2">
      <c r="A20216" s="6" t="str">
        <f>"KLHDC1"</f>
        <v>KLHDC1</v>
      </c>
      <c r="B20216" s="6" t="s">
        <v>1</v>
      </c>
      <c r="C20216" s="6" t="s">
        <v>1</v>
      </c>
    </row>
    <row r="20217" spans="1:3" s="7" customFormat="1" x14ac:dyDescent="0.2">
      <c r="A20217" s="6" t="str">
        <f>"P2RX7"</f>
        <v>P2RX7</v>
      </c>
      <c r="B20217" s="6" t="s">
        <v>1</v>
      </c>
      <c r="C20217" s="6" t="s">
        <v>1</v>
      </c>
    </row>
    <row r="20218" spans="1:3" s="7" customFormat="1" x14ac:dyDescent="0.2">
      <c r="A20218" s="6" t="str">
        <f>"AC009779.3"</f>
        <v>AC009779.3</v>
      </c>
      <c r="B20218" s="6" t="s">
        <v>1</v>
      </c>
      <c r="C20218" s="6" t="s">
        <v>1</v>
      </c>
    </row>
    <row r="20219" spans="1:3" s="7" customFormat="1" x14ac:dyDescent="0.2">
      <c r="A20219" s="6" t="str">
        <f>"GPR75"</f>
        <v>GPR75</v>
      </c>
      <c r="B20219" s="6" t="s">
        <v>1</v>
      </c>
      <c r="C20219" s="6" t="s">
        <v>1</v>
      </c>
    </row>
    <row r="20220" spans="1:3" s="7" customFormat="1" x14ac:dyDescent="0.2">
      <c r="A20220" s="6" t="str">
        <f>"DOC2A"</f>
        <v>DOC2A</v>
      </c>
      <c r="B20220" s="6" t="s">
        <v>1</v>
      </c>
      <c r="C20220" s="6" t="s">
        <v>1</v>
      </c>
    </row>
    <row r="20221" spans="1:3" s="7" customFormat="1" x14ac:dyDescent="0.2">
      <c r="A20221" s="6" t="str">
        <f>"AC009318.1"</f>
        <v>AC009318.1</v>
      </c>
      <c r="B20221" s="6" t="s">
        <v>1</v>
      </c>
      <c r="C20221" s="6" t="s">
        <v>1</v>
      </c>
    </row>
    <row r="20222" spans="1:3" s="7" customFormat="1" x14ac:dyDescent="0.2">
      <c r="A20222" s="6" t="str">
        <f>"PTPN22"</f>
        <v>PTPN22</v>
      </c>
      <c r="B20222" s="6" t="s">
        <v>1</v>
      </c>
      <c r="C20222" s="6" t="s">
        <v>1</v>
      </c>
    </row>
    <row r="20223" spans="1:3" s="7" customFormat="1" x14ac:dyDescent="0.2">
      <c r="A20223" s="6" t="str">
        <f>"AC107068.1"</f>
        <v>AC107068.1</v>
      </c>
      <c r="B20223" s="6" t="s">
        <v>1</v>
      </c>
      <c r="C20223" s="6" t="s">
        <v>1</v>
      </c>
    </row>
    <row r="20224" spans="1:3" s="7" customFormat="1" x14ac:dyDescent="0.2">
      <c r="A20224" s="6" t="str">
        <f>"AL022328.4"</f>
        <v>AL022328.4</v>
      </c>
      <c r="B20224" s="6" t="s">
        <v>1</v>
      </c>
      <c r="C20224" s="6" t="s">
        <v>1</v>
      </c>
    </row>
    <row r="20225" spans="1:3" s="7" customFormat="1" x14ac:dyDescent="0.2">
      <c r="A20225" s="6" t="str">
        <f>"ASXL3"</f>
        <v>ASXL3</v>
      </c>
      <c r="B20225" s="6" t="s">
        <v>1</v>
      </c>
      <c r="C20225" s="6" t="s">
        <v>1</v>
      </c>
    </row>
    <row r="20226" spans="1:3" s="7" customFormat="1" x14ac:dyDescent="0.2">
      <c r="A20226" s="6" t="str">
        <f>"AC084198.2"</f>
        <v>AC084198.2</v>
      </c>
      <c r="B20226" s="6" t="s">
        <v>1</v>
      </c>
      <c r="C20226" s="6" t="s">
        <v>1</v>
      </c>
    </row>
    <row r="20227" spans="1:3" s="7" customFormat="1" x14ac:dyDescent="0.2">
      <c r="A20227" s="6" t="str">
        <f>"KCNK15"</f>
        <v>KCNK15</v>
      </c>
      <c r="B20227" s="6" t="s">
        <v>1</v>
      </c>
      <c r="C20227" s="6" t="s">
        <v>1</v>
      </c>
    </row>
    <row r="20228" spans="1:3" s="7" customFormat="1" x14ac:dyDescent="0.2">
      <c r="A20228" s="6" t="str">
        <f>"AC061975.8"</f>
        <v>AC061975.8</v>
      </c>
      <c r="B20228" s="6" t="s">
        <v>1</v>
      </c>
      <c r="C20228" s="6" t="s">
        <v>1</v>
      </c>
    </row>
    <row r="20229" spans="1:3" s="7" customFormat="1" x14ac:dyDescent="0.2">
      <c r="A20229" s="6" t="str">
        <f>"AC022400.6"</f>
        <v>AC022400.6</v>
      </c>
      <c r="B20229" s="6" t="s">
        <v>1</v>
      </c>
      <c r="C20229" s="6" t="s">
        <v>1</v>
      </c>
    </row>
    <row r="20230" spans="1:3" s="7" customFormat="1" x14ac:dyDescent="0.2">
      <c r="A20230" s="6" t="str">
        <f>"CEACAM4"</f>
        <v>CEACAM4</v>
      </c>
      <c r="B20230" s="6" t="s">
        <v>1</v>
      </c>
      <c r="C20230" s="6" t="s">
        <v>1</v>
      </c>
    </row>
    <row r="20231" spans="1:3" s="7" customFormat="1" x14ac:dyDescent="0.2">
      <c r="A20231" s="6" t="str">
        <f>"GLTPD2"</f>
        <v>GLTPD2</v>
      </c>
      <c r="B20231" s="6" t="s">
        <v>1</v>
      </c>
      <c r="C20231" s="6" t="s">
        <v>1</v>
      </c>
    </row>
    <row r="20232" spans="1:3" s="7" customFormat="1" x14ac:dyDescent="0.2">
      <c r="A20232" s="6" t="str">
        <f>"AC022415.1"</f>
        <v>AC022415.1</v>
      </c>
      <c r="B20232" s="6" t="s">
        <v>1</v>
      </c>
      <c r="C20232" s="6" t="s">
        <v>1</v>
      </c>
    </row>
    <row r="20233" spans="1:3" s="7" customFormat="1" x14ac:dyDescent="0.2">
      <c r="A20233" s="6" t="str">
        <f>"AL353622.1"</f>
        <v>AL353622.1</v>
      </c>
      <c r="B20233" s="6" t="s">
        <v>1</v>
      </c>
      <c r="C20233" s="6" t="s">
        <v>1</v>
      </c>
    </row>
    <row r="20234" spans="1:3" s="7" customFormat="1" x14ac:dyDescent="0.2">
      <c r="A20234" s="6" t="str">
        <f>"INTS6-AS1"</f>
        <v>INTS6-AS1</v>
      </c>
      <c r="B20234" s="6" t="s">
        <v>1</v>
      </c>
      <c r="C20234" s="6" t="s">
        <v>1</v>
      </c>
    </row>
    <row r="20235" spans="1:3" s="7" customFormat="1" x14ac:dyDescent="0.2">
      <c r="A20235" s="6" t="str">
        <f>"PRKG2"</f>
        <v>PRKG2</v>
      </c>
      <c r="B20235" s="6" t="s">
        <v>1</v>
      </c>
      <c r="C20235" s="6" t="s">
        <v>1</v>
      </c>
    </row>
    <row r="20236" spans="1:3" s="7" customFormat="1" x14ac:dyDescent="0.2">
      <c r="A20236" s="6" t="str">
        <f>"AL353593.1"</f>
        <v>AL353593.1</v>
      </c>
      <c r="B20236" s="6" t="s">
        <v>1</v>
      </c>
      <c r="C20236" s="6" t="s">
        <v>1</v>
      </c>
    </row>
    <row r="20237" spans="1:3" s="7" customFormat="1" x14ac:dyDescent="0.2">
      <c r="A20237" s="6" t="str">
        <f>"AC009315.1"</f>
        <v>AC009315.1</v>
      </c>
      <c r="B20237" s="6" t="s">
        <v>1</v>
      </c>
      <c r="C20237" s="6" t="s">
        <v>1</v>
      </c>
    </row>
    <row r="20238" spans="1:3" s="7" customFormat="1" x14ac:dyDescent="0.2">
      <c r="A20238" s="6" t="str">
        <f>"AC127521.1"</f>
        <v>AC127521.1</v>
      </c>
      <c r="B20238" s="6" t="s">
        <v>1</v>
      </c>
      <c r="C20238" s="6" t="s">
        <v>1</v>
      </c>
    </row>
    <row r="20239" spans="1:3" s="7" customFormat="1" x14ac:dyDescent="0.2">
      <c r="A20239" s="6" t="str">
        <f>"REM2"</f>
        <v>REM2</v>
      </c>
      <c r="B20239" s="6" t="s">
        <v>1</v>
      </c>
      <c r="C20239" s="6" t="s">
        <v>1</v>
      </c>
    </row>
    <row r="20240" spans="1:3" s="7" customFormat="1" x14ac:dyDescent="0.2">
      <c r="A20240" s="6" t="str">
        <f>"AC012615.1"</f>
        <v>AC012615.1</v>
      </c>
      <c r="B20240" s="6" t="s">
        <v>1</v>
      </c>
      <c r="C20240" s="6" t="s">
        <v>1</v>
      </c>
    </row>
    <row r="20241" spans="1:3" s="7" customFormat="1" x14ac:dyDescent="0.2">
      <c r="A20241" s="6" t="str">
        <f>"FKBP7"</f>
        <v>FKBP7</v>
      </c>
      <c r="B20241" s="6" t="s">
        <v>1</v>
      </c>
      <c r="C20241" s="6" t="s">
        <v>1</v>
      </c>
    </row>
    <row r="20242" spans="1:3" s="7" customFormat="1" x14ac:dyDescent="0.2">
      <c r="A20242" s="6" t="str">
        <f>"LINC02245"</f>
        <v>LINC02245</v>
      </c>
      <c r="B20242" s="6" t="s">
        <v>1</v>
      </c>
      <c r="C20242" s="6" t="s">
        <v>1</v>
      </c>
    </row>
    <row r="20243" spans="1:3" s="7" customFormat="1" x14ac:dyDescent="0.2">
      <c r="A20243" s="6" t="str">
        <f>"TTYH2"</f>
        <v>TTYH2</v>
      </c>
      <c r="B20243" s="6" t="s">
        <v>1</v>
      </c>
      <c r="C20243" s="6" t="s">
        <v>1</v>
      </c>
    </row>
    <row r="20244" spans="1:3" s="7" customFormat="1" x14ac:dyDescent="0.2">
      <c r="A20244" s="6" t="str">
        <f>"CARD8-AS1"</f>
        <v>CARD8-AS1</v>
      </c>
      <c r="B20244" s="6" t="s">
        <v>1</v>
      </c>
      <c r="C20244" s="6" t="s">
        <v>1</v>
      </c>
    </row>
    <row r="20245" spans="1:3" s="7" customFormat="1" x14ac:dyDescent="0.2">
      <c r="A20245" s="6" t="str">
        <f>"TNFRSF13C"</f>
        <v>TNFRSF13C</v>
      </c>
      <c r="B20245" s="6" t="s">
        <v>1</v>
      </c>
      <c r="C20245" s="6" t="s">
        <v>1</v>
      </c>
    </row>
    <row r="20246" spans="1:3" s="7" customFormat="1" x14ac:dyDescent="0.2">
      <c r="A20246" s="6" t="str">
        <f>"VEPH1"</f>
        <v>VEPH1</v>
      </c>
      <c r="B20246" s="6" t="s">
        <v>1</v>
      </c>
      <c r="C20246" s="6" t="s">
        <v>1</v>
      </c>
    </row>
    <row r="20247" spans="1:3" s="7" customFormat="1" x14ac:dyDescent="0.2">
      <c r="A20247" s="6" t="str">
        <f>"PRMT8"</f>
        <v>PRMT8</v>
      </c>
      <c r="B20247" s="6" t="s">
        <v>1</v>
      </c>
      <c r="C20247" s="6" t="s">
        <v>1</v>
      </c>
    </row>
    <row r="20248" spans="1:3" s="7" customFormat="1" x14ac:dyDescent="0.2">
      <c r="A20248" s="6" t="str">
        <f>"MED12L"</f>
        <v>MED12L</v>
      </c>
      <c r="B20248" s="6" t="s">
        <v>1</v>
      </c>
      <c r="C20248" s="6" t="s">
        <v>1</v>
      </c>
    </row>
    <row r="20249" spans="1:3" s="7" customFormat="1" x14ac:dyDescent="0.2">
      <c r="A20249" s="6" t="str">
        <f>"LINC01170"</f>
        <v>LINC01170</v>
      </c>
      <c r="B20249" s="6" t="s">
        <v>1</v>
      </c>
      <c r="C20249" s="6" t="s">
        <v>1</v>
      </c>
    </row>
    <row r="20250" spans="1:3" s="7" customFormat="1" x14ac:dyDescent="0.2">
      <c r="A20250" s="6" t="str">
        <f>"NDUFV2-AS1"</f>
        <v>NDUFV2-AS1</v>
      </c>
      <c r="B20250" s="6" t="s">
        <v>1</v>
      </c>
      <c r="C20250" s="6" t="s">
        <v>1</v>
      </c>
    </row>
    <row r="20251" spans="1:3" s="7" customFormat="1" x14ac:dyDescent="0.2">
      <c r="A20251" s="6" t="str">
        <f>"EML5"</f>
        <v>EML5</v>
      </c>
      <c r="B20251" s="6" t="s">
        <v>1</v>
      </c>
      <c r="C20251" s="6" t="s">
        <v>1</v>
      </c>
    </row>
    <row r="20252" spans="1:3" s="7" customFormat="1" x14ac:dyDescent="0.2">
      <c r="A20252" s="6" t="str">
        <f>"HMMR"</f>
        <v>HMMR</v>
      </c>
      <c r="B20252" s="6" t="s">
        <v>1</v>
      </c>
      <c r="C20252" s="6" t="s">
        <v>1</v>
      </c>
    </row>
    <row r="20253" spans="1:3" s="7" customFormat="1" x14ac:dyDescent="0.2">
      <c r="A20253" s="6" t="str">
        <f>"AC012467.2"</f>
        <v>AC012467.2</v>
      </c>
      <c r="B20253" s="6" t="s">
        <v>1</v>
      </c>
      <c r="C20253" s="6" t="s">
        <v>1</v>
      </c>
    </row>
    <row r="20254" spans="1:3" s="7" customFormat="1" x14ac:dyDescent="0.2">
      <c r="A20254" s="6" t="str">
        <f>"SH3TC2"</f>
        <v>SH3TC2</v>
      </c>
      <c r="B20254" s="6" t="s">
        <v>1</v>
      </c>
      <c r="C20254" s="6" t="s">
        <v>1</v>
      </c>
    </row>
    <row r="20255" spans="1:3" s="7" customFormat="1" x14ac:dyDescent="0.2">
      <c r="A20255" s="6" t="str">
        <f>"KLK9"</f>
        <v>KLK9</v>
      </c>
      <c r="B20255" s="6" t="s">
        <v>1</v>
      </c>
      <c r="C20255" s="6" t="s">
        <v>1</v>
      </c>
    </row>
    <row r="20256" spans="1:3" s="7" customFormat="1" x14ac:dyDescent="0.2">
      <c r="A20256" s="6" t="str">
        <f>"AC093725.2"</f>
        <v>AC093725.2</v>
      </c>
      <c r="B20256" s="6" t="s">
        <v>1</v>
      </c>
      <c r="C20256" s="6" t="s">
        <v>1</v>
      </c>
    </row>
    <row r="20257" spans="1:3" s="7" customFormat="1" x14ac:dyDescent="0.2">
      <c r="A20257" s="6" t="str">
        <f>"GRAP2"</f>
        <v>GRAP2</v>
      </c>
      <c r="B20257" s="6" t="s">
        <v>1</v>
      </c>
      <c r="C20257" s="6" t="s">
        <v>1</v>
      </c>
    </row>
    <row r="20258" spans="1:3" s="7" customFormat="1" x14ac:dyDescent="0.2">
      <c r="A20258" s="6" t="str">
        <f>"AC022400.5"</f>
        <v>AC022400.5</v>
      </c>
      <c r="B20258" s="6" t="s">
        <v>1</v>
      </c>
      <c r="C20258" s="6" t="s">
        <v>1</v>
      </c>
    </row>
    <row r="20259" spans="1:3" s="7" customFormat="1" x14ac:dyDescent="0.2">
      <c r="A20259" s="6" t="str">
        <f>"RPLP1P6"</f>
        <v>RPLP1P6</v>
      </c>
      <c r="B20259" s="6" t="s">
        <v>1</v>
      </c>
      <c r="C20259" s="6" t="s">
        <v>1</v>
      </c>
    </row>
    <row r="20260" spans="1:3" s="7" customFormat="1" x14ac:dyDescent="0.2">
      <c r="A20260" s="6" t="str">
        <f>"AC067930.9"</f>
        <v>AC067930.9</v>
      </c>
      <c r="B20260" s="6" t="s">
        <v>1</v>
      </c>
      <c r="C20260" s="6" t="s">
        <v>1</v>
      </c>
    </row>
    <row r="20261" spans="1:3" s="7" customFormat="1" x14ac:dyDescent="0.2">
      <c r="A20261" s="6" t="str">
        <f>"ZNF235"</f>
        <v>ZNF235</v>
      </c>
      <c r="B20261" s="6" t="s">
        <v>1</v>
      </c>
      <c r="C20261" s="6" t="s">
        <v>1</v>
      </c>
    </row>
    <row r="20262" spans="1:3" s="7" customFormat="1" x14ac:dyDescent="0.2">
      <c r="A20262" s="6" t="str">
        <f>"AC127526.4"</f>
        <v>AC127526.4</v>
      </c>
      <c r="B20262" s="6" t="s">
        <v>1</v>
      </c>
      <c r="C20262" s="6" t="s">
        <v>1</v>
      </c>
    </row>
    <row r="20263" spans="1:3" s="7" customFormat="1" x14ac:dyDescent="0.2">
      <c r="A20263" s="6" t="str">
        <f>"MYO1A"</f>
        <v>MYO1A</v>
      </c>
      <c r="B20263" s="6" t="s">
        <v>1</v>
      </c>
      <c r="C20263" s="6" t="s">
        <v>1</v>
      </c>
    </row>
    <row r="20264" spans="1:3" s="7" customFormat="1" x14ac:dyDescent="0.2">
      <c r="A20264" s="6" t="str">
        <f>"RPRML"</f>
        <v>RPRML</v>
      </c>
      <c r="B20264" s="6" t="s">
        <v>1</v>
      </c>
      <c r="C20264" s="6" t="s">
        <v>1</v>
      </c>
    </row>
    <row r="20265" spans="1:3" s="7" customFormat="1" x14ac:dyDescent="0.2">
      <c r="A20265" s="6" t="str">
        <f>"AC093297.2"</f>
        <v>AC093297.2</v>
      </c>
      <c r="B20265" s="6" t="s">
        <v>1</v>
      </c>
      <c r="C20265" s="6" t="s">
        <v>1</v>
      </c>
    </row>
    <row r="20266" spans="1:3" s="7" customFormat="1" x14ac:dyDescent="0.2">
      <c r="A20266" s="6" t="str">
        <f>"SLC25A53"</f>
        <v>SLC25A53</v>
      </c>
      <c r="B20266" s="6" t="s">
        <v>1</v>
      </c>
      <c r="C20266" s="6" t="s">
        <v>1</v>
      </c>
    </row>
    <row r="20267" spans="1:3" s="7" customFormat="1" x14ac:dyDescent="0.2">
      <c r="A20267" s="6" t="str">
        <f>"AC093827.5"</f>
        <v>AC093827.5</v>
      </c>
      <c r="B20267" s="6" t="s">
        <v>1</v>
      </c>
      <c r="C20267" s="6" t="s">
        <v>1</v>
      </c>
    </row>
    <row r="20268" spans="1:3" s="7" customFormat="1" x14ac:dyDescent="0.2">
      <c r="A20268" s="6" t="str">
        <f>"DNM3"</f>
        <v>DNM3</v>
      </c>
      <c r="B20268" s="6" t="s">
        <v>1</v>
      </c>
      <c r="C20268" s="6" t="s">
        <v>1</v>
      </c>
    </row>
    <row r="20269" spans="1:3" s="7" customFormat="1" x14ac:dyDescent="0.2">
      <c r="A20269" s="6" t="str">
        <f>"TREM2"</f>
        <v>TREM2</v>
      </c>
      <c r="B20269" s="6" t="s">
        <v>1</v>
      </c>
      <c r="C20269" s="6" t="s">
        <v>1</v>
      </c>
    </row>
    <row r="20270" spans="1:3" s="7" customFormat="1" x14ac:dyDescent="0.2">
      <c r="A20270" s="6" t="str">
        <f>"CELSR3"</f>
        <v>CELSR3</v>
      </c>
      <c r="B20270" s="6" t="s">
        <v>1</v>
      </c>
      <c r="C20270" s="6" t="s">
        <v>1</v>
      </c>
    </row>
    <row r="20271" spans="1:3" s="7" customFormat="1" x14ac:dyDescent="0.2">
      <c r="A20271" s="6" t="str">
        <f>"SRGAP2D"</f>
        <v>SRGAP2D</v>
      </c>
      <c r="B20271" s="6" t="s">
        <v>1</v>
      </c>
      <c r="C20271" s="6" t="s">
        <v>1</v>
      </c>
    </row>
    <row r="20272" spans="1:3" s="7" customFormat="1" x14ac:dyDescent="0.2">
      <c r="A20272" s="6" t="str">
        <f>"CCNA2"</f>
        <v>CCNA2</v>
      </c>
      <c r="B20272" s="6" t="s">
        <v>1</v>
      </c>
      <c r="C20272" s="6" t="s">
        <v>1</v>
      </c>
    </row>
    <row r="20273" spans="1:3" s="7" customFormat="1" x14ac:dyDescent="0.2">
      <c r="A20273" s="6" t="str">
        <f>"GAB3"</f>
        <v>GAB3</v>
      </c>
      <c r="B20273" s="6" t="s">
        <v>1</v>
      </c>
      <c r="C20273" s="6" t="s">
        <v>1</v>
      </c>
    </row>
    <row r="20274" spans="1:3" s="7" customFormat="1" x14ac:dyDescent="0.2">
      <c r="A20274" s="6" t="str">
        <f>"MIR31HG"</f>
        <v>MIR31HG</v>
      </c>
      <c r="B20274" s="6" t="s">
        <v>1</v>
      </c>
      <c r="C20274" s="6" t="s">
        <v>1</v>
      </c>
    </row>
    <row r="20275" spans="1:3" s="7" customFormat="1" x14ac:dyDescent="0.2">
      <c r="A20275" s="6" t="str">
        <f>"CRISP2"</f>
        <v>CRISP2</v>
      </c>
      <c r="B20275" s="6" t="s">
        <v>1</v>
      </c>
      <c r="C20275" s="6" t="s">
        <v>1</v>
      </c>
    </row>
    <row r="20276" spans="1:3" s="7" customFormat="1" x14ac:dyDescent="0.2">
      <c r="A20276" s="6" t="str">
        <f>"ASDURF"</f>
        <v>ASDURF</v>
      </c>
      <c r="B20276" s="6" t="s">
        <v>1</v>
      </c>
      <c r="C20276" s="6" t="s">
        <v>1</v>
      </c>
    </row>
    <row r="20277" spans="1:3" s="7" customFormat="1" x14ac:dyDescent="0.2">
      <c r="A20277" s="6" t="str">
        <f>"AL353807.5"</f>
        <v>AL353807.5</v>
      </c>
      <c r="B20277" s="6" t="s">
        <v>1</v>
      </c>
      <c r="C20277" s="6" t="s">
        <v>1</v>
      </c>
    </row>
    <row r="20278" spans="1:3" s="7" customFormat="1" x14ac:dyDescent="0.2">
      <c r="A20278" s="6" t="str">
        <f>"PCSK9"</f>
        <v>PCSK9</v>
      </c>
      <c r="B20278" s="6" t="s">
        <v>1</v>
      </c>
      <c r="C20278" s="6" t="s">
        <v>1</v>
      </c>
    </row>
    <row r="20279" spans="1:3" s="7" customFormat="1" x14ac:dyDescent="0.2">
      <c r="A20279" s="6" t="str">
        <f>"AL445524.1"</f>
        <v>AL445524.1</v>
      </c>
      <c r="B20279" s="6" t="s">
        <v>1</v>
      </c>
      <c r="C20279" s="6" t="s">
        <v>1</v>
      </c>
    </row>
    <row r="20280" spans="1:3" s="7" customFormat="1" x14ac:dyDescent="0.2">
      <c r="A20280" s="6" t="str">
        <f>"CNTN3"</f>
        <v>CNTN3</v>
      </c>
      <c r="B20280" s="6" t="s">
        <v>1</v>
      </c>
      <c r="C20280" s="6" t="s">
        <v>1</v>
      </c>
    </row>
    <row r="20281" spans="1:3" s="7" customFormat="1" x14ac:dyDescent="0.2">
      <c r="A20281" s="6" t="str">
        <f>"AL022345.4"</f>
        <v>AL022345.4</v>
      </c>
      <c r="B20281" s="6" t="s">
        <v>1</v>
      </c>
      <c r="C20281" s="6" t="s">
        <v>1</v>
      </c>
    </row>
    <row r="20282" spans="1:3" s="7" customFormat="1" x14ac:dyDescent="0.2">
      <c r="A20282" s="6" t="str">
        <f>"P2RY8"</f>
        <v>P2RY8</v>
      </c>
      <c r="B20282" s="6" t="s">
        <v>1</v>
      </c>
      <c r="C20282" s="6" t="s">
        <v>1</v>
      </c>
    </row>
    <row r="20283" spans="1:3" s="7" customFormat="1" x14ac:dyDescent="0.2">
      <c r="A20283" s="6" t="str">
        <f>"ALOX12-AS1"</f>
        <v>ALOX12-AS1</v>
      </c>
      <c r="B20283" s="6" t="s">
        <v>1</v>
      </c>
      <c r="C20283" s="6" t="s">
        <v>1</v>
      </c>
    </row>
    <row r="20284" spans="1:3" s="7" customFormat="1" x14ac:dyDescent="0.2">
      <c r="A20284" s="6" t="str">
        <f>"EDRF1-DT"</f>
        <v>EDRF1-DT</v>
      </c>
      <c r="B20284" s="6" t="s">
        <v>1</v>
      </c>
      <c r="C20284" s="6" t="s">
        <v>1</v>
      </c>
    </row>
    <row r="20285" spans="1:3" s="7" customFormat="1" x14ac:dyDescent="0.2">
      <c r="A20285" s="6" t="str">
        <f>"AC243772.2"</f>
        <v>AC243772.2</v>
      </c>
      <c r="B20285" s="6" t="s">
        <v>1</v>
      </c>
      <c r="C20285" s="6" t="s">
        <v>1</v>
      </c>
    </row>
    <row r="20286" spans="1:3" s="7" customFormat="1" x14ac:dyDescent="0.2">
      <c r="A20286" s="6" t="str">
        <f>"SOCS1"</f>
        <v>SOCS1</v>
      </c>
      <c r="B20286" s="6" t="s">
        <v>1</v>
      </c>
      <c r="C20286" s="6" t="s">
        <v>1</v>
      </c>
    </row>
    <row r="20287" spans="1:3" s="7" customFormat="1" x14ac:dyDescent="0.2">
      <c r="A20287" s="6" t="str">
        <f>"NPIPA3"</f>
        <v>NPIPA3</v>
      </c>
      <c r="B20287" s="6" t="s">
        <v>1</v>
      </c>
      <c r="C20287" s="6" t="s">
        <v>1</v>
      </c>
    </row>
    <row r="20288" spans="1:3" s="7" customFormat="1" x14ac:dyDescent="0.2">
      <c r="A20288" s="6" t="str">
        <f>"AL451042.2"</f>
        <v>AL451042.2</v>
      </c>
      <c r="B20288" s="6" t="s">
        <v>1</v>
      </c>
      <c r="C20288" s="6" t="s">
        <v>1</v>
      </c>
    </row>
    <row r="20289" spans="1:3" s="7" customFormat="1" x14ac:dyDescent="0.2">
      <c r="A20289" s="6" t="str">
        <f>"ASB2"</f>
        <v>ASB2</v>
      </c>
      <c r="B20289" s="6" t="s">
        <v>1</v>
      </c>
      <c r="C20289" s="6" t="s">
        <v>1</v>
      </c>
    </row>
    <row r="20290" spans="1:3" s="7" customFormat="1" x14ac:dyDescent="0.2">
      <c r="A20290" s="6" t="str">
        <f>"MRPS31P4"</f>
        <v>MRPS31P4</v>
      </c>
      <c r="B20290" s="6" t="s">
        <v>1</v>
      </c>
      <c r="C20290" s="6" t="s">
        <v>1</v>
      </c>
    </row>
    <row r="20291" spans="1:3" s="7" customFormat="1" x14ac:dyDescent="0.2">
      <c r="A20291" s="6" t="str">
        <f>"LRAT"</f>
        <v>LRAT</v>
      </c>
      <c r="B20291" s="6" t="s">
        <v>1</v>
      </c>
      <c r="C20291" s="6" t="s">
        <v>1</v>
      </c>
    </row>
    <row r="20292" spans="1:3" s="7" customFormat="1" x14ac:dyDescent="0.2">
      <c r="A20292" s="6" t="str">
        <f>"UGT2A2"</f>
        <v>UGT2A2</v>
      </c>
      <c r="B20292" s="6" t="s">
        <v>1</v>
      </c>
      <c r="C20292" s="6" t="s">
        <v>1</v>
      </c>
    </row>
    <row r="20293" spans="1:3" s="7" customFormat="1" x14ac:dyDescent="0.2">
      <c r="A20293" s="6" t="str">
        <f>"AC242426.2"</f>
        <v>AC242426.2</v>
      </c>
      <c r="B20293" s="6" t="s">
        <v>1</v>
      </c>
      <c r="C20293" s="6" t="s">
        <v>1</v>
      </c>
    </row>
    <row r="20294" spans="1:3" s="7" customFormat="1" x14ac:dyDescent="0.2">
      <c r="A20294" s="6" t="str">
        <f>"HBA1"</f>
        <v>HBA1</v>
      </c>
      <c r="B20294" s="6" t="s">
        <v>1</v>
      </c>
      <c r="C20294" s="6" t="s">
        <v>1</v>
      </c>
    </row>
    <row r="20295" spans="1:3" s="7" customFormat="1" x14ac:dyDescent="0.2">
      <c r="A20295" s="6" t="str">
        <f>"ZSCAN16-AS1"</f>
        <v>ZSCAN16-AS1</v>
      </c>
      <c r="B20295" s="6" t="s">
        <v>1</v>
      </c>
      <c r="C20295" s="6" t="s">
        <v>1</v>
      </c>
    </row>
    <row r="20296" spans="1:3" s="7" customFormat="1" x14ac:dyDescent="0.2">
      <c r="A20296" s="6" t="str">
        <f>"AC087289.5"</f>
        <v>AC087289.5</v>
      </c>
      <c r="B20296" s="6" t="s">
        <v>1</v>
      </c>
      <c r="C20296" s="6" t="s">
        <v>1</v>
      </c>
    </row>
    <row r="20297" spans="1:3" s="7" customFormat="1" x14ac:dyDescent="0.2">
      <c r="A20297" s="6" t="str">
        <f>"C1RL-AS1"</f>
        <v>C1RL-AS1</v>
      </c>
      <c r="B20297" s="6" t="s">
        <v>1</v>
      </c>
      <c r="C20297" s="6" t="s">
        <v>1</v>
      </c>
    </row>
    <row r="20298" spans="1:3" s="7" customFormat="1" x14ac:dyDescent="0.2">
      <c r="A20298" s="6" t="str">
        <f>"PCLAF"</f>
        <v>PCLAF</v>
      </c>
      <c r="B20298" s="6" t="s">
        <v>1</v>
      </c>
      <c r="C20298" s="6" t="s">
        <v>1</v>
      </c>
    </row>
    <row r="20299" spans="1:3" s="7" customFormat="1" x14ac:dyDescent="0.2">
      <c r="A20299" s="6" t="str">
        <f>"AC130456.6"</f>
        <v>AC130456.6</v>
      </c>
      <c r="B20299" s="6" t="s">
        <v>1</v>
      </c>
      <c r="C20299" s="6" t="s">
        <v>1</v>
      </c>
    </row>
    <row r="20300" spans="1:3" s="7" customFormat="1" x14ac:dyDescent="0.2">
      <c r="A20300" s="6" t="str">
        <f>"GPSM1"</f>
        <v>GPSM1</v>
      </c>
      <c r="B20300" s="6" t="s">
        <v>1</v>
      </c>
      <c r="C20300" s="6" t="s">
        <v>1</v>
      </c>
    </row>
    <row r="20301" spans="1:3" s="7" customFormat="1" x14ac:dyDescent="0.2">
      <c r="A20301" s="6" t="str">
        <f>"TTK"</f>
        <v>TTK</v>
      </c>
      <c r="B20301" s="6" t="s">
        <v>1</v>
      </c>
      <c r="C20301" s="6" t="s">
        <v>1</v>
      </c>
    </row>
    <row r="20302" spans="1:3" s="7" customFormat="1" x14ac:dyDescent="0.2">
      <c r="A20302" s="6" t="str">
        <f>"AC015813.6"</f>
        <v>AC015813.6</v>
      </c>
      <c r="B20302" s="6" t="s">
        <v>1</v>
      </c>
      <c r="C20302" s="6" t="s">
        <v>1</v>
      </c>
    </row>
    <row r="20303" spans="1:3" s="7" customFormat="1" x14ac:dyDescent="0.2">
      <c r="A20303" s="6" t="str">
        <f>"LRFN1"</f>
        <v>LRFN1</v>
      </c>
      <c r="B20303" s="6" t="s">
        <v>1</v>
      </c>
      <c r="C20303" s="6" t="s">
        <v>1</v>
      </c>
    </row>
    <row r="20304" spans="1:3" s="7" customFormat="1" x14ac:dyDescent="0.2">
      <c r="A20304" s="6" t="str">
        <f>"CCSER1"</f>
        <v>CCSER1</v>
      </c>
      <c r="B20304" s="6" t="s">
        <v>1</v>
      </c>
      <c r="C20304" s="6" t="s">
        <v>1</v>
      </c>
    </row>
    <row r="20305" spans="1:3" s="7" customFormat="1" x14ac:dyDescent="0.2">
      <c r="A20305" s="6" t="str">
        <f>"RENBP"</f>
        <v>RENBP</v>
      </c>
      <c r="B20305" s="6" t="s">
        <v>1</v>
      </c>
      <c r="C20305" s="6" t="s">
        <v>1</v>
      </c>
    </row>
    <row r="20306" spans="1:3" s="7" customFormat="1" x14ac:dyDescent="0.2">
      <c r="A20306" s="6" t="str">
        <f>"AC127502.2"</f>
        <v>AC127502.2</v>
      </c>
      <c r="B20306" s="6" t="s">
        <v>1</v>
      </c>
      <c r="C20306" s="6" t="s">
        <v>1</v>
      </c>
    </row>
    <row r="20307" spans="1:3" s="7" customFormat="1" x14ac:dyDescent="0.2">
      <c r="A20307" s="6" t="str">
        <f>"LINC02057"</f>
        <v>LINC02057</v>
      </c>
      <c r="B20307" s="6" t="s">
        <v>1</v>
      </c>
      <c r="C20307" s="6" t="s">
        <v>1</v>
      </c>
    </row>
    <row r="20308" spans="1:3" s="7" customFormat="1" x14ac:dyDescent="0.2">
      <c r="A20308" s="6" t="str">
        <f>"PROB1"</f>
        <v>PROB1</v>
      </c>
      <c r="B20308" s="6" t="s">
        <v>1</v>
      </c>
      <c r="C20308" s="6" t="s">
        <v>1</v>
      </c>
    </row>
    <row r="20309" spans="1:3" s="7" customFormat="1" x14ac:dyDescent="0.2">
      <c r="A20309" s="6" t="str">
        <f>"GLRB"</f>
        <v>GLRB</v>
      </c>
      <c r="B20309" s="6" t="s">
        <v>1</v>
      </c>
      <c r="C20309" s="6" t="s">
        <v>1</v>
      </c>
    </row>
    <row r="20310" spans="1:3" s="7" customFormat="1" x14ac:dyDescent="0.2">
      <c r="A20310" s="6" t="str">
        <f>"APOM"</f>
        <v>APOM</v>
      </c>
      <c r="B20310" s="6" t="s">
        <v>1</v>
      </c>
      <c r="C20310" s="6" t="s">
        <v>1</v>
      </c>
    </row>
    <row r="20311" spans="1:3" s="7" customFormat="1" x14ac:dyDescent="0.2">
      <c r="A20311" s="6" t="str">
        <f>"FJX1"</f>
        <v>FJX1</v>
      </c>
      <c r="B20311" s="6" t="s">
        <v>1</v>
      </c>
      <c r="C20311" s="6" t="s">
        <v>1</v>
      </c>
    </row>
    <row r="20312" spans="1:3" s="7" customFormat="1" x14ac:dyDescent="0.2">
      <c r="A20312" s="6" t="str">
        <f>"AL449106.1"</f>
        <v>AL449106.1</v>
      </c>
      <c r="B20312" s="6" t="s">
        <v>1</v>
      </c>
      <c r="C20312" s="6" t="s">
        <v>1</v>
      </c>
    </row>
    <row r="20313" spans="1:3" s="7" customFormat="1" x14ac:dyDescent="0.2">
      <c r="A20313" s="6" t="str">
        <f>"AC015813.2"</f>
        <v>AC015813.2</v>
      </c>
      <c r="B20313" s="6" t="s">
        <v>1</v>
      </c>
      <c r="C20313" s="6" t="s">
        <v>1</v>
      </c>
    </row>
    <row r="20314" spans="1:3" s="7" customFormat="1" x14ac:dyDescent="0.2">
      <c r="A20314" s="6" t="str">
        <f>"AC012618.3"</f>
        <v>AC012618.3</v>
      </c>
      <c r="B20314" s="6" t="s">
        <v>1</v>
      </c>
      <c r="C20314" s="6" t="s">
        <v>1</v>
      </c>
    </row>
    <row r="20315" spans="1:3" s="7" customFormat="1" x14ac:dyDescent="0.2">
      <c r="A20315" s="6" t="str">
        <f>"C2CD4B"</f>
        <v>C2CD4B</v>
      </c>
      <c r="B20315" s="6" t="s">
        <v>1</v>
      </c>
      <c r="C20315" s="6" t="s">
        <v>1</v>
      </c>
    </row>
    <row r="20316" spans="1:3" s="7" customFormat="1" x14ac:dyDescent="0.2">
      <c r="A20316" s="6" t="str">
        <f>"GLIPR1L2"</f>
        <v>GLIPR1L2</v>
      </c>
      <c r="B20316" s="6" t="s">
        <v>1</v>
      </c>
      <c r="C20316" s="6" t="s">
        <v>1</v>
      </c>
    </row>
    <row r="20317" spans="1:3" s="7" customFormat="1" x14ac:dyDescent="0.2">
      <c r="A20317" s="6" t="str">
        <f>"DNAJC28"</f>
        <v>DNAJC28</v>
      </c>
      <c r="B20317" s="6" t="s">
        <v>1</v>
      </c>
      <c r="C20317" s="6" t="s">
        <v>1</v>
      </c>
    </row>
    <row r="20318" spans="1:3" s="7" customFormat="1" x14ac:dyDescent="0.2">
      <c r="A20318" s="6" t="str">
        <f>"PDE1C"</f>
        <v>PDE1C</v>
      </c>
      <c r="B20318" s="6" t="s">
        <v>1</v>
      </c>
      <c r="C20318" s="6" t="s">
        <v>1</v>
      </c>
    </row>
    <row r="20319" spans="1:3" s="7" customFormat="1" x14ac:dyDescent="0.2">
      <c r="A20319" s="6" t="str">
        <f>"CYP2G2P"</f>
        <v>CYP2G2P</v>
      </c>
      <c r="B20319" s="6" t="s">
        <v>1</v>
      </c>
      <c r="C20319" s="6" t="s">
        <v>1</v>
      </c>
    </row>
    <row r="20320" spans="1:3" s="7" customFormat="1" x14ac:dyDescent="0.2">
      <c r="A20320" s="6" t="str">
        <f>"PHOSPHO2"</f>
        <v>PHOSPHO2</v>
      </c>
      <c r="B20320" s="6" t="s">
        <v>1</v>
      </c>
      <c r="C20320" s="6" t="s">
        <v>1</v>
      </c>
    </row>
    <row r="20321" spans="1:3" s="7" customFormat="1" x14ac:dyDescent="0.2">
      <c r="A20321" s="6" t="str">
        <f>"TRIM17"</f>
        <v>TRIM17</v>
      </c>
      <c r="B20321" s="6" t="s">
        <v>1</v>
      </c>
      <c r="C20321" s="6" t="s">
        <v>1</v>
      </c>
    </row>
    <row r="20322" spans="1:3" s="7" customFormat="1" x14ac:dyDescent="0.2">
      <c r="A20322" s="6" t="str">
        <f>"LONRF3"</f>
        <v>LONRF3</v>
      </c>
      <c r="B20322" s="6" t="s">
        <v>1</v>
      </c>
      <c r="C20322" s="6" t="s">
        <v>1</v>
      </c>
    </row>
    <row r="20323" spans="1:3" s="7" customFormat="1" x14ac:dyDescent="0.2">
      <c r="A20323" s="6" t="str">
        <f>"MIR762HG"</f>
        <v>MIR762HG</v>
      </c>
      <c r="B20323" s="6" t="s">
        <v>1</v>
      </c>
      <c r="C20323" s="6" t="s">
        <v>1</v>
      </c>
    </row>
    <row r="20324" spans="1:3" s="7" customFormat="1" x14ac:dyDescent="0.2">
      <c r="A20324" s="6" t="str">
        <f>"AQP1"</f>
        <v>AQP1</v>
      </c>
      <c r="B20324" s="6" t="s">
        <v>1</v>
      </c>
      <c r="C20324" s="6" t="s">
        <v>1</v>
      </c>
    </row>
    <row r="20325" spans="1:3" s="7" customFormat="1" x14ac:dyDescent="0.2">
      <c r="A20325" s="6" t="str">
        <f>"AC012651.1"</f>
        <v>AC012651.1</v>
      </c>
      <c r="B20325" s="6" t="s">
        <v>1</v>
      </c>
      <c r="C20325" s="6" t="s">
        <v>1</v>
      </c>
    </row>
    <row r="20326" spans="1:3" s="7" customFormat="1" x14ac:dyDescent="0.2">
      <c r="A20326" s="6" t="str">
        <f>"NXF2"</f>
        <v>NXF2</v>
      </c>
      <c r="B20326" s="6" t="s">
        <v>1</v>
      </c>
      <c r="C20326" s="6" t="s">
        <v>1</v>
      </c>
    </row>
    <row r="20327" spans="1:3" s="7" customFormat="1" x14ac:dyDescent="0.2">
      <c r="A20327" s="6" t="str">
        <f>"WNT10A"</f>
        <v>WNT10A</v>
      </c>
      <c r="B20327" s="6" t="s">
        <v>1</v>
      </c>
      <c r="C20327" s="6" t="s">
        <v>1</v>
      </c>
    </row>
    <row r="20328" spans="1:3" s="7" customFormat="1" x14ac:dyDescent="0.2">
      <c r="A20328" s="6" t="str">
        <f>"SORCS2"</f>
        <v>SORCS2</v>
      </c>
      <c r="B20328" s="6" t="s">
        <v>1</v>
      </c>
      <c r="C20328" s="6" t="s">
        <v>1</v>
      </c>
    </row>
    <row r="20329" spans="1:3" s="7" customFormat="1" x14ac:dyDescent="0.2">
      <c r="A20329" s="6" t="str">
        <f>"FAHD2CP"</f>
        <v>FAHD2CP</v>
      </c>
      <c r="B20329" s="6" t="s">
        <v>1</v>
      </c>
      <c r="C20329" s="6" t="s">
        <v>1</v>
      </c>
    </row>
    <row r="20330" spans="1:3" s="7" customFormat="1" x14ac:dyDescent="0.2">
      <c r="A20330" s="6" t="str">
        <f>"AEBP1"</f>
        <v>AEBP1</v>
      </c>
      <c r="B20330" s="6" t="s">
        <v>1</v>
      </c>
      <c r="C20330" s="6" t="s">
        <v>1</v>
      </c>
    </row>
    <row r="20331" spans="1:3" s="7" customFormat="1" x14ac:dyDescent="0.2">
      <c r="A20331" s="6" t="str">
        <f>"TG"</f>
        <v>TG</v>
      </c>
      <c r="B20331" s="6" t="s">
        <v>1</v>
      </c>
      <c r="C20331" s="6" t="s">
        <v>1</v>
      </c>
    </row>
    <row r="20332" spans="1:3" s="7" customFormat="1" x14ac:dyDescent="0.2">
      <c r="A20332" s="6" t="str">
        <f>"AC004982.2"</f>
        <v>AC004982.2</v>
      </c>
      <c r="B20332" s="6" t="s">
        <v>1</v>
      </c>
      <c r="C20332" s="6" t="s">
        <v>1</v>
      </c>
    </row>
    <row r="20333" spans="1:3" s="7" customFormat="1" x14ac:dyDescent="0.2">
      <c r="A20333" s="6" t="str">
        <f>"RPL5P4"</f>
        <v>RPL5P4</v>
      </c>
      <c r="B20333" s="6" t="s">
        <v>1</v>
      </c>
      <c r="C20333" s="6" t="s">
        <v>1</v>
      </c>
    </row>
    <row r="20334" spans="1:3" s="7" customFormat="1" x14ac:dyDescent="0.2">
      <c r="A20334" s="6" t="str">
        <f>"LINC02062"</f>
        <v>LINC02062</v>
      </c>
      <c r="B20334" s="6" t="s">
        <v>1</v>
      </c>
      <c r="C20334" s="6" t="s">
        <v>1</v>
      </c>
    </row>
    <row r="20335" spans="1:3" s="7" customFormat="1" x14ac:dyDescent="0.2">
      <c r="A20335" s="6" t="str">
        <f>"GLS2"</f>
        <v>GLS2</v>
      </c>
      <c r="B20335" s="6" t="s">
        <v>1</v>
      </c>
      <c r="C20335" s="6" t="s">
        <v>1</v>
      </c>
    </row>
    <row r="20336" spans="1:3" s="7" customFormat="1" x14ac:dyDescent="0.2">
      <c r="A20336" s="6" t="str">
        <f>"ASPM"</f>
        <v>ASPM</v>
      </c>
      <c r="B20336" s="6" t="s">
        <v>1</v>
      </c>
      <c r="C20336" s="6" t="s">
        <v>1</v>
      </c>
    </row>
    <row r="20337" spans="1:3" s="7" customFormat="1" x14ac:dyDescent="0.2">
      <c r="A20337" s="6" t="str">
        <f>"ADPRM"</f>
        <v>ADPRM</v>
      </c>
      <c r="B20337" s="6" t="s">
        <v>1</v>
      </c>
      <c r="C20337" s="6" t="s">
        <v>1</v>
      </c>
    </row>
    <row r="20338" spans="1:3" s="7" customFormat="1" x14ac:dyDescent="0.2">
      <c r="A20338" s="6" t="str">
        <f>"AC015660.1"</f>
        <v>AC015660.1</v>
      </c>
      <c r="B20338" s="6" t="s">
        <v>1</v>
      </c>
      <c r="C20338" s="6" t="s">
        <v>1</v>
      </c>
    </row>
    <row r="20339" spans="1:3" s="7" customFormat="1" x14ac:dyDescent="0.2">
      <c r="A20339" s="6" t="str">
        <f>"ASPG"</f>
        <v>ASPG</v>
      </c>
      <c r="B20339" s="6" t="s">
        <v>1</v>
      </c>
      <c r="C20339" s="6" t="s">
        <v>1</v>
      </c>
    </row>
    <row r="20340" spans="1:3" s="7" customFormat="1" x14ac:dyDescent="0.2">
      <c r="A20340" s="6" t="str">
        <f>"CCL4"</f>
        <v>CCL4</v>
      </c>
      <c r="B20340" s="6" t="s">
        <v>1</v>
      </c>
      <c r="C20340" s="6" t="s">
        <v>1</v>
      </c>
    </row>
    <row r="20341" spans="1:3" s="7" customFormat="1" x14ac:dyDescent="0.2">
      <c r="A20341" s="6" t="str">
        <f>"AL354766.2"</f>
        <v>AL354766.2</v>
      </c>
      <c r="B20341" s="6" t="s">
        <v>1</v>
      </c>
      <c r="C20341" s="6" t="s">
        <v>1</v>
      </c>
    </row>
    <row r="20342" spans="1:3" s="7" customFormat="1" x14ac:dyDescent="0.2">
      <c r="A20342" s="6" t="str">
        <f>"AL024508.1"</f>
        <v>AL024508.1</v>
      </c>
      <c r="B20342" s="6" t="s">
        <v>1</v>
      </c>
      <c r="C20342" s="6" t="s">
        <v>1</v>
      </c>
    </row>
    <row r="20343" spans="1:3" s="7" customFormat="1" x14ac:dyDescent="0.2">
      <c r="A20343" s="6" t="str">
        <f>"MIRLET7BHG"</f>
        <v>MIRLET7BHG</v>
      </c>
      <c r="B20343" s="6" t="s">
        <v>1</v>
      </c>
      <c r="C20343" s="6" t="s">
        <v>1</v>
      </c>
    </row>
    <row r="20344" spans="1:3" s="7" customFormat="1" x14ac:dyDescent="0.2">
      <c r="A20344" s="6" t="str">
        <f>"AC129492.3"</f>
        <v>AC129492.3</v>
      </c>
      <c r="B20344" s="6" t="s">
        <v>1</v>
      </c>
      <c r="C20344" s="6" t="s">
        <v>1</v>
      </c>
    </row>
    <row r="20345" spans="1:3" s="7" customFormat="1" x14ac:dyDescent="0.2">
      <c r="A20345" s="6" t="str">
        <f>"BTBD19"</f>
        <v>BTBD19</v>
      </c>
      <c r="B20345" s="6" t="s">
        <v>1</v>
      </c>
      <c r="C20345" s="6" t="s">
        <v>1</v>
      </c>
    </row>
    <row r="20346" spans="1:3" s="7" customFormat="1" x14ac:dyDescent="0.2">
      <c r="A20346" s="6" t="str">
        <f>"CCL3"</f>
        <v>CCL3</v>
      </c>
      <c r="B20346" s="6" t="s">
        <v>1</v>
      </c>
      <c r="C20346" s="6" t="s">
        <v>1</v>
      </c>
    </row>
    <row r="20347" spans="1:3" s="7" customFormat="1" x14ac:dyDescent="0.2">
      <c r="A20347" s="6" t="str">
        <f>"ASH1L-AS1"</f>
        <v>ASH1L-AS1</v>
      </c>
      <c r="B20347" s="6" t="s">
        <v>1</v>
      </c>
      <c r="C20347" s="6" t="s">
        <v>1</v>
      </c>
    </row>
    <row r="20348" spans="1:3" s="7" customFormat="1" x14ac:dyDescent="0.2">
      <c r="A20348" s="6" t="str">
        <f>"UCHL1"</f>
        <v>UCHL1</v>
      </c>
      <c r="B20348" s="6" t="s">
        <v>1</v>
      </c>
      <c r="C20348" s="6" t="s">
        <v>1</v>
      </c>
    </row>
    <row r="20349" spans="1:3" s="7" customFormat="1" x14ac:dyDescent="0.2">
      <c r="A20349" s="6" t="str">
        <f>"SHISA8"</f>
        <v>SHISA8</v>
      </c>
      <c r="B20349" s="6" t="s">
        <v>1</v>
      </c>
      <c r="C20349" s="6" t="s">
        <v>1</v>
      </c>
    </row>
    <row r="20350" spans="1:3" s="7" customFormat="1" x14ac:dyDescent="0.2">
      <c r="A20350" s="6" t="str">
        <f>"AC245041.2"</f>
        <v>AC245041.2</v>
      </c>
      <c r="B20350" s="6" t="s">
        <v>1</v>
      </c>
      <c r="C20350" s="6" t="s">
        <v>1</v>
      </c>
    </row>
    <row r="20351" spans="1:3" s="7" customFormat="1" x14ac:dyDescent="0.2">
      <c r="A20351" s="6" t="str">
        <f>"DNM1"</f>
        <v>DNM1</v>
      </c>
      <c r="B20351" s="6" t="s">
        <v>1</v>
      </c>
      <c r="C20351" s="6" t="s">
        <v>1</v>
      </c>
    </row>
    <row r="20352" spans="1:3" s="7" customFormat="1" x14ac:dyDescent="0.2">
      <c r="A20352" s="6" t="str">
        <f>"CYP2W1"</f>
        <v>CYP2W1</v>
      </c>
      <c r="B20352" s="6" t="s">
        <v>1</v>
      </c>
      <c r="C20352" s="6" t="s">
        <v>1</v>
      </c>
    </row>
    <row r="20353" spans="1:3" s="7" customFormat="1" x14ac:dyDescent="0.2">
      <c r="A20353" s="6" t="str">
        <f>"EEF1A1P6"</f>
        <v>EEF1A1P6</v>
      </c>
      <c r="B20353" s="6" t="s">
        <v>1</v>
      </c>
      <c r="C20353" s="6" t="s">
        <v>1</v>
      </c>
    </row>
    <row r="20354" spans="1:3" s="7" customFormat="1" x14ac:dyDescent="0.2">
      <c r="A20354" s="6" t="str">
        <f>"CNTNAP1"</f>
        <v>CNTNAP1</v>
      </c>
      <c r="B20354" s="6" t="s">
        <v>1</v>
      </c>
      <c r="C20354" s="6" t="s">
        <v>1</v>
      </c>
    </row>
    <row r="20355" spans="1:3" s="7" customFormat="1" x14ac:dyDescent="0.2">
      <c r="A20355" s="6" t="str">
        <f>"CCNI2"</f>
        <v>CCNI2</v>
      </c>
      <c r="B20355" s="6" t="s">
        <v>1</v>
      </c>
      <c r="C20355" s="6" t="s">
        <v>1</v>
      </c>
    </row>
    <row r="20356" spans="1:3" s="7" customFormat="1" x14ac:dyDescent="0.2">
      <c r="A20356" s="6" t="str">
        <f>"LINC02193"</f>
        <v>LINC02193</v>
      </c>
      <c r="B20356" s="6" t="s">
        <v>1</v>
      </c>
      <c r="C20356" s="6" t="s">
        <v>1</v>
      </c>
    </row>
    <row r="20357" spans="1:3" s="7" customFormat="1" x14ac:dyDescent="0.2">
      <c r="A20357" s="6" t="str">
        <f>"LINC02031"</f>
        <v>LINC02031</v>
      </c>
      <c r="B20357" s="6" t="s">
        <v>1</v>
      </c>
      <c r="C20357" s="6" t="s">
        <v>1</v>
      </c>
    </row>
    <row r="20358" spans="1:3" s="7" customFormat="1" x14ac:dyDescent="0.2">
      <c r="A20358" s="6" t="str">
        <f>"AC015813.1"</f>
        <v>AC015813.1</v>
      </c>
      <c r="B20358" s="6" t="s">
        <v>1</v>
      </c>
      <c r="C20358" s="6" t="s">
        <v>1</v>
      </c>
    </row>
    <row r="20359" spans="1:3" s="7" customFormat="1" x14ac:dyDescent="0.2">
      <c r="A20359" s="6" t="str">
        <f>"ZC3HAV1L"</f>
        <v>ZC3HAV1L</v>
      </c>
      <c r="B20359" s="6" t="s">
        <v>1</v>
      </c>
      <c r="C20359" s="6" t="s">
        <v>1</v>
      </c>
    </row>
    <row r="20360" spans="1:3" s="7" customFormat="1" x14ac:dyDescent="0.2">
      <c r="A20360" s="6" t="str">
        <f>"AL451085.2"</f>
        <v>AL451085.2</v>
      </c>
      <c r="B20360" s="6" t="s">
        <v>1</v>
      </c>
      <c r="C20360" s="6" t="s">
        <v>1</v>
      </c>
    </row>
    <row r="20361" spans="1:3" s="7" customFormat="1" x14ac:dyDescent="0.2">
      <c r="A20361" s="6" t="str">
        <f>"AQP10"</f>
        <v>AQP10</v>
      </c>
      <c r="B20361" s="6" t="s">
        <v>1</v>
      </c>
      <c r="C20361" s="6" t="s">
        <v>1</v>
      </c>
    </row>
    <row r="20362" spans="1:3" s="7" customFormat="1" x14ac:dyDescent="0.2">
      <c r="A20362" s="6" t="str">
        <f>"GAL3ST4"</f>
        <v>GAL3ST4</v>
      </c>
      <c r="B20362" s="6" t="s">
        <v>1</v>
      </c>
      <c r="C20362" s="6" t="s">
        <v>1</v>
      </c>
    </row>
    <row r="20363" spans="1:3" s="7" customFormat="1" x14ac:dyDescent="0.2">
      <c r="A20363" s="6" t="str">
        <f>"FLVCR1-DT"</f>
        <v>FLVCR1-DT</v>
      </c>
      <c r="B20363" s="6" t="s">
        <v>1</v>
      </c>
      <c r="C20363" s="6" t="s">
        <v>1</v>
      </c>
    </row>
    <row r="20364" spans="1:3" s="7" customFormat="1" x14ac:dyDescent="0.2">
      <c r="A20364" s="6" t="str">
        <f>"AL451165.2"</f>
        <v>AL451165.2</v>
      </c>
      <c r="B20364" s="6" t="s">
        <v>1</v>
      </c>
      <c r="C20364" s="6" t="s">
        <v>1</v>
      </c>
    </row>
    <row r="20365" spans="1:3" s="7" customFormat="1" x14ac:dyDescent="0.2">
      <c r="A20365" s="6" t="str">
        <f>"SOCS2"</f>
        <v>SOCS2</v>
      </c>
      <c r="B20365" s="6" t="s">
        <v>1</v>
      </c>
      <c r="C20365" s="6" t="s">
        <v>1</v>
      </c>
    </row>
    <row r="20366" spans="1:3" s="7" customFormat="1" x14ac:dyDescent="0.2">
      <c r="A20366" s="6" t="str">
        <f>"SLC26A9"</f>
        <v>SLC26A9</v>
      </c>
      <c r="B20366" s="6" t="s">
        <v>1</v>
      </c>
      <c r="C20366" s="6" t="s">
        <v>1</v>
      </c>
    </row>
    <row r="20367" spans="1:3" s="7" customFormat="1" x14ac:dyDescent="0.2">
      <c r="A20367" s="6" t="str">
        <f>"C3orf33"</f>
        <v>C3orf33</v>
      </c>
      <c r="B20367" s="6" t="s">
        <v>1</v>
      </c>
      <c r="C20367" s="6" t="s">
        <v>1</v>
      </c>
    </row>
    <row r="20368" spans="1:3" s="7" customFormat="1" x14ac:dyDescent="0.2">
      <c r="A20368" s="6" t="str">
        <f>"HAL"</f>
        <v>HAL</v>
      </c>
      <c r="B20368" s="6" t="s">
        <v>1</v>
      </c>
      <c r="C20368" s="6" t="s">
        <v>1</v>
      </c>
    </row>
    <row r="20369" spans="1:3" s="7" customFormat="1" x14ac:dyDescent="0.2">
      <c r="A20369" s="6" t="str">
        <f>"KLRD1"</f>
        <v>KLRD1</v>
      </c>
      <c r="B20369" s="6" t="s">
        <v>1</v>
      </c>
      <c r="C20369" s="6" t="s">
        <v>1</v>
      </c>
    </row>
    <row r="20370" spans="1:3" s="7" customFormat="1" x14ac:dyDescent="0.2">
      <c r="A20370" s="6" t="str">
        <f>"SLC25A5-AS1"</f>
        <v>SLC25A5-AS1</v>
      </c>
      <c r="B20370" s="6" t="s">
        <v>1</v>
      </c>
      <c r="C20370" s="6" t="s">
        <v>1</v>
      </c>
    </row>
    <row r="20371" spans="1:3" s="7" customFormat="1" x14ac:dyDescent="0.2">
      <c r="A20371" s="6" t="str">
        <f>"RAG1"</f>
        <v>RAG1</v>
      </c>
      <c r="B20371" s="6" t="s">
        <v>1</v>
      </c>
      <c r="C20371" s="6" t="s">
        <v>1</v>
      </c>
    </row>
    <row r="20372" spans="1:3" s="7" customFormat="1" x14ac:dyDescent="0.2">
      <c r="A20372" s="6" t="str">
        <f>"CCNT2-AS1"</f>
        <v>CCNT2-AS1</v>
      </c>
      <c r="B20372" s="6" t="s">
        <v>1</v>
      </c>
      <c r="C20372" s="6" t="s">
        <v>1</v>
      </c>
    </row>
    <row r="20373" spans="1:3" s="7" customFormat="1" x14ac:dyDescent="0.2">
      <c r="A20373" s="6" t="str">
        <f>"GKAP1"</f>
        <v>GKAP1</v>
      </c>
      <c r="B20373" s="6" t="s">
        <v>1</v>
      </c>
      <c r="C20373" s="6" t="s">
        <v>1</v>
      </c>
    </row>
    <row r="20374" spans="1:3" s="7" customFormat="1" x14ac:dyDescent="0.2">
      <c r="A20374" s="6" t="str">
        <f>"GLMN"</f>
        <v>GLMN</v>
      </c>
      <c r="B20374" s="6" t="s">
        <v>1</v>
      </c>
      <c r="C20374" s="6" t="s">
        <v>1</v>
      </c>
    </row>
    <row r="20375" spans="1:3" s="7" customFormat="1" x14ac:dyDescent="0.2">
      <c r="A20375" s="6" t="str">
        <f>"EDN2"</f>
        <v>EDN2</v>
      </c>
      <c r="B20375" s="6" t="s">
        <v>1</v>
      </c>
      <c r="C20375" s="6" t="s">
        <v>1</v>
      </c>
    </row>
    <row r="20376" spans="1:3" s="7" customFormat="1" x14ac:dyDescent="0.2">
      <c r="A20376" s="6" t="str">
        <f>"LGALS4"</f>
        <v>LGALS4</v>
      </c>
      <c r="B20376" s="6" t="s">
        <v>1</v>
      </c>
      <c r="C20376" s="6" t="s">
        <v>1</v>
      </c>
    </row>
    <row r="20377" spans="1:3" s="7" customFormat="1" x14ac:dyDescent="0.2">
      <c r="A20377" s="6" t="str">
        <f>"AC009403.1"</f>
        <v>AC009403.1</v>
      </c>
      <c r="B20377" s="6" t="s">
        <v>1</v>
      </c>
      <c r="C20377" s="6" t="s">
        <v>1</v>
      </c>
    </row>
    <row r="20378" spans="1:3" s="7" customFormat="1" x14ac:dyDescent="0.2">
      <c r="A20378" s="6" t="str">
        <f>"AL031708.1"</f>
        <v>AL031708.1</v>
      </c>
      <c r="B20378" s="6" t="s">
        <v>1</v>
      </c>
      <c r="C20378" s="6" t="s">
        <v>1</v>
      </c>
    </row>
    <row r="20379" spans="1:3" s="7" customFormat="1" x14ac:dyDescent="0.2">
      <c r="A20379" s="6" t="str">
        <f>"CYP1B1-AS1"</f>
        <v>CYP1B1-AS1</v>
      </c>
      <c r="B20379" s="6" t="s">
        <v>1</v>
      </c>
      <c r="C20379" s="6" t="s">
        <v>1</v>
      </c>
    </row>
    <row r="20380" spans="1:3" s="7" customFormat="1" x14ac:dyDescent="0.2">
      <c r="A20380" s="6" t="str">
        <f>"NEGR1"</f>
        <v>NEGR1</v>
      </c>
      <c r="B20380" s="6" t="s">
        <v>1</v>
      </c>
      <c r="C20380" s="6" t="s">
        <v>1</v>
      </c>
    </row>
    <row r="20381" spans="1:3" s="7" customFormat="1" x14ac:dyDescent="0.2">
      <c r="A20381" s="6" t="str">
        <f>"NUTM2B"</f>
        <v>NUTM2B</v>
      </c>
      <c r="B20381" s="6" t="s">
        <v>1</v>
      </c>
      <c r="C20381" s="6" t="s">
        <v>1</v>
      </c>
    </row>
    <row r="20382" spans="1:3" s="7" customFormat="1" x14ac:dyDescent="0.2">
      <c r="A20382" s="6" t="str">
        <f>"SHC2"</f>
        <v>SHC2</v>
      </c>
      <c r="B20382" s="6" t="s">
        <v>1</v>
      </c>
      <c r="C20382" s="6" t="s">
        <v>1</v>
      </c>
    </row>
    <row r="20383" spans="1:3" s="7" customFormat="1" x14ac:dyDescent="0.2">
      <c r="A20383" s="6" t="str">
        <f>"ZNF280C"</f>
        <v>ZNF280C</v>
      </c>
      <c r="B20383" s="6" t="s">
        <v>1</v>
      </c>
      <c r="C20383" s="6" t="s">
        <v>1</v>
      </c>
    </row>
    <row r="20384" spans="1:3" s="7" customFormat="1" x14ac:dyDescent="0.2">
      <c r="A20384" s="6" t="str">
        <f>"RPL7AP64"</f>
        <v>RPL7AP64</v>
      </c>
      <c r="B20384" s="6" t="s">
        <v>1</v>
      </c>
      <c r="C20384" s="6" t="s">
        <v>1</v>
      </c>
    </row>
    <row r="20385" spans="1:3" s="7" customFormat="1" x14ac:dyDescent="0.2">
      <c r="A20385" s="6" t="str">
        <f>"AC107884.1"</f>
        <v>AC107884.1</v>
      </c>
      <c r="B20385" s="6" t="s">
        <v>1</v>
      </c>
      <c r="C20385" s="6" t="s">
        <v>1</v>
      </c>
    </row>
    <row r="20386" spans="1:3" s="7" customFormat="1" x14ac:dyDescent="0.2">
      <c r="A20386" s="6" t="str">
        <f>"AC004803.1"</f>
        <v>AC004803.1</v>
      </c>
      <c r="B20386" s="6" t="s">
        <v>1</v>
      </c>
      <c r="C20386" s="6" t="s">
        <v>1</v>
      </c>
    </row>
    <row r="20387" spans="1:3" s="7" customFormat="1" x14ac:dyDescent="0.2">
      <c r="A20387" s="6" t="str">
        <f>"AC004980.1"</f>
        <v>AC004980.1</v>
      </c>
      <c r="B20387" s="6" t="s">
        <v>1</v>
      </c>
      <c r="C20387" s="6" t="s">
        <v>1</v>
      </c>
    </row>
    <row r="20388" spans="1:3" s="7" customFormat="1" x14ac:dyDescent="0.2">
      <c r="A20388" s="6" t="str">
        <f>"STX19"</f>
        <v>STX19</v>
      </c>
      <c r="B20388" s="6" t="s">
        <v>1</v>
      </c>
      <c r="C20388" s="6" t="s">
        <v>1</v>
      </c>
    </row>
    <row r="20389" spans="1:3" s="7" customFormat="1" x14ac:dyDescent="0.2">
      <c r="A20389" s="6" t="str">
        <f>"AC007255.1"</f>
        <v>AC007255.1</v>
      </c>
      <c r="B20389" s="6" t="s">
        <v>1</v>
      </c>
      <c r="C20389" s="6" t="s">
        <v>1</v>
      </c>
    </row>
    <row r="20390" spans="1:3" s="7" customFormat="1" x14ac:dyDescent="0.2">
      <c r="A20390" s="6" t="str">
        <f>"CRPPA"</f>
        <v>CRPPA</v>
      </c>
      <c r="B20390" s="6" t="s">
        <v>1</v>
      </c>
      <c r="C20390" s="6" t="s">
        <v>1</v>
      </c>
    </row>
    <row r="20391" spans="1:3" s="7" customFormat="1" x14ac:dyDescent="0.2">
      <c r="A20391" s="6" t="str">
        <f>"CCL4L2"</f>
        <v>CCL4L2</v>
      </c>
      <c r="B20391" s="6" t="s">
        <v>1</v>
      </c>
      <c r="C20391" s="6" t="s">
        <v>1</v>
      </c>
    </row>
    <row r="20392" spans="1:3" s="7" customFormat="1" x14ac:dyDescent="0.2">
      <c r="A20392" s="6" t="str">
        <f>"KCNJ5"</f>
        <v>KCNJ5</v>
      </c>
      <c r="B20392" s="6" t="s">
        <v>1</v>
      </c>
      <c r="C20392" s="6" t="s">
        <v>1</v>
      </c>
    </row>
    <row r="20393" spans="1:3" s="7" customFormat="1" x14ac:dyDescent="0.2">
      <c r="A20393" s="6" t="str">
        <f>"ZSCAN20"</f>
        <v>ZSCAN20</v>
      </c>
      <c r="B20393" s="6" t="s">
        <v>1</v>
      </c>
      <c r="C20393" s="6" t="s">
        <v>1</v>
      </c>
    </row>
    <row r="20394" spans="1:3" s="7" customFormat="1" x14ac:dyDescent="0.2">
      <c r="A20394" s="6" t="str">
        <f>"LINC00997"</f>
        <v>LINC00997</v>
      </c>
      <c r="B20394" s="6" t="s">
        <v>1</v>
      </c>
      <c r="C20394" s="6" t="s">
        <v>1</v>
      </c>
    </row>
    <row r="20395" spans="1:3" s="7" customFormat="1" x14ac:dyDescent="0.2">
      <c r="A20395" s="6" t="str">
        <f>"TRIB3"</f>
        <v>TRIB3</v>
      </c>
      <c r="B20395" s="6" t="s">
        <v>1</v>
      </c>
      <c r="C20395" s="6" t="s">
        <v>1</v>
      </c>
    </row>
    <row r="20396" spans="1:3" s="7" customFormat="1" x14ac:dyDescent="0.2">
      <c r="A20396" s="6" t="str">
        <f>"FAM83C"</f>
        <v>FAM83C</v>
      </c>
      <c r="B20396" s="6" t="s">
        <v>1</v>
      </c>
      <c r="C20396" s="6" t="s">
        <v>1</v>
      </c>
    </row>
    <row r="20397" spans="1:3" s="7" customFormat="1" x14ac:dyDescent="0.2">
      <c r="A20397" s="6" t="str">
        <f>"ZNF596"</f>
        <v>ZNF596</v>
      </c>
      <c r="B20397" s="6" t="s">
        <v>1</v>
      </c>
      <c r="C20397" s="6" t="s">
        <v>1</v>
      </c>
    </row>
    <row r="20398" spans="1:3" s="7" customFormat="1" x14ac:dyDescent="0.2">
      <c r="A20398" s="6" t="str">
        <f>"LINC02159"</f>
        <v>LINC02159</v>
      </c>
      <c r="B20398" s="6" t="s">
        <v>1</v>
      </c>
      <c r="C20398" s="6" t="s">
        <v>1</v>
      </c>
    </row>
    <row r="20399" spans="1:3" s="7" customFormat="1" x14ac:dyDescent="0.2">
      <c r="A20399" s="6" t="str">
        <f>"PLEKHD1"</f>
        <v>PLEKHD1</v>
      </c>
      <c r="B20399" s="6" t="s">
        <v>1</v>
      </c>
      <c r="C20399" s="6" t="s">
        <v>1</v>
      </c>
    </row>
    <row r="20400" spans="1:3" s="7" customFormat="1" x14ac:dyDescent="0.2">
      <c r="A20400" s="6" t="str">
        <f>"VCPKMT"</f>
        <v>VCPKMT</v>
      </c>
      <c r="B20400" s="6" t="s">
        <v>1</v>
      </c>
      <c r="C20400" s="6" t="s">
        <v>1</v>
      </c>
    </row>
    <row r="20401" spans="1:3" s="7" customFormat="1" x14ac:dyDescent="0.2">
      <c r="A20401" s="6" t="str">
        <f>"EEF1AKMT4"</f>
        <v>EEF1AKMT4</v>
      </c>
      <c r="B20401" s="6" t="s">
        <v>1</v>
      </c>
      <c r="C20401" s="6" t="s">
        <v>1</v>
      </c>
    </row>
    <row r="20402" spans="1:3" s="7" customFormat="1" x14ac:dyDescent="0.2">
      <c r="A20402" s="6" t="str">
        <f>"CCNB3"</f>
        <v>CCNB3</v>
      </c>
      <c r="B20402" s="6" t="s">
        <v>1</v>
      </c>
      <c r="C20402" s="6" t="s">
        <v>1</v>
      </c>
    </row>
    <row r="20403" spans="1:3" s="7" customFormat="1" x14ac:dyDescent="0.2">
      <c r="A20403" s="6" t="str">
        <f>"CCNB2"</f>
        <v>CCNB2</v>
      </c>
      <c r="B20403" s="6" t="s">
        <v>1</v>
      </c>
      <c r="C20403" s="6" t="s">
        <v>1</v>
      </c>
    </row>
    <row r="20404" spans="1:3" s="7" customFormat="1" x14ac:dyDescent="0.2">
      <c r="A20404" s="6" t="str">
        <f>"NOS3"</f>
        <v>NOS3</v>
      </c>
      <c r="B20404" s="6" t="s">
        <v>1</v>
      </c>
      <c r="C20404" s="6" t="s">
        <v>1</v>
      </c>
    </row>
    <row r="20405" spans="1:3" s="7" customFormat="1" x14ac:dyDescent="0.2">
      <c r="A20405" s="6" t="str">
        <f>"SRRM2-AS1"</f>
        <v>SRRM2-AS1</v>
      </c>
      <c r="B20405" s="6" t="s">
        <v>1</v>
      </c>
      <c r="C20405" s="6" t="s">
        <v>1</v>
      </c>
    </row>
    <row r="20406" spans="1:3" s="7" customFormat="1" x14ac:dyDescent="0.2">
      <c r="A20406" s="6" t="str">
        <f>"HAVCR2"</f>
        <v>HAVCR2</v>
      </c>
      <c r="B20406" s="6" t="s">
        <v>1</v>
      </c>
      <c r="C20406" s="6" t="s">
        <v>1</v>
      </c>
    </row>
    <row r="20407" spans="1:3" s="7" customFormat="1" x14ac:dyDescent="0.2">
      <c r="A20407" s="6" t="str">
        <f>"DENND5B"</f>
        <v>DENND5B</v>
      </c>
      <c r="B20407" s="6" t="s">
        <v>1</v>
      </c>
      <c r="C20407" s="6" t="s">
        <v>1</v>
      </c>
    </row>
    <row r="20408" spans="1:3" s="7" customFormat="1" x14ac:dyDescent="0.2">
      <c r="A20408" s="6" t="str">
        <f>"PHLDB2"</f>
        <v>PHLDB2</v>
      </c>
      <c r="B20408" s="6" t="s">
        <v>1</v>
      </c>
      <c r="C20408" s="6" t="s">
        <v>1</v>
      </c>
    </row>
    <row r="20409" spans="1:3" s="7" customFormat="1" x14ac:dyDescent="0.2">
      <c r="A20409" s="6" t="str">
        <f>"AC130456.2"</f>
        <v>AC130456.2</v>
      </c>
      <c r="B20409" s="6" t="s">
        <v>1</v>
      </c>
      <c r="C20409" s="6" t="s">
        <v>1</v>
      </c>
    </row>
    <row r="20410" spans="1:3" s="7" customFormat="1" x14ac:dyDescent="0.2">
      <c r="A20410" s="6" t="str">
        <f>"ZSWIM3"</f>
        <v>ZSWIM3</v>
      </c>
      <c r="B20410" s="6" t="s">
        <v>1</v>
      </c>
      <c r="C20410" s="6" t="s">
        <v>1</v>
      </c>
    </row>
    <row r="20411" spans="1:3" s="7" customFormat="1" x14ac:dyDescent="0.2">
      <c r="A20411" s="6" t="str">
        <f>"RNF165"</f>
        <v>RNF165</v>
      </c>
      <c r="B20411" s="6" t="s">
        <v>1</v>
      </c>
      <c r="C20411" s="6" t="s">
        <v>1</v>
      </c>
    </row>
    <row r="20412" spans="1:3" s="7" customFormat="1" x14ac:dyDescent="0.2">
      <c r="A20412" s="6" t="str">
        <f>"FKBP10"</f>
        <v>FKBP10</v>
      </c>
      <c r="B20412" s="6" t="s">
        <v>1</v>
      </c>
      <c r="C20412" s="6" t="s">
        <v>1</v>
      </c>
    </row>
    <row r="20413" spans="1:3" s="7" customFormat="1" x14ac:dyDescent="0.2">
      <c r="A20413" s="6" t="str">
        <f>"AC087623.2"</f>
        <v>AC087623.2</v>
      </c>
      <c r="B20413" s="6" t="s">
        <v>1</v>
      </c>
      <c r="C20413" s="6" t="s">
        <v>1</v>
      </c>
    </row>
    <row r="20414" spans="1:3" s="7" customFormat="1" x14ac:dyDescent="0.2">
      <c r="A20414" s="6" t="str">
        <f>"MDGA1"</f>
        <v>MDGA1</v>
      </c>
      <c r="B20414" s="6" t="s">
        <v>1</v>
      </c>
      <c r="C20414" s="6" t="s">
        <v>1</v>
      </c>
    </row>
    <row r="20415" spans="1:3" s="7" customFormat="1" x14ac:dyDescent="0.2">
      <c r="A20415" s="6" t="str">
        <f>"ZSCAN22"</f>
        <v>ZSCAN22</v>
      </c>
      <c r="B20415" s="6" t="s">
        <v>1</v>
      </c>
      <c r="C20415" s="6" t="s">
        <v>1</v>
      </c>
    </row>
    <row r="20416" spans="1:3" s="7" customFormat="1" x14ac:dyDescent="0.2">
      <c r="A20416" s="6" t="str">
        <f>"BTF3L4P2"</f>
        <v>BTF3L4P2</v>
      </c>
      <c r="B20416" s="6" t="s">
        <v>1</v>
      </c>
      <c r="C20416" s="6" t="s">
        <v>1</v>
      </c>
    </row>
    <row r="20417" spans="1:3" s="7" customFormat="1" x14ac:dyDescent="0.2">
      <c r="A20417" s="6" t="str">
        <f>"MYOM2"</f>
        <v>MYOM2</v>
      </c>
      <c r="B20417" s="6" t="s">
        <v>1</v>
      </c>
      <c r="C20417" s="6" t="s">
        <v>1</v>
      </c>
    </row>
    <row r="20418" spans="1:3" s="7" customFormat="1" x14ac:dyDescent="0.2">
      <c r="A20418" s="6" t="str">
        <f>"DNAJC6"</f>
        <v>DNAJC6</v>
      </c>
      <c r="B20418" s="6" t="s">
        <v>1</v>
      </c>
      <c r="C20418" s="6" t="s">
        <v>1</v>
      </c>
    </row>
    <row r="20419" spans="1:3" s="7" customFormat="1" x14ac:dyDescent="0.2">
      <c r="A20419" s="6" t="str">
        <f>"CHRM3"</f>
        <v>CHRM3</v>
      </c>
      <c r="B20419" s="6" t="s">
        <v>1</v>
      </c>
      <c r="C20419" s="6" t="s">
        <v>1</v>
      </c>
    </row>
    <row r="20420" spans="1:3" s="7" customFormat="1" x14ac:dyDescent="0.2">
      <c r="A20420" s="6" t="str">
        <f>"CCL3L3"</f>
        <v>CCL3L3</v>
      </c>
      <c r="B20420" s="6" t="s">
        <v>1</v>
      </c>
      <c r="C20420" s="6" t="s">
        <v>1</v>
      </c>
    </row>
    <row r="20421" spans="1:3" s="7" customFormat="1" x14ac:dyDescent="0.2">
      <c r="A20421" s="6" t="str">
        <f>"APOC1"</f>
        <v>APOC1</v>
      </c>
      <c r="B20421" s="6" t="s">
        <v>1</v>
      </c>
      <c r="C20421" s="6" t="s">
        <v>1</v>
      </c>
    </row>
    <row r="20422" spans="1:3" s="7" customFormat="1" x14ac:dyDescent="0.2">
      <c r="A20422" s="6" t="str">
        <f>"MYOM1"</f>
        <v>MYOM1</v>
      </c>
      <c r="B20422" s="6" t="s">
        <v>1</v>
      </c>
      <c r="C20422" s="6" t="s">
        <v>1</v>
      </c>
    </row>
    <row r="20423" spans="1:3" s="7" customFormat="1" x14ac:dyDescent="0.2">
      <c r="A20423" s="6" t="str">
        <f>"NPIPB11"</f>
        <v>NPIPB11</v>
      </c>
      <c r="B20423" s="6" t="s">
        <v>1</v>
      </c>
      <c r="C20423" s="6" t="s">
        <v>1</v>
      </c>
    </row>
    <row r="20424" spans="1:3" s="7" customFormat="1" x14ac:dyDescent="0.2">
      <c r="A20424" s="6" t="str">
        <f>"RADX"</f>
        <v>RADX</v>
      </c>
      <c r="B20424" s="6" t="s">
        <v>1</v>
      </c>
      <c r="C20424" s="6" t="s">
        <v>1</v>
      </c>
    </row>
    <row r="20425" spans="1:3" s="7" customFormat="1" x14ac:dyDescent="0.2">
      <c r="A20425" s="6" t="str">
        <f>"AL441992.2"</f>
        <v>AL441992.2</v>
      </c>
      <c r="B20425" s="6" t="s">
        <v>1</v>
      </c>
      <c r="C20425" s="6" t="s">
        <v>1</v>
      </c>
    </row>
    <row r="20426" spans="1:3" s="7" customFormat="1" x14ac:dyDescent="0.2">
      <c r="A20426" s="6" t="str">
        <f>"DERPC"</f>
        <v>DERPC</v>
      </c>
      <c r="B20426" s="6" t="s">
        <v>1</v>
      </c>
      <c r="C20426" s="6" t="s">
        <v>1</v>
      </c>
    </row>
    <row r="20427" spans="1:3" s="7" customFormat="1" x14ac:dyDescent="0.2">
      <c r="A20427" s="6" t="str">
        <f>"F12"</f>
        <v>F12</v>
      </c>
      <c r="B20427" s="6" t="s">
        <v>1</v>
      </c>
      <c r="C20427" s="6" t="s">
        <v>1</v>
      </c>
    </row>
    <row r="20428" spans="1:3" s="7" customFormat="1" x14ac:dyDescent="0.2">
      <c r="A20428" s="6" t="str">
        <f>"AL445423.3"</f>
        <v>AL445423.3</v>
      </c>
      <c r="B20428" s="6" t="s">
        <v>1</v>
      </c>
      <c r="C20428" s="6" t="s">
        <v>1</v>
      </c>
    </row>
    <row r="20429" spans="1:3" s="7" customFormat="1" x14ac:dyDescent="0.2">
      <c r="A20429" s="6" t="str">
        <f>"ZXDA"</f>
        <v>ZXDA</v>
      </c>
      <c r="B20429" s="6" t="s">
        <v>1</v>
      </c>
      <c r="C20429" s="6" t="s">
        <v>1</v>
      </c>
    </row>
    <row r="20430" spans="1:3" s="7" customFormat="1" x14ac:dyDescent="0.2">
      <c r="A20430" s="6" t="str">
        <f>"FASTKD3"</f>
        <v>FASTKD3</v>
      </c>
      <c r="B20430" s="6" t="s">
        <v>1</v>
      </c>
      <c r="C20430" s="6" t="s">
        <v>1</v>
      </c>
    </row>
    <row r="20431" spans="1:3" s="7" customFormat="1" x14ac:dyDescent="0.2">
      <c r="A20431" s="6" t="str">
        <f>"HAS2"</f>
        <v>HAS2</v>
      </c>
      <c r="B20431" s="6" t="s">
        <v>1</v>
      </c>
      <c r="C20431" s="6" t="s">
        <v>1</v>
      </c>
    </row>
    <row r="20432" spans="1:3" s="7" customFormat="1" x14ac:dyDescent="0.2">
      <c r="A20432" s="6" t="str">
        <f>"RNF122"</f>
        <v>RNF122</v>
      </c>
      <c r="B20432" s="6" t="s">
        <v>1</v>
      </c>
      <c r="C20432" s="6" t="s">
        <v>1</v>
      </c>
    </row>
    <row r="20433" spans="1:3" s="7" customFormat="1" x14ac:dyDescent="0.2">
      <c r="A20433" s="6" t="str">
        <f>"DFFB"</f>
        <v>DFFB</v>
      </c>
      <c r="B20433" s="6" t="s">
        <v>1</v>
      </c>
      <c r="C20433" s="6" t="s">
        <v>1</v>
      </c>
    </row>
    <row r="20434" spans="1:3" s="7" customFormat="1" x14ac:dyDescent="0.2">
      <c r="A20434" s="6" t="str">
        <f>"LETM2"</f>
        <v>LETM2</v>
      </c>
      <c r="B20434" s="6" t="s">
        <v>1</v>
      </c>
      <c r="C20434" s="6" t="s">
        <v>1</v>
      </c>
    </row>
    <row r="20435" spans="1:3" s="7" customFormat="1" x14ac:dyDescent="0.2">
      <c r="A20435" s="6" t="str">
        <f>"GABBR1"</f>
        <v>GABBR1</v>
      </c>
      <c r="B20435" s="6" t="s">
        <v>1</v>
      </c>
      <c r="C20435" s="6" t="s">
        <v>1</v>
      </c>
    </row>
    <row r="20436" spans="1:3" s="7" customFormat="1" x14ac:dyDescent="0.2">
      <c r="A20436" s="6" t="str">
        <f>"AL354919.1"</f>
        <v>AL354919.1</v>
      </c>
      <c r="B20436" s="6" t="s">
        <v>1</v>
      </c>
      <c r="C20436" s="6" t="s">
        <v>1</v>
      </c>
    </row>
    <row r="20437" spans="1:3" s="7" customFormat="1" x14ac:dyDescent="0.2">
      <c r="A20437" s="6" t="str">
        <f>"AC004816.1"</f>
        <v>AC004816.1</v>
      </c>
      <c r="B20437" s="6" t="s">
        <v>1</v>
      </c>
      <c r="C20437" s="6" t="s">
        <v>1</v>
      </c>
    </row>
    <row r="20438" spans="1:3" s="7" customFormat="1" x14ac:dyDescent="0.2">
      <c r="A20438" s="6" t="str">
        <f>"LRMDA"</f>
        <v>LRMDA</v>
      </c>
      <c r="B20438" s="6" t="s">
        <v>1</v>
      </c>
      <c r="C20438" s="6" t="s">
        <v>1</v>
      </c>
    </row>
    <row r="20439" spans="1:3" s="7" customFormat="1" x14ac:dyDescent="0.2">
      <c r="A20439" s="6" t="str">
        <f>"AC007383.1"</f>
        <v>AC007383.1</v>
      </c>
      <c r="B20439" s="6" t="s">
        <v>1</v>
      </c>
      <c r="C20439" s="6" t="s">
        <v>1</v>
      </c>
    </row>
    <row r="20440" spans="1:3" s="7" customFormat="1" x14ac:dyDescent="0.2">
      <c r="A20440" s="6" t="str">
        <f>"AR"</f>
        <v>AR</v>
      </c>
      <c r="B20440" s="6" t="s">
        <v>1</v>
      </c>
      <c r="C20440" s="6" t="s">
        <v>1</v>
      </c>
    </row>
    <row r="20441" spans="1:3" s="7" customFormat="1" x14ac:dyDescent="0.2">
      <c r="A20441" s="6" t="str">
        <f>"MKRN3"</f>
        <v>MKRN3</v>
      </c>
      <c r="B20441" s="6" t="s">
        <v>1</v>
      </c>
      <c r="C20441" s="6" t="s">
        <v>1</v>
      </c>
    </row>
    <row r="20442" spans="1:3" s="7" customFormat="1" x14ac:dyDescent="0.2">
      <c r="A20442" s="6" t="str">
        <f>"SALL2"</f>
        <v>SALL2</v>
      </c>
      <c r="B20442" s="6" t="s">
        <v>1</v>
      </c>
      <c r="C20442" s="6" t="s">
        <v>1</v>
      </c>
    </row>
    <row r="20443" spans="1:3" s="7" customFormat="1" x14ac:dyDescent="0.2">
      <c r="A20443" s="6" t="str">
        <f>"ZBTB49"</f>
        <v>ZBTB49</v>
      </c>
      <c r="B20443" s="6" t="s">
        <v>1</v>
      </c>
      <c r="C20443" s="6" t="s">
        <v>1</v>
      </c>
    </row>
    <row r="20444" spans="1:3" s="7" customFormat="1" x14ac:dyDescent="0.2">
      <c r="A20444" s="6" t="str">
        <f>"NPIPA2"</f>
        <v>NPIPA2</v>
      </c>
      <c r="B20444" s="6" t="s">
        <v>1</v>
      </c>
      <c r="C20444" s="6" t="s">
        <v>1</v>
      </c>
    </row>
    <row r="20445" spans="1:3" s="7" customFormat="1" x14ac:dyDescent="0.2">
      <c r="A20445" s="6" t="str">
        <f>"ATAD3C"</f>
        <v>ATAD3C</v>
      </c>
      <c r="B20445" s="6" t="s">
        <v>1</v>
      </c>
      <c r="C20445" s="6" t="s">
        <v>1</v>
      </c>
    </row>
    <row r="20446" spans="1:3" s="7" customFormat="1" x14ac:dyDescent="0.2">
      <c r="A20446" s="6" t="str">
        <f>"ALMS1P1"</f>
        <v>ALMS1P1</v>
      </c>
      <c r="B20446" s="6" t="s">
        <v>1</v>
      </c>
      <c r="C20446" s="6" t="s">
        <v>1</v>
      </c>
    </row>
    <row r="20447" spans="1:3" s="7" customFormat="1" x14ac:dyDescent="0.2">
      <c r="A20447" s="6" t="str">
        <f>"TNFAIP6"</f>
        <v>TNFAIP6</v>
      </c>
      <c r="B20447" s="6" t="s">
        <v>1</v>
      </c>
      <c r="C20447" s="6" t="s">
        <v>1</v>
      </c>
    </row>
    <row r="20448" spans="1:3" s="7" customFormat="1" x14ac:dyDescent="0.2">
      <c r="A20448" s="6" t="str">
        <f>"CDYL2"</f>
        <v>CDYL2</v>
      </c>
      <c r="B20448" s="6" t="s">
        <v>1</v>
      </c>
      <c r="C20448" s="6" t="s">
        <v>1</v>
      </c>
    </row>
    <row r="20449" spans="1:3" s="7" customFormat="1" x14ac:dyDescent="0.2">
      <c r="A20449" s="6" t="str">
        <f>"ENOX1"</f>
        <v>ENOX1</v>
      </c>
      <c r="B20449" s="6" t="s">
        <v>1</v>
      </c>
      <c r="C20449" s="6" t="s">
        <v>1</v>
      </c>
    </row>
    <row r="20450" spans="1:3" s="7" customFormat="1" x14ac:dyDescent="0.2">
      <c r="A20450" s="6" t="str">
        <f>"FAM95C"</f>
        <v>FAM95C</v>
      </c>
      <c r="B20450" s="6" t="s">
        <v>1</v>
      </c>
      <c r="C20450" s="6" t="s">
        <v>1</v>
      </c>
    </row>
    <row r="20451" spans="1:3" s="7" customFormat="1" x14ac:dyDescent="0.2">
      <c r="A20451" s="6" t="str">
        <f>"GLYATL2"</f>
        <v>GLYATL2</v>
      </c>
      <c r="B20451" s="6" t="s">
        <v>1</v>
      </c>
      <c r="C20451" s="6" t="s">
        <v>1</v>
      </c>
    </row>
    <row r="20452" spans="1:3" s="7" customFormat="1" x14ac:dyDescent="0.2">
      <c r="A20452" s="6" t="str">
        <f>"MKLN1-AS"</f>
        <v>MKLN1-AS</v>
      </c>
      <c r="B20452" s="6" t="s">
        <v>1</v>
      </c>
      <c r="C20452" s="6" t="s">
        <v>1</v>
      </c>
    </row>
    <row r="20453" spans="1:3" s="7" customFormat="1" x14ac:dyDescent="0.2">
      <c r="A20453" s="6" t="str">
        <f>"PADI3"</f>
        <v>PADI3</v>
      </c>
      <c r="B20453" s="6" t="s">
        <v>1</v>
      </c>
      <c r="C20453" s="6" t="s">
        <v>1</v>
      </c>
    </row>
    <row r="20454" spans="1:3" s="7" customFormat="1" x14ac:dyDescent="0.2">
      <c r="A20454" s="6" t="str">
        <f>"AP000787.1"</f>
        <v>AP000787.1</v>
      </c>
      <c r="B20454" s="6" t="s">
        <v>1</v>
      </c>
      <c r="C20454" s="6" t="s">
        <v>1</v>
      </c>
    </row>
    <row r="20455" spans="1:3" s="7" customFormat="1" x14ac:dyDescent="0.2">
      <c r="A20455" s="6" t="str">
        <f>"AL445985.1"</f>
        <v>AL445985.1</v>
      </c>
      <c r="B20455" s="6" t="s">
        <v>1</v>
      </c>
      <c r="C20455" s="6" t="s">
        <v>1</v>
      </c>
    </row>
    <row r="20456" spans="1:3" s="7" customFormat="1" x14ac:dyDescent="0.2">
      <c r="A20456" s="6" t="str">
        <f>"ECM2"</f>
        <v>ECM2</v>
      </c>
      <c r="B20456" s="6" t="s">
        <v>1</v>
      </c>
      <c r="C20456" s="6" t="s">
        <v>1</v>
      </c>
    </row>
    <row r="20457" spans="1:3" s="7" customFormat="1" x14ac:dyDescent="0.2">
      <c r="A20457" s="6" t="str">
        <f>"HBB"</f>
        <v>HBB</v>
      </c>
      <c r="B20457" s="6" t="s">
        <v>1</v>
      </c>
      <c r="C20457" s="6" t="s">
        <v>1</v>
      </c>
    </row>
    <row r="20458" spans="1:3" s="7" customFormat="1" x14ac:dyDescent="0.2">
      <c r="A20458" s="6" t="str">
        <f>"LINC01135"</f>
        <v>LINC01135</v>
      </c>
      <c r="B20458" s="6" t="s">
        <v>1</v>
      </c>
      <c r="C20458" s="6" t="s">
        <v>1</v>
      </c>
    </row>
    <row r="20459" spans="1:3" s="7" customFormat="1" x14ac:dyDescent="0.2">
      <c r="A20459" s="6" t="str">
        <f>"LINC01206"</f>
        <v>LINC01206</v>
      </c>
      <c r="B20459" s="6" t="s">
        <v>1</v>
      </c>
      <c r="C20459" s="6" t="s">
        <v>1</v>
      </c>
    </row>
    <row r="20460" spans="1:3" s="7" customFormat="1" x14ac:dyDescent="0.2">
      <c r="A20460" s="6" t="str">
        <f>"TTN-AS1"</f>
        <v>TTN-AS1</v>
      </c>
      <c r="B20460" s="6" t="s">
        <v>1</v>
      </c>
      <c r="C20460" s="6" t="s">
        <v>1</v>
      </c>
    </row>
    <row r="20461" spans="1:3" s="7" customFormat="1" x14ac:dyDescent="0.2">
      <c r="A20461" s="6" t="str">
        <f>"CNTN5"</f>
        <v>CNTN5</v>
      </c>
      <c r="B20461" s="6" t="s">
        <v>1</v>
      </c>
      <c r="C20461" s="6" t="s">
        <v>1</v>
      </c>
    </row>
    <row r="20462" spans="1:3" s="7" customFormat="1" x14ac:dyDescent="0.2">
      <c r="A20462" s="6" t="str">
        <f>"SEC31B"</f>
        <v>SEC31B</v>
      </c>
      <c r="B20462" s="6" t="s">
        <v>1</v>
      </c>
      <c r="C20462" s="6" t="s">
        <v>1</v>
      </c>
    </row>
    <row r="20463" spans="1:3" s="7" customFormat="1" x14ac:dyDescent="0.2">
      <c r="A20463" s="6" t="str">
        <f>"C2orf72"</f>
        <v>C2orf72</v>
      </c>
      <c r="B20463" s="6" t="s">
        <v>1</v>
      </c>
      <c r="C20463" s="6" t="s">
        <v>1</v>
      </c>
    </row>
    <row r="20464" spans="1:3" s="7" customFormat="1" x14ac:dyDescent="0.2">
      <c r="A20464" s="6" t="str">
        <f>"NPAS1"</f>
        <v>NPAS1</v>
      </c>
      <c r="B20464" s="6" t="s">
        <v>1</v>
      </c>
      <c r="C20464" s="6" t="s">
        <v>1</v>
      </c>
    </row>
    <row r="20465" spans="1:3" s="7" customFormat="1" x14ac:dyDescent="0.2">
      <c r="A20465" s="6" t="str">
        <f>"PADI4"</f>
        <v>PADI4</v>
      </c>
      <c r="B20465" s="6" t="s">
        <v>1</v>
      </c>
      <c r="C20465" s="6" t="s">
        <v>1</v>
      </c>
    </row>
    <row r="20466" spans="1:3" s="7" customFormat="1" x14ac:dyDescent="0.2">
      <c r="A20466" s="6" t="str">
        <f>"MAGEE1"</f>
        <v>MAGEE1</v>
      </c>
      <c r="B20466" s="6" t="s">
        <v>1</v>
      </c>
      <c r="C20466" s="6" t="s">
        <v>1</v>
      </c>
    </row>
    <row r="20467" spans="1:3" s="7" customFormat="1" x14ac:dyDescent="0.2">
      <c r="A20467" s="6" t="str">
        <f>"AC127070.2"</f>
        <v>AC127070.2</v>
      </c>
      <c r="B20467" s="6" t="s">
        <v>1</v>
      </c>
      <c r="C20467" s="6" t="s">
        <v>1</v>
      </c>
    </row>
    <row r="20468" spans="1:3" s="7" customFormat="1" x14ac:dyDescent="0.2">
      <c r="A20468" s="6" t="str">
        <f>"HBA2"</f>
        <v>HBA2</v>
      </c>
      <c r="B20468" s="6" t="s">
        <v>1</v>
      </c>
      <c r="C20468" s="6" t="s">
        <v>1</v>
      </c>
    </row>
    <row r="20469" spans="1:3" s="7" customFormat="1" x14ac:dyDescent="0.2">
      <c r="A20469" s="6" t="str">
        <f>"TBC1D8-AS1"</f>
        <v>TBC1D8-AS1</v>
      </c>
      <c r="B20469" s="6" t="s">
        <v>1</v>
      </c>
      <c r="C20469" s="6" t="s">
        <v>1</v>
      </c>
    </row>
    <row r="20470" spans="1:3" s="7" customFormat="1" x14ac:dyDescent="0.2">
      <c r="A20470" s="6" t="str">
        <f>"AC015712.2"</f>
        <v>AC015712.2</v>
      </c>
      <c r="B20470" s="6" t="s">
        <v>1</v>
      </c>
      <c r="C20470" s="6" t="s">
        <v>1</v>
      </c>
    </row>
    <row r="20471" spans="1:3" s="7" customFormat="1" x14ac:dyDescent="0.2">
      <c r="A20471" s="6" t="str">
        <f>"FLT1"</f>
        <v>FLT1</v>
      </c>
      <c r="B20471" s="6" t="s">
        <v>1</v>
      </c>
      <c r="C20471" s="6" t="s">
        <v>1</v>
      </c>
    </row>
    <row r="20472" spans="1:3" s="7" customFormat="1" x14ac:dyDescent="0.2">
      <c r="A20472" s="6" t="str">
        <f>"NOTCH2NLB"</f>
        <v>NOTCH2NLB</v>
      </c>
      <c r="B20472" s="6" t="s">
        <v>1</v>
      </c>
      <c r="C20472" s="6" t="s">
        <v>1</v>
      </c>
    </row>
    <row r="20473" spans="1:3" s="7" customFormat="1" x14ac:dyDescent="0.2">
      <c r="A20473" s="6" t="str">
        <f>"GPRASP1"</f>
        <v>GPRASP1</v>
      </c>
      <c r="B20473" s="6" t="s">
        <v>1</v>
      </c>
      <c r="C20473" s="6" t="s">
        <v>1</v>
      </c>
    </row>
    <row r="20474" spans="1:3" s="7" customFormat="1" x14ac:dyDescent="0.2">
      <c r="A20474" s="6" t="str">
        <f>"SLC25A51P4"</f>
        <v>SLC25A51P4</v>
      </c>
      <c r="B20474" s="6" t="s">
        <v>1</v>
      </c>
      <c r="C20474" s="6" t="s">
        <v>1</v>
      </c>
    </row>
    <row r="20475" spans="1:3" s="7" customFormat="1" x14ac:dyDescent="0.2">
      <c r="A20475" s="6" t="str">
        <f>"PDE10A"</f>
        <v>PDE10A</v>
      </c>
      <c r="B20475" s="6" t="s">
        <v>1</v>
      </c>
      <c r="C20475" s="6" t="s">
        <v>1</v>
      </c>
    </row>
    <row r="20476" spans="1:3" s="7" customFormat="1" x14ac:dyDescent="0.2">
      <c r="A20476" s="6" t="str">
        <f>"NUTM2A"</f>
        <v>NUTM2A</v>
      </c>
      <c r="B20476" s="6" t="s">
        <v>1</v>
      </c>
      <c r="C20476" s="6" t="s">
        <v>1</v>
      </c>
    </row>
    <row r="20477" spans="1:3" s="7" customFormat="1" x14ac:dyDescent="0.2">
      <c r="A20477" s="6" t="str">
        <f>"PLEKHG4"</f>
        <v>PLEKHG4</v>
      </c>
      <c r="B20477" s="6" t="s">
        <v>1</v>
      </c>
      <c r="C20477" s="6" t="s">
        <v>1</v>
      </c>
    </row>
    <row r="20478" spans="1:3" s="7" customFormat="1" x14ac:dyDescent="0.2">
      <c r="A20478" s="6" t="str">
        <f>"FLJ20021"</f>
        <v>FLJ20021</v>
      </c>
      <c r="B20478" s="6" t="s">
        <v>1</v>
      </c>
      <c r="C20478" s="6" t="s">
        <v>1</v>
      </c>
    </row>
    <row r="20479" spans="1:3" s="7" customFormat="1" x14ac:dyDescent="0.2">
      <c r="A20479" s="6" t="str">
        <f>"CDRT4"</f>
        <v>CDRT4</v>
      </c>
      <c r="B20479" s="6" t="s">
        <v>1</v>
      </c>
      <c r="C20479" s="6" t="s">
        <v>1</v>
      </c>
    </row>
    <row r="20480" spans="1:3" s="7" customFormat="1" x14ac:dyDescent="0.2">
      <c r="A20480" s="6" t="str">
        <f>"MSANTD2"</f>
        <v>MSANTD2</v>
      </c>
      <c r="B20480" s="6" t="s">
        <v>1</v>
      </c>
      <c r="C20480" s="6" t="s">
        <v>1</v>
      </c>
    </row>
    <row r="20481" spans="1:3" s="7" customFormat="1" x14ac:dyDescent="0.2">
      <c r="A20481" s="6" t="str">
        <f>"CCND2"</f>
        <v>CCND2</v>
      </c>
      <c r="B20481" s="6" t="s">
        <v>1</v>
      </c>
      <c r="C20481" s="6" t="s">
        <v>1</v>
      </c>
    </row>
    <row r="20482" spans="1:3" s="7" customFormat="1" x14ac:dyDescent="0.2">
      <c r="A20482" s="6" t="str">
        <f>"NPIPB13"</f>
        <v>NPIPB13</v>
      </c>
      <c r="B20482" s="6" t="s">
        <v>1</v>
      </c>
      <c r="C20482" s="6" t="s">
        <v>1</v>
      </c>
    </row>
    <row r="20483" spans="1:3" s="7" customFormat="1" x14ac:dyDescent="0.2">
      <c r="A20483" s="6" t="str">
        <f>"RALY-AS1"</f>
        <v>RALY-AS1</v>
      </c>
      <c r="B20483" s="6" t="s">
        <v>1</v>
      </c>
      <c r="C20483" s="6" t="s">
        <v>1</v>
      </c>
    </row>
    <row r="20484" spans="1:3" s="7" customFormat="1" x14ac:dyDescent="0.2">
      <c r="A20484" s="6" t="str">
        <f>"SLC27A5"</f>
        <v>SLC27A5</v>
      </c>
      <c r="B20484" s="6" t="s">
        <v>1</v>
      </c>
      <c r="C20484" s="6" t="s">
        <v>1</v>
      </c>
    </row>
    <row r="20485" spans="1:3" s="7" customFormat="1" x14ac:dyDescent="0.2">
      <c r="A20485" s="6" t="str">
        <f>"BACE1-AS"</f>
        <v>BACE1-AS</v>
      </c>
      <c r="B20485" s="6" t="s">
        <v>1</v>
      </c>
      <c r="C20485" s="6" t="s">
        <v>1</v>
      </c>
    </row>
    <row r="20486" spans="1:3" s="7" customFormat="1" x14ac:dyDescent="0.2">
      <c r="A20486" s="6" t="str">
        <f>"AC015871.3"</f>
        <v>AC015871.3</v>
      </c>
      <c r="B20486" s="6" t="s">
        <v>1</v>
      </c>
      <c r="C20486" s="6" t="s">
        <v>1</v>
      </c>
    </row>
    <row r="20487" spans="1:3" s="7" customFormat="1" x14ac:dyDescent="0.2">
      <c r="A20487" s="6" t="str">
        <f>"CHRNA9"</f>
        <v>CHRNA9</v>
      </c>
      <c r="B20487" s="6" t="s">
        <v>1</v>
      </c>
      <c r="C20487" s="6" t="s">
        <v>1</v>
      </c>
    </row>
    <row r="20488" spans="1:3" s="7" customFormat="1" x14ac:dyDescent="0.2">
      <c r="A20488" s="6" t="str">
        <f>"KLK12"</f>
        <v>KLK12</v>
      </c>
      <c r="B20488" s="6" t="s">
        <v>1</v>
      </c>
      <c r="C20488" s="6" t="s">
        <v>1</v>
      </c>
    </row>
    <row r="20489" spans="1:3" s="7" customFormat="1" x14ac:dyDescent="0.2">
      <c r="A20489" s="6" t="str">
        <f>"PDE1A"</f>
        <v>PDE1A</v>
      </c>
      <c r="B20489" s="6" t="s">
        <v>1</v>
      </c>
      <c r="C20489" s="6" t="s">
        <v>1</v>
      </c>
    </row>
    <row r="20490" spans="1:3" s="7" customFormat="1" x14ac:dyDescent="0.2">
      <c r="A20490" s="6" t="str">
        <f>"KCNJ14"</f>
        <v>KCNJ14</v>
      </c>
      <c r="B20490" s="6" t="s">
        <v>1</v>
      </c>
      <c r="C20490" s="6" t="s">
        <v>1</v>
      </c>
    </row>
    <row r="20491" spans="1:3" s="7" customFormat="1" x14ac:dyDescent="0.2">
      <c r="A20491" s="6" t="str">
        <f>"LDLRAD2"</f>
        <v>LDLRAD2</v>
      </c>
      <c r="B20491" s="6" t="s">
        <v>1</v>
      </c>
      <c r="C20491" s="6" t="s">
        <v>1</v>
      </c>
    </row>
    <row r="20492" spans="1:3" s="7" customFormat="1" x14ac:dyDescent="0.2">
      <c r="A20492" s="6" t="str">
        <f>"GPRIN3"</f>
        <v>GPRIN3</v>
      </c>
      <c r="B20492" s="6" t="s">
        <v>1</v>
      </c>
      <c r="C20492" s="6" t="s">
        <v>1</v>
      </c>
    </row>
    <row r="20493" spans="1:3" s="7" customFormat="1" x14ac:dyDescent="0.2">
      <c r="A20493" s="6" t="str">
        <f>"MALINC1"</f>
        <v>MALINC1</v>
      </c>
      <c r="B20493" s="6" t="s">
        <v>1</v>
      </c>
      <c r="C20493" s="6" t="s">
        <v>1</v>
      </c>
    </row>
    <row r="20494" spans="1:3" s="7" customFormat="1" x14ac:dyDescent="0.2">
      <c r="A20494" s="6" t="str">
        <f>"AC242022.1"</f>
        <v>AC242022.1</v>
      </c>
      <c r="B20494" s="6" t="s">
        <v>1</v>
      </c>
      <c r="C20494" s="6" t="s">
        <v>1</v>
      </c>
    </row>
    <row r="20495" spans="1:3" s="7" customFormat="1" x14ac:dyDescent="0.2">
      <c r="A20495" s="6" t="str">
        <f>"AC108010.1"</f>
        <v>AC108010.1</v>
      </c>
      <c r="B20495" s="6" t="s">
        <v>1</v>
      </c>
      <c r="C20495" s="6" t="s">
        <v>1</v>
      </c>
    </row>
    <row r="20496" spans="1:3" s="7" customFormat="1" x14ac:dyDescent="0.2">
      <c r="A20496" s="6" t="str">
        <f>"KLHL23"</f>
        <v>KLHL23</v>
      </c>
      <c r="B20496" s="6" t="s">
        <v>1</v>
      </c>
      <c r="C20496" s="6" t="s">
        <v>1</v>
      </c>
    </row>
    <row r="20497" spans="1:3" s="7" customFormat="1" x14ac:dyDescent="0.2">
      <c r="A20497" s="6" t="str">
        <f>"LOXHD1"</f>
        <v>LOXHD1</v>
      </c>
      <c r="B20497" s="6" t="s">
        <v>1</v>
      </c>
      <c r="C20497" s="6" t="s">
        <v>1</v>
      </c>
    </row>
    <row r="20498" spans="1:3" s="7" customFormat="1" x14ac:dyDescent="0.2">
      <c r="A20498" s="6" t="str">
        <f>"SLX1B-SULT1A4"</f>
        <v>SLX1B-SULT1A4</v>
      </c>
      <c r="B20498" s="6" t="s">
        <v>1</v>
      </c>
      <c r="C20498" s="6" t="s">
        <v>1</v>
      </c>
    </row>
    <row r="20499" spans="1:3" s="7" customFormat="1" x14ac:dyDescent="0.2">
      <c r="A20499" s="6" t="str">
        <f>"AC087500.1"</f>
        <v>AC087500.1</v>
      </c>
      <c r="B20499" s="6" t="s">
        <v>1</v>
      </c>
      <c r="C20499" s="6" t="s">
        <v>1</v>
      </c>
    </row>
    <row r="20500" spans="1:3" s="7" customFormat="1" x14ac:dyDescent="0.2">
      <c r="A20500" s="6" t="str">
        <f>"ZNF610"</f>
        <v>ZNF610</v>
      </c>
      <c r="B20500" s="6" t="s">
        <v>1</v>
      </c>
      <c r="C20500" s="6" t="s">
        <v>1</v>
      </c>
    </row>
    <row r="20501" spans="1:3" s="7" customFormat="1" x14ac:dyDescent="0.2">
      <c r="A20501" s="6" t="str">
        <f>"GPRASP2"</f>
        <v>GPRASP2</v>
      </c>
      <c r="B20501" s="6" t="s">
        <v>1</v>
      </c>
      <c r="C20501" s="6" t="s">
        <v>1</v>
      </c>
    </row>
    <row r="20502" spans="1:3" s="7" customFormat="1" x14ac:dyDescent="0.2">
      <c r="A20502" s="6" t="str">
        <f>"MRPS31P5"</f>
        <v>MRPS31P5</v>
      </c>
      <c r="B20502" s="6" t="s">
        <v>1</v>
      </c>
      <c r="C20502" s="6" t="s">
        <v>1</v>
      </c>
    </row>
    <row r="20503" spans="1:3" s="7" customFormat="1" x14ac:dyDescent="0.2">
      <c r="A20503" s="6" t="str">
        <f>"CYP2E1"</f>
        <v>CYP2E1</v>
      </c>
      <c r="B20503" s="6" t="s">
        <v>1</v>
      </c>
      <c r="C20503" s="6" t="s">
        <v>1</v>
      </c>
    </row>
    <row r="20504" spans="1:3" s="7" customFormat="1" x14ac:dyDescent="0.2">
      <c r="A20504" s="6" t="str">
        <f>"MSH5-SAPCD1"</f>
        <v>MSH5-SAPCD1</v>
      </c>
      <c r="B20504" s="6" t="s">
        <v>1</v>
      </c>
      <c r="C20504" s="6" t="s">
        <v>1</v>
      </c>
    </row>
    <row r="20505" spans="1:3" s="7" customFormat="1" x14ac:dyDescent="0.2">
      <c r="A20505" s="6" t="str">
        <f>"FAIM2"</f>
        <v>FAIM2</v>
      </c>
      <c r="B20505" s="6" t="s">
        <v>1</v>
      </c>
      <c r="C20505" s="6" t="s">
        <v>1</v>
      </c>
    </row>
    <row r="20506" spans="1:3" s="7" customFormat="1" x14ac:dyDescent="0.2">
      <c r="A20506" s="6" t="str">
        <f>"CCNF"</f>
        <v>CCNF</v>
      </c>
      <c r="B20506" s="6" t="s">
        <v>1</v>
      </c>
      <c r="C20506" s="6" t="s">
        <v>1</v>
      </c>
    </row>
    <row r="20507" spans="1:3" s="7" customFormat="1" x14ac:dyDescent="0.2">
      <c r="A20507" s="6" t="str">
        <f>"AC245297.3"</f>
        <v>AC245297.3</v>
      </c>
      <c r="B20507" s="6" t="s">
        <v>1</v>
      </c>
      <c r="C20507" s="6" t="s">
        <v>1</v>
      </c>
    </row>
    <row r="20508" spans="1:3" s="7" customFormat="1" x14ac:dyDescent="0.2">
      <c r="A20508" s="6" t="str">
        <f>"NPIPA8"</f>
        <v>NPIPA8</v>
      </c>
      <c r="B20508" s="6" t="s">
        <v>1</v>
      </c>
      <c r="C20508" s="6" t="s">
        <v>1</v>
      </c>
    </row>
    <row r="20509" spans="1:3" s="7" customFormat="1" x14ac:dyDescent="0.2">
      <c r="A20509" s="6" t="str">
        <f>"IFFO1"</f>
        <v>IFFO1</v>
      </c>
      <c r="B20509" s="6" t="s">
        <v>1</v>
      </c>
      <c r="C20509" s="6" t="s">
        <v>1</v>
      </c>
    </row>
    <row r="20510" spans="1:3" s="7" customFormat="1" x14ac:dyDescent="0.2">
      <c r="A20510" s="6" t="str">
        <f>"CDPF1"</f>
        <v>CDPF1</v>
      </c>
      <c r="B20510" s="6" t="s">
        <v>1</v>
      </c>
      <c r="C20510" s="6" t="s">
        <v>1</v>
      </c>
    </row>
    <row r="20511" spans="1:3" s="7" customFormat="1" x14ac:dyDescent="0.2">
      <c r="A20511" s="6" t="str">
        <f>"CNTD1"</f>
        <v>CNTD1</v>
      </c>
      <c r="B20511" s="6" t="s">
        <v>1</v>
      </c>
      <c r="C20511" s="6" t="s">
        <v>1</v>
      </c>
    </row>
    <row r="20512" spans="1:3" s="7" customFormat="1" x14ac:dyDescent="0.2">
      <c r="A20512" s="6" t="str">
        <f>"SHC3"</f>
        <v>SHC3</v>
      </c>
      <c r="B20512" s="6" t="s">
        <v>1</v>
      </c>
      <c r="C20512" s="6" t="s">
        <v>1</v>
      </c>
    </row>
    <row r="20513" spans="1:3" s="7" customFormat="1" x14ac:dyDescent="0.2">
      <c r="A20513" s="6" t="str">
        <f>"HOGA1"</f>
        <v>HOGA1</v>
      </c>
      <c r="B20513" s="6" t="s">
        <v>1</v>
      </c>
      <c r="C20513" s="6" t="s">
        <v>1</v>
      </c>
    </row>
    <row r="20514" spans="1:3" s="7" customFormat="1" x14ac:dyDescent="0.2">
      <c r="A20514" s="6" t="str">
        <f>"KBTBD3"</f>
        <v>KBTBD3</v>
      </c>
      <c r="B20514" s="6" t="s">
        <v>1</v>
      </c>
      <c r="C20514" s="6" t="s">
        <v>1</v>
      </c>
    </row>
    <row r="20515" spans="1:3" s="7" customFormat="1" x14ac:dyDescent="0.2">
      <c r="A20515" s="6" t="str">
        <f>"INPP5J"</f>
        <v>INPP5J</v>
      </c>
      <c r="B20515" s="6" t="s">
        <v>1</v>
      </c>
      <c r="C20515" s="6" t="s">
        <v>1</v>
      </c>
    </row>
    <row r="20516" spans="1:3" s="7" customFormat="1" x14ac:dyDescent="0.2">
      <c r="A20516" s="6" t="str">
        <f>"SRP9P1"</f>
        <v>SRP9P1</v>
      </c>
      <c r="B20516" s="6" t="s">
        <v>1</v>
      </c>
      <c r="C20516" s="6" t="s">
        <v>1</v>
      </c>
    </row>
    <row r="20517" spans="1:3" s="7" customFormat="1" x14ac:dyDescent="0.2">
      <c r="A20517" s="6" t="str">
        <f>"DNAJC25-GNG10"</f>
        <v>DNAJC25-GNG10</v>
      </c>
      <c r="B20517" s="6" t="s">
        <v>1</v>
      </c>
      <c r="C20517" s="6" t="s">
        <v>1</v>
      </c>
    </row>
    <row r="20518" spans="1:3" s="7" customFormat="1" x14ac:dyDescent="0.2">
      <c r="A20518" s="6" t="str">
        <f>"IGFLR1"</f>
        <v>IGFLR1</v>
      </c>
      <c r="B20518" s="6" t="s">
        <v>1</v>
      </c>
      <c r="C20518" s="6" t="s">
        <v>1</v>
      </c>
    </row>
    <row r="20519" spans="1:3" s="7" customFormat="1" x14ac:dyDescent="0.2">
      <c r="A20519" s="6" t="str">
        <f>"CYP2F2P"</f>
        <v>CYP2F2P</v>
      </c>
      <c r="B20519" s="6" t="s">
        <v>1</v>
      </c>
      <c r="C20519" s="6" t="s">
        <v>1</v>
      </c>
    </row>
    <row r="20520" spans="1:3" s="7" customFormat="1" x14ac:dyDescent="0.2">
      <c r="A20520" s="6" t="str">
        <f>"PCOLCE"</f>
        <v>PCOLCE</v>
      </c>
      <c r="B20520" s="6" t="s">
        <v>1</v>
      </c>
      <c r="C20520" s="6" t="s">
        <v>1</v>
      </c>
    </row>
    <row r="20521" spans="1:3" s="7" customFormat="1" x14ac:dyDescent="0.2">
      <c r="A20521" s="6" t="str">
        <f>"AC004923.1"</f>
        <v>AC004923.1</v>
      </c>
      <c r="B20521" s="6" t="s">
        <v>1</v>
      </c>
      <c r="C20521" s="6" t="s">
        <v>1</v>
      </c>
    </row>
    <row r="20522" spans="1:3" s="7" customFormat="1" x14ac:dyDescent="0.2">
      <c r="A20522" s="6" t="str">
        <f>"FLJ37453"</f>
        <v>FLJ37453</v>
      </c>
      <c r="B20522" s="6" t="s">
        <v>1</v>
      </c>
      <c r="C20522" s="6" t="s">
        <v>1</v>
      </c>
    </row>
    <row r="20523" spans="1:3" s="7" customFormat="1" x14ac:dyDescent="0.2">
      <c r="A20523" s="6" t="str">
        <f>"TMEM147-AS1"</f>
        <v>TMEM147-AS1</v>
      </c>
      <c r="B20523" s="6" t="s">
        <v>1</v>
      </c>
      <c r="C20523" s="6" t="s">
        <v>1</v>
      </c>
    </row>
    <row r="20524" spans="1:3" s="7" customFormat="1" x14ac:dyDescent="0.2">
      <c r="A20524" s="6" t="str">
        <f>"AC010168.2"</f>
        <v>AC010168.2</v>
      </c>
      <c r="B20524" s="6" t="s">
        <v>1</v>
      </c>
      <c r="C20524" s="6" t="s">
        <v>1</v>
      </c>
    </row>
    <row r="20525" spans="1:3" s="7" customFormat="1" x14ac:dyDescent="0.2">
      <c r="A20525" s="6" t="str">
        <f>"AC007406.4"</f>
        <v>AC007406.4</v>
      </c>
      <c r="B20525" s="6" t="s">
        <v>1</v>
      </c>
      <c r="C20525" s="6" t="s">
        <v>1</v>
      </c>
    </row>
    <row r="20526" spans="1:3" s="7" customFormat="1" x14ac:dyDescent="0.2">
      <c r="A20526" s="6" t="str">
        <f>"AC015813.8"</f>
        <v>AC015813.8</v>
      </c>
      <c r="B20526" s="6" t="s">
        <v>1</v>
      </c>
      <c r="C20526" s="6" t="s">
        <v>1</v>
      </c>
    </row>
    <row r="20527" spans="1:3" s="7" customFormat="1" x14ac:dyDescent="0.2">
      <c r="A20527" s="6" t="str">
        <f>"AC004951.1"</f>
        <v>AC004951.1</v>
      </c>
      <c r="B20527" s="6" t="s">
        <v>1</v>
      </c>
      <c r="C20527" s="6" t="s">
        <v>1</v>
      </c>
    </row>
    <row r="20528" spans="1:3" s="7" customFormat="1" x14ac:dyDescent="0.2">
      <c r="A20528" s="6" t="str">
        <f>"RANBP17"</f>
        <v>RANBP17</v>
      </c>
      <c r="B20528" s="6" t="s">
        <v>1</v>
      </c>
      <c r="C20528" s="6" t="s">
        <v>1</v>
      </c>
    </row>
    <row r="20529" spans="1:3" s="7" customFormat="1" x14ac:dyDescent="0.2">
      <c r="A20529" s="6" t="str">
        <f>"CYP4A22-AS1"</f>
        <v>CYP4A22-AS1</v>
      </c>
      <c r="B20529" s="6" t="s">
        <v>1</v>
      </c>
      <c r="C20529" s="6" t="s">
        <v>1</v>
      </c>
    </row>
    <row r="20530" spans="1:3" s="7" customFormat="1" x14ac:dyDescent="0.2">
      <c r="A20530" s="6" t="str">
        <f>"LINC01138"</f>
        <v>LINC01138</v>
      </c>
      <c r="B20530" s="6" t="s">
        <v>1</v>
      </c>
      <c r="C20530" s="6" t="s">
        <v>1</v>
      </c>
    </row>
    <row r="20531" spans="1:3" s="7" customFormat="1" x14ac:dyDescent="0.2">
      <c r="A20531" s="6" t="str">
        <f>"AC084816.1"</f>
        <v>AC084816.1</v>
      </c>
      <c r="B20531" s="6" t="s">
        <v>1</v>
      </c>
      <c r="C20531" s="6" t="s">
        <v>1</v>
      </c>
    </row>
    <row r="20532" spans="1:3" s="7" customFormat="1" x14ac:dyDescent="0.2">
      <c r="A20532" s="6" t="str">
        <f>"DNAJC18"</f>
        <v>DNAJC18</v>
      </c>
      <c r="B20532" s="6" t="s">
        <v>1</v>
      </c>
      <c r="C20532" s="6" t="s">
        <v>1</v>
      </c>
    </row>
    <row r="20533" spans="1:3" s="7" customFormat="1" x14ac:dyDescent="0.2">
      <c r="A20533" s="6" t="str">
        <f>"NECTIN3"</f>
        <v>NECTIN3</v>
      </c>
      <c r="B20533" s="6" t="s">
        <v>1</v>
      </c>
      <c r="C20533" s="6" t="s">
        <v>1</v>
      </c>
    </row>
    <row r="20534" spans="1:3" s="7" customFormat="1" x14ac:dyDescent="0.2">
      <c r="A20534" s="6" t="str">
        <f>"ALG10"</f>
        <v>ALG10</v>
      </c>
      <c r="B20534" s="6" t="s">
        <v>1</v>
      </c>
      <c r="C20534" s="6" t="s">
        <v>1</v>
      </c>
    </row>
    <row r="20535" spans="1:3" s="7" customFormat="1" x14ac:dyDescent="0.2">
      <c r="A20535" s="6" t="str">
        <f>"MIR4458HG"</f>
        <v>MIR4458HG</v>
      </c>
      <c r="B20535" s="6" t="s">
        <v>1</v>
      </c>
      <c r="C20535" s="6" t="s">
        <v>1</v>
      </c>
    </row>
    <row r="20536" spans="1:3" s="7" customFormat="1" x14ac:dyDescent="0.2">
      <c r="A20536" s="6" t="str">
        <f>"DEPP1"</f>
        <v>DEPP1</v>
      </c>
      <c r="B20536" s="6" t="s">
        <v>1</v>
      </c>
      <c r="C20536" s="6" t="s">
        <v>1</v>
      </c>
    </row>
    <row r="20537" spans="1:3" s="7" customFormat="1" x14ac:dyDescent="0.2">
      <c r="A20537" s="6" t="str">
        <f>"MCMDC2"</f>
        <v>MCMDC2</v>
      </c>
      <c r="B20537" s="6" t="s">
        <v>1</v>
      </c>
      <c r="C20537" s="6" t="s">
        <v>1</v>
      </c>
    </row>
    <row r="20538" spans="1:3" s="7" customFormat="1" x14ac:dyDescent="0.2">
      <c r="A20538" s="6" t="str">
        <f>"HAUS8"</f>
        <v>HAUS8</v>
      </c>
      <c r="B20538" s="6" t="s">
        <v>1</v>
      </c>
      <c r="C20538" s="6" t="s">
        <v>1</v>
      </c>
    </row>
    <row r="20539" spans="1:3" s="7" customFormat="1" x14ac:dyDescent="0.2">
      <c r="A20539" s="6" t="str">
        <f>"ASCL3"</f>
        <v>ASCL3</v>
      </c>
      <c r="B20539" s="6" t="s">
        <v>1</v>
      </c>
      <c r="C20539" s="6" t="s">
        <v>1</v>
      </c>
    </row>
    <row r="20540" spans="1:3" s="7" customFormat="1" x14ac:dyDescent="0.2">
      <c r="A20540" s="6" t="str">
        <f>"ENPP2"</f>
        <v>ENPP2</v>
      </c>
      <c r="B20540" s="6" t="s">
        <v>1</v>
      </c>
      <c r="C20540" s="6" t="s">
        <v>1</v>
      </c>
    </row>
    <row r="20541" spans="1:3" s="7" customFormat="1" x14ac:dyDescent="0.2">
      <c r="A20541" s="6" t="str">
        <f>"AC087521.2"</f>
        <v>AC087521.2</v>
      </c>
      <c r="B20541" s="6" t="s">
        <v>1</v>
      </c>
      <c r="C20541" s="6" t="s">
        <v>1</v>
      </c>
    </row>
    <row r="20542" spans="1:3" s="7" customFormat="1" x14ac:dyDescent="0.2">
      <c r="A20542" s="6" t="str">
        <f>"HNF1B"</f>
        <v>HNF1B</v>
      </c>
      <c r="B20542" s="6" t="s">
        <v>1</v>
      </c>
      <c r="C20542" s="6" t="s">
        <v>1</v>
      </c>
    </row>
    <row r="20543" spans="1:3" s="7" customFormat="1" x14ac:dyDescent="0.2">
      <c r="A20543" s="6" t="str">
        <f>"NPIPB15"</f>
        <v>NPIPB15</v>
      </c>
      <c r="B20543" s="6" t="s">
        <v>1</v>
      </c>
      <c r="C20543" s="6" t="s">
        <v>1</v>
      </c>
    </row>
    <row r="20544" spans="1:3" s="7" customFormat="1" x14ac:dyDescent="0.2">
      <c r="A20544" s="6" t="str">
        <f>"RNF144A"</f>
        <v>RNF144A</v>
      </c>
      <c r="B20544" s="6" t="s">
        <v>1</v>
      </c>
      <c r="C20544" s="6" t="s">
        <v>1</v>
      </c>
    </row>
    <row r="20545" spans="1:3" s="7" customFormat="1" x14ac:dyDescent="0.2">
      <c r="A20545" s="6" t="str">
        <f>"SLX1A-SULT1A3"</f>
        <v>SLX1A-SULT1A3</v>
      </c>
      <c r="B20545" s="6" t="s">
        <v>1</v>
      </c>
      <c r="C20545" s="6" t="s">
        <v>1</v>
      </c>
    </row>
    <row r="20546" spans="1:3" s="7" customFormat="1" x14ac:dyDescent="0.2">
      <c r="A20546" s="6" t="str">
        <f>"PACC1"</f>
        <v>PACC1</v>
      </c>
      <c r="B20546" s="6" t="s">
        <v>1</v>
      </c>
      <c r="C20546" s="6" t="s">
        <v>1</v>
      </c>
    </row>
    <row r="20547" spans="1:3" s="7" customFormat="1" x14ac:dyDescent="0.2">
      <c r="A20547" s="6" t="str">
        <f>"AC068473.5"</f>
        <v>AC068473.5</v>
      </c>
      <c r="B20547" s="6" t="s">
        <v>1</v>
      </c>
      <c r="C20547" s="6" t="s">
        <v>1</v>
      </c>
    </row>
    <row r="20548" spans="1:3" s="7" customFormat="1" x14ac:dyDescent="0.2">
      <c r="A20548" s="6" t="str">
        <f>"CARD9"</f>
        <v>CARD9</v>
      </c>
      <c r="B20548" s="6" t="s">
        <v>1</v>
      </c>
      <c r="C20548" s="6" t="s">
        <v>1</v>
      </c>
    </row>
    <row r="20549" spans="1:3" s="7" customFormat="1" x14ac:dyDescent="0.2">
      <c r="A20549" s="6" t="str">
        <f>"PROCA1"</f>
        <v>PROCA1</v>
      </c>
      <c r="B20549" s="6" t="s">
        <v>1</v>
      </c>
      <c r="C20549" s="6" t="s">
        <v>1</v>
      </c>
    </row>
    <row r="20550" spans="1:3" s="7" customFormat="1" x14ac:dyDescent="0.2">
      <c r="A20550" s="6" t="str">
        <f>"PLK1"</f>
        <v>PLK1</v>
      </c>
      <c r="B20550" s="6" t="s">
        <v>1</v>
      </c>
      <c r="C20550" s="6" t="s">
        <v>1</v>
      </c>
    </row>
    <row r="20551" spans="1:3" s="7" customFormat="1" x14ac:dyDescent="0.2">
      <c r="A20551" s="6" t="str">
        <f>"CCR5"</f>
        <v>CCR5</v>
      </c>
      <c r="B20551" s="6" t="s">
        <v>1</v>
      </c>
      <c r="C20551" s="6" t="s">
        <v>1</v>
      </c>
    </row>
    <row r="20552" spans="1:3" s="7" customFormat="1" x14ac:dyDescent="0.2">
      <c r="A20552" s="6" t="str">
        <f>"WNT2B"</f>
        <v>WNT2B</v>
      </c>
      <c r="B20552" s="6" t="s">
        <v>1</v>
      </c>
      <c r="C20552" s="6" t="s">
        <v>1</v>
      </c>
    </row>
    <row r="20553" spans="1:3" s="7" customFormat="1" x14ac:dyDescent="0.2">
      <c r="A20553" s="6" t="str">
        <f>"LINC02043"</f>
        <v>LINC02043</v>
      </c>
      <c r="B20553" s="6" t="s">
        <v>1</v>
      </c>
      <c r="C20553" s="6" t="s">
        <v>1</v>
      </c>
    </row>
    <row r="20554" spans="1:3" s="7" customFormat="1" x14ac:dyDescent="0.2">
      <c r="A20554" s="6" t="str">
        <f>"RNF157-AS1"</f>
        <v>RNF157-AS1</v>
      </c>
      <c r="B20554" s="6" t="s">
        <v>1</v>
      </c>
      <c r="C20554" s="6" t="s">
        <v>1</v>
      </c>
    </row>
    <row r="20555" spans="1:3" s="7" customFormat="1" x14ac:dyDescent="0.2">
      <c r="A20555" s="6" t="str">
        <f>"GABRG2"</f>
        <v>GABRG2</v>
      </c>
      <c r="B20555" s="6" t="s">
        <v>1</v>
      </c>
      <c r="C20555" s="6" t="s">
        <v>1</v>
      </c>
    </row>
    <row r="20556" spans="1:3" s="7" customFormat="1" x14ac:dyDescent="0.2">
      <c r="A20556" s="6" t="str">
        <f>"MYO1G"</f>
        <v>MYO1G</v>
      </c>
      <c r="B20556" s="6" t="s">
        <v>1</v>
      </c>
      <c r="C20556" s="6" t="s">
        <v>1</v>
      </c>
    </row>
    <row r="20557" spans="1:3" s="7" customFormat="1" x14ac:dyDescent="0.2">
      <c r="A20557" s="6" t="str">
        <f>"PPARG"</f>
        <v>PPARG</v>
      </c>
      <c r="B20557" s="6" t="s">
        <v>1</v>
      </c>
      <c r="C20557" s="6" t="s">
        <v>1</v>
      </c>
    </row>
    <row r="20558" spans="1:3" s="7" customFormat="1" x14ac:dyDescent="0.2">
      <c r="A20558" s="6" t="str">
        <f>"FADS3"</f>
        <v>FADS3</v>
      </c>
      <c r="B20558" s="6" t="s">
        <v>1</v>
      </c>
      <c r="C20558" s="6" t="s">
        <v>1</v>
      </c>
    </row>
    <row r="20559" spans="1:3" s="7" customFormat="1" x14ac:dyDescent="0.2">
      <c r="A20559" s="6" t="str">
        <f>"AC245297.1"</f>
        <v>AC245297.1</v>
      </c>
      <c r="B20559" s="6" t="s">
        <v>1</v>
      </c>
      <c r="C20559" s="6" t="s">
        <v>1</v>
      </c>
    </row>
    <row r="20560" spans="1:3" s="7" customFormat="1" x14ac:dyDescent="0.2">
      <c r="A20560" s="6" t="str">
        <f>"FANCC"</f>
        <v>FANCC</v>
      </c>
      <c r="B20560" s="6" t="s">
        <v>1</v>
      </c>
      <c r="C20560" s="6" t="s">
        <v>1</v>
      </c>
    </row>
    <row r="20561" spans="1:3" s="7" customFormat="1" x14ac:dyDescent="0.2">
      <c r="A20561" s="6" t="str">
        <f>"BRIP1"</f>
        <v>BRIP1</v>
      </c>
      <c r="B20561" s="6" t="s">
        <v>1</v>
      </c>
      <c r="C20561" s="6" t="s">
        <v>1</v>
      </c>
    </row>
    <row r="20562" spans="1:3" s="7" customFormat="1" x14ac:dyDescent="0.2">
      <c r="A20562" s="6" t="str">
        <f>"KLF8"</f>
        <v>KLF8</v>
      </c>
      <c r="B20562" s="6" t="s">
        <v>1</v>
      </c>
      <c r="C20562" s="6" t="s">
        <v>1</v>
      </c>
    </row>
    <row r="20563" spans="1:3" s="7" customFormat="1" x14ac:dyDescent="0.2">
      <c r="A20563" s="6" t="str">
        <f>"AL135905.1"</f>
        <v>AL135905.1</v>
      </c>
      <c r="B20563" s="6" t="s">
        <v>1</v>
      </c>
      <c r="C20563" s="6" t="s">
        <v>1</v>
      </c>
    </row>
    <row r="20564" spans="1:3" s="7" customFormat="1" x14ac:dyDescent="0.2">
      <c r="A20564" s="6" t="str">
        <f>"AC132008.2"</f>
        <v>AC132008.2</v>
      </c>
      <c r="B20564" s="6" t="s">
        <v>1</v>
      </c>
      <c r="C20564" s="6" t="s">
        <v>1</v>
      </c>
    </row>
    <row r="20565" spans="1:3" s="7" customFormat="1" x14ac:dyDescent="0.2">
      <c r="A20565" s="6" t="str">
        <f>"SRRM3"</f>
        <v>SRRM3</v>
      </c>
      <c r="B20565" s="6" t="s">
        <v>1</v>
      </c>
      <c r="C20565" s="6" t="s">
        <v>1</v>
      </c>
    </row>
    <row r="20566" spans="1:3" s="7" customFormat="1" x14ac:dyDescent="0.2">
      <c r="A20566" s="6" t="str">
        <f>"RAD51B"</f>
        <v>RAD51B</v>
      </c>
      <c r="B20566" s="6" t="s">
        <v>1</v>
      </c>
      <c r="C20566" s="6" t="s">
        <v>1</v>
      </c>
    </row>
    <row r="20567" spans="1:3" s="7" customFormat="1" x14ac:dyDescent="0.2">
      <c r="A20567" s="6" t="str">
        <f>"FANCM"</f>
        <v>FANCM</v>
      </c>
      <c r="B20567" s="6" t="s">
        <v>1</v>
      </c>
      <c r="C20567" s="6" t="s">
        <v>1</v>
      </c>
    </row>
    <row r="20568" spans="1:3" s="7" customFormat="1" x14ac:dyDescent="0.2">
      <c r="A20568" s="6" t="str">
        <f>"MIR210HG"</f>
        <v>MIR210HG</v>
      </c>
      <c r="B20568" s="6" t="s">
        <v>1</v>
      </c>
      <c r="C20568" s="6" t="s">
        <v>1</v>
      </c>
    </row>
    <row r="20569" spans="1:3" s="7" customFormat="1" x14ac:dyDescent="0.2">
      <c r="A20569" s="6" t="str">
        <f>"ZC3H12D"</f>
        <v>ZC3H12D</v>
      </c>
      <c r="B20569" s="6" t="s">
        <v>1</v>
      </c>
      <c r="C20569" s="6" t="s">
        <v>1</v>
      </c>
    </row>
    <row r="20570" spans="1:3" s="7" customFormat="1" x14ac:dyDescent="0.2">
      <c r="A20570" s="6" t="str">
        <f>"SUCLG2-AS1"</f>
        <v>SUCLG2-AS1</v>
      </c>
      <c r="B20570" s="6" t="s">
        <v>1</v>
      </c>
      <c r="C20570" s="6" t="s">
        <v>1</v>
      </c>
    </row>
    <row r="20571" spans="1:3" s="7" customFormat="1" x14ac:dyDescent="0.2">
      <c r="A20571" s="6" t="str">
        <f>"BRCA2"</f>
        <v>BRCA2</v>
      </c>
      <c r="B20571" s="6" t="s">
        <v>1</v>
      </c>
      <c r="C20571" s="6" t="s">
        <v>1</v>
      </c>
    </row>
    <row r="20572" spans="1:3" s="7" customFormat="1" x14ac:dyDescent="0.2">
      <c r="A20572" s="6" t="str">
        <f>"PHLPP2"</f>
        <v>PHLPP2</v>
      </c>
      <c r="B20572" s="6" t="s">
        <v>1</v>
      </c>
      <c r="C20572" s="6" t="s">
        <v>1</v>
      </c>
    </row>
    <row r="20573" spans="1:3" s="7" customFormat="1" x14ac:dyDescent="0.2">
      <c r="A20573" s="6" t="str">
        <f>"KBTBD11"</f>
        <v>KBTBD11</v>
      </c>
      <c r="B20573" s="6" t="s">
        <v>1</v>
      </c>
      <c r="C20573" s="6" t="s">
        <v>1</v>
      </c>
    </row>
    <row r="20574" spans="1:3" s="7" customFormat="1" x14ac:dyDescent="0.2">
      <c r="A20574" s="6" t="str">
        <f>"RAD52"</f>
        <v>RAD52</v>
      </c>
      <c r="B20574" s="6" t="s">
        <v>1</v>
      </c>
      <c r="C20574" s="6" t="s">
        <v>1</v>
      </c>
    </row>
    <row r="20575" spans="1:3" s="7" customFormat="1" x14ac:dyDescent="0.2">
      <c r="A20575" s="6" t="str">
        <f>"AC093752.1"</f>
        <v>AC093752.1</v>
      </c>
      <c r="B20575" s="6" t="s">
        <v>1</v>
      </c>
      <c r="C20575" s="6" t="s">
        <v>1</v>
      </c>
    </row>
    <row r="20576" spans="1:3" s="7" customFormat="1" x14ac:dyDescent="0.2">
      <c r="A20576" s="6" t="str">
        <f>"PTPRCAP"</f>
        <v>PTPRCAP</v>
      </c>
      <c r="B20576" s="6" t="s">
        <v>1</v>
      </c>
      <c r="C20576" s="6" t="s">
        <v>1</v>
      </c>
    </row>
    <row r="20577" spans="1:3" s="7" customFormat="1" x14ac:dyDescent="0.2">
      <c r="A20577" s="6" t="str">
        <f>"ASF1B"</f>
        <v>ASF1B</v>
      </c>
      <c r="B20577" s="6" t="s">
        <v>1</v>
      </c>
      <c r="C20577" s="6" t="s">
        <v>1</v>
      </c>
    </row>
    <row r="20578" spans="1:3" s="7" customFormat="1" x14ac:dyDescent="0.2">
      <c r="A20578" s="6" t="str">
        <f>"MS4A7"</f>
        <v>MS4A7</v>
      </c>
      <c r="B20578" s="6" t="s">
        <v>1</v>
      </c>
      <c r="C20578" s="6" t="s">
        <v>1</v>
      </c>
    </row>
    <row r="20579" spans="1:3" s="7" customFormat="1" x14ac:dyDescent="0.2">
      <c r="A20579" s="6" t="str">
        <f>"CCSAP"</f>
        <v>CCSAP</v>
      </c>
      <c r="B20579" s="6" t="s">
        <v>1</v>
      </c>
      <c r="C20579" s="6" t="s">
        <v>1</v>
      </c>
    </row>
    <row r="20580" spans="1:3" s="7" customFormat="1" x14ac:dyDescent="0.2">
      <c r="A20580" s="6" t="str">
        <f>"P3H2"</f>
        <v>P3H2</v>
      </c>
      <c r="B20580" s="6" t="s">
        <v>1</v>
      </c>
      <c r="C20580" s="6" t="s">
        <v>1</v>
      </c>
    </row>
    <row r="20581" spans="1:3" s="7" customFormat="1" x14ac:dyDescent="0.2">
      <c r="A20581" s="6" t="str">
        <f>"SHISA9"</f>
        <v>SHISA9</v>
      </c>
      <c r="B20581" s="6" t="s">
        <v>1</v>
      </c>
      <c r="C20581" s="6" t="s">
        <v>1</v>
      </c>
    </row>
    <row r="20582" spans="1:3" s="7" customFormat="1" x14ac:dyDescent="0.2">
      <c r="A20582" s="6" t="str">
        <f>"AC068338.2"</f>
        <v>AC068338.2</v>
      </c>
      <c r="B20582" s="6" t="s">
        <v>1</v>
      </c>
      <c r="C20582" s="6" t="s">
        <v>1</v>
      </c>
    </row>
    <row r="20583" spans="1:3" s="7" customFormat="1" x14ac:dyDescent="0.2">
      <c r="A20583" s="6" t="str">
        <f>"ACAA2"</f>
        <v>ACAA2</v>
      </c>
      <c r="B20583" s="6" t="s">
        <v>1</v>
      </c>
      <c r="C20583" s="6" t="s">
        <v>1</v>
      </c>
    </row>
    <row r="20584" spans="1:3" s="7" customFormat="1" x14ac:dyDescent="0.2">
      <c r="A20584" s="6" t="str">
        <f>"ZNF597"</f>
        <v>ZNF597</v>
      </c>
      <c r="B20584" s="6" t="s">
        <v>1</v>
      </c>
      <c r="C20584" s="6" t="s">
        <v>1</v>
      </c>
    </row>
    <row r="20585" spans="1:3" s="7" customFormat="1" x14ac:dyDescent="0.2">
      <c r="A20585" s="6" t="str">
        <f>"ZNF613"</f>
        <v>ZNF613</v>
      </c>
      <c r="B20585" s="6" t="s">
        <v>1</v>
      </c>
      <c r="C20585" s="6" t="s">
        <v>1</v>
      </c>
    </row>
    <row r="20586" spans="1:3" s="7" customFormat="1" x14ac:dyDescent="0.2">
      <c r="A20586" s="6" t="str">
        <f>"UBXN8"</f>
        <v>UBXN8</v>
      </c>
      <c r="B20586" s="6" t="s">
        <v>1</v>
      </c>
      <c r="C20586" s="6" t="s">
        <v>1</v>
      </c>
    </row>
    <row r="20587" spans="1:3" s="7" customFormat="1" x14ac:dyDescent="0.2">
      <c r="A20587" s="6" t="str">
        <f>"NUSAP1"</f>
        <v>NUSAP1</v>
      </c>
      <c r="B20587" s="6" t="s">
        <v>1</v>
      </c>
      <c r="C20587" s="6" t="s">
        <v>1</v>
      </c>
    </row>
    <row r="20588" spans="1:3" s="7" customFormat="1" x14ac:dyDescent="0.2">
      <c r="A20588" s="6" t="str">
        <f>"C3orf18"</f>
        <v>C3orf18</v>
      </c>
      <c r="B20588" s="6" t="s">
        <v>1</v>
      </c>
      <c r="C20588" s="6" t="s">
        <v>1</v>
      </c>
    </row>
    <row r="20589" spans="1:3" s="7" customFormat="1" x14ac:dyDescent="0.2">
      <c r="A20589" s="6" t="str">
        <f>"C2orf76"</f>
        <v>C2orf76</v>
      </c>
      <c r="B20589" s="6" t="s">
        <v>1</v>
      </c>
      <c r="C20589" s="6" t="s">
        <v>1</v>
      </c>
    </row>
    <row r="20590" spans="1:3" s="7" customFormat="1" x14ac:dyDescent="0.2">
      <c r="A20590" s="6" t="str">
        <f>"CNPY4"</f>
        <v>CNPY4</v>
      </c>
      <c r="B20590" s="6" t="s">
        <v>1</v>
      </c>
      <c r="C20590" s="6" t="s">
        <v>1</v>
      </c>
    </row>
    <row r="20591" spans="1:3" s="7" customFormat="1" x14ac:dyDescent="0.2">
      <c r="A20591" s="6" t="str">
        <f>"S1PR4"</f>
        <v>S1PR4</v>
      </c>
      <c r="B20591" s="6" t="s">
        <v>1</v>
      </c>
      <c r="C20591" s="6" t="s">
        <v>1</v>
      </c>
    </row>
    <row r="20592" spans="1:3" s="7" customFormat="1" x14ac:dyDescent="0.2">
      <c r="A20592" s="6" t="str">
        <f>"RFC3"</f>
        <v>RFC3</v>
      </c>
      <c r="B20592" s="6" t="s">
        <v>1</v>
      </c>
      <c r="C20592" s="6" t="s">
        <v>1</v>
      </c>
    </row>
    <row r="20593" spans="1:3" s="7" customFormat="1" x14ac:dyDescent="0.2">
      <c r="A20593" s="6" t="str">
        <f>"WIPF3"</f>
        <v>WIPF3</v>
      </c>
      <c r="B20593" s="6" t="s">
        <v>1</v>
      </c>
      <c r="C20593" s="6" t="s">
        <v>1</v>
      </c>
    </row>
    <row r="20594" spans="1:3" s="7" customFormat="1" x14ac:dyDescent="0.2">
      <c r="A20594" s="6" t="str">
        <f>"FAM86JP"</f>
        <v>FAM86JP</v>
      </c>
      <c r="B20594" s="6" t="s">
        <v>1</v>
      </c>
      <c r="C20594" s="6" t="s">
        <v>1</v>
      </c>
    </row>
    <row r="20595" spans="1:3" s="7" customFormat="1" x14ac:dyDescent="0.2">
      <c r="A20595" s="6" t="str">
        <f>"DET1"</f>
        <v>DET1</v>
      </c>
      <c r="B20595" s="6" t="s">
        <v>1</v>
      </c>
      <c r="C20595" s="6" t="s">
        <v>1</v>
      </c>
    </row>
    <row r="20596" spans="1:3" s="7" customFormat="1" x14ac:dyDescent="0.2">
      <c r="A20596" s="6" t="str">
        <f>"SRP14-AS1"</f>
        <v>SRP14-AS1</v>
      </c>
      <c r="B20596" s="6" t="s">
        <v>1</v>
      </c>
      <c r="C20596" s="6" t="s">
        <v>1</v>
      </c>
    </row>
    <row r="20597" spans="1:3" s="7" customFormat="1" x14ac:dyDescent="0.2">
      <c r="A20597" s="6" t="str">
        <f>"STX1A"</f>
        <v>STX1A</v>
      </c>
      <c r="B20597" s="6" t="s">
        <v>1</v>
      </c>
      <c r="C20597" s="6" t="s">
        <v>1</v>
      </c>
    </row>
    <row r="20598" spans="1:3" s="7" customFormat="1" x14ac:dyDescent="0.2">
      <c r="A20598" s="6" t="str">
        <f>"FLT3LG"</f>
        <v>FLT3LG</v>
      </c>
      <c r="B20598" s="6" t="s">
        <v>1</v>
      </c>
      <c r="C20598" s="6" t="s">
        <v>1</v>
      </c>
    </row>
    <row r="20599" spans="1:3" s="7" customFormat="1" x14ac:dyDescent="0.2">
      <c r="A20599" s="6" t="str">
        <f>"SHLD1"</f>
        <v>SHLD1</v>
      </c>
      <c r="B20599" s="6" t="s">
        <v>1</v>
      </c>
      <c r="C20599" s="6" t="s">
        <v>1</v>
      </c>
    </row>
    <row r="20600" spans="1:3" s="7" customFormat="1" x14ac:dyDescent="0.2">
      <c r="A20600" s="6" t="str">
        <f>"LINC01089"</f>
        <v>LINC01089</v>
      </c>
      <c r="B20600" s="6" t="s">
        <v>1</v>
      </c>
      <c r="C20600" s="6" t="s">
        <v>1</v>
      </c>
    </row>
    <row r="20601" spans="1:3" s="7" customFormat="1" x14ac:dyDescent="0.2">
      <c r="A20601" s="6" t="str">
        <f>"HARBI1"</f>
        <v>HARBI1</v>
      </c>
      <c r="B20601" s="6" t="s">
        <v>1</v>
      </c>
      <c r="C20601" s="6" t="s">
        <v>1</v>
      </c>
    </row>
    <row r="20602" spans="1:3" s="7" customFormat="1" x14ac:dyDescent="0.2">
      <c r="A20602" s="6" t="str">
        <f>"ADIRF-AS1"</f>
        <v>ADIRF-AS1</v>
      </c>
      <c r="B20602" s="6" t="s">
        <v>1</v>
      </c>
      <c r="C20602" s="6" t="s">
        <v>1</v>
      </c>
    </row>
    <row r="20603" spans="1:3" s="7" customFormat="1" x14ac:dyDescent="0.2">
      <c r="A20603" s="6" t="str">
        <f>"PPAT"</f>
        <v>PPAT</v>
      </c>
      <c r="B20603" s="6" t="s">
        <v>1</v>
      </c>
      <c r="C20603" s="6" t="s">
        <v>1</v>
      </c>
    </row>
    <row r="20604" spans="1:3" s="7" customFormat="1" x14ac:dyDescent="0.2">
      <c r="A20604" s="6" t="str">
        <f>"ZSCAN9"</f>
        <v>ZSCAN9</v>
      </c>
      <c r="B20604" s="6" t="s">
        <v>1</v>
      </c>
      <c r="C20604" s="6" t="s">
        <v>1</v>
      </c>
    </row>
    <row r="20605" spans="1:3" s="7" customFormat="1" x14ac:dyDescent="0.2">
      <c r="A20605" s="6" t="str">
        <f>"CYP1A1"</f>
        <v>CYP1A1</v>
      </c>
      <c r="B20605" s="6" t="s">
        <v>1</v>
      </c>
      <c r="C20605" s="6" t="s">
        <v>1</v>
      </c>
    </row>
    <row r="20606" spans="1:3" s="7" customFormat="1" x14ac:dyDescent="0.2">
      <c r="A20606" s="6" t="str">
        <f>"WNT3A"</f>
        <v>WNT3A</v>
      </c>
      <c r="B20606" s="6" t="s">
        <v>1</v>
      </c>
      <c r="C20606" s="6" t="s">
        <v>1</v>
      </c>
    </row>
    <row r="20607" spans="1:3" s="7" customFormat="1" x14ac:dyDescent="0.2">
      <c r="A20607" s="6" t="str">
        <f>"C2orf15"</f>
        <v>C2orf15</v>
      </c>
      <c r="B20607" s="6" t="s">
        <v>1</v>
      </c>
      <c r="C20607" s="6" t="s">
        <v>1</v>
      </c>
    </row>
    <row r="20608" spans="1:3" s="7" customFormat="1" x14ac:dyDescent="0.2">
      <c r="A20608" s="6" t="str">
        <f>"RPP40"</f>
        <v>RPP40</v>
      </c>
      <c r="B20608" s="6" t="s">
        <v>1</v>
      </c>
      <c r="C20608" s="6" t="s">
        <v>1</v>
      </c>
    </row>
    <row r="20609" spans="1:3" s="7" customFormat="1" x14ac:dyDescent="0.2">
      <c r="A20609" s="6" t="str">
        <f>"ZNF614"</f>
        <v>ZNF614</v>
      </c>
      <c r="B20609" s="6" t="s">
        <v>1</v>
      </c>
      <c r="C20609" s="6" t="s">
        <v>1</v>
      </c>
    </row>
    <row r="20610" spans="1:3" s="7" customFormat="1" x14ac:dyDescent="0.2">
      <c r="A20610" s="6" t="str">
        <f>"MSL3P1"</f>
        <v>MSL3P1</v>
      </c>
      <c r="B20610" s="6" t="s">
        <v>1</v>
      </c>
      <c r="C20610" s="6" t="s">
        <v>1</v>
      </c>
    </row>
    <row r="20611" spans="1:3" s="7" customFormat="1" x14ac:dyDescent="0.2">
      <c r="A20611" s="6" t="str">
        <f>"APOLD1"</f>
        <v>APOLD1</v>
      </c>
      <c r="B20611" s="6" t="s">
        <v>1</v>
      </c>
      <c r="C20611" s="6" t="s">
        <v>1</v>
      </c>
    </row>
    <row r="20612" spans="1:3" s="7" customFormat="1" x14ac:dyDescent="0.2">
      <c r="A20612" s="6" t="str">
        <f>"EXOG"</f>
        <v>EXOG</v>
      </c>
      <c r="B20612" s="6" t="s">
        <v>1</v>
      </c>
      <c r="C20612" s="6" t="s">
        <v>1</v>
      </c>
    </row>
    <row r="20613" spans="1:3" s="7" customFormat="1" x14ac:dyDescent="0.2">
      <c r="A20613" s="6" t="str">
        <f>"KLHL17"</f>
        <v>KLHL17</v>
      </c>
      <c r="B20613" s="6" t="s">
        <v>1</v>
      </c>
      <c r="C20613" s="6" t="s">
        <v>1</v>
      </c>
    </row>
    <row r="20614" spans="1:3" s="7" customFormat="1" x14ac:dyDescent="0.2">
      <c r="A20614" s="6" t="str">
        <f>"THAP10"</f>
        <v>THAP10</v>
      </c>
      <c r="B20614" s="6" t="s">
        <v>1</v>
      </c>
      <c r="C20614" s="6" t="s">
        <v>1</v>
      </c>
    </row>
    <row r="20615" spans="1:3" s="7" customFormat="1" x14ac:dyDescent="0.2">
      <c r="A20615" s="6" t="str">
        <f>"CYGB"</f>
        <v>CYGB</v>
      </c>
      <c r="B20615" s="6" t="s">
        <v>1</v>
      </c>
      <c r="C20615" s="6" t="s">
        <v>1</v>
      </c>
    </row>
    <row r="20616" spans="1:3" s="7" customFormat="1" x14ac:dyDescent="0.2">
      <c r="A20616" s="6" t="str">
        <f>"GJB7"</f>
        <v>GJB7</v>
      </c>
      <c r="B20616" s="6" t="s">
        <v>1</v>
      </c>
      <c r="C20616" s="6" t="s">
        <v>1</v>
      </c>
    </row>
    <row r="20617" spans="1:3" s="7" customFormat="1" x14ac:dyDescent="0.2">
      <c r="A20617" s="6" t="str">
        <f>"ZSCAN2"</f>
        <v>ZSCAN2</v>
      </c>
      <c r="B20617" s="6" t="s">
        <v>1</v>
      </c>
      <c r="C20617" s="6" t="s">
        <v>1</v>
      </c>
    </row>
    <row r="20618" spans="1:3" s="7" customFormat="1" x14ac:dyDescent="0.2">
      <c r="A20618" s="6" t="str">
        <f>"C3AR1"</f>
        <v>C3AR1</v>
      </c>
      <c r="B20618" s="6" t="s">
        <v>1</v>
      </c>
      <c r="C20618" s="6" t="s">
        <v>1</v>
      </c>
    </row>
    <row r="20619" spans="1:3" s="7" customFormat="1" x14ac:dyDescent="0.2">
      <c r="A20619" s="6" t="str">
        <f>"ZNF256"</f>
        <v>ZNF256</v>
      </c>
      <c r="B20619" s="6" t="s">
        <v>1</v>
      </c>
      <c r="C20619" s="6" t="s">
        <v>1</v>
      </c>
    </row>
    <row r="20620" spans="1:3" s="7" customFormat="1" x14ac:dyDescent="0.2">
      <c r="A20620" s="6" t="str">
        <f>"HMGN3-AS1"</f>
        <v>HMGN3-AS1</v>
      </c>
      <c r="B20620" s="6" t="s">
        <v>1</v>
      </c>
      <c r="C20620" s="6" t="s">
        <v>1</v>
      </c>
    </row>
    <row r="20621" spans="1:3" s="7" customFormat="1" x14ac:dyDescent="0.2">
      <c r="A20621" s="6" t="str">
        <f>"MYLK3"</f>
        <v>MYLK3</v>
      </c>
      <c r="B20621" s="6" t="s">
        <v>1</v>
      </c>
      <c r="C20621" s="6" t="s">
        <v>1</v>
      </c>
    </row>
    <row r="20622" spans="1:3" s="7" customFormat="1" x14ac:dyDescent="0.2">
      <c r="A20622" s="6" t="str">
        <f>"LINC01137"</f>
        <v>LINC01137</v>
      </c>
      <c r="B20622" s="6" t="s">
        <v>1</v>
      </c>
      <c r="C20622" s="6" t="s">
        <v>1</v>
      </c>
    </row>
    <row r="20623" spans="1:3" s="7" customFormat="1" x14ac:dyDescent="0.2">
      <c r="A20623" s="6" t="str">
        <f>"CHST7"</f>
        <v>CHST7</v>
      </c>
      <c r="B20623" s="6" t="s">
        <v>1</v>
      </c>
      <c r="C20623" s="6" t="s">
        <v>1</v>
      </c>
    </row>
    <row r="20624" spans="1:3" s="7" customFormat="1" x14ac:dyDescent="0.2">
      <c r="A20624" s="6" t="str">
        <f>"FAM86B3P"</f>
        <v>FAM86B3P</v>
      </c>
      <c r="B20624" s="6" t="s">
        <v>1</v>
      </c>
      <c r="C20624" s="6" t="s">
        <v>1</v>
      </c>
    </row>
    <row r="20625" spans="1:3" s="7" customFormat="1" x14ac:dyDescent="0.2">
      <c r="A20625" s="6" t="str">
        <f>"MIR29B2CHG"</f>
        <v>MIR29B2CHG</v>
      </c>
      <c r="B20625" s="6" t="s">
        <v>1</v>
      </c>
      <c r="C20625" s="6" t="s">
        <v>1</v>
      </c>
    </row>
    <row r="20626" spans="1:3" s="7" customFormat="1" x14ac:dyDescent="0.2">
      <c r="A20626" s="6" t="str">
        <f>"LGALS7"</f>
        <v>LGALS7</v>
      </c>
      <c r="B20626" s="6" t="s">
        <v>1</v>
      </c>
      <c r="C20626" s="6" t="s">
        <v>1</v>
      </c>
    </row>
    <row r="20627" spans="1:3" s="7" customFormat="1" x14ac:dyDescent="0.2">
      <c r="A20627" s="6" t="str">
        <f>"EEF1AKMT1"</f>
        <v>EEF1AKMT1</v>
      </c>
      <c r="B20627" s="6" t="s">
        <v>1</v>
      </c>
      <c r="C20627" s="6" t="s">
        <v>1</v>
      </c>
    </row>
    <row r="20628" spans="1:3" s="7" customFormat="1" x14ac:dyDescent="0.2">
      <c r="A20628" s="6" t="str">
        <f>"CASTOR1"</f>
        <v>CASTOR1</v>
      </c>
      <c r="B20628" s="6" t="s">
        <v>1</v>
      </c>
      <c r="C20628" s="6" t="s">
        <v>1</v>
      </c>
    </row>
    <row r="20629" spans="1:3" s="7" customFormat="1" x14ac:dyDescent="0.2">
      <c r="A20629" s="6" t="str">
        <f>"AC245060.4"</f>
        <v>AC245060.4</v>
      </c>
      <c r="B20629" s="6" t="s">
        <v>1</v>
      </c>
      <c r="C20629" s="6" t="s">
        <v>1</v>
      </c>
    </row>
    <row r="20630" spans="1:3" s="7" customFormat="1" x14ac:dyDescent="0.2">
      <c r="A20630" s="6" t="str">
        <f>"ZNF250"</f>
        <v>ZNF250</v>
      </c>
      <c r="B20630" s="6" t="s">
        <v>1</v>
      </c>
      <c r="C20630" s="6" t="s">
        <v>1</v>
      </c>
    </row>
    <row r="20631" spans="1:3" s="7" customFormat="1" x14ac:dyDescent="0.2">
      <c r="A20631" s="6" t="str">
        <f>"CDKN2B-AS1"</f>
        <v>CDKN2B-AS1</v>
      </c>
      <c r="B20631" s="6" t="s">
        <v>1</v>
      </c>
      <c r="C20631" s="6" t="s">
        <v>1</v>
      </c>
    </row>
    <row r="20632" spans="1:3" s="7" customFormat="1" x14ac:dyDescent="0.2">
      <c r="A20632" s="6" t="str">
        <f>"SEC61A2"</f>
        <v>SEC61A2</v>
      </c>
      <c r="B20632" s="6" t="s">
        <v>1</v>
      </c>
      <c r="C20632" s="6" t="s">
        <v>1</v>
      </c>
    </row>
    <row r="20633" spans="1:3" s="7" customFormat="1" x14ac:dyDescent="0.2">
      <c r="A20633" s="6" t="str">
        <f>"ASTE1"</f>
        <v>ASTE1</v>
      </c>
      <c r="B20633" s="6" t="s">
        <v>1</v>
      </c>
      <c r="C20633" s="6" t="s">
        <v>1</v>
      </c>
    </row>
    <row r="20634" spans="1:3" s="7" customFormat="1" x14ac:dyDescent="0.2">
      <c r="A20634" s="6" t="str">
        <f>"NOTCH4"</f>
        <v>NOTCH4</v>
      </c>
      <c r="B20634" s="6" t="s">
        <v>1</v>
      </c>
      <c r="C20634" s="6" t="s">
        <v>1</v>
      </c>
    </row>
    <row r="20635" spans="1:3" s="7" customFormat="1" x14ac:dyDescent="0.2">
      <c r="A20635" s="6" t="str">
        <f>"CHST10"</f>
        <v>CHST10</v>
      </c>
      <c r="B20635" s="6" t="s">
        <v>1</v>
      </c>
      <c r="C20635" s="6" t="s">
        <v>1</v>
      </c>
    </row>
    <row r="20636" spans="1:3" s="7" customFormat="1" x14ac:dyDescent="0.2">
      <c r="A20636" s="6" t="str">
        <f>"IPCEF1"</f>
        <v>IPCEF1</v>
      </c>
      <c r="B20636" s="6" t="s">
        <v>1</v>
      </c>
      <c r="C20636" s="6" t="s">
        <v>1</v>
      </c>
    </row>
    <row r="20637" spans="1:3" s="7" customFormat="1" x14ac:dyDescent="0.2">
      <c r="A20637" s="6" t="str">
        <f>"LINC01006"</f>
        <v>LINC01006</v>
      </c>
      <c r="B20637" s="6" t="s">
        <v>1</v>
      </c>
      <c r="C20637" s="6" t="s">
        <v>1</v>
      </c>
    </row>
    <row r="20638" spans="1:3" s="7" customFormat="1" x14ac:dyDescent="0.2">
      <c r="A20638" s="6" t="str">
        <f>"CEACAM7"</f>
        <v>CEACAM7</v>
      </c>
      <c r="B20638" s="6" t="s">
        <v>1</v>
      </c>
      <c r="C20638" s="6" t="s">
        <v>1</v>
      </c>
    </row>
    <row r="20639" spans="1:3" s="7" customFormat="1" x14ac:dyDescent="0.2">
      <c r="A20639" s="6" t="str">
        <f>"CHROMR"</f>
        <v>CHROMR</v>
      </c>
      <c r="B20639" s="6" t="s">
        <v>1</v>
      </c>
      <c r="C20639" s="6" t="s">
        <v>1</v>
      </c>
    </row>
    <row r="20640" spans="1:3" s="7" customFormat="1" x14ac:dyDescent="0.2">
      <c r="A20640" s="6" t="str">
        <f>"DOCK10"</f>
        <v>DOCK10</v>
      </c>
      <c r="B20640" s="6" t="s">
        <v>1</v>
      </c>
      <c r="C20640" s="6" t="s">
        <v>1</v>
      </c>
    </row>
    <row r="20641" spans="1:3" s="7" customFormat="1" x14ac:dyDescent="0.2">
      <c r="A20641" s="6" t="str">
        <f>"ENTPD3-AS1"</f>
        <v>ENTPD3-AS1</v>
      </c>
      <c r="B20641" s="6" t="s">
        <v>1</v>
      </c>
      <c r="C20641" s="6" t="s">
        <v>1</v>
      </c>
    </row>
    <row r="20642" spans="1:3" s="7" customFormat="1" x14ac:dyDescent="0.2">
      <c r="A20642" s="6" t="str">
        <f>"EMP3"</f>
        <v>EMP3</v>
      </c>
      <c r="B20642" s="6" t="s">
        <v>1</v>
      </c>
      <c r="C20642" s="6" t="s">
        <v>1</v>
      </c>
    </row>
    <row r="20643" spans="1:3" s="7" customFormat="1" x14ac:dyDescent="0.2">
      <c r="A20643" s="6" t="str">
        <f>"BRMS1L"</f>
        <v>BRMS1L</v>
      </c>
      <c r="B20643" s="6" t="s">
        <v>1</v>
      </c>
      <c r="C20643" s="6" t="s">
        <v>1</v>
      </c>
    </row>
    <row r="20644" spans="1:3" s="7" customFormat="1" x14ac:dyDescent="0.2">
      <c r="A20644" s="6" t="str">
        <f>"ASCL2"</f>
        <v>ASCL2</v>
      </c>
      <c r="B20644" s="6" t="s">
        <v>1</v>
      </c>
      <c r="C20644" s="6" t="s">
        <v>1</v>
      </c>
    </row>
    <row r="20645" spans="1:3" s="7" customFormat="1" x14ac:dyDescent="0.2">
      <c r="A20645" s="6" t="str">
        <f>"PLEKHN1"</f>
        <v>PLEKHN1</v>
      </c>
      <c r="B20645" s="6" t="s">
        <v>1</v>
      </c>
      <c r="C20645" s="6" t="s">
        <v>1</v>
      </c>
    </row>
    <row r="20646" spans="1:3" s="7" customFormat="1" x14ac:dyDescent="0.2">
      <c r="A20646" s="6" t="str">
        <f>"TGM3"</f>
        <v>TGM3</v>
      </c>
      <c r="B20646" s="6" t="s">
        <v>1</v>
      </c>
      <c r="C20646" s="6" t="s">
        <v>1</v>
      </c>
    </row>
    <row r="20647" spans="1:3" s="7" customFormat="1" x14ac:dyDescent="0.2">
      <c r="A20647" s="6" t="str">
        <f>"DNLZ"</f>
        <v>DNLZ</v>
      </c>
      <c r="B20647" s="6" t="s">
        <v>1</v>
      </c>
      <c r="C20647" s="6" t="s">
        <v>1</v>
      </c>
    </row>
    <row r="20648" spans="1:3" s="7" customFormat="1" x14ac:dyDescent="0.2">
      <c r="A20648" s="6" t="str">
        <f>"ECHDC3"</f>
        <v>ECHDC3</v>
      </c>
      <c r="B20648" s="6" t="s">
        <v>1</v>
      </c>
      <c r="C20648" s="6" t="s">
        <v>1</v>
      </c>
    </row>
    <row r="20649" spans="1:3" s="7" customFormat="1" x14ac:dyDescent="0.2">
      <c r="A20649" s="6" t="str">
        <f>"BSND"</f>
        <v>BSND</v>
      </c>
      <c r="B20649" s="6" t="s">
        <v>1</v>
      </c>
      <c r="C20649" s="6" t="s">
        <v>1</v>
      </c>
    </row>
    <row r="20650" spans="1:3" s="7" customFormat="1" x14ac:dyDescent="0.2">
      <c r="A20650" s="6" t="str">
        <f>"ZNF624"</f>
        <v>ZNF624</v>
      </c>
      <c r="B20650" s="6" t="s">
        <v>1</v>
      </c>
      <c r="C20650" s="6" t="s">
        <v>1</v>
      </c>
    </row>
    <row r="20651" spans="1:3" s="7" customFormat="1" x14ac:dyDescent="0.2">
      <c r="A20651" s="6" t="str">
        <f>"CYP39A1"</f>
        <v>CYP39A1</v>
      </c>
      <c r="B20651" s="6" t="s">
        <v>1</v>
      </c>
      <c r="C20651" s="6" t="s">
        <v>1</v>
      </c>
    </row>
    <row r="20652" spans="1:3" s="7" customFormat="1" x14ac:dyDescent="0.2">
      <c r="A20652" s="6" t="str">
        <f>"PTPDC1"</f>
        <v>PTPDC1</v>
      </c>
      <c r="B20652" s="6" t="s">
        <v>1</v>
      </c>
      <c r="C20652" s="6" t="s">
        <v>1</v>
      </c>
    </row>
    <row r="20653" spans="1:3" s="7" customFormat="1" x14ac:dyDescent="0.2">
      <c r="A20653" s="6" t="str">
        <f>"LNCTAM34A"</f>
        <v>LNCTAM34A</v>
      </c>
      <c r="B20653" s="6" t="s">
        <v>1</v>
      </c>
      <c r="C20653" s="6" t="s">
        <v>1</v>
      </c>
    </row>
    <row r="20654" spans="1:3" s="7" customFormat="1" x14ac:dyDescent="0.2">
      <c r="A20654" s="6" t="str">
        <f>"GLYCTK"</f>
        <v>GLYCTK</v>
      </c>
      <c r="B20654" s="6" t="s">
        <v>1</v>
      </c>
      <c r="C20654" s="6" t="s">
        <v>1</v>
      </c>
    </row>
    <row r="20655" spans="1:3" s="7" customFormat="1" x14ac:dyDescent="0.2">
      <c r="A20655" s="6" t="str">
        <f>"AC007326.4"</f>
        <v>AC007326.4</v>
      </c>
      <c r="B20655" s="6" t="s">
        <v>1</v>
      </c>
      <c r="C20655" s="6" t="s">
        <v>1</v>
      </c>
    </row>
    <row r="20656" spans="1:3" s="7" customFormat="1" x14ac:dyDescent="0.2">
      <c r="A20656" s="6" t="str">
        <f>"NDUFC2-KCTD14"</f>
        <v>NDUFC2-KCTD14</v>
      </c>
      <c r="B20656" s="6" t="s">
        <v>1</v>
      </c>
      <c r="C20656" s="6" t="s">
        <v>1</v>
      </c>
    </row>
    <row r="20657" spans="1:3" s="7" customFormat="1" x14ac:dyDescent="0.2">
      <c r="A20657" s="6" t="str">
        <f>"PDCD2L"</f>
        <v>PDCD2L</v>
      </c>
      <c r="B20657" s="6" t="s">
        <v>1</v>
      </c>
      <c r="C20657" s="6" t="s">
        <v>1</v>
      </c>
    </row>
    <row r="20658" spans="1:3" s="7" customFormat="1" x14ac:dyDescent="0.2">
      <c r="A20658" s="6" t="str">
        <f>"FANCG"</f>
        <v>FANCG</v>
      </c>
      <c r="B20658" s="6" t="s">
        <v>1</v>
      </c>
      <c r="C20658" s="6" t="s">
        <v>1</v>
      </c>
    </row>
    <row r="20659" spans="1:3" s="7" customFormat="1" x14ac:dyDescent="0.2">
      <c r="A20659" s="6" t="str">
        <f>"TTLL11"</f>
        <v>TTLL11</v>
      </c>
      <c r="B20659" s="6" t="s">
        <v>1</v>
      </c>
      <c r="C20659" s="6" t="s">
        <v>1</v>
      </c>
    </row>
    <row r="20660" spans="1:3" s="7" customFormat="1" x14ac:dyDescent="0.2">
      <c r="A20660" s="6" t="str">
        <f>"AC022384.1"</f>
        <v>AC022384.1</v>
      </c>
      <c r="B20660" s="6" t="s">
        <v>1</v>
      </c>
      <c r="C20660" s="6" t="s">
        <v>1</v>
      </c>
    </row>
    <row r="20661" spans="1:3" s="7" customFormat="1" x14ac:dyDescent="0.2">
      <c r="A20661" s="6" t="str">
        <f>"AC007389.2"</f>
        <v>AC007389.2</v>
      </c>
      <c r="B20661" s="6" t="s">
        <v>1</v>
      </c>
      <c r="C20661" s="6" t="s">
        <v>1</v>
      </c>
    </row>
    <row r="20662" spans="1:3" s="7" customFormat="1" x14ac:dyDescent="0.2">
      <c r="A20662" s="6" t="str">
        <f>"PTPN7"</f>
        <v>PTPN7</v>
      </c>
      <c r="B20662" s="6" t="s">
        <v>1</v>
      </c>
      <c r="C20662" s="6" t="s">
        <v>1</v>
      </c>
    </row>
    <row r="20663" spans="1:3" s="7" customFormat="1" x14ac:dyDescent="0.2">
      <c r="A20663" s="6" t="str">
        <f>"AP000866.1"</f>
        <v>AP000866.1</v>
      </c>
      <c r="B20663" s="6" t="s">
        <v>1</v>
      </c>
      <c r="C20663" s="6" t="s">
        <v>1</v>
      </c>
    </row>
    <row r="20664" spans="1:3" s="7" customFormat="1" x14ac:dyDescent="0.2">
      <c r="A20664" s="6" t="str">
        <f>"ALOX12P2"</f>
        <v>ALOX12P2</v>
      </c>
      <c r="B20664" s="6" t="s">
        <v>1</v>
      </c>
      <c r="C20664" s="6" t="s">
        <v>1</v>
      </c>
    </row>
    <row r="20665" spans="1:3" s="7" customFormat="1" x14ac:dyDescent="0.2">
      <c r="A20665" s="6" t="str">
        <f>"GRIP1"</f>
        <v>GRIP1</v>
      </c>
      <c r="B20665" s="6" t="s">
        <v>1</v>
      </c>
      <c r="C20665" s="6" t="s">
        <v>1</v>
      </c>
    </row>
    <row r="20666" spans="1:3" s="7" customFormat="1" x14ac:dyDescent="0.2">
      <c r="A20666" s="6" t="str">
        <f>"RET"</f>
        <v>RET</v>
      </c>
      <c r="B20666" s="6" t="s">
        <v>1</v>
      </c>
      <c r="C20666" s="6" t="s">
        <v>1</v>
      </c>
    </row>
    <row r="20667" spans="1:3" s="7" customFormat="1" x14ac:dyDescent="0.2">
      <c r="A20667" s="6" t="str">
        <f>"AC093827.4"</f>
        <v>AC093827.4</v>
      </c>
      <c r="B20667" s="6" t="s">
        <v>1</v>
      </c>
      <c r="C20667" s="6" t="s">
        <v>1</v>
      </c>
    </row>
    <row r="20668" spans="1:3" s="7" customFormat="1" x14ac:dyDescent="0.2">
      <c r="A20668" s="6" t="str">
        <f>"PCOTH"</f>
        <v>PCOTH</v>
      </c>
      <c r="B20668" s="6" t="s">
        <v>1</v>
      </c>
      <c r="C20668" s="6" t="s">
        <v>1</v>
      </c>
    </row>
    <row r="20669" spans="1:3" s="7" customFormat="1" x14ac:dyDescent="0.2">
      <c r="A20669" s="6" t="str">
        <f>"LPXN"</f>
        <v>LPXN</v>
      </c>
      <c r="B20669" s="6" t="s">
        <v>1</v>
      </c>
      <c r="C20669" s="6" t="s">
        <v>1</v>
      </c>
    </row>
    <row r="20670" spans="1:3" s="7" customFormat="1" x14ac:dyDescent="0.2">
      <c r="A20670" s="6" t="str">
        <f>"TNFRSF25"</f>
        <v>TNFRSF25</v>
      </c>
      <c r="B20670" s="6" t="s">
        <v>1</v>
      </c>
      <c r="C20670" s="6" t="s">
        <v>1</v>
      </c>
    </row>
    <row r="20671" spans="1:3" s="7" customFormat="1" x14ac:dyDescent="0.2">
      <c r="A20671" s="6" t="str">
        <f>"SAAL1"</f>
        <v>SAAL1</v>
      </c>
      <c r="B20671" s="6" t="s">
        <v>1</v>
      </c>
      <c r="C20671" s="6" t="s">
        <v>1</v>
      </c>
    </row>
    <row r="20672" spans="1:3" s="7" customFormat="1" x14ac:dyDescent="0.2">
      <c r="A20672" s="6" t="str">
        <f>"DEFB4A"</f>
        <v>DEFB4A</v>
      </c>
      <c r="B20672" s="6" t="s">
        <v>1</v>
      </c>
      <c r="C20672" s="6" t="s">
        <v>1</v>
      </c>
    </row>
    <row r="20673" spans="1:3" s="7" customFormat="1" x14ac:dyDescent="0.2">
      <c r="A20673" s="6" t="str">
        <f>"LINC02265"</f>
        <v>LINC02265</v>
      </c>
      <c r="B20673" s="6" t="s">
        <v>1</v>
      </c>
      <c r="C20673" s="6" t="s">
        <v>1</v>
      </c>
    </row>
    <row r="20674" spans="1:3" s="7" customFormat="1" x14ac:dyDescent="0.2">
      <c r="A20674" s="6" t="str">
        <f>"AC093525.6"</f>
        <v>AC093525.6</v>
      </c>
      <c r="B20674" s="6" t="s">
        <v>1</v>
      </c>
      <c r="C20674" s="6" t="s">
        <v>1</v>
      </c>
    </row>
    <row r="20675" spans="1:3" s="7" customFormat="1" x14ac:dyDescent="0.2">
      <c r="A20675" s="6" t="str">
        <f>"ZNF615"</f>
        <v>ZNF615</v>
      </c>
      <c r="B20675" s="6" t="s">
        <v>1</v>
      </c>
      <c r="C20675" s="6" t="s">
        <v>1</v>
      </c>
    </row>
    <row r="20676" spans="1:3" s="7" customFormat="1" x14ac:dyDescent="0.2">
      <c r="A20676" s="6" t="str">
        <f>"FKBPL"</f>
        <v>FKBPL</v>
      </c>
      <c r="B20676" s="6" t="s">
        <v>1</v>
      </c>
      <c r="C20676" s="6" t="s">
        <v>1</v>
      </c>
    </row>
    <row r="20677" spans="1:3" s="7" customFormat="1" x14ac:dyDescent="0.2">
      <c r="A20677" s="6" t="str">
        <f>"ADHFE1"</f>
        <v>ADHFE1</v>
      </c>
      <c r="B20677" s="6" t="s">
        <v>1</v>
      </c>
      <c r="C20677" s="6" t="s">
        <v>1</v>
      </c>
    </row>
    <row r="20678" spans="1:3" s="7" customFormat="1" x14ac:dyDescent="0.2">
      <c r="A20678" s="6" t="str">
        <f>"FANCE"</f>
        <v>FANCE</v>
      </c>
      <c r="B20678" s="6" t="s">
        <v>1</v>
      </c>
      <c r="C20678" s="6" t="s">
        <v>1</v>
      </c>
    </row>
    <row r="20679" spans="1:3" s="7" customFormat="1" x14ac:dyDescent="0.2">
      <c r="A20679" s="6" t="str">
        <f>"ZBTB8A"</f>
        <v>ZBTB8A</v>
      </c>
      <c r="B20679" s="6" t="s">
        <v>1</v>
      </c>
      <c r="C20679" s="6" t="s">
        <v>1</v>
      </c>
    </row>
    <row r="20680" spans="1:3" s="7" customFormat="1" x14ac:dyDescent="0.2">
      <c r="A20680" s="6" t="str">
        <f>"SAC3D1"</f>
        <v>SAC3D1</v>
      </c>
      <c r="B20680" s="6" t="s">
        <v>1</v>
      </c>
      <c r="C20680" s="6" t="s">
        <v>1</v>
      </c>
    </row>
    <row r="20681" spans="1:3" s="7" customFormat="1" x14ac:dyDescent="0.2">
      <c r="A20681" s="6" t="str">
        <f>"RNF180"</f>
        <v>RNF180</v>
      </c>
      <c r="B20681" s="6" t="s">
        <v>1</v>
      </c>
      <c r="C20681" s="6" t="s">
        <v>1</v>
      </c>
    </row>
    <row r="20682" spans="1:3" s="7" customFormat="1" x14ac:dyDescent="0.2">
      <c r="A20682" s="6" t="str">
        <f>"ZSCAN21"</f>
        <v>ZSCAN21</v>
      </c>
      <c r="B20682" s="6" t="s">
        <v>1</v>
      </c>
      <c r="C20682" s="6" t="s">
        <v>1</v>
      </c>
    </row>
    <row r="20683" spans="1:3" s="7" customFormat="1" x14ac:dyDescent="0.2">
      <c r="A20683" s="6" t="str">
        <f>"MIR223HG"</f>
        <v>MIR223HG</v>
      </c>
      <c r="B20683" s="6" t="s">
        <v>1</v>
      </c>
      <c r="C20683" s="6" t="s">
        <v>1</v>
      </c>
    </row>
    <row r="20684" spans="1:3" s="7" customFormat="1" x14ac:dyDescent="0.2">
      <c r="A20684" s="6" t="str">
        <f>"AC009779.2"</f>
        <v>AC009779.2</v>
      </c>
      <c r="B20684" s="6" t="s">
        <v>1</v>
      </c>
      <c r="C20684" s="6" t="s">
        <v>1</v>
      </c>
    </row>
    <row r="20685" spans="1:3" s="7" customFormat="1" x14ac:dyDescent="0.2">
      <c r="A20685" s="6" t="str">
        <f>"RPLP0P2"</f>
        <v>RPLP0P2</v>
      </c>
      <c r="B20685" s="6" t="s">
        <v>1</v>
      </c>
      <c r="C20685" s="6" t="s">
        <v>1</v>
      </c>
    </row>
    <row r="20686" spans="1:3" s="7" customFormat="1" x14ac:dyDescent="0.2">
      <c r="A20686" s="6" t="str">
        <f>"AC245060.7"</f>
        <v>AC245060.7</v>
      </c>
      <c r="B20686" s="6" t="s">
        <v>1</v>
      </c>
      <c r="C20686" s="6" t="s">
        <v>1</v>
      </c>
    </row>
    <row r="20687" spans="1:3" s="7" customFormat="1" x14ac:dyDescent="0.2">
      <c r="A20687" s="6" t="str">
        <f>"CYP3A5"</f>
        <v>CYP3A5</v>
      </c>
      <c r="B20687" s="6" t="s">
        <v>1</v>
      </c>
      <c r="C20687" s="6" t="s">
        <v>1</v>
      </c>
    </row>
    <row r="20688" spans="1:3" s="7" customFormat="1" x14ac:dyDescent="0.2">
      <c r="A20688" s="6" t="str">
        <f>"AQP4"</f>
        <v>AQP4</v>
      </c>
      <c r="B20688" s="6" t="s">
        <v>1</v>
      </c>
      <c r="C20688" s="6" t="s">
        <v>1</v>
      </c>
    </row>
    <row r="20689" spans="1:3" s="7" customFormat="1" x14ac:dyDescent="0.2">
      <c r="A20689" s="6" t="str">
        <f>"AL499602.1"</f>
        <v>AL499602.1</v>
      </c>
      <c r="B20689" s="6" t="s">
        <v>1</v>
      </c>
      <c r="C20689" s="6" t="s">
        <v>1</v>
      </c>
    </row>
    <row r="20690" spans="1:3" s="7" customFormat="1" x14ac:dyDescent="0.2">
      <c r="A20690" s="6" t="str">
        <f>"KLHL29"</f>
        <v>KLHL29</v>
      </c>
      <c r="B20690" s="6" t="s">
        <v>1</v>
      </c>
      <c r="C20690" s="6" t="s">
        <v>1</v>
      </c>
    </row>
    <row r="20691" spans="1:3" s="7" customFormat="1" x14ac:dyDescent="0.2">
      <c r="A20691" s="6" t="str">
        <f>"HAPLN3"</f>
        <v>HAPLN3</v>
      </c>
      <c r="B20691" s="6" t="s">
        <v>1</v>
      </c>
      <c r="C20691" s="6" t="s">
        <v>1</v>
      </c>
    </row>
    <row r="20692" spans="1:3" s="7" customFormat="1" x14ac:dyDescent="0.2">
      <c r="A20692" s="6" t="str">
        <f>"SMAD9"</f>
        <v>SMAD9</v>
      </c>
      <c r="B20692" s="6" t="s">
        <v>1</v>
      </c>
      <c r="C20692" s="6" t="s">
        <v>1</v>
      </c>
    </row>
    <row r="20693" spans="1:3" s="7" customFormat="1" x14ac:dyDescent="0.2">
      <c r="A20693" s="6" t="str">
        <f>"CROCCP3"</f>
        <v>CROCCP3</v>
      </c>
      <c r="B20693" s="6" t="s">
        <v>1</v>
      </c>
      <c r="C20693" s="6" t="s">
        <v>1</v>
      </c>
    </row>
    <row r="20694" spans="1:3" s="7" customFormat="1" x14ac:dyDescent="0.2">
      <c r="A20694" s="6" t="str">
        <f>"HAUS7"</f>
        <v>HAUS7</v>
      </c>
      <c r="B20694" s="6" t="s">
        <v>1</v>
      </c>
      <c r="C20694" s="6" t="s">
        <v>1</v>
      </c>
    </row>
    <row r="20695" spans="1:3" s="7" customFormat="1" x14ac:dyDescent="0.2">
      <c r="A20695" s="6" t="str">
        <f>"NUP62CL"</f>
        <v>NUP62CL</v>
      </c>
      <c r="B20695" s="6" t="s">
        <v>1</v>
      </c>
      <c r="C20695" s="6" t="s">
        <v>1</v>
      </c>
    </row>
    <row r="20696" spans="1:3" s="7" customFormat="1" x14ac:dyDescent="0.2">
      <c r="A20696" s="6" t="str">
        <f>"LINC01091"</f>
        <v>LINC01091</v>
      </c>
      <c r="B20696" s="6" t="s">
        <v>1</v>
      </c>
      <c r="C20696" s="6" t="s">
        <v>1</v>
      </c>
    </row>
    <row r="20697" spans="1:3" s="7" customFormat="1" x14ac:dyDescent="0.2">
      <c r="A20697" s="6" t="str">
        <f>"BAG2"</f>
        <v>BAG2</v>
      </c>
      <c r="B20697" s="6" t="s">
        <v>1</v>
      </c>
      <c r="C20697" s="6" t="s">
        <v>1</v>
      </c>
    </row>
    <row r="20698" spans="1:3" s="7" customFormat="1" x14ac:dyDescent="0.2">
      <c r="A20698" s="6" t="str">
        <f>"AC009831.1"</f>
        <v>AC009831.1</v>
      </c>
      <c r="B20698" s="6" t="s">
        <v>1</v>
      </c>
      <c r="C20698" s="6" t="s">
        <v>1</v>
      </c>
    </row>
    <row r="20699" spans="1:3" s="7" customFormat="1" x14ac:dyDescent="0.2">
      <c r="A20699" s="6" t="str">
        <f>"DENND1C"</f>
        <v>DENND1C</v>
      </c>
      <c r="B20699" s="6" t="s">
        <v>1</v>
      </c>
      <c r="C20699" s="6" t="s">
        <v>1</v>
      </c>
    </row>
    <row r="20700" spans="1:3" s="7" customFormat="1" x14ac:dyDescent="0.2">
      <c r="A20700" s="6" t="str">
        <f>"GPRC5D-AS1"</f>
        <v>GPRC5D-AS1</v>
      </c>
      <c r="B20700" s="6" t="s">
        <v>1</v>
      </c>
      <c r="C20700" s="6" t="s">
        <v>1</v>
      </c>
    </row>
    <row r="20701" spans="1:3" s="7" customFormat="1" x14ac:dyDescent="0.2">
      <c r="A20701" s="6" t="str">
        <f>"PPFIA3"</f>
        <v>PPFIA3</v>
      </c>
      <c r="B20701" s="6" t="s">
        <v>1</v>
      </c>
      <c r="C20701" s="6" t="s">
        <v>1</v>
      </c>
    </row>
    <row r="20702" spans="1:3" s="7" customFormat="1" x14ac:dyDescent="0.2">
      <c r="A20702" s="6" t="str">
        <f>"S1PR5"</f>
        <v>S1PR5</v>
      </c>
      <c r="B20702" s="6" t="s">
        <v>1</v>
      </c>
      <c r="C20702" s="6" t="s">
        <v>1</v>
      </c>
    </row>
    <row r="20703" spans="1:3" s="7" customFormat="1" x14ac:dyDescent="0.2">
      <c r="A20703" s="6" t="str">
        <f>"PRKN"</f>
        <v>PRKN</v>
      </c>
      <c r="B20703" s="6" t="s">
        <v>1</v>
      </c>
      <c r="C20703" s="6" t="s">
        <v>1</v>
      </c>
    </row>
    <row r="20704" spans="1:3" s="7" customFormat="1" x14ac:dyDescent="0.2">
      <c r="A20704" s="6" t="str">
        <f>"WTIP"</f>
        <v>WTIP</v>
      </c>
      <c r="B20704" s="6" t="s">
        <v>1</v>
      </c>
      <c r="C20704" s="6" t="s">
        <v>1</v>
      </c>
    </row>
    <row r="20705" spans="1:3" s="7" customFormat="1" x14ac:dyDescent="0.2">
      <c r="A20705" s="6" t="str">
        <f>"ENTPD2"</f>
        <v>ENTPD2</v>
      </c>
      <c r="B20705" s="6" t="s">
        <v>1</v>
      </c>
      <c r="C20705" s="6" t="s">
        <v>1</v>
      </c>
    </row>
    <row r="20706" spans="1:3" s="7" customFormat="1" x14ac:dyDescent="0.2">
      <c r="A20706" s="6" t="str">
        <f>"RNF183"</f>
        <v>RNF183</v>
      </c>
      <c r="B20706" s="6" t="s">
        <v>1</v>
      </c>
      <c r="C20706" s="6" t="s">
        <v>1</v>
      </c>
    </row>
    <row r="20707" spans="1:3" s="7" customFormat="1" x14ac:dyDescent="0.2">
      <c r="A20707" s="6" t="str">
        <f>"GLDN"</f>
        <v>GLDN</v>
      </c>
      <c r="B20707" s="6" t="s">
        <v>1</v>
      </c>
      <c r="C20707" s="6" t="s">
        <v>1</v>
      </c>
    </row>
    <row r="20708" spans="1:3" s="7" customFormat="1" x14ac:dyDescent="0.2">
      <c r="A20708" s="6" t="str">
        <f>"NPEPPSP1"</f>
        <v>NPEPPSP1</v>
      </c>
      <c r="B20708" s="6" t="s">
        <v>1</v>
      </c>
      <c r="C20708" s="6" t="s">
        <v>1</v>
      </c>
    </row>
    <row r="20709" spans="1:3" s="7" customFormat="1" x14ac:dyDescent="0.2">
      <c r="A20709" s="6" t="str">
        <f>"ASPRV1"</f>
        <v>ASPRV1</v>
      </c>
      <c r="B20709" s="6" t="s">
        <v>1</v>
      </c>
      <c r="C20709" s="6" t="s">
        <v>1</v>
      </c>
    </row>
    <row r="20710" spans="1:3" s="7" customFormat="1" x14ac:dyDescent="0.2">
      <c r="A20710" s="6" t="str">
        <f>"NUP35"</f>
        <v>NUP35</v>
      </c>
      <c r="B20710" s="6" t="s">
        <v>1</v>
      </c>
      <c r="C20710" s="6" t="s">
        <v>1</v>
      </c>
    </row>
    <row r="20711" spans="1:3" s="7" customFormat="1" x14ac:dyDescent="0.2">
      <c r="A20711" s="6" t="str">
        <f>"MIR99AHG"</f>
        <v>MIR99AHG</v>
      </c>
      <c r="B20711" s="6" t="s">
        <v>1</v>
      </c>
      <c r="C20711" s="6" t="s">
        <v>1</v>
      </c>
    </row>
    <row r="20712" spans="1:3" s="7" customFormat="1" x14ac:dyDescent="0.2">
      <c r="A20712" s="6" t="str">
        <f>"MS4A4E"</f>
        <v>MS4A4E</v>
      </c>
      <c r="B20712" s="6" t="s">
        <v>1</v>
      </c>
      <c r="C20712" s="6" t="s">
        <v>1</v>
      </c>
    </row>
    <row r="20713" spans="1:3" s="7" customFormat="1" x14ac:dyDescent="0.2">
      <c r="A20713" s="6" t="str">
        <f>"BTBD8"</f>
        <v>BTBD8</v>
      </c>
      <c r="B20713" s="6" t="s">
        <v>1</v>
      </c>
      <c r="C20713" s="6" t="s">
        <v>1</v>
      </c>
    </row>
    <row r="20714" spans="1:3" s="7" customFormat="1" x14ac:dyDescent="0.2">
      <c r="A20714" s="6" t="str">
        <f>"FKBP1B"</f>
        <v>FKBP1B</v>
      </c>
      <c r="B20714" s="6" t="s">
        <v>1</v>
      </c>
      <c r="C20714" s="6" t="s">
        <v>1</v>
      </c>
    </row>
    <row r="20715" spans="1:3" s="7" customFormat="1" x14ac:dyDescent="0.2">
      <c r="A20715" s="6" t="str">
        <f>"LINC01132"</f>
        <v>LINC01132</v>
      </c>
      <c r="B20715" s="6" t="s">
        <v>1</v>
      </c>
      <c r="C20715" s="6" t="s">
        <v>1</v>
      </c>
    </row>
    <row r="20716" spans="1:3" s="7" customFormat="1" x14ac:dyDescent="0.2">
      <c r="A20716" s="6" t="str">
        <f>"FAM86EP"</f>
        <v>FAM86EP</v>
      </c>
      <c r="B20716" s="6" t="s">
        <v>1</v>
      </c>
      <c r="C20716" s="6" t="s">
        <v>1</v>
      </c>
    </row>
    <row r="20717" spans="1:3" s="7" customFormat="1" x14ac:dyDescent="0.2">
      <c r="A20717" s="6" t="str">
        <f>"VNN1"</f>
        <v>VNN1</v>
      </c>
      <c r="B20717" s="6" t="s">
        <v>1</v>
      </c>
      <c r="C20717" s="6" t="s">
        <v>1</v>
      </c>
    </row>
    <row r="20718" spans="1:3" s="7" customFormat="1" x14ac:dyDescent="0.2">
      <c r="A20718" s="6" t="str">
        <f>"SLC26A6"</f>
        <v>SLC26A6</v>
      </c>
      <c r="B20718" s="6" t="s">
        <v>1</v>
      </c>
      <c r="C20718" s="6" t="s">
        <v>1</v>
      </c>
    </row>
    <row r="20719" spans="1:3" s="7" customFormat="1" x14ac:dyDescent="0.2">
      <c r="A20719" s="6" t="str">
        <f>"MAGOHB"</f>
        <v>MAGOHB</v>
      </c>
      <c r="B20719" s="6" t="s">
        <v>1</v>
      </c>
      <c r="C20719" s="6" t="s">
        <v>1</v>
      </c>
    </row>
    <row r="20720" spans="1:3" s="7" customFormat="1" x14ac:dyDescent="0.2">
      <c r="A20720" s="6" t="str">
        <f>"CCNJ"</f>
        <v>CCNJ</v>
      </c>
      <c r="B20720" s="6" t="s">
        <v>1</v>
      </c>
      <c r="C20720" s="6" t="s">
        <v>1</v>
      </c>
    </row>
    <row r="20721" spans="1:3" s="7" customFormat="1" x14ac:dyDescent="0.2">
      <c r="A20721" s="6" t="str">
        <f>"MKX"</f>
        <v>MKX</v>
      </c>
      <c r="B20721" s="6" t="s">
        <v>1</v>
      </c>
      <c r="C20721" s="6" t="s">
        <v>1</v>
      </c>
    </row>
    <row r="20722" spans="1:3" s="7" customFormat="1" x14ac:dyDescent="0.2">
      <c r="A20722" s="6" t="str">
        <f>"BAALC"</f>
        <v>BAALC</v>
      </c>
      <c r="B20722" s="6" t="s">
        <v>1</v>
      </c>
      <c r="C20722" s="6" t="s">
        <v>1</v>
      </c>
    </row>
    <row r="20723" spans="1:3" s="7" customFormat="1" x14ac:dyDescent="0.2">
      <c r="A20723" s="6" t="str">
        <f>"AC093525.7"</f>
        <v>AC093525.7</v>
      </c>
      <c r="B20723" s="6" t="s">
        <v>1</v>
      </c>
      <c r="C20723" s="6" t="s">
        <v>1</v>
      </c>
    </row>
    <row r="20724" spans="1:3" s="7" customFormat="1" x14ac:dyDescent="0.2">
      <c r="A20724" s="6" t="str">
        <f>"TFPI"</f>
        <v>TFPI</v>
      </c>
      <c r="B20724" s="6" t="s">
        <v>1</v>
      </c>
      <c r="C20724" s="6" t="s">
        <v>1</v>
      </c>
    </row>
    <row r="20725" spans="1:3" s="7" customFormat="1" x14ac:dyDescent="0.2">
      <c r="A20725" s="6" t="str">
        <f>"ZNF248"</f>
        <v>ZNF248</v>
      </c>
      <c r="B20725" s="6" t="s">
        <v>1</v>
      </c>
      <c r="C20725" s="6" t="s">
        <v>1</v>
      </c>
    </row>
    <row r="20726" spans="1:3" s="7" customFormat="1" x14ac:dyDescent="0.2">
      <c r="A20726" s="6" t="str">
        <f>"CYP2C18"</f>
        <v>CYP2C18</v>
      </c>
      <c r="B20726" s="6" t="s">
        <v>1</v>
      </c>
      <c r="C20726" s="6" t="s">
        <v>1</v>
      </c>
    </row>
    <row r="20727" spans="1:3" s="7" customFormat="1" x14ac:dyDescent="0.2">
      <c r="A20727" s="6" t="str">
        <f>"CDNF"</f>
        <v>CDNF</v>
      </c>
      <c r="B20727" s="6" t="s">
        <v>1</v>
      </c>
      <c r="C20727" s="6" t="s">
        <v>1</v>
      </c>
    </row>
    <row r="20728" spans="1:3" s="7" customFormat="1" x14ac:dyDescent="0.2">
      <c r="A20728" s="6" t="str">
        <f>"GJD3"</f>
        <v>GJD3</v>
      </c>
      <c r="B20728" s="6" t="s">
        <v>1</v>
      </c>
      <c r="C20728" s="6" t="s">
        <v>1</v>
      </c>
    </row>
    <row r="20729" spans="1:3" s="7" customFormat="1" x14ac:dyDescent="0.2">
      <c r="A20729" s="6" t="str">
        <f>"APOBEC3B"</f>
        <v>APOBEC3B</v>
      </c>
      <c r="B20729" s="6" t="s">
        <v>1</v>
      </c>
      <c r="C20729" s="6" t="s">
        <v>1</v>
      </c>
    </row>
    <row r="20730" spans="1:3" s="7" customFormat="1" x14ac:dyDescent="0.2">
      <c r="A20730" s="6" t="str">
        <f>"AC022364.1"</f>
        <v>AC022364.1</v>
      </c>
      <c r="B20730" s="6" t="s">
        <v>1</v>
      </c>
      <c r="C20730" s="6" t="s">
        <v>1</v>
      </c>
    </row>
    <row r="20731" spans="1:3" s="7" customFormat="1" x14ac:dyDescent="0.2">
      <c r="A20731" s="6" t="str">
        <f>"ZNF283"</f>
        <v>ZNF283</v>
      </c>
      <c r="B20731" s="6" t="s">
        <v>1</v>
      </c>
      <c r="C20731" s="6" t="s">
        <v>1</v>
      </c>
    </row>
    <row r="20732" spans="1:3" s="7" customFormat="1" x14ac:dyDescent="0.2">
      <c r="A20732" s="6" t="str">
        <f>"ZCCHC24"</f>
        <v>ZCCHC24</v>
      </c>
      <c r="B20732" s="6" t="s">
        <v>1</v>
      </c>
      <c r="C20732" s="6" t="s">
        <v>1</v>
      </c>
    </row>
    <row r="20733" spans="1:3" s="7" customFormat="1" x14ac:dyDescent="0.2">
      <c r="A20733" s="6" t="str">
        <f>"CCRL2"</f>
        <v>CCRL2</v>
      </c>
      <c r="B20733" s="6" t="s">
        <v>1</v>
      </c>
      <c r="C20733" s="6" t="s">
        <v>1</v>
      </c>
    </row>
    <row r="20734" spans="1:3" s="7" customFormat="1" x14ac:dyDescent="0.2">
      <c r="A20734" s="6" t="str">
        <f>"MDP1"</f>
        <v>MDP1</v>
      </c>
      <c r="B20734" s="6" t="s">
        <v>1</v>
      </c>
      <c r="C20734" s="6" t="s">
        <v>1</v>
      </c>
    </row>
    <row r="20735" spans="1:3" s="7" customFormat="1" x14ac:dyDescent="0.2">
      <c r="A20735" s="6" t="str">
        <f>"LPAR5"</f>
        <v>LPAR5</v>
      </c>
      <c r="B20735" s="6" t="s">
        <v>1</v>
      </c>
      <c r="C20735" s="6" t="s">
        <v>1</v>
      </c>
    </row>
    <row r="20736" spans="1:3" s="7" customFormat="1" x14ac:dyDescent="0.2">
      <c r="A20736" s="6" t="str">
        <f>"AC093627.5"</f>
        <v>AC093627.5</v>
      </c>
      <c r="B20736" s="6" t="s">
        <v>1</v>
      </c>
      <c r="C20736" s="6" t="s">
        <v>1</v>
      </c>
    </row>
    <row r="20737" spans="1:3" s="7" customFormat="1" x14ac:dyDescent="0.2">
      <c r="A20737" s="6" t="str">
        <f>"AC093627.4"</f>
        <v>AC093627.4</v>
      </c>
      <c r="B20737" s="6" t="s">
        <v>1</v>
      </c>
      <c r="C20737" s="6" t="s">
        <v>1</v>
      </c>
    </row>
    <row r="20738" spans="1:3" s="7" customFormat="1" x14ac:dyDescent="0.2">
      <c r="A20738" s="6" t="str">
        <f>"THAP1"</f>
        <v>THAP1</v>
      </c>
      <c r="B20738" s="6" t="s">
        <v>1</v>
      </c>
      <c r="C20738" s="6" t="s">
        <v>1</v>
      </c>
    </row>
    <row r="20739" spans="1:3" s="7" customFormat="1" x14ac:dyDescent="0.2">
      <c r="A20739" s="6" t="str">
        <f>"CDSN"</f>
        <v>CDSN</v>
      </c>
      <c r="B20739" s="6" t="s">
        <v>1</v>
      </c>
      <c r="C20739" s="6" t="s">
        <v>1</v>
      </c>
    </row>
    <row r="20740" spans="1:3" s="7" customFormat="1" x14ac:dyDescent="0.2">
      <c r="A20740" s="6" t="str">
        <f>"MAGED4B"</f>
        <v>MAGED4B</v>
      </c>
      <c r="B20740" s="6" t="s">
        <v>1</v>
      </c>
      <c r="C20740" s="6" t="s">
        <v>1</v>
      </c>
    </row>
    <row r="20741" spans="1:3" s="7" customFormat="1" x14ac:dyDescent="0.2">
      <c r="A20741" s="6" t="str">
        <f>"SHISA4"</f>
        <v>SHISA4</v>
      </c>
      <c r="B20741" s="6" t="s">
        <v>1</v>
      </c>
      <c r="C20741" s="6" t="s">
        <v>1</v>
      </c>
    </row>
    <row r="20742" spans="1:3" s="7" customFormat="1" x14ac:dyDescent="0.2">
      <c r="A20742" s="6" t="str">
        <f>"HBEGF"</f>
        <v>HBEGF</v>
      </c>
      <c r="B20742" s="6" t="s">
        <v>1</v>
      </c>
      <c r="C20742" s="6" t="s">
        <v>1</v>
      </c>
    </row>
    <row r="20743" spans="1:3" s="7" customFormat="1" x14ac:dyDescent="0.2">
      <c r="A20743" s="6" t="str">
        <f>"RAET1E-AS1"</f>
        <v>RAET1E-AS1</v>
      </c>
      <c r="B20743" s="6" t="s">
        <v>1</v>
      </c>
      <c r="C20743" s="6" t="s">
        <v>1</v>
      </c>
    </row>
    <row r="20744" spans="1:3" s="7" customFormat="1" x14ac:dyDescent="0.2">
      <c r="A20744" s="6" t="str">
        <f>"LEF1"</f>
        <v>LEF1</v>
      </c>
      <c r="B20744" s="6" t="s">
        <v>1</v>
      </c>
      <c r="C20744" s="6" t="s">
        <v>1</v>
      </c>
    </row>
    <row r="20745" spans="1:3" s="7" customFormat="1" x14ac:dyDescent="0.2">
      <c r="A20745" s="6" t="str">
        <f>"ALG1L9P"</f>
        <v>ALG1L9P</v>
      </c>
      <c r="B20745" s="6" t="s">
        <v>1</v>
      </c>
      <c r="C20745" s="6" t="s">
        <v>1</v>
      </c>
    </row>
    <row r="20746" spans="1:3" s="7" customFormat="1" x14ac:dyDescent="0.2">
      <c r="A20746" s="6" t="str">
        <f>"AC007192.1"</f>
        <v>AC007192.1</v>
      </c>
      <c r="B20746" s="6" t="s">
        <v>1</v>
      </c>
      <c r="C20746" s="6" t="s">
        <v>1</v>
      </c>
    </row>
    <row r="20747" spans="1:3" s="7" customFormat="1" x14ac:dyDescent="0.2">
      <c r="A20747" s="6" t="str">
        <f>"PRKG1-AS1"</f>
        <v>PRKG1-AS1</v>
      </c>
      <c r="B20747" s="6" t="s">
        <v>1</v>
      </c>
      <c r="C20747" s="6" t="s">
        <v>1</v>
      </c>
    </row>
    <row r="20748" spans="1:3" s="7" customFormat="1" x14ac:dyDescent="0.2">
      <c r="A20748" s="6" t="str">
        <f>"GALNT13"</f>
        <v>GALNT13</v>
      </c>
      <c r="B20748" s="6" t="s">
        <v>1</v>
      </c>
      <c r="C20748" s="6" t="s">
        <v>1</v>
      </c>
    </row>
    <row r="20749" spans="1:3" s="7" customFormat="1" x14ac:dyDescent="0.2">
      <c r="A20749" s="6" t="str">
        <f>"F8A3"</f>
        <v>F8A3</v>
      </c>
      <c r="B20749" s="6" t="s">
        <v>1</v>
      </c>
      <c r="C20749" s="6" t="s">
        <v>1</v>
      </c>
    </row>
    <row r="20750" spans="1:3" s="7" customFormat="1" x14ac:dyDescent="0.2">
      <c r="A20750" s="6" t="str">
        <f>"LOXL1-AS1"</f>
        <v>LOXL1-AS1</v>
      </c>
      <c r="B20750" s="6" t="s">
        <v>1</v>
      </c>
      <c r="C20750" s="6" t="s">
        <v>1</v>
      </c>
    </row>
    <row r="20751" spans="1:3" s="7" customFormat="1" x14ac:dyDescent="0.2">
      <c r="A20751" s="6" t="str">
        <f>"KCNJ2-AS1"</f>
        <v>KCNJ2-AS1</v>
      </c>
      <c r="B20751" s="6" t="s">
        <v>1</v>
      </c>
      <c r="C20751" s="6" t="s">
        <v>1</v>
      </c>
    </row>
    <row r="20752" spans="1:3" s="7" customFormat="1" x14ac:dyDescent="0.2">
      <c r="A20752" s="6" t="str">
        <f>"TBC1D19"</f>
        <v>TBC1D19</v>
      </c>
      <c r="B20752" s="6" t="s">
        <v>1</v>
      </c>
      <c r="C20752" s="6" t="s">
        <v>1</v>
      </c>
    </row>
    <row r="20753" spans="1:3" s="7" customFormat="1" x14ac:dyDescent="0.2">
      <c r="A20753" s="6" t="str">
        <f>"TBC1D32"</f>
        <v>TBC1D32</v>
      </c>
      <c r="B20753" s="6" t="s">
        <v>1</v>
      </c>
      <c r="C20753" s="6" t="s">
        <v>1</v>
      </c>
    </row>
    <row r="20754" spans="1:3" s="7" customFormat="1" x14ac:dyDescent="0.2">
      <c r="A20754" s="6" t="str">
        <f>"RNF125"</f>
        <v>RNF125</v>
      </c>
      <c r="B20754" s="6" t="s">
        <v>1</v>
      </c>
      <c r="C20754" s="6" t="s">
        <v>1</v>
      </c>
    </row>
    <row r="20755" spans="1:3" s="7" customFormat="1" x14ac:dyDescent="0.2">
      <c r="A20755" s="6" t="str">
        <f>"AF111167.2"</f>
        <v>AF111167.2</v>
      </c>
      <c r="B20755" s="6" t="s">
        <v>1</v>
      </c>
      <c r="C20755" s="6" t="s">
        <v>1</v>
      </c>
    </row>
    <row r="20756" spans="1:3" s="7" customFormat="1" x14ac:dyDescent="0.2">
      <c r="A20756" s="6" t="str">
        <f>"PABPC1L"</f>
        <v>PABPC1L</v>
      </c>
      <c r="B20756" s="6" t="s">
        <v>1</v>
      </c>
      <c r="C20756" s="6" t="s">
        <v>1</v>
      </c>
    </row>
    <row r="20757" spans="1:3" s="7" customFormat="1" x14ac:dyDescent="0.2">
      <c r="A20757" s="6" t="str">
        <f>"RELL2"</f>
        <v>RELL2</v>
      </c>
      <c r="B20757" s="6" t="s">
        <v>1</v>
      </c>
      <c r="C20757" s="6" t="s">
        <v>1</v>
      </c>
    </row>
    <row r="20758" spans="1:3" s="7" customFormat="1" x14ac:dyDescent="0.2">
      <c r="A20758" s="6" t="str">
        <f>"ALDOC"</f>
        <v>ALDOC</v>
      </c>
      <c r="B20758" s="6" t="s">
        <v>1</v>
      </c>
      <c r="C20758" s="6" t="s">
        <v>1</v>
      </c>
    </row>
    <row r="20759" spans="1:3" s="7" customFormat="1" x14ac:dyDescent="0.2">
      <c r="A20759" s="6" t="str">
        <f>"GPX7"</f>
        <v>GPX7</v>
      </c>
      <c r="B20759" s="6" t="s">
        <v>1</v>
      </c>
      <c r="C20759" s="6" t="s">
        <v>1</v>
      </c>
    </row>
    <row r="20760" spans="1:3" s="7" customFormat="1" x14ac:dyDescent="0.2">
      <c r="A20760" s="6" t="str">
        <f>"LGALS1"</f>
        <v>LGALS1</v>
      </c>
      <c r="B20760" s="6" t="s">
        <v>1</v>
      </c>
      <c r="C20760" s="6" t="s">
        <v>1</v>
      </c>
    </row>
    <row r="20761" spans="1:3" s="7" customFormat="1" x14ac:dyDescent="0.2">
      <c r="A20761" s="6" t="str">
        <f>"S100A12"</f>
        <v>S100A12</v>
      </c>
      <c r="B20761" s="6" t="s">
        <v>1</v>
      </c>
      <c r="C20761" s="6" t="s">
        <v>1</v>
      </c>
    </row>
    <row r="20762" spans="1:3" s="7" customFormat="1" x14ac:dyDescent="0.2">
      <c r="A20762" s="6" t="str">
        <f>"CNTNAP3C"</f>
        <v>CNTNAP3C</v>
      </c>
      <c r="B20762" s="6" t="s">
        <v>1</v>
      </c>
      <c r="C20762" s="6" t="s">
        <v>1</v>
      </c>
    </row>
    <row r="20763" spans="1:3" s="7" customFormat="1" x14ac:dyDescent="0.2">
      <c r="A20763" s="6" t="str">
        <f>"OXSM"</f>
        <v>OXSM</v>
      </c>
      <c r="B20763" s="6" t="s">
        <v>1</v>
      </c>
      <c r="C20763" s="6" t="s">
        <v>1</v>
      </c>
    </row>
    <row r="20764" spans="1:3" s="7" customFormat="1" x14ac:dyDescent="0.2">
      <c r="A20764" s="6" t="str">
        <f>"INTS6L"</f>
        <v>INTS6L</v>
      </c>
      <c r="B20764" s="6" t="s">
        <v>1</v>
      </c>
      <c r="C20764" s="6" t="s">
        <v>1</v>
      </c>
    </row>
    <row r="20765" spans="1:3" s="7" customFormat="1" x14ac:dyDescent="0.2">
      <c r="A20765" s="6" t="str">
        <f>"MYL5"</f>
        <v>MYL5</v>
      </c>
      <c r="B20765" s="6" t="s">
        <v>1</v>
      </c>
      <c r="C20765" s="6" t="s">
        <v>1</v>
      </c>
    </row>
    <row r="20766" spans="1:3" s="7" customFormat="1" x14ac:dyDescent="0.2">
      <c r="A20766" s="6" t="str">
        <f>"AC093904.4"</f>
        <v>AC093904.4</v>
      </c>
      <c r="B20766" s="6" t="s">
        <v>1</v>
      </c>
      <c r="C20766" s="6" t="s">
        <v>1</v>
      </c>
    </row>
    <row r="20767" spans="1:3" s="7" customFormat="1" x14ac:dyDescent="0.2">
      <c r="A20767" s="6" t="str">
        <f>"EEF1A1P5"</f>
        <v>EEF1A1P5</v>
      </c>
      <c r="B20767" s="6" t="s">
        <v>1</v>
      </c>
      <c r="C20767" s="6" t="s">
        <v>1</v>
      </c>
    </row>
    <row r="20768" spans="1:3" s="7" customFormat="1" x14ac:dyDescent="0.2">
      <c r="A20768" s="6" t="str">
        <f>"ZCCHC4"</f>
        <v>ZCCHC4</v>
      </c>
      <c r="B20768" s="6" t="s">
        <v>1</v>
      </c>
      <c r="C20768" s="6" t="s">
        <v>1</v>
      </c>
    </row>
    <row r="20769" spans="1:3" s="7" customFormat="1" x14ac:dyDescent="0.2">
      <c r="A20769" s="6" t="str">
        <f>"CNTF"</f>
        <v>CNTF</v>
      </c>
      <c r="B20769" s="6" t="s">
        <v>1</v>
      </c>
      <c r="C20769" s="6" t="s">
        <v>1</v>
      </c>
    </row>
    <row r="20770" spans="1:3" s="7" customFormat="1" x14ac:dyDescent="0.2">
      <c r="A20770" s="6" t="str">
        <f>"AC013477.1"</f>
        <v>AC013477.1</v>
      </c>
      <c r="B20770" s="6" t="s">
        <v>1</v>
      </c>
      <c r="C20770" s="6" t="s">
        <v>1</v>
      </c>
    </row>
    <row r="20771" spans="1:3" s="7" customFormat="1" x14ac:dyDescent="0.2">
      <c r="A20771" s="6" t="str">
        <f>"UGT1A10"</f>
        <v>UGT1A10</v>
      </c>
      <c r="B20771" s="6" t="s">
        <v>1</v>
      </c>
      <c r="C20771" s="6" t="s">
        <v>1</v>
      </c>
    </row>
    <row r="20772" spans="1:3" s="7" customFormat="1" x14ac:dyDescent="0.2">
      <c r="A20772" s="6" t="str">
        <f>"EXOSC5"</f>
        <v>EXOSC5</v>
      </c>
      <c r="B20772" s="6" t="s">
        <v>1</v>
      </c>
      <c r="C20772" s="6" t="s">
        <v>1</v>
      </c>
    </row>
    <row r="20773" spans="1:3" s="7" customFormat="1" x14ac:dyDescent="0.2">
      <c r="A20773" s="6" t="str">
        <f>"STX17-AS1"</f>
        <v>STX17-AS1</v>
      </c>
      <c r="B20773" s="6" t="s">
        <v>1</v>
      </c>
      <c r="C20773" s="6" t="s">
        <v>1</v>
      </c>
    </row>
    <row r="20774" spans="1:3" s="7" customFormat="1" x14ac:dyDescent="0.2">
      <c r="A20774" s="6" t="str">
        <f>"MSH5"</f>
        <v>MSH5</v>
      </c>
      <c r="B20774" s="6" t="s">
        <v>1</v>
      </c>
      <c r="C20774" s="6" t="s">
        <v>1</v>
      </c>
    </row>
    <row r="20775" spans="1:3" s="7" customFormat="1" x14ac:dyDescent="0.2">
      <c r="A20775" s="6" t="str">
        <f>"TTC3P1"</f>
        <v>TTC3P1</v>
      </c>
      <c r="B20775" s="6" t="s">
        <v>1</v>
      </c>
      <c r="C20775" s="6" t="s">
        <v>1</v>
      </c>
    </row>
    <row r="20776" spans="1:3" s="7" customFormat="1" x14ac:dyDescent="0.2">
      <c r="A20776" s="6" t="str">
        <f>"SORBS1"</f>
        <v>SORBS1</v>
      </c>
      <c r="B20776" s="6" t="s">
        <v>1</v>
      </c>
      <c r="C20776" s="6" t="s">
        <v>1</v>
      </c>
    </row>
    <row r="20777" spans="1:3" s="7" customFormat="1" x14ac:dyDescent="0.2">
      <c r="A20777" s="6" t="str">
        <f>"PHLDB1"</f>
        <v>PHLDB1</v>
      </c>
      <c r="B20777" s="6" t="s">
        <v>1</v>
      </c>
      <c r="C20777" s="6" t="s">
        <v>1</v>
      </c>
    </row>
    <row r="20778" spans="1:3" s="7" customFormat="1" x14ac:dyDescent="0.2">
      <c r="A20778" s="6" t="str">
        <f>"ASB16-AS1"</f>
        <v>ASB16-AS1</v>
      </c>
      <c r="B20778" s="6" t="s">
        <v>1</v>
      </c>
      <c r="C20778" s="6" t="s">
        <v>1</v>
      </c>
    </row>
    <row r="20779" spans="1:3" s="7" customFormat="1" x14ac:dyDescent="0.2">
      <c r="A20779" s="6" t="str">
        <f>"CYP2T1P"</f>
        <v>CYP2T1P</v>
      </c>
      <c r="B20779" s="6" t="s">
        <v>1</v>
      </c>
      <c r="C20779" s="6" t="s">
        <v>1</v>
      </c>
    </row>
    <row r="20780" spans="1:3" s="7" customFormat="1" x14ac:dyDescent="0.2">
      <c r="A20780" s="6" t="str">
        <f>"ADORA2A"</f>
        <v>ADORA2A</v>
      </c>
      <c r="B20780" s="6" t="s">
        <v>1</v>
      </c>
      <c r="C20780" s="6" t="s">
        <v>1</v>
      </c>
    </row>
    <row r="20781" spans="1:3" s="7" customFormat="1" x14ac:dyDescent="0.2">
      <c r="A20781" s="6" t="str">
        <f>"RAET1G"</f>
        <v>RAET1G</v>
      </c>
      <c r="B20781" s="6" t="s">
        <v>1</v>
      </c>
      <c r="C20781" s="6" t="s">
        <v>1</v>
      </c>
    </row>
    <row r="20782" spans="1:3" s="7" customFormat="1" x14ac:dyDescent="0.2">
      <c r="A20782" s="6" t="str">
        <f>"BANK1"</f>
        <v>BANK1</v>
      </c>
      <c r="B20782" s="6" t="s">
        <v>1</v>
      </c>
      <c r="C20782" s="6" t="s">
        <v>1</v>
      </c>
    </row>
    <row r="20783" spans="1:3" s="7" customFormat="1" x14ac:dyDescent="0.2">
      <c r="A20783" s="6" t="str">
        <f>"MZT1"</f>
        <v>MZT1</v>
      </c>
      <c r="B20783" s="6" t="s">
        <v>1</v>
      </c>
      <c r="C20783" s="6" t="s">
        <v>1</v>
      </c>
    </row>
    <row r="20784" spans="1:3" s="7" customFormat="1" x14ac:dyDescent="0.2">
      <c r="A20784" s="6" t="str">
        <f>"F8"</f>
        <v>F8</v>
      </c>
      <c r="B20784" s="6" t="s">
        <v>1</v>
      </c>
      <c r="C20784" s="6" t="s">
        <v>1</v>
      </c>
    </row>
    <row r="20785" spans="1:3" s="7" customFormat="1" x14ac:dyDescent="0.2">
      <c r="A20785" s="6" t="str">
        <f>"PRKY"</f>
        <v>PRKY</v>
      </c>
      <c r="B20785" s="6" t="s">
        <v>1</v>
      </c>
      <c r="C20785" s="6" t="s">
        <v>1</v>
      </c>
    </row>
    <row r="20786" spans="1:3" s="7" customFormat="1" x14ac:dyDescent="0.2">
      <c r="A20786" s="6" t="str">
        <f>"EDIL3"</f>
        <v>EDIL3</v>
      </c>
      <c r="B20786" s="6" t="s">
        <v>1</v>
      </c>
      <c r="C20786" s="6" t="s">
        <v>1</v>
      </c>
    </row>
    <row r="20787" spans="1:3" s="7" customFormat="1" x14ac:dyDescent="0.2">
      <c r="A20787" s="6" t="str">
        <f>"EXTL2"</f>
        <v>EXTL2</v>
      </c>
      <c r="B20787" s="6" t="s">
        <v>1</v>
      </c>
      <c r="C20787" s="6" t="s">
        <v>1</v>
      </c>
    </row>
    <row r="20788" spans="1:3" s="7" customFormat="1" x14ac:dyDescent="0.2">
      <c r="A20788" s="6" t="str">
        <f>"AC004812.2"</f>
        <v>AC004812.2</v>
      </c>
      <c r="B20788" s="6" t="s">
        <v>1</v>
      </c>
      <c r="C20788" s="6" t="s">
        <v>1</v>
      </c>
    </row>
    <row r="20789" spans="1:3" s="7" customFormat="1" x14ac:dyDescent="0.2">
      <c r="A20789" s="6" t="str">
        <f>"ZNF586"</f>
        <v>ZNF586</v>
      </c>
      <c r="B20789" s="6" t="s">
        <v>1</v>
      </c>
      <c r="C20789" s="6" t="s">
        <v>1</v>
      </c>
    </row>
    <row r="20790" spans="1:3" s="7" customFormat="1" x14ac:dyDescent="0.2">
      <c r="A20790" s="6" t="str">
        <f>"PLIN4"</f>
        <v>PLIN4</v>
      </c>
      <c r="B20790" s="6" t="s">
        <v>1</v>
      </c>
      <c r="C20790" s="6" t="s">
        <v>1</v>
      </c>
    </row>
    <row r="20791" spans="1:3" s="7" customFormat="1" x14ac:dyDescent="0.2">
      <c r="A20791" s="6" t="str">
        <f>"HNRNPA1L2"</f>
        <v>HNRNPA1L2</v>
      </c>
      <c r="B20791" s="6" t="s">
        <v>1</v>
      </c>
      <c r="C20791" s="6" t="s">
        <v>1</v>
      </c>
    </row>
    <row r="20792" spans="1:3" s="7" customFormat="1" x14ac:dyDescent="0.2">
      <c r="A20792" s="6" t="str">
        <f>"RFC4"</f>
        <v>RFC4</v>
      </c>
      <c r="B20792" s="6" t="s">
        <v>1</v>
      </c>
      <c r="C20792" s="6" t="s">
        <v>1</v>
      </c>
    </row>
    <row r="20793" spans="1:3" s="7" customFormat="1" x14ac:dyDescent="0.2">
      <c r="A20793" s="6" t="str">
        <f>"AC009506.1"</f>
        <v>AC009506.1</v>
      </c>
      <c r="B20793" s="6" t="s">
        <v>1</v>
      </c>
      <c r="C20793" s="6" t="s">
        <v>1</v>
      </c>
    </row>
    <row r="20794" spans="1:3" s="7" customFormat="1" x14ac:dyDescent="0.2">
      <c r="A20794" s="6" t="str">
        <f>"ZNF594"</f>
        <v>ZNF594</v>
      </c>
      <c r="B20794" s="6" t="s">
        <v>1</v>
      </c>
      <c r="C20794" s="6" t="s">
        <v>1</v>
      </c>
    </row>
    <row r="20795" spans="1:3" s="7" customFormat="1" x14ac:dyDescent="0.2">
      <c r="A20795" s="6" t="str">
        <f>"G2E3"</f>
        <v>G2E3</v>
      </c>
      <c r="B20795" s="6" t="s">
        <v>1</v>
      </c>
      <c r="C20795" s="6" t="s">
        <v>1</v>
      </c>
    </row>
    <row r="20796" spans="1:3" s="7" customFormat="1" x14ac:dyDescent="0.2">
      <c r="A20796" s="6" t="str">
        <f>"HACE1"</f>
        <v>HACE1</v>
      </c>
      <c r="B20796" s="6" t="s">
        <v>1</v>
      </c>
      <c r="C20796" s="6" t="s">
        <v>1</v>
      </c>
    </row>
    <row r="20797" spans="1:3" s="7" customFormat="1" x14ac:dyDescent="0.2">
      <c r="A20797" s="6" t="str">
        <f>"DNAJC3-DT"</f>
        <v>DNAJC3-DT</v>
      </c>
      <c r="B20797" s="6" t="s">
        <v>1</v>
      </c>
      <c r="C20797" s="6" t="s">
        <v>1</v>
      </c>
    </row>
    <row r="20798" spans="1:3" s="7" customFormat="1" x14ac:dyDescent="0.2">
      <c r="A20798" s="6" t="str">
        <f>"ZNF619"</f>
        <v>ZNF619</v>
      </c>
      <c r="B20798" s="6" t="s">
        <v>1</v>
      </c>
      <c r="C20798" s="6" t="s">
        <v>1</v>
      </c>
    </row>
    <row r="20799" spans="1:3" s="7" customFormat="1" x14ac:dyDescent="0.2">
      <c r="A20799" s="6" t="str">
        <f>"THAP3"</f>
        <v>THAP3</v>
      </c>
      <c r="B20799" s="6" t="s">
        <v>1</v>
      </c>
      <c r="C20799" s="6" t="s">
        <v>1</v>
      </c>
    </row>
    <row r="20800" spans="1:3" s="7" customFormat="1" x14ac:dyDescent="0.2">
      <c r="A20800" s="6" t="str">
        <f>"KLHL3"</f>
        <v>KLHL3</v>
      </c>
      <c r="B20800" s="6" t="s">
        <v>1</v>
      </c>
      <c r="C20800" s="6" t="s">
        <v>1</v>
      </c>
    </row>
    <row r="20801" spans="1:3" s="7" customFormat="1" x14ac:dyDescent="0.2">
      <c r="A20801" s="6" t="str">
        <f>"IGHG1"</f>
        <v>IGHG1</v>
      </c>
      <c r="B20801" s="6" t="s">
        <v>1</v>
      </c>
      <c r="C20801" s="6" t="s">
        <v>1</v>
      </c>
    </row>
    <row r="20802" spans="1:3" s="7" customFormat="1" x14ac:dyDescent="0.2">
      <c r="A20802" s="6" t="str">
        <f>"RFC5"</f>
        <v>RFC5</v>
      </c>
      <c r="B20802" s="6" t="s">
        <v>1</v>
      </c>
      <c r="C20802" s="6" t="s">
        <v>1</v>
      </c>
    </row>
    <row r="20803" spans="1:3" s="7" customFormat="1" x14ac:dyDescent="0.2">
      <c r="A20803" s="6" t="str">
        <f>"AL031282.2"</f>
        <v>AL031282.2</v>
      </c>
      <c r="B20803" s="6" t="s">
        <v>1</v>
      </c>
      <c r="C20803" s="6" t="s">
        <v>1</v>
      </c>
    </row>
    <row r="20804" spans="1:3" s="7" customFormat="1" x14ac:dyDescent="0.2">
      <c r="A20804" s="6" t="str">
        <f>"CEACAM3"</f>
        <v>CEACAM3</v>
      </c>
      <c r="B20804" s="6" t="s">
        <v>1</v>
      </c>
      <c r="C20804" s="6" t="s">
        <v>1</v>
      </c>
    </row>
    <row r="20805" spans="1:3" s="7" customFormat="1" x14ac:dyDescent="0.2">
      <c r="A20805" s="6" t="str">
        <f>"MYPOP"</f>
        <v>MYPOP</v>
      </c>
      <c r="B20805" s="6" t="s">
        <v>1</v>
      </c>
      <c r="C20805" s="6" t="s">
        <v>1</v>
      </c>
    </row>
    <row r="20806" spans="1:3" s="7" customFormat="1" x14ac:dyDescent="0.2">
      <c r="A20806" s="6" t="str">
        <f>"FAH"</f>
        <v>FAH</v>
      </c>
      <c r="B20806" s="6" t="s">
        <v>1</v>
      </c>
      <c r="C20806" s="6" t="s">
        <v>1</v>
      </c>
    </row>
    <row r="20807" spans="1:3" s="7" customFormat="1" x14ac:dyDescent="0.2">
      <c r="A20807" s="6" t="str">
        <f>"MYZAP"</f>
        <v>MYZAP</v>
      </c>
      <c r="B20807" s="6" t="s">
        <v>1</v>
      </c>
      <c r="C20807" s="6" t="s">
        <v>1</v>
      </c>
    </row>
    <row r="20808" spans="1:3" s="7" customFormat="1" x14ac:dyDescent="0.2">
      <c r="A20808" s="6" t="str">
        <f>"EML6"</f>
        <v>EML6</v>
      </c>
      <c r="B20808" s="6" t="s">
        <v>1</v>
      </c>
      <c r="C20808" s="6" t="s">
        <v>1</v>
      </c>
    </row>
    <row r="20809" spans="1:3" s="7" customFormat="1" x14ac:dyDescent="0.2">
      <c r="A20809" s="6" t="str">
        <f>"FMNL3"</f>
        <v>FMNL3</v>
      </c>
      <c r="B20809" s="6" t="s">
        <v>1</v>
      </c>
      <c r="C20809" s="6" t="s">
        <v>1</v>
      </c>
    </row>
    <row r="20810" spans="1:3" s="7" customFormat="1" x14ac:dyDescent="0.2">
      <c r="A20810" s="6" t="str">
        <f>"ADM2"</f>
        <v>ADM2</v>
      </c>
      <c r="B20810" s="6" t="s">
        <v>1</v>
      </c>
      <c r="C20810" s="6" t="s">
        <v>1</v>
      </c>
    </row>
    <row r="20811" spans="1:3" s="7" customFormat="1" x14ac:dyDescent="0.2">
      <c r="A20811" s="6" t="str">
        <f>"CEMIP"</f>
        <v>CEMIP</v>
      </c>
      <c r="B20811" s="6" t="s">
        <v>1</v>
      </c>
      <c r="C20811" s="6" t="s">
        <v>1</v>
      </c>
    </row>
    <row r="20812" spans="1:3" s="7" customFormat="1" x14ac:dyDescent="0.2">
      <c r="A20812" s="6" t="str">
        <f>"ZNF25"</f>
        <v>ZNF25</v>
      </c>
      <c r="B20812" s="6" t="s">
        <v>1</v>
      </c>
      <c r="C20812" s="6" t="s">
        <v>1</v>
      </c>
    </row>
    <row r="20813" spans="1:3" s="7" customFormat="1" x14ac:dyDescent="0.2">
      <c r="A20813" s="6" t="str">
        <f>"RELT"</f>
        <v>RELT</v>
      </c>
      <c r="B20813" s="6" t="s">
        <v>1</v>
      </c>
      <c r="C20813" s="6" t="s">
        <v>1</v>
      </c>
    </row>
    <row r="20814" spans="1:3" s="7" customFormat="1" x14ac:dyDescent="0.2">
      <c r="A20814" s="6" t="str">
        <f>"AC064807.1"</f>
        <v>AC064807.1</v>
      </c>
      <c r="B20814" s="6" t="s">
        <v>1</v>
      </c>
      <c r="C20814" s="6" t="s">
        <v>1</v>
      </c>
    </row>
    <row r="20815" spans="1:3" s="7" customFormat="1" x14ac:dyDescent="0.2">
      <c r="A20815" s="6" t="str">
        <f>"GABRB3"</f>
        <v>GABRB3</v>
      </c>
      <c r="B20815" s="6" t="s">
        <v>1</v>
      </c>
      <c r="C20815" s="6" t="s">
        <v>1</v>
      </c>
    </row>
    <row r="20816" spans="1:3" s="7" customFormat="1" x14ac:dyDescent="0.2">
      <c r="A20816" s="6" t="str">
        <f>"ZSCAN16"</f>
        <v>ZSCAN16</v>
      </c>
      <c r="B20816" s="6" t="s">
        <v>1</v>
      </c>
      <c r="C20816" s="6" t="s">
        <v>1</v>
      </c>
    </row>
    <row r="20817" spans="1:3" s="7" customFormat="1" x14ac:dyDescent="0.2">
      <c r="A20817" s="6" t="str">
        <f>"CHN2"</f>
        <v>CHN2</v>
      </c>
      <c r="B20817" s="6" t="s">
        <v>1</v>
      </c>
      <c r="C20817" s="6" t="s">
        <v>1</v>
      </c>
    </row>
    <row r="20818" spans="1:3" s="7" customFormat="1" x14ac:dyDescent="0.2">
      <c r="A20818" s="6" t="str">
        <f>"ZSCAN26"</f>
        <v>ZSCAN26</v>
      </c>
      <c r="B20818" s="6" t="s">
        <v>1</v>
      </c>
      <c r="C20818" s="6" t="s">
        <v>1</v>
      </c>
    </row>
    <row r="20819" spans="1:3" s="7" customFormat="1" x14ac:dyDescent="0.2">
      <c r="A20819" s="6" t="str">
        <f>"MACIR"</f>
        <v>MACIR</v>
      </c>
      <c r="B20819" s="6" t="s">
        <v>1</v>
      </c>
      <c r="C20819" s="6" t="s">
        <v>1</v>
      </c>
    </row>
    <row r="20820" spans="1:3" s="7" customFormat="1" x14ac:dyDescent="0.2">
      <c r="A20820" s="6" t="str">
        <f>"CCNA1"</f>
        <v>CCNA1</v>
      </c>
      <c r="B20820" s="6" t="s">
        <v>1</v>
      </c>
      <c r="C20820" s="6" t="s">
        <v>1</v>
      </c>
    </row>
    <row r="20821" spans="1:3" s="7" customFormat="1" x14ac:dyDescent="0.2">
      <c r="A20821" s="6" t="str">
        <f>"BARD1"</f>
        <v>BARD1</v>
      </c>
      <c r="B20821" s="6" t="s">
        <v>1</v>
      </c>
      <c r="C20821" s="6" t="s">
        <v>1</v>
      </c>
    </row>
    <row r="20822" spans="1:3" s="7" customFormat="1" x14ac:dyDescent="0.2">
      <c r="A20822" s="6" t="str">
        <f>"KBTBD6"</f>
        <v>KBTBD6</v>
      </c>
      <c r="B20822" s="6" t="s">
        <v>1</v>
      </c>
      <c r="C20822" s="6" t="s">
        <v>1</v>
      </c>
    </row>
    <row r="20823" spans="1:3" s="7" customFormat="1" x14ac:dyDescent="0.2">
      <c r="A20823" s="6" t="str">
        <f>"ZNF234"</f>
        <v>ZNF234</v>
      </c>
      <c r="B20823" s="6" t="s">
        <v>1</v>
      </c>
      <c r="C20823" s="6" t="s">
        <v>1</v>
      </c>
    </row>
    <row r="20824" spans="1:3" s="7" customFormat="1" x14ac:dyDescent="0.2">
      <c r="A20824" s="6" t="str">
        <f>"KCNB1"</f>
        <v>KCNB1</v>
      </c>
      <c r="B20824" s="6" t="s">
        <v>1</v>
      </c>
      <c r="C20824" s="6" t="s">
        <v>1</v>
      </c>
    </row>
    <row r="20825" spans="1:3" s="7" customFormat="1" x14ac:dyDescent="0.2">
      <c r="A20825" s="6" t="str">
        <f>"ZUP1"</f>
        <v>ZUP1</v>
      </c>
      <c r="B20825" s="6" t="s">
        <v>1</v>
      </c>
      <c r="C20825" s="6" t="s">
        <v>1</v>
      </c>
    </row>
    <row r="20826" spans="1:3" s="7" customFormat="1" x14ac:dyDescent="0.2">
      <c r="A20826" s="6" t="str">
        <f>"B4GALT6"</f>
        <v>B4GALT6</v>
      </c>
      <c r="B20826" s="6" t="s">
        <v>1</v>
      </c>
      <c r="C20826" s="6" t="s">
        <v>1</v>
      </c>
    </row>
    <row r="20827" spans="1:3" s="7" customFormat="1" x14ac:dyDescent="0.2">
      <c r="A20827" s="6" t="str">
        <f>"TNFAIP8L3"</f>
        <v>TNFAIP8L3</v>
      </c>
      <c r="B20827" s="6" t="s">
        <v>1</v>
      </c>
      <c r="C20827" s="6" t="s">
        <v>1</v>
      </c>
    </row>
    <row r="20828" spans="1:3" s="7" customFormat="1" x14ac:dyDescent="0.2">
      <c r="A20828" s="6" t="str">
        <f>"LPP-AS2"</f>
        <v>LPP-AS2</v>
      </c>
      <c r="B20828" s="6" t="s">
        <v>1</v>
      </c>
      <c r="C20828" s="6" t="s">
        <v>1</v>
      </c>
    </row>
    <row r="20829" spans="1:3" s="7" customFormat="1" x14ac:dyDescent="0.2">
      <c r="A20829" s="6" t="str">
        <f>"KLLN"</f>
        <v>KLLN</v>
      </c>
      <c r="B20829" s="6" t="s">
        <v>1</v>
      </c>
      <c r="C20829" s="6" t="s">
        <v>1</v>
      </c>
    </row>
    <row r="20830" spans="1:3" s="7" customFormat="1" x14ac:dyDescent="0.2">
      <c r="A20830" s="6" t="str">
        <f>"FAXC"</f>
        <v>FAXC</v>
      </c>
      <c r="B20830" s="6" t="s">
        <v>1</v>
      </c>
      <c r="C20830" s="6" t="s">
        <v>1</v>
      </c>
    </row>
    <row r="20831" spans="1:3" s="7" customFormat="1" x14ac:dyDescent="0.2">
      <c r="A20831" s="6" t="str">
        <f>"PROC"</f>
        <v>PROC</v>
      </c>
      <c r="B20831" s="6" t="s">
        <v>1</v>
      </c>
      <c r="C20831" s="6" t="s">
        <v>1</v>
      </c>
    </row>
    <row r="20832" spans="1:3" s="7" customFormat="1" x14ac:dyDescent="0.2">
      <c r="A20832" s="6" t="str">
        <f>"ALKBH1"</f>
        <v>ALKBH1</v>
      </c>
      <c r="B20832" s="6" t="s">
        <v>1</v>
      </c>
      <c r="C20832" s="6" t="s">
        <v>1</v>
      </c>
    </row>
    <row r="20833" spans="1:3" s="7" customFormat="1" x14ac:dyDescent="0.2">
      <c r="A20833" s="6" t="str">
        <f>"ADGRG6"</f>
        <v>ADGRG6</v>
      </c>
      <c r="B20833" s="6" t="s">
        <v>1</v>
      </c>
      <c r="C20833" s="6" t="s">
        <v>1</v>
      </c>
    </row>
    <row r="20834" spans="1:3" s="7" customFormat="1" x14ac:dyDescent="0.2">
      <c r="A20834" s="6" t="str">
        <f>"GRIK2"</f>
        <v>GRIK2</v>
      </c>
      <c r="B20834" s="6" t="s">
        <v>1</v>
      </c>
      <c r="C20834" s="6" t="s">
        <v>1</v>
      </c>
    </row>
    <row r="20835" spans="1:3" s="7" customFormat="1" x14ac:dyDescent="0.2">
      <c r="A20835" s="6" t="str">
        <f>"FKBP14"</f>
        <v>FKBP14</v>
      </c>
      <c r="B20835" s="6" t="s">
        <v>1</v>
      </c>
      <c r="C20835" s="6" t="s">
        <v>1</v>
      </c>
    </row>
    <row r="20836" spans="1:3" s="7" customFormat="1" x14ac:dyDescent="0.2">
      <c r="A20836" s="6" t="str">
        <f>"LINC01003"</f>
        <v>LINC01003</v>
      </c>
      <c r="B20836" s="6" t="s">
        <v>1</v>
      </c>
      <c r="C20836" s="6" t="s">
        <v>1</v>
      </c>
    </row>
    <row r="20837" spans="1:3" s="7" customFormat="1" x14ac:dyDescent="0.2">
      <c r="A20837" s="6" t="str">
        <f>"EMILIN2"</f>
        <v>EMILIN2</v>
      </c>
      <c r="B20837" s="6" t="s">
        <v>1</v>
      </c>
      <c r="C20837" s="6" t="s">
        <v>1</v>
      </c>
    </row>
    <row r="20838" spans="1:3" s="7" customFormat="1" x14ac:dyDescent="0.2">
      <c r="A20838" s="6" t="str">
        <f>"P2RY11"</f>
        <v>P2RY11</v>
      </c>
      <c r="B20838" s="6" t="s">
        <v>1</v>
      </c>
      <c r="C20838" s="6" t="s">
        <v>1</v>
      </c>
    </row>
    <row r="20839" spans="1:3" s="7" customFormat="1" x14ac:dyDescent="0.2">
      <c r="A20839" s="6" t="str">
        <f>"ALKBH2"</f>
        <v>ALKBH2</v>
      </c>
      <c r="B20839" s="6" t="s">
        <v>1</v>
      </c>
      <c r="C20839" s="6" t="s">
        <v>1</v>
      </c>
    </row>
    <row r="20840" spans="1:3" s="7" customFormat="1" x14ac:dyDescent="0.2">
      <c r="A20840" s="6" t="str">
        <f>"REM1"</f>
        <v>REM1</v>
      </c>
      <c r="B20840" s="6" t="s">
        <v>1</v>
      </c>
      <c r="C20840" s="6" t="s">
        <v>1</v>
      </c>
    </row>
    <row r="20841" spans="1:3" s="7" customFormat="1" x14ac:dyDescent="0.2">
      <c r="A20841" s="6" t="str">
        <f>"FANCL"</f>
        <v>FANCL</v>
      </c>
      <c r="B20841" s="6" t="s">
        <v>1</v>
      </c>
      <c r="C20841" s="6" t="s">
        <v>1</v>
      </c>
    </row>
    <row r="20842" spans="1:3" s="7" customFormat="1" x14ac:dyDescent="0.2">
      <c r="A20842" s="6" t="str">
        <f>"IGF1"</f>
        <v>IGF1</v>
      </c>
      <c r="B20842" s="6" t="s">
        <v>1</v>
      </c>
      <c r="C20842" s="6" t="s">
        <v>1</v>
      </c>
    </row>
    <row r="20843" spans="1:3" s="7" customFormat="1" x14ac:dyDescent="0.2">
      <c r="A20843" s="6" t="str">
        <f>"ALKBH8"</f>
        <v>ALKBH8</v>
      </c>
      <c r="B20843" s="6" t="s">
        <v>1</v>
      </c>
      <c r="C20843" s="6" t="s">
        <v>1</v>
      </c>
    </row>
    <row r="20844" spans="1:3" s="7" customFormat="1" x14ac:dyDescent="0.2">
      <c r="A20844" s="6" t="str">
        <f>"TRIM23"</f>
        <v>TRIM23</v>
      </c>
      <c r="B20844" s="6" t="s">
        <v>1</v>
      </c>
      <c r="C20844" s="6" t="s">
        <v>1</v>
      </c>
    </row>
    <row r="20845" spans="1:3" s="7" customFormat="1" x14ac:dyDescent="0.2">
      <c r="A20845" s="6" t="str">
        <f>"DNAJC24"</f>
        <v>DNAJC24</v>
      </c>
      <c r="B20845" s="6" t="s">
        <v>1</v>
      </c>
      <c r="C20845" s="6" t="s">
        <v>1</v>
      </c>
    </row>
    <row r="20846" spans="1:3" s="7" customFormat="1" x14ac:dyDescent="0.2">
      <c r="A20846" s="6" t="str">
        <f>"SACS"</f>
        <v>SACS</v>
      </c>
      <c r="B20846" s="6" t="s">
        <v>1</v>
      </c>
      <c r="C20846" s="6" t="s">
        <v>1</v>
      </c>
    </row>
    <row r="20847" spans="1:3" s="7" customFormat="1" x14ac:dyDescent="0.2">
      <c r="A20847" s="6" t="str">
        <f>"HMGN2P5"</f>
        <v>HMGN2P5</v>
      </c>
      <c r="B20847" s="6" t="s">
        <v>1</v>
      </c>
      <c r="C20847" s="6" t="s">
        <v>1</v>
      </c>
    </row>
    <row r="20848" spans="1:3" s="7" customFormat="1" x14ac:dyDescent="0.2">
      <c r="A20848" s="6" t="str">
        <f>"NPHP3"</f>
        <v>NPHP3</v>
      </c>
      <c r="B20848" s="6" t="s">
        <v>1</v>
      </c>
      <c r="C20848" s="6" t="s">
        <v>1</v>
      </c>
    </row>
    <row r="20849" spans="1:3" s="7" customFormat="1" x14ac:dyDescent="0.2">
      <c r="A20849" s="6" t="str">
        <f>"SLC25A45"</f>
        <v>SLC25A45</v>
      </c>
      <c r="B20849" s="6" t="s">
        <v>1</v>
      </c>
      <c r="C20849" s="6" t="s">
        <v>1</v>
      </c>
    </row>
    <row r="20850" spans="1:3" s="7" customFormat="1" x14ac:dyDescent="0.2">
      <c r="A20850" s="6" t="str">
        <f>"TBC1D10C"</f>
        <v>TBC1D10C</v>
      </c>
      <c r="B20850" s="6" t="s">
        <v>1</v>
      </c>
      <c r="C20850" s="6" t="s">
        <v>1</v>
      </c>
    </row>
    <row r="20851" spans="1:3" s="7" customFormat="1" x14ac:dyDescent="0.2">
      <c r="A20851" s="6" t="str">
        <f>"GPT"</f>
        <v>GPT</v>
      </c>
      <c r="B20851" s="6" t="s">
        <v>1</v>
      </c>
      <c r="C20851" s="6" t="s">
        <v>1</v>
      </c>
    </row>
    <row r="20852" spans="1:3" s="7" customFormat="1" x14ac:dyDescent="0.2">
      <c r="A20852" s="6" t="str">
        <f>"TGFB3"</f>
        <v>TGFB3</v>
      </c>
      <c r="B20852" s="6" t="s">
        <v>1</v>
      </c>
      <c r="C20852" s="6" t="s">
        <v>1</v>
      </c>
    </row>
    <row r="20853" spans="1:3" s="7" customFormat="1" x14ac:dyDescent="0.2">
      <c r="A20853" s="6" t="str">
        <f>"THAP7-AS1"</f>
        <v>THAP7-AS1</v>
      </c>
      <c r="B20853" s="6" t="s">
        <v>1</v>
      </c>
      <c r="C20853" s="6" t="s">
        <v>1</v>
      </c>
    </row>
    <row r="20854" spans="1:3" s="7" customFormat="1" x14ac:dyDescent="0.2">
      <c r="A20854" s="6" t="str">
        <f>"FAM86C1P"</f>
        <v>FAM86C1P</v>
      </c>
      <c r="B20854" s="6" t="s">
        <v>1</v>
      </c>
      <c r="C20854" s="6" t="s">
        <v>1</v>
      </c>
    </row>
    <row r="20855" spans="1:3" s="7" customFormat="1" x14ac:dyDescent="0.2">
      <c r="A20855" s="6" t="str">
        <f>"TMEM150A"</f>
        <v>TMEM150A</v>
      </c>
      <c r="B20855" s="6" t="s">
        <v>1</v>
      </c>
      <c r="C20855" s="6" t="s">
        <v>1</v>
      </c>
    </row>
    <row r="20856" spans="1:3" s="7" customFormat="1" x14ac:dyDescent="0.2">
      <c r="A20856" s="6" t="str">
        <f>"AL031587.5"</f>
        <v>AL031587.5</v>
      </c>
      <c r="B20856" s="6" t="s">
        <v>1</v>
      </c>
      <c r="C20856" s="6" t="s">
        <v>1</v>
      </c>
    </row>
    <row r="20857" spans="1:3" s="7" customFormat="1" x14ac:dyDescent="0.2">
      <c r="A20857" s="6" t="str">
        <f>"AC007262.2"</f>
        <v>AC007262.2</v>
      </c>
      <c r="B20857" s="6" t="s">
        <v>1</v>
      </c>
      <c r="C20857" s="6" t="s">
        <v>1</v>
      </c>
    </row>
    <row r="20858" spans="1:3" s="7" customFormat="1" x14ac:dyDescent="0.2">
      <c r="A20858" s="6" t="str">
        <f>"KLHL32"</f>
        <v>KLHL32</v>
      </c>
      <c r="B20858" s="6" t="s">
        <v>1</v>
      </c>
      <c r="C20858" s="6" t="s">
        <v>1</v>
      </c>
    </row>
    <row r="20859" spans="1:3" s="7" customFormat="1" x14ac:dyDescent="0.2">
      <c r="A20859" s="6" t="str">
        <f>"KLHL15"</f>
        <v>KLHL15</v>
      </c>
      <c r="B20859" s="6" t="s">
        <v>1</v>
      </c>
      <c r="C20859" s="6" t="s">
        <v>1</v>
      </c>
    </row>
    <row r="20860" spans="1:3" s="7" customFormat="1" x14ac:dyDescent="0.2">
      <c r="A20860" s="6" t="str">
        <f>"TNFSF12"</f>
        <v>TNFSF12</v>
      </c>
      <c r="B20860" s="6" t="s">
        <v>1</v>
      </c>
      <c r="C20860" s="6" t="s">
        <v>1</v>
      </c>
    </row>
    <row r="20861" spans="1:3" s="7" customFormat="1" x14ac:dyDescent="0.2">
      <c r="A20861" s="6" t="str">
        <f>"LEKR1"</f>
        <v>LEKR1</v>
      </c>
      <c r="B20861" s="6" t="s">
        <v>1</v>
      </c>
      <c r="C20861" s="6" t="s">
        <v>1</v>
      </c>
    </row>
    <row r="20862" spans="1:3" s="7" customFormat="1" x14ac:dyDescent="0.2">
      <c r="A20862" s="6" t="str">
        <f>"SELP"</f>
        <v>SELP</v>
      </c>
      <c r="B20862" s="6" t="s">
        <v>1</v>
      </c>
      <c r="C20862" s="6" t="s">
        <v>1</v>
      </c>
    </row>
    <row r="20863" spans="1:3" s="7" customFormat="1" x14ac:dyDescent="0.2">
      <c r="A20863" s="6" t="str">
        <f>"EEF1AKMT3"</f>
        <v>EEF1AKMT3</v>
      </c>
      <c r="B20863" s="6" t="s">
        <v>1</v>
      </c>
      <c r="C20863" s="6" t="s">
        <v>1</v>
      </c>
    </row>
    <row r="20864" spans="1:3" s="7" customFormat="1" x14ac:dyDescent="0.2">
      <c r="A20864" s="6" t="str">
        <f>"TNFSF13B"</f>
        <v>TNFSF13B</v>
      </c>
      <c r="B20864" s="6" t="s">
        <v>1</v>
      </c>
      <c r="C20864" s="6" t="s">
        <v>1</v>
      </c>
    </row>
    <row r="20865" spans="1:3" s="7" customFormat="1" x14ac:dyDescent="0.2">
      <c r="A20865" s="6" t="str">
        <f>"AC007114.1"</f>
        <v>AC007114.1</v>
      </c>
      <c r="B20865" s="6" t="s">
        <v>1</v>
      </c>
      <c r="C20865" s="6" t="s">
        <v>1</v>
      </c>
    </row>
    <row r="20866" spans="1:3" s="7" customFormat="1" x14ac:dyDescent="0.2">
      <c r="A20866" s="6" t="str">
        <f>"AC107959.1"</f>
        <v>AC107959.1</v>
      </c>
      <c r="B20866" s="6" t="s">
        <v>1</v>
      </c>
      <c r="C20866" s="6" t="s">
        <v>1</v>
      </c>
    </row>
    <row r="20867" spans="1:3" s="7" customFormat="1" x14ac:dyDescent="0.2">
      <c r="A20867" s="6" t="str">
        <f>"MIR34AHG"</f>
        <v>MIR34AHG</v>
      </c>
      <c r="B20867" s="6" t="s">
        <v>1</v>
      </c>
      <c r="C20867" s="6" t="s">
        <v>1</v>
      </c>
    </row>
    <row r="20868" spans="1:3" s="7" customFormat="1" x14ac:dyDescent="0.2">
      <c r="A20868" s="6" t="str">
        <f>"C3orf14"</f>
        <v>C3orf14</v>
      </c>
      <c r="B20868" s="6" t="s">
        <v>1</v>
      </c>
      <c r="C20868" s="6" t="s">
        <v>1</v>
      </c>
    </row>
    <row r="20869" spans="1:3" s="7" customFormat="1" x14ac:dyDescent="0.2">
      <c r="A20869" s="6" t="str">
        <f>"ZNF626"</f>
        <v>ZNF626</v>
      </c>
      <c r="B20869" s="6" t="s">
        <v>1</v>
      </c>
      <c r="C20869" s="6" t="s">
        <v>1</v>
      </c>
    </row>
    <row r="20870" spans="1:3" s="7" customFormat="1" x14ac:dyDescent="0.2">
      <c r="A20870" s="6" t="str">
        <f>"TRDMT1"</f>
        <v>TRDMT1</v>
      </c>
      <c r="B20870" s="6" t="s">
        <v>1</v>
      </c>
      <c r="C20870" s="6" t="s">
        <v>1</v>
      </c>
    </row>
    <row r="20871" spans="1:3" s="7" customFormat="1" x14ac:dyDescent="0.2">
      <c r="A20871" s="6" t="str">
        <f>"KAZALD1"</f>
        <v>KAZALD1</v>
      </c>
      <c r="B20871" s="6" t="s">
        <v>1</v>
      </c>
      <c r="C20871" s="6" t="s">
        <v>1</v>
      </c>
    </row>
    <row r="20872" spans="1:3" s="7" customFormat="1" x14ac:dyDescent="0.2">
      <c r="A20872" s="6" t="str">
        <f>"SHF"</f>
        <v>SHF</v>
      </c>
      <c r="B20872" s="6" t="s">
        <v>1</v>
      </c>
      <c r="C20872" s="6" t="s">
        <v>1</v>
      </c>
    </row>
    <row r="20873" spans="1:3" s="7" customFormat="1" x14ac:dyDescent="0.2">
      <c r="A20873" s="6" t="str">
        <f>"ZC3HC1"</f>
        <v>ZC3HC1</v>
      </c>
      <c r="B20873" s="6" t="s">
        <v>1</v>
      </c>
      <c r="C20873" s="6" t="s">
        <v>1</v>
      </c>
    </row>
    <row r="20874" spans="1:3" s="7" customFormat="1" x14ac:dyDescent="0.2">
      <c r="A20874" s="6" t="str">
        <f>"AC068448.1"</f>
        <v>AC068448.1</v>
      </c>
      <c r="B20874" s="6" t="s">
        <v>1</v>
      </c>
      <c r="C20874" s="6" t="s">
        <v>1</v>
      </c>
    </row>
    <row r="20875" spans="1:3" s="7" customFormat="1" x14ac:dyDescent="0.2">
      <c r="A20875" s="6" t="str">
        <f>"DNAJC27"</f>
        <v>DNAJC27</v>
      </c>
      <c r="B20875" s="6" t="s">
        <v>1</v>
      </c>
      <c r="C20875" s="6" t="s">
        <v>1</v>
      </c>
    </row>
    <row r="20876" spans="1:3" s="7" customFormat="1" x14ac:dyDescent="0.2">
      <c r="A20876" s="6" t="str">
        <f>"MAFG-DT"</f>
        <v>MAFG-DT</v>
      </c>
      <c r="B20876" s="6" t="s">
        <v>1</v>
      </c>
      <c r="C20876" s="6" t="s">
        <v>1</v>
      </c>
    </row>
    <row r="20877" spans="1:3" s="7" customFormat="1" x14ac:dyDescent="0.2">
      <c r="A20877" s="6" t="str">
        <f>"TMEM126A"</f>
        <v>TMEM126A</v>
      </c>
      <c r="B20877" s="6" t="s">
        <v>1</v>
      </c>
      <c r="C20877" s="6" t="s">
        <v>1</v>
      </c>
    </row>
    <row r="20878" spans="1:3" s="7" customFormat="1" x14ac:dyDescent="0.2">
      <c r="A20878" s="6" t="str">
        <f>"AC022007.1"</f>
        <v>AC022007.1</v>
      </c>
      <c r="B20878" s="6" t="s">
        <v>1</v>
      </c>
      <c r="C20878" s="6" t="s">
        <v>1</v>
      </c>
    </row>
    <row r="20879" spans="1:3" s="7" customFormat="1" x14ac:dyDescent="0.2">
      <c r="A20879" s="6" t="str">
        <f>"NEK3"</f>
        <v>NEK3</v>
      </c>
      <c r="B20879" s="6" t="s">
        <v>1</v>
      </c>
      <c r="C20879" s="6" t="s">
        <v>1</v>
      </c>
    </row>
    <row r="20880" spans="1:3" s="7" customFormat="1" x14ac:dyDescent="0.2">
      <c r="A20880" s="6" t="str">
        <f>"POU6F1"</f>
        <v>POU6F1</v>
      </c>
      <c r="B20880" s="6" t="s">
        <v>1</v>
      </c>
      <c r="C20880" s="6" t="s">
        <v>1</v>
      </c>
    </row>
    <row r="20881" spans="1:3" s="7" customFormat="1" x14ac:dyDescent="0.2">
      <c r="A20881" s="6" t="str">
        <f>"VGLL1"</f>
        <v>VGLL1</v>
      </c>
      <c r="B20881" s="6" t="s">
        <v>1</v>
      </c>
      <c r="C20881" s="6" t="s">
        <v>1</v>
      </c>
    </row>
    <row r="20882" spans="1:3" s="7" customFormat="1" x14ac:dyDescent="0.2">
      <c r="A20882" s="6" t="str">
        <f>"ZSWIM5"</f>
        <v>ZSWIM5</v>
      </c>
      <c r="B20882" s="6" t="s">
        <v>1</v>
      </c>
      <c r="C20882" s="6" t="s">
        <v>1</v>
      </c>
    </row>
    <row r="20883" spans="1:3" s="7" customFormat="1" x14ac:dyDescent="0.2">
      <c r="A20883" s="6" t="str">
        <f>"LIAS"</f>
        <v>LIAS</v>
      </c>
      <c r="B20883" s="6" t="s">
        <v>1</v>
      </c>
      <c r="C20883" s="6" t="s">
        <v>1</v>
      </c>
    </row>
    <row r="20884" spans="1:3" s="7" customFormat="1" x14ac:dyDescent="0.2">
      <c r="A20884" s="6" t="str">
        <f>"BTBD11"</f>
        <v>BTBD11</v>
      </c>
      <c r="B20884" s="6" t="s">
        <v>1</v>
      </c>
      <c r="C20884" s="6" t="s">
        <v>1</v>
      </c>
    </row>
    <row r="20885" spans="1:3" s="7" customFormat="1" x14ac:dyDescent="0.2">
      <c r="A20885" s="6" t="str">
        <f>"CENATAC"</f>
        <v>CENATAC</v>
      </c>
      <c r="B20885" s="6" t="s">
        <v>1</v>
      </c>
      <c r="C20885" s="6" t="s">
        <v>1</v>
      </c>
    </row>
    <row r="20886" spans="1:3" s="7" customFormat="1" x14ac:dyDescent="0.2">
      <c r="A20886" s="6" t="str">
        <f>"RAD51D"</f>
        <v>RAD51D</v>
      </c>
      <c r="B20886" s="6" t="s">
        <v>1</v>
      </c>
      <c r="C20886" s="6" t="s">
        <v>1</v>
      </c>
    </row>
    <row r="20887" spans="1:3" s="7" customFormat="1" x14ac:dyDescent="0.2">
      <c r="A20887" s="6" t="str">
        <f>"EMC9"</f>
        <v>EMC9</v>
      </c>
      <c r="B20887" s="6" t="s">
        <v>1</v>
      </c>
      <c r="C20887" s="6" t="s">
        <v>1</v>
      </c>
    </row>
    <row r="20888" spans="1:3" s="7" customFormat="1" x14ac:dyDescent="0.2">
      <c r="A20888" s="6" t="str">
        <f>"MLKL"</f>
        <v>MLKL</v>
      </c>
      <c r="B20888" s="6" t="s">
        <v>1</v>
      </c>
      <c r="C20888" s="6" t="s">
        <v>1</v>
      </c>
    </row>
    <row r="20889" spans="1:3" s="7" customFormat="1" x14ac:dyDescent="0.2">
      <c r="A20889" s="6" t="str">
        <f>"AQP4-AS1"</f>
        <v>AQP4-AS1</v>
      </c>
      <c r="B20889" s="6" t="s">
        <v>1</v>
      </c>
      <c r="C20889" s="6" t="s">
        <v>1</v>
      </c>
    </row>
    <row r="20890" spans="1:3" s="7" customFormat="1" x14ac:dyDescent="0.2">
      <c r="A20890" s="6" t="str">
        <f>"AL353660.1"</f>
        <v>AL353660.1</v>
      </c>
      <c r="B20890" s="6" t="s">
        <v>1</v>
      </c>
      <c r="C20890" s="6" t="s">
        <v>1</v>
      </c>
    </row>
    <row r="20891" spans="1:3" s="7" customFormat="1" x14ac:dyDescent="0.2">
      <c r="A20891" s="6" t="str">
        <f>"LONRF2"</f>
        <v>LONRF2</v>
      </c>
      <c r="B20891" s="6" t="s">
        <v>1</v>
      </c>
      <c r="C20891" s="6" t="s">
        <v>1</v>
      </c>
    </row>
    <row r="20892" spans="1:3" s="7" customFormat="1" x14ac:dyDescent="0.2">
      <c r="A20892" s="6" t="str">
        <f>"SLC25A51"</f>
        <v>SLC25A51</v>
      </c>
      <c r="B20892" s="6" t="s">
        <v>1</v>
      </c>
      <c r="C20892" s="6" t="s">
        <v>1</v>
      </c>
    </row>
    <row r="20893" spans="1:3" s="7" customFormat="1" x14ac:dyDescent="0.2">
      <c r="A20893" s="6" t="str">
        <f>"GLI2"</f>
        <v>GLI2</v>
      </c>
      <c r="B20893" s="6" t="s">
        <v>1</v>
      </c>
      <c r="C20893" s="6" t="s">
        <v>1</v>
      </c>
    </row>
    <row r="20894" spans="1:3" s="7" customFormat="1" x14ac:dyDescent="0.2">
      <c r="A20894" s="6" t="str">
        <f>"DOCK11"</f>
        <v>DOCK11</v>
      </c>
      <c r="B20894" s="6" t="s">
        <v>1</v>
      </c>
      <c r="C20894" s="6" t="s">
        <v>1</v>
      </c>
    </row>
    <row r="20895" spans="1:3" s="7" customFormat="1" x14ac:dyDescent="0.2">
      <c r="A20895" s="6" t="str">
        <f>"ZSWIM9"</f>
        <v>ZSWIM9</v>
      </c>
      <c r="B20895" s="6" t="s">
        <v>1</v>
      </c>
      <c r="C20895" s="6" t="s">
        <v>1</v>
      </c>
    </row>
    <row r="20896" spans="1:3" s="7" customFormat="1" x14ac:dyDescent="0.2">
      <c r="A20896" s="6" t="str">
        <f>"FANCA"</f>
        <v>FANCA</v>
      </c>
      <c r="B20896" s="6" t="s">
        <v>1</v>
      </c>
      <c r="C20896" s="6" t="s">
        <v>1</v>
      </c>
    </row>
    <row r="20897" spans="1:3" s="7" customFormat="1" x14ac:dyDescent="0.2">
      <c r="A20897" s="6" t="str">
        <f>"B4GAT1"</f>
        <v>B4GAT1</v>
      </c>
      <c r="B20897" s="6" t="s">
        <v>1</v>
      </c>
      <c r="C20897" s="6" t="s">
        <v>1</v>
      </c>
    </row>
    <row r="20898" spans="1:3" s="7" customFormat="1" x14ac:dyDescent="0.2">
      <c r="A20898" s="6" t="str">
        <f>"CECR7"</f>
        <v>CECR7</v>
      </c>
      <c r="B20898" s="6" t="s">
        <v>1</v>
      </c>
      <c r="C20898" s="6" t="s">
        <v>1</v>
      </c>
    </row>
    <row r="20899" spans="1:3" s="7" customFormat="1" x14ac:dyDescent="0.2">
      <c r="A20899" s="6" t="str">
        <f>"ZNF585A"</f>
        <v>ZNF585A</v>
      </c>
      <c r="B20899" s="6" t="s">
        <v>1</v>
      </c>
      <c r="C20899" s="6" t="s">
        <v>1</v>
      </c>
    </row>
    <row r="20900" spans="1:3" s="7" customFormat="1" x14ac:dyDescent="0.2">
      <c r="A20900" s="6" t="str">
        <f>"P3H3"</f>
        <v>P3H3</v>
      </c>
      <c r="B20900" s="6" t="s">
        <v>1</v>
      </c>
      <c r="C20900" s="6" t="s">
        <v>1</v>
      </c>
    </row>
    <row r="20901" spans="1:3" s="7" customFormat="1" x14ac:dyDescent="0.2">
      <c r="A20901" s="6" t="str">
        <f>"ALG1L"</f>
        <v>ALG1L</v>
      </c>
      <c r="B20901" s="6" t="s">
        <v>1</v>
      </c>
      <c r="C20901" s="6" t="s">
        <v>1</v>
      </c>
    </row>
    <row r="20902" spans="1:3" s="7" customFormat="1" x14ac:dyDescent="0.2">
      <c r="A20902" s="6" t="str">
        <f>"AC013470.2"</f>
        <v>AC013470.2</v>
      </c>
      <c r="B20902" s="6" t="s">
        <v>1</v>
      </c>
      <c r="C20902" s="6" t="s">
        <v>1</v>
      </c>
    </row>
    <row r="20903" spans="1:3" s="7" customFormat="1" x14ac:dyDescent="0.2">
      <c r="A20903" s="6" t="str">
        <f>"NOS1AP"</f>
        <v>NOS1AP</v>
      </c>
      <c r="B20903" s="6" t="s">
        <v>1</v>
      </c>
      <c r="C20903" s="6" t="s">
        <v>1</v>
      </c>
    </row>
    <row r="20904" spans="1:3" s="7" customFormat="1" x14ac:dyDescent="0.2">
      <c r="A20904" s="6" t="str">
        <f>"C2orf42"</f>
        <v>C2orf42</v>
      </c>
      <c r="B20904" s="6" t="s">
        <v>1</v>
      </c>
      <c r="C20904" s="6" t="s">
        <v>1</v>
      </c>
    </row>
    <row r="20905" spans="1:3" s="7" customFormat="1" x14ac:dyDescent="0.2">
      <c r="A20905" s="6" t="str">
        <f>"BATF"</f>
        <v>BATF</v>
      </c>
      <c r="B20905" s="6" t="s">
        <v>1</v>
      </c>
      <c r="C20905" s="6" t="s">
        <v>1</v>
      </c>
    </row>
    <row r="20906" spans="1:3" s="7" customFormat="1" x14ac:dyDescent="0.2">
      <c r="A20906" s="6" t="str">
        <f>"GLT1D1"</f>
        <v>GLT1D1</v>
      </c>
      <c r="B20906" s="6" t="s">
        <v>1</v>
      </c>
      <c r="C20906" s="6" t="s">
        <v>1</v>
      </c>
    </row>
    <row r="20907" spans="1:3" s="7" customFormat="1" x14ac:dyDescent="0.2">
      <c r="A20907" s="6" t="str">
        <f>"ENTPD8"</f>
        <v>ENTPD8</v>
      </c>
      <c r="B20907" s="6" t="s">
        <v>1</v>
      </c>
      <c r="C20907" s="6" t="s">
        <v>1</v>
      </c>
    </row>
    <row r="20908" spans="1:3" s="7" customFormat="1" x14ac:dyDescent="0.2">
      <c r="A20908" s="6" t="str">
        <f>"ZWINT"</f>
        <v>ZWINT</v>
      </c>
      <c r="B20908" s="6" t="s">
        <v>1</v>
      </c>
      <c r="C20908" s="6" t="s">
        <v>1</v>
      </c>
    </row>
    <row r="20909" spans="1:3" s="7" customFormat="1" x14ac:dyDescent="0.2">
      <c r="A20909" s="6" t="str">
        <f>"AC023157.2"</f>
        <v>AC023157.2</v>
      </c>
      <c r="B20909" s="6" t="s">
        <v>1</v>
      </c>
      <c r="C20909" s="6" t="s">
        <v>1</v>
      </c>
    </row>
    <row r="20910" spans="1:3" s="7" customFormat="1" x14ac:dyDescent="0.2">
      <c r="A20910" s="6" t="str">
        <f>"GALK1"</f>
        <v>GALK1</v>
      </c>
      <c r="B20910" s="6" t="s">
        <v>1</v>
      </c>
      <c r="C20910" s="6" t="s">
        <v>1</v>
      </c>
    </row>
    <row r="20911" spans="1:3" s="7" customFormat="1" x14ac:dyDescent="0.2">
      <c r="A20911" s="6" t="str">
        <f>"MAILR"</f>
        <v>MAILR</v>
      </c>
      <c r="B20911" s="6" t="s">
        <v>1</v>
      </c>
      <c r="C20911" s="6" t="s">
        <v>1</v>
      </c>
    </row>
    <row r="20912" spans="1:3" s="7" customFormat="1" x14ac:dyDescent="0.2">
      <c r="A20912" s="6" t="str">
        <f>"RNF128"</f>
        <v>RNF128</v>
      </c>
      <c r="B20912" s="6" t="s">
        <v>1</v>
      </c>
      <c r="C20912" s="6" t="s">
        <v>1</v>
      </c>
    </row>
    <row r="20913" spans="1:3" s="7" customFormat="1" x14ac:dyDescent="0.2">
      <c r="A20913" s="6" t="str">
        <f>"CYP2R1"</f>
        <v>CYP2R1</v>
      </c>
      <c r="B20913" s="6" t="s">
        <v>1</v>
      </c>
      <c r="C20913" s="6" t="s">
        <v>1</v>
      </c>
    </row>
    <row r="20914" spans="1:3" s="7" customFormat="1" x14ac:dyDescent="0.2">
      <c r="A20914" s="6" t="str">
        <f>"ADRB2"</f>
        <v>ADRB2</v>
      </c>
      <c r="B20914" s="6" t="s">
        <v>1</v>
      </c>
      <c r="C20914" s="6" t="s">
        <v>1</v>
      </c>
    </row>
    <row r="20915" spans="1:3" s="7" customFormat="1" x14ac:dyDescent="0.2">
      <c r="A20915" s="6" t="str">
        <f>"TBC1D12"</f>
        <v>TBC1D12</v>
      </c>
      <c r="B20915" s="6" t="s">
        <v>1</v>
      </c>
      <c r="C20915" s="6" t="s">
        <v>1</v>
      </c>
    </row>
    <row r="20916" spans="1:3" s="7" customFormat="1" x14ac:dyDescent="0.2">
      <c r="A20916" s="6" t="str">
        <f>"PTP4A3"</f>
        <v>PTP4A3</v>
      </c>
      <c r="B20916" s="6" t="s">
        <v>1</v>
      </c>
      <c r="C20916" s="6" t="s">
        <v>1</v>
      </c>
    </row>
    <row r="20917" spans="1:3" s="7" customFormat="1" x14ac:dyDescent="0.2">
      <c r="A20917" s="6" t="str">
        <f>"CHRNB1"</f>
        <v>CHRNB1</v>
      </c>
      <c r="B20917" s="6" t="s">
        <v>1</v>
      </c>
      <c r="C20917" s="6" t="s">
        <v>1</v>
      </c>
    </row>
    <row r="20918" spans="1:3" s="7" customFormat="1" x14ac:dyDescent="0.2">
      <c r="A20918" s="6" t="str">
        <f>"LINC02210"</f>
        <v>LINC02210</v>
      </c>
      <c r="B20918" s="6" t="s">
        <v>1</v>
      </c>
      <c r="C20918" s="6" t="s">
        <v>1</v>
      </c>
    </row>
    <row r="20919" spans="1:3" s="7" customFormat="1" x14ac:dyDescent="0.2">
      <c r="A20919" s="6" t="str">
        <f>"KCND3"</f>
        <v>KCND3</v>
      </c>
      <c r="B20919" s="6" t="s">
        <v>1</v>
      </c>
      <c r="C20919" s="6" t="s">
        <v>1</v>
      </c>
    </row>
    <row r="20920" spans="1:3" s="7" customFormat="1" x14ac:dyDescent="0.2">
      <c r="A20920" s="6" t="str">
        <f>"FLI1"</f>
        <v>FLI1</v>
      </c>
      <c r="B20920" s="6" t="s">
        <v>1</v>
      </c>
      <c r="C20920" s="6" t="s">
        <v>1</v>
      </c>
    </row>
    <row r="20921" spans="1:3" s="7" customFormat="1" x14ac:dyDescent="0.2">
      <c r="A20921" s="6" t="str">
        <f>"MZF1-AS1"</f>
        <v>MZF1-AS1</v>
      </c>
      <c r="B20921" s="6" t="s">
        <v>1</v>
      </c>
      <c r="C20921" s="6" t="s">
        <v>1</v>
      </c>
    </row>
    <row r="20922" spans="1:3" s="7" customFormat="1" x14ac:dyDescent="0.2">
      <c r="A20922" s="6" t="str">
        <f>"KLHL25"</f>
        <v>KLHL25</v>
      </c>
      <c r="B20922" s="6" t="s">
        <v>1</v>
      </c>
      <c r="C20922" s="6" t="s">
        <v>1</v>
      </c>
    </row>
    <row r="20923" spans="1:3" s="7" customFormat="1" x14ac:dyDescent="0.2">
      <c r="A20923" s="6" t="str">
        <f>"ZNF595"</f>
        <v>ZNF595</v>
      </c>
      <c r="B20923" s="6" t="s">
        <v>1</v>
      </c>
      <c r="C20923" s="6" t="s">
        <v>1</v>
      </c>
    </row>
    <row r="20924" spans="1:3" s="7" customFormat="1" x14ac:dyDescent="0.2">
      <c r="A20924" s="6" t="str">
        <f>"SLC2A11"</f>
        <v>SLC2A11</v>
      </c>
      <c r="B20924" s="6" t="s">
        <v>1</v>
      </c>
      <c r="C20924" s="6" t="s">
        <v>1</v>
      </c>
    </row>
    <row r="20925" spans="1:3" s="7" customFormat="1" x14ac:dyDescent="0.2">
      <c r="A20925" s="6" t="str">
        <f>"MIS18A"</f>
        <v>MIS18A</v>
      </c>
      <c r="B20925" s="6" t="s">
        <v>1</v>
      </c>
      <c r="C20925" s="6" t="s">
        <v>1</v>
      </c>
    </row>
    <row r="20926" spans="1:3" s="7" customFormat="1" x14ac:dyDescent="0.2">
      <c r="A20926" s="6" t="str">
        <f>"FADS1"</f>
        <v>FADS1</v>
      </c>
      <c r="B20926" s="6" t="s">
        <v>1</v>
      </c>
      <c r="C20926" s="6" t="s">
        <v>1</v>
      </c>
    </row>
    <row r="20927" spans="1:3" s="7" customFormat="1" x14ac:dyDescent="0.2">
      <c r="A20927" s="6" t="str">
        <f>"DNMBP-AS1"</f>
        <v>DNMBP-AS1</v>
      </c>
      <c r="B20927" s="6" t="s">
        <v>1</v>
      </c>
      <c r="C20927" s="6" t="s">
        <v>1</v>
      </c>
    </row>
    <row r="20928" spans="1:3" s="7" customFormat="1" x14ac:dyDescent="0.2">
      <c r="A20928" s="6" t="str">
        <f>"FANCD2"</f>
        <v>FANCD2</v>
      </c>
      <c r="B20928" s="6" t="s">
        <v>1</v>
      </c>
      <c r="C20928" s="6" t="s">
        <v>1</v>
      </c>
    </row>
    <row r="20929" spans="1:3" s="7" customFormat="1" x14ac:dyDescent="0.2">
      <c r="A20929" s="6" t="str">
        <f>"PHOSPHO1"</f>
        <v>PHOSPHO1</v>
      </c>
      <c r="B20929" s="6" t="s">
        <v>1</v>
      </c>
      <c r="C20929" s="6" t="s">
        <v>1</v>
      </c>
    </row>
    <row r="20930" spans="1:3" s="7" customFormat="1" x14ac:dyDescent="0.2">
      <c r="A20930" s="6" t="str">
        <f>"SLC29A2"</f>
        <v>SLC29A2</v>
      </c>
      <c r="B20930" s="6" t="s">
        <v>1</v>
      </c>
      <c r="C20930" s="6" t="s">
        <v>1</v>
      </c>
    </row>
    <row r="20931" spans="1:3" s="7" customFormat="1" x14ac:dyDescent="0.2">
      <c r="A20931" s="6" t="str">
        <f>"AP000944.5"</f>
        <v>AP000944.5</v>
      </c>
      <c r="B20931" s="6" t="s">
        <v>1</v>
      </c>
      <c r="C20931" s="6" t="s">
        <v>1</v>
      </c>
    </row>
    <row r="20932" spans="1:3" s="7" customFormat="1" x14ac:dyDescent="0.2">
      <c r="A20932" s="6" t="str">
        <f>"CRISPLD2"</f>
        <v>CRISPLD2</v>
      </c>
      <c r="B20932" s="6" t="s">
        <v>1</v>
      </c>
      <c r="C20932" s="6" t="s">
        <v>1</v>
      </c>
    </row>
    <row r="20933" spans="1:3" s="7" customFormat="1" x14ac:dyDescent="0.2">
      <c r="A20933" s="6" t="str">
        <f>"ASPHD2"</f>
        <v>ASPHD2</v>
      </c>
      <c r="B20933" s="6" t="s">
        <v>1</v>
      </c>
      <c r="C20933" s="6" t="s">
        <v>1</v>
      </c>
    </row>
    <row r="20934" spans="1:3" s="7" customFormat="1" x14ac:dyDescent="0.2">
      <c r="A20934" s="6" t="str">
        <f>"CARD14"</f>
        <v>CARD14</v>
      </c>
      <c r="B20934" s="6" t="s">
        <v>1</v>
      </c>
      <c r="C20934" s="6" t="s">
        <v>1</v>
      </c>
    </row>
    <row r="20935" spans="1:3" s="7" customFormat="1" x14ac:dyDescent="0.2">
      <c r="A20935" s="6" t="str">
        <f>"TBC1D31"</f>
        <v>TBC1D31</v>
      </c>
      <c r="B20935" s="6" t="s">
        <v>1</v>
      </c>
      <c r="C20935" s="6" t="s">
        <v>1</v>
      </c>
    </row>
    <row r="20936" spans="1:3" s="7" customFormat="1" x14ac:dyDescent="0.2">
      <c r="A20936" s="6" t="str">
        <f>"MCUB"</f>
        <v>MCUB</v>
      </c>
      <c r="B20936" s="6" t="s">
        <v>1</v>
      </c>
      <c r="C20936" s="6" t="s">
        <v>1</v>
      </c>
    </row>
    <row r="20937" spans="1:3" s="7" customFormat="1" x14ac:dyDescent="0.2">
      <c r="A20937" s="6" t="str">
        <f>"MAIP1"</f>
        <v>MAIP1</v>
      </c>
      <c r="B20937" s="6" t="s">
        <v>1</v>
      </c>
      <c r="C20937" s="6" t="s">
        <v>1</v>
      </c>
    </row>
    <row r="20938" spans="1:3" s="7" customFormat="1" x14ac:dyDescent="0.2">
      <c r="A20938" s="6" t="str">
        <f>"ZWILCH"</f>
        <v>ZWILCH</v>
      </c>
      <c r="B20938" s="6" t="s">
        <v>1</v>
      </c>
      <c r="C20938" s="6" t="s">
        <v>1</v>
      </c>
    </row>
    <row r="20939" spans="1:3" s="7" customFormat="1" x14ac:dyDescent="0.2">
      <c r="A20939" s="6" t="str">
        <f>"KLHL13"</f>
        <v>KLHL13</v>
      </c>
      <c r="B20939" s="6" t="s">
        <v>1</v>
      </c>
      <c r="C20939" s="6" t="s">
        <v>1</v>
      </c>
    </row>
    <row r="20940" spans="1:3" s="7" customFormat="1" x14ac:dyDescent="0.2">
      <c r="A20940" s="6" t="str">
        <f>"AL133320.2"</f>
        <v>AL133320.2</v>
      </c>
      <c r="B20940" s="6" t="s">
        <v>1</v>
      </c>
      <c r="C20940" s="6" t="s">
        <v>1</v>
      </c>
    </row>
    <row r="20941" spans="1:3" s="7" customFormat="1" x14ac:dyDescent="0.2">
      <c r="A20941" s="6" t="str">
        <f>"IFITM10"</f>
        <v>IFITM10</v>
      </c>
      <c r="B20941" s="6" t="s">
        <v>1</v>
      </c>
      <c r="C20941" s="6" t="s">
        <v>1</v>
      </c>
    </row>
    <row r="20942" spans="1:3" s="7" customFormat="1" x14ac:dyDescent="0.2">
      <c r="A20942" s="6" t="str">
        <f>"LINC01123"</f>
        <v>LINC01123</v>
      </c>
      <c r="B20942" s="6" t="s">
        <v>1</v>
      </c>
      <c r="C20942" s="6" t="s">
        <v>1</v>
      </c>
    </row>
    <row r="20943" spans="1:3" s="7" customFormat="1" x14ac:dyDescent="0.2">
      <c r="A20943" s="6" t="str">
        <f>"FASTKD1"</f>
        <v>FASTKD1</v>
      </c>
      <c r="B20943" s="6" t="s">
        <v>1</v>
      </c>
      <c r="C20943" s="6" t="s">
        <v>1</v>
      </c>
    </row>
    <row r="20944" spans="1:3" s="7" customFormat="1" x14ac:dyDescent="0.2">
      <c r="A20944" s="6" t="str">
        <f>"DECR2"</f>
        <v>DECR2</v>
      </c>
      <c r="B20944" s="6" t="s">
        <v>1</v>
      </c>
      <c r="C20944" s="6" t="s">
        <v>1</v>
      </c>
    </row>
    <row r="20945" spans="1:3" s="7" customFormat="1" x14ac:dyDescent="0.2">
      <c r="A20945" s="6" t="str">
        <f>"CDT1"</f>
        <v>CDT1</v>
      </c>
      <c r="B20945" s="6" t="s">
        <v>1</v>
      </c>
      <c r="C20945" s="6" t="s">
        <v>1</v>
      </c>
    </row>
    <row r="20946" spans="1:3" s="7" customFormat="1" x14ac:dyDescent="0.2">
      <c r="A20946" s="6" t="str">
        <f>"AC108488.3"</f>
        <v>AC108488.3</v>
      </c>
      <c r="B20946" s="6" t="s">
        <v>1</v>
      </c>
      <c r="C20946" s="6" t="s">
        <v>1</v>
      </c>
    </row>
    <row r="20947" spans="1:3" s="7" customFormat="1" x14ac:dyDescent="0.2">
      <c r="A20947" s="6" t="str">
        <f>"FMC1"</f>
        <v>FMC1</v>
      </c>
      <c r="B20947" s="6" t="s">
        <v>1</v>
      </c>
      <c r="C20947" s="6" t="s">
        <v>1</v>
      </c>
    </row>
    <row r="20948" spans="1:3" s="7" customFormat="1" x14ac:dyDescent="0.2">
      <c r="A20948" s="6" t="str">
        <f>"LRCH1"</f>
        <v>LRCH1</v>
      </c>
      <c r="B20948" s="6" t="s">
        <v>1</v>
      </c>
      <c r="C20948" s="6" t="s">
        <v>1</v>
      </c>
    </row>
    <row r="20949" spans="1:3" s="7" customFormat="1" x14ac:dyDescent="0.2">
      <c r="A20949" s="6" t="str">
        <f>"SLX4"</f>
        <v>SLX4</v>
      </c>
      <c r="B20949" s="6" t="s">
        <v>1</v>
      </c>
      <c r="C20949" s="6" t="s">
        <v>1</v>
      </c>
    </row>
    <row r="20950" spans="1:3" s="7" customFormat="1" x14ac:dyDescent="0.2">
      <c r="A20950" s="6" t="str">
        <f>"PAG1"</f>
        <v>PAG1</v>
      </c>
      <c r="B20950" s="6" t="s">
        <v>1</v>
      </c>
      <c r="C20950" s="6" t="s">
        <v>1</v>
      </c>
    </row>
    <row r="20951" spans="1:3" s="7" customFormat="1" x14ac:dyDescent="0.2">
      <c r="A20951" s="6" t="str">
        <f>"BRF2"</f>
        <v>BRF2</v>
      </c>
      <c r="B20951" s="6" t="s">
        <v>1</v>
      </c>
      <c r="C20951" s="6" t="s">
        <v>1</v>
      </c>
    </row>
    <row r="20952" spans="1:3" s="7" customFormat="1" x14ac:dyDescent="0.2">
      <c r="A20952" s="6" t="str">
        <f>"C20orf27"</f>
        <v>C20orf27</v>
      </c>
      <c r="B20952" s="6" t="s">
        <v>1</v>
      </c>
      <c r="C20952" s="6" t="s">
        <v>1</v>
      </c>
    </row>
    <row r="20953" spans="1:3" s="7" customFormat="1" x14ac:dyDescent="0.2">
      <c r="A20953" s="6" t="str">
        <f>"AL135925.1"</f>
        <v>AL135925.1</v>
      </c>
      <c r="B20953" s="6" t="s">
        <v>1</v>
      </c>
      <c r="C20953" s="6" t="s">
        <v>1</v>
      </c>
    </row>
    <row r="20954" spans="1:3" s="7" customFormat="1" x14ac:dyDescent="0.2">
      <c r="A20954" s="6" t="str">
        <f>"BATF2"</f>
        <v>BATF2</v>
      </c>
      <c r="B20954" s="6" t="s">
        <v>1</v>
      </c>
      <c r="C20954" s="6" t="s">
        <v>1</v>
      </c>
    </row>
    <row r="20955" spans="1:3" s="7" customFormat="1" x14ac:dyDescent="0.2">
      <c r="A20955" s="6" t="str">
        <f>"TMEM140"</f>
        <v>TMEM140</v>
      </c>
      <c r="B20955" s="6" t="s">
        <v>1</v>
      </c>
      <c r="C20955" s="6" t="s">
        <v>1</v>
      </c>
    </row>
    <row r="20956" spans="1:3" s="7" customFormat="1" x14ac:dyDescent="0.2">
      <c r="A20956" s="6" t="str">
        <f>"AP000812.4"</f>
        <v>AP000812.4</v>
      </c>
      <c r="B20956" s="6" t="s">
        <v>1</v>
      </c>
      <c r="C20956" s="6" t="s">
        <v>1</v>
      </c>
    </row>
    <row r="20957" spans="1:3" s="7" customFormat="1" x14ac:dyDescent="0.2">
      <c r="A20957" s="6" t="str">
        <f>"ALKBH6"</f>
        <v>ALKBH6</v>
      </c>
      <c r="B20957" s="6" t="s">
        <v>1</v>
      </c>
      <c r="C20957" s="6" t="s">
        <v>1</v>
      </c>
    </row>
    <row r="20958" spans="1:3" s="7" customFormat="1" x14ac:dyDescent="0.2">
      <c r="A20958" s="6" t="str">
        <f>"AC087473.1"</f>
        <v>AC087473.1</v>
      </c>
      <c r="B20958" s="6" t="s">
        <v>1</v>
      </c>
      <c r="C20958" s="6" t="s">
        <v>1</v>
      </c>
    </row>
    <row r="20959" spans="1:3" s="7" customFormat="1" x14ac:dyDescent="0.2">
      <c r="A20959" s="6" t="str">
        <f>"C1S"</f>
        <v>C1S</v>
      </c>
      <c r="B20959" s="6" t="s">
        <v>1</v>
      </c>
      <c r="C20959" s="6" t="s">
        <v>1</v>
      </c>
    </row>
    <row r="20960" spans="1:3" s="7" customFormat="1" x14ac:dyDescent="0.2">
      <c r="A20960" s="6" t="str">
        <f>"TTLL6"</f>
        <v>TTLL6</v>
      </c>
      <c r="B20960" s="6" t="s">
        <v>1</v>
      </c>
      <c r="C20960" s="6" t="s">
        <v>1</v>
      </c>
    </row>
    <row r="20961" spans="1:3" s="7" customFormat="1" x14ac:dyDescent="0.2">
      <c r="A20961" s="6" t="str">
        <f>"DEFB1"</f>
        <v>DEFB1</v>
      </c>
      <c r="B20961" s="6" t="s">
        <v>1</v>
      </c>
      <c r="C20961" s="6" t="s">
        <v>1</v>
      </c>
    </row>
    <row r="20962" spans="1:3" s="7" customFormat="1" x14ac:dyDescent="0.2">
      <c r="A20962" s="6" t="str">
        <f>"P2RY13"</f>
        <v>P2RY13</v>
      </c>
      <c r="B20962" s="6" t="s">
        <v>1</v>
      </c>
      <c r="C20962" s="6" t="s">
        <v>1</v>
      </c>
    </row>
    <row r="20963" spans="1:3" s="7" customFormat="1" x14ac:dyDescent="0.2">
      <c r="A20963" s="6" t="str">
        <f>"CRYBB2P1"</f>
        <v>CRYBB2P1</v>
      </c>
      <c r="B20963" s="6" t="s">
        <v>1</v>
      </c>
      <c r="C20963" s="6" t="s">
        <v>1</v>
      </c>
    </row>
    <row r="20964" spans="1:3" s="7" customFormat="1" x14ac:dyDescent="0.2">
      <c r="A20964" s="6" t="str">
        <f>"ZC3H10"</f>
        <v>ZC3H10</v>
      </c>
      <c r="B20964" s="6" t="s">
        <v>1</v>
      </c>
      <c r="C20964" s="6" t="s">
        <v>1</v>
      </c>
    </row>
    <row r="20965" spans="1:3" s="7" customFormat="1" x14ac:dyDescent="0.2">
      <c r="A20965" s="6" t="str">
        <f>"IGHA1"</f>
        <v>IGHA1</v>
      </c>
      <c r="B20965" s="6" t="s">
        <v>1</v>
      </c>
      <c r="C20965" s="6" t="s">
        <v>1</v>
      </c>
    </row>
    <row r="20966" spans="1:3" s="7" customFormat="1" x14ac:dyDescent="0.2">
      <c r="A20966" s="6" t="str">
        <f>"N6AMT1"</f>
        <v>N6AMT1</v>
      </c>
      <c r="B20966" s="6" t="s">
        <v>1</v>
      </c>
      <c r="C20966" s="6" t="s">
        <v>1</v>
      </c>
    </row>
    <row r="20967" spans="1:3" s="7" customFormat="1" x14ac:dyDescent="0.2">
      <c r="A20967" s="6" t="str">
        <f>"TTC6"</f>
        <v>TTC6</v>
      </c>
      <c r="B20967" s="6" t="s">
        <v>1</v>
      </c>
      <c r="C20967" s="6" t="s">
        <v>1</v>
      </c>
    </row>
    <row r="20968" spans="1:3" s="7" customFormat="1" x14ac:dyDescent="0.2">
      <c r="A20968" s="6" t="str">
        <f>"MAD2L1"</f>
        <v>MAD2L1</v>
      </c>
      <c r="B20968" s="6" t="s">
        <v>1</v>
      </c>
      <c r="C20968" s="6" t="s">
        <v>1</v>
      </c>
    </row>
    <row r="20969" spans="1:3" s="7" customFormat="1" x14ac:dyDescent="0.2">
      <c r="A20969" s="6" t="str">
        <f>"ZNF611"</f>
        <v>ZNF611</v>
      </c>
      <c r="B20969" s="6" t="s">
        <v>1</v>
      </c>
      <c r="C20969" s="6" t="s">
        <v>1</v>
      </c>
    </row>
    <row r="20970" spans="1:3" s="7" customFormat="1" x14ac:dyDescent="0.2">
      <c r="A20970" s="6" t="str">
        <f>"N4BP2L1"</f>
        <v>N4BP2L1</v>
      </c>
      <c r="B20970" s="6" t="s">
        <v>1</v>
      </c>
      <c r="C20970" s="6" t="s">
        <v>1</v>
      </c>
    </row>
    <row r="20971" spans="1:3" s="7" customFormat="1" x14ac:dyDescent="0.2">
      <c r="A20971" s="6" t="str">
        <f>"NDUFAF7"</f>
        <v>NDUFAF7</v>
      </c>
      <c r="B20971" s="6" t="s">
        <v>1</v>
      </c>
      <c r="C20971" s="6" t="s">
        <v>1</v>
      </c>
    </row>
    <row r="20972" spans="1:3" s="7" customFormat="1" x14ac:dyDescent="0.2">
      <c r="A20972" s="6" t="str">
        <f>"TMEM143"</f>
        <v>TMEM143</v>
      </c>
      <c r="B20972" s="6" t="s">
        <v>1</v>
      </c>
      <c r="C20972" s="6" t="s">
        <v>1</v>
      </c>
    </row>
    <row r="20973" spans="1:3" s="7" customFormat="1" x14ac:dyDescent="0.2">
      <c r="A20973" s="6" t="str">
        <f>"CHST4"</f>
        <v>CHST4</v>
      </c>
      <c r="B20973" s="6" t="s">
        <v>1</v>
      </c>
      <c r="C20973" s="6" t="s">
        <v>1</v>
      </c>
    </row>
    <row r="20974" spans="1:3" s="7" customFormat="1" x14ac:dyDescent="0.2">
      <c r="A20974" s="6" t="str">
        <f>"HOMER1"</f>
        <v>HOMER1</v>
      </c>
      <c r="B20974" s="6" t="s">
        <v>1</v>
      </c>
      <c r="C20974" s="6" t="s">
        <v>1</v>
      </c>
    </row>
    <row r="20975" spans="1:3" s="7" customFormat="1" x14ac:dyDescent="0.2">
      <c r="A20975" s="6" t="str">
        <f>"RAD51C"</f>
        <v>RAD51C</v>
      </c>
      <c r="B20975" s="6" t="s">
        <v>1</v>
      </c>
      <c r="C20975" s="6" t="s">
        <v>1</v>
      </c>
    </row>
    <row r="20976" spans="1:3" s="7" customFormat="1" x14ac:dyDescent="0.2">
      <c r="A20976" s="6" t="str">
        <f>"AQP7"</f>
        <v>AQP7</v>
      </c>
      <c r="B20976" s="6" t="s">
        <v>1</v>
      </c>
      <c r="C20976" s="6" t="s">
        <v>1</v>
      </c>
    </row>
    <row r="20977" spans="1:3" s="7" customFormat="1" x14ac:dyDescent="0.2">
      <c r="A20977" s="6" t="str">
        <f>"IFI27L1"</f>
        <v>IFI27L1</v>
      </c>
      <c r="B20977" s="6" t="s">
        <v>1</v>
      </c>
      <c r="C20977" s="6" t="s">
        <v>1</v>
      </c>
    </row>
    <row r="20978" spans="1:3" s="7" customFormat="1" x14ac:dyDescent="0.2">
      <c r="A20978" s="6" t="str">
        <f>"ZSCAN30"</f>
        <v>ZSCAN30</v>
      </c>
      <c r="B20978" s="6" t="s">
        <v>1</v>
      </c>
      <c r="C20978" s="6" t="s">
        <v>1</v>
      </c>
    </row>
    <row r="20979" spans="1:3" s="7" customFormat="1" x14ac:dyDescent="0.2">
      <c r="A20979" s="6" t="str">
        <f>"CCNB1"</f>
        <v>CCNB1</v>
      </c>
      <c r="B20979" s="6" t="s">
        <v>1</v>
      </c>
      <c r="C20979" s="6" t="s">
        <v>1</v>
      </c>
    </row>
    <row r="20980" spans="1:3" s="7" customFormat="1" x14ac:dyDescent="0.2">
      <c r="A20980" s="6" t="str">
        <f>"NUTM2D"</f>
        <v>NUTM2D</v>
      </c>
      <c r="B20980" s="6" t="s">
        <v>1</v>
      </c>
      <c r="C20980" s="6" t="s">
        <v>1</v>
      </c>
    </row>
    <row r="20981" spans="1:3" s="7" customFormat="1" x14ac:dyDescent="0.2">
      <c r="A20981" s="6" t="str">
        <f>"INVS"</f>
        <v>INVS</v>
      </c>
      <c r="B20981" s="6" t="s">
        <v>1</v>
      </c>
      <c r="C20981" s="6" t="s">
        <v>1</v>
      </c>
    </row>
    <row r="20982" spans="1:3" s="7" customFormat="1" x14ac:dyDescent="0.2">
      <c r="A20982" s="6" t="str">
        <f>"CDR2L"</f>
        <v>CDR2L</v>
      </c>
      <c r="B20982" s="6" t="s">
        <v>1</v>
      </c>
      <c r="C20982" s="6" t="s">
        <v>1</v>
      </c>
    </row>
    <row r="20983" spans="1:3" s="7" customFormat="1" x14ac:dyDescent="0.2">
      <c r="A20983" s="6" t="str">
        <f>"LGALSL"</f>
        <v>LGALSL</v>
      </c>
      <c r="B20983" s="6" t="s">
        <v>1</v>
      </c>
      <c r="C20983" s="6" t="s">
        <v>1</v>
      </c>
    </row>
    <row r="20984" spans="1:3" s="7" customFormat="1" x14ac:dyDescent="0.2">
      <c r="A20984" s="6" t="str">
        <f>"LINC02035"</f>
        <v>LINC02035</v>
      </c>
      <c r="B20984" s="6" t="s">
        <v>1</v>
      </c>
      <c r="C20984" s="6" t="s">
        <v>1</v>
      </c>
    </row>
    <row r="20985" spans="1:3" s="7" customFormat="1" x14ac:dyDescent="0.2">
      <c r="A20985" s="6" t="str">
        <f>"PCSK6"</f>
        <v>PCSK6</v>
      </c>
      <c r="B20985" s="6" t="s">
        <v>1</v>
      </c>
      <c r="C20985" s="6" t="s">
        <v>1</v>
      </c>
    </row>
    <row r="20986" spans="1:3" s="7" customFormat="1" x14ac:dyDescent="0.2">
      <c r="A20986" s="6" t="str">
        <f>"MAGI2"</f>
        <v>MAGI2</v>
      </c>
      <c r="B20986" s="6" t="s">
        <v>1</v>
      </c>
      <c r="C20986" s="6" t="s">
        <v>1</v>
      </c>
    </row>
    <row r="20987" spans="1:3" s="7" customFormat="1" x14ac:dyDescent="0.2">
      <c r="A20987" s="6" t="str">
        <f>"ATAD2B"</f>
        <v>ATAD2B</v>
      </c>
      <c r="B20987" s="6" t="s">
        <v>1</v>
      </c>
      <c r="C20987" s="6" t="s">
        <v>1</v>
      </c>
    </row>
    <row r="20988" spans="1:3" s="7" customFormat="1" x14ac:dyDescent="0.2">
      <c r="A20988" s="6" t="str">
        <f>"ENTPD1-AS1"</f>
        <v>ENTPD1-AS1</v>
      </c>
      <c r="B20988" s="6" t="s">
        <v>1</v>
      </c>
      <c r="C20988" s="6" t="s">
        <v>1</v>
      </c>
    </row>
    <row r="20989" spans="1:3" s="7" customFormat="1" x14ac:dyDescent="0.2">
      <c r="A20989" s="6" t="str">
        <f>"PPCDC"</f>
        <v>PPCDC</v>
      </c>
      <c r="B20989" s="6" t="s">
        <v>1</v>
      </c>
      <c r="C20989" s="6" t="s">
        <v>1</v>
      </c>
    </row>
    <row r="20990" spans="1:3" s="7" customFormat="1" x14ac:dyDescent="0.2">
      <c r="A20990" s="6" t="str">
        <f>"GLI4"</f>
        <v>GLI4</v>
      </c>
      <c r="B20990" s="6" t="s">
        <v>1</v>
      </c>
      <c r="C20990" s="6" t="s">
        <v>1</v>
      </c>
    </row>
    <row r="20991" spans="1:3" s="7" customFormat="1" x14ac:dyDescent="0.2">
      <c r="A20991" s="6" t="str">
        <f>"SLC28A3"</f>
        <v>SLC28A3</v>
      </c>
      <c r="B20991" s="6" t="s">
        <v>1</v>
      </c>
      <c r="C20991" s="6" t="s">
        <v>1</v>
      </c>
    </row>
    <row r="20992" spans="1:3" s="7" customFormat="1" x14ac:dyDescent="0.2">
      <c r="A20992" s="6" t="str">
        <f>"ZNF600"</f>
        <v>ZNF600</v>
      </c>
      <c r="B20992" s="6" t="s">
        <v>1</v>
      </c>
      <c r="C20992" s="6" t="s">
        <v>1</v>
      </c>
    </row>
    <row r="20993" spans="1:3" s="7" customFormat="1" x14ac:dyDescent="0.2">
      <c r="A20993" s="6" t="str">
        <f>"ALG6"</f>
        <v>ALG6</v>
      </c>
      <c r="B20993" s="6" t="s">
        <v>1</v>
      </c>
      <c r="C20993" s="6" t="s">
        <v>1</v>
      </c>
    </row>
    <row r="20994" spans="1:3" s="7" customFormat="1" x14ac:dyDescent="0.2">
      <c r="A20994" s="6" t="str">
        <f>"MCTP1"</f>
        <v>MCTP1</v>
      </c>
      <c r="B20994" s="6" t="s">
        <v>1</v>
      </c>
      <c r="C20994" s="6" t="s">
        <v>1</v>
      </c>
    </row>
    <row r="20995" spans="1:3" s="7" customFormat="1" x14ac:dyDescent="0.2">
      <c r="A20995" s="6" t="str">
        <f>"P3H4"</f>
        <v>P3H4</v>
      </c>
      <c r="B20995" s="6" t="s">
        <v>1</v>
      </c>
      <c r="C20995" s="6" t="s">
        <v>1</v>
      </c>
    </row>
    <row r="20996" spans="1:3" s="7" customFormat="1" x14ac:dyDescent="0.2">
      <c r="A20996" s="6" t="str">
        <f>"ADPRH"</f>
        <v>ADPRH</v>
      </c>
      <c r="B20996" s="6" t="s">
        <v>1</v>
      </c>
      <c r="C20996" s="6" t="s">
        <v>1</v>
      </c>
    </row>
    <row r="20997" spans="1:3" s="7" customFormat="1" x14ac:dyDescent="0.2">
      <c r="A20997" s="6" t="str">
        <f>"GMDS-DT"</f>
        <v>GMDS-DT</v>
      </c>
      <c r="B20997" s="6" t="s">
        <v>1</v>
      </c>
      <c r="C20997" s="6" t="s">
        <v>1</v>
      </c>
    </row>
    <row r="20998" spans="1:3" s="7" customFormat="1" x14ac:dyDescent="0.2">
      <c r="A20998" s="6" t="str">
        <f>"CDRT1"</f>
        <v>CDRT1</v>
      </c>
      <c r="B20998" s="6" t="s">
        <v>1</v>
      </c>
      <c r="C20998" s="6" t="s">
        <v>1</v>
      </c>
    </row>
    <row r="20999" spans="1:3" s="7" customFormat="1" x14ac:dyDescent="0.2">
      <c r="A20999" s="6" t="str">
        <f>"OASL"</f>
        <v>OASL</v>
      </c>
      <c r="B20999" s="6" t="s">
        <v>1</v>
      </c>
      <c r="C20999" s="6" t="s">
        <v>1</v>
      </c>
    </row>
    <row r="21000" spans="1:3" s="7" customFormat="1" x14ac:dyDescent="0.2">
      <c r="A21000" s="6" t="str">
        <f>"HCG11"</f>
        <v>HCG11</v>
      </c>
      <c r="B21000" s="6" t="s">
        <v>1</v>
      </c>
      <c r="C21000" s="6" t="s">
        <v>1</v>
      </c>
    </row>
    <row r="21001" spans="1:3" s="7" customFormat="1" x14ac:dyDescent="0.2">
      <c r="A21001" s="6" t="str">
        <f>"NXPE3"</f>
        <v>NXPE3</v>
      </c>
      <c r="B21001" s="6" t="s">
        <v>1</v>
      </c>
      <c r="C21001" s="6" t="s">
        <v>1</v>
      </c>
    </row>
    <row r="21002" spans="1:3" s="7" customFormat="1" x14ac:dyDescent="0.2">
      <c r="A21002" s="6" t="str">
        <f>"UGT1A8"</f>
        <v>UGT1A8</v>
      </c>
      <c r="B21002" s="6" t="s">
        <v>1</v>
      </c>
      <c r="C21002" s="6" t="s">
        <v>1</v>
      </c>
    </row>
    <row r="21003" spans="1:3" s="7" customFormat="1" x14ac:dyDescent="0.2">
      <c r="A21003" s="6" t="str">
        <f>"NOTCH2NLC"</f>
        <v>NOTCH2NLC</v>
      </c>
      <c r="B21003" s="6" t="s">
        <v>1</v>
      </c>
      <c r="C21003" s="6" t="s">
        <v>1</v>
      </c>
    </row>
    <row r="21004" spans="1:3" s="7" customFormat="1" x14ac:dyDescent="0.2">
      <c r="A21004" s="6" t="str">
        <f>"EDRF1"</f>
        <v>EDRF1</v>
      </c>
      <c r="B21004" s="6" t="s">
        <v>1</v>
      </c>
      <c r="C21004" s="6" t="s">
        <v>1</v>
      </c>
    </row>
    <row r="21005" spans="1:3" s="7" customFormat="1" x14ac:dyDescent="0.2">
      <c r="A21005" s="6" t="str">
        <f>"PLGRKT"</f>
        <v>PLGRKT</v>
      </c>
      <c r="B21005" s="6" t="s">
        <v>1</v>
      </c>
      <c r="C21005" s="6" t="s">
        <v>1</v>
      </c>
    </row>
    <row r="21006" spans="1:3" s="7" customFormat="1" x14ac:dyDescent="0.2">
      <c r="A21006" s="6" t="str">
        <f>"CAPRIN2"</f>
        <v>CAPRIN2</v>
      </c>
      <c r="B21006" s="6" t="s">
        <v>1</v>
      </c>
      <c r="C21006" s="6" t="s">
        <v>1</v>
      </c>
    </row>
    <row r="21007" spans="1:3" s="7" customFormat="1" x14ac:dyDescent="0.2">
      <c r="A21007" s="6" t="str">
        <f>"RPP25L"</f>
        <v>RPP25L</v>
      </c>
      <c r="B21007" s="6" t="s">
        <v>1</v>
      </c>
      <c r="C21007" s="6" t="s">
        <v>1</v>
      </c>
    </row>
    <row r="21008" spans="1:3" s="7" customFormat="1" x14ac:dyDescent="0.2">
      <c r="A21008" s="6" t="str">
        <f>"S1PR2"</f>
        <v>S1PR2</v>
      </c>
      <c r="B21008" s="6" t="s">
        <v>1</v>
      </c>
      <c r="C21008" s="6" t="s">
        <v>1</v>
      </c>
    </row>
    <row r="21009" spans="1:3" s="7" customFormat="1" x14ac:dyDescent="0.2">
      <c r="A21009" s="6" t="str">
        <f>"KCNC4"</f>
        <v>KCNC4</v>
      </c>
      <c r="B21009" s="6" t="s">
        <v>1</v>
      </c>
      <c r="C21009" s="6" t="s">
        <v>1</v>
      </c>
    </row>
    <row r="21010" spans="1:3" s="7" customFormat="1" x14ac:dyDescent="0.2">
      <c r="A21010" s="6" t="str">
        <f>"GAL3ST2"</f>
        <v>GAL3ST2</v>
      </c>
      <c r="B21010" s="6" t="s">
        <v>1</v>
      </c>
      <c r="C21010" s="6" t="s">
        <v>1</v>
      </c>
    </row>
    <row r="21011" spans="1:3" s="7" customFormat="1" x14ac:dyDescent="0.2">
      <c r="A21011" s="6" t="str">
        <f>"KLHL26"</f>
        <v>KLHL26</v>
      </c>
      <c r="B21011" s="6" t="s">
        <v>1</v>
      </c>
      <c r="C21011" s="6" t="s">
        <v>1</v>
      </c>
    </row>
    <row r="21012" spans="1:3" s="7" customFormat="1" x14ac:dyDescent="0.2">
      <c r="A21012" s="6" t="str">
        <f>"LENG1"</f>
        <v>LENG1</v>
      </c>
      <c r="B21012" s="6" t="s">
        <v>1</v>
      </c>
      <c r="C21012" s="6" t="s">
        <v>1</v>
      </c>
    </row>
    <row r="21013" spans="1:3" s="7" customFormat="1" x14ac:dyDescent="0.2">
      <c r="A21013" s="6" t="str">
        <f>"DNAJC25"</f>
        <v>DNAJC25</v>
      </c>
      <c r="B21013" s="6" t="s">
        <v>1</v>
      </c>
      <c r="C21013" s="6" t="s">
        <v>1</v>
      </c>
    </row>
    <row r="21014" spans="1:3" s="7" customFormat="1" x14ac:dyDescent="0.2">
      <c r="A21014" s="6" t="str">
        <f>"KBTBD7"</f>
        <v>KBTBD7</v>
      </c>
      <c r="B21014" s="6" t="s">
        <v>1</v>
      </c>
      <c r="C21014" s="6" t="s">
        <v>1</v>
      </c>
    </row>
    <row r="21015" spans="1:3" s="7" customFormat="1" x14ac:dyDescent="0.2">
      <c r="A21015" s="6" t="str">
        <f>"ZNF253"</f>
        <v>ZNF253</v>
      </c>
      <c r="B21015" s="6" t="s">
        <v>1</v>
      </c>
      <c r="C21015" s="6" t="s">
        <v>1</v>
      </c>
    </row>
    <row r="21016" spans="1:3" s="7" customFormat="1" x14ac:dyDescent="0.2">
      <c r="A21016" s="6" t="str">
        <f>"MED30"</f>
        <v>MED30</v>
      </c>
      <c r="B21016" s="6" t="s">
        <v>1</v>
      </c>
      <c r="C21016" s="6" t="s">
        <v>1</v>
      </c>
    </row>
    <row r="21017" spans="1:3" s="7" customFormat="1" x14ac:dyDescent="0.2">
      <c r="A21017" s="6" t="str">
        <f>"MLH3"</f>
        <v>MLH3</v>
      </c>
      <c r="B21017" s="6" t="s">
        <v>1</v>
      </c>
      <c r="C21017" s="6" t="s">
        <v>1</v>
      </c>
    </row>
    <row r="21018" spans="1:3" s="7" customFormat="1" x14ac:dyDescent="0.2">
      <c r="A21018" s="6" t="str">
        <f>"ZBTB6"</f>
        <v>ZBTB6</v>
      </c>
      <c r="B21018" s="6" t="s">
        <v>1</v>
      </c>
      <c r="C21018" s="6" t="s">
        <v>1</v>
      </c>
    </row>
    <row r="21019" spans="1:3" s="7" customFormat="1" x14ac:dyDescent="0.2">
      <c r="A21019" s="6" t="str">
        <f>"GLRX2"</f>
        <v>GLRX2</v>
      </c>
      <c r="B21019" s="6" t="s">
        <v>1</v>
      </c>
      <c r="C21019" s="6" t="s">
        <v>1</v>
      </c>
    </row>
    <row r="21020" spans="1:3" s="7" customFormat="1" x14ac:dyDescent="0.2">
      <c r="A21020" s="6" t="str">
        <f>"TGDS"</f>
        <v>TGDS</v>
      </c>
      <c r="B21020" s="6" t="s">
        <v>1</v>
      </c>
      <c r="C21020" s="6" t="s">
        <v>1</v>
      </c>
    </row>
    <row r="21021" spans="1:3" s="7" customFormat="1" x14ac:dyDescent="0.2">
      <c r="A21021" s="6" t="str">
        <f>"TBC1D4"</f>
        <v>TBC1D4</v>
      </c>
      <c r="B21021" s="6" t="s">
        <v>1</v>
      </c>
      <c r="C21021" s="6" t="s">
        <v>1</v>
      </c>
    </row>
    <row r="21022" spans="1:3" s="7" customFormat="1" x14ac:dyDescent="0.2">
      <c r="A21022" s="6" t="str">
        <f>"SEMA3B"</f>
        <v>SEMA3B</v>
      </c>
      <c r="B21022" s="6" t="s">
        <v>1</v>
      </c>
      <c r="C21022" s="6" t="s">
        <v>1</v>
      </c>
    </row>
    <row r="21023" spans="1:3" s="7" customFormat="1" x14ac:dyDescent="0.2">
      <c r="A21023" s="6" t="str">
        <f>"IFNLR1"</f>
        <v>IFNLR1</v>
      </c>
      <c r="B21023" s="6" t="s">
        <v>1</v>
      </c>
      <c r="C21023" s="6" t="s">
        <v>1</v>
      </c>
    </row>
    <row r="21024" spans="1:3" s="7" customFormat="1" x14ac:dyDescent="0.2">
      <c r="A21024" s="6" t="str">
        <f>"SMAD7"</f>
        <v>SMAD7</v>
      </c>
      <c r="B21024" s="6" t="s">
        <v>1</v>
      </c>
      <c r="C21024" s="6" t="s">
        <v>1</v>
      </c>
    </row>
    <row r="21025" spans="1:3" s="7" customFormat="1" x14ac:dyDescent="0.2">
      <c r="A21025" s="6" t="str">
        <f>"MAD2L2"</f>
        <v>MAD2L2</v>
      </c>
      <c r="B21025" s="6" t="s">
        <v>1</v>
      </c>
      <c r="C21025" s="6" t="s">
        <v>1</v>
      </c>
    </row>
    <row r="21026" spans="1:3" s="7" customFormat="1" x14ac:dyDescent="0.2">
      <c r="A21026" s="6" t="str">
        <f>"MS4A6A"</f>
        <v>MS4A6A</v>
      </c>
      <c r="B21026" s="6" t="s">
        <v>1</v>
      </c>
      <c r="C21026" s="6" t="s">
        <v>1</v>
      </c>
    </row>
    <row r="21027" spans="1:3" s="7" customFormat="1" x14ac:dyDescent="0.2">
      <c r="A21027" s="6" t="str">
        <f>"STX18-AS1"</f>
        <v>STX18-AS1</v>
      </c>
      <c r="B21027" s="6" t="s">
        <v>1</v>
      </c>
      <c r="C21027" s="6" t="s">
        <v>1</v>
      </c>
    </row>
    <row r="21028" spans="1:3" s="7" customFormat="1" x14ac:dyDescent="0.2">
      <c r="A21028" s="6" t="str">
        <f>"ZNF26"</f>
        <v>ZNF26</v>
      </c>
      <c r="B21028" s="6" t="s">
        <v>1</v>
      </c>
      <c r="C21028" s="6" t="s">
        <v>1</v>
      </c>
    </row>
    <row r="21029" spans="1:3" s="7" customFormat="1" x14ac:dyDescent="0.2">
      <c r="A21029" s="6" t="str">
        <f>"S100PBP"</f>
        <v>S100PBP</v>
      </c>
      <c r="B21029" s="6" t="s">
        <v>1</v>
      </c>
      <c r="C21029" s="6" t="s">
        <v>1</v>
      </c>
    </row>
    <row r="21030" spans="1:3" s="7" customFormat="1" x14ac:dyDescent="0.2">
      <c r="A21030" s="6" t="str">
        <f>"HNF4G"</f>
        <v>HNF4G</v>
      </c>
      <c r="B21030" s="6" t="s">
        <v>1</v>
      </c>
      <c r="C21030" s="6" t="s">
        <v>1</v>
      </c>
    </row>
    <row r="21031" spans="1:3" s="7" customFormat="1" x14ac:dyDescent="0.2">
      <c r="A21031" s="6" t="str">
        <f>"VMAC"</f>
        <v>VMAC</v>
      </c>
      <c r="B21031" s="6" t="s">
        <v>1</v>
      </c>
      <c r="C21031" s="6" t="s">
        <v>1</v>
      </c>
    </row>
    <row r="21032" spans="1:3" s="7" customFormat="1" x14ac:dyDescent="0.2">
      <c r="A21032" s="6" t="str">
        <f>"GABPB1"</f>
        <v>GABPB1</v>
      </c>
      <c r="B21032" s="6" t="s">
        <v>1</v>
      </c>
      <c r="C21032" s="6" t="s">
        <v>1</v>
      </c>
    </row>
    <row r="21033" spans="1:3" s="7" customFormat="1" x14ac:dyDescent="0.2">
      <c r="A21033" s="6" t="str">
        <f>"CARD16"</f>
        <v>CARD16</v>
      </c>
      <c r="B21033" s="6" t="s">
        <v>1</v>
      </c>
      <c r="C21033" s="6" t="s">
        <v>1</v>
      </c>
    </row>
    <row r="21034" spans="1:3" s="7" customFormat="1" x14ac:dyDescent="0.2">
      <c r="A21034" s="6" t="str">
        <f>"EEF1E1"</f>
        <v>EEF1E1</v>
      </c>
      <c r="B21034" s="6" t="s">
        <v>1</v>
      </c>
      <c r="C21034" s="6" t="s">
        <v>1</v>
      </c>
    </row>
    <row r="21035" spans="1:3" s="7" customFormat="1" x14ac:dyDescent="0.2">
      <c r="A21035" s="6" t="str">
        <f>"NEK2"</f>
        <v>NEK2</v>
      </c>
      <c r="B21035" s="6" t="s">
        <v>1</v>
      </c>
      <c r="C21035" s="6" t="s">
        <v>1</v>
      </c>
    </row>
    <row r="21036" spans="1:3" s="7" customFormat="1" x14ac:dyDescent="0.2">
      <c r="A21036" s="6" t="str">
        <f>"PLEKHO1"</f>
        <v>PLEKHO1</v>
      </c>
      <c r="B21036" s="6" t="s">
        <v>1</v>
      </c>
      <c r="C21036" s="6" t="s">
        <v>1</v>
      </c>
    </row>
    <row r="21037" spans="1:3" s="7" customFormat="1" x14ac:dyDescent="0.2">
      <c r="A21037" s="6" t="str">
        <f>"FLRT3"</f>
        <v>FLRT3</v>
      </c>
      <c r="B21037" s="6" t="s">
        <v>1</v>
      </c>
      <c r="C21037" s="6" t="s">
        <v>1</v>
      </c>
    </row>
    <row r="21038" spans="1:3" s="7" customFormat="1" x14ac:dyDescent="0.2">
      <c r="A21038" s="6" t="str">
        <f>"PRMT9"</f>
        <v>PRMT9</v>
      </c>
      <c r="B21038" s="6" t="s">
        <v>1</v>
      </c>
      <c r="C21038" s="6" t="s">
        <v>1</v>
      </c>
    </row>
    <row r="21039" spans="1:3" s="7" customFormat="1" x14ac:dyDescent="0.2">
      <c r="A21039" s="6" t="str">
        <f>"GPR89B"</f>
        <v>GPR89B</v>
      </c>
      <c r="B21039" s="6" t="s">
        <v>1</v>
      </c>
      <c r="C21039" s="6" t="s">
        <v>1</v>
      </c>
    </row>
    <row r="21040" spans="1:3" s="7" customFormat="1" x14ac:dyDescent="0.2">
      <c r="A21040" s="6" t="str">
        <f>"LGI1"</f>
        <v>LGI1</v>
      </c>
      <c r="B21040" s="6" t="s">
        <v>1</v>
      </c>
      <c r="C21040" s="6" t="s">
        <v>1</v>
      </c>
    </row>
    <row r="21041" spans="1:3" s="7" customFormat="1" x14ac:dyDescent="0.2">
      <c r="A21041" s="6" t="str">
        <f>"AL133216.2"</f>
        <v>AL133216.2</v>
      </c>
      <c r="B21041" s="6" t="s">
        <v>1</v>
      </c>
      <c r="C21041" s="6" t="s">
        <v>1</v>
      </c>
    </row>
    <row r="21042" spans="1:3" s="7" customFormat="1" x14ac:dyDescent="0.2">
      <c r="A21042" s="6" t="str">
        <f>"VEGFC"</f>
        <v>VEGFC</v>
      </c>
      <c r="B21042" s="6" t="s">
        <v>1</v>
      </c>
      <c r="C21042" s="6" t="s">
        <v>1</v>
      </c>
    </row>
    <row r="21043" spans="1:3" s="7" customFormat="1" x14ac:dyDescent="0.2">
      <c r="A21043" s="6" t="str">
        <f>"RAI2"</f>
        <v>RAI2</v>
      </c>
      <c r="B21043" s="6" t="s">
        <v>1</v>
      </c>
      <c r="C21043" s="6" t="s">
        <v>1</v>
      </c>
    </row>
    <row r="21044" spans="1:3" s="7" customFormat="1" x14ac:dyDescent="0.2">
      <c r="A21044" s="6" t="str">
        <f>"CRYZ"</f>
        <v>CRYZ</v>
      </c>
      <c r="B21044" s="6" t="s">
        <v>1</v>
      </c>
      <c r="C21044" s="6" t="s">
        <v>1</v>
      </c>
    </row>
    <row r="21045" spans="1:3" s="7" customFormat="1" x14ac:dyDescent="0.2">
      <c r="A21045" s="6" t="str">
        <f>"IPO5P1"</f>
        <v>IPO5P1</v>
      </c>
      <c r="B21045" s="6" t="s">
        <v>1</v>
      </c>
      <c r="C21045" s="6" t="s">
        <v>1</v>
      </c>
    </row>
    <row r="21046" spans="1:3" s="7" customFormat="1" x14ac:dyDescent="0.2">
      <c r="A21046" s="6" t="str">
        <f>"ASTN2"</f>
        <v>ASTN2</v>
      </c>
      <c r="B21046" s="6" t="s">
        <v>1</v>
      </c>
      <c r="C21046" s="6" t="s">
        <v>1</v>
      </c>
    </row>
    <row r="21047" spans="1:3" s="7" customFormat="1" x14ac:dyDescent="0.2">
      <c r="A21047" s="6" t="str">
        <f>"ZNF616"</f>
        <v>ZNF616</v>
      </c>
      <c r="B21047" s="6" t="s">
        <v>1</v>
      </c>
      <c r="C21047" s="6" t="s">
        <v>1</v>
      </c>
    </row>
    <row r="21048" spans="1:3" s="7" customFormat="1" x14ac:dyDescent="0.2">
      <c r="A21048" s="6" t="str">
        <f>"AC023300.2"</f>
        <v>AC023300.2</v>
      </c>
      <c r="B21048" s="6" t="s">
        <v>1</v>
      </c>
      <c r="C21048" s="6" t="s">
        <v>1</v>
      </c>
    </row>
    <row r="21049" spans="1:3" s="7" customFormat="1" x14ac:dyDescent="0.2">
      <c r="A21049" s="6" t="str">
        <f>"TBC1D7"</f>
        <v>TBC1D7</v>
      </c>
      <c r="B21049" s="6" t="s">
        <v>1</v>
      </c>
      <c r="C21049" s="6" t="s">
        <v>1</v>
      </c>
    </row>
    <row r="21050" spans="1:3" s="7" customFormat="1" x14ac:dyDescent="0.2">
      <c r="A21050" s="6" t="str">
        <f>"AC107871.1"</f>
        <v>AC107871.1</v>
      </c>
      <c r="B21050" s="6" t="s">
        <v>1</v>
      </c>
      <c r="C21050" s="6" t="s">
        <v>1</v>
      </c>
    </row>
    <row r="21051" spans="1:3" s="7" customFormat="1" x14ac:dyDescent="0.2">
      <c r="A21051" s="6" t="str">
        <f>"ZNF589"</f>
        <v>ZNF589</v>
      </c>
      <c r="B21051" s="6" t="s">
        <v>1</v>
      </c>
      <c r="C21051" s="6" t="s">
        <v>1</v>
      </c>
    </row>
    <row r="21052" spans="1:3" s="7" customFormat="1" x14ac:dyDescent="0.2">
      <c r="A21052" s="6" t="str">
        <f>"MSANTD3"</f>
        <v>MSANTD3</v>
      </c>
      <c r="B21052" s="6" t="s">
        <v>1</v>
      </c>
      <c r="C21052" s="6" t="s">
        <v>1</v>
      </c>
    </row>
    <row r="21053" spans="1:3" s="7" customFormat="1" x14ac:dyDescent="0.2">
      <c r="A21053" s="6" t="str">
        <f>"SLC29A3"</f>
        <v>SLC29A3</v>
      </c>
      <c r="B21053" s="6" t="s">
        <v>1</v>
      </c>
      <c r="C21053" s="6" t="s">
        <v>1</v>
      </c>
    </row>
    <row r="21054" spans="1:3" s="7" customFormat="1" x14ac:dyDescent="0.2">
      <c r="A21054" s="6" t="str">
        <f>"WWC2"</f>
        <v>WWC2</v>
      </c>
      <c r="B21054" s="6" t="s">
        <v>1</v>
      </c>
      <c r="C21054" s="6" t="s">
        <v>1</v>
      </c>
    </row>
    <row r="21055" spans="1:3" s="7" customFormat="1" x14ac:dyDescent="0.2">
      <c r="A21055" s="6" t="str">
        <f>"TTI2"</f>
        <v>TTI2</v>
      </c>
      <c r="B21055" s="6" t="s">
        <v>1</v>
      </c>
      <c r="C21055" s="6" t="s">
        <v>1</v>
      </c>
    </row>
    <row r="21056" spans="1:3" s="7" customFormat="1" x14ac:dyDescent="0.2">
      <c r="A21056" s="6" t="str">
        <f>"TTC9C"</f>
        <v>TTC9C</v>
      </c>
      <c r="B21056" s="6" t="s">
        <v>1</v>
      </c>
      <c r="C21056" s="6" t="s">
        <v>1</v>
      </c>
    </row>
    <row r="21057" spans="1:3" s="7" customFormat="1" x14ac:dyDescent="0.2">
      <c r="A21057" s="6" t="str">
        <f>"GLIS2"</f>
        <v>GLIS2</v>
      </c>
      <c r="B21057" s="6" t="s">
        <v>1</v>
      </c>
      <c r="C21057" s="6" t="s">
        <v>1</v>
      </c>
    </row>
    <row r="21058" spans="1:3" s="7" customFormat="1" x14ac:dyDescent="0.2">
      <c r="A21058" s="6" t="str">
        <f>"AC004943.2"</f>
        <v>AC004943.2</v>
      </c>
      <c r="B21058" s="6" t="s">
        <v>1</v>
      </c>
      <c r="C21058" s="6" t="s">
        <v>1</v>
      </c>
    </row>
    <row r="21059" spans="1:3" s="7" customFormat="1" x14ac:dyDescent="0.2">
      <c r="A21059" s="6" t="str">
        <f>"MKRN2OS"</f>
        <v>MKRN2OS</v>
      </c>
      <c r="B21059" s="6" t="s">
        <v>1</v>
      </c>
      <c r="C21059" s="6" t="s">
        <v>1</v>
      </c>
    </row>
    <row r="21060" spans="1:3" s="7" customFormat="1" x14ac:dyDescent="0.2">
      <c r="A21060" s="6" t="str">
        <f>"MCM6"</f>
        <v>MCM6</v>
      </c>
      <c r="B21060" s="6" t="s">
        <v>1</v>
      </c>
      <c r="C21060" s="6" t="s">
        <v>1</v>
      </c>
    </row>
    <row r="21061" spans="1:3" s="7" customFormat="1" x14ac:dyDescent="0.2">
      <c r="A21061" s="6" t="str">
        <f>"ALDH1B1"</f>
        <v>ALDH1B1</v>
      </c>
      <c r="B21061" s="6" t="s">
        <v>1</v>
      </c>
      <c r="C21061" s="6" t="s">
        <v>1</v>
      </c>
    </row>
    <row r="21062" spans="1:3" s="7" customFormat="1" x14ac:dyDescent="0.2">
      <c r="A21062" s="6" t="str">
        <f>"NXT1"</f>
        <v>NXT1</v>
      </c>
      <c r="B21062" s="6" t="s">
        <v>1</v>
      </c>
      <c r="C21062" s="6" t="s">
        <v>1</v>
      </c>
    </row>
    <row r="21063" spans="1:3" s="7" customFormat="1" x14ac:dyDescent="0.2">
      <c r="A21063" s="6" t="str">
        <f>"TREML2"</f>
        <v>TREML2</v>
      </c>
      <c r="B21063" s="6" t="s">
        <v>1</v>
      </c>
      <c r="C21063" s="6" t="s">
        <v>1</v>
      </c>
    </row>
    <row r="21064" spans="1:3" s="7" customFormat="1" x14ac:dyDescent="0.2">
      <c r="A21064" s="6" t="str">
        <f>"CASP8AP2"</f>
        <v>CASP8AP2</v>
      </c>
      <c r="B21064" s="6" t="s">
        <v>1</v>
      </c>
      <c r="C21064" s="6" t="s">
        <v>1</v>
      </c>
    </row>
    <row r="21065" spans="1:3" s="7" customFormat="1" x14ac:dyDescent="0.2">
      <c r="A21065" s="6" t="str">
        <f>"WNT5A"</f>
        <v>WNT5A</v>
      </c>
      <c r="B21065" s="6" t="s">
        <v>1</v>
      </c>
      <c r="C21065" s="6" t="s">
        <v>1</v>
      </c>
    </row>
    <row r="21066" spans="1:3" s="7" customFormat="1" x14ac:dyDescent="0.2">
      <c r="A21066" s="6" t="str">
        <f>"AL353770.4"</f>
        <v>AL353770.4</v>
      </c>
      <c r="B21066" s="6" t="s">
        <v>1</v>
      </c>
      <c r="C21066" s="6" t="s">
        <v>1</v>
      </c>
    </row>
    <row r="21067" spans="1:3" s="7" customFormat="1" x14ac:dyDescent="0.2">
      <c r="A21067" s="6" t="str">
        <f>"BRCA1"</f>
        <v>BRCA1</v>
      </c>
      <c r="B21067" s="6" t="s">
        <v>1</v>
      </c>
      <c r="C21067" s="6" t="s">
        <v>1</v>
      </c>
    </row>
    <row r="21068" spans="1:3" s="7" customFormat="1" x14ac:dyDescent="0.2">
      <c r="A21068" s="6" t="str">
        <f>"PLEKHH2"</f>
        <v>PLEKHH2</v>
      </c>
      <c r="B21068" s="6" t="s">
        <v>1</v>
      </c>
      <c r="C21068" s="6" t="s">
        <v>1</v>
      </c>
    </row>
    <row r="21069" spans="1:3" s="7" customFormat="1" x14ac:dyDescent="0.2">
      <c r="A21069" s="6" t="str">
        <f>"NOP16"</f>
        <v>NOP16</v>
      </c>
      <c r="B21069" s="6" t="s">
        <v>1</v>
      </c>
      <c r="C21069" s="6" t="s">
        <v>1</v>
      </c>
    </row>
    <row r="21070" spans="1:3" s="7" customFormat="1" x14ac:dyDescent="0.2">
      <c r="A21070" s="6" t="str">
        <f>"NOXA1"</f>
        <v>NOXA1</v>
      </c>
      <c r="B21070" s="6" t="s">
        <v>1</v>
      </c>
      <c r="C21070" s="6" t="s">
        <v>1</v>
      </c>
    </row>
    <row r="21071" spans="1:3" s="7" customFormat="1" x14ac:dyDescent="0.2">
      <c r="A21071" s="6" t="str">
        <f>"MITD1"</f>
        <v>MITD1</v>
      </c>
      <c r="B21071" s="6" t="s">
        <v>1</v>
      </c>
      <c r="C21071" s="6" t="s">
        <v>1</v>
      </c>
    </row>
    <row r="21072" spans="1:3" s="7" customFormat="1" x14ac:dyDescent="0.2">
      <c r="A21072" s="6" t="str">
        <f>"FAM86DP"</f>
        <v>FAM86DP</v>
      </c>
      <c r="B21072" s="6" t="s">
        <v>1</v>
      </c>
      <c r="C21072" s="6" t="s">
        <v>1</v>
      </c>
    </row>
    <row r="21073" spans="1:3" s="7" customFormat="1" x14ac:dyDescent="0.2">
      <c r="A21073" s="6" t="str">
        <f>"ZSWIM7"</f>
        <v>ZSWIM7</v>
      </c>
      <c r="B21073" s="6" t="s">
        <v>1</v>
      </c>
      <c r="C21073" s="6" t="s">
        <v>1</v>
      </c>
    </row>
    <row r="21074" spans="1:3" s="7" customFormat="1" x14ac:dyDescent="0.2">
      <c r="A21074" s="6" t="str">
        <f>"MAF"</f>
        <v>MAF</v>
      </c>
      <c r="B21074" s="6" t="s">
        <v>1</v>
      </c>
      <c r="C21074" s="6" t="s">
        <v>1</v>
      </c>
    </row>
    <row r="21075" spans="1:3" s="7" customFormat="1" x14ac:dyDescent="0.2">
      <c r="A21075" s="6" t="str">
        <f>"GLIDR"</f>
        <v>GLIDR</v>
      </c>
      <c r="B21075" s="6" t="s">
        <v>1</v>
      </c>
      <c r="C21075" s="6" t="s">
        <v>1</v>
      </c>
    </row>
    <row r="21076" spans="1:3" s="7" customFormat="1" x14ac:dyDescent="0.2">
      <c r="A21076" s="6" t="str">
        <f>"BST1"</f>
        <v>BST1</v>
      </c>
      <c r="B21076" s="6" t="s">
        <v>1</v>
      </c>
      <c r="C21076" s="6" t="s">
        <v>1</v>
      </c>
    </row>
    <row r="21077" spans="1:3" s="7" customFormat="1" x14ac:dyDescent="0.2">
      <c r="A21077" s="6" t="str">
        <f>"FAM86C2P"</f>
        <v>FAM86C2P</v>
      </c>
      <c r="B21077" s="6" t="s">
        <v>1</v>
      </c>
      <c r="C21077" s="6" t="s">
        <v>1</v>
      </c>
    </row>
    <row r="21078" spans="1:3" s="7" customFormat="1" x14ac:dyDescent="0.2">
      <c r="A21078" s="6" t="str">
        <f>"GAB1"</f>
        <v>GAB1</v>
      </c>
      <c r="B21078" s="6" t="s">
        <v>1</v>
      </c>
      <c r="C21078" s="6" t="s">
        <v>1</v>
      </c>
    </row>
    <row r="21079" spans="1:3" s="7" customFormat="1" x14ac:dyDescent="0.2">
      <c r="A21079" s="6" t="str">
        <f>"INSIG2"</f>
        <v>INSIG2</v>
      </c>
      <c r="B21079" s="6" t="s">
        <v>1</v>
      </c>
      <c r="C21079" s="6" t="s">
        <v>1</v>
      </c>
    </row>
    <row r="21080" spans="1:3" s="7" customFormat="1" x14ac:dyDescent="0.2">
      <c r="A21080" s="6" t="str">
        <f>"BBC3"</f>
        <v>BBC3</v>
      </c>
      <c r="B21080" s="6" t="s">
        <v>1</v>
      </c>
      <c r="C21080" s="6" t="s">
        <v>1</v>
      </c>
    </row>
    <row r="21081" spans="1:3" s="7" customFormat="1" x14ac:dyDescent="0.2">
      <c r="A21081" s="6" t="str">
        <f>"CARF"</f>
        <v>CARF</v>
      </c>
      <c r="B21081" s="6" t="s">
        <v>1</v>
      </c>
      <c r="C21081" s="6" t="s">
        <v>1</v>
      </c>
    </row>
    <row r="21082" spans="1:3" s="7" customFormat="1" x14ac:dyDescent="0.2">
      <c r="A21082" s="6" t="str">
        <f>"CRLF3"</f>
        <v>CRLF3</v>
      </c>
      <c r="B21082" s="6" t="s">
        <v>1</v>
      </c>
      <c r="C21082" s="6" t="s">
        <v>1</v>
      </c>
    </row>
    <row r="21083" spans="1:3" s="7" customFormat="1" x14ac:dyDescent="0.2">
      <c r="A21083" s="6" t="str">
        <f>"TMEM139"</f>
        <v>TMEM139</v>
      </c>
      <c r="B21083" s="6" t="s">
        <v>1</v>
      </c>
      <c r="C21083" s="6" t="s">
        <v>1</v>
      </c>
    </row>
    <row r="21084" spans="1:3" s="7" customFormat="1" x14ac:dyDescent="0.2">
      <c r="A21084" s="6" t="str">
        <f>"CHRNA7"</f>
        <v>CHRNA7</v>
      </c>
      <c r="B21084" s="6" t="s">
        <v>1</v>
      </c>
      <c r="C21084" s="6" t="s">
        <v>1</v>
      </c>
    </row>
    <row r="21085" spans="1:3" s="7" customFormat="1" x14ac:dyDescent="0.2">
      <c r="A21085" s="6" t="str">
        <f>"IFI27L2"</f>
        <v>IFI27L2</v>
      </c>
      <c r="B21085" s="6" t="s">
        <v>1</v>
      </c>
      <c r="C21085" s="6" t="s">
        <v>1</v>
      </c>
    </row>
    <row r="21086" spans="1:3" s="7" customFormat="1" x14ac:dyDescent="0.2">
      <c r="A21086" s="6" t="str">
        <f>"AC015802.6"</f>
        <v>AC015802.6</v>
      </c>
      <c r="B21086" s="6" t="s">
        <v>1</v>
      </c>
      <c r="C21086" s="6" t="s">
        <v>1</v>
      </c>
    </row>
    <row r="21087" spans="1:3" s="7" customFormat="1" x14ac:dyDescent="0.2">
      <c r="A21087" s="6" t="str">
        <f>"ZNF251"</f>
        <v>ZNF251</v>
      </c>
      <c r="B21087" s="6" t="s">
        <v>1</v>
      </c>
      <c r="C21087" s="6" t="s">
        <v>1</v>
      </c>
    </row>
    <row r="21088" spans="1:3" s="7" customFormat="1" x14ac:dyDescent="0.2">
      <c r="A21088" s="6" t="str">
        <f>"NUP37"</f>
        <v>NUP37</v>
      </c>
      <c r="B21088" s="6" t="s">
        <v>1</v>
      </c>
      <c r="C21088" s="6" t="s">
        <v>1</v>
      </c>
    </row>
    <row r="21089" spans="1:3" s="7" customFormat="1" x14ac:dyDescent="0.2">
      <c r="A21089" s="6" t="str">
        <f>"FMO4"</f>
        <v>FMO4</v>
      </c>
      <c r="B21089" s="6" t="s">
        <v>1</v>
      </c>
      <c r="C21089" s="6" t="s">
        <v>1</v>
      </c>
    </row>
    <row r="21090" spans="1:3" s="7" customFormat="1" x14ac:dyDescent="0.2">
      <c r="A21090" s="6" t="str">
        <f>"LINC02166"</f>
        <v>LINC02166</v>
      </c>
      <c r="B21090" s="6" t="s">
        <v>1</v>
      </c>
      <c r="C21090" s="6" t="s">
        <v>1</v>
      </c>
    </row>
    <row r="21091" spans="1:3" s="7" customFormat="1" x14ac:dyDescent="0.2">
      <c r="A21091" s="6" t="str">
        <f>"EME2"</f>
        <v>EME2</v>
      </c>
      <c r="B21091" s="6" t="s">
        <v>1</v>
      </c>
      <c r="C21091" s="6" t="s">
        <v>1</v>
      </c>
    </row>
    <row r="21092" spans="1:3" s="7" customFormat="1" x14ac:dyDescent="0.2">
      <c r="A21092" s="6" t="str">
        <f>"DNASE1"</f>
        <v>DNASE1</v>
      </c>
      <c r="B21092" s="6" t="s">
        <v>1</v>
      </c>
      <c r="C21092" s="6" t="s">
        <v>1</v>
      </c>
    </row>
    <row r="21093" spans="1:3" s="7" customFormat="1" x14ac:dyDescent="0.2">
      <c r="A21093" s="6" t="str">
        <f>"HMGN5"</f>
        <v>HMGN5</v>
      </c>
      <c r="B21093" s="6" t="s">
        <v>1</v>
      </c>
      <c r="C21093" s="6" t="s">
        <v>1</v>
      </c>
    </row>
    <row r="21094" spans="1:3" s="7" customFormat="1" x14ac:dyDescent="0.2">
      <c r="A21094" s="6" t="str">
        <f>"TGM1"</f>
        <v>TGM1</v>
      </c>
      <c r="B21094" s="6" t="s">
        <v>1</v>
      </c>
      <c r="C21094" s="6" t="s">
        <v>1</v>
      </c>
    </row>
    <row r="21095" spans="1:3" s="7" customFormat="1" x14ac:dyDescent="0.2">
      <c r="A21095" s="6" t="str">
        <f>"ADTRP"</f>
        <v>ADTRP</v>
      </c>
      <c r="B21095" s="6" t="s">
        <v>1</v>
      </c>
      <c r="C21095" s="6" t="s">
        <v>1</v>
      </c>
    </row>
    <row r="21096" spans="1:3" s="7" customFormat="1" x14ac:dyDescent="0.2">
      <c r="A21096" s="6" t="str">
        <f>"ZXDB"</f>
        <v>ZXDB</v>
      </c>
      <c r="B21096" s="6" t="s">
        <v>1</v>
      </c>
      <c r="C21096" s="6" t="s">
        <v>1</v>
      </c>
    </row>
    <row r="21097" spans="1:3" s="7" customFormat="1" x14ac:dyDescent="0.2">
      <c r="A21097" s="6" t="str">
        <f>"HAUS1"</f>
        <v>HAUS1</v>
      </c>
      <c r="B21097" s="6" t="s">
        <v>1</v>
      </c>
      <c r="C21097" s="6" t="s">
        <v>1</v>
      </c>
    </row>
    <row r="21098" spans="1:3" s="7" customFormat="1" x14ac:dyDescent="0.2">
      <c r="A21098" s="6" t="str">
        <f>"MRPS17"</f>
        <v>MRPS17</v>
      </c>
      <c r="B21098" s="6" t="s">
        <v>1</v>
      </c>
      <c r="C21098" s="6" t="s">
        <v>1</v>
      </c>
    </row>
    <row r="21099" spans="1:3" s="7" customFormat="1" x14ac:dyDescent="0.2">
      <c r="A21099" s="6" t="str">
        <f>"APOBEC3D"</f>
        <v>APOBEC3D</v>
      </c>
      <c r="B21099" s="6" t="s">
        <v>1</v>
      </c>
      <c r="C21099" s="6" t="s">
        <v>1</v>
      </c>
    </row>
    <row r="21100" spans="1:3" s="7" customFormat="1" x14ac:dyDescent="0.2">
      <c r="A21100" s="6" t="str">
        <f>"ZBTB47"</f>
        <v>ZBTB47</v>
      </c>
      <c r="B21100" s="6" t="s">
        <v>1</v>
      </c>
      <c r="C21100" s="6" t="s">
        <v>1</v>
      </c>
    </row>
    <row r="21101" spans="1:3" s="7" customFormat="1" x14ac:dyDescent="0.2">
      <c r="A21101" s="6" t="str">
        <f>"DNAJC22"</f>
        <v>DNAJC22</v>
      </c>
      <c r="B21101" s="6" t="s">
        <v>1</v>
      </c>
      <c r="C21101" s="6" t="s">
        <v>1</v>
      </c>
    </row>
    <row r="21102" spans="1:3" s="7" customFormat="1" x14ac:dyDescent="0.2">
      <c r="A21102" s="6" t="str">
        <f>"CHTF18"</f>
        <v>CHTF18</v>
      </c>
      <c r="B21102" s="6" t="s">
        <v>1</v>
      </c>
      <c r="C21102" s="6" t="s">
        <v>1</v>
      </c>
    </row>
    <row r="21103" spans="1:3" s="7" customFormat="1" x14ac:dyDescent="0.2">
      <c r="A21103" s="6" t="str">
        <f>"LINC01128"</f>
        <v>LINC01128</v>
      </c>
      <c r="B21103" s="6" t="s">
        <v>1</v>
      </c>
      <c r="C21103" s="6" t="s">
        <v>1</v>
      </c>
    </row>
    <row r="21104" spans="1:3" s="7" customFormat="1" x14ac:dyDescent="0.2">
      <c r="A21104" s="6" t="str">
        <f>"MIR600HG"</f>
        <v>MIR600HG</v>
      </c>
      <c r="B21104" s="6" t="s">
        <v>1</v>
      </c>
      <c r="C21104" s="6" t="s">
        <v>1</v>
      </c>
    </row>
    <row r="21105" spans="1:3" s="7" customFormat="1" x14ac:dyDescent="0.2">
      <c r="A21105" s="6" t="str">
        <f>"NXT2"</f>
        <v>NXT2</v>
      </c>
      <c r="B21105" s="6" t="s">
        <v>1</v>
      </c>
      <c r="C21105" s="6" t="s">
        <v>1</v>
      </c>
    </row>
    <row r="21106" spans="1:3" s="7" customFormat="1" x14ac:dyDescent="0.2">
      <c r="A21106" s="6" t="str">
        <f>"RPS10-NUDT3"</f>
        <v>RPS10-NUDT3</v>
      </c>
      <c r="B21106" s="6" t="s">
        <v>1</v>
      </c>
      <c r="C21106" s="6" t="s">
        <v>1</v>
      </c>
    </row>
    <row r="21107" spans="1:3" s="7" customFormat="1" x14ac:dyDescent="0.2">
      <c r="A21107" s="6" t="str">
        <f>"LGALS7B"</f>
        <v>LGALS7B</v>
      </c>
      <c r="B21107" s="6" t="s">
        <v>1</v>
      </c>
      <c r="C21107" s="6" t="s">
        <v>1</v>
      </c>
    </row>
    <row r="21108" spans="1:3" s="7" customFormat="1" x14ac:dyDescent="0.2">
      <c r="A21108" s="6" t="str">
        <f>"FAHD2B"</f>
        <v>FAHD2B</v>
      </c>
      <c r="B21108" s="6" t="s">
        <v>1</v>
      </c>
      <c r="C21108" s="6" t="s">
        <v>1</v>
      </c>
    </row>
    <row r="21109" spans="1:3" s="7" customFormat="1" x14ac:dyDescent="0.2">
      <c r="A21109" s="6" t="str">
        <f>"PLIN2"</f>
        <v>PLIN2</v>
      </c>
      <c r="B21109" s="6" t="s">
        <v>1</v>
      </c>
      <c r="C21109" s="6" t="s">
        <v>1</v>
      </c>
    </row>
    <row r="21110" spans="1:3" s="7" customFormat="1" x14ac:dyDescent="0.2">
      <c r="A21110" s="6" t="str">
        <f>"ADGRV1"</f>
        <v>ADGRV1</v>
      </c>
      <c r="B21110" s="6" t="s">
        <v>1</v>
      </c>
      <c r="C21110" s="6" t="s">
        <v>1</v>
      </c>
    </row>
    <row r="21111" spans="1:3" s="7" customFormat="1" x14ac:dyDescent="0.2">
      <c r="A21111" s="6" t="str">
        <f>"PCYOX1L"</f>
        <v>PCYOX1L</v>
      </c>
      <c r="B21111" s="6" t="s">
        <v>1</v>
      </c>
      <c r="C21111" s="6" t="s">
        <v>1</v>
      </c>
    </row>
    <row r="21112" spans="1:3" s="7" customFormat="1" x14ac:dyDescent="0.2">
      <c r="A21112" s="6" t="str">
        <f>"ZC3H8"</f>
        <v>ZC3H8</v>
      </c>
      <c r="B21112" s="6" t="s">
        <v>1</v>
      </c>
      <c r="C21112" s="6" t="s">
        <v>1</v>
      </c>
    </row>
    <row r="21113" spans="1:3" s="7" customFormat="1" x14ac:dyDescent="0.2">
      <c r="A21113" s="6" t="str">
        <f>"BANP"</f>
        <v>BANP</v>
      </c>
      <c r="B21113" s="6" t="s">
        <v>1</v>
      </c>
      <c r="C21113" s="6" t="s">
        <v>1</v>
      </c>
    </row>
    <row r="21114" spans="1:3" s="7" customFormat="1" x14ac:dyDescent="0.2">
      <c r="A21114" s="6" t="str">
        <f>"ZCCHC10"</f>
        <v>ZCCHC10</v>
      </c>
      <c r="B21114" s="6" t="s">
        <v>1</v>
      </c>
      <c r="C21114" s="6" t="s">
        <v>1</v>
      </c>
    </row>
    <row r="21115" spans="1:3" s="7" customFormat="1" x14ac:dyDescent="0.2">
      <c r="A21115" s="6" t="str">
        <f>"AC022916.1"</f>
        <v>AC022916.1</v>
      </c>
      <c r="B21115" s="6" t="s">
        <v>1</v>
      </c>
      <c r="C21115" s="6" t="s">
        <v>1</v>
      </c>
    </row>
    <row r="21116" spans="1:3" s="7" customFormat="1" x14ac:dyDescent="0.2">
      <c r="A21116" s="6" t="str">
        <f>"ENG"</f>
        <v>ENG</v>
      </c>
      <c r="B21116" s="6" t="s">
        <v>1</v>
      </c>
      <c r="C21116" s="6" t="s">
        <v>1</v>
      </c>
    </row>
    <row r="21117" spans="1:3" s="7" customFormat="1" x14ac:dyDescent="0.2">
      <c r="A21117" s="6" t="str">
        <f>"DERL3"</f>
        <v>DERL3</v>
      </c>
      <c r="B21117" s="6" t="s">
        <v>1</v>
      </c>
      <c r="C21117" s="6" t="s">
        <v>1</v>
      </c>
    </row>
    <row r="21118" spans="1:3" s="7" customFormat="1" x14ac:dyDescent="0.2">
      <c r="A21118" s="6" t="str">
        <f>"PLEKHG2"</f>
        <v>PLEKHG2</v>
      </c>
      <c r="B21118" s="6" t="s">
        <v>1</v>
      </c>
      <c r="C21118" s="6" t="s">
        <v>1</v>
      </c>
    </row>
    <row r="21119" spans="1:3" s="7" customFormat="1" x14ac:dyDescent="0.2">
      <c r="A21119" s="6" t="str">
        <f>"GABRE"</f>
        <v>GABRE</v>
      </c>
      <c r="B21119" s="6" t="s">
        <v>1</v>
      </c>
      <c r="C21119" s="6" t="s">
        <v>1</v>
      </c>
    </row>
    <row r="21120" spans="1:3" s="7" customFormat="1" x14ac:dyDescent="0.2">
      <c r="A21120" s="6" t="str">
        <f>"ZSWIM1"</f>
        <v>ZSWIM1</v>
      </c>
      <c r="B21120" s="6" t="s">
        <v>1</v>
      </c>
      <c r="C21120" s="6" t="s">
        <v>1</v>
      </c>
    </row>
    <row r="21121" spans="1:3" s="7" customFormat="1" x14ac:dyDescent="0.2">
      <c r="A21121" s="6" t="str">
        <f>"CRYZL1"</f>
        <v>CRYZL1</v>
      </c>
      <c r="B21121" s="6" t="s">
        <v>1</v>
      </c>
      <c r="C21121" s="6" t="s">
        <v>1</v>
      </c>
    </row>
    <row r="21122" spans="1:3" s="7" customFormat="1" x14ac:dyDescent="0.2">
      <c r="A21122" s="6" t="str">
        <f>"TBC1D24"</f>
        <v>TBC1D24</v>
      </c>
      <c r="B21122" s="6" t="s">
        <v>1</v>
      </c>
      <c r="C21122" s="6" t="s">
        <v>1</v>
      </c>
    </row>
    <row r="21123" spans="1:3" s="7" customFormat="1" x14ac:dyDescent="0.2">
      <c r="A21123" s="6" t="str">
        <f>"TMEM161A"</f>
        <v>TMEM161A</v>
      </c>
      <c r="B21123" s="6" t="s">
        <v>1</v>
      </c>
      <c r="C21123" s="6" t="s">
        <v>1</v>
      </c>
    </row>
    <row r="21124" spans="1:3" s="7" customFormat="1" x14ac:dyDescent="0.2">
      <c r="A21124" s="6" t="str">
        <f>"ALKBH4"</f>
        <v>ALKBH4</v>
      </c>
      <c r="B21124" s="6" t="s">
        <v>1</v>
      </c>
      <c r="C21124" s="6" t="s">
        <v>1</v>
      </c>
    </row>
    <row r="21125" spans="1:3" s="7" customFormat="1" x14ac:dyDescent="0.2">
      <c r="A21125" s="6" t="str">
        <f>"LRFN3"</f>
        <v>LRFN3</v>
      </c>
      <c r="B21125" s="6" t="s">
        <v>1</v>
      </c>
      <c r="C21125" s="6" t="s">
        <v>1</v>
      </c>
    </row>
    <row r="21126" spans="1:3" s="7" customFormat="1" x14ac:dyDescent="0.2">
      <c r="A21126" s="6" t="str">
        <f>"MED26"</f>
        <v>MED26</v>
      </c>
      <c r="B21126" s="6" t="s">
        <v>1</v>
      </c>
      <c r="C21126" s="6" t="s">
        <v>1</v>
      </c>
    </row>
    <row r="21127" spans="1:3" s="7" customFormat="1" x14ac:dyDescent="0.2">
      <c r="A21127" s="6" t="str">
        <f>"DNHD1"</f>
        <v>DNHD1</v>
      </c>
      <c r="B21127" s="6" t="s">
        <v>1</v>
      </c>
      <c r="C21127" s="6" t="s">
        <v>1</v>
      </c>
    </row>
    <row r="21128" spans="1:3" s="7" customFormat="1" x14ac:dyDescent="0.2">
      <c r="A21128" s="6" t="str">
        <f>"HAUS3"</f>
        <v>HAUS3</v>
      </c>
      <c r="B21128" s="6" t="s">
        <v>1</v>
      </c>
      <c r="C21128" s="6" t="s">
        <v>1</v>
      </c>
    </row>
    <row r="21129" spans="1:3" s="7" customFormat="1" x14ac:dyDescent="0.2">
      <c r="A21129" s="6" t="str">
        <f>"AL512274.1"</f>
        <v>AL512274.1</v>
      </c>
      <c r="B21129" s="6" t="s">
        <v>1</v>
      </c>
      <c r="C21129" s="6" t="s">
        <v>1</v>
      </c>
    </row>
    <row r="21130" spans="1:3" s="7" customFormat="1" x14ac:dyDescent="0.2">
      <c r="A21130" s="6" t="str">
        <f>"REXO5"</f>
        <v>REXO5</v>
      </c>
      <c r="B21130" s="6" t="s">
        <v>1</v>
      </c>
      <c r="C21130" s="6" t="s">
        <v>1</v>
      </c>
    </row>
    <row r="21131" spans="1:3" s="7" customFormat="1" x14ac:dyDescent="0.2">
      <c r="A21131" s="6" t="str">
        <f>"ALG10B"</f>
        <v>ALG10B</v>
      </c>
      <c r="B21131" s="6" t="s">
        <v>1</v>
      </c>
      <c r="C21131" s="6" t="s">
        <v>1</v>
      </c>
    </row>
    <row r="21132" spans="1:3" s="7" customFormat="1" x14ac:dyDescent="0.2">
      <c r="A21132" s="6" t="str">
        <f>"LPAR1"</f>
        <v>LPAR1</v>
      </c>
      <c r="B21132" s="6" t="s">
        <v>1</v>
      </c>
      <c r="C21132" s="6" t="s">
        <v>1</v>
      </c>
    </row>
    <row r="21133" spans="1:3" s="7" customFormat="1" x14ac:dyDescent="0.2">
      <c r="A21133" s="6" t="str">
        <f>"HAUS6"</f>
        <v>HAUS6</v>
      </c>
      <c r="B21133" s="6" t="s">
        <v>1</v>
      </c>
      <c r="C21133" s="6" t="s">
        <v>1</v>
      </c>
    </row>
    <row r="21134" spans="1:3" s="7" customFormat="1" x14ac:dyDescent="0.2">
      <c r="A21134" s="6" t="str">
        <f>"ZNF628"</f>
        <v>ZNF628</v>
      </c>
      <c r="B21134" s="6" t="s">
        <v>1</v>
      </c>
      <c r="C21134" s="6" t="s">
        <v>1</v>
      </c>
    </row>
    <row r="21135" spans="1:3" s="7" customFormat="1" x14ac:dyDescent="0.2">
      <c r="A21135" s="6" t="str">
        <f>"TNFRSF18"</f>
        <v>TNFRSF18</v>
      </c>
      <c r="B21135" s="6" t="s">
        <v>1</v>
      </c>
      <c r="C21135" s="6" t="s">
        <v>1</v>
      </c>
    </row>
    <row r="21136" spans="1:3" s="7" customFormat="1" x14ac:dyDescent="0.2">
      <c r="A21136" s="6" t="str">
        <f>"TMEM161B-AS1"</f>
        <v>TMEM161B-AS1</v>
      </c>
      <c r="B21136" s="6" t="s">
        <v>1</v>
      </c>
      <c r="C21136" s="6" t="s">
        <v>1</v>
      </c>
    </row>
    <row r="21137" spans="1:3" s="7" customFormat="1" x14ac:dyDescent="0.2">
      <c r="A21137" s="6" t="str">
        <f>"ZSCAN5A"</f>
        <v>ZSCAN5A</v>
      </c>
      <c r="B21137" s="6" t="s">
        <v>1</v>
      </c>
      <c r="C21137" s="6" t="s">
        <v>1</v>
      </c>
    </row>
    <row r="21138" spans="1:3" s="7" customFormat="1" x14ac:dyDescent="0.2">
      <c r="A21138" s="6" t="str">
        <f>"PHF7"</f>
        <v>PHF7</v>
      </c>
      <c r="B21138" s="6" t="s">
        <v>1</v>
      </c>
      <c r="C21138" s="6" t="s">
        <v>1</v>
      </c>
    </row>
    <row r="21139" spans="1:3" s="7" customFormat="1" x14ac:dyDescent="0.2">
      <c r="A21139" s="6" t="str">
        <f>"ALG14"</f>
        <v>ALG14</v>
      </c>
      <c r="B21139" s="6" t="s">
        <v>1</v>
      </c>
      <c r="C21139" s="6" t="s">
        <v>1</v>
      </c>
    </row>
    <row r="21140" spans="1:3" s="7" customFormat="1" x14ac:dyDescent="0.2">
      <c r="A21140" s="6" t="str">
        <f>"CCNJL"</f>
        <v>CCNJL</v>
      </c>
      <c r="B21140" s="6" t="s">
        <v>1</v>
      </c>
      <c r="C21140" s="6" t="s">
        <v>1</v>
      </c>
    </row>
    <row r="21141" spans="1:3" s="7" customFormat="1" x14ac:dyDescent="0.2">
      <c r="A21141" s="6" t="str">
        <f>"OXNAD1"</f>
        <v>OXNAD1</v>
      </c>
      <c r="B21141" s="6" t="s">
        <v>1</v>
      </c>
      <c r="C21141" s="6" t="s">
        <v>1</v>
      </c>
    </row>
    <row r="21142" spans="1:3" s="7" customFormat="1" x14ac:dyDescent="0.2">
      <c r="A21142" s="6" t="str">
        <f>"SLX4IP"</f>
        <v>SLX4IP</v>
      </c>
      <c r="B21142" s="6" t="s">
        <v>1</v>
      </c>
      <c r="C21142" s="6" t="s">
        <v>1</v>
      </c>
    </row>
    <row r="21143" spans="1:3" s="7" customFormat="1" x14ac:dyDescent="0.2">
      <c r="A21143" s="6" t="str">
        <f>"ZNF599"</f>
        <v>ZNF599</v>
      </c>
      <c r="B21143" s="6" t="s">
        <v>1</v>
      </c>
      <c r="C21143" s="6" t="s">
        <v>1</v>
      </c>
    </row>
    <row r="21144" spans="1:3" s="7" customFormat="1" x14ac:dyDescent="0.2">
      <c r="A21144" s="6" t="str">
        <f>"LHFPL2"</f>
        <v>LHFPL2</v>
      </c>
      <c r="B21144" s="6" t="s">
        <v>1</v>
      </c>
      <c r="C21144" s="6" t="s">
        <v>1</v>
      </c>
    </row>
    <row r="21145" spans="1:3" s="7" customFormat="1" x14ac:dyDescent="0.2">
      <c r="A21145" s="6" t="str">
        <f>"FADS2"</f>
        <v>FADS2</v>
      </c>
      <c r="B21145" s="6" t="s">
        <v>1</v>
      </c>
      <c r="C21145" s="6" t="s">
        <v>1</v>
      </c>
    </row>
    <row r="21146" spans="1:3" s="7" customFormat="1" x14ac:dyDescent="0.2">
      <c r="A21146" s="6" t="str">
        <f>"EXOSC1"</f>
        <v>EXOSC1</v>
      </c>
      <c r="B21146" s="6" t="s">
        <v>1</v>
      </c>
      <c r="C21146" s="6" t="s">
        <v>1</v>
      </c>
    </row>
    <row r="21147" spans="1:3" s="7" customFormat="1" x14ac:dyDescent="0.2">
      <c r="A21147" s="6" t="str">
        <f>"LINC01145"</f>
        <v>LINC01145</v>
      </c>
      <c r="B21147" s="6" t="s">
        <v>1</v>
      </c>
      <c r="C21147" s="6" t="s">
        <v>1</v>
      </c>
    </row>
    <row r="21148" spans="1:3" s="7" customFormat="1" x14ac:dyDescent="0.2">
      <c r="A21148" s="6" t="str">
        <f>"CDKN2AIPNL"</f>
        <v>CDKN2AIPNL</v>
      </c>
      <c r="B21148" s="6" t="s">
        <v>1</v>
      </c>
      <c r="C21148" s="6" t="s">
        <v>1</v>
      </c>
    </row>
    <row r="21149" spans="1:3" s="7" customFormat="1" x14ac:dyDescent="0.2">
      <c r="A21149" s="6" t="str">
        <f>"AEN"</f>
        <v>AEN</v>
      </c>
      <c r="B21149" s="6" t="s">
        <v>1</v>
      </c>
      <c r="C21149" s="6" t="s">
        <v>1</v>
      </c>
    </row>
    <row r="21150" spans="1:3" s="7" customFormat="1" x14ac:dyDescent="0.2">
      <c r="A21150" s="6" t="str">
        <f>"DEUP1"</f>
        <v>DEUP1</v>
      </c>
      <c r="B21150" s="6" t="s">
        <v>1</v>
      </c>
      <c r="C21150" s="6" t="s">
        <v>1</v>
      </c>
    </row>
    <row r="21151" spans="1:3" s="7" customFormat="1" x14ac:dyDescent="0.2">
      <c r="A21151" s="6" t="str">
        <f>"EZH2"</f>
        <v>EZH2</v>
      </c>
      <c r="B21151" s="6" t="s">
        <v>1</v>
      </c>
      <c r="C21151" s="6" t="s">
        <v>1</v>
      </c>
    </row>
    <row r="21152" spans="1:3" s="7" customFormat="1" x14ac:dyDescent="0.2">
      <c r="A21152" s="6" t="str">
        <f>"OBI1"</f>
        <v>OBI1</v>
      </c>
      <c r="B21152" s="6" t="s">
        <v>1</v>
      </c>
      <c r="C21152" s="6" t="s">
        <v>1</v>
      </c>
    </row>
    <row r="21153" spans="1:3" s="7" customFormat="1" x14ac:dyDescent="0.2">
      <c r="A21153" s="6" t="str">
        <f>"LINC01133"</f>
        <v>LINC01133</v>
      </c>
      <c r="B21153" s="6" t="s">
        <v>1</v>
      </c>
      <c r="C21153" s="6" t="s">
        <v>1</v>
      </c>
    </row>
    <row r="21154" spans="1:3" s="7" customFormat="1" x14ac:dyDescent="0.2">
      <c r="A21154" s="6" t="str">
        <f>"LENG9"</f>
        <v>LENG9</v>
      </c>
      <c r="B21154" s="6" t="s">
        <v>1</v>
      </c>
      <c r="C21154" s="6" t="s">
        <v>1</v>
      </c>
    </row>
    <row r="21155" spans="1:3" s="7" customFormat="1" x14ac:dyDescent="0.2">
      <c r="A21155" s="6" t="str">
        <f>"MED17"</f>
        <v>MED17</v>
      </c>
      <c r="B21155" s="6" t="s">
        <v>1</v>
      </c>
      <c r="C21155" s="6" t="s">
        <v>1</v>
      </c>
    </row>
    <row r="21156" spans="1:3" s="7" customFormat="1" x14ac:dyDescent="0.2">
      <c r="A21156" s="6" t="str">
        <f>"ZNF625-ZNF20"</f>
        <v>ZNF625-ZNF20</v>
      </c>
      <c r="B21156" s="6" t="s">
        <v>1</v>
      </c>
      <c r="C21156" s="6" t="s">
        <v>1</v>
      </c>
    </row>
    <row r="21157" spans="1:3" s="7" customFormat="1" x14ac:dyDescent="0.2">
      <c r="A21157" s="6" t="str">
        <f>"CRYBG2"</f>
        <v>CRYBG2</v>
      </c>
      <c r="B21157" s="6" t="s">
        <v>1</v>
      </c>
      <c r="C21157" s="6" t="s">
        <v>1</v>
      </c>
    </row>
    <row r="21158" spans="1:3" s="7" customFormat="1" x14ac:dyDescent="0.2">
      <c r="A21158" s="6" t="str">
        <f>"SAA2-SAA4"</f>
        <v>SAA2-SAA4</v>
      </c>
      <c r="B21158" s="6" t="s">
        <v>1</v>
      </c>
      <c r="C21158" s="6" t="s">
        <v>1</v>
      </c>
    </row>
    <row r="21159" spans="1:3" s="7" customFormat="1" x14ac:dyDescent="0.2">
      <c r="A21159" s="6" t="str">
        <f>"SRR"</f>
        <v>SRR</v>
      </c>
      <c r="B21159" s="6" t="s">
        <v>1</v>
      </c>
      <c r="C21159" s="6" t="s">
        <v>1</v>
      </c>
    </row>
    <row r="21160" spans="1:3" s="7" customFormat="1" x14ac:dyDescent="0.2">
      <c r="A21160" s="6" t="str">
        <f>"CASS4"</f>
        <v>CASS4</v>
      </c>
      <c r="B21160" s="6" t="s">
        <v>1</v>
      </c>
      <c r="C21160" s="6" t="s">
        <v>1</v>
      </c>
    </row>
    <row r="21161" spans="1:3" s="7" customFormat="1" x14ac:dyDescent="0.2">
      <c r="A21161" s="6" t="str">
        <f>"AC093512.2"</f>
        <v>AC093512.2</v>
      </c>
      <c r="B21161" s="6" t="s">
        <v>1</v>
      </c>
      <c r="C21161" s="6" t="s">
        <v>1</v>
      </c>
    </row>
    <row r="21162" spans="1:3" s="7" customFormat="1" x14ac:dyDescent="0.2">
      <c r="A21162" s="6" t="str">
        <f>"CCR1"</f>
        <v>CCR1</v>
      </c>
      <c r="B21162" s="6" t="s">
        <v>1</v>
      </c>
      <c r="C21162" s="6" t="s">
        <v>1</v>
      </c>
    </row>
    <row r="21163" spans="1:3" s="7" customFormat="1" x14ac:dyDescent="0.2">
      <c r="A21163" s="6" t="str">
        <f>"MED20"</f>
        <v>MED20</v>
      </c>
      <c r="B21163" s="6" t="s">
        <v>1</v>
      </c>
      <c r="C21163" s="6" t="s">
        <v>1</v>
      </c>
    </row>
    <row r="21164" spans="1:3" s="7" customFormat="1" x14ac:dyDescent="0.2">
      <c r="A21164" s="6" t="str">
        <f>"EXOSC8"</f>
        <v>EXOSC8</v>
      </c>
      <c r="B21164" s="6" t="s">
        <v>1</v>
      </c>
      <c r="C21164" s="6" t="s">
        <v>1</v>
      </c>
    </row>
    <row r="21165" spans="1:3" s="7" customFormat="1" x14ac:dyDescent="0.2">
      <c r="A21165" s="6" t="str">
        <f>"TMEM126B"</f>
        <v>TMEM126B</v>
      </c>
      <c r="B21165" s="6" t="s">
        <v>1</v>
      </c>
      <c r="C21165" s="6" t="s">
        <v>1</v>
      </c>
    </row>
    <row r="21166" spans="1:3" s="7" customFormat="1" x14ac:dyDescent="0.2">
      <c r="A21166" s="6" t="str">
        <f>"TTC7B"</f>
        <v>TTC7B</v>
      </c>
      <c r="B21166" s="6" t="s">
        <v>1</v>
      </c>
      <c r="C21166" s="6" t="s">
        <v>1</v>
      </c>
    </row>
    <row r="21167" spans="1:3" s="7" customFormat="1" x14ac:dyDescent="0.2">
      <c r="A21167" s="6" t="str">
        <f>"GJB4"</f>
        <v>GJB4</v>
      </c>
      <c r="B21167" s="6" t="s">
        <v>1</v>
      </c>
      <c r="C21167" s="6" t="s">
        <v>1</v>
      </c>
    </row>
    <row r="21168" spans="1:3" s="7" customFormat="1" x14ac:dyDescent="0.2">
      <c r="A21168" s="6" t="str">
        <f>"SAMD10"</f>
        <v>SAMD10</v>
      </c>
      <c r="B21168" s="6" t="s">
        <v>1</v>
      </c>
      <c r="C21168" s="6" t="s">
        <v>1</v>
      </c>
    </row>
    <row r="21169" spans="1:3" s="7" customFormat="1" x14ac:dyDescent="0.2">
      <c r="A21169" s="6" t="str">
        <f>"CNTLN"</f>
        <v>CNTLN</v>
      </c>
      <c r="B21169" s="6" t="s">
        <v>1</v>
      </c>
      <c r="C21169" s="6" t="s">
        <v>1</v>
      </c>
    </row>
    <row r="21170" spans="1:3" s="7" customFormat="1" x14ac:dyDescent="0.2">
      <c r="A21170" s="6" t="str">
        <f>"MCM8"</f>
        <v>MCM8</v>
      </c>
      <c r="B21170" s="6" t="s">
        <v>1</v>
      </c>
      <c r="C21170" s="6" t="s">
        <v>1</v>
      </c>
    </row>
    <row r="21171" spans="1:3" s="7" customFormat="1" x14ac:dyDescent="0.2">
      <c r="A21171" s="6" t="str">
        <f>"RPP21"</f>
        <v>RPP21</v>
      </c>
      <c r="B21171" s="6" t="s">
        <v>1</v>
      </c>
      <c r="C21171" s="6" t="s">
        <v>1</v>
      </c>
    </row>
    <row r="21172" spans="1:3" s="7" customFormat="1" x14ac:dyDescent="0.2">
      <c r="A21172" s="6" t="str">
        <f>"INTS2"</f>
        <v>INTS2</v>
      </c>
      <c r="B21172" s="6" t="s">
        <v>1</v>
      </c>
      <c r="C21172" s="6" t="s">
        <v>1</v>
      </c>
    </row>
    <row r="21173" spans="1:3" s="7" customFormat="1" x14ac:dyDescent="0.2">
      <c r="A21173" s="6" t="str">
        <f>"KLK6"</f>
        <v>KLK6</v>
      </c>
      <c r="B21173" s="6" t="s">
        <v>1</v>
      </c>
      <c r="C21173" s="6" t="s">
        <v>1</v>
      </c>
    </row>
    <row r="21174" spans="1:3" s="7" customFormat="1" x14ac:dyDescent="0.2">
      <c r="A21174" s="6" t="str">
        <f>"MITF"</f>
        <v>MITF</v>
      </c>
      <c r="B21174" s="6" t="s">
        <v>1</v>
      </c>
      <c r="C21174" s="6" t="s">
        <v>1</v>
      </c>
    </row>
    <row r="21175" spans="1:3" s="7" customFormat="1" x14ac:dyDescent="0.2">
      <c r="A21175" s="6" t="str">
        <f>"NDUFAF8"</f>
        <v>NDUFAF8</v>
      </c>
      <c r="B21175" s="6" t="s">
        <v>1</v>
      </c>
      <c r="C21175" s="6" t="s">
        <v>1</v>
      </c>
    </row>
    <row r="21176" spans="1:3" s="7" customFormat="1" x14ac:dyDescent="0.2">
      <c r="A21176" s="6" t="str">
        <f>"LINC01106"</f>
        <v>LINC01106</v>
      </c>
      <c r="B21176" s="6" t="s">
        <v>1</v>
      </c>
      <c r="C21176" s="6" t="s">
        <v>1</v>
      </c>
    </row>
    <row r="21177" spans="1:3" s="7" customFormat="1" x14ac:dyDescent="0.2">
      <c r="A21177" s="6" t="str">
        <f>"ATAD2"</f>
        <v>ATAD2</v>
      </c>
      <c r="B21177" s="6" t="s">
        <v>1</v>
      </c>
      <c r="C21177" s="6" t="s">
        <v>1</v>
      </c>
    </row>
    <row r="21178" spans="1:3" s="7" customFormat="1" x14ac:dyDescent="0.2">
      <c r="A21178" s="6" t="str">
        <f>"ZNF605"</f>
        <v>ZNF605</v>
      </c>
      <c r="B21178" s="6" t="s">
        <v>1</v>
      </c>
      <c r="C21178" s="6" t="s">
        <v>1</v>
      </c>
    </row>
    <row r="21179" spans="1:3" s="7" customFormat="1" x14ac:dyDescent="0.2">
      <c r="A21179" s="6" t="str">
        <f>"TNFRSF10A"</f>
        <v>TNFRSF10A</v>
      </c>
      <c r="B21179" s="6" t="s">
        <v>1</v>
      </c>
      <c r="C21179" s="6" t="s">
        <v>1</v>
      </c>
    </row>
    <row r="21180" spans="1:3" s="7" customFormat="1" x14ac:dyDescent="0.2">
      <c r="A21180" s="6" t="str">
        <f>"SRFBP1"</f>
        <v>SRFBP1</v>
      </c>
      <c r="B21180" s="6" t="s">
        <v>1</v>
      </c>
      <c r="C21180" s="6" t="s">
        <v>1</v>
      </c>
    </row>
    <row r="21181" spans="1:3" s="7" customFormat="1" x14ac:dyDescent="0.2">
      <c r="A21181" s="6" t="str">
        <f>"MED31"</f>
        <v>MED31</v>
      </c>
      <c r="B21181" s="6" t="s">
        <v>1</v>
      </c>
      <c r="C21181" s="6" t="s">
        <v>1</v>
      </c>
    </row>
    <row r="21182" spans="1:3" s="7" customFormat="1" x14ac:dyDescent="0.2">
      <c r="A21182" s="6" t="str">
        <f>"VIPAS39"</f>
        <v>VIPAS39</v>
      </c>
      <c r="B21182" s="6" t="s">
        <v>1</v>
      </c>
      <c r="C21182" s="6" t="s">
        <v>1</v>
      </c>
    </row>
    <row r="21183" spans="1:3" s="7" customFormat="1" x14ac:dyDescent="0.2">
      <c r="A21183" s="6" t="str">
        <f>"CREB5"</f>
        <v>CREB5</v>
      </c>
      <c r="B21183" s="6" t="s">
        <v>1</v>
      </c>
      <c r="C21183" s="6" t="s">
        <v>1</v>
      </c>
    </row>
    <row r="21184" spans="1:3" s="7" customFormat="1" x14ac:dyDescent="0.2">
      <c r="A21184" s="6" t="str">
        <f>"WNT5B"</f>
        <v>WNT5B</v>
      </c>
      <c r="B21184" s="6" t="s">
        <v>1</v>
      </c>
      <c r="C21184" s="6" t="s">
        <v>1</v>
      </c>
    </row>
    <row r="21185" spans="1:3" s="7" customFormat="1" x14ac:dyDescent="0.2">
      <c r="A21185" s="6" t="str">
        <f>"CYP2U1"</f>
        <v>CYP2U1</v>
      </c>
      <c r="B21185" s="6" t="s">
        <v>1</v>
      </c>
      <c r="C21185" s="6" t="s">
        <v>1</v>
      </c>
    </row>
    <row r="21186" spans="1:3" s="7" customFormat="1" x14ac:dyDescent="0.2">
      <c r="A21186" s="6" t="str">
        <f>"SMARCAL1"</f>
        <v>SMARCAL1</v>
      </c>
      <c r="B21186" s="6" t="s">
        <v>1</v>
      </c>
      <c r="C21186" s="6" t="s">
        <v>1</v>
      </c>
    </row>
    <row r="21187" spans="1:3" s="7" customFormat="1" x14ac:dyDescent="0.2">
      <c r="A21187" s="6" t="str">
        <f>"GRB10"</f>
        <v>GRB10</v>
      </c>
      <c r="B21187" s="6" t="s">
        <v>1</v>
      </c>
      <c r="C21187" s="6" t="s">
        <v>1</v>
      </c>
    </row>
    <row r="21188" spans="1:3" s="7" customFormat="1" x14ac:dyDescent="0.2">
      <c r="A21188" s="6" t="str">
        <f>"EXOSC3"</f>
        <v>EXOSC3</v>
      </c>
      <c r="B21188" s="6" t="s">
        <v>1</v>
      </c>
      <c r="C21188" s="6" t="s">
        <v>1</v>
      </c>
    </row>
    <row r="21189" spans="1:3" s="7" customFormat="1" x14ac:dyDescent="0.2">
      <c r="A21189" s="6" t="str">
        <f>"KLHDC8A"</f>
        <v>KLHDC8A</v>
      </c>
      <c r="B21189" s="6" t="s">
        <v>1</v>
      </c>
      <c r="C21189" s="6" t="s">
        <v>1</v>
      </c>
    </row>
    <row r="21190" spans="1:3" s="7" customFormat="1" x14ac:dyDescent="0.2">
      <c r="A21190" s="6" t="str">
        <f>"ZNF606"</f>
        <v>ZNF606</v>
      </c>
      <c r="B21190" s="6" t="s">
        <v>1</v>
      </c>
      <c r="C21190" s="6" t="s">
        <v>1</v>
      </c>
    </row>
    <row r="21191" spans="1:3" s="7" customFormat="1" x14ac:dyDescent="0.2">
      <c r="A21191" s="6" t="str">
        <f>"TRIAP1"</f>
        <v>TRIAP1</v>
      </c>
      <c r="B21191" s="6" t="s">
        <v>1</v>
      </c>
      <c r="C21191" s="6" t="s">
        <v>1</v>
      </c>
    </row>
    <row r="21192" spans="1:3" s="7" customFormat="1" x14ac:dyDescent="0.2">
      <c r="A21192" s="6" t="str">
        <f>"GRHL3"</f>
        <v>GRHL3</v>
      </c>
      <c r="B21192" s="6" t="s">
        <v>1</v>
      </c>
      <c r="C21192" s="6" t="s">
        <v>1</v>
      </c>
    </row>
    <row r="21193" spans="1:3" s="7" customFormat="1" x14ac:dyDescent="0.2">
      <c r="A21193" s="6" t="str">
        <f>"CARNMT1"</f>
        <v>CARNMT1</v>
      </c>
      <c r="B21193" s="6" t="s">
        <v>1</v>
      </c>
      <c r="C21193" s="6" t="s">
        <v>1</v>
      </c>
    </row>
    <row r="21194" spans="1:3" s="7" customFormat="1" x14ac:dyDescent="0.2">
      <c r="A21194" s="6" t="str">
        <f>"DOCK2"</f>
        <v>DOCK2</v>
      </c>
      <c r="B21194" s="6" t="s">
        <v>1</v>
      </c>
      <c r="C21194" s="6" t="s">
        <v>1</v>
      </c>
    </row>
    <row r="21195" spans="1:3" s="7" customFormat="1" x14ac:dyDescent="0.2">
      <c r="A21195" s="6" t="str">
        <f>"EXOSC2"</f>
        <v>EXOSC2</v>
      </c>
      <c r="B21195" s="6" t="s">
        <v>1</v>
      </c>
      <c r="C21195" s="6" t="s">
        <v>1</v>
      </c>
    </row>
    <row r="21196" spans="1:3" s="7" customFormat="1" x14ac:dyDescent="0.2">
      <c r="A21196" s="6" t="str">
        <f>"LONRF1"</f>
        <v>LONRF1</v>
      </c>
      <c r="B21196" s="6" t="s">
        <v>1</v>
      </c>
      <c r="C21196" s="6" t="s">
        <v>1</v>
      </c>
    </row>
    <row r="21197" spans="1:3" s="7" customFormat="1" x14ac:dyDescent="0.2">
      <c r="A21197" s="6" t="str">
        <f>"LGR6"</f>
        <v>LGR6</v>
      </c>
      <c r="B21197" s="6" t="s">
        <v>1</v>
      </c>
      <c r="C21197" s="6" t="s">
        <v>1</v>
      </c>
    </row>
    <row r="21198" spans="1:3" s="7" customFormat="1" x14ac:dyDescent="0.2">
      <c r="A21198" s="6" t="str">
        <f>"INTS12"</f>
        <v>INTS12</v>
      </c>
      <c r="B21198" s="6" t="s">
        <v>1</v>
      </c>
      <c r="C21198" s="6" t="s">
        <v>1</v>
      </c>
    </row>
    <row r="21199" spans="1:3" s="7" customFormat="1" x14ac:dyDescent="0.2">
      <c r="A21199" s="6" t="str">
        <f>"PLIN5"</f>
        <v>PLIN5</v>
      </c>
      <c r="B21199" s="6" t="s">
        <v>1</v>
      </c>
      <c r="C21199" s="6" t="s">
        <v>1</v>
      </c>
    </row>
    <row r="21200" spans="1:3" s="7" customFormat="1" x14ac:dyDescent="0.2">
      <c r="A21200" s="6" t="str">
        <f>"S100A7"</f>
        <v>S100A7</v>
      </c>
      <c r="B21200" s="6" t="s">
        <v>1</v>
      </c>
      <c r="C21200" s="6" t="s">
        <v>1</v>
      </c>
    </row>
    <row r="21201" spans="1:3" s="7" customFormat="1" x14ac:dyDescent="0.2">
      <c r="A21201" s="6" t="str">
        <f>"CRISPLD1"</f>
        <v>CRISPLD1</v>
      </c>
      <c r="B21201" s="6" t="s">
        <v>1</v>
      </c>
      <c r="C21201" s="6" t="s">
        <v>1</v>
      </c>
    </row>
    <row r="21202" spans="1:3" s="7" customFormat="1" x14ac:dyDescent="0.2">
      <c r="A21202" s="6" t="str">
        <f>"TBC1D30"</f>
        <v>TBC1D30</v>
      </c>
      <c r="B21202" s="6" t="s">
        <v>1</v>
      </c>
      <c r="C21202" s="6" t="s">
        <v>1</v>
      </c>
    </row>
    <row r="21203" spans="1:3" s="7" customFormat="1" x14ac:dyDescent="0.2">
      <c r="A21203" s="6" t="str">
        <f>"PAFAH1B3"</f>
        <v>PAFAH1B3</v>
      </c>
      <c r="B21203" s="6" t="s">
        <v>1</v>
      </c>
      <c r="C21203" s="6" t="s">
        <v>1</v>
      </c>
    </row>
    <row r="21204" spans="1:3" s="7" customFormat="1" x14ac:dyDescent="0.2">
      <c r="A21204" s="6" t="str">
        <f>"GLIPR1"</f>
        <v>GLIPR1</v>
      </c>
      <c r="B21204" s="6" t="s">
        <v>1</v>
      </c>
      <c r="C21204" s="6" t="s">
        <v>1</v>
      </c>
    </row>
    <row r="21205" spans="1:3" s="7" customFormat="1" x14ac:dyDescent="0.2">
      <c r="A21205" s="6" t="str">
        <f>"MKI67"</f>
        <v>MKI67</v>
      </c>
      <c r="B21205" s="6" t="s">
        <v>1</v>
      </c>
      <c r="C21205" s="6" t="s">
        <v>1</v>
      </c>
    </row>
    <row r="21206" spans="1:3" s="7" customFormat="1" x14ac:dyDescent="0.2">
      <c r="A21206" s="6" t="str">
        <f>"EED"</f>
        <v>EED</v>
      </c>
      <c r="B21206" s="6" t="s">
        <v>1</v>
      </c>
      <c r="C21206" s="6" t="s">
        <v>1</v>
      </c>
    </row>
    <row r="21207" spans="1:3" s="7" customFormat="1" x14ac:dyDescent="0.2">
      <c r="A21207" s="6" t="str">
        <f>"ZNF275"</f>
        <v>ZNF275</v>
      </c>
      <c r="B21207" s="6" t="s">
        <v>1</v>
      </c>
      <c r="C21207" s="6" t="s">
        <v>1</v>
      </c>
    </row>
    <row r="21208" spans="1:3" s="7" customFormat="1" x14ac:dyDescent="0.2">
      <c r="A21208" s="6" t="str">
        <f>"CCNB1IP1"</f>
        <v>CCNB1IP1</v>
      </c>
      <c r="B21208" s="6" t="s">
        <v>1</v>
      </c>
      <c r="C21208" s="6" t="s">
        <v>1</v>
      </c>
    </row>
    <row r="21209" spans="1:3" s="7" customFormat="1" x14ac:dyDescent="0.2">
      <c r="A21209" s="6" t="str">
        <f>"SRRD"</f>
        <v>SRRD</v>
      </c>
      <c r="B21209" s="6" t="s">
        <v>1</v>
      </c>
      <c r="C21209" s="6" t="s">
        <v>1</v>
      </c>
    </row>
    <row r="21210" spans="1:3" s="7" customFormat="1" x14ac:dyDescent="0.2">
      <c r="A21210" s="6" t="str">
        <f>"PPARGC1B"</f>
        <v>PPARGC1B</v>
      </c>
      <c r="B21210" s="6" t="s">
        <v>1</v>
      </c>
      <c r="C21210" s="6" t="s">
        <v>1</v>
      </c>
    </row>
    <row r="21211" spans="1:3" s="7" customFormat="1" x14ac:dyDescent="0.2">
      <c r="A21211" s="6" t="str">
        <f>"IQCC"</f>
        <v>IQCC</v>
      </c>
      <c r="B21211" s="6" t="s">
        <v>1</v>
      </c>
      <c r="C21211" s="6" t="s">
        <v>1</v>
      </c>
    </row>
    <row r="21212" spans="1:3" s="7" customFormat="1" x14ac:dyDescent="0.2">
      <c r="A21212" s="6" t="str">
        <f>"LDHD"</f>
        <v>LDHD</v>
      </c>
      <c r="B21212" s="6" t="s">
        <v>1</v>
      </c>
      <c r="C21212" s="6" t="s">
        <v>1</v>
      </c>
    </row>
    <row r="21213" spans="1:3" s="7" customFormat="1" x14ac:dyDescent="0.2">
      <c r="A21213" s="6" t="str">
        <f>"TGFB2"</f>
        <v>TGFB2</v>
      </c>
      <c r="B21213" s="6" t="s">
        <v>1</v>
      </c>
      <c r="C21213" s="6" t="s">
        <v>1</v>
      </c>
    </row>
    <row r="21214" spans="1:3" s="7" customFormat="1" x14ac:dyDescent="0.2">
      <c r="A21214" s="6" t="str">
        <f>"HAS3"</f>
        <v>HAS3</v>
      </c>
      <c r="B21214" s="6" t="s">
        <v>1</v>
      </c>
      <c r="C21214" s="6" t="s">
        <v>1</v>
      </c>
    </row>
    <row r="21215" spans="1:3" s="7" customFormat="1" x14ac:dyDescent="0.2">
      <c r="A21215" s="6" t="str">
        <f>"SLC25A43"</f>
        <v>SLC25A43</v>
      </c>
      <c r="B21215" s="6" t="s">
        <v>1</v>
      </c>
      <c r="C21215" s="6" t="s">
        <v>1</v>
      </c>
    </row>
    <row r="21216" spans="1:3" s="7" customFormat="1" x14ac:dyDescent="0.2">
      <c r="A21216" s="6" t="str">
        <f>"MIS12"</f>
        <v>MIS12</v>
      </c>
      <c r="B21216" s="6" t="s">
        <v>1</v>
      </c>
      <c r="C21216" s="6" t="s">
        <v>1</v>
      </c>
    </row>
    <row r="21217" spans="1:3" s="7" customFormat="1" x14ac:dyDescent="0.2">
      <c r="A21217" s="6" t="str">
        <f>"INO80C"</f>
        <v>INO80C</v>
      </c>
      <c r="B21217" s="6" t="s">
        <v>1</v>
      </c>
      <c r="C21217" s="6" t="s">
        <v>1</v>
      </c>
    </row>
    <row r="21218" spans="1:3" s="7" customFormat="1" x14ac:dyDescent="0.2">
      <c r="A21218" s="6" t="str">
        <f>"FMO5"</f>
        <v>FMO5</v>
      </c>
      <c r="B21218" s="6" t="s">
        <v>1</v>
      </c>
      <c r="C21218" s="6" t="s">
        <v>1</v>
      </c>
    </row>
    <row r="21219" spans="1:3" s="7" customFormat="1" x14ac:dyDescent="0.2">
      <c r="A21219" s="6" t="str">
        <f>"VKORC1"</f>
        <v>VKORC1</v>
      </c>
      <c r="B21219" s="6" t="s">
        <v>1</v>
      </c>
      <c r="C21219" s="6" t="s">
        <v>1</v>
      </c>
    </row>
    <row r="21220" spans="1:3" s="7" customFormat="1" x14ac:dyDescent="0.2">
      <c r="A21220" s="6" t="str">
        <f>"FANCI"</f>
        <v>FANCI</v>
      </c>
      <c r="B21220" s="6" t="s">
        <v>1</v>
      </c>
      <c r="C21220" s="6" t="s">
        <v>1</v>
      </c>
    </row>
    <row r="21221" spans="1:3" s="7" customFormat="1" x14ac:dyDescent="0.2">
      <c r="A21221" s="6" t="str">
        <f>"FKBP6"</f>
        <v>FKBP6</v>
      </c>
      <c r="B21221" s="6" t="s">
        <v>1</v>
      </c>
      <c r="C21221" s="6" t="s">
        <v>1</v>
      </c>
    </row>
    <row r="21222" spans="1:3" s="7" customFormat="1" x14ac:dyDescent="0.2">
      <c r="A21222" s="6" t="str">
        <f>"KLK7"</f>
        <v>KLK7</v>
      </c>
      <c r="B21222" s="6" t="s">
        <v>1</v>
      </c>
      <c r="C21222" s="6" t="s">
        <v>1</v>
      </c>
    </row>
    <row r="21223" spans="1:3" s="7" customFormat="1" x14ac:dyDescent="0.2">
      <c r="A21223" s="6" t="str">
        <f>"MAK16"</f>
        <v>MAK16</v>
      </c>
      <c r="B21223" s="6" t="s">
        <v>1</v>
      </c>
      <c r="C21223" s="6" t="s">
        <v>1</v>
      </c>
    </row>
    <row r="21224" spans="1:3" s="7" customFormat="1" x14ac:dyDescent="0.2">
      <c r="A21224" s="6" t="str">
        <f>"TNFRSF6B"</f>
        <v>TNFRSF6B</v>
      </c>
      <c r="B21224" s="6" t="s">
        <v>1</v>
      </c>
      <c r="C21224" s="6" t="s">
        <v>1</v>
      </c>
    </row>
    <row r="21225" spans="1:3" s="7" customFormat="1" x14ac:dyDescent="0.2">
      <c r="A21225" s="6" t="str">
        <f>"MYL6B"</f>
        <v>MYL6B</v>
      </c>
      <c r="B21225" s="6" t="s">
        <v>1</v>
      </c>
      <c r="C21225" s="6" t="s">
        <v>1</v>
      </c>
    </row>
    <row r="21226" spans="1:3" s="7" customFormat="1" x14ac:dyDescent="0.2">
      <c r="A21226" s="6" t="str">
        <f>"AC060780.1"</f>
        <v>AC060780.1</v>
      </c>
      <c r="B21226" s="6" t="s">
        <v>1</v>
      </c>
      <c r="C21226" s="6" t="s">
        <v>1</v>
      </c>
    </row>
    <row r="21227" spans="1:3" s="7" customFormat="1" x14ac:dyDescent="0.2">
      <c r="A21227" s="6" t="str">
        <f>"PCSK4"</f>
        <v>PCSK4</v>
      </c>
      <c r="B21227" s="6" t="s">
        <v>1</v>
      </c>
      <c r="C21227" s="6" t="s">
        <v>1</v>
      </c>
    </row>
    <row r="21228" spans="1:3" s="7" customFormat="1" x14ac:dyDescent="0.2">
      <c r="A21228" s="6" t="str">
        <f>"STXBP4"</f>
        <v>STXBP4</v>
      </c>
      <c r="B21228" s="6" t="s">
        <v>1</v>
      </c>
      <c r="C21228" s="6" t="s">
        <v>1</v>
      </c>
    </row>
    <row r="21229" spans="1:3" s="7" customFormat="1" x14ac:dyDescent="0.2">
      <c r="A21229" s="6" t="str">
        <f>"RPP30"</f>
        <v>RPP30</v>
      </c>
      <c r="B21229" s="6" t="s">
        <v>1</v>
      </c>
      <c r="C21229" s="6" t="s">
        <v>1</v>
      </c>
    </row>
    <row r="21230" spans="1:3" s="7" customFormat="1" x14ac:dyDescent="0.2">
      <c r="A21230" s="6" t="str">
        <f>"SLC26A4-AS1"</f>
        <v>SLC26A4-AS1</v>
      </c>
      <c r="B21230" s="6" t="s">
        <v>1</v>
      </c>
      <c r="C21230" s="6" t="s">
        <v>1</v>
      </c>
    </row>
    <row r="21231" spans="1:3" s="7" customFormat="1" x14ac:dyDescent="0.2">
      <c r="A21231" s="6" t="str">
        <f>"SHANK3"</f>
        <v>SHANK3</v>
      </c>
      <c r="B21231" s="6" t="s">
        <v>1</v>
      </c>
      <c r="C21231" s="6" t="s">
        <v>1</v>
      </c>
    </row>
    <row r="21232" spans="1:3" s="7" customFormat="1" x14ac:dyDescent="0.2">
      <c r="A21232" s="6" t="str">
        <f>"MLLT3"</f>
        <v>MLLT3</v>
      </c>
      <c r="B21232" s="6" t="s">
        <v>1</v>
      </c>
      <c r="C21232" s="6" t="s">
        <v>1</v>
      </c>
    </row>
    <row r="21233" spans="1:3" s="7" customFormat="1" x14ac:dyDescent="0.2">
      <c r="A21233" s="6" t="str">
        <f>"UGGT2"</f>
        <v>UGGT2</v>
      </c>
      <c r="B21233" s="6" t="s">
        <v>1</v>
      </c>
      <c r="C21233" s="6" t="s">
        <v>1</v>
      </c>
    </row>
    <row r="21234" spans="1:3" s="7" customFormat="1" x14ac:dyDescent="0.2">
      <c r="A21234" s="6" t="str">
        <f>"HABP4"</f>
        <v>HABP4</v>
      </c>
      <c r="B21234" s="6" t="s">
        <v>1</v>
      </c>
      <c r="C21234" s="6" t="s">
        <v>1</v>
      </c>
    </row>
    <row r="21235" spans="1:3" s="7" customFormat="1" x14ac:dyDescent="0.2">
      <c r="A21235" s="6" t="str">
        <f>"WNT4"</f>
        <v>WNT4</v>
      </c>
      <c r="B21235" s="6" t="s">
        <v>1</v>
      </c>
      <c r="C21235" s="6" t="s">
        <v>1</v>
      </c>
    </row>
    <row r="21236" spans="1:3" s="7" customFormat="1" x14ac:dyDescent="0.2">
      <c r="A21236" s="6" t="str">
        <f>"RPP25"</f>
        <v>RPP25</v>
      </c>
      <c r="B21236" s="6" t="s">
        <v>1</v>
      </c>
      <c r="C21236" s="6" t="s">
        <v>1</v>
      </c>
    </row>
    <row r="21237" spans="1:3" s="7" customFormat="1" x14ac:dyDescent="0.2">
      <c r="A21237" s="6" t="str">
        <f>"N4BP3"</f>
        <v>N4BP3</v>
      </c>
      <c r="B21237" s="6" t="s">
        <v>1</v>
      </c>
      <c r="C21237" s="6" t="s">
        <v>1</v>
      </c>
    </row>
    <row r="21238" spans="1:3" s="7" customFormat="1" x14ac:dyDescent="0.2">
      <c r="A21238" s="6" t="str">
        <f>"COA7"</f>
        <v>COA7</v>
      </c>
      <c r="B21238" s="6" t="s">
        <v>1</v>
      </c>
      <c r="C21238" s="6" t="s">
        <v>1</v>
      </c>
    </row>
    <row r="21239" spans="1:3" s="7" customFormat="1" x14ac:dyDescent="0.2">
      <c r="A21239" s="6" t="str">
        <f>"GPR87"</f>
        <v>GPR87</v>
      </c>
      <c r="B21239" s="6" t="s">
        <v>1</v>
      </c>
      <c r="C21239" s="6" t="s">
        <v>1</v>
      </c>
    </row>
    <row r="21240" spans="1:3" s="7" customFormat="1" x14ac:dyDescent="0.2">
      <c r="A21240" s="6" t="str">
        <f>"MED19"</f>
        <v>MED19</v>
      </c>
      <c r="B21240" s="6" t="s">
        <v>1</v>
      </c>
      <c r="C21240" s="6" t="s">
        <v>1</v>
      </c>
    </row>
    <row r="21241" spans="1:3" s="7" customFormat="1" x14ac:dyDescent="0.2">
      <c r="A21241" s="6" t="str">
        <f>"ZSCAN32"</f>
        <v>ZSCAN32</v>
      </c>
      <c r="B21241" s="6" t="s">
        <v>1</v>
      </c>
      <c r="C21241" s="6" t="s">
        <v>1</v>
      </c>
    </row>
    <row r="21242" spans="1:3" s="7" customFormat="1" x14ac:dyDescent="0.2">
      <c r="A21242" s="6" t="str">
        <f>"CHST14"</f>
        <v>CHST14</v>
      </c>
      <c r="B21242" s="6" t="s">
        <v>1</v>
      </c>
      <c r="C21242" s="6" t="s">
        <v>1</v>
      </c>
    </row>
    <row r="21243" spans="1:3" s="7" customFormat="1" x14ac:dyDescent="0.2">
      <c r="A21243" s="6" t="str">
        <f>"CARD8"</f>
        <v>CARD8</v>
      </c>
      <c r="B21243" s="6" t="s">
        <v>1</v>
      </c>
      <c r="C21243" s="6" t="s">
        <v>1</v>
      </c>
    </row>
    <row r="21244" spans="1:3" s="7" customFormat="1" x14ac:dyDescent="0.2">
      <c r="A21244" s="6" t="str">
        <f>"KLHL11"</f>
        <v>KLHL11</v>
      </c>
      <c r="B21244" s="6" t="s">
        <v>1</v>
      </c>
      <c r="C21244" s="6" t="s">
        <v>1</v>
      </c>
    </row>
    <row r="21245" spans="1:3" s="7" customFormat="1" x14ac:dyDescent="0.2">
      <c r="A21245" s="6" t="str">
        <f>"ZNF593"</f>
        <v>ZNF593</v>
      </c>
      <c r="B21245" s="6" t="s">
        <v>1</v>
      </c>
      <c r="C21245" s="6" t="s">
        <v>1</v>
      </c>
    </row>
    <row r="21246" spans="1:3" s="7" customFormat="1" x14ac:dyDescent="0.2">
      <c r="A21246" s="6" t="str">
        <f>"RETREG1"</f>
        <v>RETREG1</v>
      </c>
      <c r="B21246" s="6" t="s">
        <v>1</v>
      </c>
      <c r="C21246" s="6" t="s">
        <v>1</v>
      </c>
    </row>
    <row r="21247" spans="1:3" s="7" customFormat="1" x14ac:dyDescent="0.2">
      <c r="A21247" s="6" t="str">
        <f>"THAP6"</f>
        <v>THAP6</v>
      </c>
      <c r="B21247" s="6" t="s">
        <v>1</v>
      </c>
      <c r="C21247" s="6" t="s">
        <v>1</v>
      </c>
    </row>
    <row r="21248" spans="1:3" s="7" customFormat="1" x14ac:dyDescent="0.2">
      <c r="A21248" s="6" t="str">
        <f>"C2orf69"</f>
        <v>C2orf69</v>
      </c>
      <c r="B21248" s="6" t="s">
        <v>1</v>
      </c>
      <c r="C21248" s="6" t="s">
        <v>1</v>
      </c>
    </row>
    <row r="21249" spans="1:3" s="7" customFormat="1" x14ac:dyDescent="0.2">
      <c r="A21249" s="6" t="str">
        <f>"AC004832.1"</f>
        <v>AC004832.1</v>
      </c>
      <c r="B21249" s="6" t="s">
        <v>1</v>
      </c>
      <c r="C21249" s="6" t="s">
        <v>1</v>
      </c>
    </row>
    <row r="21250" spans="1:3" s="7" customFormat="1" x14ac:dyDescent="0.2">
      <c r="A21250" s="6" t="str">
        <f>"MED27"</f>
        <v>MED27</v>
      </c>
      <c r="B21250" s="6" t="s">
        <v>1</v>
      </c>
      <c r="C21250" s="6" t="s">
        <v>1</v>
      </c>
    </row>
    <row r="21251" spans="1:3" s="7" customFormat="1" x14ac:dyDescent="0.2">
      <c r="A21251" s="6" t="str">
        <f>"KATNAL1"</f>
        <v>KATNAL1</v>
      </c>
      <c r="B21251" s="6" t="s">
        <v>1</v>
      </c>
      <c r="C21251" s="6" t="s">
        <v>1</v>
      </c>
    </row>
    <row r="21252" spans="1:3" s="7" customFormat="1" x14ac:dyDescent="0.2">
      <c r="A21252" s="6" t="str">
        <f>"TBC1D3L"</f>
        <v>TBC1D3L</v>
      </c>
      <c r="B21252" s="6" t="s">
        <v>1</v>
      </c>
      <c r="C21252" s="6" t="s">
        <v>1</v>
      </c>
    </row>
    <row r="21253" spans="1:3" s="7" customFormat="1" x14ac:dyDescent="0.2">
      <c r="A21253" s="6" t="str">
        <f>"DNAJC17"</f>
        <v>DNAJC17</v>
      </c>
      <c r="B21253" s="6" t="s">
        <v>1</v>
      </c>
      <c r="C21253" s="6" t="s">
        <v>1</v>
      </c>
    </row>
    <row r="21254" spans="1:3" s="7" customFormat="1" x14ac:dyDescent="0.2">
      <c r="A21254" s="6" t="str">
        <f>"SH3RF3"</f>
        <v>SH3RF3</v>
      </c>
      <c r="B21254" s="6" t="s">
        <v>1</v>
      </c>
      <c r="C21254" s="6" t="s">
        <v>1</v>
      </c>
    </row>
    <row r="21255" spans="1:3" s="7" customFormat="1" x14ac:dyDescent="0.2">
      <c r="A21255" s="6" t="str">
        <f>"AC022107.1"</f>
        <v>AC022107.1</v>
      </c>
      <c r="B21255" s="6" t="s">
        <v>1</v>
      </c>
      <c r="C21255" s="6" t="s">
        <v>1</v>
      </c>
    </row>
    <row r="21256" spans="1:3" s="7" customFormat="1" x14ac:dyDescent="0.2">
      <c r="A21256" s="6" t="str">
        <f>"TMEM128"</f>
        <v>TMEM128</v>
      </c>
      <c r="B21256" s="6" t="s">
        <v>1</v>
      </c>
      <c r="C21256" s="6" t="s">
        <v>1</v>
      </c>
    </row>
    <row r="21257" spans="1:3" s="7" customFormat="1" x14ac:dyDescent="0.2">
      <c r="A21257" s="6" t="str">
        <f>"NDUFAF6"</f>
        <v>NDUFAF6</v>
      </c>
      <c r="B21257" s="6" t="s">
        <v>1</v>
      </c>
      <c r="C21257" s="6" t="s">
        <v>1</v>
      </c>
    </row>
    <row r="21258" spans="1:3" s="7" customFormat="1" x14ac:dyDescent="0.2">
      <c r="A21258" s="6" t="str">
        <f>"COA6"</f>
        <v>COA6</v>
      </c>
      <c r="B21258" s="6" t="s">
        <v>1</v>
      </c>
      <c r="C21258" s="6" t="s">
        <v>1</v>
      </c>
    </row>
    <row r="21259" spans="1:3" s="7" customFormat="1" x14ac:dyDescent="0.2">
      <c r="A21259" s="6" t="str">
        <f>"COA8"</f>
        <v>COA8</v>
      </c>
      <c r="B21259" s="6" t="s">
        <v>1</v>
      </c>
      <c r="C21259" s="6" t="s">
        <v>1</v>
      </c>
    </row>
    <row r="21260" spans="1:3" s="7" customFormat="1" x14ac:dyDescent="0.2">
      <c r="A21260" s="6" t="str">
        <f>"TGIF2"</f>
        <v>TGIF2</v>
      </c>
      <c r="B21260" s="6" t="s">
        <v>1</v>
      </c>
      <c r="C21260" s="6" t="s">
        <v>1</v>
      </c>
    </row>
    <row r="21261" spans="1:3" s="7" customFormat="1" x14ac:dyDescent="0.2">
      <c r="A21261" s="6" t="str">
        <f>"DNAJC19"</f>
        <v>DNAJC19</v>
      </c>
      <c r="B21261" s="6" t="s">
        <v>1</v>
      </c>
      <c r="C21261" s="6" t="s">
        <v>1</v>
      </c>
    </row>
    <row r="21262" spans="1:3" s="7" customFormat="1" x14ac:dyDescent="0.2">
      <c r="A21262" s="6" t="str">
        <f>"PRMT3"</f>
        <v>PRMT3</v>
      </c>
      <c r="B21262" s="6" t="s">
        <v>1</v>
      </c>
      <c r="C21262" s="6" t="s">
        <v>1</v>
      </c>
    </row>
    <row r="21263" spans="1:3" s="7" customFormat="1" x14ac:dyDescent="0.2">
      <c r="A21263" s="6" t="str">
        <f>"LINC02188"</f>
        <v>LINC02188</v>
      </c>
      <c r="B21263" s="6" t="s">
        <v>1</v>
      </c>
      <c r="C21263" s="6" t="s">
        <v>1</v>
      </c>
    </row>
    <row r="21264" spans="1:3" s="7" customFormat="1" x14ac:dyDescent="0.2">
      <c r="A21264" s="6" t="str">
        <f>"INTS9"</f>
        <v>INTS9</v>
      </c>
      <c r="B21264" s="6" t="s">
        <v>1</v>
      </c>
      <c r="C21264" s="6" t="s">
        <v>1</v>
      </c>
    </row>
    <row r="21265" spans="1:3" s="7" customFormat="1" x14ac:dyDescent="0.2">
      <c r="A21265" s="6" t="str">
        <f>"ZBTB9"</f>
        <v>ZBTB9</v>
      </c>
      <c r="B21265" s="6" t="s">
        <v>1</v>
      </c>
      <c r="C21265" s="6" t="s">
        <v>1</v>
      </c>
    </row>
    <row r="21266" spans="1:3" s="7" customFormat="1" x14ac:dyDescent="0.2">
      <c r="A21266" s="6" t="str">
        <f>"RERG"</f>
        <v>RERG</v>
      </c>
      <c r="B21266" s="6" t="s">
        <v>1</v>
      </c>
      <c r="C21266" s="6" t="s">
        <v>1</v>
      </c>
    </row>
    <row r="21267" spans="1:3" s="7" customFormat="1" x14ac:dyDescent="0.2">
      <c r="A21267" s="6" t="str">
        <f>"ZNF281"</f>
        <v>ZNF281</v>
      </c>
      <c r="B21267" s="6" t="s">
        <v>1</v>
      </c>
      <c r="C21267" s="6" t="s">
        <v>1</v>
      </c>
    </row>
    <row r="21268" spans="1:3" s="7" customFormat="1" x14ac:dyDescent="0.2">
      <c r="A21268" s="6" t="str">
        <f>"BARX2"</f>
        <v>BARX2</v>
      </c>
      <c r="B21268" s="6" t="s">
        <v>1</v>
      </c>
      <c r="C21268" s="6" t="s">
        <v>1</v>
      </c>
    </row>
    <row r="21269" spans="1:3" s="7" customFormat="1" x14ac:dyDescent="0.2">
      <c r="A21269" s="6" t="str">
        <f>"MYNN"</f>
        <v>MYNN</v>
      </c>
      <c r="B21269" s="6" t="s">
        <v>1</v>
      </c>
      <c r="C21269" s="6" t="s">
        <v>1</v>
      </c>
    </row>
    <row r="21270" spans="1:3" s="7" customFormat="1" x14ac:dyDescent="0.2">
      <c r="A21270" s="6" t="str">
        <f>"FKTN"</f>
        <v>FKTN</v>
      </c>
      <c r="B21270" s="6" t="s">
        <v>1</v>
      </c>
      <c r="C21270" s="6" t="s">
        <v>1</v>
      </c>
    </row>
    <row r="21271" spans="1:3" s="7" customFormat="1" x14ac:dyDescent="0.2">
      <c r="A21271" s="6" t="str">
        <f>"NUP42"</f>
        <v>NUP42</v>
      </c>
      <c r="B21271" s="6" t="s">
        <v>1</v>
      </c>
      <c r="C21271" s="6" t="s">
        <v>1</v>
      </c>
    </row>
    <row r="21272" spans="1:3" s="7" customFormat="1" x14ac:dyDescent="0.2">
      <c r="A21272" s="6" t="str">
        <f>"ENTPD1"</f>
        <v>ENTPD1</v>
      </c>
      <c r="B21272" s="6" t="s">
        <v>1</v>
      </c>
      <c r="C21272" s="6" t="s">
        <v>1</v>
      </c>
    </row>
    <row r="21273" spans="1:3" s="7" customFormat="1" x14ac:dyDescent="0.2">
      <c r="A21273" s="6" t="str">
        <f>"EBF4"</f>
        <v>EBF4</v>
      </c>
      <c r="B21273" s="6" t="s">
        <v>1</v>
      </c>
      <c r="C21273" s="6" t="s">
        <v>1</v>
      </c>
    </row>
    <row r="21274" spans="1:3" s="7" customFormat="1" x14ac:dyDescent="0.2">
      <c r="A21274" s="6" t="str">
        <f>"CRELD1"</f>
        <v>CRELD1</v>
      </c>
      <c r="B21274" s="6" t="s">
        <v>1</v>
      </c>
      <c r="C21274" s="6" t="s">
        <v>1</v>
      </c>
    </row>
    <row r="21275" spans="1:3" s="7" customFormat="1" x14ac:dyDescent="0.2">
      <c r="A21275" s="6" t="str">
        <f>"MYL9"</f>
        <v>MYL9</v>
      </c>
      <c r="B21275" s="6" t="s">
        <v>1</v>
      </c>
      <c r="C21275" s="6" t="s">
        <v>1</v>
      </c>
    </row>
    <row r="21276" spans="1:3" s="7" customFormat="1" x14ac:dyDescent="0.2">
      <c r="A21276" s="6" t="str">
        <f>"HAUS2"</f>
        <v>HAUS2</v>
      </c>
      <c r="B21276" s="6" t="s">
        <v>1</v>
      </c>
      <c r="C21276" s="6" t="s">
        <v>1</v>
      </c>
    </row>
    <row r="21277" spans="1:3" s="7" customFormat="1" x14ac:dyDescent="0.2">
      <c r="A21277" s="6" t="str">
        <f>"TMEM161B"</f>
        <v>TMEM161B</v>
      </c>
      <c r="B21277" s="6" t="s">
        <v>1</v>
      </c>
      <c r="C21277" s="6" t="s">
        <v>1</v>
      </c>
    </row>
    <row r="21278" spans="1:3" s="7" customFormat="1" x14ac:dyDescent="0.2">
      <c r="A21278" s="6" t="str">
        <f>"ASB3"</f>
        <v>ASB3</v>
      </c>
      <c r="B21278" s="6" t="s">
        <v>1</v>
      </c>
      <c r="C21278" s="6" t="s">
        <v>1</v>
      </c>
    </row>
    <row r="21279" spans="1:3" s="7" customFormat="1" x14ac:dyDescent="0.2">
      <c r="A21279" s="6" t="str">
        <f>"CASP6"</f>
        <v>CASP6</v>
      </c>
      <c r="B21279" s="6" t="s">
        <v>1</v>
      </c>
      <c r="C21279" s="6" t="s">
        <v>1</v>
      </c>
    </row>
    <row r="21280" spans="1:3" s="7" customFormat="1" x14ac:dyDescent="0.2">
      <c r="A21280" s="6" t="str">
        <f>"KLHL28"</f>
        <v>KLHL28</v>
      </c>
      <c r="B21280" s="6" t="s">
        <v>1</v>
      </c>
      <c r="C21280" s="6" t="s">
        <v>1</v>
      </c>
    </row>
    <row r="21281" spans="1:3" s="7" customFormat="1" x14ac:dyDescent="0.2">
      <c r="A21281" s="6" t="str">
        <f>"CNTNAP3B"</f>
        <v>CNTNAP3B</v>
      </c>
      <c r="B21281" s="6" t="s">
        <v>1</v>
      </c>
      <c r="C21281" s="6" t="s">
        <v>1</v>
      </c>
    </row>
    <row r="21282" spans="1:3" s="7" customFormat="1" x14ac:dyDescent="0.2">
      <c r="A21282" s="6" t="str">
        <f>"SLC26A11"</f>
        <v>SLC26A11</v>
      </c>
      <c r="B21282" s="6" t="s">
        <v>1</v>
      </c>
      <c r="C21282" s="6" t="s">
        <v>1</v>
      </c>
    </row>
    <row r="21283" spans="1:3" s="7" customFormat="1" x14ac:dyDescent="0.2">
      <c r="A21283" s="6" t="str">
        <f>"AC022034.1"</f>
        <v>AC022034.1</v>
      </c>
      <c r="B21283" s="6" t="s">
        <v>1</v>
      </c>
      <c r="C21283" s="6" t="s">
        <v>1</v>
      </c>
    </row>
    <row r="21284" spans="1:3" s="7" customFormat="1" x14ac:dyDescent="0.2">
      <c r="A21284" s="6" t="str">
        <f>"WRAP73"</f>
        <v>WRAP73</v>
      </c>
      <c r="B21284" s="6" t="s">
        <v>1</v>
      </c>
      <c r="C21284" s="6" t="s">
        <v>1</v>
      </c>
    </row>
    <row r="21285" spans="1:3" s="7" customFormat="1" x14ac:dyDescent="0.2">
      <c r="A21285" s="6" t="str">
        <f>"ZW10"</f>
        <v>ZW10</v>
      </c>
      <c r="B21285" s="6" t="s">
        <v>1</v>
      </c>
      <c r="C21285" s="6" t="s">
        <v>1</v>
      </c>
    </row>
    <row r="21286" spans="1:3" s="7" customFormat="1" x14ac:dyDescent="0.2">
      <c r="A21286" s="6" t="str">
        <f>"C2orf73"</f>
        <v>C2orf73</v>
      </c>
      <c r="B21286" s="6" t="s">
        <v>1</v>
      </c>
      <c r="C21286" s="6" t="s">
        <v>1</v>
      </c>
    </row>
    <row r="21287" spans="1:3" s="7" customFormat="1" x14ac:dyDescent="0.2">
      <c r="A21287" s="6" t="str">
        <f>"H4C14"</f>
        <v>H4C14</v>
      </c>
      <c r="B21287" s="6" t="s">
        <v>1</v>
      </c>
      <c r="C21287" s="6" t="s">
        <v>1</v>
      </c>
    </row>
    <row r="21288" spans="1:3" s="7" customFormat="1" x14ac:dyDescent="0.2">
      <c r="A21288" s="6" t="str">
        <f>"ZNF236"</f>
        <v>ZNF236</v>
      </c>
      <c r="B21288" s="6" t="s">
        <v>1</v>
      </c>
      <c r="C21288" s="6" t="s">
        <v>1</v>
      </c>
    </row>
    <row r="21289" spans="1:3" s="7" customFormat="1" x14ac:dyDescent="0.2">
      <c r="A21289" s="6" t="str">
        <f>"INTS7"</f>
        <v>INTS7</v>
      </c>
      <c r="B21289" s="6" t="s">
        <v>1</v>
      </c>
      <c r="C21289" s="6" t="s">
        <v>1</v>
      </c>
    </row>
    <row r="21290" spans="1:3" s="7" customFormat="1" x14ac:dyDescent="0.2">
      <c r="A21290" s="6" t="str">
        <f>"HCFC1R1"</f>
        <v>HCFC1R1</v>
      </c>
      <c r="B21290" s="6" t="s">
        <v>1</v>
      </c>
      <c r="C21290" s="6" t="s">
        <v>1</v>
      </c>
    </row>
    <row r="21291" spans="1:3" s="7" customFormat="1" x14ac:dyDescent="0.2">
      <c r="A21291" s="6" t="str">
        <f>"LRIF1"</f>
        <v>LRIF1</v>
      </c>
      <c r="B21291" s="6" t="s">
        <v>1</v>
      </c>
      <c r="C21291" s="6" t="s">
        <v>1</v>
      </c>
    </row>
    <row r="21292" spans="1:3" s="7" customFormat="1" x14ac:dyDescent="0.2">
      <c r="A21292" s="6" t="str">
        <f>"CYP26A1"</f>
        <v>CYP26A1</v>
      </c>
      <c r="B21292" s="6" t="s">
        <v>1</v>
      </c>
      <c r="C21292" s="6" t="s">
        <v>1</v>
      </c>
    </row>
    <row r="21293" spans="1:3" s="7" customFormat="1" x14ac:dyDescent="0.2">
      <c r="A21293" s="6" t="str">
        <f>"EXOSC9"</f>
        <v>EXOSC9</v>
      </c>
      <c r="B21293" s="6" t="s">
        <v>1</v>
      </c>
      <c r="C21293" s="6" t="s">
        <v>1</v>
      </c>
    </row>
    <row r="21294" spans="1:3" s="7" customFormat="1" x14ac:dyDescent="0.2">
      <c r="A21294" s="6" t="str">
        <f>"MACROH2A2"</f>
        <v>MACROH2A2</v>
      </c>
      <c r="B21294" s="6" t="s">
        <v>1</v>
      </c>
      <c r="C21294" s="6" t="s">
        <v>1</v>
      </c>
    </row>
    <row r="21295" spans="1:3" s="7" customFormat="1" x14ac:dyDescent="0.2">
      <c r="A21295" s="6" t="str">
        <f>"AC245100.7"</f>
        <v>AC245100.7</v>
      </c>
      <c r="B21295" s="6" t="s">
        <v>1</v>
      </c>
      <c r="C21295" s="6" t="s">
        <v>1</v>
      </c>
    </row>
    <row r="21296" spans="1:3" s="7" customFormat="1" x14ac:dyDescent="0.2">
      <c r="A21296" s="6" t="str">
        <f>"TTI1"</f>
        <v>TTI1</v>
      </c>
      <c r="B21296" s="6" t="s">
        <v>1</v>
      </c>
      <c r="C21296" s="6" t="s">
        <v>1</v>
      </c>
    </row>
    <row r="21297" spans="1:3" s="7" customFormat="1" x14ac:dyDescent="0.2">
      <c r="A21297" s="6" t="str">
        <f>"LPIN3"</f>
        <v>LPIN3</v>
      </c>
      <c r="B21297" s="6" t="s">
        <v>1</v>
      </c>
      <c r="C21297" s="6" t="s">
        <v>1</v>
      </c>
    </row>
    <row r="21298" spans="1:3" s="7" customFormat="1" x14ac:dyDescent="0.2">
      <c r="A21298" s="6" t="str">
        <f>"PADI2"</f>
        <v>PADI2</v>
      </c>
      <c r="B21298" s="6" t="s">
        <v>1</v>
      </c>
      <c r="C21298" s="6" t="s">
        <v>1</v>
      </c>
    </row>
    <row r="21299" spans="1:3" s="7" customFormat="1" x14ac:dyDescent="0.2">
      <c r="A21299" s="6" t="str">
        <f>"MRPS36"</f>
        <v>MRPS36</v>
      </c>
      <c r="B21299" s="6" t="s">
        <v>1</v>
      </c>
      <c r="C21299" s="6" t="s">
        <v>1</v>
      </c>
    </row>
    <row r="21300" spans="1:3" s="7" customFormat="1" x14ac:dyDescent="0.2">
      <c r="A21300" s="6" t="str">
        <f>"ENDOV"</f>
        <v>ENDOV</v>
      </c>
      <c r="B21300" s="6" t="s">
        <v>1</v>
      </c>
      <c r="C21300" s="6" t="s">
        <v>1</v>
      </c>
    </row>
    <row r="21301" spans="1:3" s="7" customFormat="1" x14ac:dyDescent="0.2">
      <c r="A21301" s="6" t="str">
        <f>"SOCS5"</f>
        <v>SOCS5</v>
      </c>
      <c r="B21301" s="6" t="s">
        <v>1</v>
      </c>
      <c r="C21301" s="6" t="s">
        <v>1</v>
      </c>
    </row>
    <row r="21302" spans="1:3" s="7" customFormat="1" x14ac:dyDescent="0.2">
      <c r="A21302" s="6" t="str">
        <f>"PCNX2"</f>
        <v>PCNX2</v>
      </c>
      <c r="B21302" s="6" t="s">
        <v>1</v>
      </c>
      <c r="C21302" s="6" t="s">
        <v>1</v>
      </c>
    </row>
    <row r="21303" spans="1:3" s="7" customFormat="1" x14ac:dyDescent="0.2">
      <c r="A21303" s="6" t="str">
        <f>"AC010132.3"</f>
        <v>AC010132.3</v>
      </c>
      <c r="B21303" s="6" t="s">
        <v>1</v>
      </c>
      <c r="C21303" s="6" t="s">
        <v>1</v>
      </c>
    </row>
    <row r="21304" spans="1:3" s="7" customFormat="1" x14ac:dyDescent="0.2">
      <c r="A21304" s="6" t="str">
        <f>"EXOSC4"</f>
        <v>EXOSC4</v>
      </c>
      <c r="B21304" s="6" t="s">
        <v>1</v>
      </c>
      <c r="C21304" s="6" t="s">
        <v>1</v>
      </c>
    </row>
    <row r="21305" spans="1:3" s="7" customFormat="1" x14ac:dyDescent="0.2">
      <c r="A21305" s="6" t="str">
        <f>"KCNJ2"</f>
        <v>KCNJ2</v>
      </c>
      <c r="B21305" s="6" t="s">
        <v>1</v>
      </c>
      <c r="C21305" s="6" t="s">
        <v>1</v>
      </c>
    </row>
    <row r="21306" spans="1:3" s="7" customFormat="1" x14ac:dyDescent="0.2">
      <c r="A21306" s="6" t="str">
        <f>"FAAH2"</f>
        <v>FAAH2</v>
      </c>
      <c r="B21306" s="6" t="s">
        <v>1</v>
      </c>
      <c r="C21306" s="6" t="s">
        <v>1</v>
      </c>
    </row>
    <row r="21307" spans="1:3" s="7" customFormat="1" x14ac:dyDescent="0.2">
      <c r="A21307" s="6" t="str">
        <f>"PROSER2"</f>
        <v>PROSER2</v>
      </c>
      <c r="B21307" s="6" t="s">
        <v>1</v>
      </c>
      <c r="C21307" s="6" t="s">
        <v>1</v>
      </c>
    </row>
    <row r="21308" spans="1:3" s="7" customFormat="1" x14ac:dyDescent="0.2">
      <c r="A21308" s="6" t="str">
        <f>"ZNF280D"</f>
        <v>ZNF280D</v>
      </c>
      <c r="B21308" s="6" t="s">
        <v>1</v>
      </c>
      <c r="C21308" s="6" t="s">
        <v>1</v>
      </c>
    </row>
    <row r="21309" spans="1:3" s="7" customFormat="1" x14ac:dyDescent="0.2">
      <c r="A21309" s="6" t="str">
        <f>"NUTM2B-AS1"</f>
        <v>NUTM2B-AS1</v>
      </c>
      <c r="B21309" s="6" t="s">
        <v>1</v>
      </c>
      <c r="C21309" s="6" t="s">
        <v>1</v>
      </c>
    </row>
    <row r="21310" spans="1:3" s="7" customFormat="1" x14ac:dyDescent="0.2">
      <c r="A21310" s="6" t="str">
        <f>"INPP5B"</f>
        <v>INPP5B</v>
      </c>
      <c r="B21310" s="6" t="s">
        <v>1</v>
      </c>
      <c r="C21310" s="6" t="s">
        <v>1</v>
      </c>
    </row>
    <row r="21311" spans="1:3" s="7" customFormat="1" x14ac:dyDescent="0.2">
      <c r="A21311" s="6" t="str">
        <f>"FAM102B"</f>
        <v>FAM102B</v>
      </c>
      <c r="B21311" s="6" t="s">
        <v>1</v>
      </c>
      <c r="C21311" s="6" t="s">
        <v>1</v>
      </c>
    </row>
    <row r="21312" spans="1:3" s="7" customFormat="1" x14ac:dyDescent="0.2">
      <c r="A21312" s="6" t="str">
        <f>"FABP5P7"</f>
        <v>FABP5P7</v>
      </c>
      <c r="B21312" s="6" t="s">
        <v>1</v>
      </c>
      <c r="C21312" s="6" t="s">
        <v>1</v>
      </c>
    </row>
    <row r="21313" spans="1:3" s="7" customFormat="1" x14ac:dyDescent="0.2">
      <c r="A21313" s="6" t="str">
        <f>"SELENOM"</f>
        <v>SELENOM</v>
      </c>
      <c r="B21313" s="6" t="s">
        <v>1</v>
      </c>
      <c r="C21313" s="6" t="s">
        <v>1</v>
      </c>
    </row>
    <row r="21314" spans="1:3" s="7" customFormat="1" x14ac:dyDescent="0.2">
      <c r="A21314" s="6" t="str">
        <f>"TNFRSF11A"</f>
        <v>TNFRSF11A</v>
      </c>
      <c r="B21314" s="6" t="s">
        <v>1</v>
      </c>
      <c r="C21314" s="6" t="s">
        <v>1</v>
      </c>
    </row>
    <row r="21315" spans="1:3" s="7" customFormat="1" x14ac:dyDescent="0.2">
      <c r="A21315" s="6" t="str">
        <f>"ASF1A"</f>
        <v>ASF1A</v>
      </c>
      <c r="B21315" s="6" t="s">
        <v>1</v>
      </c>
      <c r="C21315" s="6" t="s">
        <v>1</v>
      </c>
    </row>
    <row r="21316" spans="1:3" s="7" customFormat="1" x14ac:dyDescent="0.2">
      <c r="A21316" s="6" t="str">
        <f>"FAHD2A"</f>
        <v>FAHD2A</v>
      </c>
      <c r="B21316" s="6" t="s">
        <v>1</v>
      </c>
      <c r="C21316" s="6" t="s">
        <v>1</v>
      </c>
    </row>
    <row r="21317" spans="1:3" s="7" customFormat="1" x14ac:dyDescent="0.2">
      <c r="A21317" s="6" t="str">
        <f>"UCHL3"</f>
        <v>UCHL3</v>
      </c>
      <c r="B21317" s="6" t="s">
        <v>1</v>
      </c>
      <c r="C21317" s="6" t="s">
        <v>1</v>
      </c>
    </row>
    <row r="21318" spans="1:3" s="7" customFormat="1" x14ac:dyDescent="0.2">
      <c r="A21318" s="6" t="str">
        <f>"KLHL42"</f>
        <v>KLHL42</v>
      </c>
      <c r="B21318" s="6" t="s">
        <v>1</v>
      </c>
      <c r="C21318" s="6" t="s">
        <v>1</v>
      </c>
    </row>
    <row r="21319" spans="1:3" s="7" customFormat="1" x14ac:dyDescent="0.2">
      <c r="A21319" s="6" t="str">
        <f>"EEF1AKMT2"</f>
        <v>EEF1AKMT2</v>
      </c>
      <c r="B21319" s="6" t="s">
        <v>1</v>
      </c>
      <c r="C21319" s="6" t="s">
        <v>1</v>
      </c>
    </row>
    <row r="21320" spans="1:3" s="7" customFormat="1" x14ac:dyDescent="0.2">
      <c r="A21320" s="6" t="str">
        <f>"MALSU1"</f>
        <v>MALSU1</v>
      </c>
      <c r="B21320" s="6" t="s">
        <v>1</v>
      </c>
      <c r="C21320" s="6" t="s">
        <v>1</v>
      </c>
    </row>
    <row r="21321" spans="1:3" s="7" customFormat="1" x14ac:dyDescent="0.2">
      <c r="A21321" s="6" t="str">
        <f>"HCFC2"</f>
        <v>HCFC2</v>
      </c>
      <c r="B21321" s="6" t="s">
        <v>1</v>
      </c>
      <c r="C21321" s="6" t="s">
        <v>1</v>
      </c>
    </row>
    <row r="21322" spans="1:3" s="7" customFormat="1" x14ac:dyDescent="0.2">
      <c r="A21322" s="6" t="str">
        <f>"KLHL20"</f>
        <v>KLHL20</v>
      </c>
      <c r="B21322" s="6" t="s">
        <v>1</v>
      </c>
      <c r="C21322" s="6" t="s">
        <v>1</v>
      </c>
    </row>
    <row r="21323" spans="1:3" s="7" customFormat="1" x14ac:dyDescent="0.2">
      <c r="A21323" s="6" t="str">
        <f>"EOLA2"</f>
        <v>EOLA2</v>
      </c>
      <c r="B21323" s="6" t="s">
        <v>1</v>
      </c>
      <c r="C21323" s="6" t="s">
        <v>1</v>
      </c>
    </row>
    <row r="21324" spans="1:3" s="7" customFormat="1" x14ac:dyDescent="0.2">
      <c r="A21324" s="6" t="str">
        <f>"MSANTD4"</f>
        <v>MSANTD4</v>
      </c>
      <c r="B21324" s="6" t="s">
        <v>1</v>
      </c>
      <c r="C21324" s="6" t="s">
        <v>1</v>
      </c>
    </row>
    <row r="21325" spans="1:3" s="7" customFormat="1" x14ac:dyDescent="0.2">
      <c r="A21325" s="6" t="str">
        <f>"LRP12"</f>
        <v>LRP12</v>
      </c>
      <c r="B21325" s="6" t="s">
        <v>1</v>
      </c>
      <c r="C21325" s="6" t="s">
        <v>1</v>
      </c>
    </row>
    <row r="21326" spans="1:3" s="7" customFormat="1" x14ac:dyDescent="0.2">
      <c r="A21326" s="6" t="str">
        <f>"CASKIN2"</f>
        <v>CASKIN2</v>
      </c>
      <c r="B21326" s="6" t="s">
        <v>1</v>
      </c>
      <c r="C21326" s="6" t="s">
        <v>1</v>
      </c>
    </row>
    <row r="21327" spans="1:3" s="7" customFormat="1" x14ac:dyDescent="0.2">
      <c r="A21327" s="6" t="str">
        <f>"ALG9"</f>
        <v>ALG9</v>
      </c>
      <c r="B21327" s="6" t="s">
        <v>1</v>
      </c>
      <c r="C21327" s="6" t="s">
        <v>1</v>
      </c>
    </row>
    <row r="21328" spans="1:3" s="7" customFormat="1" x14ac:dyDescent="0.2">
      <c r="A21328" s="6" t="str">
        <f>"FLVCR1"</f>
        <v>FLVCR1</v>
      </c>
      <c r="B21328" s="6" t="s">
        <v>1</v>
      </c>
      <c r="C21328" s="6" t="s">
        <v>1</v>
      </c>
    </row>
    <row r="21329" spans="1:3" s="7" customFormat="1" x14ac:dyDescent="0.2">
      <c r="A21329" s="6" t="str">
        <f>"IPPK"</f>
        <v>IPPK</v>
      </c>
      <c r="B21329" s="6" t="s">
        <v>1</v>
      </c>
      <c r="C21329" s="6" t="s">
        <v>1</v>
      </c>
    </row>
    <row r="21330" spans="1:3" s="7" customFormat="1" x14ac:dyDescent="0.2">
      <c r="A21330" s="6" t="str">
        <f>"TNFRSF10D"</f>
        <v>TNFRSF10D</v>
      </c>
      <c r="B21330" s="6" t="s">
        <v>1</v>
      </c>
      <c r="C21330" s="6" t="s">
        <v>1</v>
      </c>
    </row>
    <row r="21331" spans="1:3" s="7" customFormat="1" x14ac:dyDescent="0.2">
      <c r="A21331" s="6" t="str">
        <f>"ZSCAN25"</f>
        <v>ZSCAN25</v>
      </c>
      <c r="B21331" s="6" t="s">
        <v>1</v>
      </c>
      <c r="C21331" s="6" t="s">
        <v>1</v>
      </c>
    </row>
    <row r="21332" spans="1:3" s="7" customFormat="1" x14ac:dyDescent="0.2">
      <c r="A21332" s="6" t="str">
        <f>"NUP43"</f>
        <v>NUP43</v>
      </c>
      <c r="B21332" s="6" t="s">
        <v>1</v>
      </c>
      <c r="C21332" s="6" t="s">
        <v>1</v>
      </c>
    </row>
    <row r="21333" spans="1:3" s="7" customFormat="1" x14ac:dyDescent="0.2">
      <c r="A21333" s="6" t="str">
        <f>"PHYKPL"</f>
        <v>PHYKPL</v>
      </c>
      <c r="B21333" s="6" t="s">
        <v>1</v>
      </c>
      <c r="C21333" s="6" t="s">
        <v>1</v>
      </c>
    </row>
    <row r="21334" spans="1:3" s="7" customFormat="1" x14ac:dyDescent="0.2">
      <c r="A21334" s="6" t="str">
        <f>"ZNF274"</f>
        <v>ZNF274</v>
      </c>
      <c r="B21334" s="6" t="s">
        <v>1</v>
      </c>
      <c r="C21334" s="6" t="s">
        <v>1</v>
      </c>
    </row>
    <row r="21335" spans="1:3" s="7" customFormat="1" x14ac:dyDescent="0.2">
      <c r="A21335" s="6" t="str">
        <f>"GADD45G"</f>
        <v>GADD45G</v>
      </c>
      <c r="B21335" s="6" t="s">
        <v>1</v>
      </c>
      <c r="C21335" s="6" t="s">
        <v>1</v>
      </c>
    </row>
    <row r="21336" spans="1:3" s="7" customFormat="1" x14ac:dyDescent="0.2">
      <c r="A21336" s="6" t="str">
        <f>"CDKN2D"</f>
        <v>CDKN2D</v>
      </c>
      <c r="B21336" s="6" t="s">
        <v>1</v>
      </c>
      <c r="C21336" s="6" t="s">
        <v>1</v>
      </c>
    </row>
    <row r="21337" spans="1:3" s="7" customFormat="1" x14ac:dyDescent="0.2">
      <c r="A21337" s="6" t="str">
        <f>"CASD1"</f>
        <v>CASD1</v>
      </c>
      <c r="B21337" s="6" t="s">
        <v>1</v>
      </c>
      <c r="C21337" s="6" t="s">
        <v>1</v>
      </c>
    </row>
    <row r="21338" spans="1:3" s="7" customFormat="1" x14ac:dyDescent="0.2">
      <c r="A21338" s="6" t="str">
        <f>"SLC28A2"</f>
        <v>SLC28A2</v>
      </c>
      <c r="B21338" s="6" t="s">
        <v>1</v>
      </c>
      <c r="C21338" s="6" t="s">
        <v>1</v>
      </c>
    </row>
    <row r="21339" spans="1:3" s="7" customFormat="1" x14ac:dyDescent="0.2">
      <c r="A21339" s="6" t="str">
        <f>"AC004990.1"</f>
        <v>AC004990.1</v>
      </c>
      <c r="B21339" s="6" t="s">
        <v>1</v>
      </c>
      <c r="C21339" s="6" t="s">
        <v>1</v>
      </c>
    </row>
    <row r="21340" spans="1:3" s="7" customFormat="1" x14ac:dyDescent="0.2">
      <c r="A21340" s="6" t="str">
        <f>"INTS13"</f>
        <v>INTS13</v>
      </c>
      <c r="B21340" s="6" t="s">
        <v>1</v>
      </c>
      <c r="C21340" s="6" t="s">
        <v>1</v>
      </c>
    </row>
    <row r="21341" spans="1:3" s="7" customFormat="1" x14ac:dyDescent="0.2">
      <c r="A21341" s="6" t="str">
        <f>"ALG8"</f>
        <v>ALG8</v>
      </c>
      <c r="B21341" s="6" t="s">
        <v>1</v>
      </c>
      <c r="C21341" s="6" t="s">
        <v>1</v>
      </c>
    </row>
    <row r="21342" spans="1:3" s="7" customFormat="1" x14ac:dyDescent="0.2">
      <c r="A21342" s="6" t="str">
        <f>"NEIL1"</f>
        <v>NEIL1</v>
      </c>
      <c r="B21342" s="6" t="s">
        <v>1</v>
      </c>
      <c r="C21342" s="6" t="s">
        <v>1</v>
      </c>
    </row>
    <row r="21343" spans="1:3" s="7" customFormat="1" x14ac:dyDescent="0.2">
      <c r="A21343" s="6" t="str">
        <f>"ZNF254"</f>
        <v>ZNF254</v>
      </c>
      <c r="B21343" s="6" t="s">
        <v>1</v>
      </c>
      <c r="C21343" s="6" t="s">
        <v>1</v>
      </c>
    </row>
    <row r="21344" spans="1:3" s="7" customFormat="1" x14ac:dyDescent="0.2">
      <c r="A21344" s="6" t="str">
        <f>"BAG4"</f>
        <v>BAG4</v>
      </c>
      <c r="B21344" s="6" t="s">
        <v>1</v>
      </c>
      <c r="C21344" s="6" t="s">
        <v>1</v>
      </c>
    </row>
    <row r="21345" spans="1:3" s="7" customFormat="1" x14ac:dyDescent="0.2">
      <c r="A21345" s="6" t="str">
        <f>"MAGI2-AS3"</f>
        <v>MAGI2-AS3</v>
      </c>
      <c r="B21345" s="6" t="s">
        <v>1</v>
      </c>
      <c r="C21345" s="6" t="s">
        <v>1</v>
      </c>
    </row>
    <row r="21346" spans="1:3" s="7" customFormat="1" x14ac:dyDescent="0.2">
      <c r="A21346" s="6" t="str">
        <f>"NPAT"</f>
        <v>NPAT</v>
      </c>
      <c r="B21346" s="6" t="s">
        <v>1</v>
      </c>
      <c r="C21346" s="6" t="s">
        <v>1</v>
      </c>
    </row>
    <row r="21347" spans="1:3" s="7" customFormat="1" x14ac:dyDescent="0.2">
      <c r="A21347" s="6" t="str">
        <f>"CRIPT"</f>
        <v>CRIPT</v>
      </c>
      <c r="B21347" s="6" t="s">
        <v>1</v>
      </c>
      <c r="C21347" s="6" t="s">
        <v>1</v>
      </c>
    </row>
    <row r="21348" spans="1:3" s="7" customFormat="1" x14ac:dyDescent="0.2">
      <c r="A21348" s="6" t="str">
        <f>"MAD2L1BP"</f>
        <v>MAD2L1BP</v>
      </c>
      <c r="B21348" s="6" t="s">
        <v>1</v>
      </c>
      <c r="C21348" s="6" t="s">
        <v>1</v>
      </c>
    </row>
    <row r="21349" spans="1:3" s="7" customFormat="1" x14ac:dyDescent="0.2">
      <c r="A21349" s="6" t="str">
        <f>"H4C15"</f>
        <v>H4C15</v>
      </c>
      <c r="B21349" s="6" t="s">
        <v>1</v>
      </c>
      <c r="C21349" s="6" t="s">
        <v>1</v>
      </c>
    </row>
    <row r="21350" spans="1:3" s="7" customFormat="1" x14ac:dyDescent="0.2">
      <c r="A21350" s="6" t="str">
        <f>"C2orf74"</f>
        <v>C2orf74</v>
      </c>
      <c r="B21350" s="6" t="s">
        <v>1</v>
      </c>
      <c r="C21350" s="6" t="s">
        <v>1</v>
      </c>
    </row>
    <row r="21351" spans="1:3" s="7" customFormat="1" x14ac:dyDescent="0.2">
      <c r="A21351" s="6" t="str">
        <f>"NECAB3"</f>
        <v>NECAB3</v>
      </c>
      <c r="B21351" s="6" t="s">
        <v>1</v>
      </c>
      <c r="C21351" s="6" t="s">
        <v>1</v>
      </c>
    </row>
    <row r="21352" spans="1:3" s="7" customFormat="1" x14ac:dyDescent="0.2">
      <c r="A21352" s="6" t="str">
        <f>"PHF6"</f>
        <v>PHF6</v>
      </c>
      <c r="B21352" s="6" t="s">
        <v>1</v>
      </c>
      <c r="C21352" s="6" t="s">
        <v>1</v>
      </c>
    </row>
    <row r="21353" spans="1:3" s="7" customFormat="1" x14ac:dyDescent="0.2">
      <c r="A21353" s="6" t="str">
        <f>"DEPTOR"</f>
        <v>DEPTOR</v>
      </c>
      <c r="B21353" s="6" t="s">
        <v>1</v>
      </c>
      <c r="C21353" s="6" t="s">
        <v>1</v>
      </c>
    </row>
    <row r="21354" spans="1:3" s="7" customFormat="1" x14ac:dyDescent="0.2">
      <c r="A21354" s="6" t="str">
        <f>"ENO2"</f>
        <v>ENO2</v>
      </c>
      <c r="B21354" s="6" t="s">
        <v>1</v>
      </c>
      <c r="C21354" s="6" t="s">
        <v>1</v>
      </c>
    </row>
    <row r="21355" spans="1:3" s="7" customFormat="1" x14ac:dyDescent="0.2">
      <c r="A21355" s="6" t="str">
        <f>"FITM2"</f>
        <v>FITM2</v>
      </c>
      <c r="B21355" s="6" t="s">
        <v>1</v>
      </c>
      <c r="C21355" s="6" t="s">
        <v>1</v>
      </c>
    </row>
    <row r="21356" spans="1:3" s="7" customFormat="1" x14ac:dyDescent="0.2">
      <c r="A21356" s="6" t="str">
        <f>"UGT1A6"</f>
        <v>UGT1A6</v>
      </c>
      <c r="B21356" s="6" t="s">
        <v>1</v>
      </c>
      <c r="C21356" s="6" t="s">
        <v>1</v>
      </c>
    </row>
    <row r="21357" spans="1:3" s="7" customFormat="1" x14ac:dyDescent="0.2">
      <c r="A21357" s="6" t="str">
        <f>"MECR"</f>
        <v>MECR</v>
      </c>
      <c r="B21357" s="6" t="s">
        <v>1</v>
      </c>
      <c r="C21357" s="6" t="s">
        <v>1</v>
      </c>
    </row>
    <row r="21358" spans="1:3" s="7" customFormat="1" x14ac:dyDescent="0.2">
      <c r="A21358" s="6" t="str">
        <f>"KATNA1"</f>
        <v>KATNA1</v>
      </c>
      <c r="B21358" s="6" t="s">
        <v>1</v>
      </c>
      <c r="C21358" s="6" t="s">
        <v>1</v>
      </c>
    </row>
    <row r="21359" spans="1:3" s="7" customFormat="1" x14ac:dyDescent="0.2">
      <c r="A21359" s="6" t="str">
        <f>"ENGASE"</f>
        <v>ENGASE</v>
      </c>
      <c r="B21359" s="6" t="s">
        <v>1</v>
      </c>
      <c r="C21359" s="6" t="s">
        <v>1</v>
      </c>
    </row>
    <row r="21360" spans="1:3" s="7" customFormat="1" x14ac:dyDescent="0.2">
      <c r="A21360" s="6" t="str">
        <f>"ZNF277"</f>
        <v>ZNF277</v>
      </c>
      <c r="B21360" s="6" t="s">
        <v>1</v>
      </c>
      <c r="C21360" s="6" t="s">
        <v>1</v>
      </c>
    </row>
    <row r="21361" spans="1:3" s="7" customFormat="1" x14ac:dyDescent="0.2">
      <c r="A21361" s="6" t="str">
        <f>"MED21"</f>
        <v>MED21</v>
      </c>
      <c r="B21361" s="6" t="s">
        <v>1</v>
      </c>
      <c r="C21361" s="6" t="s">
        <v>1</v>
      </c>
    </row>
    <row r="21362" spans="1:3" s="7" customFormat="1" x14ac:dyDescent="0.2">
      <c r="A21362" s="6" t="str">
        <f>"PCSK1N"</f>
        <v>PCSK1N</v>
      </c>
      <c r="B21362" s="6" t="s">
        <v>1</v>
      </c>
      <c r="C21362" s="6" t="s">
        <v>1</v>
      </c>
    </row>
    <row r="21363" spans="1:3" s="7" customFormat="1" x14ac:dyDescent="0.2">
      <c r="A21363" s="6" t="str">
        <f>"STXBP6"</f>
        <v>STXBP6</v>
      </c>
      <c r="B21363" s="6" t="s">
        <v>1</v>
      </c>
      <c r="C21363" s="6" t="s">
        <v>1</v>
      </c>
    </row>
    <row r="21364" spans="1:3" s="7" customFormat="1" x14ac:dyDescent="0.2">
      <c r="A21364" s="6" t="str">
        <f>"TTF1"</f>
        <v>TTF1</v>
      </c>
      <c r="B21364" s="6" t="s">
        <v>1</v>
      </c>
      <c r="C21364" s="6" t="s">
        <v>1</v>
      </c>
    </row>
    <row r="21365" spans="1:3" s="7" customFormat="1" x14ac:dyDescent="0.2">
      <c r="A21365" s="6" t="str">
        <f>"KLHL18"</f>
        <v>KLHL18</v>
      </c>
      <c r="B21365" s="6" t="s">
        <v>1</v>
      </c>
      <c r="C21365" s="6" t="s">
        <v>1</v>
      </c>
    </row>
    <row r="21366" spans="1:3" s="7" customFormat="1" x14ac:dyDescent="0.2">
      <c r="A21366" s="6" t="str">
        <f>"PCTP"</f>
        <v>PCTP</v>
      </c>
      <c r="B21366" s="6" t="s">
        <v>1</v>
      </c>
      <c r="C21366" s="6" t="s">
        <v>1</v>
      </c>
    </row>
    <row r="21367" spans="1:3" s="7" customFormat="1" x14ac:dyDescent="0.2">
      <c r="A21367" s="6" t="str">
        <f>"ECT2"</f>
        <v>ECT2</v>
      </c>
      <c r="B21367" s="6" t="s">
        <v>1</v>
      </c>
      <c r="C21367" s="6" t="s">
        <v>1</v>
      </c>
    </row>
    <row r="21368" spans="1:3" s="7" customFormat="1" x14ac:dyDescent="0.2">
      <c r="A21368" s="6" t="str">
        <f>"ZC3H12C"</f>
        <v>ZC3H12C</v>
      </c>
      <c r="B21368" s="6" t="s">
        <v>1</v>
      </c>
      <c r="C21368" s="6" t="s">
        <v>1</v>
      </c>
    </row>
    <row r="21369" spans="1:3" s="7" customFormat="1" x14ac:dyDescent="0.2">
      <c r="A21369" s="6" t="str">
        <f>"INPP5A"</f>
        <v>INPP5A</v>
      </c>
      <c r="B21369" s="6" t="s">
        <v>1</v>
      </c>
      <c r="C21369" s="6" t="s">
        <v>1</v>
      </c>
    </row>
    <row r="21370" spans="1:3" s="7" customFormat="1" x14ac:dyDescent="0.2">
      <c r="A21370" s="6" t="str">
        <f>"CRYZL2P"</f>
        <v>CRYZL2P</v>
      </c>
      <c r="B21370" s="6" t="s">
        <v>1</v>
      </c>
      <c r="C21370" s="6" t="s">
        <v>1</v>
      </c>
    </row>
    <row r="21371" spans="1:3" s="7" customFormat="1" x14ac:dyDescent="0.2">
      <c r="A21371" s="6" t="str">
        <f>"P2RY1"</f>
        <v>P2RY1</v>
      </c>
      <c r="B21371" s="6" t="s">
        <v>1</v>
      </c>
      <c r="C21371" s="6" t="s">
        <v>1</v>
      </c>
    </row>
    <row r="21372" spans="1:3" s="7" customFormat="1" x14ac:dyDescent="0.2">
      <c r="A21372" s="6" t="str">
        <f>"CARD10"</f>
        <v>CARD10</v>
      </c>
      <c r="B21372" s="6" t="s">
        <v>1</v>
      </c>
      <c r="C21372" s="6" t="s">
        <v>1</v>
      </c>
    </row>
    <row r="21373" spans="1:3" s="7" customFormat="1" x14ac:dyDescent="0.2">
      <c r="A21373" s="6" t="str">
        <f>"INTU"</f>
        <v>INTU</v>
      </c>
      <c r="B21373" s="6" t="s">
        <v>1</v>
      </c>
      <c r="C21373" s="6" t="s">
        <v>1</v>
      </c>
    </row>
    <row r="21374" spans="1:3" s="7" customFormat="1" x14ac:dyDescent="0.2">
      <c r="A21374" s="6" t="str">
        <f>"STYX"</f>
        <v>STYX</v>
      </c>
      <c r="B21374" s="6" t="s">
        <v>1</v>
      </c>
      <c r="C21374" s="6" t="s">
        <v>1</v>
      </c>
    </row>
    <row r="21375" spans="1:3" s="7" customFormat="1" x14ac:dyDescent="0.2">
      <c r="A21375" s="6" t="str">
        <f>"P3H1"</f>
        <v>P3H1</v>
      </c>
      <c r="B21375" s="6" t="s">
        <v>1</v>
      </c>
      <c r="C21375" s="6" t="s">
        <v>1</v>
      </c>
    </row>
    <row r="21376" spans="1:3" s="7" customFormat="1" x14ac:dyDescent="0.2">
      <c r="A21376" s="6" t="str">
        <f>"AL163051.1"</f>
        <v>AL163051.1</v>
      </c>
      <c r="B21376" s="6" t="s">
        <v>1</v>
      </c>
      <c r="C21376" s="6" t="s">
        <v>1</v>
      </c>
    </row>
    <row r="21377" spans="1:3" s="7" customFormat="1" x14ac:dyDescent="0.2">
      <c r="A21377" s="6" t="str">
        <f>"SEH1L"</f>
        <v>SEH1L</v>
      </c>
      <c r="B21377" s="6" t="s">
        <v>1</v>
      </c>
      <c r="C21377" s="6" t="s">
        <v>1</v>
      </c>
    </row>
    <row r="21378" spans="1:3" s="7" customFormat="1" x14ac:dyDescent="0.2">
      <c r="A21378" s="6" t="str">
        <f>"ENOX2"</f>
        <v>ENOX2</v>
      </c>
      <c r="B21378" s="6" t="s">
        <v>1</v>
      </c>
      <c r="C21378" s="6" t="s">
        <v>1</v>
      </c>
    </row>
    <row r="21379" spans="1:3" s="7" customFormat="1" x14ac:dyDescent="0.2">
      <c r="A21379" s="6" t="str">
        <f>"OAF"</f>
        <v>OAF</v>
      </c>
      <c r="B21379" s="6" t="s">
        <v>1</v>
      </c>
      <c r="C21379" s="6" t="s">
        <v>1</v>
      </c>
    </row>
    <row r="21380" spans="1:3" s="7" customFormat="1" x14ac:dyDescent="0.2">
      <c r="A21380" s="6" t="str">
        <f>"GLI3"</f>
        <v>GLI3</v>
      </c>
      <c r="B21380" s="6" t="s">
        <v>1</v>
      </c>
      <c r="C21380" s="6" t="s">
        <v>1</v>
      </c>
    </row>
    <row r="21381" spans="1:3" s="7" customFormat="1" x14ac:dyDescent="0.2">
      <c r="A21381" s="6" t="str">
        <f>"LINC01001"</f>
        <v>LINC01001</v>
      </c>
      <c r="B21381" s="6" t="s">
        <v>1</v>
      </c>
      <c r="C21381" s="6" t="s">
        <v>1</v>
      </c>
    </row>
    <row r="21382" spans="1:3" s="7" customFormat="1" x14ac:dyDescent="0.2">
      <c r="A21382" s="6" t="str">
        <f>"AC127526.5"</f>
        <v>AC127526.5</v>
      </c>
      <c r="B21382" s="6" t="s">
        <v>1</v>
      </c>
      <c r="C21382" s="6" t="s">
        <v>1</v>
      </c>
    </row>
    <row r="21383" spans="1:3" s="7" customFormat="1" x14ac:dyDescent="0.2">
      <c r="A21383" s="6" t="str">
        <f>"EOLA1"</f>
        <v>EOLA1</v>
      </c>
      <c r="B21383" s="6" t="s">
        <v>1</v>
      </c>
      <c r="C21383" s="6" t="s">
        <v>1</v>
      </c>
    </row>
    <row r="21384" spans="1:3" s="7" customFormat="1" x14ac:dyDescent="0.2">
      <c r="A21384" s="6" t="str">
        <f>"PLEKHF1"</f>
        <v>PLEKHF1</v>
      </c>
      <c r="B21384" s="6" t="s">
        <v>1</v>
      </c>
      <c r="C21384" s="6" t="s">
        <v>1</v>
      </c>
    </row>
    <row r="21385" spans="1:3" s="7" customFormat="1" x14ac:dyDescent="0.2">
      <c r="A21385" s="6" t="str">
        <f>"VLDLR"</f>
        <v>VLDLR</v>
      </c>
      <c r="B21385" s="6" t="s">
        <v>1</v>
      </c>
      <c r="C21385" s="6" t="s">
        <v>1</v>
      </c>
    </row>
    <row r="21386" spans="1:3" s="7" customFormat="1" x14ac:dyDescent="0.2">
      <c r="A21386" s="6" t="str">
        <f>"PTPN14"</f>
        <v>PTPN14</v>
      </c>
      <c r="B21386" s="6" t="s">
        <v>1</v>
      </c>
      <c r="C21386" s="6" t="s">
        <v>1</v>
      </c>
    </row>
    <row r="21387" spans="1:3" s="7" customFormat="1" x14ac:dyDescent="0.2">
      <c r="A21387" s="6" t="str">
        <f>"DENND1B"</f>
        <v>DENND1B</v>
      </c>
      <c r="B21387" s="6" t="s">
        <v>1</v>
      </c>
      <c r="C21387" s="6" t="s">
        <v>1</v>
      </c>
    </row>
    <row r="21388" spans="1:3" s="7" customFormat="1" x14ac:dyDescent="0.2">
      <c r="A21388" s="6" t="str">
        <f>"TTF2"</f>
        <v>TTF2</v>
      </c>
      <c r="B21388" s="6" t="s">
        <v>1</v>
      </c>
      <c r="C21388" s="6" t="s">
        <v>1</v>
      </c>
    </row>
    <row r="21389" spans="1:3" s="7" customFormat="1" x14ac:dyDescent="0.2">
      <c r="A21389" s="6" t="str">
        <f>"TNFRSF14-AS1"</f>
        <v>TNFRSF14-AS1</v>
      </c>
      <c r="B21389" s="6" t="s">
        <v>1</v>
      </c>
      <c r="C21389" s="6" t="s">
        <v>1</v>
      </c>
    </row>
    <row r="21390" spans="1:3" s="7" customFormat="1" x14ac:dyDescent="0.2">
      <c r="A21390" s="6" t="str">
        <f>"SH3TC1"</f>
        <v>SH3TC1</v>
      </c>
      <c r="B21390" s="6" t="s">
        <v>1</v>
      </c>
      <c r="C21390" s="6" t="s">
        <v>1</v>
      </c>
    </row>
    <row r="21391" spans="1:3" s="7" customFormat="1" x14ac:dyDescent="0.2">
      <c r="A21391" s="6" t="str">
        <f>"EDA"</f>
        <v>EDA</v>
      </c>
      <c r="B21391" s="6" t="s">
        <v>1</v>
      </c>
      <c r="C21391" s="6" t="s">
        <v>1</v>
      </c>
    </row>
    <row r="21392" spans="1:3" s="7" customFormat="1" x14ac:dyDescent="0.2">
      <c r="A21392" s="6" t="str">
        <f>"ZNF607"</f>
        <v>ZNF607</v>
      </c>
      <c r="B21392" s="6" t="s">
        <v>1</v>
      </c>
      <c r="C21392" s="6" t="s">
        <v>1</v>
      </c>
    </row>
    <row r="21393" spans="1:3" s="7" customFormat="1" x14ac:dyDescent="0.2">
      <c r="A21393" s="6" t="str">
        <f>"ZBTB8OS"</f>
        <v>ZBTB8OS</v>
      </c>
      <c r="B21393" s="6" t="s">
        <v>1</v>
      </c>
      <c r="C21393" s="6" t="s">
        <v>1</v>
      </c>
    </row>
    <row r="21394" spans="1:3" s="7" customFormat="1" x14ac:dyDescent="0.2">
      <c r="A21394" s="6" t="str">
        <f>"PAAF1"</f>
        <v>PAAF1</v>
      </c>
      <c r="B21394" s="6" t="s">
        <v>1</v>
      </c>
      <c r="C21394" s="6" t="s">
        <v>1</v>
      </c>
    </row>
    <row r="21395" spans="1:3" s="7" customFormat="1" x14ac:dyDescent="0.2">
      <c r="A21395" s="6" t="str">
        <f>"MACROD1"</f>
        <v>MACROD1</v>
      </c>
      <c r="B21395" s="6" t="s">
        <v>1</v>
      </c>
      <c r="C21395" s="6" t="s">
        <v>1</v>
      </c>
    </row>
    <row r="21396" spans="1:3" s="7" customFormat="1" x14ac:dyDescent="0.2">
      <c r="A21396" s="6" t="str">
        <f>"MAGEH1"</f>
        <v>MAGEH1</v>
      </c>
      <c r="B21396" s="6" t="s">
        <v>1</v>
      </c>
      <c r="C21396" s="6" t="s">
        <v>1</v>
      </c>
    </row>
    <row r="21397" spans="1:3" s="7" customFormat="1" x14ac:dyDescent="0.2">
      <c r="A21397" s="6" t="str">
        <f>"PLEKHM3"</f>
        <v>PLEKHM3</v>
      </c>
      <c r="B21397" s="6" t="s">
        <v>1</v>
      </c>
      <c r="C21397" s="6" t="s">
        <v>1</v>
      </c>
    </row>
    <row r="21398" spans="1:3" s="7" customFormat="1" x14ac:dyDescent="0.2">
      <c r="A21398" s="6" t="str">
        <f>"HMOX1"</f>
        <v>HMOX1</v>
      </c>
      <c r="B21398" s="6" t="s">
        <v>1</v>
      </c>
      <c r="C21398" s="6" t="s">
        <v>1</v>
      </c>
    </row>
    <row r="21399" spans="1:3" s="7" customFormat="1" x14ac:dyDescent="0.2">
      <c r="A21399" s="6" t="str">
        <f>"INPP4A"</f>
        <v>INPP4A</v>
      </c>
      <c r="B21399" s="6" t="s">
        <v>1</v>
      </c>
      <c r="C21399" s="6" t="s">
        <v>1</v>
      </c>
    </row>
    <row r="21400" spans="1:3" s="7" customFormat="1" x14ac:dyDescent="0.2">
      <c r="A21400" s="6" t="str">
        <f>"CHORDC1"</f>
        <v>CHORDC1</v>
      </c>
      <c r="B21400" s="6" t="s">
        <v>1</v>
      </c>
      <c r="C21400" s="6" t="s">
        <v>1</v>
      </c>
    </row>
    <row r="21401" spans="1:3" s="7" customFormat="1" x14ac:dyDescent="0.2">
      <c r="A21401" s="6" t="str">
        <f>"PTPN4"</f>
        <v>PTPN4</v>
      </c>
      <c r="B21401" s="6" t="s">
        <v>1</v>
      </c>
      <c r="C21401" s="6" t="s">
        <v>1</v>
      </c>
    </row>
    <row r="21402" spans="1:3" s="7" customFormat="1" x14ac:dyDescent="0.2">
      <c r="A21402" s="6" t="str">
        <f>"FIZ1"</f>
        <v>FIZ1</v>
      </c>
      <c r="B21402" s="6" t="s">
        <v>1</v>
      </c>
      <c r="C21402" s="6" t="s">
        <v>1</v>
      </c>
    </row>
    <row r="21403" spans="1:3" s="7" customFormat="1" x14ac:dyDescent="0.2">
      <c r="A21403" s="6" t="str">
        <f>"VIM-AS1"</f>
        <v>VIM-AS1</v>
      </c>
      <c r="B21403" s="6" t="s">
        <v>1</v>
      </c>
      <c r="C21403" s="6" t="s">
        <v>1</v>
      </c>
    </row>
    <row r="21404" spans="1:3" s="7" customFormat="1" x14ac:dyDescent="0.2">
      <c r="A21404" s="6" t="str">
        <f>"AC244197.3"</f>
        <v>AC244197.3</v>
      </c>
      <c r="B21404" s="6" t="s">
        <v>1</v>
      </c>
      <c r="C21404" s="6" t="s">
        <v>1</v>
      </c>
    </row>
    <row r="21405" spans="1:3" s="7" customFormat="1" x14ac:dyDescent="0.2">
      <c r="A21405" s="6" t="str">
        <f>"MRPS12"</f>
        <v>MRPS12</v>
      </c>
      <c r="B21405" s="6" t="s">
        <v>1</v>
      </c>
      <c r="C21405" s="6" t="s">
        <v>1</v>
      </c>
    </row>
    <row r="21406" spans="1:3" s="7" customFormat="1" x14ac:dyDescent="0.2">
      <c r="A21406" s="6" t="str">
        <f>"ATAD3B"</f>
        <v>ATAD3B</v>
      </c>
      <c r="B21406" s="6" t="s">
        <v>1</v>
      </c>
      <c r="C21406" s="6" t="s">
        <v>1</v>
      </c>
    </row>
    <row r="21407" spans="1:3" s="7" customFormat="1" x14ac:dyDescent="0.2">
      <c r="A21407" s="6" t="str">
        <f>"PHLDA2"</f>
        <v>PHLDA2</v>
      </c>
      <c r="B21407" s="6" t="s">
        <v>1</v>
      </c>
      <c r="C21407" s="6" t="s">
        <v>1</v>
      </c>
    </row>
    <row r="21408" spans="1:3" s="7" customFormat="1" x14ac:dyDescent="0.2">
      <c r="A21408" s="6" t="str">
        <f>"FAS"</f>
        <v>FAS</v>
      </c>
      <c r="B21408" s="6" t="s">
        <v>1</v>
      </c>
      <c r="C21408" s="6" t="s">
        <v>1</v>
      </c>
    </row>
    <row r="21409" spans="1:3" s="7" customFormat="1" x14ac:dyDescent="0.2">
      <c r="A21409" s="6" t="str">
        <f>"APTR"</f>
        <v>APTR</v>
      </c>
      <c r="B21409" s="6" t="s">
        <v>1</v>
      </c>
      <c r="C21409" s="6" t="s">
        <v>1</v>
      </c>
    </row>
    <row r="21410" spans="1:3" s="7" customFormat="1" x14ac:dyDescent="0.2">
      <c r="A21410" s="6" t="str">
        <f>"TNFRSF12A"</f>
        <v>TNFRSF12A</v>
      </c>
      <c r="B21410" s="6" t="s">
        <v>1</v>
      </c>
      <c r="C21410" s="6" t="s">
        <v>1</v>
      </c>
    </row>
    <row r="21411" spans="1:3" s="7" customFormat="1" x14ac:dyDescent="0.2">
      <c r="A21411" s="6" t="str">
        <f>"ADK"</f>
        <v>ADK</v>
      </c>
      <c r="B21411" s="6" t="s">
        <v>1</v>
      </c>
      <c r="C21411" s="6" t="s">
        <v>1</v>
      </c>
    </row>
    <row r="21412" spans="1:3" s="7" customFormat="1" x14ac:dyDescent="0.2">
      <c r="A21412" s="6" t="str">
        <f>"MALT1"</f>
        <v>MALT1</v>
      </c>
      <c r="B21412" s="6" t="s">
        <v>1</v>
      </c>
      <c r="C21412" s="6" t="s">
        <v>1</v>
      </c>
    </row>
    <row r="21413" spans="1:3" s="7" customFormat="1" x14ac:dyDescent="0.2">
      <c r="A21413" s="6" t="str">
        <f>"MYLK"</f>
        <v>MYLK</v>
      </c>
      <c r="B21413" s="6" t="s">
        <v>1</v>
      </c>
      <c r="C21413" s="6" t="s">
        <v>1</v>
      </c>
    </row>
    <row r="21414" spans="1:3" s="7" customFormat="1" x14ac:dyDescent="0.2">
      <c r="A21414" s="6" t="str">
        <f>"ZNF273"</f>
        <v>ZNF273</v>
      </c>
      <c r="B21414" s="6" t="s">
        <v>1</v>
      </c>
      <c r="C21414" s="6" t="s">
        <v>1</v>
      </c>
    </row>
    <row r="21415" spans="1:3" s="7" customFormat="1" x14ac:dyDescent="0.2">
      <c r="A21415" s="6" t="str">
        <f>"LRIG2"</f>
        <v>LRIG2</v>
      </c>
      <c r="B21415" s="6" t="s">
        <v>1</v>
      </c>
      <c r="C21415" s="6" t="s">
        <v>1</v>
      </c>
    </row>
    <row r="21416" spans="1:3" s="7" customFormat="1" x14ac:dyDescent="0.2">
      <c r="A21416" s="6" t="str">
        <f>"MISP3"</f>
        <v>MISP3</v>
      </c>
      <c r="B21416" s="6" t="s">
        <v>1</v>
      </c>
      <c r="C21416" s="6" t="s">
        <v>1</v>
      </c>
    </row>
    <row r="21417" spans="1:3" s="7" customFormat="1" x14ac:dyDescent="0.2">
      <c r="A21417" s="6" t="str">
        <f>"LPAR2"</f>
        <v>LPAR2</v>
      </c>
      <c r="B21417" s="6" t="s">
        <v>1</v>
      </c>
      <c r="C21417" s="6" t="s">
        <v>1</v>
      </c>
    </row>
    <row r="21418" spans="1:3" s="7" customFormat="1" x14ac:dyDescent="0.2">
      <c r="A21418" s="6" t="str">
        <f>"INPP5F"</f>
        <v>INPP5F</v>
      </c>
      <c r="B21418" s="6" t="s">
        <v>1</v>
      </c>
      <c r="C21418" s="6" t="s">
        <v>1</v>
      </c>
    </row>
    <row r="21419" spans="1:3" s="7" customFormat="1" x14ac:dyDescent="0.2">
      <c r="A21419" s="6" t="str">
        <f>"GJB2"</f>
        <v>GJB2</v>
      </c>
      <c r="B21419" s="6" t="s">
        <v>1</v>
      </c>
      <c r="C21419" s="6" t="s">
        <v>1</v>
      </c>
    </row>
    <row r="21420" spans="1:3" s="7" customFormat="1" x14ac:dyDescent="0.2">
      <c r="A21420" s="6" t="str">
        <f>"MACROD2"</f>
        <v>MACROD2</v>
      </c>
      <c r="B21420" s="6" t="s">
        <v>1</v>
      </c>
      <c r="C21420" s="6" t="s">
        <v>1</v>
      </c>
    </row>
    <row r="21421" spans="1:3" s="7" customFormat="1" x14ac:dyDescent="0.2">
      <c r="A21421" s="6" t="str">
        <f>"DEPDC5"</f>
        <v>DEPDC5</v>
      </c>
      <c r="B21421" s="6" t="s">
        <v>1</v>
      </c>
      <c r="C21421" s="6" t="s">
        <v>1</v>
      </c>
    </row>
    <row r="21422" spans="1:3" s="7" customFormat="1" x14ac:dyDescent="0.2">
      <c r="A21422" s="6" t="str">
        <f>"WRN"</f>
        <v>WRN</v>
      </c>
      <c r="B21422" s="6" t="s">
        <v>1</v>
      </c>
      <c r="C21422" s="6" t="s">
        <v>1</v>
      </c>
    </row>
    <row r="21423" spans="1:3" s="7" customFormat="1" x14ac:dyDescent="0.2">
      <c r="A21423" s="6" t="str">
        <f>"GMFB"</f>
        <v>GMFB</v>
      </c>
      <c r="B21423" s="6" t="s">
        <v>1</v>
      </c>
      <c r="C21423" s="6" t="s">
        <v>1</v>
      </c>
    </row>
    <row r="21424" spans="1:3" s="7" customFormat="1" x14ac:dyDescent="0.2">
      <c r="A21424" s="6" t="str">
        <f>"CDR2"</f>
        <v>CDR2</v>
      </c>
      <c r="B21424" s="6" t="s">
        <v>1</v>
      </c>
      <c r="C21424" s="6" t="s">
        <v>1</v>
      </c>
    </row>
    <row r="21425" spans="1:3" s="7" customFormat="1" x14ac:dyDescent="0.2">
      <c r="A21425" s="6" t="str">
        <f>"CDON"</f>
        <v>CDON</v>
      </c>
      <c r="B21425" s="6" t="s">
        <v>1</v>
      </c>
      <c r="C21425" s="6" t="s">
        <v>1</v>
      </c>
    </row>
    <row r="21426" spans="1:3" s="7" customFormat="1" x14ac:dyDescent="0.2">
      <c r="A21426" s="6" t="str">
        <f>"APOBEC3F"</f>
        <v>APOBEC3F</v>
      </c>
      <c r="B21426" s="6" t="s">
        <v>1</v>
      </c>
      <c r="C21426" s="6" t="s">
        <v>1</v>
      </c>
    </row>
    <row r="21427" spans="1:3" s="7" customFormat="1" x14ac:dyDescent="0.2">
      <c r="A21427" s="6" t="str">
        <f>"MAFB"</f>
        <v>MAFB</v>
      </c>
      <c r="B21427" s="6" t="s">
        <v>1</v>
      </c>
      <c r="C21427" s="6" t="s">
        <v>1</v>
      </c>
    </row>
    <row r="21428" spans="1:3" s="7" customFormat="1" x14ac:dyDescent="0.2">
      <c r="A21428" s="6" t="str">
        <f>"ALDH4A1"</f>
        <v>ALDH4A1</v>
      </c>
      <c r="B21428" s="6" t="s">
        <v>1</v>
      </c>
      <c r="C21428" s="6" t="s">
        <v>1</v>
      </c>
    </row>
    <row r="21429" spans="1:3" s="7" customFormat="1" x14ac:dyDescent="0.2">
      <c r="A21429" s="6" t="str">
        <f>"ZNF618"</f>
        <v>ZNF618</v>
      </c>
      <c r="B21429" s="6" t="s">
        <v>1</v>
      </c>
      <c r="C21429" s="6" t="s">
        <v>1</v>
      </c>
    </row>
    <row r="21430" spans="1:3" s="7" customFormat="1" x14ac:dyDescent="0.2">
      <c r="A21430" s="6" t="str">
        <f>"MIR4435-2HG"</f>
        <v>MIR4435-2HG</v>
      </c>
      <c r="B21430" s="6" t="s">
        <v>1</v>
      </c>
      <c r="C21430" s="6" t="s">
        <v>1</v>
      </c>
    </row>
    <row r="21431" spans="1:3" s="7" customFormat="1" x14ac:dyDescent="0.2">
      <c r="A21431" s="6" t="str">
        <f>"NPIPB4"</f>
        <v>NPIPB4</v>
      </c>
      <c r="B21431" s="6" t="s">
        <v>1</v>
      </c>
      <c r="C21431" s="6" t="s">
        <v>1</v>
      </c>
    </row>
    <row r="21432" spans="1:3" s="7" customFormat="1" x14ac:dyDescent="0.2">
      <c r="A21432" s="6" t="str">
        <f>"LPCAT2"</f>
        <v>LPCAT2</v>
      </c>
      <c r="B21432" s="6" t="s">
        <v>1</v>
      </c>
      <c r="C21432" s="6" t="s">
        <v>1</v>
      </c>
    </row>
    <row r="21433" spans="1:3" s="7" customFormat="1" x14ac:dyDescent="0.2">
      <c r="A21433" s="6" t="str">
        <f>"TFPI2"</f>
        <v>TFPI2</v>
      </c>
      <c r="B21433" s="6" t="s">
        <v>1</v>
      </c>
      <c r="C21433" s="6" t="s">
        <v>1</v>
      </c>
    </row>
    <row r="21434" spans="1:3" s="7" customFormat="1" x14ac:dyDescent="0.2">
      <c r="A21434" s="6" t="str">
        <f>"CCNQ"</f>
        <v>CCNQ</v>
      </c>
      <c r="B21434" s="6" t="s">
        <v>1</v>
      </c>
      <c r="C21434" s="6" t="s">
        <v>1</v>
      </c>
    </row>
    <row r="21435" spans="1:3" s="7" customFormat="1" x14ac:dyDescent="0.2">
      <c r="A21435" s="6" t="str">
        <f>"UCKL1"</f>
        <v>UCKL1</v>
      </c>
      <c r="B21435" s="6" t="s">
        <v>1</v>
      </c>
      <c r="C21435" s="6" t="s">
        <v>1</v>
      </c>
    </row>
    <row r="21436" spans="1:3" s="7" customFormat="1" x14ac:dyDescent="0.2">
      <c r="A21436" s="6" t="str">
        <f>"GPR89A"</f>
        <v>GPR89A</v>
      </c>
      <c r="B21436" s="6" t="s">
        <v>1</v>
      </c>
      <c r="C21436" s="6" t="s">
        <v>1</v>
      </c>
    </row>
    <row r="21437" spans="1:3" s="7" customFormat="1" x14ac:dyDescent="0.2">
      <c r="A21437" s="6" t="str">
        <f>"EDEM2"</f>
        <v>EDEM2</v>
      </c>
      <c r="B21437" s="6" t="s">
        <v>1</v>
      </c>
      <c r="C21437" s="6" t="s">
        <v>1</v>
      </c>
    </row>
    <row r="21438" spans="1:3" s="7" customFormat="1" x14ac:dyDescent="0.2">
      <c r="A21438" s="6" t="str">
        <f>"ZBTB5"</f>
        <v>ZBTB5</v>
      </c>
      <c r="B21438" s="6" t="s">
        <v>1</v>
      </c>
      <c r="C21438" s="6" t="s">
        <v>1</v>
      </c>
    </row>
    <row r="21439" spans="1:3" s="7" customFormat="1" x14ac:dyDescent="0.2">
      <c r="A21439" s="6" t="str">
        <f>"CASP9"</f>
        <v>CASP9</v>
      </c>
      <c r="B21439" s="6" t="s">
        <v>1</v>
      </c>
      <c r="C21439" s="6" t="s">
        <v>1</v>
      </c>
    </row>
    <row r="21440" spans="1:3" s="7" customFormat="1" x14ac:dyDescent="0.2">
      <c r="A21440" s="6" t="str">
        <f>"TTLL7"</f>
        <v>TTLL7</v>
      </c>
      <c r="B21440" s="6" t="s">
        <v>1</v>
      </c>
      <c r="C21440" s="6" t="s">
        <v>1</v>
      </c>
    </row>
    <row r="21441" spans="1:3" s="7" customFormat="1" x14ac:dyDescent="0.2">
      <c r="A21441" s="6" t="str">
        <f>"GPR65"</f>
        <v>GPR65</v>
      </c>
      <c r="B21441" s="6" t="s">
        <v>1</v>
      </c>
      <c r="C21441" s="6" t="s">
        <v>1</v>
      </c>
    </row>
    <row r="21442" spans="1:3" s="7" customFormat="1" x14ac:dyDescent="0.2">
      <c r="A21442" s="6" t="str">
        <f>"F5"</f>
        <v>F5</v>
      </c>
      <c r="B21442" s="6" t="s">
        <v>1</v>
      </c>
      <c r="C21442" s="6" t="s">
        <v>1</v>
      </c>
    </row>
    <row r="21443" spans="1:3" s="7" customFormat="1" x14ac:dyDescent="0.2">
      <c r="A21443" s="6" t="str">
        <f>"TTLL9"</f>
        <v>TTLL9</v>
      </c>
      <c r="B21443" s="6" t="s">
        <v>1</v>
      </c>
      <c r="C21443" s="6" t="s">
        <v>1</v>
      </c>
    </row>
    <row r="21444" spans="1:3" s="7" customFormat="1" x14ac:dyDescent="0.2">
      <c r="A21444" s="6" t="str">
        <f>"UCHL5"</f>
        <v>UCHL5</v>
      </c>
      <c r="B21444" s="6" t="s">
        <v>1</v>
      </c>
      <c r="C21444" s="6" t="s">
        <v>1</v>
      </c>
    </row>
    <row r="21445" spans="1:3" s="7" customFormat="1" x14ac:dyDescent="0.2">
      <c r="A21445" s="6" t="str">
        <f>"RNF113A"</f>
        <v>RNF113A</v>
      </c>
      <c r="B21445" s="6" t="s">
        <v>1</v>
      </c>
      <c r="C21445" s="6" t="s">
        <v>1</v>
      </c>
    </row>
    <row r="21446" spans="1:3" s="7" customFormat="1" x14ac:dyDescent="0.2">
      <c r="A21446" s="6" t="str">
        <f>"PP7080"</f>
        <v>PP7080</v>
      </c>
      <c r="B21446" s="6" t="s">
        <v>1</v>
      </c>
      <c r="C21446" s="6" t="s">
        <v>1</v>
      </c>
    </row>
    <row r="21447" spans="1:3" s="7" customFormat="1" x14ac:dyDescent="0.2">
      <c r="A21447" s="6" t="str">
        <f>"AC007405.3"</f>
        <v>AC007405.3</v>
      </c>
      <c r="B21447" s="6" t="s">
        <v>1</v>
      </c>
      <c r="C21447" s="6" t="s">
        <v>1</v>
      </c>
    </row>
    <row r="21448" spans="1:3" s="7" customFormat="1" x14ac:dyDescent="0.2">
      <c r="A21448" s="6" t="str">
        <f>"ADO"</f>
        <v>ADO</v>
      </c>
      <c r="B21448" s="6" t="s">
        <v>1</v>
      </c>
      <c r="C21448" s="6" t="s">
        <v>1</v>
      </c>
    </row>
    <row r="21449" spans="1:3" s="7" customFormat="1" x14ac:dyDescent="0.2">
      <c r="A21449" s="6" t="str">
        <f>"TTC4"</f>
        <v>TTC4</v>
      </c>
      <c r="B21449" s="6" t="s">
        <v>1</v>
      </c>
      <c r="C21449" s="6" t="s">
        <v>1</v>
      </c>
    </row>
    <row r="21450" spans="1:3" s="7" customFormat="1" x14ac:dyDescent="0.2">
      <c r="A21450" s="6" t="str">
        <f>"GMEB1"</f>
        <v>GMEB1</v>
      </c>
      <c r="B21450" s="6" t="s">
        <v>1</v>
      </c>
      <c r="C21450" s="6" t="s">
        <v>1</v>
      </c>
    </row>
    <row r="21451" spans="1:3" s="7" customFormat="1" x14ac:dyDescent="0.2">
      <c r="A21451" s="6" t="str">
        <f>"PPFIBP1"</f>
        <v>PPFIBP1</v>
      </c>
      <c r="B21451" s="6" t="s">
        <v>1</v>
      </c>
      <c r="C21451" s="6" t="s">
        <v>1</v>
      </c>
    </row>
    <row r="21452" spans="1:3" s="7" customFormat="1" x14ac:dyDescent="0.2">
      <c r="A21452" s="6" t="str">
        <f>"THAP5"</f>
        <v>THAP5</v>
      </c>
      <c r="B21452" s="6" t="s">
        <v>1</v>
      </c>
      <c r="C21452" s="6" t="s">
        <v>1</v>
      </c>
    </row>
    <row r="21453" spans="1:3" s="7" customFormat="1" x14ac:dyDescent="0.2">
      <c r="A21453" s="6" t="str">
        <f>"KLF7"</f>
        <v>KLF7</v>
      </c>
      <c r="B21453" s="6" t="s">
        <v>1</v>
      </c>
      <c r="C21453" s="6" t="s">
        <v>1</v>
      </c>
    </row>
    <row r="21454" spans="1:3" s="7" customFormat="1" x14ac:dyDescent="0.2">
      <c r="A21454" s="6" t="str">
        <f>"ZNF623"</f>
        <v>ZNF623</v>
      </c>
      <c r="B21454" s="6" t="s">
        <v>1</v>
      </c>
      <c r="C21454" s="6" t="s">
        <v>1</v>
      </c>
    </row>
    <row r="21455" spans="1:3" s="7" customFormat="1" x14ac:dyDescent="0.2">
      <c r="A21455" s="6" t="str">
        <f>"TMEM131L"</f>
        <v>TMEM131L</v>
      </c>
      <c r="B21455" s="6" t="s">
        <v>1</v>
      </c>
      <c r="C21455" s="6" t="s">
        <v>1</v>
      </c>
    </row>
    <row r="21456" spans="1:3" s="7" customFormat="1" x14ac:dyDescent="0.2">
      <c r="A21456" s="6" t="str">
        <f>"UFSP2"</f>
        <v>UFSP2</v>
      </c>
      <c r="B21456" s="6" t="s">
        <v>1</v>
      </c>
      <c r="C21456" s="6" t="s">
        <v>1</v>
      </c>
    </row>
    <row r="21457" spans="1:3" s="7" customFormat="1" x14ac:dyDescent="0.2">
      <c r="A21457" s="6" t="str">
        <f>"ZNF584"</f>
        <v>ZNF584</v>
      </c>
      <c r="B21457" s="6" t="s">
        <v>1</v>
      </c>
      <c r="C21457" s="6" t="s">
        <v>1</v>
      </c>
    </row>
    <row r="21458" spans="1:3" s="7" customFormat="1" x14ac:dyDescent="0.2">
      <c r="A21458" s="6" t="str">
        <f>"C2orf49"</f>
        <v>C2orf49</v>
      </c>
      <c r="B21458" s="6" t="s">
        <v>1</v>
      </c>
      <c r="C21458" s="6" t="s">
        <v>1</v>
      </c>
    </row>
    <row r="21459" spans="1:3" s="7" customFormat="1" x14ac:dyDescent="0.2">
      <c r="A21459" s="6" t="str">
        <f>"FAAH"</f>
        <v>FAAH</v>
      </c>
      <c r="B21459" s="6" t="s">
        <v>1</v>
      </c>
      <c r="C21459" s="6" t="s">
        <v>1</v>
      </c>
    </row>
    <row r="21460" spans="1:3" s="7" customFormat="1" x14ac:dyDescent="0.2">
      <c r="A21460" s="6" t="str">
        <f>"SEMA3E"</f>
        <v>SEMA3E</v>
      </c>
      <c r="B21460" s="6" t="s">
        <v>1</v>
      </c>
      <c r="C21460" s="6" t="s">
        <v>1</v>
      </c>
    </row>
    <row r="21461" spans="1:3" s="7" customFormat="1" x14ac:dyDescent="0.2">
      <c r="A21461" s="6" t="str">
        <f>"NUTM2A-AS1"</f>
        <v>NUTM2A-AS1</v>
      </c>
      <c r="B21461" s="6" t="s">
        <v>1</v>
      </c>
      <c r="C21461" s="6" t="s">
        <v>1</v>
      </c>
    </row>
    <row r="21462" spans="1:3" s="7" customFormat="1" x14ac:dyDescent="0.2">
      <c r="A21462" s="6" t="str">
        <f>"C22orf23"</f>
        <v>C22orf23</v>
      </c>
      <c r="B21462" s="6" t="s">
        <v>1</v>
      </c>
      <c r="C21462" s="6" t="s">
        <v>1</v>
      </c>
    </row>
    <row r="21463" spans="1:3" s="7" customFormat="1" x14ac:dyDescent="0.2">
      <c r="A21463" s="6" t="str">
        <f>"ADPRHL1"</f>
        <v>ADPRHL1</v>
      </c>
      <c r="B21463" s="6" t="s">
        <v>1</v>
      </c>
      <c r="C21463" s="6" t="s">
        <v>1</v>
      </c>
    </row>
    <row r="21464" spans="1:3" s="7" customFormat="1" x14ac:dyDescent="0.2">
      <c r="A21464" s="6" t="str">
        <f>"CYP24A1"</f>
        <v>CYP24A1</v>
      </c>
      <c r="B21464" s="6" t="s">
        <v>1</v>
      </c>
      <c r="C21464" s="6" t="s">
        <v>1</v>
      </c>
    </row>
    <row r="21465" spans="1:3" s="7" customFormat="1" x14ac:dyDescent="0.2">
      <c r="A21465" s="6" t="str">
        <f>"TTLL1"</f>
        <v>TTLL1</v>
      </c>
      <c r="B21465" s="6" t="s">
        <v>1</v>
      </c>
      <c r="C21465" s="6" t="s">
        <v>1</v>
      </c>
    </row>
    <row r="21466" spans="1:3" s="7" customFormat="1" x14ac:dyDescent="0.2">
      <c r="A21466" s="6" t="str">
        <f>"KATNBL1"</f>
        <v>KATNBL1</v>
      </c>
      <c r="B21466" s="6" t="s">
        <v>1</v>
      </c>
      <c r="C21466" s="6" t="s">
        <v>1</v>
      </c>
    </row>
    <row r="21467" spans="1:3" s="7" customFormat="1" x14ac:dyDescent="0.2">
      <c r="A21467" s="6" t="str">
        <f>"MDFI"</f>
        <v>MDFI</v>
      </c>
      <c r="B21467" s="6" t="s">
        <v>1</v>
      </c>
      <c r="C21467" s="6" t="s">
        <v>1</v>
      </c>
    </row>
    <row r="21468" spans="1:3" s="7" customFormat="1" x14ac:dyDescent="0.2">
      <c r="A21468" s="6" t="str">
        <f>"GLS"</f>
        <v>GLS</v>
      </c>
      <c r="B21468" s="6" t="s">
        <v>1</v>
      </c>
      <c r="C21468" s="6" t="s">
        <v>1</v>
      </c>
    </row>
    <row r="21469" spans="1:3" s="7" customFormat="1" x14ac:dyDescent="0.2">
      <c r="A21469" s="6" t="str">
        <f>"ZSCAN31"</f>
        <v>ZSCAN31</v>
      </c>
      <c r="B21469" s="6" t="s">
        <v>1</v>
      </c>
      <c r="C21469" s="6" t="s">
        <v>1</v>
      </c>
    </row>
    <row r="21470" spans="1:3" s="7" customFormat="1" x14ac:dyDescent="0.2">
      <c r="A21470" s="6" t="str">
        <f>"LRFN4"</f>
        <v>LRFN4</v>
      </c>
      <c r="B21470" s="6" t="s">
        <v>1</v>
      </c>
      <c r="C21470" s="6" t="s">
        <v>1</v>
      </c>
    </row>
    <row r="21471" spans="1:3" s="7" customFormat="1" x14ac:dyDescent="0.2">
      <c r="A21471" s="6" t="str">
        <f>"CRLF1"</f>
        <v>CRLF1</v>
      </c>
      <c r="B21471" s="6" t="s">
        <v>1</v>
      </c>
      <c r="C21471" s="6" t="s">
        <v>1</v>
      </c>
    </row>
    <row r="21472" spans="1:3" s="7" customFormat="1" x14ac:dyDescent="0.2">
      <c r="A21472" s="6" t="str">
        <f>"CELF2"</f>
        <v>CELF2</v>
      </c>
      <c r="B21472" s="6" t="s">
        <v>1</v>
      </c>
      <c r="C21472" s="6" t="s">
        <v>1</v>
      </c>
    </row>
    <row r="21473" spans="1:3" s="7" customFormat="1" x14ac:dyDescent="0.2">
      <c r="A21473" s="6" t="str">
        <f>"PHF5A"</f>
        <v>PHF5A</v>
      </c>
      <c r="B21473" s="6" t="s">
        <v>1</v>
      </c>
      <c r="C21473" s="6" t="s">
        <v>1</v>
      </c>
    </row>
    <row r="21474" spans="1:3" s="7" customFormat="1" x14ac:dyDescent="0.2">
      <c r="A21474" s="6" t="str">
        <f>"RNF121"</f>
        <v>RNF121</v>
      </c>
      <c r="B21474" s="6" t="s">
        <v>1</v>
      </c>
      <c r="C21474" s="6" t="s">
        <v>1</v>
      </c>
    </row>
    <row r="21475" spans="1:3" s="7" customFormat="1" x14ac:dyDescent="0.2">
      <c r="A21475" s="6" t="str">
        <f>"SMARCA1"</f>
        <v>SMARCA1</v>
      </c>
      <c r="B21475" s="6" t="s">
        <v>1</v>
      </c>
      <c r="C21475" s="6" t="s">
        <v>1</v>
      </c>
    </row>
    <row r="21476" spans="1:3" s="7" customFormat="1" x14ac:dyDescent="0.2">
      <c r="A21476" s="6" t="str">
        <f>"ZNF585B"</f>
        <v>ZNF585B</v>
      </c>
      <c r="B21476" s="6" t="s">
        <v>1</v>
      </c>
      <c r="C21476" s="6" t="s">
        <v>1</v>
      </c>
    </row>
    <row r="21477" spans="1:3" s="7" customFormat="1" x14ac:dyDescent="0.2">
      <c r="A21477" s="6" t="str">
        <f>"STYK1"</f>
        <v>STYK1</v>
      </c>
      <c r="B21477" s="6" t="s">
        <v>1</v>
      </c>
      <c r="C21477" s="6" t="s">
        <v>1</v>
      </c>
    </row>
    <row r="21478" spans="1:3" s="7" customFormat="1" x14ac:dyDescent="0.2">
      <c r="A21478" s="6" t="str">
        <f>"PHTF2"</f>
        <v>PHTF2</v>
      </c>
      <c r="B21478" s="6" t="s">
        <v>1</v>
      </c>
      <c r="C21478" s="6" t="s">
        <v>1</v>
      </c>
    </row>
    <row r="21479" spans="1:3" s="7" customFormat="1" x14ac:dyDescent="0.2">
      <c r="A21479" s="6" t="str">
        <f>"NOM1"</f>
        <v>NOM1</v>
      </c>
      <c r="B21479" s="6" t="s">
        <v>1</v>
      </c>
      <c r="C21479" s="6" t="s">
        <v>1</v>
      </c>
    </row>
    <row r="21480" spans="1:3" s="7" customFormat="1" x14ac:dyDescent="0.2">
      <c r="A21480" s="6" t="str">
        <f>"NEDD1"</f>
        <v>NEDD1</v>
      </c>
      <c r="B21480" s="6" t="s">
        <v>1</v>
      </c>
      <c r="C21480" s="6" t="s">
        <v>1</v>
      </c>
    </row>
    <row r="21481" spans="1:3" s="7" customFormat="1" x14ac:dyDescent="0.2">
      <c r="A21481" s="6" t="str">
        <f>"TBC1D25"</f>
        <v>TBC1D25</v>
      </c>
      <c r="B21481" s="6" t="s">
        <v>1</v>
      </c>
      <c r="C21481" s="6" t="s">
        <v>1</v>
      </c>
    </row>
    <row r="21482" spans="1:3" s="7" customFormat="1" x14ac:dyDescent="0.2">
      <c r="A21482" s="6" t="str">
        <f>"ZNF587B"</f>
        <v>ZNF587B</v>
      </c>
      <c r="B21482" s="6" t="s">
        <v>1</v>
      </c>
      <c r="C21482" s="6" t="s">
        <v>1</v>
      </c>
    </row>
    <row r="21483" spans="1:3" s="7" customFormat="1" x14ac:dyDescent="0.2">
      <c r="A21483" s="6" t="str">
        <f>"ELP6"</f>
        <v>ELP6</v>
      </c>
      <c r="B21483" s="6" t="s">
        <v>1</v>
      </c>
      <c r="C21483" s="6" t="s">
        <v>1</v>
      </c>
    </row>
    <row r="21484" spans="1:3" s="7" customFormat="1" x14ac:dyDescent="0.2">
      <c r="A21484" s="6" t="str">
        <f>"NPIPA5"</f>
        <v>NPIPA5</v>
      </c>
      <c r="B21484" s="6" t="s">
        <v>1</v>
      </c>
      <c r="C21484" s="6" t="s">
        <v>1</v>
      </c>
    </row>
    <row r="21485" spans="1:3" s="7" customFormat="1" x14ac:dyDescent="0.2">
      <c r="A21485" s="6" t="str">
        <f>"FLACC1"</f>
        <v>FLACC1</v>
      </c>
      <c r="B21485" s="6" t="s">
        <v>1</v>
      </c>
      <c r="C21485" s="6" t="s">
        <v>1</v>
      </c>
    </row>
    <row r="21486" spans="1:3" s="7" customFormat="1" x14ac:dyDescent="0.2">
      <c r="A21486" s="6" t="str">
        <f>"STX8"</f>
        <v>STX8</v>
      </c>
      <c r="B21486" s="6" t="s">
        <v>1</v>
      </c>
      <c r="C21486" s="6" t="s">
        <v>1</v>
      </c>
    </row>
    <row r="21487" spans="1:3" s="7" customFormat="1" x14ac:dyDescent="0.2">
      <c r="A21487" s="6" t="str">
        <f>"PDCL"</f>
        <v>PDCL</v>
      </c>
      <c r="B21487" s="6" t="s">
        <v>1</v>
      </c>
      <c r="C21487" s="6" t="s">
        <v>1</v>
      </c>
    </row>
    <row r="21488" spans="1:3" s="7" customFormat="1" x14ac:dyDescent="0.2">
      <c r="A21488" s="6" t="str">
        <f>"MIS18BP1"</f>
        <v>MIS18BP1</v>
      </c>
      <c r="B21488" s="6" t="s">
        <v>1</v>
      </c>
      <c r="C21488" s="6" t="s">
        <v>1</v>
      </c>
    </row>
    <row r="21489" spans="1:3" s="7" customFormat="1" x14ac:dyDescent="0.2">
      <c r="A21489" s="6" t="str">
        <f>"C1R"</f>
        <v>C1R</v>
      </c>
      <c r="B21489" s="6" t="s">
        <v>1</v>
      </c>
      <c r="C21489" s="6" t="s">
        <v>1</v>
      </c>
    </row>
    <row r="21490" spans="1:3" s="7" customFormat="1" x14ac:dyDescent="0.2">
      <c r="A21490" s="6" t="str">
        <f>"RNF166"</f>
        <v>RNF166</v>
      </c>
      <c r="B21490" s="6" t="s">
        <v>1</v>
      </c>
      <c r="C21490" s="6" t="s">
        <v>1</v>
      </c>
    </row>
    <row r="21491" spans="1:3" s="7" customFormat="1" x14ac:dyDescent="0.2">
      <c r="A21491" s="6" t="str">
        <f>"APIP"</f>
        <v>APIP</v>
      </c>
      <c r="B21491" s="6" t="s">
        <v>1</v>
      </c>
      <c r="C21491" s="6" t="s">
        <v>1</v>
      </c>
    </row>
    <row r="21492" spans="1:3" s="7" customFormat="1" x14ac:dyDescent="0.2">
      <c r="A21492" s="6" t="str">
        <f>"DEAF1"</f>
        <v>DEAF1</v>
      </c>
      <c r="B21492" s="6" t="s">
        <v>1</v>
      </c>
      <c r="C21492" s="6" t="s">
        <v>1</v>
      </c>
    </row>
    <row r="21493" spans="1:3" s="7" customFormat="1" x14ac:dyDescent="0.2">
      <c r="A21493" s="6" t="str">
        <f>"NEK8"</f>
        <v>NEK8</v>
      </c>
      <c r="B21493" s="6" t="s">
        <v>1</v>
      </c>
      <c r="C21493" s="6" t="s">
        <v>1</v>
      </c>
    </row>
    <row r="21494" spans="1:3" s="7" customFormat="1" x14ac:dyDescent="0.2">
      <c r="A21494" s="6" t="str">
        <f>"IP6K3"</f>
        <v>IP6K3</v>
      </c>
      <c r="B21494" s="6" t="s">
        <v>1</v>
      </c>
      <c r="C21494" s="6" t="s">
        <v>1</v>
      </c>
    </row>
    <row r="21495" spans="1:3" s="7" customFormat="1" x14ac:dyDescent="0.2">
      <c r="A21495" s="6" t="str">
        <f>"TMEM14A"</f>
        <v>TMEM14A</v>
      </c>
      <c r="B21495" s="6" t="s">
        <v>1</v>
      </c>
      <c r="C21495" s="6" t="s">
        <v>1</v>
      </c>
    </row>
    <row r="21496" spans="1:3" s="7" customFormat="1" x14ac:dyDescent="0.2">
      <c r="A21496" s="6" t="str">
        <f>"IER5L"</f>
        <v>IER5L</v>
      </c>
      <c r="B21496" s="6" t="s">
        <v>1</v>
      </c>
      <c r="C21496" s="6" t="s">
        <v>1</v>
      </c>
    </row>
    <row r="21497" spans="1:3" s="7" customFormat="1" x14ac:dyDescent="0.2">
      <c r="A21497" s="6" t="str">
        <f>"TMEM135"</f>
        <v>TMEM135</v>
      </c>
      <c r="B21497" s="6" t="s">
        <v>1</v>
      </c>
      <c r="C21497" s="6" t="s">
        <v>1</v>
      </c>
    </row>
    <row r="21498" spans="1:3" s="7" customFormat="1" x14ac:dyDescent="0.2">
      <c r="A21498" s="6" t="str">
        <f>"MRPS18C"</f>
        <v>MRPS18C</v>
      </c>
      <c r="B21498" s="6" t="s">
        <v>1</v>
      </c>
      <c r="C21498" s="6" t="s">
        <v>1</v>
      </c>
    </row>
    <row r="21499" spans="1:3" s="7" customFormat="1" x14ac:dyDescent="0.2">
      <c r="A21499" s="6" t="str">
        <f>"PPARGC1A"</f>
        <v>PPARGC1A</v>
      </c>
      <c r="B21499" s="6" t="s">
        <v>1</v>
      </c>
      <c r="C21499" s="6" t="s">
        <v>1</v>
      </c>
    </row>
    <row r="21500" spans="1:3" s="7" customFormat="1" x14ac:dyDescent="0.2">
      <c r="A21500" s="6" t="str">
        <f>"EXOSC7"</f>
        <v>EXOSC7</v>
      </c>
      <c r="B21500" s="6" t="s">
        <v>1</v>
      </c>
      <c r="C21500" s="6" t="s">
        <v>1</v>
      </c>
    </row>
    <row r="21501" spans="1:3" s="7" customFormat="1" x14ac:dyDescent="0.2">
      <c r="A21501" s="6" t="str">
        <f>"ARAP3"</f>
        <v>ARAP3</v>
      </c>
      <c r="B21501" s="6" t="s">
        <v>1</v>
      </c>
      <c r="C21501" s="6" t="s">
        <v>1</v>
      </c>
    </row>
    <row r="21502" spans="1:3" s="7" customFormat="1" x14ac:dyDescent="0.2">
      <c r="A21502" s="6" t="str">
        <f>"SLC27A3"</f>
        <v>SLC27A3</v>
      </c>
      <c r="B21502" s="6" t="s">
        <v>1</v>
      </c>
      <c r="C21502" s="6" t="s">
        <v>1</v>
      </c>
    </row>
    <row r="21503" spans="1:3" s="7" customFormat="1" x14ac:dyDescent="0.2">
      <c r="A21503" s="6" t="str">
        <f>"EDARADD"</f>
        <v>EDARADD</v>
      </c>
      <c r="B21503" s="6" t="s">
        <v>1</v>
      </c>
      <c r="C21503" s="6" t="s">
        <v>1</v>
      </c>
    </row>
    <row r="21504" spans="1:3" s="7" customFormat="1" x14ac:dyDescent="0.2">
      <c r="A21504" s="6" t="str">
        <f>"TGFBR3"</f>
        <v>TGFBR3</v>
      </c>
      <c r="B21504" s="6" t="s">
        <v>1</v>
      </c>
      <c r="C21504" s="6" t="s">
        <v>1</v>
      </c>
    </row>
    <row r="21505" spans="1:3" s="7" customFormat="1" x14ac:dyDescent="0.2">
      <c r="A21505" s="6" t="str">
        <f>"OXLD1"</f>
        <v>OXLD1</v>
      </c>
      <c r="B21505" s="6" t="s">
        <v>1</v>
      </c>
      <c r="C21505" s="6" t="s">
        <v>1</v>
      </c>
    </row>
    <row r="21506" spans="1:3" s="7" customFormat="1" x14ac:dyDescent="0.2">
      <c r="A21506" s="6" t="str">
        <f>"MED6"</f>
        <v>MED6</v>
      </c>
      <c r="B21506" s="6" t="s">
        <v>1</v>
      </c>
      <c r="C21506" s="6" t="s">
        <v>1</v>
      </c>
    </row>
    <row r="21507" spans="1:3" s="7" customFormat="1" x14ac:dyDescent="0.2">
      <c r="A21507" s="6" t="str">
        <f>"GMEB2"</f>
        <v>GMEB2</v>
      </c>
      <c r="B21507" s="6" t="s">
        <v>1</v>
      </c>
      <c r="C21507" s="6" t="s">
        <v>1</v>
      </c>
    </row>
    <row r="21508" spans="1:3" s="7" customFormat="1" x14ac:dyDescent="0.2">
      <c r="A21508" s="6" t="str">
        <f>"N4BP2"</f>
        <v>N4BP2</v>
      </c>
      <c r="B21508" s="6" t="s">
        <v>1</v>
      </c>
      <c r="C21508" s="6" t="s">
        <v>1</v>
      </c>
    </row>
    <row r="21509" spans="1:3" s="7" customFormat="1" x14ac:dyDescent="0.2">
      <c r="A21509" s="6" t="str">
        <f>"C21orf91"</f>
        <v>C21orf91</v>
      </c>
      <c r="B21509" s="6" t="s">
        <v>1</v>
      </c>
      <c r="C21509" s="6" t="s">
        <v>1</v>
      </c>
    </row>
    <row r="21510" spans="1:3" s="7" customFormat="1" x14ac:dyDescent="0.2">
      <c r="A21510" s="6" t="str">
        <f>"ZNF627"</f>
        <v>ZNF627</v>
      </c>
      <c r="B21510" s="6" t="s">
        <v>1</v>
      </c>
      <c r="C21510" s="6" t="s">
        <v>1</v>
      </c>
    </row>
    <row r="21511" spans="1:3" s="7" customFormat="1" x14ac:dyDescent="0.2">
      <c r="A21511" s="6" t="str">
        <f>"SUFU"</f>
        <v>SUFU</v>
      </c>
      <c r="B21511" s="6" t="s">
        <v>1</v>
      </c>
      <c r="C21511" s="6" t="s">
        <v>1</v>
      </c>
    </row>
    <row r="21512" spans="1:3" s="7" customFormat="1" x14ac:dyDescent="0.2">
      <c r="A21512" s="6" t="str">
        <f>"HAUS5"</f>
        <v>HAUS5</v>
      </c>
      <c r="B21512" s="6" t="s">
        <v>1</v>
      </c>
      <c r="C21512" s="6" t="s">
        <v>1</v>
      </c>
    </row>
    <row r="21513" spans="1:3" s="7" customFormat="1" x14ac:dyDescent="0.2">
      <c r="A21513" s="6" t="str">
        <f>"MCTS1"</f>
        <v>MCTS1</v>
      </c>
      <c r="B21513" s="6" t="s">
        <v>1</v>
      </c>
      <c r="C21513" s="6" t="s">
        <v>1</v>
      </c>
    </row>
    <row r="21514" spans="1:3" s="7" customFormat="1" x14ac:dyDescent="0.2">
      <c r="A21514" s="6" t="str">
        <f>"NUP85"</f>
        <v>NUP85</v>
      </c>
      <c r="B21514" s="6" t="s">
        <v>1</v>
      </c>
      <c r="C21514" s="6" t="s">
        <v>1</v>
      </c>
    </row>
    <row r="21515" spans="1:3" s="7" customFormat="1" x14ac:dyDescent="0.2">
      <c r="A21515" s="6" t="str">
        <f>"NOP14-AS1"</f>
        <v>NOP14-AS1</v>
      </c>
      <c r="B21515" s="6" t="s">
        <v>1</v>
      </c>
      <c r="C21515" s="6" t="s">
        <v>1</v>
      </c>
    </row>
    <row r="21516" spans="1:3" s="7" customFormat="1" x14ac:dyDescent="0.2">
      <c r="A21516" s="6" t="str">
        <f>"LPIN1"</f>
        <v>LPIN1</v>
      </c>
      <c r="B21516" s="6" t="s">
        <v>1</v>
      </c>
      <c r="C21516" s="6" t="s">
        <v>1</v>
      </c>
    </row>
    <row r="21517" spans="1:3" s="7" customFormat="1" x14ac:dyDescent="0.2">
      <c r="A21517" s="6" t="str">
        <f>"APOL3"</f>
        <v>APOL3</v>
      </c>
      <c r="B21517" s="6" t="s">
        <v>1</v>
      </c>
      <c r="C21517" s="6" t="s">
        <v>1</v>
      </c>
    </row>
    <row r="21518" spans="1:3" s="7" customFormat="1" x14ac:dyDescent="0.2">
      <c r="A21518" s="6" t="str">
        <f>"INTS4"</f>
        <v>INTS4</v>
      </c>
      <c r="B21518" s="6" t="s">
        <v>1</v>
      </c>
      <c r="C21518" s="6" t="s">
        <v>1</v>
      </c>
    </row>
    <row r="21519" spans="1:3" s="7" customFormat="1" x14ac:dyDescent="0.2">
      <c r="A21519" s="6" t="str">
        <f>"CDKN2AIP"</f>
        <v>CDKN2AIP</v>
      </c>
      <c r="B21519" s="6" t="s">
        <v>1</v>
      </c>
      <c r="C21519" s="6" t="s">
        <v>1</v>
      </c>
    </row>
    <row r="21520" spans="1:3" s="7" customFormat="1" x14ac:dyDescent="0.2">
      <c r="A21520" s="6" t="str">
        <f>"BAALC-AS1"</f>
        <v>BAALC-AS1</v>
      </c>
      <c r="B21520" s="6" t="s">
        <v>1</v>
      </c>
      <c r="C21520" s="6" t="s">
        <v>1</v>
      </c>
    </row>
    <row r="21521" spans="1:3" s="7" customFormat="1" x14ac:dyDescent="0.2">
      <c r="A21521" s="6" t="str">
        <f>"PAGR1"</f>
        <v>PAGR1</v>
      </c>
      <c r="B21521" s="6" t="s">
        <v>1</v>
      </c>
      <c r="C21521" s="6" t="s">
        <v>1</v>
      </c>
    </row>
    <row r="21522" spans="1:3" s="7" customFormat="1" x14ac:dyDescent="0.2">
      <c r="A21522" s="6" t="str">
        <f>"MAL"</f>
        <v>MAL</v>
      </c>
      <c r="B21522" s="6" t="s">
        <v>1</v>
      </c>
      <c r="C21522" s="6" t="s">
        <v>1</v>
      </c>
    </row>
    <row r="21523" spans="1:3" s="7" customFormat="1" x14ac:dyDescent="0.2">
      <c r="A21523" s="6" t="str">
        <f>"CHUK"</f>
        <v>CHUK</v>
      </c>
      <c r="B21523" s="6" t="s">
        <v>1</v>
      </c>
      <c r="C21523" s="6" t="s">
        <v>1</v>
      </c>
    </row>
    <row r="21524" spans="1:3" s="7" customFormat="1" x14ac:dyDescent="0.2">
      <c r="A21524" s="6" t="str">
        <f>"CYP1B1"</f>
        <v>CYP1B1</v>
      </c>
      <c r="B21524" s="6" t="s">
        <v>1</v>
      </c>
      <c r="C21524" s="6" t="s">
        <v>1</v>
      </c>
    </row>
    <row r="21525" spans="1:3" s="7" customFormat="1" x14ac:dyDescent="0.2">
      <c r="A21525" s="6" t="str">
        <f>"KCNAB2"</f>
        <v>KCNAB2</v>
      </c>
      <c r="B21525" s="6" t="s">
        <v>1</v>
      </c>
      <c r="C21525" s="6" t="s">
        <v>1</v>
      </c>
    </row>
    <row r="21526" spans="1:3" s="7" customFormat="1" x14ac:dyDescent="0.2">
      <c r="A21526" s="6" t="str">
        <f>"PLEKHG5"</f>
        <v>PLEKHG5</v>
      </c>
      <c r="B21526" s="6" t="s">
        <v>1</v>
      </c>
      <c r="C21526" s="6" t="s">
        <v>1</v>
      </c>
    </row>
    <row r="21527" spans="1:3" s="7" customFormat="1" x14ac:dyDescent="0.2">
      <c r="A21527" s="6" t="str">
        <f>"B4GALT3"</f>
        <v>B4GALT3</v>
      </c>
      <c r="B21527" s="6" t="s">
        <v>1</v>
      </c>
      <c r="C21527" s="6" t="s">
        <v>1</v>
      </c>
    </row>
    <row r="21528" spans="1:3" s="7" customFormat="1" x14ac:dyDescent="0.2">
      <c r="A21528" s="6" t="str">
        <f>"MRPS28"</f>
        <v>MRPS28</v>
      </c>
      <c r="B21528" s="6" t="s">
        <v>1</v>
      </c>
      <c r="C21528" s="6" t="s">
        <v>1</v>
      </c>
    </row>
    <row r="21529" spans="1:3" s="7" customFormat="1" x14ac:dyDescent="0.2">
      <c r="A21529" s="6" t="str">
        <f>"CASP10"</f>
        <v>CASP10</v>
      </c>
      <c r="B21529" s="6" t="s">
        <v>1</v>
      </c>
      <c r="C21529" s="6" t="s">
        <v>1</v>
      </c>
    </row>
    <row r="21530" spans="1:3" s="7" customFormat="1" x14ac:dyDescent="0.2">
      <c r="A21530" s="6" t="str">
        <f>"DGAT2"</f>
        <v>DGAT2</v>
      </c>
      <c r="B21530" s="6" t="s">
        <v>1</v>
      </c>
      <c r="C21530" s="6" t="s">
        <v>1</v>
      </c>
    </row>
    <row r="21531" spans="1:3" s="7" customFormat="1" x14ac:dyDescent="0.2">
      <c r="A21531" s="6" t="str">
        <f>"MAGIX"</f>
        <v>MAGIX</v>
      </c>
      <c r="B21531" s="6" t="s">
        <v>1</v>
      </c>
      <c r="C21531" s="6" t="s">
        <v>1</v>
      </c>
    </row>
    <row r="21532" spans="1:3" s="7" customFormat="1" x14ac:dyDescent="0.2">
      <c r="A21532" s="6" t="str">
        <f>"COA5"</f>
        <v>COA5</v>
      </c>
      <c r="B21532" s="6" t="s">
        <v>1</v>
      </c>
      <c r="C21532" s="6" t="s">
        <v>1</v>
      </c>
    </row>
    <row r="21533" spans="1:3" s="7" customFormat="1" x14ac:dyDescent="0.2">
      <c r="A21533" s="6" t="str">
        <f>"AP000547.3"</f>
        <v>AP000547.3</v>
      </c>
      <c r="B21533" s="6" t="s">
        <v>1</v>
      </c>
      <c r="C21533" s="6" t="s">
        <v>1</v>
      </c>
    </row>
    <row r="21534" spans="1:3" s="7" customFormat="1" x14ac:dyDescent="0.2">
      <c r="A21534" s="6" t="str">
        <f>"OBSCN"</f>
        <v>OBSCN</v>
      </c>
      <c r="B21534" s="6" t="s">
        <v>1</v>
      </c>
      <c r="C21534" s="6" t="s">
        <v>1</v>
      </c>
    </row>
    <row r="21535" spans="1:3" s="7" customFormat="1" x14ac:dyDescent="0.2">
      <c r="A21535" s="6" t="str">
        <f>"NDUFB6"</f>
        <v>NDUFB6</v>
      </c>
      <c r="B21535" s="6" t="s">
        <v>1</v>
      </c>
      <c r="C21535" s="6" t="s">
        <v>1</v>
      </c>
    </row>
    <row r="21536" spans="1:3" s="7" customFormat="1" x14ac:dyDescent="0.2">
      <c r="A21536" s="6" t="str">
        <f>"GABPB1-IT1"</f>
        <v>GABPB1-IT1</v>
      </c>
      <c r="B21536" s="6" t="s">
        <v>1</v>
      </c>
      <c r="C21536" s="6" t="s">
        <v>1</v>
      </c>
    </row>
    <row r="21537" spans="1:3" s="7" customFormat="1" x14ac:dyDescent="0.2">
      <c r="A21537" s="6" t="str">
        <f>"SLC26A4"</f>
        <v>SLC26A4</v>
      </c>
      <c r="B21537" s="6" t="s">
        <v>1</v>
      </c>
      <c r="C21537" s="6" t="s">
        <v>1</v>
      </c>
    </row>
    <row r="21538" spans="1:3" s="7" customFormat="1" x14ac:dyDescent="0.2">
      <c r="A21538" s="6" t="str">
        <f>"CRNN"</f>
        <v>CRNN</v>
      </c>
      <c r="B21538" s="6" t="s">
        <v>1</v>
      </c>
      <c r="C21538" s="6" t="s">
        <v>1</v>
      </c>
    </row>
    <row r="21539" spans="1:3" s="7" customFormat="1" x14ac:dyDescent="0.2">
      <c r="A21539" s="6" t="str">
        <f>"KLHDC8B"</f>
        <v>KLHDC8B</v>
      </c>
      <c r="B21539" s="6" t="s">
        <v>1</v>
      </c>
      <c r="C21539" s="6" t="s">
        <v>1</v>
      </c>
    </row>
    <row r="21540" spans="1:3" s="7" customFormat="1" x14ac:dyDescent="0.2">
      <c r="A21540" s="6" t="str">
        <f>"DOCK4"</f>
        <v>DOCK4</v>
      </c>
      <c r="B21540" s="6" t="s">
        <v>1</v>
      </c>
      <c r="C21540" s="6" t="s">
        <v>1</v>
      </c>
    </row>
    <row r="21541" spans="1:3" s="7" customFormat="1" x14ac:dyDescent="0.2">
      <c r="A21541" s="6" t="str">
        <f>"GPX8"</f>
        <v>GPX8</v>
      </c>
      <c r="B21541" s="6" t="s">
        <v>1</v>
      </c>
      <c r="C21541" s="6" t="s">
        <v>1</v>
      </c>
    </row>
    <row r="21542" spans="1:3" s="7" customFormat="1" x14ac:dyDescent="0.2">
      <c r="A21542" s="6" t="str">
        <f>"KLHL22"</f>
        <v>KLHL22</v>
      </c>
      <c r="B21542" s="6" t="s">
        <v>1</v>
      </c>
      <c r="C21542" s="6" t="s">
        <v>1</v>
      </c>
    </row>
    <row r="21543" spans="1:3" s="7" customFormat="1" x14ac:dyDescent="0.2">
      <c r="A21543" s="6" t="str">
        <f>"ZNF260"</f>
        <v>ZNF260</v>
      </c>
      <c r="B21543" s="6" t="s">
        <v>1</v>
      </c>
      <c r="C21543" s="6" t="s">
        <v>1</v>
      </c>
    </row>
    <row r="21544" spans="1:3" s="7" customFormat="1" x14ac:dyDescent="0.2">
      <c r="A21544" s="6" t="str">
        <f>"ALG13"</f>
        <v>ALG13</v>
      </c>
      <c r="B21544" s="6" t="s">
        <v>1</v>
      </c>
      <c r="C21544" s="6" t="s">
        <v>1</v>
      </c>
    </row>
    <row r="21545" spans="1:3" s="7" customFormat="1" x14ac:dyDescent="0.2">
      <c r="A21545" s="6" t="str">
        <f>"CHST12"</f>
        <v>CHST12</v>
      </c>
      <c r="B21545" s="6" t="s">
        <v>1</v>
      </c>
      <c r="C21545" s="6" t="s">
        <v>1</v>
      </c>
    </row>
    <row r="21546" spans="1:3" s="7" customFormat="1" x14ac:dyDescent="0.2">
      <c r="A21546" s="6" t="str">
        <f>"NVL"</f>
        <v>NVL</v>
      </c>
      <c r="B21546" s="6" t="s">
        <v>1</v>
      </c>
      <c r="C21546" s="6" t="s">
        <v>1</v>
      </c>
    </row>
    <row r="21547" spans="1:3" s="7" customFormat="1" x14ac:dyDescent="0.2">
      <c r="A21547" s="6" t="str">
        <f>"FAHD1"</f>
        <v>FAHD1</v>
      </c>
      <c r="B21547" s="6" t="s">
        <v>1</v>
      </c>
      <c r="C21547" s="6" t="s">
        <v>1</v>
      </c>
    </row>
    <row r="21548" spans="1:3" s="7" customFormat="1" x14ac:dyDescent="0.2">
      <c r="A21548" s="6" t="str">
        <f>"GLA"</f>
        <v>GLA</v>
      </c>
      <c r="B21548" s="6" t="s">
        <v>1</v>
      </c>
      <c r="C21548" s="6" t="s">
        <v>1</v>
      </c>
    </row>
    <row r="21549" spans="1:3" s="7" customFormat="1" x14ac:dyDescent="0.2">
      <c r="A21549" s="6" t="str">
        <f>"CHST11"</f>
        <v>CHST11</v>
      </c>
      <c r="B21549" s="6" t="s">
        <v>1</v>
      </c>
      <c r="C21549" s="6" t="s">
        <v>1</v>
      </c>
    </row>
    <row r="21550" spans="1:3" s="7" customFormat="1" x14ac:dyDescent="0.2">
      <c r="A21550" s="6" t="str">
        <f>"KLHDC9"</f>
        <v>KLHDC9</v>
      </c>
      <c r="B21550" s="6" t="s">
        <v>1</v>
      </c>
      <c r="C21550" s="6" t="s">
        <v>1</v>
      </c>
    </row>
    <row r="21551" spans="1:3" s="7" customFormat="1" x14ac:dyDescent="0.2">
      <c r="A21551" s="6" t="str">
        <f>"ZC2HC1C"</f>
        <v>ZC2HC1C</v>
      </c>
      <c r="B21551" s="6" t="s">
        <v>1</v>
      </c>
      <c r="C21551" s="6" t="s">
        <v>1</v>
      </c>
    </row>
    <row r="21552" spans="1:3" s="7" customFormat="1" x14ac:dyDescent="0.2">
      <c r="A21552" s="6" t="str">
        <f>"PCYT1B"</f>
        <v>PCYT1B</v>
      </c>
      <c r="B21552" s="6" t="s">
        <v>1</v>
      </c>
      <c r="C21552" s="6" t="s">
        <v>1</v>
      </c>
    </row>
    <row r="21553" spans="1:3" s="7" customFormat="1" x14ac:dyDescent="0.2">
      <c r="A21553" s="6" t="str">
        <f>"GRB7"</f>
        <v>GRB7</v>
      </c>
      <c r="B21553" s="6" t="s">
        <v>1</v>
      </c>
      <c r="C21553" s="6" t="s">
        <v>1</v>
      </c>
    </row>
    <row r="21554" spans="1:3" s="7" customFormat="1" x14ac:dyDescent="0.2">
      <c r="A21554" s="6" t="str">
        <f>"CHST3"</f>
        <v>CHST3</v>
      </c>
      <c r="B21554" s="6" t="s">
        <v>1</v>
      </c>
      <c r="C21554" s="6" t="s">
        <v>1</v>
      </c>
    </row>
    <row r="21555" spans="1:3" s="7" customFormat="1" x14ac:dyDescent="0.2">
      <c r="A21555" s="6" t="str">
        <f>"ENTR1"</f>
        <v>ENTR1</v>
      </c>
      <c r="B21555" s="6" t="s">
        <v>1</v>
      </c>
      <c r="C21555" s="6" t="s">
        <v>1</v>
      </c>
    </row>
    <row r="21556" spans="1:3" s="7" customFormat="1" x14ac:dyDescent="0.2">
      <c r="A21556" s="6" t="str">
        <f>"BRIX1"</f>
        <v>BRIX1</v>
      </c>
      <c r="B21556" s="6" t="s">
        <v>1</v>
      </c>
      <c r="C21556" s="6" t="s">
        <v>1</v>
      </c>
    </row>
    <row r="21557" spans="1:3" s="7" customFormat="1" x14ac:dyDescent="0.2">
      <c r="A21557" s="6" t="str">
        <f>"ALDH6A1"</f>
        <v>ALDH6A1</v>
      </c>
      <c r="B21557" s="6" t="s">
        <v>1</v>
      </c>
      <c r="C21557" s="6" t="s">
        <v>1</v>
      </c>
    </row>
    <row r="21558" spans="1:3" s="7" customFormat="1" x14ac:dyDescent="0.2">
      <c r="A21558" s="6" t="str">
        <f>"SRM"</f>
        <v>SRM</v>
      </c>
      <c r="B21558" s="6" t="s">
        <v>1</v>
      </c>
      <c r="C21558" s="6" t="s">
        <v>1</v>
      </c>
    </row>
    <row r="21559" spans="1:3" s="7" customFormat="1" x14ac:dyDescent="0.2">
      <c r="A21559" s="6" t="str">
        <f>"INO80D"</f>
        <v>INO80D</v>
      </c>
      <c r="B21559" s="6" t="s">
        <v>1</v>
      </c>
      <c r="C21559" s="6" t="s">
        <v>1</v>
      </c>
    </row>
    <row r="21560" spans="1:3" s="7" customFormat="1" x14ac:dyDescent="0.2">
      <c r="A21560" s="6" t="str">
        <f>"ZSCAN29"</f>
        <v>ZSCAN29</v>
      </c>
      <c r="B21560" s="6" t="s">
        <v>1</v>
      </c>
      <c r="C21560" s="6" t="s">
        <v>1</v>
      </c>
    </row>
    <row r="21561" spans="1:3" s="7" customFormat="1" x14ac:dyDescent="0.2">
      <c r="A21561" s="6" t="str">
        <f>"FANCF"</f>
        <v>FANCF</v>
      </c>
      <c r="B21561" s="6" t="s">
        <v>1</v>
      </c>
      <c r="C21561" s="6" t="s">
        <v>1</v>
      </c>
    </row>
    <row r="21562" spans="1:3" s="7" customFormat="1" x14ac:dyDescent="0.2">
      <c r="A21562" s="6" t="str">
        <f>"SRGAP2C"</f>
        <v>SRGAP2C</v>
      </c>
      <c r="B21562" s="6" t="s">
        <v>1</v>
      </c>
      <c r="C21562" s="6" t="s">
        <v>1</v>
      </c>
    </row>
    <row r="21563" spans="1:3" s="7" customFormat="1" x14ac:dyDescent="0.2">
      <c r="A21563" s="6" t="str">
        <f>"PPAN"</f>
        <v>PPAN</v>
      </c>
      <c r="B21563" s="6" t="s">
        <v>1</v>
      </c>
      <c r="C21563" s="6" t="s">
        <v>1</v>
      </c>
    </row>
    <row r="21564" spans="1:3" s="7" customFormat="1" x14ac:dyDescent="0.2">
      <c r="A21564" s="6" t="str">
        <f>"MAD1L1"</f>
        <v>MAD1L1</v>
      </c>
      <c r="B21564" s="6" t="s">
        <v>1</v>
      </c>
      <c r="C21564" s="6" t="s">
        <v>1</v>
      </c>
    </row>
    <row r="21565" spans="1:3" s="7" customFormat="1" x14ac:dyDescent="0.2">
      <c r="A21565" s="6" t="str">
        <f>"TTL"</f>
        <v>TTL</v>
      </c>
      <c r="B21565" s="6" t="s">
        <v>1</v>
      </c>
      <c r="C21565" s="6" t="s">
        <v>1</v>
      </c>
    </row>
    <row r="21566" spans="1:3" s="7" customFormat="1" x14ac:dyDescent="0.2">
      <c r="A21566" s="6" t="str">
        <f>"LDOC1"</f>
        <v>LDOC1</v>
      </c>
      <c r="B21566" s="6" t="s">
        <v>1</v>
      </c>
      <c r="C21566" s="6" t="s">
        <v>1</v>
      </c>
    </row>
    <row r="21567" spans="1:3" s="7" customFormat="1" x14ac:dyDescent="0.2">
      <c r="A21567" s="6" t="str">
        <f>"ALKBH3"</f>
        <v>ALKBH3</v>
      </c>
      <c r="B21567" s="6" t="s">
        <v>1</v>
      </c>
      <c r="C21567" s="6" t="s">
        <v>1</v>
      </c>
    </row>
    <row r="21568" spans="1:3" s="7" customFormat="1" x14ac:dyDescent="0.2">
      <c r="A21568" s="6" t="str">
        <f>"LRGUK"</f>
        <v>LRGUK</v>
      </c>
      <c r="B21568" s="6" t="s">
        <v>1</v>
      </c>
      <c r="C21568" s="6" t="s">
        <v>1</v>
      </c>
    </row>
    <row r="21569" spans="1:3" s="7" customFormat="1" x14ac:dyDescent="0.2">
      <c r="A21569" s="6" t="str">
        <f>"CHST2"</f>
        <v>CHST2</v>
      </c>
      <c r="B21569" s="6" t="s">
        <v>1</v>
      </c>
      <c r="C21569" s="6" t="s">
        <v>1</v>
      </c>
    </row>
    <row r="21570" spans="1:3" s="7" customFormat="1" x14ac:dyDescent="0.2">
      <c r="A21570" s="6" t="str">
        <f>"EYA3"</f>
        <v>EYA3</v>
      </c>
      <c r="B21570" s="6" t="s">
        <v>1</v>
      </c>
      <c r="C21570" s="6" t="s">
        <v>1</v>
      </c>
    </row>
    <row r="21571" spans="1:3" s="7" customFormat="1" x14ac:dyDescent="0.2">
      <c r="A21571" s="6" t="str">
        <f>"LPAR6"</f>
        <v>LPAR6</v>
      </c>
      <c r="B21571" s="6" t="s">
        <v>1</v>
      </c>
      <c r="C21571" s="6" t="s">
        <v>1</v>
      </c>
    </row>
    <row r="21572" spans="1:3" s="7" customFormat="1" x14ac:dyDescent="0.2">
      <c r="A21572" s="6" t="str">
        <f>"MED22"</f>
        <v>MED22</v>
      </c>
      <c r="B21572" s="6" t="s">
        <v>1</v>
      </c>
      <c r="C21572" s="6" t="s">
        <v>1</v>
      </c>
    </row>
    <row r="21573" spans="1:3" s="7" customFormat="1" x14ac:dyDescent="0.2">
      <c r="A21573" s="6" t="str">
        <f>"FKRP"</f>
        <v>FKRP</v>
      </c>
      <c r="B21573" s="6" t="s">
        <v>1</v>
      </c>
      <c r="C21573" s="6" t="s">
        <v>1</v>
      </c>
    </row>
    <row r="21574" spans="1:3" s="7" customFormat="1" x14ac:dyDescent="0.2">
      <c r="A21574" s="6" t="str">
        <f>"MYSM1"</f>
        <v>MYSM1</v>
      </c>
      <c r="B21574" s="6" t="s">
        <v>1</v>
      </c>
      <c r="C21574" s="6" t="s">
        <v>1</v>
      </c>
    </row>
    <row r="21575" spans="1:3" s="7" customFormat="1" x14ac:dyDescent="0.2">
      <c r="A21575" s="6" t="str">
        <f>"PROK2"</f>
        <v>PROK2</v>
      </c>
      <c r="B21575" s="6" t="s">
        <v>1</v>
      </c>
      <c r="C21575" s="6" t="s">
        <v>1</v>
      </c>
    </row>
    <row r="21576" spans="1:3" s="7" customFormat="1" x14ac:dyDescent="0.2">
      <c r="A21576" s="6" t="str">
        <f>"ASB7"</f>
        <v>ASB7</v>
      </c>
      <c r="B21576" s="6" t="s">
        <v>1</v>
      </c>
      <c r="C21576" s="6" t="s">
        <v>1</v>
      </c>
    </row>
    <row r="21577" spans="1:3" s="7" customFormat="1" x14ac:dyDescent="0.2">
      <c r="A21577" s="6" t="str">
        <f>"MYO5A"</f>
        <v>MYO5A</v>
      </c>
      <c r="B21577" s="6" t="s">
        <v>1</v>
      </c>
      <c r="C21577" s="6" t="s">
        <v>1</v>
      </c>
    </row>
    <row r="21578" spans="1:3" s="7" customFormat="1" x14ac:dyDescent="0.2">
      <c r="A21578" s="6" t="str">
        <f>"RPP14"</f>
        <v>RPP14</v>
      </c>
      <c r="B21578" s="6" t="s">
        <v>1</v>
      </c>
      <c r="C21578" s="6" t="s">
        <v>1</v>
      </c>
    </row>
    <row r="21579" spans="1:3" s="7" customFormat="1" x14ac:dyDescent="0.2">
      <c r="A21579" s="6" t="str">
        <f>"CCN1"</f>
        <v>CCN1</v>
      </c>
      <c r="B21579" s="6" t="s">
        <v>1</v>
      </c>
      <c r="C21579" s="6" t="s">
        <v>1</v>
      </c>
    </row>
    <row r="21580" spans="1:3" s="7" customFormat="1" x14ac:dyDescent="0.2">
      <c r="A21580" s="6" t="str">
        <f>"ZBTB48"</f>
        <v>ZBTB48</v>
      </c>
      <c r="B21580" s="6" t="s">
        <v>1</v>
      </c>
      <c r="C21580" s="6" t="s">
        <v>1</v>
      </c>
    </row>
    <row r="21581" spans="1:3" s="7" customFormat="1" x14ac:dyDescent="0.2">
      <c r="A21581" s="6" t="str">
        <f>"RNF146"</f>
        <v>RNF146</v>
      </c>
      <c r="B21581" s="6" t="s">
        <v>1</v>
      </c>
      <c r="C21581" s="6" t="s">
        <v>1</v>
      </c>
    </row>
    <row r="21582" spans="1:3" s="7" customFormat="1" x14ac:dyDescent="0.2">
      <c r="A21582" s="6" t="str">
        <f>"MED18"</f>
        <v>MED18</v>
      </c>
      <c r="B21582" s="6" t="s">
        <v>1</v>
      </c>
      <c r="C21582" s="6" t="s">
        <v>1</v>
      </c>
    </row>
    <row r="21583" spans="1:3" s="7" customFormat="1" x14ac:dyDescent="0.2">
      <c r="A21583" s="6" t="str">
        <f>"SLC27A4"</f>
        <v>SLC27A4</v>
      </c>
      <c r="B21583" s="6" t="s">
        <v>1</v>
      </c>
      <c r="C21583" s="6" t="s">
        <v>1</v>
      </c>
    </row>
    <row r="21584" spans="1:3" s="7" customFormat="1" x14ac:dyDescent="0.2">
      <c r="A21584" s="6" t="str">
        <f>"BAMBI"</f>
        <v>BAMBI</v>
      </c>
      <c r="B21584" s="6" t="s">
        <v>1</v>
      </c>
      <c r="C21584" s="6" t="s">
        <v>1</v>
      </c>
    </row>
    <row r="21585" spans="1:3" s="7" customFormat="1" x14ac:dyDescent="0.2">
      <c r="A21585" s="6" t="str">
        <f>"EMC8"</f>
        <v>EMC8</v>
      </c>
      <c r="B21585" s="6" t="s">
        <v>1</v>
      </c>
      <c r="C21585" s="6" t="s">
        <v>1</v>
      </c>
    </row>
    <row r="21586" spans="1:3" s="7" customFormat="1" x14ac:dyDescent="0.2">
      <c r="A21586" s="6" t="str">
        <f>"ZCCHC17"</f>
        <v>ZCCHC17</v>
      </c>
      <c r="B21586" s="6" t="s">
        <v>1</v>
      </c>
      <c r="C21586" s="6" t="s">
        <v>1</v>
      </c>
    </row>
    <row r="21587" spans="1:3" s="7" customFormat="1" x14ac:dyDescent="0.2">
      <c r="A21587" s="6" t="str">
        <f>"PLEKHM1P1"</f>
        <v>PLEKHM1P1</v>
      </c>
      <c r="B21587" s="6" t="s">
        <v>1</v>
      </c>
      <c r="C21587" s="6" t="s">
        <v>1</v>
      </c>
    </row>
    <row r="21588" spans="1:3" s="7" customFormat="1" x14ac:dyDescent="0.2">
      <c r="A21588" s="6" t="str">
        <f>"HARS2"</f>
        <v>HARS2</v>
      </c>
      <c r="B21588" s="6" t="s">
        <v>1</v>
      </c>
      <c r="C21588" s="6" t="s">
        <v>1</v>
      </c>
    </row>
    <row r="21589" spans="1:3" s="7" customFormat="1" x14ac:dyDescent="0.2">
      <c r="A21589" s="6" t="str">
        <f>"FMNL2"</f>
        <v>FMNL2</v>
      </c>
      <c r="B21589" s="6" t="s">
        <v>1</v>
      </c>
      <c r="C21589" s="6" t="s">
        <v>1</v>
      </c>
    </row>
    <row r="21590" spans="1:3" s="7" customFormat="1" x14ac:dyDescent="0.2">
      <c r="A21590" s="6" t="str">
        <f>"RNF150"</f>
        <v>RNF150</v>
      </c>
      <c r="B21590" s="6" t="s">
        <v>1</v>
      </c>
      <c r="C21590" s="6" t="s">
        <v>1</v>
      </c>
    </row>
    <row r="21591" spans="1:3" s="7" customFormat="1" x14ac:dyDescent="0.2">
      <c r="A21591" s="6" t="str">
        <f>"EBPL"</f>
        <v>EBPL</v>
      </c>
      <c r="B21591" s="6" t="s">
        <v>1</v>
      </c>
      <c r="C21591" s="6" t="s">
        <v>1</v>
      </c>
    </row>
    <row r="21592" spans="1:3" s="7" customFormat="1" x14ac:dyDescent="0.2">
      <c r="A21592" s="6" t="str">
        <f>"HMGN4"</f>
        <v>HMGN4</v>
      </c>
      <c r="B21592" s="6" t="s">
        <v>1</v>
      </c>
      <c r="C21592" s="6" t="s">
        <v>1</v>
      </c>
    </row>
    <row r="21593" spans="1:3" s="7" customFormat="1" x14ac:dyDescent="0.2">
      <c r="A21593" s="6" t="str">
        <f>"GABPA"</f>
        <v>GABPA</v>
      </c>
      <c r="B21593" s="6" t="s">
        <v>1</v>
      </c>
      <c r="C21593" s="6" t="s">
        <v>1</v>
      </c>
    </row>
    <row r="21594" spans="1:3" s="7" customFormat="1" x14ac:dyDescent="0.2">
      <c r="A21594" s="6" t="str">
        <f>"DESI1"</f>
        <v>DESI1</v>
      </c>
      <c r="B21594" s="6" t="s">
        <v>1</v>
      </c>
      <c r="C21594" s="6" t="s">
        <v>1</v>
      </c>
    </row>
    <row r="21595" spans="1:3" s="7" customFormat="1" x14ac:dyDescent="0.2">
      <c r="A21595" s="6" t="str">
        <f>"MRPS22"</f>
        <v>MRPS22</v>
      </c>
      <c r="B21595" s="6" t="s">
        <v>1</v>
      </c>
      <c r="C21595" s="6" t="s">
        <v>1</v>
      </c>
    </row>
    <row r="21596" spans="1:3" s="7" customFormat="1" x14ac:dyDescent="0.2">
      <c r="A21596" s="6" t="str">
        <f>"MKKS"</f>
        <v>MKKS</v>
      </c>
      <c r="B21596" s="6" t="s">
        <v>1</v>
      </c>
      <c r="C21596" s="6" t="s">
        <v>1</v>
      </c>
    </row>
    <row r="21597" spans="1:3" s="7" customFormat="1" x14ac:dyDescent="0.2">
      <c r="A21597" s="6" t="str">
        <f>"MZT2A"</f>
        <v>MZT2A</v>
      </c>
      <c r="B21597" s="6" t="s">
        <v>1</v>
      </c>
      <c r="C21597" s="6" t="s">
        <v>1</v>
      </c>
    </row>
    <row r="21598" spans="1:3" s="7" customFormat="1" x14ac:dyDescent="0.2">
      <c r="A21598" s="6" t="str">
        <f>"MED10"</f>
        <v>MED10</v>
      </c>
      <c r="B21598" s="6" t="s">
        <v>1</v>
      </c>
      <c r="C21598" s="6" t="s">
        <v>1</v>
      </c>
    </row>
    <row r="21599" spans="1:3" s="7" customFormat="1" x14ac:dyDescent="0.2">
      <c r="A21599" s="6" t="str">
        <f>"RNF168"</f>
        <v>RNF168</v>
      </c>
      <c r="B21599" s="6" t="s">
        <v>1</v>
      </c>
      <c r="C21599" s="6" t="s">
        <v>1</v>
      </c>
    </row>
    <row r="21600" spans="1:3" s="7" customFormat="1" x14ac:dyDescent="0.2">
      <c r="A21600" s="6" t="str">
        <f>"CRTC3"</f>
        <v>CRTC3</v>
      </c>
      <c r="B21600" s="6" t="s">
        <v>1</v>
      </c>
      <c r="C21600" s="6" t="s">
        <v>1</v>
      </c>
    </row>
    <row r="21601" spans="1:3" s="7" customFormat="1" x14ac:dyDescent="0.2">
      <c r="A21601" s="6" t="str">
        <f>"CHMP6"</f>
        <v>CHMP6</v>
      </c>
      <c r="B21601" s="6" t="s">
        <v>1</v>
      </c>
      <c r="C21601" s="6" t="s">
        <v>1</v>
      </c>
    </row>
    <row r="21602" spans="1:3" s="7" customFormat="1" x14ac:dyDescent="0.2">
      <c r="A21602" s="6" t="str">
        <f>"GLCCI1"</f>
        <v>GLCCI1</v>
      </c>
      <c r="B21602" s="6" t="s">
        <v>1</v>
      </c>
      <c r="C21602" s="6" t="s">
        <v>1</v>
      </c>
    </row>
    <row r="21603" spans="1:3" s="7" customFormat="1" x14ac:dyDescent="0.2">
      <c r="A21603" s="6" t="str">
        <f>"GRAMD2A"</f>
        <v>GRAMD2A</v>
      </c>
      <c r="B21603" s="6" t="s">
        <v>1</v>
      </c>
      <c r="C21603" s="6" t="s">
        <v>1</v>
      </c>
    </row>
    <row r="21604" spans="1:3" s="7" customFormat="1" x14ac:dyDescent="0.2">
      <c r="A21604" s="6" t="str">
        <f>"ADGRL2"</f>
        <v>ADGRL2</v>
      </c>
      <c r="B21604" s="6" t="s">
        <v>1</v>
      </c>
      <c r="C21604" s="6" t="s">
        <v>1</v>
      </c>
    </row>
    <row r="21605" spans="1:3" s="7" customFormat="1" x14ac:dyDescent="0.2">
      <c r="A21605" s="6" t="str">
        <f>"TFPT"</f>
        <v>TFPT</v>
      </c>
      <c r="B21605" s="6" t="s">
        <v>1</v>
      </c>
      <c r="C21605" s="6" t="s">
        <v>1</v>
      </c>
    </row>
    <row r="21606" spans="1:3" s="7" customFormat="1" x14ac:dyDescent="0.2">
      <c r="A21606" s="6" t="str">
        <f>"FASTKD5"</f>
        <v>FASTKD5</v>
      </c>
      <c r="B21606" s="6" t="s">
        <v>1</v>
      </c>
      <c r="C21606" s="6" t="s">
        <v>1</v>
      </c>
    </row>
    <row r="21607" spans="1:3" s="7" customFormat="1" x14ac:dyDescent="0.2">
      <c r="A21607" s="6" t="str">
        <f>"IPP"</f>
        <v>IPP</v>
      </c>
      <c r="B21607" s="6" t="s">
        <v>1</v>
      </c>
      <c r="C21607" s="6" t="s">
        <v>1</v>
      </c>
    </row>
    <row r="21608" spans="1:3" s="7" customFormat="1" x14ac:dyDescent="0.2">
      <c r="A21608" s="6" t="str">
        <f>"CCS"</f>
        <v>CCS</v>
      </c>
      <c r="B21608" s="6" t="s">
        <v>1</v>
      </c>
      <c r="C21608" s="6" t="s">
        <v>1</v>
      </c>
    </row>
    <row r="21609" spans="1:3" s="7" customFormat="1" x14ac:dyDescent="0.2">
      <c r="A21609" s="6" t="str">
        <f>"AC067852.2"</f>
        <v>AC067852.2</v>
      </c>
      <c r="B21609" s="6" t="s">
        <v>1</v>
      </c>
      <c r="C21609" s="6" t="s">
        <v>1</v>
      </c>
    </row>
    <row r="21610" spans="1:3" s="7" customFormat="1" x14ac:dyDescent="0.2">
      <c r="A21610" s="6" t="str">
        <f>"HMGXB4"</f>
        <v>HMGXB4</v>
      </c>
      <c r="B21610" s="6" t="s">
        <v>1</v>
      </c>
      <c r="C21610" s="6" t="s">
        <v>1</v>
      </c>
    </row>
    <row r="21611" spans="1:3" s="7" customFormat="1" x14ac:dyDescent="0.2">
      <c r="A21611" s="6" t="str">
        <f>"FAM89B"</f>
        <v>FAM89B</v>
      </c>
      <c r="B21611" s="6" t="s">
        <v>1</v>
      </c>
      <c r="C21611" s="6" t="s">
        <v>1</v>
      </c>
    </row>
    <row r="21612" spans="1:3" s="7" customFormat="1" x14ac:dyDescent="0.2">
      <c r="A21612" s="6" t="str">
        <f>"KLHL5"</f>
        <v>KLHL5</v>
      </c>
      <c r="B21612" s="6" t="s">
        <v>1</v>
      </c>
      <c r="C21612" s="6" t="s">
        <v>1</v>
      </c>
    </row>
    <row r="21613" spans="1:3" s="7" customFormat="1" x14ac:dyDescent="0.2">
      <c r="A21613" s="6" t="str">
        <f>"AL163636.1"</f>
        <v>AL163636.1</v>
      </c>
      <c r="B21613" s="6" t="s">
        <v>1</v>
      </c>
      <c r="C21613" s="6" t="s">
        <v>1</v>
      </c>
    </row>
    <row r="21614" spans="1:3" s="7" customFormat="1" x14ac:dyDescent="0.2">
      <c r="A21614" s="6" t="str">
        <f>"TTPAL"</f>
        <v>TTPAL</v>
      </c>
      <c r="B21614" s="6" t="s">
        <v>1</v>
      </c>
      <c r="C21614" s="6" t="s">
        <v>1</v>
      </c>
    </row>
    <row r="21615" spans="1:3" s="7" customFormat="1" x14ac:dyDescent="0.2">
      <c r="A21615" s="6" t="str">
        <f>"IFIT5"</f>
        <v>IFIT5</v>
      </c>
      <c r="B21615" s="6" t="s">
        <v>1</v>
      </c>
      <c r="C21615" s="6" t="s">
        <v>1</v>
      </c>
    </row>
    <row r="21616" spans="1:3" s="7" customFormat="1" x14ac:dyDescent="0.2">
      <c r="A21616" s="6" t="str">
        <f>"DNAJC30"</f>
        <v>DNAJC30</v>
      </c>
      <c r="B21616" s="6" t="s">
        <v>1</v>
      </c>
      <c r="C21616" s="6" t="s">
        <v>1</v>
      </c>
    </row>
    <row r="21617" spans="1:3" s="7" customFormat="1" x14ac:dyDescent="0.2">
      <c r="A21617" s="6" t="str">
        <f>"DNAJC9"</f>
        <v>DNAJC9</v>
      </c>
      <c r="B21617" s="6" t="s">
        <v>1</v>
      </c>
      <c r="C21617" s="6" t="s">
        <v>1</v>
      </c>
    </row>
    <row r="21618" spans="1:3" s="7" customFormat="1" x14ac:dyDescent="0.2">
      <c r="A21618" s="6" t="str">
        <f>"LINC01184"</f>
        <v>LINC01184</v>
      </c>
      <c r="B21618" s="6" t="s">
        <v>1</v>
      </c>
      <c r="C21618" s="6" t="s">
        <v>1</v>
      </c>
    </row>
    <row r="21619" spans="1:3" s="7" customFormat="1" x14ac:dyDescent="0.2">
      <c r="A21619" s="6" t="str">
        <f>"RAET1E"</f>
        <v>RAET1E</v>
      </c>
      <c r="B21619" s="6" t="s">
        <v>1</v>
      </c>
      <c r="C21619" s="6" t="s">
        <v>1</v>
      </c>
    </row>
    <row r="21620" spans="1:3" s="7" customFormat="1" x14ac:dyDescent="0.2">
      <c r="A21620" s="6" t="str">
        <f>"KLHL7"</f>
        <v>KLHL7</v>
      </c>
      <c r="B21620" s="6" t="s">
        <v>1</v>
      </c>
      <c r="C21620" s="6" t="s">
        <v>1</v>
      </c>
    </row>
    <row r="21621" spans="1:3" s="7" customFormat="1" x14ac:dyDescent="0.2">
      <c r="A21621" s="6" t="str">
        <f>"TMEM132A"</f>
        <v>TMEM132A</v>
      </c>
      <c r="B21621" s="6" t="s">
        <v>1</v>
      </c>
      <c r="C21621" s="6" t="s">
        <v>1</v>
      </c>
    </row>
    <row r="21622" spans="1:3" s="7" customFormat="1" x14ac:dyDescent="0.2">
      <c r="A21622" s="6" t="str">
        <f>"NOTCH2NLA"</f>
        <v>NOTCH2NLA</v>
      </c>
      <c r="B21622" s="6" t="s">
        <v>1</v>
      </c>
      <c r="C21622" s="6" t="s">
        <v>1</v>
      </c>
    </row>
    <row r="21623" spans="1:3" s="7" customFormat="1" x14ac:dyDescent="0.2">
      <c r="A21623" s="6" t="str">
        <f>"MED11"</f>
        <v>MED11</v>
      </c>
      <c r="B21623" s="6" t="s">
        <v>1</v>
      </c>
      <c r="C21623" s="6" t="s">
        <v>1</v>
      </c>
    </row>
    <row r="21624" spans="1:3" s="7" customFormat="1" x14ac:dyDescent="0.2">
      <c r="A21624" s="6" t="str">
        <f>"PHLDB3"</f>
        <v>PHLDB3</v>
      </c>
      <c r="B21624" s="6" t="s">
        <v>1</v>
      </c>
      <c r="C21624" s="6" t="s">
        <v>1</v>
      </c>
    </row>
    <row r="21625" spans="1:3" s="7" customFormat="1" x14ac:dyDescent="0.2">
      <c r="A21625" s="6" t="str">
        <f>"GABPB1-AS1"</f>
        <v>GABPB1-AS1</v>
      </c>
      <c r="B21625" s="6" t="s">
        <v>1</v>
      </c>
      <c r="C21625" s="6" t="s">
        <v>1</v>
      </c>
    </row>
    <row r="21626" spans="1:3" s="7" customFormat="1" x14ac:dyDescent="0.2">
      <c r="A21626" s="6" t="str">
        <f>"CNTNAP3"</f>
        <v>CNTNAP3</v>
      </c>
      <c r="B21626" s="6" t="s">
        <v>1</v>
      </c>
      <c r="C21626" s="6" t="s">
        <v>1</v>
      </c>
    </row>
    <row r="21627" spans="1:3" s="7" customFormat="1" x14ac:dyDescent="0.2">
      <c r="A21627" s="6" t="str">
        <f>"SOCS7"</f>
        <v>SOCS7</v>
      </c>
      <c r="B21627" s="6" t="s">
        <v>1</v>
      </c>
      <c r="C21627" s="6" t="s">
        <v>1</v>
      </c>
    </row>
    <row r="21628" spans="1:3" s="7" customFormat="1" x14ac:dyDescent="0.2">
      <c r="A21628" s="6" t="str">
        <f>"TMEM160"</f>
        <v>TMEM160</v>
      </c>
      <c r="B21628" s="6" t="s">
        <v>1</v>
      </c>
      <c r="C21628" s="6" t="s">
        <v>1</v>
      </c>
    </row>
    <row r="21629" spans="1:3" s="7" customFormat="1" x14ac:dyDescent="0.2">
      <c r="A21629" s="6" t="str">
        <f>"SEC61G"</f>
        <v>SEC61G</v>
      </c>
      <c r="B21629" s="6" t="s">
        <v>1</v>
      </c>
      <c r="C21629" s="6" t="s">
        <v>1</v>
      </c>
    </row>
    <row r="21630" spans="1:3" s="7" customFormat="1" x14ac:dyDescent="0.2">
      <c r="A21630" s="6" t="str">
        <f>"SHISA2"</f>
        <v>SHISA2</v>
      </c>
      <c r="B21630" s="6" t="s">
        <v>1</v>
      </c>
      <c r="C21630" s="6" t="s">
        <v>1</v>
      </c>
    </row>
    <row r="21631" spans="1:3" s="7" customFormat="1" x14ac:dyDescent="0.2">
      <c r="A21631" s="6" t="str">
        <f>"CDKN2C"</f>
        <v>CDKN2C</v>
      </c>
      <c r="B21631" s="6" t="s">
        <v>1</v>
      </c>
      <c r="C21631" s="6" t="s">
        <v>1</v>
      </c>
    </row>
    <row r="21632" spans="1:3" s="7" customFormat="1" x14ac:dyDescent="0.2">
      <c r="A21632" s="6" t="str">
        <f>"MDM4"</f>
        <v>MDM4</v>
      </c>
      <c r="B21632" s="6" t="s">
        <v>1</v>
      </c>
      <c r="C21632" s="6" t="s">
        <v>1</v>
      </c>
    </row>
    <row r="21633" spans="1:3" s="7" customFormat="1" x14ac:dyDescent="0.2">
      <c r="A21633" s="6" t="str">
        <f>"FZD4"</f>
        <v>FZD4</v>
      </c>
      <c r="B21633" s="6" t="s">
        <v>1</v>
      </c>
      <c r="C21633" s="6" t="s">
        <v>1</v>
      </c>
    </row>
    <row r="21634" spans="1:3" s="7" customFormat="1" x14ac:dyDescent="0.2">
      <c r="A21634" s="6" t="str">
        <f>"COA4"</f>
        <v>COA4</v>
      </c>
      <c r="B21634" s="6" t="s">
        <v>1</v>
      </c>
      <c r="C21634" s="6" t="s">
        <v>1</v>
      </c>
    </row>
    <row r="21635" spans="1:3" s="7" customFormat="1" x14ac:dyDescent="0.2">
      <c r="A21635" s="6" t="str">
        <f>"ENO4"</f>
        <v>ENO4</v>
      </c>
      <c r="B21635" s="6" t="s">
        <v>1</v>
      </c>
      <c r="C21635" s="6" t="s">
        <v>1</v>
      </c>
    </row>
    <row r="21636" spans="1:3" s="7" customFormat="1" x14ac:dyDescent="0.2">
      <c r="A21636" s="6" t="str">
        <f>"UCK2"</f>
        <v>UCK2</v>
      </c>
      <c r="B21636" s="6" t="s">
        <v>1</v>
      </c>
      <c r="C21636" s="6" t="s">
        <v>1</v>
      </c>
    </row>
    <row r="21637" spans="1:3" s="7" customFormat="1" x14ac:dyDescent="0.2">
      <c r="A21637" s="6" t="str">
        <f>"LOXL1"</f>
        <v>LOXL1</v>
      </c>
      <c r="B21637" s="6" t="s">
        <v>1</v>
      </c>
      <c r="C21637" s="6" t="s">
        <v>1</v>
      </c>
    </row>
    <row r="21638" spans="1:3" s="7" customFormat="1" x14ac:dyDescent="0.2">
      <c r="A21638" s="6" t="str">
        <f>"FAM86B1"</f>
        <v>FAM86B1</v>
      </c>
      <c r="B21638" s="6" t="s">
        <v>1</v>
      </c>
      <c r="C21638" s="6" t="s">
        <v>1</v>
      </c>
    </row>
    <row r="21639" spans="1:3" s="7" customFormat="1" x14ac:dyDescent="0.2">
      <c r="A21639" s="6" t="str">
        <f>"GALK2"</f>
        <v>GALK2</v>
      </c>
      <c r="B21639" s="6" t="s">
        <v>1</v>
      </c>
      <c r="C21639" s="6" t="s">
        <v>1</v>
      </c>
    </row>
    <row r="21640" spans="1:3" s="7" customFormat="1" x14ac:dyDescent="0.2">
      <c r="A21640" s="6" t="str">
        <f>"RFC2"</f>
        <v>RFC2</v>
      </c>
      <c r="B21640" s="6" t="s">
        <v>1</v>
      </c>
      <c r="C21640" s="6" t="s">
        <v>1</v>
      </c>
    </row>
    <row r="21641" spans="1:3" s="7" customFormat="1" x14ac:dyDescent="0.2">
      <c r="A21641" s="6" t="str">
        <f>"TRIM16L"</f>
        <v>TRIM16L</v>
      </c>
      <c r="B21641" s="6" t="s">
        <v>1</v>
      </c>
      <c r="C21641" s="6" t="s">
        <v>1</v>
      </c>
    </row>
    <row r="21642" spans="1:3" s="7" customFormat="1" x14ac:dyDescent="0.2">
      <c r="A21642" s="6" t="str">
        <f>"FARS2"</f>
        <v>FARS2</v>
      </c>
      <c r="B21642" s="6" t="s">
        <v>1</v>
      </c>
      <c r="C21642" s="6" t="s">
        <v>1</v>
      </c>
    </row>
    <row r="21643" spans="1:3" s="7" customFormat="1" x14ac:dyDescent="0.2">
      <c r="A21643" s="6" t="str">
        <f>"MRPS11"</f>
        <v>MRPS11</v>
      </c>
      <c r="B21643" s="6" t="s">
        <v>1</v>
      </c>
      <c r="C21643" s="6" t="s">
        <v>1</v>
      </c>
    </row>
    <row r="21644" spans="1:3" s="7" customFormat="1" x14ac:dyDescent="0.2">
      <c r="A21644" s="6" t="str">
        <f>"THAP11"</f>
        <v>THAP11</v>
      </c>
      <c r="B21644" s="6" t="s">
        <v>1</v>
      </c>
      <c r="C21644" s="6" t="s">
        <v>1</v>
      </c>
    </row>
    <row r="21645" spans="1:3" s="7" customFormat="1" x14ac:dyDescent="0.2">
      <c r="A21645" s="6" t="str">
        <f>"REXO4"</f>
        <v>REXO4</v>
      </c>
      <c r="B21645" s="6" t="s">
        <v>1</v>
      </c>
      <c r="C21645" s="6" t="s">
        <v>1</v>
      </c>
    </row>
    <row r="21646" spans="1:3" s="7" customFormat="1" x14ac:dyDescent="0.2">
      <c r="A21646" s="6" t="str">
        <f>"NOP2"</f>
        <v>NOP2</v>
      </c>
      <c r="B21646" s="6" t="s">
        <v>1</v>
      </c>
      <c r="C21646" s="6" t="s">
        <v>1</v>
      </c>
    </row>
    <row r="21647" spans="1:3" s="7" customFormat="1" x14ac:dyDescent="0.2">
      <c r="A21647" s="6" t="str">
        <f>"MYO9A"</f>
        <v>MYO9A</v>
      </c>
      <c r="B21647" s="6" t="s">
        <v>1</v>
      </c>
      <c r="C21647" s="6" t="s">
        <v>1</v>
      </c>
    </row>
    <row r="21648" spans="1:3" s="7" customFormat="1" x14ac:dyDescent="0.2">
      <c r="A21648" s="6" t="str">
        <f>"SNX30"</f>
        <v>SNX30</v>
      </c>
      <c r="B21648" s="6" t="s">
        <v>1</v>
      </c>
      <c r="C21648" s="6" t="s">
        <v>1</v>
      </c>
    </row>
    <row r="21649" spans="1:3" s="7" customFormat="1" x14ac:dyDescent="0.2">
      <c r="A21649" s="6" t="str">
        <f>"NPIPA9"</f>
        <v>NPIPA9</v>
      </c>
      <c r="B21649" s="6" t="s">
        <v>1</v>
      </c>
      <c r="C21649" s="6" t="s">
        <v>1</v>
      </c>
    </row>
    <row r="21650" spans="1:3" s="7" customFormat="1" x14ac:dyDescent="0.2">
      <c r="A21650" s="6" t="str">
        <f>"ZNF267"</f>
        <v>ZNF267</v>
      </c>
      <c r="B21650" s="6" t="s">
        <v>1</v>
      </c>
      <c r="C21650" s="6" t="s">
        <v>1</v>
      </c>
    </row>
    <row r="21651" spans="1:3" s="7" customFormat="1" x14ac:dyDescent="0.2">
      <c r="A21651" s="6" t="str">
        <f>"STX11"</f>
        <v>STX11</v>
      </c>
      <c r="B21651" s="6" t="s">
        <v>1</v>
      </c>
      <c r="C21651" s="6" t="s">
        <v>1</v>
      </c>
    </row>
    <row r="21652" spans="1:3" s="7" customFormat="1" x14ac:dyDescent="0.2">
      <c r="A21652" s="6" t="str">
        <f>"ADH6"</f>
        <v>ADH6</v>
      </c>
      <c r="B21652" s="6" t="s">
        <v>1</v>
      </c>
      <c r="C21652" s="6" t="s">
        <v>1</v>
      </c>
    </row>
    <row r="21653" spans="1:3" s="7" customFormat="1" x14ac:dyDescent="0.2">
      <c r="A21653" s="6" t="str">
        <f>"FBF1"</f>
        <v>FBF1</v>
      </c>
      <c r="B21653" s="6" t="s">
        <v>1</v>
      </c>
      <c r="C21653" s="6" t="s">
        <v>1</v>
      </c>
    </row>
    <row r="21654" spans="1:3" s="7" customFormat="1" x14ac:dyDescent="0.2">
      <c r="A21654" s="6" t="str">
        <f>"IFI44L"</f>
        <v>IFI44L</v>
      </c>
      <c r="B21654" s="6" t="s">
        <v>1</v>
      </c>
      <c r="C21654" s="6" t="s">
        <v>1</v>
      </c>
    </row>
    <row r="21655" spans="1:3" s="7" customFormat="1" x14ac:dyDescent="0.2">
      <c r="A21655" s="6" t="str">
        <f>"PDCD7"</f>
        <v>PDCD7</v>
      </c>
      <c r="B21655" s="6" t="s">
        <v>1</v>
      </c>
      <c r="C21655" s="6" t="s">
        <v>1</v>
      </c>
    </row>
    <row r="21656" spans="1:3" s="7" customFormat="1" x14ac:dyDescent="0.2">
      <c r="A21656" s="6" t="str">
        <f>"PHKA1"</f>
        <v>PHKA1</v>
      </c>
      <c r="B21656" s="6" t="s">
        <v>1</v>
      </c>
      <c r="C21656" s="6" t="s">
        <v>1</v>
      </c>
    </row>
    <row r="21657" spans="1:3" s="7" customFormat="1" x14ac:dyDescent="0.2">
      <c r="A21657" s="6" t="str">
        <f>"FADD"</f>
        <v>FADD</v>
      </c>
      <c r="B21657" s="6" t="s">
        <v>1</v>
      </c>
      <c r="C21657" s="6" t="s">
        <v>1</v>
      </c>
    </row>
    <row r="21658" spans="1:3" s="7" customFormat="1" x14ac:dyDescent="0.2">
      <c r="A21658" s="6" t="str">
        <f>"APOOL"</f>
        <v>APOOL</v>
      </c>
      <c r="B21658" s="6" t="s">
        <v>1</v>
      </c>
      <c r="C21658" s="6" t="s">
        <v>1</v>
      </c>
    </row>
    <row r="21659" spans="1:3" s="7" customFormat="1" x14ac:dyDescent="0.2">
      <c r="A21659" s="6" t="str">
        <f>"TBC1D13"</f>
        <v>TBC1D13</v>
      </c>
      <c r="B21659" s="6" t="s">
        <v>1</v>
      </c>
      <c r="C21659" s="6" t="s">
        <v>1</v>
      </c>
    </row>
    <row r="21660" spans="1:3" s="7" customFormat="1" x14ac:dyDescent="0.2">
      <c r="A21660" s="6" t="str">
        <f>"LETMD1"</f>
        <v>LETMD1</v>
      </c>
      <c r="B21660" s="6" t="s">
        <v>1</v>
      </c>
      <c r="C21660" s="6" t="s">
        <v>1</v>
      </c>
    </row>
    <row r="21661" spans="1:3" s="7" customFormat="1" x14ac:dyDescent="0.2">
      <c r="A21661" s="6" t="str">
        <f>"ZNF28"</f>
        <v>ZNF28</v>
      </c>
      <c r="B21661" s="6" t="s">
        <v>1</v>
      </c>
      <c r="C21661" s="6" t="s">
        <v>1</v>
      </c>
    </row>
    <row r="21662" spans="1:3" s="7" customFormat="1" x14ac:dyDescent="0.2">
      <c r="A21662" s="6" t="str">
        <f>"RNF135"</f>
        <v>RNF135</v>
      </c>
      <c r="B21662" s="6" t="s">
        <v>1</v>
      </c>
      <c r="C21662" s="6" t="s">
        <v>1</v>
      </c>
    </row>
    <row r="21663" spans="1:3" s="7" customFormat="1" x14ac:dyDescent="0.2">
      <c r="A21663" s="6" t="str">
        <f>"B4GALT7"</f>
        <v>B4GALT7</v>
      </c>
      <c r="B21663" s="6" t="s">
        <v>1</v>
      </c>
      <c r="C21663" s="6" t="s">
        <v>1</v>
      </c>
    </row>
    <row r="21664" spans="1:3" s="7" customFormat="1" x14ac:dyDescent="0.2">
      <c r="A21664" s="6" t="str">
        <f>"FAR2"</f>
        <v>FAR2</v>
      </c>
      <c r="B21664" s="6" t="s">
        <v>1</v>
      </c>
      <c r="C21664" s="6" t="s">
        <v>1</v>
      </c>
    </row>
    <row r="21665" spans="1:3" s="7" customFormat="1" x14ac:dyDescent="0.2">
      <c r="A21665" s="6" t="str">
        <f>"TGS1"</f>
        <v>TGS1</v>
      </c>
      <c r="B21665" s="6" t="s">
        <v>1</v>
      </c>
      <c r="C21665" s="6" t="s">
        <v>1</v>
      </c>
    </row>
    <row r="21666" spans="1:3" s="7" customFormat="1" x14ac:dyDescent="0.2">
      <c r="A21666" s="6" t="str">
        <f>"SOBP"</f>
        <v>SOBP</v>
      </c>
      <c r="B21666" s="6" t="s">
        <v>1</v>
      </c>
      <c r="C21666" s="6" t="s">
        <v>1</v>
      </c>
    </row>
    <row r="21667" spans="1:3" s="7" customFormat="1" x14ac:dyDescent="0.2">
      <c r="A21667" s="6" t="str">
        <f>"DENND1A"</f>
        <v>DENND1A</v>
      </c>
      <c r="B21667" s="6" t="s">
        <v>1</v>
      </c>
      <c r="C21667" s="6" t="s">
        <v>1</v>
      </c>
    </row>
    <row r="21668" spans="1:3" s="7" customFormat="1" x14ac:dyDescent="0.2">
      <c r="A21668" s="6" t="str">
        <f>"INPP5D"</f>
        <v>INPP5D</v>
      </c>
      <c r="B21668" s="6" t="s">
        <v>1</v>
      </c>
      <c r="C21668" s="6" t="s">
        <v>1</v>
      </c>
    </row>
    <row r="21669" spans="1:3" s="7" customFormat="1" x14ac:dyDescent="0.2">
      <c r="A21669" s="6" t="str">
        <f>"SELENOO"</f>
        <v>SELENOO</v>
      </c>
      <c r="B21669" s="6" t="s">
        <v>1</v>
      </c>
      <c r="C21669" s="6" t="s">
        <v>1</v>
      </c>
    </row>
    <row r="21670" spans="1:3" s="7" customFormat="1" x14ac:dyDescent="0.2">
      <c r="A21670" s="6" t="str">
        <f>"MRRF"</f>
        <v>MRRF</v>
      </c>
      <c r="B21670" s="6" t="s">
        <v>1</v>
      </c>
      <c r="C21670" s="6" t="s">
        <v>1</v>
      </c>
    </row>
    <row r="21671" spans="1:3" s="7" customFormat="1" x14ac:dyDescent="0.2">
      <c r="A21671" s="6" t="str">
        <f>"CAPS2"</f>
        <v>CAPS2</v>
      </c>
      <c r="B21671" s="6" t="s">
        <v>1</v>
      </c>
      <c r="C21671" s="6" t="s">
        <v>1</v>
      </c>
    </row>
    <row r="21672" spans="1:3" s="7" customFormat="1" x14ac:dyDescent="0.2">
      <c r="A21672" s="6" t="str">
        <f>"MRPS14"</f>
        <v>MRPS14</v>
      </c>
      <c r="B21672" s="6" t="s">
        <v>1</v>
      </c>
      <c r="C21672" s="6" t="s">
        <v>1</v>
      </c>
    </row>
    <row r="21673" spans="1:3" s="7" customFormat="1" x14ac:dyDescent="0.2">
      <c r="A21673" s="6" t="str">
        <f>"CRY1"</f>
        <v>CRY1</v>
      </c>
      <c r="B21673" s="6" t="s">
        <v>1</v>
      </c>
      <c r="C21673" s="6" t="s">
        <v>1</v>
      </c>
    </row>
    <row r="21674" spans="1:3" s="7" customFormat="1" x14ac:dyDescent="0.2">
      <c r="A21674" s="6" t="str">
        <f>"APOL4"</f>
        <v>APOL4</v>
      </c>
      <c r="B21674" s="6" t="s">
        <v>1</v>
      </c>
      <c r="C21674" s="6" t="s">
        <v>1</v>
      </c>
    </row>
    <row r="21675" spans="1:3" s="7" customFormat="1" x14ac:dyDescent="0.2">
      <c r="A21675" s="6" t="str">
        <f>"CHMP4C"</f>
        <v>CHMP4C</v>
      </c>
      <c r="B21675" s="6" t="s">
        <v>1</v>
      </c>
      <c r="C21675" s="6" t="s">
        <v>1</v>
      </c>
    </row>
    <row r="21676" spans="1:3" s="7" customFormat="1" x14ac:dyDescent="0.2">
      <c r="A21676" s="6" t="str">
        <f>"PRKD3"</f>
        <v>PRKD3</v>
      </c>
      <c r="B21676" s="6" t="s">
        <v>1</v>
      </c>
      <c r="C21676" s="6" t="s">
        <v>1</v>
      </c>
    </row>
    <row r="21677" spans="1:3" s="7" customFormat="1" x14ac:dyDescent="0.2">
      <c r="A21677" s="6" t="str">
        <f>"SHMT1"</f>
        <v>SHMT1</v>
      </c>
      <c r="B21677" s="6" t="s">
        <v>1</v>
      </c>
      <c r="C21677" s="6" t="s">
        <v>1</v>
      </c>
    </row>
    <row r="21678" spans="1:3" s="7" customFormat="1" x14ac:dyDescent="0.2">
      <c r="A21678" s="6" t="str">
        <f>"DEGS1"</f>
        <v>DEGS1</v>
      </c>
      <c r="B21678" s="6" t="s">
        <v>1</v>
      </c>
      <c r="C21678" s="6" t="s">
        <v>1</v>
      </c>
    </row>
    <row r="21679" spans="1:3" s="7" customFormat="1" x14ac:dyDescent="0.2">
      <c r="A21679" s="6" t="str">
        <f>"SH3RF2"</f>
        <v>SH3RF2</v>
      </c>
      <c r="B21679" s="6" t="s">
        <v>1</v>
      </c>
      <c r="C21679" s="6" t="s">
        <v>1</v>
      </c>
    </row>
    <row r="21680" spans="1:3" s="7" customFormat="1" x14ac:dyDescent="0.2">
      <c r="A21680" s="6" t="str">
        <f>"TMEM144"</f>
        <v>TMEM144</v>
      </c>
      <c r="B21680" s="6" t="s">
        <v>1</v>
      </c>
      <c r="C21680" s="6" t="s">
        <v>1</v>
      </c>
    </row>
    <row r="21681" spans="1:3" s="7" customFormat="1" x14ac:dyDescent="0.2">
      <c r="A21681" s="6" t="str">
        <f>"CCNH"</f>
        <v>CCNH</v>
      </c>
      <c r="B21681" s="6" t="s">
        <v>1</v>
      </c>
      <c r="C21681" s="6" t="s">
        <v>1</v>
      </c>
    </row>
    <row r="21682" spans="1:3" s="7" customFormat="1" x14ac:dyDescent="0.2">
      <c r="A21682" s="6" t="str">
        <f>"TGFBI"</f>
        <v>TGFBI</v>
      </c>
      <c r="B21682" s="6" t="s">
        <v>1</v>
      </c>
      <c r="C21682" s="6" t="s">
        <v>1</v>
      </c>
    </row>
    <row r="21683" spans="1:3" s="7" customFormat="1" x14ac:dyDescent="0.2">
      <c r="A21683" s="6" t="str">
        <f>"FAM98B"</f>
        <v>FAM98B</v>
      </c>
      <c r="B21683" s="6" t="s">
        <v>1</v>
      </c>
      <c r="C21683" s="6" t="s">
        <v>1</v>
      </c>
    </row>
    <row r="21684" spans="1:3" s="7" customFormat="1" x14ac:dyDescent="0.2">
      <c r="A21684" s="6" t="str">
        <f>"GALNT14"</f>
        <v>GALNT14</v>
      </c>
      <c r="B21684" s="6" t="s">
        <v>1</v>
      </c>
      <c r="C21684" s="6" t="s">
        <v>1</v>
      </c>
    </row>
    <row r="21685" spans="1:3" s="7" customFormat="1" x14ac:dyDescent="0.2">
      <c r="A21685" s="6" t="str">
        <f>"KBTBD2"</f>
        <v>KBTBD2</v>
      </c>
      <c r="B21685" s="6" t="s">
        <v>1</v>
      </c>
      <c r="C21685" s="6" t="s">
        <v>1</v>
      </c>
    </row>
    <row r="21686" spans="1:3" s="7" customFormat="1" x14ac:dyDescent="0.2">
      <c r="A21686" s="6" t="str">
        <f>"CREBRF"</f>
        <v>CREBRF</v>
      </c>
      <c r="B21686" s="6" t="s">
        <v>1</v>
      </c>
      <c r="C21686" s="6" t="s">
        <v>1</v>
      </c>
    </row>
    <row r="21687" spans="1:3" s="7" customFormat="1" x14ac:dyDescent="0.2">
      <c r="A21687" s="6" t="str">
        <f>"MSL2"</f>
        <v>MSL2</v>
      </c>
      <c r="B21687" s="6" t="s">
        <v>1</v>
      </c>
      <c r="C21687" s="6" t="s">
        <v>1</v>
      </c>
    </row>
    <row r="21688" spans="1:3" s="7" customFormat="1" x14ac:dyDescent="0.2">
      <c r="A21688" s="6" t="str">
        <f>"FAN1"</f>
        <v>FAN1</v>
      </c>
      <c r="B21688" s="6" t="s">
        <v>1</v>
      </c>
      <c r="C21688" s="6" t="s">
        <v>1</v>
      </c>
    </row>
    <row r="21689" spans="1:3" s="7" customFormat="1" x14ac:dyDescent="0.2">
      <c r="A21689" s="6" t="str">
        <f>"ECI2"</f>
        <v>ECI2</v>
      </c>
      <c r="B21689" s="6" t="s">
        <v>1</v>
      </c>
      <c r="C21689" s="6" t="s">
        <v>1</v>
      </c>
    </row>
    <row r="21690" spans="1:3" s="7" customFormat="1" x14ac:dyDescent="0.2">
      <c r="A21690" s="6" t="str">
        <f>"MSH2"</f>
        <v>MSH2</v>
      </c>
      <c r="B21690" s="6" t="s">
        <v>1</v>
      </c>
      <c r="C21690" s="6" t="s">
        <v>1</v>
      </c>
    </row>
    <row r="21691" spans="1:3" s="7" customFormat="1" x14ac:dyDescent="0.2">
      <c r="A21691" s="6" t="str">
        <f>"SOCS4"</f>
        <v>SOCS4</v>
      </c>
      <c r="B21691" s="6" t="s">
        <v>1</v>
      </c>
      <c r="C21691" s="6" t="s">
        <v>1</v>
      </c>
    </row>
    <row r="21692" spans="1:3" s="7" customFormat="1" x14ac:dyDescent="0.2">
      <c r="A21692" s="6" t="str">
        <f>"ADSL"</f>
        <v>ADSL</v>
      </c>
      <c r="B21692" s="6" t="s">
        <v>1</v>
      </c>
      <c r="C21692" s="6" t="s">
        <v>1</v>
      </c>
    </row>
    <row r="21693" spans="1:3" s="7" customFormat="1" x14ac:dyDescent="0.2">
      <c r="A21693" s="6" t="str">
        <f>"PHYH"</f>
        <v>PHYH</v>
      </c>
      <c r="B21693" s="6" t="s">
        <v>1</v>
      </c>
      <c r="C21693" s="6" t="s">
        <v>1</v>
      </c>
    </row>
    <row r="21694" spans="1:3" s="7" customFormat="1" x14ac:dyDescent="0.2">
      <c r="A21694" s="6" t="str">
        <f>"RAE1"</f>
        <v>RAE1</v>
      </c>
      <c r="B21694" s="6" t="s">
        <v>1</v>
      </c>
      <c r="C21694" s="6" t="s">
        <v>1</v>
      </c>
    </row>
    <row r="21695" spans="1:3" s="7" customFormat="1" x14ac:dyDescent="0.2">
      <c r="A21695" s="6" t="str">
        <f>"C22orf15"</f>
        <v>C22orf15</v>
      </c>
      <c r="B21695" s="6" t="s">
        <v>1</v>
      </c>
      <c r="C21695" s="6" t="s">
        <v>1</v>
      </c>
    </row>
    <row r="21696" spans="1:3" s="7" customFormat="1" x14ac:dyDescent="0.2">
      <c r="A21696" s="6" t="str">
        <f>"MRS2"</f>
        <v>MRS2</v>
      </c>
      <c r="B21696" s="6" t="s">
        <v>1</v>
      </c>
      <c r="C21696" s="6" t="s">
        <v>1</v>
      </c>
    </row>
    <row r="21697" spans="1:3" s="7" customFormat="1" x14ac:dyDescent="0.2">
      <c r="A21697" s="6" t="str">
        <f>"CARS2"</f>
        <v>CARS2</v>
      </c>
      <c r="B21697" s="6" t="s">
        <v>1</v>
      </c>
      <c r="C21697" s="6" t="s">
        <v>1</v>
      </c>
    </row>
    <row r="21698" spans="1:3" s="7" customFormat="1" x14ac:dyDescent="0.2">
      <c r="A21698" s="6" t="str">
        <f>"NDUFS4"</f>
        <v>NDUFS4</v>
      </c>
      <c r="B21698" s="6" t="s">
        <v>1</v>
      </c>
      <c r="C21698" s="6" t="s">
        <v>1</v>
      </c>
    </row>
    <row r="21699" spans="1:3" s="7" customFormat="1" x14ac:dyDescent="0.2">
      <c r="A21699" s="6" t="str">
        <f>"ZC3H6"</f>
        <v>ZC3H6</v>
      </c>
      <c r="B21699" s="6" t="s">
        <v>1</v>
      </c>
      <c r="C21699" s="6" t="s">
        <v>1</v>
      </c>
    </row>
    <row r="21700" spans="1:3" s="7" customFormat="1" x14ac:dyDescent="0.2">
      <c r="A21700" s="6" t="str">
        <f>"CEL"</f>
        <v>CEL</v>
      </c>
      <c r="B21700" s="6" t="s">
        <v>1</v>
      </c>
      <c r="C21700" s="6" t="s">
        <v>1</v>
      </c>
    </row>
    <row r="21701" spans="1:3" s="7" customFormat="1" x14ac:dyDescent="0.2">
      <c r="A21701" s="6" t="str">
        <f>"SRGAP2B"</f>
        <v>SRGAP2B</v>
      </c>
      <c r="B21701" s="6" t="s">
        <v>1</v>
      </c>
      <c r="C21701" s="6" t="s">
        <v>1</v>
      </c>
    </row>
    <row r="21702" spans="1:3" s="7" customFormat="1" x14ac:dyDescent="0.2">
      <c r="A21702" s="6" t="str">
        <f>"MCM5"</f>
        <v>MCM5</v>
      </c>
      <c r="B21702" s="6" t="s">
        <v>1</v>
      </c>
      <c r="C21702" s="6" t="s">
        <v>1</v>
      </c>
    </row>
    <row r="21703" spans="1:3" s="7" customFormat="1" x14ac:dyDescent="0.2">
      <c r="A21703" s="6" t="str">
        <f>"ACAD10"</f>
        <v>ACAD10</v>
      </c>
      <c r="B21703" s="6" t="s">
        <v>1</v>
      </c>
      <c r="C21703" s="6" t="s">
        <v>1</v>
      </c>
    </row>
    <row r="21704" spans="1:3" s="7" customFormat="1" x14ac:dyDescent="0.2">
      <c r="A21704" s="6" t="str">
        <f>"BRPF1"</f>
        <v>BRPF1</v>
      </c>
      <c r="B21704" s="6" t="s">
        <v>1</v>
      </c>
      <c r="C21704" s="6" t="s">
        <v>1</v>
      </c>
    </row>
    <row r="21705" spans="1:3" s="7" customFormat="1" x14ac:dyDescent="0.2">
      <c r="A21705" s="6" t="str">
        <f>"KLHDC4"</f>
        <v>KLHDC4</v>
      </c>
      <c r="B21705" s="6" t="s">
        <v>1</v>
      </c>
      <c r="C21705" s="6" t="s">
        <v>1</v>
      </c>
    </row>
    <row r="21706" spans="1:3" s="7" customFormat="1" x14ac:dyDescent="0.2">
      <c r="A21706" s="6" t="str">
        <f>"BTC"</f>
        <v>BTC</v>
      </c>
      <c r="B21706" s="6" t="s">
        <v>1</v>
      </c>
      <c r="C21706" s="6" t="s">
        <v>1</v>
      </c>
    </row>
    <row r="21707" spans="1:3" s="7" customFormat="1" x14ac:dyDescent="0.2">
      <c r="A21707" s="6" t="str">
        <f>"MCOLN1"</f>
        <v>MCOLN1</v>
      </c>
      <c r="B21707" s="6" t="s">
        <v>1</v>
      </c>
      <c r="C21707" s="6" t="s">
        <v>1</v>
      </c>
    </row>
    <row r="21708" spans="1:3" s="7" customFormat="1" x14ac:dyDescent="0.2">
      <c r="A21708" s="6" t="str">
        <f>"MCPH1"</f>
        <v>MCPH1</v>
      </c>
      <c r="B21708" s="6" t="s">
        <v>1</v>
      </c>
      <c r="C21708" s="6" t="s">
        <v>1</v>
      </c>
    </row>
    <row r="21709" spans="1:3" s="7" customFormat="1" x14ac:dyDescent="0.2">
      <c r="A21709" s="6" t="str">
        <f>"EMSY"</f>
        <v>EMSY</v>
      </c>
      <c r="B21709" s="6" t="s">
        <v>1</v>
      </c>
      <c r="C21709" s="6" t="s">
        <v>1</v>
      </c>
    </row>
    <row r="21710" spans="1:3" s="7" customFormat="1" x14ac:dyDescent="0.2">
      <c r="A21710" s="6" t="str">
        <f>"SLC2A12"</f>
        <v>SLC2A12</v>
      </c>
      <c r="B21710" s="6" t="s">
        <v>1</v>
      </c>
      <c r="C21710" s="6" t="s">
        <v>1</v>
      </c>
    </row>
    <row r="21711" spans="1:3" s="7" customFormat="1" x14ac:dyDescent="0.2">
      <c r="A21711" s="6" t="str">
        <f>"PRORP"</f>
        <v>PRORP</v>
      </c>
      <c r="B21711" s="6" t="s">
        <v>1</v>
      </c>
      <c r="C21711" s="6" t="s">
        <v>1</v>
      </c>
    </row>
    <row r="21712" spans="1:3" s="7" customFormat="1" x14ac:dyDescent="0.2">
      <c r="A21712" s="6" t="str">
        <f>"ZCCHC3"</f>
        <v>ZCCHC3</v>
      </c>
      <c r="B21712" s="6" t="s">
        <v>1</v>
      </c>
      <c r="C21712" s="6" t="s">
        <v>1</v>
      </c>
    </row>
    <row r="21713" spans="1:3" s="7" customFormat="1" x14ac:dyDescent="0.2">
      <c r="A21713" s="6" t="str">
        <f>"KLHL8"</f>
        <v>KLHL8</v>
      </c>
      <c r="B21713" s="6" t="s">
        <v>1</v>
      </c>
      <c r="C21713" s="6" t="s">
        <v>1</v>
      </c>
    </row>
    <row r="21714" spans="1:3" s="7" customFormat="1" x14ac:dyDescent="0.2">
      <c r="A21714" s="6" t="str">
        <f>"TMX3"</f>
        <v>TMX3</v>
      </c>
      <c r="B21714" s="6" t="s">
        <v>1</v>
      </c>
      <c r="C21714" s="6" t="s">
        <v>1</v>
      </c>
    </row>
    <row r="21715" spans="1:3" s="7" customFormat="1" x14ac:dyDescent="0.2">
      <c r="A21715" s="6" t="str">
        <f>"UBXN2A"</f>
        <v>UBXN2A</v>
      </c>
      <c r="B21715" s="6" t="s">
        <v>1</v>
      </c>
      <c r="C21715" s="6" t="s">
        <v>1</v>
      </c>
    </row>
    <row r="21716" spans="1:3" s="7" customFormat="1" x14ac:dyDescent="0.2">
      <c r="A21716" s="6" t="str">
        <f>"GPSM2"</f>
        <v>GPSM2</v>
      </c>
      <c r="B21716" s="6" t="s">
        <v>1</v>
      </c>
      <c r="C21716" s="6" t="s">
        <v>1</v>
      </c>
    </row>
    <row r="21717" spans="1:3" s="7" customFormat="1" x14ac:dyDescent="0.2">
      <c r="A21717" s="6" t="str">
        <f>"RNF139"</f>
        <v>RNF139</v>
      </c>
      <c r="B21717" s="6" t="s">
        <v>1</v>
      </c>
      <c r="C21717" s="6" t="s">
        <v>1</v>
      </c>
    </row>
    <row r="21718" spans="1:3" s="7" customFormat="1" x14ac:dyDescent="0.2">
      <c r="A21718" s="6" t="str">
        <f>"CHRAC1"</f>
        <v>CHRAC1</v>
      </c>
      <c r="B21718" s="6" t="s">
        <v>1</v>
      </c>
      <c r="C21718" s="6" t="s">
        <v>1</v>
      </c>
    </row>
    <row r="21719" spans="1:3" s="7" customFormat="1" x14ac:dyDescent="0.2">
      <c r="A21719" s="6" t="str">
        <f>"AC093323.1"</f>
        <v>AC093323.1</v>
      </c>
      <c r="B21719" s="6" t="s">
        <v>1</v>
      </c>
      <c r="C21719" s="6" t="s">
        <v>1</v>
      </c>
    </row>
    <row r="21720" spans="1:3" s="7" customFormat="1" x14ac:dyDescent="0.2">
      <c r="A21720" s="6" t="str">
        <f>"PHKA2"</f>
        <v>PHKA2</v>
      </c>
      <c r="B21720" s="6" t="s">
        <v>1</v>
      </c>
      <c r="C21720" s="6" t="s">
        <v>1</v>
      </c>
    </row>
    <row r="21721" spans="1:3" s="7" customFormat="1" x14ac:dyDescent="0.2">
      <c r="A21721" s="6" t="str">
        <f>"ADRA2A"</f>
        <v>ADRA2A</v>
      </c>
      <c r="B21721" s="6" t="s">
        <v>1</v>
      </c>
      <c r="C21721" s="6" t="s">
        <v>1</v>
      </c>
    </row>
    <row r="21722" spans="1:3" s="7" customFormat="1" x14ac:dyDescent="0.2">
      <c r="A21722" s="6" t="str">
        <f>"AP000356.5"</f>
        <v>AP000356.5</v>
      </c>
      <c r="B21722" s="6" t="s">
        <v>1</v>
      </c>
      <c r="C21722" s="6" t="s">
        <v>1</v>
      </c>
    </row>
    <row r="21723" spans="1:3" s="7" customFormat="1" x14ac:dyDescent="0.2">
      <c r="A21723" s="6" t="str">
        <f>"MEAK7"</f>
        <v>MEAK7</v>
      </c>
      <c r="B21723" s="6" t="s">
        <v>1</v>
      </c>
      <c r="C21723" s="6" t="s">
        <v>1</v>
      </c>
    </row>
    <row r="21724" spans="1:3" s="7" customFormat="1" x14ac:dyDescent="0.2">
      <c r="A21724" s="6" t="str">
        <f>"RPP38"</f>
        <v>RPP38</v>
      </c>
      <c r="B21724" s="6" t="s">
        <v>1</v>
      </c>
      <c r="C21724" s="6" t="s">
        <v>1</v>
      </c>
    </row>
    <row r="21725" spans="1:3" s="7" customFormat="1" x14ac:dyDescent="0.2">
      <c r="A21725" s="6" t="str">
        <f>"MYO19"</f>
        <v>MYO19</v>
      </c>
      <c r="B21725" s="6" t="s">
        <v>1</v>
      </c>
      <c r="C21725" s="6" t="s">
        <v>1</v>
      </c>
    </row>
    <row r="21726" spans="1:3" s="7" customFormat="1" x14ac:dyDescent="0.2">
      <c r="A21726" s="6" t="str">
        <f>"FAM98C"</f>
        <v>FAM98C</v>
      </c>
      <c r="B21726" s="6" t="s">
        <v>1</v>
      </c>
      <c r="C21726" s="6" t="s">
        <v>1</v>
      </c>
    </row>
    <row r="21727" spans="1:3" s="7" customFormat="1" x14ac:dyDescent="0.2">
      <c r="A21727" s="6" t="str">
        <f>"NPDC1"</f>
        <v>NPDC1</v>
      </c>
      <c r="B21727" s="6" t="s">
        <v>1</v>
      </c>
      <c r="C21727" s="6" t="s">
        <v>1</v>
      </c>
    </row>
    <row r="21728" spans="1:3" s="7" customFormat="1" x14ac:dyDescent="0.2">
      <c r="A21728" s="6" t="str">
        <f>"CCNG1"</f>
        <v>CCNG1</v>
      </c>
      <c r="B21728" s="6" t="s">
        <v>1</v>
      </c>
      <c r="C21728" s="6" t="s">
        <v>1</v>
      </c>
    </row>
    <row r="21729" spans="1:3" s="7" customFormat="1" x14ac:dyDescent="0.2">
      <c r="A21729" s="6" t="str">
        <f>"MRPS25"</f>
        <v>MRPS25</v>
      </c>
      <c r="B21729" s="6" t="s">
        <v>1</v>
      </c>
      <c r="C21729" s="6" t="s">
        <v>1</v>
      </c>
    </row>
    <row r="21730" spans="1:3" s="7" customFormat="1" x14ac:dyDescent="0.2">
      <c r="A21730" s="6" t="str">
        <f>"ZCCHC2"</f>
        <v>ZCCHC2</v>
      </c>
      <c r="B21730" s="6" t="s">
        <v>1</v>
      </c>
      <c r="C21730" s="6" t="s">
        <v>1</v>
      </c>
    </row>
    <row r="21731" spans="1:3" s="7" customFormat="1" x14ac:dyDescent="0.2">
      <c r="A21731" s="6" t="str">
        <f>"PCP4L1"</f>
        <v>PCP4L1</v>
      </c>
      <c r="B21731" s="6" t="s">
        <v>1</v>
      </c>
      <c r="C21731" s="6" t="s">
        <v>1</v>
      </c>
    </row>
    <row r="21732" spans="1:3" s="7" customFormat="1" x14ac:dyDescent="0.2">
      <c r="A21732" s="6" t="str">
        <f>"DENND6A"</f>
        <v>DENND6A</v>
      </c>
      <c r="B21732" s="6" t="s">
        <v>1</v>
      </c>
      <c r="C21732" s="6" t="s">
        <v>1</v>
      </c>
    </row>
    <row r="21733" spans="1:3" s="7" customFormat="1" x14ac:dyDescent="0.2">
      <c r="A21733" s="6" t="str">
        <f>"RAD54L2"</f>
        <v>RAD54L2</v>
      </c>
      <c r="B21733" s="6" t="s">
        <v>1</v>
      </c>
      <c r="C21733" s="6" t="s">
        <v>1</v>
      </c>
    </row>
    <row r="21734" spans="1:3" s="7" customFormat="1" x14ac:dyDescent="0.2">
      <c r="A21734" s="6" t="str">
        <f>"HACL1"</f>
        <v>HACL1</v>
      </c>
      <c r="B21734" s="6" t="s">
        <v>1</v>
      </c>
      <c r="C21734" s="6" t="s">
        <v>1</v>
      </c>
    </row>
    <row r="21735" spans="1:3" s="7" customFormat="1" x14ac:dyDescent="0.2">
      <c r="A21735" s="6" t="str">
        <f>"HAUS4"</f>
        <v>HAUS4</v>
      </c>
      <c r="B21735" s="6" t="s">
        <v>1</v>
      </c>
      <c r="C21735" s="6" t="s">
        <v>1</v>
      </c>
    </row>
    <row r="21736" spans="1:3" s="7" customFormat="1" x14ac:dyDescent="0.2">
      <c r="A21736" s="6" t="str">
        <f>"CASC2"</f>
        <v>CASC2</v>
      </c>
      <c r="B21736" s="6" t="s">
        <v>1</v>
      </c>
      <c r="C21736" s="6" t="s">
        <v>1</v>
      </c>
    </row>
    <row r="21737" spans="1:3" s="7" customFormat="1" x14ac:dyDescent="0.2">
      <c r="A21737" s="6" t="str">
        <f>"ALG12"</f>
        <v>ALG12</v>
      </c>
      <c r="B21737" s="6" t="s">
        <v>1</v>
      </c>
      <c r="C21737" s="6" t="s">
        <v>1</v>
      </c>
    </row>
    <row r="21738" spans="1:3" s="7" customFormat="1" x14ac:dyDescent="0.2">
      <c r="A21738" s="6" t="str">
        <f>"FBLIM1"</f>
        <v>FBLIM1</v>
      </c>
      <c r="B21738" s="6" t="s">
        <v>1</v>
      </c>
      <c r="C21738" s="6" t="s">
        <v>1</v>
      </c>
    </row>
    <row r="21739" spans="1:3" s="7" customFormat="1" x14ac:dyDescent="0.2">
      <c r="A21739" s="6" t="str">
        <f>"LOX"</f>
        <v>LOX</v>
      </c>
      <c r="B21739" s="6" t="s">
        <v>1</v>
      </c>
      <c r="C21739" s="6" t="s">
        <v>1</v>
      </c>
    </row>
    <row r="21740" spans="1:3" s="7" customFormat="1" x14ac:dyDescent="0.2">
      <c r="A21740" s="6" t="str">
        <f>"NUP54"</f>
        <v>NUP54</v>
      </c>
      <c r="B21740" s="6" t="s">
        <v>1</v>
      </c>
      <c r="C21740" s="6" t="s">
        <v>1</v>
      </c>
    </row>
    <row r="21741" spans="1:3" s="7" customFormat="1" x14ac:dyDescent="0.2">
      <c r="A21741" s="6" t="str">
        <f>"CARD6"</f>
        <v>CARD6</v>
      </c>
      <c r="B21741" s="6" t="s">
        <v>1</v>
      </c>
      <c r="C21741" s="6" t="s">
        <v>1</v>
      </c>
    </row>
    <row r="21742" spans="1:3" s="7" customFormat="1" x14ac:dyDescent="0.2">
      <c r="A21742" s="6" t="str">
        <f>"KLK13"</f>
        <v>KLK13</v>
      </c>
      <c r="B21742" s="6" t="s">
        <v>1</v>
      </c>
      <c r="C21742" s="6" t="s">
        <v>1</v>
      </c>
    </row>
    <row r="21743" spans="1:3" s="7" customFormat="1" x14ac:dyDescent="0.2">
      <c r="A21743" s="6" t="str">
        <f>"ZNF608"</f>
        <v>ZNF608</v>
      </c>
      <c r="B21743" s="6" t="s">
        <v>1</v>
      </c>
      <c r="C21743" s="6" t="s">
        <v>1</v>
      </c>
    </row>
    <row r="21744" spans="1:3" s="7" customFormat="1" x14ac:dyDescent="0.2">
      <c r="A21744" s="6" t="str">
        <f>"MRPS30"</f>
        <v>MRPS30</v>
      </c>
      <c r="B21744" s="6" t="s">
        <v>1</v>
      </c>
      <c r="C21744" s="6" t="s">
        <v>1</v>
      </c>
    </row>
    <row r="21745" spans="1:3" s="7" customFormat="1" x14ac:dyDescent="0.2">
      <c r="A21745" s="6" t="str">
        <f>"ZNF252P"</f>
        <v>ZNF252P</v>
      </c>
      <c r="B21745" s="6" t="s">
        <v>1</v>
      </c>
      <c r="C21745" s="6" t="s">
        <v>1</v>
      </c>
    </row>
    <row r="21746" spans="1:3" s="7" customFormat="1" x14ac:dyDescent="0.2">
      <c r="A21746" s="6" t="str">
        <f>"MLLT10"</f>
        <v>MLLT10</v>
      </c>
      <c r="B21746" s="6" t="s">
        <v>1</v>
      </c>
      <c r="C21746" s="6" t="s">
        <v>1</v>
      </c>
    </row>
    <row r="21747" spans="1:3" s="7" customFormat="1" x14ac:dyDescent="0.2">
      <c r="A21747" s="6" t="str">
        <f>"ENPP3"</f>
        <v>ENPP3</v>
      </c>
      <c r="B21747" s="6" t="s">
        <v>1</v>
      </c>
      <c r="C21747" s="6" t="s">
        <v>1</v>
      </c>
    </row>
    <row r="21748" spans="1:3" s="7" customFormat="1" x14ac:dyDescent="0.2">
      <c r="A21748" s="6" t="str">
        <f>"LRCH3"</f>
        <v>LRCH3</v>
      </c>
      <c r="B21748" s="6" t="s">
        <v>1</v>
      </c>
      <c r="C21748" s="6" t="s">
        <v>1</v>
      </c>
    </row>
    <row r="21749" spans="1:3" s="7" customFormat="1" x14ac:dyDescent="0.2">
      <c r="A21749" s="6" t="str">
        <f>"INPP1"</f>
        <v>INPP1</v>
      </c>
      <c r="B21749" s="6" t="s">
        <v>1</v>
      </c>
      <c r="C21749" s="6" t="s">
        <v>1</v>
      </c>
    </row>
    <row r="21750" spans="1:3" s="7" customFormat="1" x14ac:dyDescent="0.2">
      <c r="A21750" s="6" t="str">
        <f>"PACRGL"</f>
        <v>PACRGL</v>
      </c>
      <c r="B21750" s="6" t="s">
        <v>1</v>
      </c>
      <c r="C21750" s="6" t="s">
        <v>1</v>
      </c>
    </row>
    <row r="21751" spans="1:3" s="7" customFormat="1" x14ac:dyDescent="0.2">
      <c r="A21751" s="6" t="str">
        <f>"PLEKHG6"</f>
        <v>PLEKHG6</v>
      </c>
      <c r="B21751" s="6" t="s">
        <v>1</v>
      </c>
      <c r="C21751" s="6" t="s">
        <v>1</v>
      </c>
    </row>
    <row r="21752" spans="1:3" s="7" customFormat="1" x14ac:dyDescent="0.2">
      <c r="A21752" s="6" t="str">
        <f>"INTS6"</f>
        <v>INTS6</v>
      </c>
      <c r="B21752" s="6" t="s">
        <v>1</v>
      </c>
      <c r="C21752" s="6" t="s">
        <v>1</v>
      </c>
    </row>
    <row r="21753" spans="1:3" s="7" customFormat="1" x14ac:dyDescent="0.2">
      <c r="A21753" s="6" t="str">
        <f>"CCNYL1"</f>
        <v>CCNYL1</v>
      </c>
      <c r="B21753" s="6" t="s">
        <v>1</v>
      </c>
      <c r="C21753" s="6" t="s">
        <v>1</v>
      </c>
    </row>
    <row r="21754" spans="1:3" s="7" customFormat="1" x14ac:dyDescent="0.2">
      <c r="A21754" s="6" t="str">
        <f>"INTS8"</f>
        <v>INTS8</v>
      </c>
      <c r="B21754" s="6" t="s">
        <v>1</v>
      </c>
      <c r="C21754" s="6" t="s">
        <v>1</v>
      </c>
    </row>
    <row r="21755" spans="1:3" s="7" customFormat="1" x14ac:dyDescent="0.2">
      <c r="A21755" s="6" t="str">
        <f>"APTX"</f>
        <v>APTX</v>
      </c>
      <c r="B21755" s="6" t="s">
        <v>1</v>
      </c>
      <c r="C21755" s="6" t="s">
        <v>1</v>
      </c>
    </row>
    <row r="21756" spans="1:3" s="7" customFormat="1" x14ac:dyDescent="0.2">
      <c r="A21756" s="6" t="str">
        <f>"C2"</f>
        <v>C2</v>
      </c>
      <c r="B21756" s="6" t="s">
        <v>1</v>
      </c>
      <c r="C21756" s="6" t="s">
        <v>1</v>
      </c>
    </row>
    <row r="21757" spans="1:3" s="7" customFormat="1" x14ac:dyDescent="0.2">
      <c r="A21757" s="6" t="str">
        <f>"BACE1"</f>
        <v>BACE1</v>
      </c>
      <c r="B21757" s="6" t="s">
        <v>1</v>
      </c>
      <c r="C21757" s="6" t="s">
        <v>1</v>
      </c>
    </row>
    <row r="21758" spans="1:3" s="7" customFormat="1" x14ac:dyDescent="0.2">
      <c r="A21758" s="6" t="str">
        <f>"PRMT6"</f>
        <v>PRMT6</v>
      </c>
      <c r="B21758" s="6" t="s">
        <v>1</v>
      </c>
      <c r="C21758" s="6" t="s">
        <v>1</v>
      </c>
    </row>
    <row r="21759" spans="1:3" s="7" customFormat="1" x14ac:dyDescent="0.2">
      <c r="A21759" s="6" t="str">
        <f>"ASB6"</f>
        <v>ASB6</v>
      </c>
      <c r="B21759" s="6" t="s">
        <v>1</v>
      </c>
      <c r="C21759" s="6" t="s">
        <v>1</v>
      </c>
    </row>
    <row r="21760" spans="1:3" s="7" customFormat="1" x14ac:dyDescent="0.2">
      <c r="A21760" s="6" t="str">
        <f>"GALNT18"</f>
        <v>GALNT18</v>
      </c>
      <c r="B21760" s="6" t="s">
        <v>1</v>
      </c>
      <c r="C21760" s="6" t="s">
        <v>1</v>
      </c>
    </row>
    <row r="21761" spans="1:3" s="7" customFormat="1" x14ac:dyDescent="0.2">
      <c r="A21761" s="6" t="str">
        <f>"CYP4F12"</f>
        <v>CYP4F12</v>
      </c>
      <c r="B21761" s="6" t="s">
        <v>1</v>
      </c>
      <c r="C21761" s="6" t="s">
        <v>1</v>
      </c>
    </row>
    <row r="21762" spans="1:3" s="7" customFormat="1" x14ac:dyDescent="0.2">
      <c r="A21762" s="6" t="str">
        <f>"NEIL2"</f>
        <v>NEIL2</v>
      </c>
      <c r="B21762" s="6" t="s">
        <v>1</v>
      </c>
      <c r="C21762" s="6" t="s">
        <v>1</v>
      </c>
    </row>
    <row r="21763" spans="1:3" s="7" customFormat="1" x14ac:dyDescent="0.2">
      <c r="A21763" s="6" t="str">
        <f>"GJB5"</f>
        <v>GJB5</v>
      </c>
      <c r="B21763" s="6" t="s">
        <v>1</v>
      </c>
      <c r="C21763" s="6" t="s">
        <v>1</v>
      </c>
    </row>
    <row r="21764" spans="1:3" s="7" customFormat="1" x14ac:dyDescent="0.2">
      <c r="A21764" s="6" t="str">
        <f>"ASCC1"</f>
        <v>ASCC1</v>
      </c>
      <c r="B21764" s="6" t="s">
        <v>1</v>
      </c>
      <c r="C21764" s="6" t="s">
        <v>1</v>
      </c>
    </row>
    <row r="21765" spans="1:3" s="7" customFormat="1" x14ac:dyDescent="0.2">
      <c r="A21765" s="6" t="str">
        <f>"MRPS9"</f>
        <v>MRPS9</v>
      </c>
      <c r="B21765" s="6" t="s">
        <v>1</v>
      </c>
      <c r="C21765" s="6" t="s">
        <v>1</v>
      </c>
    </row>
    <row r="21766" spans="1:3" s="7" customFormat="1" x14ac:dyDescent="0.2">
      <c r="A21766" s="6" t="str">
        <f>"KAT2B"</f>
        <v>KAT2B</v>
      </c>
      <c r="B21766" s="6" t="s">
        <v>1</v>
      </c>
      <c r="C21766" s="6" t="s">
        <v>1</v>
      </c>
    </row>
    <row r="21767" spans="1:3" s="7" customFormat="1" x14ac:dyDescent="0.2">
      <c r="A21767" s="6" t="str">
        <f>"MCRIP2"</f>
        <v>MCRIP2</v>
      </c>
      <c r="B21767" s="6" t="s">
        <v>1</v>
      </c>
      <c r="C21767" s="6" t="s">
        <v>1</v>
      </c>
    </row>
    <row r="21768" spans="1:3" s="7" customFormat="1" x14ac:dyDescent="0.2">
      <c r="A21768" s="6" t="str">
        <f>"PDCL3"</f>
        <v>PDCL3</v>
      </c>
      <c r="B21768" s="6" t="s">
        <v>1</v>
      </c>
      <c r="C21768" s="6" t="s">
        <v>1</v>
      </c>
    </row>
    <row r="21769" spans="1:3" s="7" customFormat="1" x14ac:dyDescent="0.2">
      <c r="A21769" s="6" t="str">
        <f>"GRAMD2B"</f>
        <v>GRAMD2B</v>
      </c>
      <c r="B21769" s="6" t="s">
        <v>1</v>
      </c>
      <c r="C21769" s="6" t="s">
        <v>1</v>
      </c>
    </row>
    <row r="21770" spans="1:3" s="7" customFormat="1" x14ac:dyDescent="0.2">
      <c r="A21770" s="6" t="str">
        <f>"PHKG2"</f>
        <v>PHKG2</v>
      </c>
      <c r="B21770" s="6" t="s">
        <v>1</v>
      </c>
      <c r="C21770" s="6" t="s">
        <v>1</v>
      </c>
    </row>
    <row r="21771" spans="1:3" s="7" customFormat="1" x14ac:dyDescent="0.2">
      <c r="A21771" s="6" t="str">
        <f>"MKNK1"</f>
        <v>MKNK1</v>
      </c>
      <c r="B21771" s="6" t="s">
        <v>1</v>
      </c>
      <c r="C21771" s="6" t="s">
        <v>1</v>
      </c>
    </row>
    <row r="21772" spans="1:3" s="7" customFormat="1" x14ac:dyDescent="0.2">
      <c r="A21772" s="6" t="str">
        <f>"BRD9"</f>
        <v>BRD9</v>
      </c>
      <c r="B21772" s="6" t="s">
        <v>1</v>
      </c>
      <c r="C21772" s="6" t="s">
        <v>1</v>
      </c>
    </row>
    <row r="21773" spans="1:3" s="7" customFormat="1" x14ac:dyDescent="0.2">
      <c r="A21773" s="6" t="str">
        <f>"ADRB1"</f>
        <v>ADRB1</v>
      </c>
      <c r="B21773" s="6" t="s">
        <v>1</v>
      </c>
      <c r="C21773" s="6" t="s">
        <v>1</v>
      </c>
    </row>
    <row r="21774" spans="1:3" s="7" customFormat="1" x14ac:dyDescent="0.2">
      <c r="A21774" s="6" t="str">
        <f>"C22orf46"</f>
        <v>C22orf46</v>
      </c>
      <c r="B21774" s="6" t="s">
        <v>1</v>
      </c>
      <c r="C21774" s="6" t="s">
        <v>1</v>
      </c>
    </row>
    <row r="21775" spans="1:3" s="7" customFormat="1" x14ac:dyDescent="0.2">
      <c r="A21775" s="6" t="str">
        <f>"ADGRG3"</f>
        <v>ADGRG3</v>
      </c>
      <c r="B21775" s="6" t="s">
        <v>1</v>
      </c>
      <c r="C21775" s="6" t="s">
        <v>1</v>
      </c>
    </row>
    <row r="21776" spans="1:3" s="7" customFormat="1" x14ac:dyDescent="0.2">
      <c r="A21776" s="6" t="str">
        <f>"TMEM159"</f>
        <v>TMEM159</v>
      </c>
      <c r="B21776" s="6" t="s">
        <v>1</v>
      </c>
      <c r="C21776" s="6" t="s">
        <v>1</v>
      </c>
    </row>
    <row r="21777" spans="1:3" s="7" customFormat="1" x14ac:dyDescent="0.2">
      <c r="A21777" s="6" t="str">
        <f>"BABAM2"</f>
        <v>BABAM2</v>
      </c>
      <c r="B21777" s="6" t="s">
        <v>1</v>
      </c>
      <c r="C21777" s="6" t="s">
        <v>1</v>
      </c>
    </row>
    <row r="21778" spans="1:3" s="7" customFormat="1" x14ac:dyDescent="0.2">
      <c r="A21778" s="6" t="str">
        <f>"ME3"</f>
        <v>ME3</v>
      </c>
      <c r="B21778" s="6" t="s">
        <v>1</v>
      </c>
      <c r="C21778" s="6" t="s">
        <v>1</v>
      </c>
    </row>
    <row r="21779" spans="1:3" s="7" customFormat="1" x14ac:dyDescent="0.2">
      <c r="A21779" s="6" t="str">
        <f>"PDCD5"</f>
        <v>PDCD5</v>
      </c>
      <c r="B21779" s="6" t="s">
        <v>1</v>
      </c>
      <c r="C21779" s="6" t="s">
        <v>1</v>
      </c>
    </row>
    <row r="21780" spans="1:3" s="7" customFormat="1" x14ac:dyDescent="0.2">
      <c r="A21780" s="6" t="str">
        <f>"FKBP3"</f>
        <v>FKBP3</v>
      </c>
      <c r="B21780" s="6" t="s">
        <v>1</v>
      </c>
      <c r="C21780" s="6" t="s">
        <v>1</v>
      </c>
    </row>
    <row r="21781" spans="1:3" s="7" customFormat="1" x14ac:dyDescent="0.2">
      <c r="A21781" s="6" t="str">
        <f>"ZZZ3"</f>
        <v>ZZZ3</v>
      </c>
      <c r="B21781" s="6" t="s">
        <v>1</v>
      </c>
      <c r="C21781" s="6" t="s">
        <v>1</v>
      </c>
    </row>
    <row r="21782" spans="1:3" s="7" customFormat="1" x14ac:dyDescent="0.2">
      <c r="A21782" s="6" t="str">
        <f>"ACAD11"</f>
        <v>ACAD11</v>
      </c>
      <c r="B21782" s="6" t="s">
        <v>1</v>
      </c>
      <c r="C21782" s="6" t="s">
        <v>1</v>
      </c>
    </row>
    <row r="21783" spans="1:3" s="7" customFormat="1" x14ac:dyDescent="0.2">
      <c r="A21783" s="6" t="str">
        <f>"CCNT2"</f>
        <v>CCNT2</v>
      </c>
      <c r="B21783" s="6" t="s">
        <v>1</v>
      </c>
      <c r="C21783" s="6" t="s">
        <v>1</v>
      </c>
    </row>
    <row r="21784" spans="1:3" s="7" customFormat="1" x14ac:dyDescent="0.2">
      <c r="A21784" s="6" t="str">
        <f>"ZSWIM4"</f>
        <v>ZSWIM4</v>
      </c>
      <c r="B21784" s="6" t="s">
        <v>1</v>
      </c>
      <c r="C21784" s="6" t="s">
        <v>1</v>
      </c>
    </row>
    <row r="21785" spans="1:3" s="7" customFormat="1" x14ac:dyDescent="0.2">
      <c r="A21785" s="6" t="str">
        <f>"ASB13"</f>
        <v>ASB13</v>
      </c>
      <c r="B21785" s="6" t="s">
        <v>1</v>
      </c>
      <c r="C21785" s="6" t="s">
        <v>1</v>
      </c>
    </row>
    <row r="21786" spans="1:3" s="7" customFormat="1" x14ac:dyDescent="0.2">
      <c r="A21786" s="6" t="str">
        <f>"DEDD"</f>
        <v>DEDD</v>
      </c>
      <c r="B21786" s="6" t="s">
        <v>1</v>
      </c>
      <c r="C21786" s="6" t="s">
        <v>1</v>
      </c>
    </row>
    <row r="21787" spans="1:3" s="7" customFormat="1" x14ac:dyDescent="0.2">
      <c r="A21787" s="6" t="str">
        <f>"MYO15B"</f>
        <v>MYO15B</v>
      </c>
      <c r="B21787" s="6" t="s">
        <v>1</v>
      </c>
      <c r="C21787" s="6" t="s">
        <v>1</v>
      </c>
    </row>
    <row r="21788" spans="1:3" s="7" customFormat="1" x14ac:dyDescent="0.2">
      <c r="A21788" s="6" t="str">
        <f>"COA1"</f>
        <v>COA1</v>
      </c>
      <c r="B21788" s="6" t="s">
        <v>1</v>
      </c>
      <c r="C21788" s="6" t="s">
        <v>1</v>
      </c>
    </row>
    <row r="21789" spans="1:3" s="7" customFormat="1" x14ac:dyDescent="0.2">
      <c r="A21789" s="6" t="str">
        <f>"RAMAC"</f>
        <v>RAMAC</v>
      </c>
      <c r="B21789" s="6" t="s">
        <v>1</v>
      </c>
      <c r="C21789" s="6" t="s">
        <v>1</v>
      </c>
    </row>
    <row r="21790" spans="1:3" s="7" customFormat="1" x14ac:dyDescent="0.2">
      <c r="A21790" s="6" t="str">
        <f>"PHYHD1"</f>
        <v>PHYHD1</v>
      </c>
      <c r="B21790" s="6" t="s">
        <v>1</v>
      </c>
      <c r="C21790" s="6" t="s">
        <v>1</v>
      </c>
    </row>
    <row r="21791" spans="1:3" s="7" customFormat="1" x14ac:dyDescent="0.2">
      <c r="A21791" s="6" t="str">
        <f>"CDKN2A"</f>
        <v>CDKN2A</v>
      </c>
      <c r="B21791" s="6" t="s">
        <v>1</v>
      </c>
      <c r="C21791" s="6" t="s">
        <v>1</v>
      </c>
    </row>
    <row r="21792" spans="1:3" s="7" customFormat="1" x14ac:dyDescent="0.2">
      <c r="A21792" s="6" t="str">
        <f>"ADORA2B"</f>
        <v>ADORA2B</v>
      </c>
      <c r="B21792" s="6" t="s">
        <v>1</v>
      </c>
      <c r="C21792" s="6" t="s">
        <v>1</v>
      </c>
    </row>
    <row r="21793" spans="1:3" s="7" customFormat="1" x14ac:dyDescent="0.2">
      <c r="A21793" s="6" t="str">
        <f>"ZNF621"</f>
        <v>ZNF621</v>
      </c>
      <c r="B21793" s="6" t="s">
        <v>1</v>
      </c>
      <c r="C21793" s="6" t="s">
        <v>1</v>
      </c>
    </row>
    <row r="21794" spans="1:3" s="7" customFormat="1" x14ac:dyDescent="0.2">
      <c r="A21794" s="6" t="str">
        <f>"DENND4B"</f>
        <v>DENND4B</v>
      </c>
      <c r="B21794" s="6" t="s">
        <v>1</v>
      </c>
      <c r="C21794" s="6" t="s">
        <v>1</v>
      </c>
    </row>
    <row r="21795" spans="1:3" s="7" customFormat="1" x14ac:dyDescent="0.2">
      <c r="A21795" s="6" t="str">
        <f>"CROCCP2"</f>
        <v>CROCCP2</v>
      </c>
      <c r="B21795" s="6" t="s">
        <v>1</v>
      </c>
      <c r="C21795" s="6" t="s">
        <v>1</v>
      </c>
    </row>
    <row r="21796" spans="1:3" s="7" customFormat="1" x14ac:dyDescent="0.2">
      <c r="A21796" s="6" t="str">
        <f>"LOXL4"</f>
        <v>LOXL4</v>
      </c>
      <c r="B21796" s="6" t="s">
        <v>1</v>
      </c>
      <c r="C21796" s="6" t="s">
        <v>1</v>
      </c>
    </row>
    <row r="21797" spans="1:3" s="7" customFormat="1" x14ac:dyDescent="0.2">
      <c r="A21797" s="6" t="str">
        <f>"CYP4F11"</f>
        <v>CYP4F11</v>
      </c>
      <c r="B21797" s="6" t="s">
        <v>1</v>
      </c>
      <c r="C21797" s="6" t="s">
        <v>1</v>
      </c>
    </row>
    <row r="21798" spans="1:3" s="7" customFormat="1" x14ac:dyDescent="0.2">
      <c r="A21798" s="6" t="str">
        <f>"MAK"</f>
        <v>MAK</v>
      </c>
      <c r="B21798" s="6" t="s">
        <v>1</v>
      </c>
      <c r="C21798" s="6" t="s">
        <v>1</v>
      </c>
    </row>
    <row r="21799" spans="1:3" s="7" customFormat="1" x14ac:dyDescent="0.2">
      <c r="A21799" s="6" t="str">
        <f>"CREB3L4"</f>
        <v>CREB3L4</v>
      </c>
      <c r="B21799" s="6" t="s">
        <v>1</v>
      </c>
      <c r="C21799" s="6" t="s">
        <v>1</v>
      </c>
    </row>
    <row r="21800" spans="1:3" s="7" customFormat="1" x14ac:dyDescent="0.2">
      <c r="A21800" s="6" t="str">
        <f>"APOBEC3A"</f>
        <v>APOBEC3A</v>
      </c>
      <c r="B21800" s="6" t="s">
        <v>1</v>
      </c>
      <c r="C21800" s="6" t="s">
        <v>1</v>
      </c>
    </row>
    <row r="21801" spans="1:3" s="7" customFormat="1" x14ac:dyDescent="0.2">
      <c r="A21801" s="6" t="str">
        <f>"STX2"</f>
        <v>STX2</v>
      </c>
      <c r="B21801" s="6" t="s">
        <v>1</v>
      </c>
      <c r="C21801" s="6" t="s">
        <v>1</v>
      </c>
    </row>
    <row r="21802" spans="1:3" s="7" customFormat="1" x14ac:dyDescent="0.2">
      <c r="A21802" s="6" t="str">
        <f>"ASNSD1"</f>
        <v>ASNSD1</v>
      </c>
      <c r="B21802" s="6" t="s">
        <v>1</v>
      </c>
      <c r="C21802" s="6" t="s">
        <v>1</v>
      </c>
    </row>
    <row r="21803" spans="1:3" s="7" customFormat="1" x14ac:dyDescent="0.2">
      <c r="A21803" s="6" t="str">
        <f>"MRPS2"</f>
        <v>MRPS2</v>
      </c>
      <c r="B21803" s="6" t="s">
        <v>1</v>
      </c>
      <c r="C21803" s="6" t="s">
        <v>1</v>
      </c>
    </row>
    <row r="21804" spans="1:3" s="7" customFormat="1" x14ac:dyDescent="0.2">
      <c r="A21804" s="6" t="str">
        <f>"HACD2"</f>
        <v>HACD2</v>
      </c>
      <c r="B21804" s="6" t="s">
        <v>1</v>
      </c>
      <c r="C21804" s="6" t="s">
        <v>1</v>
      </c>
    </row>
    <row r="21805" spans="1:3" s="7" customFormat="1" x14ac:dyDescent="0.2">
      <c r="A21805" s="6" t="str">
        <f>"FAAP20"</f>
        <v>FAAP20</v>
      </c>
      <c r="B21805" s="6" t="s">
        <v>1</v>
      </c>
      <c r="C21805" s="6" t="s">
        <v>1</v>
      </c>
    </row>
    <row r="21806" spans="1:3" s="7" customFormat="1" x14ac:dyDescent="0.2">
      <c r="A21806" s="6" t="str">
        <f>"REPS2"</f>
        <v>REPS2</v>
      </c>
      <c r="B21806" s="6" t="s">
        <v>1</v>
      </c>
      <c r="C21806" s="6" t="s">
        <v>1</v>
      </c>
    </row>
    <row r="21807" spans="1:3" s="7" customFormat="1" x14ac:dyDescent="0.2">
      <c r="A21807" s="6" t="str">
        <f>"ZNF266"</f>
        <v>ZNF266</v>
      </c>
      <c r="B21807" s="6" t="s">
        <v>1</v>
      </c>
      <c r="C21807" s="6" t="s">
        <v>1</v>
      </c>
    </row>
    <row r="21808" spans="1:3" s="7" customFormat="1" x14ac:dyDescent="0.2">
      <c r="A21808" s="6" t="str">
        <f>"C22orf39"</f>
        <v>C22orf39</v>
      </c>
      <c r="B21808" s="6" t="s">
        <v>1</v>
      </c>
      <c r="C21808" s="6" t="s">
        <v>1</v>
      </c>
    </row>
    <row r="21809" spans="1:3" s="7" customFormat="1" x14ac:dyDescent="0.2">
      <c r="A21809" s="6" t="str">
        <f>"MCRIP1"</f>
        <v>MCRIP1</v>
      </c>
      <c r="B21809" s="6" t="s">
        <v>1</v>
      </c>
      <c r="C21809" s="6" t="s">
        <v>1</v>
      </c>
    </row>
    <row r="21810" spans="1:3" s="7" customFormat="1" x14ac:dyDescent="0.2">
      <c r="A21810" s="6" t="str">
        <f>"ZNF587"</f>
        <v>ZNF587</v>
      </c>
      <c r="B21810" s="6" t="s">
        <v>1</v>
      </c>
      <c r="C21810" s="6" t="s">
        <v>1</v>
      </c>
    </row>
    <row r="21811" spans="1:3" s="7" customFormat="1" x14ac:dyDescent="0.2">
      <c r="A21811" s="6" t="str">
        <f>"PCK2"</f>
        <v>PCK2</v>
      </c>
      <c r="B21811" s="6" t="s">
        <v>1</v>
      </c>
      <c r="C21811" s="6" t="s">
        <v>1</v>
      </c>
    </row>
    <row r="21812" spans="1:3" s="7" customFormat="1" x14ac:dyDescent="0.2">
      <c r="A21812" s="6" t="str">
        <f>"MRPS23"</f>
        <v>MRPS23</v>
      </c>
      <c r="B21812" s="6" t="s">
        <v>1</v>
      </c>
      <c r="C21812" s="6" t="s">
        <v>1</v>
      </c>
    </row>
    <row r="21813" spans="1:3" s="7" customFormat="1" x14ac:dyDescent="0.2">
      <c r="A21813" s="6" t="str">
        <f>"BRAP"</f>
        <v>BRAP</v>
      </c>
      <c r="B21813" s="6" t="s">
        <v>1</v>
      </c>
      <c r="C21813" s="6" t="s">
        <v>1</v>
      </c>
    </row>
    <row r="21814" spans="1:3" s="7" customFormat="1" x14ac:dyDescent="0.2">
      <c r="A21814" s="6" t="str">
        <f>"FARSB"</f>
        <v>FARSB</v>
      </c>
      <c r="B21814" s="6" t="s">
        <v>1</v>
      </c>
      <c r="C21814" s="6" t="s">
        <v>1</v>
      </c>
    </row>
    <row r="21815" spans="1:3" s="7" customFormat="1" x14ac:dyDescent="0.2">
      <c r="A21815" s="6" t="str">
        <f>"ENDOG"</f>
        <v>ENDOG</v>
      </c>
      <c r="B21815" s="6" t="s">
        <v>1</v>
      </c>
      <c r="C21815" s="6" t="s">
        <v>1</v>
      </c>
    </row>
    <row r="21816" spans="1:3" s="7" customFormat="1" x14ac:dyDescent="0.2">
      <c r="A21816" s="6" t="str">
        <f>"GABPB2"</f>
        <v>GABPB2</v>
      </c>
      <c r="B21816" s="6" t="s">
        <v>1</v>
      </c>
      <c r="C21816" s="6" t="s">
        <v>1</v>
      </c>
    </row>
    <row r="21817" spans="1:3" s="7" customFormat="1" x14ac:dyDescent="0.2">
      <c r="A21817" s="6" t="str">
        <f>"VIPR1"</f>
        <v>VIPR1</v>
      </c>
      <c r="B21817" s="6" t="s">
        <v>1</v>
      </c>
      <c r="C21817" s="6" t="s">
        <v>1</v>
      </c>
    </row>
    <row r="21818" spans="1:3" s="7" customFormat="1" x14ac:dyDescent="0.2">
      <c r="A21818" s="6" t="str">
        <f>"TREX1"</f>
        <v>TREX1</v>
      </c>
      <c r="B21818" s="6" t="s">
        <v>1</v>
      </c>
      <c r="C21818" s="6" t="s">
        <v>1</v>
      </c>
    </row>
    <row r="21819" spans="1:3" s="7" customFormat="1" x14ac:dyDescent="0.2">
      <c r="A21819" s="6" t="str">
        <f>"FAM104B"</f>
        <v>FAM104B</v>
      </c>
      <c r="B21819" s="6" t="s">
        <v>1</v>
      </c>
      <c r="C21819" s="6" t="s">
        <v>1</v>
      </c>
    </row>
    <row r="21820" spans="1:3" s="7" customFormat="1" x14ac:dyDescent="0.2">
      <c r="A21820" s="6" t="str">
        <f>"MKRN2"</f>
        <v>MKRN2</v>
      </c>
      <c r="B21820" s="6" t="s">
        <v>1</v>
      </c>
      <c r="C21820" s="6" t="s">
        <v>1</v>
      </c>
    </row>
    <row r="21821" spans="1:3" s="7" customFormat="1" x14ac:dyDescent="0.2">
      <c r="A21821" s="6" t="str">
        <f>"EBAG9"</f>
        <v>EBAG9</v>
      </c>
      <c r="B21821" s="6" t="s">
        <v>1</v>
      </c>
      <c r="C21821" s="6" t="s">
        <v>1</v>
      </c>
    </row>
    <row r="21822" spans="1:3" s="7" customFormat="1" x14ac:dyDescent="0.2">
      <c r="A21822" s="6" t="str">
        <f>"THAP7"</f>
        <v>THAP7</v>
      </c>
      <c r="B21822" s="6" t="s">
        <v>1</v>
      </c>
      <c r="C21822" s="6" t="s">
        <v>1</v>
      </c>
    </row>
    <row r="21823" spans="1:3" s="7" customFormat="1" x14ac:dyDescent="0.2">
      <c r="A21823" s="6" t="str">
        <f>"IFI35"</f>
        <v>IFI35</v>
      </c>
      <c r="B21823" s="6" t="s">
        <v>1</v>
      </c>
      <c r="C21823" s="6" t="s">
        <v>1</v>
      </c>
    </row>
    <row r="21824" spans="1:3" s="7" customFormat="1" x14ac:dyDescent="0.2">
      <c r="A21824" s="6" t="str">
        <f>"SMARCAD1"</f>
        <v>SMARCAD1</v>
      </c>
      <c r="B21824" s="6" t="s">
        <v>1</v>
      </c>
      <c r="C21824" s="6" t="s">
        <v>1</v>
      </c>
    </row>
    <row r="21825" spans="1:3" s="7" customFormat="1" x14ac:dyDescent="0.2">
      <c r="A21825" s="6" t="str">
        <f>"TMEM138"</f>
        <v>TMEM138</v>
      </c>
      <c r="B21825" s="6" t="s">
        <v>1</v>
      </c>
      <c r="C21825" s="6" t="s">
        <v>1</v>
      </c>
    </row>
    <row r="21826" spans="1:3" s="7" customFormat="1" x14ac:dyDescent="0.2">
      <c r="A21826" s="6" t="str">
        <f>"BBIP1"</f>
        <v>BBIP1</v>
      </c>
      <c r="B21826" s="6" t="s">
        <v>1</v>
      </c>
      <c r="C21826" s="6" t="s">
        <v>1</v>
      </c>
    </row>
    <row r="21827" spans="1:3" s="7" customFormat="1" x14ac:dyDescent="0.2">
      <c r="A21827" s="6" t="str">
        <f>"TTC5"</f>
        <v>TTC5</v>
      </c>
      <c r="B21827" s="6" t="s">
        <v>1</v>
      </c>
      <c r="C21827" s="6" t="s">
        <v>1</v>
      </c>
    </row>
    <row r="21828" spans="1:3" s="7" customFormat="1" x14ac:dyDescent="0.2">
      <c r="A21828" s="6" t="str">
        <f>"KATNAL2"</f>
        <v>KATNAL2</v>
      </c>
      <c r="B21828" s="6" t="s">
        <v>1</v>
      </c>
      <c r="C21828" s="6" t="s">
        <v>1</v>
      </c>
    </row>
    <row r="21829" spans="1:3" s="7" customFormat="1" x14ac:dyDescent="0.2">
      <c r="A21829" s="6" t="str">
        <f>"EMG1"</f>
        <v>EMG1</v>
      </c>
      <c r="B21829" s="6" t="s">
        <v>1</v>
      </c>
      <c r="C21829" s="6" t="s">
        <v>1</v>
      </c>
    </row>
    <row r="21830" spans="1:3" s="7" customFormat="1" x14ac:dyDescent="0.2">
      <c r="A21830" s="6" t="str">
        <f>"B9D2"</f>
        <v>B9D2</v>
      </c>
      <c r="B21830" s="6" t="s">
        <v>1</v>
      </c>
      <c r="C21830" s="6" t="s">
        <v>1</v>
      </c>
    </row>
    <row r="21831" spans="1:3" s="7" customFormat="1" x14ac:dyDescent="0.2">
      <c r="A21831" s="6" t="str">
        <f>"LEO1"</f>
        <v>LEO1</v>
      </c>
      <c r="B21831" s="6" t="s">
        <v>1</v>
      </c>
      <c r="C21831" s="6" t="s">
        <v>1</v>
      </c>
    </row>
    <row r="21832" spans="1:3" s="7" customFormat="1" x14ac:dyDescent="0.2">
      <c r="A21832" s="6" t="str">
        <f>"RPRM"</f>
        <v>RPRM</v>
      </c>
      <c r="B21832" s="6" t="s">
        <v>1</v>
      </c>
      <c r="C21832" s="6" t="s">
        <v>1</v>
      </c>
    </row>
    <row r="21833" spans="1:3" s="7" customFormat="1" x14ac:dyDescent="0.2">
      <c r="A21833" s="6" t="str">
        <f>"EZH1"</f>
        <v>EZH1</v>
      </c>
      <c r="B21833" s="6" t="s">
        <v>1</v>
      </c>
      <c r="C21833" s="6" t="s">
        <v>1</v>
      </c>
    </row>
    <row r="21834" spans="1:3" s="7" customFormat="1" x14ac:dyDescent="0.2">
      <c r="A21834" s="6" t="str">
        <f>"HNMT"</f>
        <v>HNMT</v>
      </c>
      <c r="B21834" s="6" t="s">
        <v>1</v>
      </c>
      <c r="C21834" s="6" t="s">
        <v>1</v>
      </c>
    </row>
    <row r="21835" spans="1:3" s="7" customFormat="1" x14ac:dyDescent="0.2">
      <c r="A21835" s="6" t="str">
        <f>"TRIM21"</f>
        <v>TRIM21</v>
      </c>
      <c r="B21835" s="6" t="s">
        <v>1</v>
      </c>
      <c r="C21835" s="6" t="s">
        <v>1</v>
      </c>
    </row>
    <row r="21836" spans="1:3" s="7" customFormat="1" x14ac:dyDescent="0.2">
      <c r="A21836" s="6" t="str">
        <f>"FASTKD2"</f>
        <v>FASTKD2</v>
      </c>
      <c r="B21836" s="6" t="s">
        <v>1</v>
      </c>
      <c r="C21836" s="6" t="s">
        <v>1</v>
      </c>
    </row>
    <row r="21837" spans="1:3" s="7" customFormat="1" x14ac:dyDescent="0.2">
      <c r="A21837" s="6" t="str">
        <f>"PROSER3"</f>
        <v>PROSER3</v>
      </c>
      <c r="B21837" s="6" t="s">
        <v>1</v>
      </c>
      <c r="C21837" s="6" t="s">
        <v>1</v>
      </c>
    </row>
    <row r="21838" spans="1:3" s="7" customFormat="1" x14ac:dyDescent="0.2">
      <c r="A21838" s="6" t="str">
        <f>"RNF138"</f>
        <v>RNF138</v>
      </c>
      <c r="B21838" s="6" t="s">
        <v>1</v>
      </c>
      <c r="C21838" s="6" t="s">
        <v>1</v>
      </c>
    </row>
    <row r="21839" spans="1:3" s="7" customFormat="1" x14ac:dyDescent="0.2">
      <c r="A21839" s="6" t="str">
        <f>"RFK"</f>
        <v>RFK</v>
      </c>
      <c r="B21839" s="6" t="s">
        <v>1</v>
      </c>
      <c r="C21839" s="6" t="s">
        <v>1</v>
      </c>
    </row>
    <row r="21840" spans="1:3" s="7" customFormat="1" x14ac:dyDescent="0.2">
      <c r="A21840" s="6" t="str">
        <f>"CCNT1"</f>
        <v>CCNT1</v>
      </c>
      <c r="B21840" s="6" t="s">
        <v>1</v>
      </c>
      <c r="C21840" s="6" t="s">
        <v>1</v>
      </c>
    </row>
    <row r="21841" spans="1:3" s="7" customFormat="1" x14ac:dyDescent="0.2">
      <c r="A21841" s="6" t="str">
        <f>"CRNKL1"</f>
        <v>CRNKL1</v>
      </c>
      <c r="B21841" s="6" t="s">
        <v>1</v>
      </c>
      <c r="C21841" s="6" t="s">
        <v>1</v>
      </c>
    </row>
    <row r="21842" spans="1:3" s="7" customFormat="1" x14ac:dyDescent="0.2">
      <c r="A21842" s="6" t="str">
        <f>"PAFAH2"</f>
        <v>PAFAH2</v>
      </c>
      <c r="B21842" s="6" t="s">
        <v>1</v>
      </c>
      <c r="C21842" s="6" t="s">
        <v>1</v>
      </c>
    </row>
    <row r="21843" spans="1:3" s="7" customFormat="1" x14ac:dyDescent="0.2">
      <c r="A21843" s="6" t="str">
        <f>"SAMD1"</f>
        <v>SAMD1</v>
      </c>
      <c r="B21843" s="6" t="s">
        <v>1</v>
      </c>
      <c r="C21843" s="6" t="s">
        <v>1</v>
      </c>
    </row>
    <row r="21844" spans="1:3" s="7" customFormat="1" x14ac:dyDescent="0.2">
      <c r="A21844" s="6" t="str">
        <f>"GLRX5"</f>
        <v>GLRX5</v>
      </c>
      <c r="B21844" s="6" t="s">
        <v>1</v>
      </c>
      <c r="C21844" s="6" t="s">
        <v>1</v>
      </c>
    </row>
    <row r="21845" spans="1:3" s="7" customFormat="1" x14ac:dyDescent="0.2">
      <c r="A21845" s="6" t="str">
        <f>"ALG5"</f>
        <v>ALG5</v>
      </c>
      <c r="B21845" s="6" t="s">
        <v>1</v>
      </c>
      <c r="C21845" s="6" t="s">
        <v>1</v>
      </c>
    </row>
    <row r="21846" spans="1:3" s="7" customFormat="1" x14ac:dyDescent="0.2">
      <c r="A21846" s="6" t="str">
        <f>"PRMT7"</f>
        <v>PRMT7</v>
      </c>
      <c r="B21846" s="6" t="s">
        <v>1</v>
      </c>
      <c r="C21846" s="6" t="s">
        <v>1</v>
      </c>
    </row>
    <row r="21847" spans="1:3" s="7" customFormat="1" x14ac:dyDescent="0.2">
      <c r="A21847" s="6" t="str">
        <f>"FBLN1"</f>
        <v>FBLN1</v>
      </c>
      <c r="B21847" s="6" t="s">
        <v>1</v>
      </c>
      <c r="C21847" s="6" t="s">
        <v>1</v>
      </c>
    </row>
    <row r="21848" spans="1:3" s="7" customFormat="1" x14ac:dyDescent="0.2">
      <c r="A21848" s="6" t="str">
        <f>"TTC8"</f>
        <v>TTC8</v>
      </c>
      <c r="B21848" s="6" t="s">
        <v>1</v>
      </c>
      <c r="C21848" s="6" t="s">
        <v>1</v>
      </c>
    </row>
    <row r="21849" spans="1:3" s="7" customFormat="1" x14ac:dyDescent="0.2">
      <c r="A21849" s="6" t="str">
        <f>"RNF169"</f>
        <v>RNF169</v>
      </c>
      <c r="B21849" s="6" t="s">
        <v>1</v>
      </c>
      <c r="C21849" s="6" t="s">
        <v>1</v>
      </c>
    </row>
    <row r="21850" spans="1:3" s="7" customFormat="1" x14ac:dyDescent="0.2">
      <c r="A21850" s="6" t="str">
        <f>"TGFBR1"</f>
        <v>TGFBR1</v>
      </c>
      <c r="B21850" s="6" t="s">
        <v>1</v>
      </c>
      <c r="C21850" s="6" t="s">
        <v>1</v>
      </c>
    </row>
    <row r="21851" spans="1:3" s="7" customFormat="1" x14ac:dyDescent="0.2">
      <c r="A21851" s="6" t="str">
        <f>"MCM9"</f>
        <v>MCM9</v>
      </c>
      <c r="B21851" s="6" t="s">
        <v>1</v>
      </c>
      <c r="C21851" s="6" t="s">
        <v>1</v>
      </c>
    </row>
    <row r="21852" spans="1:3" s="7" customFormat="1" x14ac:dyDescent="0.2">
      <c r="A21852" s="6" t="str">
        <f>"EDC3"</f>
        <v>EDC3</v>
      </c>
      <c r="B21852" s="6" t="s">
        <v>1</v>
      </c>
      <c r="C21852" s="6" t="s">
        <v>1</v>
      </c>
    </row>
    <row r="21853" spans="1:3" s="7" customFormat="1" x14ac:dyDescent="0.2">
      <c r="A21853" s="6" t="str">
        <f>"DEXI"</f>
        <v>DEXI</v>
      </c>
      <c r="B21853" s="6" t="s">
        <v>1</v>
      </c>
      <c r="C21853" s="6" t="s">
        <v>1</v>
      </c>
    </row>
    <row r="21854" spans="1:3" s="7" customFormat="1" x14ac:dyDescent="0.2">
      <c r="A21854" s="6" t="str">
        <f>"DNAJC4"</f>
        <v>DNAJC4</v>
      </c>
      <c r="B21854" s="6" t="s">
        <v>1</v>
      </c>
      <c r="C21854" s="6" t="s">
        <v>1</v>
      </c>
    </row>
    <row r="21855" spans="1:3" s="7" customFormat="1" x14ac:dyDescent="0.2">
      <c r="A21855" s="6" t="str">
        <f>"IQCH"</f>
        <v>IQCH</v>
      </c>
      <c r="B21855" s="6" t="s">
        <v>1</v>
      </c>
      <c r="C21855" s="6" t="s">
        <v>1</v>
      </c>
    </row>
    <row r="21856" spans="1:3" s="7" customFormat="1" x14ac:dyDescent="0.2">
      <c r="A21856" s="6" t="str">
        <f>"ENOPH1"</f>
        <v>ENOPH1</v>
      </c>
      <c r="B21856" s="6" t="s">
        <v>1</v>
      </c>
      <c r="C21856" s="6" t="s">
        <v>1</v>
      </c>
    </row>
    <row r="21857" spans="1:3" s="7" customFormat="1" x14ac:dyDescent="0.2">
      <c r="A21857" s="6" t="str">
        <f>"CEBPA"</f>
        <v>CEBPA</v>
      </c>
      <c r="B21857" s="6" t="s">
        <v>1</v>
      </c>
      <c r="C21857" s="6" t="s">
        <v>1</v>
      </c>
    </row>
    <row r="21858" spans="1:3" s="7" customFormat="1" x14ac:dyDescent="0.2">
      <c r="A21858" s="6" t="str">
        <f>"ZXDC"</f>
        <v>ZXDC</v>
      </c>
      <c r="B21858" s="6" t="s">
        <v>1</v>
      </c>
      <c r="C21858" s="6" t="s">
        <v>1</v>
      </c>
    </row>
    <row r="21859" spans="1:3" s="7" customFormat="1" x14ac:dyDescent="0.2">
      <c r="A21859" s="6" t="str">
        <f>"SHFL"</f>
        <v>SHFL</v>
      </c>
      <c r="B21859" s="6" t="s">
        <v>1</v>
      </c>
      <c r="C21859" s="6" t="s">
        <v>1</v>
      </c>
    </row>
    <row r="21860" spans="1:3" s="7" customFormat="1" x14ac:dyDescent="0.2">
      <c r="A21860" s="6" t="str">
        <f>"ZYG11B"</f>
        <v>ZYG11B</v>
      </c>
      <c r="B21860" s="6" t="s">
        <v>1</v>
      </c>
      <c r="C21860" s="6" t="s">
        <v>1</v>
      </c>
    </row>
    <row r="21861" spans="1:3" s="7" customFormat="1" x14ac:dyDescent="0.2">
      <c r="A21861" s="6" t="str">
        <f>"RELL1"</f>
        <v>RELL1</v>
      </c>
      <c r="B21861" s="6" t="s">
        <v>1</v>
      </c>
      <c r="C21861" s="6" t="s">
        <v>1</v>
      </c>
    </row>
    <row r="21862" spans="1:3" s="7" customFormat="1" x14ac:dyDescent="0.2">
      <c r="A21862" s="6" t="str">
        <f>"APOBEC3G"</f>
        <v>APOBEC3G</v>
      </c>
      <c r="B21862" s="6" t="s">
        <v>1</v>
      </c>
      <c r="C21862" s="6" t="s">
        <v>1</v>
      </c>
    </row>
    <row r="21863" spans="1:3" s="7" customFormat="1" x14ac:dyDescent="0.2">
      <c r="A21863" s="6" t="str">
        <f>"HCG18"</f>
        <v>HCG18</v>
      </c>
      <c r="B21863" s="6" t="s">
        <v>1</v>
      </c>
      <c r="C21863" s="6" t="s">
        <v>1</v>
      </c>
    </row>
    <row r="21864" spans="1:3" s="7" customFormat="1" x14ac:dyDescent="0.2">
      <c r="A21864" s="6" t="str">
        <f>"RNF181"</f>
        <v>RNF181</v>
      </c>
      <c r="B21864" s="6" t="s">
        <v>1</v>
      </c>
      <c r="C21864" s="6" t="s">
        <v>1</v>
      </c>
    </row>
    <row r="21865" spans="1:3" s="7" customFormat="1" x14ac:dyDescent="0.2">
      <c r="A21865" s="6" t="str">
        <f>"ECSIT"</f>
        <v>ECSIT</v>
      </c>
      <c r="B21865" s="6" t="s">
        <v>1</v>
      </c>
      <c r="C21865" s="6" t="s">
        <v>1</v>
      </c>
    </row>
    <row r="21866" spans="1:3" s="7" customFormat="1" x14ac:dyDescent="0.2">
      <c r="A21866" s="6" t="str">
        <f>"FLAD1"</f>
        <v>FLAD1</v>
      </c>
      <c r="B21866" s="6" t="s">
        <v>1</v>
      </c>
      <c r="C21866" s="6" t="s">
        <v>1</v>
      </c>
    </row>
    <row r="21867" spans="1:3" s="7" customFormat="1" x14ac:dyDescent="0.2">
      <c r="A21867" s="6" t="str">
        <f>"ZNF271P"</f>
        <v>ZNF271P</v>
      </c>
      <c r="B21867" s="6" t="s">
        <v>1</v>
      </c>
      <c r="C21867" s="6" t="s">
        <v>1</v>
      </c>
    </row>
    <row r="21868" spans="1:3" s="7" customFormat="1" x14ac:dyDescent="0.2">
      <c r="A21868" s="6" t="str">
        <f>"HCCS"</f>
        <v>HCCS</v>
      </c>
      <c r="B21868" s="6" t="s">
        <v>1</v>
      </c>
      <c r="C21868" s="6" t="s">
        <v>1</v>
      </c>
    </row>
    <row r="21869" spans="1:3" s="7" customFormat="1" x14ac:dyDescent="0.2">
      <c r="A21869" s="6" t="str">
        <f>"FLCN"</f>
        <v>FLCN</v>
      </c>
      <c r="B21869" s="6" t="s">
        <v>1</v>
      </c>
      <c r="C21869" s="6" t="s">
        <v>1</v>
      </c>
    </row>
    <row r="21870" spans="1:3" s="7" customFormat="1" x14ac:dyDescent="0.2">
      <c r="A21870" s="6" t="str">
        <f>"RALGPS1"</f>
        <v>RALGPS1</v>
      </c>
      <c r="B21870" s="6" t="s">
        <v>1</v>
      </c>
      <c r="C21870" s="6" t="s">
        <v>1</v>
      </c>
    </row>
    <row r="21871" spans="1:3" s="7" customFormat="1" x14ac:dyDescent="0.2">
      <c r="A21871" s="6" t="str">
        <f>"NUP50-DT"</f>
        <v>NUP50-DT</v>
      </c>
      <c r="B21871" s="6" t="s">
        <v>1</v>
      </c>
      <c r="C21871" s="6" t="s">
        <v>1</v>
      </c>
    </row>
    <row r="21872" spans="1:3" s="7" customFormat="1" x14ac:dyDescent="0.2">
      <c r="A21872" s="6" t="str">
        <f>"TBC1D22B"</f>
        <v>TBC1D22B</v>
      </c>
      <c r="B21872" s="6" t="s">
        <v>1</v>
      </c>
      <c r="C21872" s="6" t="s">
        <v>1</v>
      </c>
    </row>
    <row r="21873" spans="1:3" s="7" customFormat="1" x14ac:dyDescent="0.2">
      <c r="A21873" s="6" t="str">
        <f>"DENND2C"</f>
        <v>DENND2C</v>
      </c>
      <c r="B21873" s="6" t="s">
        <v>1</v>
      </c>
      <c r="C21873" s="6" t="s">
        <v>1</v>
      </c>
    </row>
    <row r="21874" spans="1:3" s="7" customFormat="1" x14ac:dyDescent="0.2">
      <c r="A21874" s="6" t="str">
        <f>"BAX"</f>
        <v>BAX</v>
      </c>
      <c r="B21874" s="6" t="s">
        <v>1</v>
      </c>
      <c r="C21874" s="6" t="s">
        <v>1</v>
      </c>
    </row>
    <row r="21875" spans="1:3" s="7" customFormat="1" x14ac:dyDescent="0.2">
      <c r="A21875" s="6" t="str">
        <f>"GJB3"</f>
        <v>GJB3</v>
      </c>
      <c r="B21875" s="6" t="s">
        <v>1</v>
      </c>
      <c r="C21875" s="6" t="s">
        <v>1</v>
      </c>
    </row>
    <row r="21876" spans="1:3" s="7" customFormat="1" x14ac:dyDescent="0.2">
      <c r="A21876" s="6" t="str">
        <f>"LNPK"</f>
        <v>LNPK</v>
      </c>
      <c r="B21876" s="6" t="s">
        <v>1</v>
      </c>
      <c r="C21876" s="6" t="s">
        <v>1</v>
      </c>
    </row>
    <row r="21877" spans="1:3" s="7" customFormat="1" x14ac:dyDescent="0.2">
      <c r="A21877" s="6" t="str">
        <f>"ZC3H3"</f>
        <v>ZC3H3</v>
      </c>
      <c r="B21877" s="6" t="s">
        <v>1</v>
      </c>
      <c r="C21877" s="6" t="s">
        <v>1</v>
      </c>
    </row>
    <row r="21878" spans="1:3" s="7" customFormat="1" x14ac:dyDescent="0.2">
      <c r="A21878" s="6" t="str">
        <f>"SACM1L"</f>
        <v>SACM1L</v>
      </c>
      <c r="B21878" s="6" t="s">
        <v>1</v>
      </c>
      <c r="C21878" s="6" t="s">
        <v>1</v>
      </c>
    </row>
    <row r="21879" spans="1:3" s="7" customFormat="1" x14ac:dyDescent="0.2">
      <c r="A21879" s="6" t="str">
        <f>"MRPS33"</f>
        <v>MRPS33</v>
      </c>
      <c r="B21879" s="6" t="s">
        <v>1</v>
      </c>
      <c r="C21879" s="6" t="s">
        <v>1</v>
      </c>
    </row>
    <row r="21880" spans="1:3" s="7" customFormat="1" x14ac:dyDescent="0.2">
      <c r="A21880" s="6" t="str">
        <f>"ADNP2"</f>
        <v>ADNP2</v>
      </c>
      <c r="B21880" s="6" t="s">
        <v>1</v>
      </c>
      <c r="C21880" s="6" t="s">
        <v>1</v>
      </c>
    </row>
    <row r="21881" spans="1:3" s="7" customFormat="1" x14ac:dyDescent="0.2">
      <c r="A21881" s="6" t="str">
        <f>"SHLD2"</f>
        <v>SHLD2</v>
      </c>
      <c r="B21881" s="6" t="s">
        <v>1</v>
      </c>
      <c r="C21881" s="6" t="s">
        <v>1</v>
      </c>
    </row>
    <row r="21882" spans="1:3" s="7" customFormat="1" x14ac:dyDescent="0.2">
      <c r="A21882" s="6" t="str">
        <f>"MRTO4"</f>
        <v>MRTO4</v>
      </c>
      <c r="B21882" s="6" t="s">
        <v>1</v>
      </c>
      <c r="C21882" s="6" t="s">
        <v>1</v>
      </c>
    </row>
    <row r="21883" spans="1:3" s="7" customFormat="1" x14ac:dyDescent="0.2">
      <c r="A21883" s="6" t="str">
        <f>"UGDH-AS1"</f>
        <v>UGDH-AS1</v>
      </c>
      <c r="B21883" s="6" t="s">
        <v>1</v>
      </c>
      <c r="C21883" s="6" t="s">
        <v>1</v>
      </c>
    </row>
    <row r="21884" spans="1:3" s="7" customFormat="1" x14ac:dyDescent="0.2">
      <c r="A21884" s="6" t="str">
        <f>"TBC1D23"</f>
        <v>TBC1D23</v>
      </c>
      <c r="B21884" s="6" t="s">
        <v>1</v>
      </c>
      <c r="C21884" s="6" t="s">
        <v>1</v>
      </c>
    </row>
    <row r="21885" spans="1:3" s="7" customFormat="1" x14ac:dyDescent="0.2">
      <c r="A21885" s="6" t="str">
        <f>"PRKRIP1"</f>
        <v>PRKRIP1</v>
      </c>
      <c r="B21885" s="6" t="s">
        <v>1</v>
      </c>
      <c r="C21885" s="6" t="s">
        <v>1</v>
      </c>
    </row>
    <row r="21886" spans="1:3" s="7" customFormat="1" x14ac:dyDescent="0.2">
      <c r="A21886" s="6" t="str">
        <f>"ZNF263"</f>
        <v>ZNF263</v>
      </c>
      <c r="B21886" s="6" t="s">
        <v>1</v>
      </c>
      <c r="C21886" s="6" t="s">
        <v>1</v>
      </c>
    </row>
    <row r="21887" spans="1:3" s="7" customFormat="1" x14ac:dyDescent="0.2">
      <c r="A21887" s="6" t="str">
        <f>"ZNF268"</f>
        <v>ZNF268</v>
      </c>
      <c r="B21887" s="6" t="s">
        <v>1</v>
      </c>
      <c r="C21887" s="6" t="s">
        <v>1</v>
      </c>
    </row>
    <row r="21888" spans="1:3" s="7" customFormat="1" x14ac:dyDescent="0.2">
      <c r="A21888" s="6" t="str">
        <f>"DESI2"</f>
        <v>DESI2</v>
      </c>
      <c r="B21888" s="6" t="s">
        <v>1</v>
      </c>
      <c r="C21888" s="6" t="s">
        <v>1</v>
      </c>
    </row>
    <row r="21889" spans="1:3" s="7" customFormat="1" x14ac:dyDescent="0.2">
      <c r="A21889" s="6" t="str">
        <f>"STX17"</f>
        <v>STX17</v>
      </c>
      <c r="B21889" s="6" t="s">
        <v>1</v>
      </c>
      <c r="C21889" s="6" t="s">
        <v>1</v>
      </c>
    </row>
    <row r="21890" spans="1:3" s="7" customFormat="1" x14ac:dyDescent="0.2">
      <c r="A21890" s="6" t="str">
        <f>"ECM1"</f>
        <v>ECM1</v>
      </c>
      <c r="B21890" s="6" t="s">
        <v>1</v>
      </c>
      <c r="C21890" s="6" t="s">
        <v>1</v>
      </c>
    </row>
    <row r="21891" spans="1:3" s="7" customFormat="1" x14ac:dyDescent="0.2">
      <c r="A21891" s="6" t="str">
        <f>"IFRD1"</f>
        <v>IFRD1</v>
      </c>
      <c r="B21891" s="6" t="s">
        <v>1</v>
      </c>
      <c r="C21891" s="6" t="s">
        <v>1</v>
      </c>
    </row>
    <row r="21892" spans="1:3" s="7" customFormat="1" x14ac:dyDescent="0.2">
      <c r="A21892" s="6" t="str">
        <f>"GALM"</f>
        <v>GALM</v>
      </c>
      <c r="B21892" s="6" t="s">
        <v>1</v>
      </c>
      <c r="C21892" s="6" t="s">
        <v>1</v>
      </c>
    </row>
    <row r="21893" spans="1:3" s="7" customFormat="1" x14ac:dyDescent="0.2">
      <c r="A21893" s="6" t="str">
        <f>"LINC01002"</f>
        <v>LINC01002</v>
      </c>
      <c r="B21893" s="6" t="s">
        <v>1</v>
      </c>
      <c r="C21893" s="6" t="s">
        <v>1</v>
      </c>
    </row>
    <row r="21894" spans="1:3" s="7" customFormat="1" x14ac:dyDescent="0.2">
      <c r="A21894" s="6" t="str">
        <f>"GRAMD1A"</f>
        <v>GRAMD1A</v>
      </c>
      <c r="B21894" s="6" t="s">
        <v>1</v>
      </c>
      <c r="C21894" s="6" t="s">
        <v>1</v>
      </c>
    </row>
    <row r="21895" spans="1:3" s="7" customFormat="1" x14ac:dyDescent="0.2">
      <c r="A21895" s="6" t="str">
        <f>"PTPN2"</f>
        <v>PTPN2</v>
      </c>
      <c r="B21895" s="6" t="s">
        <v>1</v>
      </c>
      <c r="C21895" s="6" t="s">
        <v>1</v>
      </c>
    </row>
    <row r="21896" spans="1:3" s="7" customFormat="1" x14ac:dyDescent="0.2">
      <c r="A21896" s="6" t="str">
        <f>"CCL5"</f>
        <v>CCL5</v>
      </c>
      <c r="B21896" s="6" t="s">
        <v>1</v>
      </c>
      <c r="C21896" s="6" t="s">
        <v>1</v>
      </c>
    </row>
    <row r="21897" spans="1:3" s="7" customFormat="1" x14ac:dyDescent="0.2">
      <c r="A21897" s="6" t="str">
        <f>"MAFG"</f>
        <v>MAFG</v>
      </c>
      <c r="B21897" s="6" t="s">
        <v>1</v>
      </c>
      <c r="C21897" s="6" t="s">
        <v>1</v>
      </c>
    </row>
    <row r="21898" spans="1:3" s="7" customFormat="1" x14ac:dyDescent="0.2">
      <c r="A21898" s="6" t="str">
        <f>"DERA"</f>
        <v>DERA</v>
      </c>
      <c r="B21898" s="6" t="s">
        <v>1</v>
      </c>
      <c r="C21898" s="6" t="s">
        <v>1</v>
      </c>
    </row>
    <row r="21899" spans="1:3" s="7" customFormat="1" x14ac:dyDescent="0.2">
      <c r="A21899" s="6" t="str">
        <f>"PHGDH"</f>
        <v>PHGDH</v>
      </c>
      <c r="B21899" s="6" t="s">
        <v>1</v>
      </c>
      <c r="C21899" s="6" t="s">
        <v>1</v>
      </c>
    </row>
    <row r="21900" spans="1:3" s="7" customFormat="1" x14ac:dyDescent="0.2">
      <c r="A21900" s="6" t="str">
        <f>"CREM"</f>
        <v>CREM</v>
      </c>
      <c r="B21900" s="6" t="s">
        <v>1</v>
      </c>
      <c r="C21900" s="6" t="s">
        <v>1</v>
      </c>
    </row>
    <row r="21901" spans="1:3" s="7" customFormat="1" x14ac:dyDescent="0.2">
      <c r="A21901" s="6" t="str">
        <f>"ASB1"</f>
        <v>ASB1</v>
      </c>
      <c r="B21901" s="6" t="s">
        <v>1</v>
      </c>
      <c r="C21901" s="6" t="s">
        <v>1</v>
      </c>
    </row>
    <row r="21902" spans="1:3" s="7" customFormat="1" x14ac:dyDescent="0.2">
      <c r="A21902" s="6" t="str">
        <f>"LNX1"</f>
        <v>LNX1</v>
      </c>
      <c r="B21902" s="6" t="s">
        <v>1</v>
      </c>
      <c r="C21902" s="6" t="s">
        <v>1</v>
      </c>
    </row>
    <row r="21903" spans="1:3" s="7" customFormat="1" x14ac:dyDescent="0.2">
      <c r="A21903" s="6" t="str">
        <f>"SLC29A1"</f>
        <v>SLC29A1</v>
      </c>
      <c r="B21903" s="6" t="s">
        <v>1</v>
      </c>
      <c r="C21903" s="6" t="s">
        <v>1</v>
      </c>
    </row>
    <row r="21904" spans="1:3" s="7" customFormat="1" x14ac:dyDescent="0.2">
      <c r="A21904" s="6" t="str">
        <f>"ENTPD3"</f>
        <v>ENTPD3</v>
      </c>
      <c r="B21904" s="6" t="s">
        <v>1</v>
      </c>
      <c r="C21904" s="6" t="s">
        <v>1</v>
      </c>
    </row>
    <row r="21905" spans="1:3" s="7" customFormat="1" x14ac:dyDescent="0.2">
      <c r="A21905" s="6" t="str">
        <f>"NPHP4"</f>
        <v>NPHP4</v>
      </c>
      <c r="B21905" s="6" t="s">
        <v>1</v>
      </c>
      <c r="C21905" s="6" t="s">
        <v>1</v>
      </c>
    </row>
    <row r="21906" spans="1:3" s="7" customFormat="1" x14ac:dyDescent="0.2">
      <c r="A21906" s="6" t="str">
        <f>"BRWD3"</f>
        <v>BRWD3</v>
      </c>
      <c r="B21906" s="6" t="s">
        <v>1</v>
      </c>
      <c r="C21906" s="6" t="s">
        <v>1</v>
      </c>
    </row>
    <row r="21907" spans="1:3" s="7" customFormat="1" x14ac:dyDescent="0.2">
      <c r="A21907" s="6" t="str">
        <f>"TNFRSF10C"</f>
        <v>TNFRSF10C</v>
      </c>
      <c r="B21907" s="6" t="s">
        <v>1</v>
      </c>
      <c r="C21907" s="6" t="s">
        <v>1</v>
      </c>
    </row>
    <row r="21908" spans="1:3" s="7" customFormat="1" x14ac:dyDescent="0.2">
      <c r="A21908" s="6" t="str">
        <f>"MAGOH"</f>
        <v>MAGOH</v>
      </c>
      <c r="B21908" s="6" t="s">
        <v>1</v>
      </c>
      <c r="C21908" s="6" t="s">
        <v>1</v>
      </c>
    </row>
    <row r="21909" spans="1:3" s="7" customFormat="1" x14ac:dyDescent="0.2">
      <c r="A21909" s="6" t="str">
        <f>"MRPS6"</f>
        <v>MRPS6</v>
      </c>
      <c r="B21909" s="6" t="s">
        <v>1</v>
      </c>
      <c r="C21909" s="6" t="s">
        <v>1</v>
      </c>
    </row>
    <row r="21910" spans="1:3" s="7" customFormat="1" x14ac:dyDescent="0.2">
      <c r="A21910" s="6" t="str">
        <f>"DENND2D"</f>
        <v>DENND2D</v>
      </c>
      <c r="B21910" s="6" t="s">
        <v>1</v>
      </c>
      <c r="C21910" s="6" t="s">
        <v>1</v>
      </c>
    </row>
    <row r="21911" spans="1:3" s="7" customFormat="1" x14ac:dyDescent="0.2">
      <c r="A21911" s="6" t="str">
        <f>"FAAP100"</f>
        <v>FAAP100</v>
      </c>
      <c r="B21911" s="6" t="s">
        <v>1</v>
      </c>
      <c r="C21911" s="6" t="s">
        <v>1</v>
      </c>
    </row>
    <row r="21912" spans="1:3" s="7" customFormat="1" x14ac:dyDescent="0.2">
      <c r="A21912" s="6" t="str">
        <f>"FAIM"</f>
        <v>FAIM</v>
      </c>
      <c r="B21912" s="6" t="s">
        <v>1</v>
      </c>
      <c r="C21912" s="6" t="s">
        <v>1</v>
      </c>
    </row>
    <row r="21913" spans="1:3" s="7" customFormat="1" x14ac:dyDescent="0.2">
      <c r="A21913" s="6" t="str">
        <f>"LEMD3"</f>
        <v>LEMD3</v>
      </c>
      <c r="B21913" s="6" t="s">
        <v>1</v>
      </c>
      <c r="C21913" s="6" t="s">
        <v>1</v>
      </c>
    </row>
    <row r="21914" spans="1:3" s="7" customFormat="1" x14ac:dyDescent="0.2">
      <c r="A21914" s="6" t="str">
        <f>"ZNF282"</f>
        <v>ZNF282</v>
      </c>
      <c r="B21914" s="6" t="s">
        <v>1</v>
      </c>
      <c r="C21914" s="6" t="s">
        <v>1</v>
      </c>
    </row>
    <row r="21915" spans="1:3" s="7" customFormat="1" x14ac:dyDescent="0.2">
      <c r="A21915" s="6" t="str">
        <f>"UCA1"</f>
        <v>UCA1</v>
      </c>
      <c r="B21915" s="6" t="s">
        <v>1</v>
      </c>
      <c r="C21915" s="6" t="s">
        <v>1</v>
      </c>
    </row>
    <row r="21916" spans="1:3" s="7" customFormat="1" x14ac:dyDescent="0.2">
      <c r="A21916" s="6" t="str">
        <f>"FZD5"</f>
        <v>FZD5</v>
      </c>
      <c r="B21916" s="6" t="s">
        <v>1</v>
      </c>
      <c r="C21916" s="6" t="s">
        <v>1</v>
      </c>
    </row>
    <row r="21917" spans="1:3" s="7" customFormat="1" x14ac:dyDescent="0.2">
      <c r="A21917" s="6" t="str">
        <f>"GALNT10"</f>
        <v>GALNT10</v>
      </c>
      <c r="B21917" s="6" t="s">
        <v>1</v>
      </c>
      <c r="C21917" s="6" t="s">
        <v>1</v>
      </c>
    </row>
    <row r="21918" spans="1:3" s="7" customFormat="1" x14ac:dyDescent="0.2">
      <c r="A21918" s="6" t="str">
        <f>"CASP2"</f>
        <v>CASP2</v>
      </c>
      <c r="B21918" s="6" t="s">
        <v>1</v>
      </c>
      <c r="C21918" s="6" t="s">
        <v>1</v>
      </c>
    </row>
    <row r="21919" spans="1:3" s="7" customFormat="1" x14ac:dyDescent="0.2">
      <c r="A21919" s="6" t="str">
        <f>"GADD45A"</f>
        <v>GADD45A</v>
      </c>
      <c r="B21919" s="6" t="s">
        <v>1</v>
      </c>
      <c r="C21919" s="6" t="s">
        <v>1</v>
      </c>
    </row>
    <row r="21920" spans="1:3" s="7" customFormat="1" x14ac:dyDescent="0.2">
      <c r="A21920" s="6" t="str">
        <f>"CRTC1"</f>
        <v>CRTC1</v>
      </c>
      <c r="B21920" s="6" t="s">
        <v>1</v>
      </c>
      <c r="C21920" s="6" t="s">
        <v>1</v>
      </c>
    </row>
    <row r="21921" spans="1:3" s="7" customFormat="1" x14ac:dyDescent="0.2">
      <c r="A21921" s="6" t="str">
        <f>"FLYWCH2"</f>
        <v>FLYWCH2</v>
      </c>
      <c r="B21921" s="6" t="s">
        <v>1</v>
      </c>
      <c r="C21921" s="6" t="s">
        <v>1</v>
      </c>
    </row>
    <row r="21922" spans="1:3" s="7" customFormat="1" x14ac:dyDescent="0.2">
      <c r="A21922" s="6" t="str">
        <f>"BTBD10"</f>
        <v>BTBD10</v>
      </c>
      <c r="B21922" s="6" t="s">
        <v>1</v>
      </c>
      <c r="C21922" s="6" t="s">
        <v>1</v>
      </c>
    </row>
    <row r="21923" spans="1:3" s="7" customFormat="1" x14ac:dyDescent="0.2">
      <c r="A21923" s="6" t="str">
        <f>"MLST8"</f>
        <v>MLST8</v>
      </c>
      <c r="B21923" s="6" t="s">
        <v>1</v>
      </c>
      <c r="C21923" s="6" t="s">
        <v>1</v>
      </c>
    </row>
    <row r="21924" spans="1:3" s="7" customFormat="1" x14ac:dyDescent="0.2">
      <c r="A21924" s="6" t="str">
        <f>"ENY2"</f>
        <v>ENY2</v>
      </c>
      <c r="B21924" s="6" t="s">
        <v>1</v>
      </c>
      <c r="C21924" s="6" t="s">
        <v>1</v>
      </c>
    </row>
    <row r="21925" spans="1:3" s="7" customFormat="1" x14ac:dyDescent="0.2">
      <c r="A21925" s="6" t="str">
        <f>"TBC1D10A"</f>
        <v>TBC1D10A</v>
      </c>
      <c r="B21925" s="6" t="s">
        <v>1</v>
      </c>
      <c r="C21925" s="6" t="s">
        <v>1</v>
      </c>
    </row>
    <row r="21926" spans="1:3" s="7" customFormat="1" x14ac:dyDescent="0.2">
      <c r="A21926" s="6" t="str">
        <f>"NOSIP"</f>
        <v>NOSIP</v>
      </c>
      <c r="B21926" s="6" t="s">
        <v>1</v>
      </c>
      <c r="C21926" s="6" t="s">
        <v>1</v>
      </c>
    </row>
    <row r="21927" spans="1:3" s="7" customFormat="1" x14ac:dyDescent="0.2">
      <c r="A21927" s="6" t="str">
        <f>"GLRX"</f>
        <v>GLRX</v>
      </c>
      <c r="B21927" s="6" t="s">
        <v>1</v>
      </c>
      <c r="C21927" s="6" t="s">
        <v>1</v>
      </c>
    </row>
    <row r="21928" spans="1:3" s="7" customFormat="1" x14ac:dyDescent="0.2">
      <c r="A21928" s="6" t="str">
        <f>"CARD19"</f>
        <v>CARD19</v>
      </c>
      <c r="B21928" s="6" t="s">
        <v>1</v>
      </c>
      <c r="C21928" s="6" t="s">
        <v>1</v>
      </c>
    </row>
    <row r="21929" spans="1:3" s="7" customFormat="1" x14ac:dyDescent="0.2">
      <c r="A21929" s="6" t="str">
        <f>"ECD"</f>
        <v>ECD</v>
      </c>
      <c r="B21929" s="6" t="s">
        <v>1</v>
      </c>
      <c r="C21929" s="6" t="s">
        <v>1</v>
      </c>
    </row>
    <row r="21930" spans="1:3" s="7" customFormat="1" x14ac:dyDescent="0.2">
      <c r="A21930" s="6" t="str">
        <f>"IFT20"</f>
        <v>IFT20</v>
      </c>
      <c r="B21930" s="6" t="s">
        <v>1</v>
      </c>
      <c r="C21930" s="6" t="s">
        <v>1</v>
      </c>
    </row>
    <row r="21931" spans="1:3" s="7" customFormat="1" x14ac:dyDescent="0.2">
      <c r="A21931" s="6" t="str">
        <f>"ZNF276"</f>
        <v>ZNF276</v>
      </c>
      <c r="B21931" s="6" t="s">
        <v>1</v>
      </c>
      <c r="C21931" s="6" t="s">
        <v>1</v>
      </c>
    </row>
    <row r="21932" spans="1:3" s="7" customFormat="1" x14ac:dyDescent="0.2">
      <c r="A21932" s="6" t="str">
        <f>"CNOT4"</f>
        <v>CNOT4</v>
      </c>
      <c r="B21932" s="6" t="s">
        <v>1</v>
      </c>
      <c r="C21932" s="6" t="s">
        <v>1</v>
      </c>
    </row>
    <row r="21933" spans="1:3" s="7" customFormat="1" x14ac:dyDescent="0.2">
      <c r="A21933" s="6" t="str">
        <f>"APOBR"</f>
        <v>APOBR</v>
      </c>
      <c r="B21933" s="6" t="s">
        <v>1</v>
      </c>
      <c r="C21933" s="6" t="s">
        <v>1</v>
      </c>
    </row>
    <row r="21934" spans="1:3" s="7" customFormat="1" x14ac:dyDescent="0.2">
      <c r="A21934" s="6" t="str">
        <f>"DERL2"</f>
        <v>DERL2</v>
      </c>
      <c r="B21934" s="6" t="s">
        <v>1</v>
      </c>
      <c r="C21934" s="6" t="s">
        <v>1</v>
      </c>
    </row>
    <row r="21935" spans="1:3" s="7" customFormat="1" x14ac:dyDescent="0.2">
      <c r="A21935" s="6" t="str">
        <f>"TRERF1"</f>
        <v>TRERF1</v>
      </c>
      <c r="B21935" s="6" t="s">
        <v>1</v>
      </c>
      <c r="C21935" s="6" t="s">
        <v>1</v>
      </c>
    </row>
    <row r="21936" spans="1:3" s="7" customFormat="1" x14ac:dyDescent="0.2">
      <c r="A21936" s="6" t="str">
        <f>"MZF1"</f>
        <v>MZF1</v>
      </c>
      <c r="B21936" s="6" t="s">
        <v>1</v>
      </c>
      <c r="C21936" s="6" t="s">
        <v>1</v>
      </c>
    </row>
    <row r="21937" spans="1:3" s="7" customFormat="1" x14ac:dyDescent="0.2">
      <c r="A21937" s="6" t="str">
        <f>"CCM2"</f>
        <v>CCM2</v>
      </c>
      <c r="B21937" s="6" t="s">
        <v>1</v>
      </c>
      <c r="C21937" s="6" t="s">
        <v>1</v>
      </c>
    </row>
    <row r="21938" spans="1:3" s="7" customFormat="1" x14ac:dyDescent="0.2">
      <c r="A21938" s="6" t="str">
        <f>"STXBP5"</f>
        <v>STXBP5</v>
      </c>
      <c r="B21938" s="6" t="s">
        <v>1</v>
      </c>
      <c r="C21938" s="6" t="s">
        <v>1</v>
      </c>
    </row>
    <row r="21939" spans="1:3" s="7" customFormat="1" x14ac:dyDescent="0.2">
      <c r="A21939" s="6" t="str">
        <f>"BAHCC1"</f>
        <v>BAHCC1</v>
      </c>
      <c r="B21939" s="6" t="s">
        <v>1</v>
      </c>
      <c r="C21939" s="6" t="s">
        <v>1</v>
      </c>
    </row>
    <row r="21940" spans="1:3" s="7" customFormat="1" x14ac:dyDescent="0.2">
      <c r="A21940" s="6" t="str">
        <f>"PCSK5"</f>
        <v>PCSK5</v>
      </c>
      <c r="B21940" s="6" t="s">
        <v>1</v>
      </c>
      <c r="C21940" s="6" t="s">
        <v>1</v>
      </c>
    </row>
    <row r="21941" spans="1:3" s="7" customFormat="1" x14ac:dyDescent="0.2">
      <c r="A21941" s="6" t="str">
        <f>"MED4"</f>
        <v>MED4</v>
      </c>
      <c r="B21941" s="6" t="s">
        <v>1</v>
      </c>
      <c r="C21941" s="6" t="s">
        <v>1</v>
      </c>
    </row>
    <row r="21942" spans="1:3" s="7" customFormat="1" x14ac:dyDescent="0.2">
      <c r="A21942" s="6" t="str">
        <f>"TTLL4"</f>
        <v>TTLL4</v>
      </c>
      <c r="B21942" s="6" t="s">
        <v>1</v>
      </c>
      <c r="C21942" s="6" t="s">
        <v>1</v>
      </c>
    </row>
    <row r="21943" spans="1:3" s="7" customFormat="1" x14ac:dyDescent="0.2">
      <c r="A21943" s="6" t="str">
        <f>"MCUR1"</f>
        <v>MCUR1</v>
      </c>
      <c r="B21943" s="6" t="s">
        <v>1</v>
      </c>
      <c r="C21943" s="6" t="s">
        <v>1</v>
      </c>
    </row>
    <row r="21944" spans="1:3" s="7" customFormat="1" x14ac:dyDescent="0.2">
      <c r="A21944" s="6" t="str">
        <f>"VDR"</f>
        <v>VDR</v>
      </c>
      <c r="B21944" s="6" t="s">
        <v>1</v>
      </c>
      <c r="C21944" s="6" t="s">
        <v>1</v>
      </c>
    </row>
    <row r="21945" spans="1:3" s="7" customFormat="1" x14ac:dyDescent="0.2">
      <c r="A21945" s="6" t="str">
        <f>"SUCLA2"</f>
        <v>SUCLA2</v>
      </c>
      <c r="B21945" s="6" t="s">
        <v>1</v>
      </c>
      <c r="C21945" s="6" t="s">
        <v>1</v>
      </c>
    </row>
    <row r="21946" spans="1:3" s="7" customFormat="1" x14ac:dyDescent="0.2">
      <c r="A21946" s="6" t="str">
        <f>"ALG3"</f>
        <v>ALG3</v>
      </c>
      <c r="B21946" s="6" t="s">
        <v>1</v>
      </c>
      <c r="C21946" s="6" t="s">
        <v>1</v>
      </c>
    </row>
    <row r="21947" spans="1:3" s="7" customFormat="1" x14ac:dyDescent="0.2">
      <c r="A21947" s="6" t="str">
        <f>"TGFBRAP1"</f>
        <v>TGFBRAP1</v>
      </c>
      <c r="B21947" s="6" t="s">
        <v>1</v>
      </c>
      <c r="C21947" s="6" t="s">
        <v>1</v>
      </c>
    </row>
    <row r="21948" spans="1:3" s="7" customFormat="1" x14ac:dyDescent="0.2">
      <c r="A21948" s="6" t="str">
        <f>"ZSWIM6"</f>
        <v>ZSWIM6</v>
      </c>
      <c r="B21948" s="6" t="s">
        <v>1</v>
      </c>
      <c r="C21948" s="6" t="s">
        <v>1</v>
      </c>
    </row>
    <row r="21949" spans="1:3" s="7" customFormat="1" x14ac:dyDescent="0.2">
      <c r="A21949" s="6" t="str">
        <f>"NPC1"</f>
        <v>NPC1</v>
      </c>
      <c r="B21949" s="6" t="s">
        <v>1</v>
      </c>
      <c r="C21949" s="6" t="s">
        <v>1</v>
      </c>
    </row>
    <row r="21950" spans="1:3" s="7" customFormat="1" x14ac:dyDescent="0.2">
      <c r="A21950" s="6" t="str">
        <f>"DNAJC2"</f>
        <v>DNAJC2</v>
      </c>
      <c r="B21950" s="6" t="s">
        <v>1</v>
      </c>
      <c r="C21950" s="6" t="s">
        <v>1</v>
      </c>
    </row>
    <row r="21951" spans="1:3" s="7" customFormat="1" x14ac:dyDescent="0.2">
      <c r="A21951" s="6" t="str">
        <f>"KLHDC7B"</f>
        <v>KLHDC7B</v>
      </c>
      <c r="B21951" s="6" t="s">
        <v>1</v>
      </c>
      <c r="C21951" s="6" t="s">
        <v>1</v>
      </c>
    </row>
    <row r="21952" spans="1:3" s="7" customFormat="1" x14ac:dyDescent="0.2">
      <c r="A21952" s="6" t="str">
        <f>"UCK1"</f>
        <v>UCK1</v>
      </c>
      <c r="B21952" s="6" t="s">
        <v>1</v>
      </c>
      <c r="C21952" s="6" t="s">
        <v>1</v>
      </c>
    </row>
    <row r="21953" spans="1:3" s="7" customFormat="1" x14ac:dyDescent="0.2">
      <c r="A21953" s="6" t="str">
        <f>"GRAMD1B"</f>
        <v>GRAMD1B</v>
      </c>
      <c r="B21953" s="6" t="s">
        <v>1</v>
      </c>
      <c r="C21953" s="6" t="s">
        <v>1</v>
      </c>
    </row>
    <row r="21954" spans="1:3" s="7" customFormat="1" x14ac:dyDescent="0.2">
      <c r="A21954" s="6" t="str">
        <f>"PLEKHJ1"</f>
        <v>PLEKHJ1</v>
      </c>
      <c r="B21954" s="6" t="s">
        <v>1</v>
      </c>
      <c r="C21954" s="6" t="s">
        <v>1</v>
      </c>
    </row>
    <row r="21955" spans="1:3" s="7" customFormat="1" x14ac:dyDescent="0.2">
      <c r="A21955" s="6" t="str">
        <f>"INPP5K"</f>
        <v>INPP5K</v>
      </c>
      <c r="B21955" s="6" t="s">
        <v>1</v>
      </c>
      <c r="C21955" s="6" t="s">
        <v>1</v>
      </c>
    </row>
    <row r="21956" spans="1:3" s="7" customFormat="1" x14ac:dyDescent="0.2">
      <c r="A21956" s="6" t="str">
        <f>"CARD11"</f>
        <v>CARD11</v>
      </c>
      <c r="B21956" s="6" t="s">
        <v>1</v>
      </c>
      <c r="C21956" s="6" t="s">
        <v>1</v>
      </c>
    </row>
    <row r="21957" spans="1:3" s="7" customFormat="1" x14ac:dyDescent="0.2">
      <c r="A21957" s="6" t="str">
        <f>"HNRNPLL"</f>
        <v>HNRNPLL</v>
      </c>
      <c r="B21957" s="6" t="s">
        <v>1</v>
      </c>
      <c r="C21957" s="6" t="s">
        <v>1</v>
      </c>
    </row>
    <row r="21958" spans="1:3" s="7" customFormat="1" x14ac:dyDescent="0.2">
      <c r="A21958" s="6" t="str">
        <f>"APPL1"</f>
        <v>APPL1</v>
      </c>
      <c r="B21958" s="6" t="s">
        <v>1</v>
      </c>
      <c r="C21958" s="6" t="s">
        <v>1</v>
      </c>
    </row>
    <row r="21959" spans="1:3" s="7" customFormat="1" x14ac:dyDescent="0.2">
      <c r="A21959" s="6" t="str">
        <f>"BRI3BP"</f>
        <v>BRI3BP</v>
      </c>
      <c r="B21959" s="6" t="s">
        <v>1</v>
      </c>
      <c r="C21959" s="6" t="s">
        <v>1</v>
      </c>
    </row>
    <row r="21960" spans="1:3" s="7" customFormat="1" x14ac:dyDescent="0.2">
      <c r="A21960" s="6" t="str">
        <f>"PHLDA3"</f>
        <v>PHLDA3</v>
      </c>
      <c r="B21960" s="6" t="s">
        <v>1</v>
      </c>
      <c r="C21960" s="6" t="s">
        <v>1</v>
      </c>
    </row>
    <row r="21961" spans="1:3" s="7" customFormat="1" x14ac:dyDescent="0.2">
      <c r="A21961" s="6" t="str">
        <f>"CHMP7"</f>
        <v>CHMP7</v>
      </c>
      <c r="B21961" s="6" t="s">
        <v>1</v>
      </c>
      <c r="C21961" s="6" t="s">
        <v>1</v>
      </c>
    </row>
    <row r="21962" spans="1:3" s="7" customFormat="1" x14ac:dyDescent="0.2">
      <c r="A21962" s="6" t="str">
        <f>"DENND4A"</f>
        <v>DENND4A</v>
      </c>
      <c r="B21962" s="6" t="s">
        <v>1</v>
      </c>
      <c r="C21962" s="6" t="s">
        <v>1</v>
      </c>
    </row>
    <row r="21963" spans="1:3" s="7" customFormat="1" x14ac:dyDescent="0.2">
      <c r="A21963" s="6" t="str">
        <f>"ASPSCR1"</f>
        <v>ASPSCR1</v>
      </c>
      <c r="B21963" s="6" t="s">
        <v>1</v>
      </c>
      <c r="C21963" s="6" t="s">
        <v>1</v>
      </c>
    </row>
    <row r="21964" spans="1:3" s="7" customFormat="1" x14ac:dyDescent="0.2">
      <c r="A21964" s="6" t="str">
        <f>"SELENOK"</f>
        <v>SELENOK</v>
      </c>
      <c r="B21964" s="6" t="s">
        <v>1</v>
      </c>
      <c r="C21964" s="6" t="s">
        <v>1</v>
      </c>
    </row>
    <row r="21965" spans="1:3" s="7" customFormat="1" x14ac:dyDescent="0.2">
      <c r="A21965" s="6" t="str">
        <f>"CASP1"</f>
        <v>CASP1</v>
      </c>
      <c r="B21965" s="6" t="s">
        <v>1</v>
      </c>
      <c r="C21965" s="6" t="s">
        <v>1</v>
      </c>
    </row>
    <row r="21966" spans="1:3" s="7" customFormat="1" x14ac:dyDescent="0.2">
      <c r="A21966" s="6" t="str">
        <f>"ZC2HC1A"</f>
        <v>ZC2HC1A</v>
      </c>
      <c r="B21966" s="6" t="s">
        <v>1</v>
      </c>
      <c r="C21966" s="6" t="s">
        <v>1</v>
      </c>
    </row>
    <row r="21967" spans="1:3" s="7" customFormat="1" x14ac:dyDescent="0.2">
      <c r="A21967" s="6" t="str">
        <f>"CNOT10"</f>
        <v>CNOT10</v>
      </c>
      <c r="B21967" s="6" t="s">
        <v>1</v>
      </c>
      <c r="C21967" s="6" t="s">
        <v>1</v>
      </c>
    </row>
    <row r="21968" spans="1:3" s="7" customFormat="1" x14ac:dyDescent="0.2">
      <c r="A21968" s="6" t="str">
        <f>"PTP4A1"</f>
        <v>PTP4A1</v>
      </c>
      <c r="B21968" s="6" t="s">
        <v>1</v>
      </c>
      <c r="C21968" s="6" t="s">
        <v>1</v>
      </c>
    </row>
    <row r="21969" spans="1:3" s="7" customFormat="1" x14ac:dyDescent="0.2">
      <c r="A21969" s="6" t="str">
        <f>"BRAF"</f>
        <v>BRAF</v>
      </c>
      <c r="B21969" s="6" t="s">
        <v>1</v>
      </c>
      <c r="C21969" s="6" t="s">
        <v>1</v>
      </c>
    </row>
    <row r="21970" spans="1:3" s="7" customFormat="1" x14ac:dyDescent="0.2">
      <c r="A21970" s="6" t="str">
        <f>"PHPT1"</f>
        <v>PHPT1</v>
      </c>
      <c r="B21970" s="6" t="s">
        <v>1</v>
      </c>
      <c r="C21970" s="6" t="s">
        <v>1</v>
      </c>
    </row>
    <row r="21971" spans="1:3" s="7" customFormat="1" x14ac:dyDescent="0.2">
      <c r="A21971" s="6" t="str">
        <f>"LNX2"</f>
        <v>LNX2</v>
      </c>
      <c r="B21971" s="6" t="s">
        <v>1</v>
      </c>
      <c r="C21971" s="6" t="s">
        <v>1</v>
      </c>
    </row>
    <row r="21972" spans="1:3" s="7" customFormat="1" x14ac:dyDescent="0.2">
      <c r="A21972" s="6" t="str">
        <f>"SUGP1"</f>
        <v>SUGP1</v>
      </c>
      <c r="B21972" s="6" t="s">
        <v>1</v>
      </c>
      <c r="C21972" s="6" t="s">
        <v>1</v>
      </c>
    </row>
    <row r="21973" spans="1:3" s="7" customFormat="1" x14ac:dyDescent="0.2">
      <c r="A21973" s="6" t="str">
        <f>"FAM83G"</f>
        <v>FAM83G</v>
      </c>
      <c r="B21973" s="6" t="s">
        <v>1</v>
      </c>
      <c r="C21973" s="6" t="s">
        <v>1</v>
      </c>
    </row>
    <row r="21974" spans="1:3" s="7" customFormat="1" x14ac:dyDescent="0.2">
      <c r="A21974" s="6" t="str">
        <f>"EYA4"</f>
        <v>EYA4</v>
      </c>
      <c r="B21974" s="6" t="s">
        <v>1</v>
      </c>
      <c r="C21974" s="6" t="s">
        <v>1</v>
      </c>
    </row>
    <row r="21975" spans="1:3" s="7" customFormat="1" x14ac:dyDescent="0.2">
      <c r="A21975" s="6" t="str">
        <f>"UBXN2B"</f>
        <v>UBXN2B</v>
      </c>
      <c r="B21975" s="6" t="s">
        <v>1</v>
      </c>
      <c r="C21975" s="6" t="s">
        <v>1</v>
      </c>
    </row>
    <row r="21976" spans="1:3" s="7" customFormat="1" x14ac:dyDescent="0.2">
      <c r="A21976" s="6" t="str">
        <f>"REV1"</f>
        <v>REV1</v>
      </c>
      <c r="B21976" s="6" t="s">
        <v>1</v>
      </c>
      <c r="C21976" s="6" t="s">
        <v>1</v>
      </c>
    </row>
    <row r="21977" spans="1:3" s="7" customFormat="1" x14ac:dyDescent="0.2">
      <c r="A21977" s="6" t="str">
        <f>"INTS5"</f>
        <v>INTS5</v>
      </c>
      <c r="B21977" s="6" t="s">
        <v>1</v>
      </c>
      <c r="C21977" s="6" t="s">
        <v>1</v>
      </c>
    </row>
    <row r="21978" spans="1:3" s="7" customFormat="1" x14ac:dyDescent="0.2">
      <c r="A21978" s="6" t="str">
        <f>"ASB8"</f>
        <v>ASB8</v>
      </c>
      <c r="B21978" s="6" t="s">
        <v>1</v>
      </c>
      <c r="C21978" s="6" t="s">
        <v>1</v>
      </c>
    </row>
    <row r="21979" spans="1:3" s="7" customFormat="1" x14ac:dyDescent="0.2">
      <c r="A21979" s="6" t="str">
        <f>"PHF23"</f>
        <v>PHF23</v>
      </c>
      <c r="B21979" s="6" t="s">
        <v>1</v>
      </c>
      <c r="C21979" s="6" t="s">
        <v>1</v>
      </c>
    </row>
    <row r="21980" spans="1:3" s="7" customFormat="1" x14ac:dyDescent="0.2">
      <c r="A21980" s="6" t="str">
        <f>"OCRL"</f>
        <v>OCRL</v>
      </c>
      <c r="B21980" s="6" t="s">
        <v>1</v>
      </c>
      <c r="C21980" s="6" t="s">
        <v>1</v>
      </c>
    </row>
    <row r="21981" spans="1:3" s="7" customFormat="1" x14ac:dyDescent="0.2">
      <c r="A21981" s="6" t="str">
        <f>"PDE12"</f>
        <v>PDE12</v>
      </c>
      <c r="B21981" s="6" t="s">
        <v>1</v>
      </c>
      <c r="C21981" s="6" t="s">
        <v>1</v>
      </c>
    </row>
    <row r="21982" spans="1:3" s="7" customFormat="1" x14ac:dyDescent="0.2">
      <c r="A21982" s="6" t="str">
        <f>"MRPS5"</f>
        <v>MRPS5</v>
      </c>
      <c r="B21982" s="6" t="s">
        <v>1</v>
      </c>
      <c r="C21982" s="6" t="s">
        <v>1</v>
      </c>
    </row>
    <row r="21983" spans="1:3" s="7" customFormat="1" x14ac:dyDescent="0.2">
      <c r="A21983" s="6" t="str">
        <f>"IFRD2"</f>
        <v>IFRD2</v>
      </c>
      <c r="B21983" s="6" t="s">
        <v>1</v>
      </c>
      <c r="C21983" s="6" t="s">
        <v>1</v>
      </c>
    </row>
    <row r="21984" spans="1:3" s="7" customFormat="1" x14ac:dyDescent="0.2">
      <c r="A21984" s="6" t="str">
        <f>"CASP8"</f>
        <v>CASP8</v>
      </c>
      <c r="B21984" s="6" t="s">
        <v>1</v>
      </c>
      <c r="C21984" s="6" t="s">
        <v>1</v>
      </c>
    </row>
    <row r="21985" spans="1:3" s="7" customFormat="1" x14ac:dyDescent="0.2">
      <c r="A21985" s="6" t="str">
        <f>"DGAT1"</f>
        <v>DGAT1</v>
      </c>
      <c r="B21985" s="6" t="s">
        <v>1</v>
      </c>
      <c r="C21985" s="6" t="s">
        <v>1</v>
      </c>
    </row>
    <row r="21986" spans="1:3" s="7" customFormat="1" x14ac:dyDescent="0.2">
      <c r="A21986" s="6" t="str">
        <f>"EMC6"</f>
        <v>EMC6</v>
      </c>
      <c r="B21986" s="6" t="s">
        <v>1</v>
      </c>
      <c r="C21986" s="6" t="s">
        <v>1</v>
      </c>
    </row>
    <row r="21987" spans="1:3" s="7" customFormat="1" x14ac:dyDescent="0.2">
      <c r="A21987" s="6" t="str">
        <f>"MRPS18A"</f>
        <v>MRPS18A</v>
      </c>
      <c r="B21987" s="6" t="s">
        <v>1</v>
      </c>
      <c r="C21987" s="6" t="s">
        <v>1</v>
      </c>
    </row>
    <row r="21988" spans="1:3" s="7" customFormat="1" x14ac:dyDescent="0.2">
      <c r="A21988" s="6" t="str">
        <f>"DENND3"</f>
        <v>DENND3</v>
      </c>
      <c r="B21988" s="6" t="s">
        <v>1</v>
      </c>
      <c r="C21988" s="6" t="s">
        <v>1</v>
      </c>
    </row>
    <row r="21989" spans="1:3" s="7" customFormat="1" x14ac:dyDescent="0.2">
      <c r="A21989" s="6" t="str">
        <f>"CRNDE"</f>
        <v>CRNDE</v>
      </c>
      <c r="B21989" s="6" t="s">
        <v>1</v>
      </c>
      <c r="C21989" s="6" t="s">
        <v>1</v>
      </c>
    </row>
    <row r="21990" spans="1:3" s="7" customFormat="1" x14ac:dyDescent="0.2">
      <c r="A21990" s="6" t="str">
        <f>"PLEKHH3"</f>
        <v>PLEKHH3</v>
      </c>
      <c r="B21990" s="6" t="s">
        <v>1</v>
      </c>
      <c r="C21990" s="6" t="s">
        <v>1</v>
      </c>
    </row>
    <row r="21991" spans="1:3" s="7" customFormat="1" x14ac:dyDescent="0.2">
      <c r="A21991" s="6" t="str">
        <f>"MAML3"</f>
        <v>MAML3</v>
      </c>
      <c r="B21991" s="6" t="s">
        <v>1</v>
      </c>
      <c r="C21991" s="6" t="s">
        <v>1</v>
      </c>
    </row>
    <row r="21992" spans="1:3" s="7" customFormat="1" x14ac:dyDescent="0.2">
      <c r="A21992" s="6" t="str">
        <f>"GRAMD1C"</f>
        <v>GRAMD1C</v>
      </c>
      <c r="B21992" s="6" t="s">
        <v>1</v>
      </c>
      <c r="C21992" s="6" t="s">
        <v>1</v>
      </c>
    </row>
    <row r="21993" spans="1:3" s="7" customFormat="1" x14ac:dyDescent="0.2">
      <c r="A21993" s="6" t="str">
        <f>"NUP58"</f>
        <v>NUP58</v>
      </c>
      <c r="B21993" s="6" t="s">
        <v>1</v>
      </c>
      <c r="C21993" s="6" t="s">
        <v>1</v>
      </c>
    </row>
    <row r="21994" spans="1:3" s="7" customFormat="1" x14ac:dyDescent="0.2">
      <c r="A21994" s="6" t="str">
        <f>"REPS1"</f>
        <v>REPS1</v>
      </c>
      <c r="B21994" s="6" t="s">
        <v>1</v>
      </c>
      <c r="C21994" s="6" t="s">
        <v>1</v>
      </c>
    </row>
    <row r="21995" spans="1:3" s="7" customFormat="1" x14ac:dyDescent="0.2">
      <c r="A21995" s="6" t="str">
        <f>"CROT"</f>
        <v>CROT</v>
      </c>
      <c r="B21995" s="6" t="s">
        <v>1</v>
      </c>
      <c r="C21995" s="6" t="s">
        <v>1</v>
      </c>
    </row>
    <row r="21996" spans="1:3" s="7" customFormat="1" x14ac:dyDescent="0.2">
      <c r="A21996" s="6" t="str">
        <f>"ADM"</f>
        <v>ADM</v>
      </c>
      <c r="B21996" s="6" t="s">
        <v>1</v>
      </c>
      <c r="C21996" s="6" t="s">
        <v>1</v>
      </c>
    </row>
    <row r="21997" spans="1:3" s="7" customFormat="1" x14ac:dyDescent="0.2">
      <c r="A21997" s="6" t="str">
        <f>"PPARA"</f>
        <v>PPARA</v>
      </c>
      <c r="B21997" s="6" t="s">
        <v>1</v>
      </c>
      <c r="C21997" s="6" t="s">
        <v>1</v>
      </c>
    </row>
    <row r="21998" spans="1:3" s="7" customFormat="1" x14ac:dyDescent="0.2">
      <c r="A21998" s="6" t="str">
        <f>"CCNG2"</f>
        <v>CCNG2</v>
      </c>
      <c r="B21998" s="6" t="s">
        <v>1</v>
      </c>
      <c r="C21998" s="6" t="s">
        <v>1</v>
      </c>
    </row>
    <row r="21999" spans="1:3" s="7" customFormat="1" x14ac:dyDescent="0.2">
      <c r="A21999" s="6" t="str">
        <f>"BRAT1"</f>
        <v>BRAT1</v>
      </c>
      <c r="B21999" s="6" t="s">
        <v>1</v>
      </c>
      <c r="C21999" s="6" t="s">
        <v>1</v>
      </c>
    </row>
    <row r="22000" spans="1:3" s="7" customFormat="1" x14ac:dyDescent="0.2">
      <c r="A22000" s="6" t="str">
        <f>"COA3"</f>
        <v>COA3</v>
      </c>
      <c r="B22000" s="6" t="s">
        <v>1</v>
      </c>
      <c r="C22000" s="6" t="s">
        <v>1</v>
      </c>
    </row>
    <row r="22001" spans="1:3" s="7" customFormat="1" x14ac:dyDescent="0.2">
      <c r="A22001" s="6" t="str">
        <f>"F2R"</f>
        <v>F2R</v>
      </c>
      <c r="B22001" s="6" t="s">
        <v>1</v>
      </c>
      <c r="C22001" s="6" t="s">
        <v>1</v>
      </c>
    </row>
    <row r="22002" spans="1:3" s="7" customFormat="1" x14ac:dyDescent="0.2">
      <c r="A22002" s="6" t="str">
        <f>"NDUFB1"</f>
        <v>NDUFB1</v>
      </c>
      <c r="B22002" s="6" t="s">
        <v>1</v>
      </c>
      <c r="C22002" s="6" t="s">
        <v>1</v>
      </c>
    </row>
    <row r="22003" spans="1:3" s="7" customFormat="1" x14ac:dyDescent="0.2">
      <c r="A22003" s="6" t="str">
        <f>"REX1BD"</f>
        <v>REX1BD</v>
      </c>
      <c r="B22003" s="6" t="s">
        <v>1</v>
      </c>
      <c r="C22003" s="6" t="s">
        <v>1</v>
      </c>
    </row>
    <row r="22004" spans="1:3" s="7" customFormat="1" x14ac:dyDescent="0.2">
      <c r="A22004" s="6" t="str">
        <f>"SOCS6"</f>
        <v>SOCS6</v>
      </c>
      <c r="B22004" s="6" t="s">
        <v>1</v>
      </c>
      <c r="C22004" s="6" t="s">
        <v>1</v>
      </c>
    </row>
    <row r="22005" spans="1:3" s="7" customFormat="1" x14ac:dyDescent="0.2">
      <c r="A22005" s="6" t="str">
        <f>"BRCC3"</f>
        <v>BRCC3</v>
      </c>
      <c r="B22005" s="6" t="s">
        <v>1</v>
      </c>
      <c r="C22005" s="6" t="s">
        <v>1</v>
      </c>
    </row>
    <row r="22006" spans="1:3" s="7" customFormat="1" x14ac:dyDescent="0.2">
      <c r="A22006" s="6" t="str">
        <f>"ADPRS"</f>
        <v>ADPRS</v>
      </c>
      <c r="B22006" s="6" t="s">
        <v>1</v>
      </c>
      <c r="C22006" s="6" t="s">
        <v>1</v>
      </c>
    </row>
    <row r="22007" spans="1:3" s="7" customFormat="1" x14ac:dyDescent="0.2">
      <c r="A22007" s="6" t="str">
        <f>"C20orf194"</f>
        <v>C20orf194</v>
      </c>
      <c r="B22007" s="6" t="s">
        <v>1</v>
      </c>
      <c r="C22007" s="6" t="s">
        <v>1</v>
      </c>
    </row>
    <row r="22008" spans="1:3" s="7" customFormat="1" x14ac:dyDescent="0.2">
      <c r="A22008" s="6" t="str">
        <f>"GLRX3"</f>
        <v>GLRX3</v>
      </c>
      <c r="B22008" s="6" t="s">
        <v>1</v>
      </c>
      <c r="C22008" s="6" t="s">
        <v>1</v>
      </c>
    </row>
    <row r="22009" spans="1:3" s="7" customFormat="1" x14ac:dyDescent="0.2">
      <c r="A22009" s="6" t="str">
        <f>"BAK1"</f>
        <v>BAK1</v>
      </c>
      <c r="B22009" s="6" t="s">
        <v>1</v>
      </c>
      <c r="C22009" s="6" t="s">
        <v>1</v>
      </c>
    </row>
    <row r="22010" spans="1:3" s="7" customFormat="1" x14ac:dyDescent="0.2">
      <c r="A22010" s="6" t="str">
        <f>"RNF170"</f>
        <v>RNF170</v>
      </c>
      <c r="B22010" s="6" t="s">
        <v>1</v>
      </c>
      <c r="C22010" s="6" t="s">
        <v>1</v>
      </c>
    </row>
    <row r="22011" spans="1:3" s="7" customFormat="1" x14ac:dyDescent="0.2">
      <c r="A22011" s="6" t="str">
        <f>"GMCL1"</f>
        <v>GMCL1</v>
      </c>
      <c r="B22011" s="6" t="s">
        <v>1</v>
      </c>
      <c r="C22011" s="6" t="s">
        <v>1</v>
      </c>
    </row>
    <row r="22012" spans="1:3" s="7" customFormat="1" x14ac:dyDescent="0.2">
      <c r="A22012" s="6" t="str">
        <f>"ENOSF1"</f>
        <v>ENOSF1</v>
      </c>
      <c r="B22012" s="6" t="s">
        <v>1</v>
      </c>
      <c r="C22012" s="6" t="s">
        <v>1</v>
      </c>
    </row>
    <row r="22013" spans="1:3" s="7" customFormat="1" x14ac:dyDescent="0.2">
      <c r="A22013" s="6" t="str">
        <f>"MYRF"</f>
        <v>MYRF</v>
      </c>
      <c r="B22013" s="6" t="s">
        <v>1</v>
      </c>
      <c r="C22013" s="6" t="s">
        <v>1</v>
      </c>
    </row>
    <row r="22014" spans="1:3" s="7" customFormat="1" x14ac:dyDescent="0.2">
      <c r="A22014" s="6" t="str">
        <f>"VMA21"</f>
        <v>VMA21</v>
      </c>
      <c r="B22014" s="6" t="s">
        <v>1</v>
      </c>
      <c r="C22014" s="6" t="s">
        <v>1</v>
      </c>
    </row>
    <row r="22015" spans="1:3" s="7" customFormat="1" x14ac:dyDescent="0.2">
      <c r="A22015" s="6" t="str">
        <f>"PCLO"</f>
        <v>PCLO</v>
      </c>
      <c r="B22015" s="6" t="s">
        <v>1</v>
      </c>
      <c r="C22015" s="6" t="s">
        <v>1</v>
      </c>
    </row>
    <row r="22016" spans="1:3" s="7" customFormat="1" x14ac:dyDescent="0.2">
      <c r="A22016" s="6" t="str">
        <f>"SRP19"</f>
        <v>SRP19</v>
      </c>
      <c r="B22016" s="6" t="s">
        <v>1</v>
      </c>
      <c r="C22016" s="6" t="s">
        <v>1</v>
      </c>
    </row>
    <row r="22017" spans="1:3" s="7" customFormat="1" x14ac:dyDescent="0.2">
      <c r="A22017" s="6" t="str">
        <f>"EOGT"</f>
        <v>EOGT</v>
      </c>
      <c r="B22017" s="6" t="s">
        <v>1</v>
      </c>
      <c r="C22017" s="6" t="s">
        <v>1</v>
      </c>
    </row>
    <row r="22018" spans="1:3" s="7" customFormat="1" x14ac:dyDescent="0.2">
      <c r="A22018" s="6" t="str">
        <f>"RALGAPA1"</f>
        <v>RALGAPA1</v>
      </c>
      <c r="B22018" s="6" t="s">
        <v>1</v>
      </c>
      <c r="C22018" s="6" t="s">
        <v>1</v>
      </c>
    </row>
    <row r="22019" spans="1:3" s="7" customFormat="1" x14ac:dyDescent="0.2">
      <c r="A22019" s="6" t="str">
        <f>"RAD9A"</f>
        <v>RAD9A</v>
      </c>
      <c r="B22019" s="6" t="s">
        <v>1</v>
      </c>
      <c r="C22019" s="6" t="s">
        <v>1</v>
      </c>
    </row>
    <row r="22020" spans="1:3" s="7" customFormat="1" x14ac:dyDescent="0.2">
      <c r="A22020" s="6" t="str">
        <f>"AEBP2"</f>
        <v>AEBP2</v>
      </c>
      <c r="B22020" s="6" t="s">
        <v>1</v>
      </c>
      <c r="C22020" s="6" t="s">
        <v>1</v>
      </c>
    </row>
    <row r="22021" spans="1:3" s="7" customFormat="1" x14ac:dyDescent="0.2">
      <c r="A22021" s="6" t="str">
        <f>"DEF6"</f>
        <v>DEF6</v>
      </c>
      <c r="B22021" s="6" t="s">
        <v>1</v>
      </c>
      <c r="C22021" s="6" t="s">
        <v>1</v>
      </c>
    </row>
    <row r="22022" spans="1:3" s="7" customFormat="1" x14ac:dyDescent="0.2">
      <c r="A22022" s="6" t="str">
        <f>"PTPN21"</f>
        <v>PTPN21</v>
      </c>
      <c r="B22022" s="6" t="s">
        <v>1</v>
      </c>
      <c r="C22022" s="6" t="s">
        <v>1</v>
      </c>
    </row>
    <row r="22023" spans="1:3" s="7" customFormat="1" x14ac:dyDescent="0.2">
      <c r="A22023" s="6" t="str">
        <f>"ZNF622"</f>
        <v>ZNF622</v>
      </c>
      <c r="B22023" s="6" t="s">
        <v>1</v>
      </c>
      <c r="C22023" s="6" t="s">
        <v>1</v>
      </c>
    </row>
    <row r="22024" spans="1:3" s="7" customFormat="1" x14ac:dyDescent="0.2">
      <c r="A22024" s="6" t="str">
        <f>"WRAP53"</f>
        <v>WRAP53</v>
      </c>
      <c r="B22024" s="6" t="s">
        <v>1</v>
      </c>
      <c r="C22024" s="6" t="s">
        <v>1</v>
      </c>
    </row>
    <row r="22025" spans="1:3" s="7" customFormat="1" x14ac:dyDescent="0.2">
      <c r="A22025" s="6" t="str">
        <f>"MRPS10"</f>
        <v>MRPS10</v>
      </c>
      <c r="B22025" s="6" t="s">
        <v>1</v>
      </c>
      <c r="C22025" s="6" t="s">
        <v>1</v>
      </c>
    </row>
    <row r="22026" spans="1:3" s="7" customFormat="1" x14ac:dyDescent="0.2">
      <c r="A22026" s="6" t="str">
        <f>"SMAD1"</f>
        <v>SMAD1</v>
      </c>
      <c r="B22026" s="6" t="s">
        <v>1</v>
      </c>
      <c r="C22026" s="6" t="s">
        <v>1</v>
      </c>
    </row>
    <row r="22027" spans="1:3" s="7" customFormat="1" x14ac:dyDescent="0.2">
      <c r="A22027" s="6" t="str">
        <f>"MAB21L4"</f>
        <v>MAB21L4</v>
      </c>
      <c r="B22027" s="6" t="s">
        <v>1</v>
      </c>
      <c r="C22027" s="6" t="s">
        <v>1</v>
      </c>
    </row>
    <row r="22028" spans="1:3" s="7" customFormat="1" x14ac:dyDescent="0.2">
      <c r="A22028" s="6" t="str">
        <f>"IFIT1"</f>
        <v>IFIT1</v>
      </c>
      <c r="B22028" s="6" t="s">
        <v>1</v>
      </c>
      <c r="C22028" s="6" t="s">
        <v>1</v>
      </c>
    </row>
    <row r="22029" spans="1:3" s="7" customFormat="1" x14ac:dyDescent="0.2">
      <c r="A22029" s="6" t="str">
        <f>"ASAP3"</f>
        <v>ASAP3</v>
      </c>
      <c r="B22029" s="6" t="s">
        <v>1</v>
      </c>
      <c r="C22029" s="6" t="s">
        <v>1</v>
      </c>
    </row>
    <row r="22030" spans="1:3" s="7" customFormat="1" x14ac:dyDescent="0.2">
      <c r="A22030" s="6" t="str">
        <f>"ENTPD5"</f>
        <v>ENTPD5</v>
      </c>
      <c r="B22030" s="6" t="s">
        <v>1</v>
      </c>
      <c r="C22030" s="6" t="s">
        <v>1</v>
      </c>
    </row>
    <row r="22031" spans="1:3" s="7" customFormat="1" x14ac:dyDescent="0.2">
      <c r="A22031" s="6" t="str">
        <f>"IFTAP"</f>
        <v>IFTAP</v>
      </c>
      <c r="B22031" s="6" t="s">
        <v>1</v>
      </c>
      <c r="C22031" s="6" t="s">
        <v>1</v>
      </c>
    </row>
    <row r="22032" spans="1:3" s="7" customFormat="1" x14ac:dyDescent="0.2">
      <c r="A22032" s="6" t="str">
        <f>"LPCAT1"</f>
        <v>LPCAT1</v>
      </c>
      <c r="B22032" s="6" t="s">
        <v>1</v>
      </c>
      <c r="C22032" s="6" t="s">
        <v>1</v>
      </c>
    </row>
    <row r="22033" spans="1:3" s="7" customFormat="1" x14ac:dyDescent="0.2">
      <c r="A22033" s="6" t="str">
        <f>"ACACB"</f>
        <v>ACACB</v>
      </c>
      <c r="B22033" s="6" t="s">
        <v>1</v>
      </c>
      <c r="C22033" s="6" t="s">
        <v>1</v>
      </c>
    </row>
    <row r="22034" spans="1:3" s="7" customFormat="1" x14ac:dyDescent="0.2">
      <c r="A22034" s="6" t="str">
        <f>"CRYL1"</f>
        <v>CRYL1</v>
      </c>
      <c r="B22034" s="6" t="s">
        <v>1</v>
      </c>
      <c r="C22034" s="6" t="s">
        <v>1</v>
      </c>
    </row>
    <row r="22035" spans="1:3" s="7" customFormat="1" x14ac:dyDescent="0.2">
      <c r="A22035" s="6" t="str">
        <f>"F8A1"</f>
        <v>F8A1</v>
      </c>
      <c r="B22035" s="6" t="s">
        <v>1</v>
      </c>
      <c r="C22035" s="6" t="s">
        <v>1</v>
      </c>
    </row>
    <row r="22036" spans="1:3" s="7" customFormat="1" x14ac:dyDescent="0.2">
      <c r="A22036" s="6" t="str">
        <f>"CDYL"</f>
        <v>CDYL</v>
      </c>
      <c r="B22036" s="6" t="s">
        <v>1</v>
      </c>
      <c r="C22036" s="6" t="s">
        <v>1</v>
      </c>
    </row>
    <row r="22037" spans="1:3" s="7" customFormat="1" x14ac:dyDescent="0.2">
      <c r="A22037" s="6" t="str">
        <f>"COG2"</f>
        <v>COG2</v>
      </c>
      <c r="B22037" s="6" t="s">
        <v>1</v>
      </c>
      <c r="C22037" s="6" t="s">
        <v>1</v>
      </c>
    </row>
    <row r="22038" spans="1:3" s="7" customFormat="1" x14ac:dyDescent="0.2">
      <c r="A22038" s="6" t="str">
        <f>"ASMTL"</f>
        <v>ASMTL</v>
      </c>
      <c r="B22038" s="6" t="s">
        <v>1</v>
      </c>
      <c r="C22038" s="6" t="s">
        <v>1</v>
      </c>
    </row>
    <row r="22039" spans="1:3" s="7" customFormat="1" x14ac:dyDescent="0.2">
      <c r="A22039" s="6" t="str">
        <f>"RPRD1A"</f>
        <v>RPRD1A</v>
      </c>
      <c r="B22039" s="6" t="s">
        <v>1</v>
      </c>
      <c r="C22039" s="6" t="s">
        <v>1</v>
      </c>
    </row>
    <row r="22040" spans="1:3" s="7" customFormat="1" x14ac:dyDescent="0.2">
      <c r="A22040" s="6" t="str">
        <f>"RPRD1B"</f>
        <v>RPRD1B</v>
      </c>
      <c r="B22040" s="6" t="s">
        <v>1</v>
      </c>
      <c r="C22040" s="6" t="s">
        <v>1</v>
      </c>
    </row>
    <row r="22041" spans="1:3" s="7" customFormat="1" x14ac:dyDescent="0.2">
      <c r="A22041" s="6" t="str">
        <f>"ENTPD7"</f>
        <v>ENTPD7</v>
      </c>
      <c r="B22041" s="6" t="s">
        <v>1</v>
      </c>
      <c r="C22041" s="6" t="s">
        <v>1</v>
      </c>
    </row>
    <row r="22042" spans="1:3" s="7" customFormat="1" x14ac:dyDescent="0.2">
      <c r="A22042" s="6" t="str">
        <f>"DNASE1L1"</f>
        <v>DNASE1L1</v>
      </c>
      <c r="B22042" s="6" t="s">
        <v>1</v>
      </c>
      <c r="C22042" s="6" t="s">
        <v>1</v>
      </c>
    </row>
    <row r="22043" spans="1:3" s="7" customFormat="1" x14ac:dyDescent="0.2">
      <c r="A22043" s="6" t="str">
        <f>"KLF9"</f>
        <v>KLF9</v>
      </c>
      <c r="B22043" s="6" t="s">
        <v>1</v>
      </c>
      <c r="C22043" s="6" t="s">
        <v>1</v>
      </c>
    </row>
    <row r="22044" spans="1:3" s="7" customFormat="1" x14ac:dyDescent="0.2">
      <c r="A22044" s="6" t="str">
        <f>"EEF1AKNMT"</f>
        <v>EEF1AKNMT</v>
      </c>
      <c r="B22044" s="6" t="s">
        <v>1</v>
      </c>
      <c r="C22044" s="6" t="s">
        <v>1</v>
      </c>
    </row>
    <row r="22045" spans="1:3" s="7" customFormat="1" x14ac:dyDescent="0.2">
      <c r="A22045" s="6" t="str">
        <f>"PI4K2A"</f>
        <v>PI4K2A</v>
      </c>
      <c r="B22045" s="6" t="s">
        <v>1</v>
      </c>
      <c r="C22045" s="6" t="s">
        <v>1</v>
      </c>
    </row>
    <row r="22046" spans="1:3" s="7" customFormat="1" x14ac:dyDescent="0.2">
      <c r="A22046" s="6" t="str">
        <f>"BTAF1"</f>
        <v>BTAF1</v>
      </c>
      <c r="B22046" s="6" t="s">
        <v>1</v>
      </c>
      <c r="C22046" s="6" t="s">
        <v>1</v>
      </c>
    </row>
    <row r="22047" spans="1:3" s="7" customFormat="1" x14ac:dyDescent="0.2">
      <c r="A22047" s="6" t="str">
        <f>"MED28"</f>
        <v>MED28</v>
      </c>
      <c r="B22047" s="6" t="s">
        <v>1</v>
      </c>
      <c r="C22047" s="6" t="s">
        <v>1</v>
      </c>
    </row>
    <row r="22048" spans="1:3" s="7" customFormat="1" x14ac:dyDescent="0.2">
      <c r="A22048" s="6" t="str">
        <f>"SLC25A44"</f>
        <v>SLC25A44</v>
      </c>
      <c r="B22048" s="6" t="s">
        <v>1</v>
      </c>
      <c r="C22048" s="6" t="s">
        <v>1</v>
      </c>
    </row>
    <row r="22049" spans="1:3" s="7" customFormat="1" x14ac:dyDescent="0.2">
      <c r="A22049" s="6" t="str">
        <f>"CNTROB"</f>
        <v>CNTROB</v>
      </c>
      <c r="B22049" s="6" t="s">
        <v>1</v>
      </c>
      <c r="C22049" s="6" t="s">
        <v>1</v>
      </c>
    </row>
    <row r="22050" spans="1:3" s="7" customFormat="1" x14ac:dyDescent="0.2">
      <c r="A22050" s="6" t="str">
        <f>"PTK6"</f>
        <v>PTK6</v>
      </c>
      <c r="B22050" s="6" t="s">
        <v>1</v>
      </c>
      <c r="C22050" s="6" t="s">
        <v>1</v>
      </c>
    </row>
    <row r="22051" spans="1:3" s="7" customFormat="1" x14ac:dyDescent="0.2">
      <c r="A22051" s="6" t="str">
        <f>"DNMT3A"</f>
        <v>DNMT3A</v>
      </c>
      <c r="B22051" s="6" t="s">
        <v>1</v>
      </c>
      <c r="C22051" s="6" t="s">
        <v>1</v>
      </c>
    </row>
    <row r="22052" spans="1:3" s="7" customFormat="1" x14ac:dyDescent="0.2">
      <c r="A22052" s="6" t="str">
        <f>"ZC3H7A"</f>
        <v>ZC3H7A</v>
      </c>
      <c r="B22052" s="6" t="s">
        <v>1</v>
      </c>
      <c r="C22052" s="6" t="s">
        <v>1</v>
      </c>
    </row>
    <row r="22053" spans="1:3" s="7" customFormat="1" x14ac:dyDescent="0.2">
      <c r="A22053" s="6" t="str">
        <f>"ME2"</f>
        <v>ME2</v>
      </c>
      <c r="B22053" s="6" t="s">
        <v>1</v>
      </c>
      <c r="C22053" s="6" t="s">
        <v>1</v>
      </c>
    </row>
    <row r="22054" spans="1:3" s="7" customFormat="1" x14ac:dyDescent="0.2">
      <c r="A22054" s="6" t="str">
        <f>"FZD8"</f>
        <v>FZD8</v>
      </c>
      <c r="B22054" s="6" t="s">
        <v>1</v>
      </c>
      <c r="C22054" s="6" t="s">
        <v>1</v>
      </c>
    </row>
    <row r="22055" spans="1:3" s="7" customFormat="1" x14ac:dyDescent="0.2">
      <c r="A22055" s="6" t="str">
        <f>"TMEM147"</f>
        <v>TMEM147</v>
      </c>
      <c r="B22055" s="6" t="s">
        <v>1</v>
      </c>
      <c r="C22055" s="6" t="s">
        <v>1</v>
      </c>
    </row>
    <row r="22056" spans="1:3" s="7" customFormat="1" x14ac:dyDescent="0.2">
      <c r="A22056" s="6" t="str">
        <f>"CNST"</f>
        <v>CNST</v>
      </c>
      <c r="B22056" s="6" t="s">
        <v>1</v>
      </c>
      <c r="C22056" s="6" t="s">
        <v>1</v>
      </c>
    </row>
    <row r="22057" spans="1:3" s="7" customFormat="1" x14ac:dyDescent="0.2">
      <c r="A22057" s="6" t="str">
        <f>"FKBP11"</f>
        <v>FKBP11</v>
      </c>
      <c r="B22057" s="6" t="s">
        <v>1</v>
      </c>
      <c r="C22057" s="6" t="s">
        <v>1</v>
      </c>
    </row>
    <row r="22058" spans="1:3" s="7" customFormat="1" x14ac:dyDescent="0.2">
      <c r="A22058" s="6" t="str">
        <f>"KAT8"</f>
        <v>KAT8</v>
      </c>
      <c r="B22058" s="6" t="s">
        <v>1</v>
      </c>
      <c r="C22058" s="6" t="s">
        <v>1</v>
      </c>
    </row>
    <row r="22059" spans="1:3" s="7" customFormat="1" x14ac:dyDescent="0.2">
      <c r="A22059" s="6" t="str">
        <f>"TMEM134"</f>
        <v>TMEM134</v>
      </c>
      <c r="B22059" s="6" t="s">
        <v>1</v>
      </c>
      <c r="C22059" s="6" t="s">
        <v>1</v>
      </c>
    </row>
    <row r="22060" spans="1:3" s="7" customFormat="1" x14ac:dyDescent="0.2">
      <c r="A22060" s="6" t="str">
        <f>"FAXDC2"</f>
        <v>FAXDC2</v>
      </c>
      <c r="B22060" s="6" t="s">
        <v>1</v>
      </c>
      <c r="C22060" s="6" t="s">
        <v>1</v>
      </c>
    </row>
    <row r="22061" spans="1:3" s="7" customFormat="1" x14ac:dyDescent="0.2">
      <c r="A22061" s="6" t="str">
        <f>"CHPT1"</f>
        <v>CHPT1</v>
      </c>
      <c r="B22061" s="6" t="s">
        <v>1</v>
      </c>
      <c r="C22061" s="6" t="s">
        <v>1</v>
      </c>
    </row>
    <row r="22062" spans="1:3" s="7" customFormat="1" x14ac:dyDescent="0.2">
      <c r="A22062" s="6" t="str">
        <f>"RNF14"</f>
        <v>RNF14</v>
      </c>
      <c r="B22062" s="6" t="s">
        <v>1</v>
      </c>
      <c r="C22062" s="6" t="s">
        <v>1</v>
      </c>
    </row>
    <row r="22063" spans="1:3" s="7" customFormat="1" x14ac:dyDescent="0.2">
      <c r="A22063" s="6" t="str">
        <f>"C2orf68"</f>
        <v>C2orf68</v>
      </c>
      <c r="B22063" s="6" t="s">
        <v>1</v>
      </c>
      <c r="C22063" s="6" t="s">
        <v>1</v>
      </c>
    </row>
    <row r="22064" spans="1:3" s="7" customFormat="1" x14ac:dyDescent="0.2">
      <c r="A22064" s="6" t="str">
        <f>"TMEM141"</f>
        <v>TMEM141</v>
      </c>
      <c r="B22064" s="6" t="s">
        <v>1</v>
      </c>
      <c r="C22064" s="6" t="s">
        <v>1</v>
      </c>
    </row>
    <row r="22065" spans="1:3" s="7" customFormat="1" x14ac:dyDescent="0.2">
      <c r="A22065" s="6" t="str">
        <f>"STX6"</f>
        <v>STX6</v>
      </c>
      <c r="B22065" s="6" t="s">
        <v>1</v>
      </c>
      <c r="C22065" s="6" t="s">
        <v>1</v>
      </c>
    </row>
    <row r="22066" spans="1:3" s="7" customFormat="1" x14ac:dyDescent="0.2">
      <c r="A22066" s="6" t="str">
        <f>"FMC1-LUC7L2"</f>
        <v>FMC1-LUC7L2</v>
      </c>
      <c r="B22066" s="6" t="s">
        <v>1</v>
      </c>
      <c r="C22066" s="6" t="s">
        <v>1</v>
      </c>
    </row>
    <row r="22067" spans="1:3" s="7" customFormat="1" x14ac:dyDescent="0.2">
      <c r="A22067" s="6" t="str">
        <f>"NAA10"</f>
        <v>NAA10</v>
      </c>
      <c r="B22067" s="6" t="s">
        <v>1</v>
      </c>
      <c r="C22067" s="6" t="s">
        <v>1</v>
      </c>
    </row>
    <row r="22068" spans="1:3" s="7" customFormat="1" x14ac:dyDescent="0.2">
      <c r="A22068" s="6" t="str">
        <f>"NOP58"</f>
        <v>NOP58</v>
      </c>
      <c r="B22068" s="6" t="s">
        <v>1</v>
      </c>
      <c r="C22068" s="6" t="s">
        <v>1</v>
      </c>
    </row>
    <row r="22069" spans="1:3" s="7" customFormat="1" x14ac:dyDescent="0.2">
      <c r="A22069" s="6" t="str">
        <f>"VEGFB"</f>
        <v>VEGFB</v>
      </c>
      <c r="B22069" s="6" t="s">
        <v>1</v>
      </c>
      <c r="C22069" s="6" t="s">
        <v>1</v>
      </c>
    </row>
    <row r="22070" spans="1:3" s="7" customFormat="1" x14ac:dyDescent="0.2">
      <c r="A22070" s="6" t="str">
        <f>"LHPP"</f>
        <v>LHPP</v>
      </c>
      <c r="B22070" s="6" t="s">
        <v>1</v>
      </c>
      <c r="C22070" s="6" t="s">
        <v>1</v>
      </c>
    </row>
    <row r="22071" spans="1:3" s="7" customFormat="1" x14ac:dyDescent="0.2">
      <c r="A22071" s="6" t="str">
        <f>"PPFIBP2"</f>
        <v>PPFIBP2</v>
      </c>
      <c r="B22071" s="6" t="s">
        <v>1</v>
      </c>
      <c r="C22071" s="6" t="s">
        <v>1</v>
      </c>
    </row>
    <row r="22072" spans="1:3" s="7" customFormat="1" x14ac:dyDescent="0.2">
      <c r="A22072" s="6" t="str">
        <f>"PLEKHO2"</f>
        <v>PLEKHO2</v>
      </c>
      <c r="B22072" s="6" t="s">
        <v>1</v>
      </c>
      <c r="C22072" s="6" t="s">
        <v>1</v>
      </c>
    </row>
    <row r="22073" spans="1:3" s="7" customFormat="1" x14ac:dyDescent="0.2">
      <c r="A22073" s="6" t="str">
        <f>"PDCD10"</f>
        <v>PDCD10</v>
      </c>
      <c r="B22073" s="6" t="s">
        <v>1</v>
      </c>
      <c r="C22073" s="6" t="s">
        <v>1</v>
      </c>
    </row>
    <row r="22074" spans="1:3" s="7" customFormat="1" x14ac:dyDescent="0.2">
      <c r="A22074" s="6" t="str">
        <f>"BACH1"</f>
        <v>BACH1</v>
      </c>
      <c r="B22074" s="6" t="s">
        <v>1</v>
      </c>
      <c r="C22074" s="6" t="s">
        <v>1</v>
      </c>
    </row>
    <row r="22075" spans="1:3" s="7" customFormat="1" x14ac:dyDescent="0.2">
      <c r="A22075" s="6" t="str">
        <f>"MCTP2"</f>
        <v>MCTP2</v>
      </c>
      <c r="B22075" s="6" t="s">
        <v>1</v>
      </c>
      <c r="C22075" s="6" t="s">
        <v>1</v>
      </c>
    </row>
    <row r="22076" spans="1:3" s="7" customFormat="1" x14ac:dyDescent="0.2">
      <c r="A22076" s="6" t="str">
        <f>"F2RL1"</f>
        <v>F2RL1</v>
      </c>
      <c r="B22076" s="6" t="s">
        <v>1</v>
      </c>
      <c r="C22076" s="6" t="s">
        <v>1</v>
      </c>
    </row>
    <row r="22077" spans="1:3" s="7" customFormat="1" x14ac:dyDescent="0.2">
      <c r="A22077" s="6" t="str">
        <f>"RALGPS2"</f>
        <v>RALGPS2</v>
      </c>
      <c r="B22077" s="6" t="s">
        <v>1</v>
      </c>
      <c r="C22077" s="6" t="s">
        <v>1</v>
      </c>
    </row>
    <row r="22078" spans="1:3" s="7" customFormat="1" x14ac:dyDescent="0.2">
      <c r="A22078" s="6" t="str">
        <f>"MLH1"</f>
        <v>MLH1</v>
      </c>
      <c r="B22078" s="6" t="s">
        <v>1</v>
      </c>
      <c r="C22078" s="6" t="s">
        <v>1</v>
      </c>
    </row>
    <row r="22079" spans="1:3" s="7" customFormat="1" x14ac:dyDescent="0.2">
      <c r="A22079" s="6" t="str">
        <f>"PRKRA"</f>
        <v>PRKRA</v>
      </c>
      <c r="B22079" s="6" t="s">
        <v>1</v>
      </c>
      <c r="C22079" s="6" t="s">
        <v>1</v>
      </c>
    </row>
    <row r="22080" spans="1:3" s="7" customFormat="1" x14ac:dyDescent="0.2">
      <c r="A22080" s="6" t="str">
        <f>"C2CD2"</f>
        <v>C2CD2</v>
      </c>
      <c r="B22080" s="6" t="s">
        <v>1</v>
      </c>
      <c r="C22080" s="6" t="s">
        <v>1</v>
      </c>
    </row>
    <row r="22081" spans="1:3" s="7" customFormat="1" x14ac:dyDescent="0.2">
      <c r="A22081" s="6" t="str">
        <f>"MCM7"</f>
        <v>MCM7</v>
      </c>
      <c r="B22081" s="6" t="s">
        <v>1</v>
      </c>
      <c r="C22081" s="6" t="s">
        <v>1</v>
      </c>
    </row>
    <row r="22082" spans="1:3" s="7" customFormat="1" x14ac:dyDescent="0.2">
      <c r="A22082" s="6" t="str">
        <f>"CNNM3"</f>
        <v>CNNM3</v>
      </c>
      <c r="B22082" s="6" t="s">
        <v>1</v>
      </c>
      <c r="C22082" s="6" t="s">
        <v>1</v>
      </c>
    </row>
    <row r="22083" spans="1:3" s="7" customFormat="1" x14ac:dyDescent="0.2">
      <c r="A22083" s="6" t="str">
        <f>"OCEL1"</f>
        <v>OCEL1</v>
      </c>
      <c r="B22083" s="6" t="s">
        <v>1</v>
      </c>
      <c r="C22083" s="6" t="s">
        <v>1</v>
      </c>
    </row>
    <row r="22084" spans="1:3" s="7" customFormat="1" x14ac:dyDescent="0.2">
      <c r="A22084" s="6" t="str">
        <f>"PROSER1"</f>
        <v>PROSER1</v>
      </c>
      <c r="B22084" s="6" t="s">
        <v>1</v>
      </c>
      <c r="C22084" s="6" t="s">
        <v>1</v>
      </c>
    </row>
    <row r="22085" spans="1:3" s="7" customFormat="1" x14ac:dyDescent="0.2">
      <c r="A22085" s="6" t="str">
        <f>"KLHL9"</f>
        <v>KLHL9</v>
      </c>
      <c r="B22085" s="6" t="s">
        <v>1</v>
      </c>
      <c r="C22085" s="6" t="s">
        <v>1</v>
      </c>
    </row>
    <row r="22086" spans="1:3" s="7" customFormat="1" x14ac:dyDescent="0.2">
      <c r="A22086" s="6" t="str">
        <f>"HMGCL"</f>
        <v>HMGCL</v>
      </c>
      <c r="B22086" s="6" t="s">
        <v>1</v>
      </c>
      <c r="C22086" s="6" t="s">
        <v>1</v>
      </c>
    </row>
    <row r="22087" spans="1:3" s="7" customFormat="1" x14ac:dyDescent="0.2">
      <c r="A22087" s="6" t="str">
        <f>"GALNT11"</f>
        <v>GALNT11</v>
      </c>
      <c r="B22087" s="6" t="s">
        <v>1</v>
      </c>
      <c r="C22087" s="6" t="s">
        <v>1</v>
      </c>
    </row>
    <row r="22088" spans="1:3" s="7" customFormat="1" x14ac:dyDescent="0.2">
      <c r="A22088" s="6" t="str">
        <f>"SELENOI"</f>
        <v>SELENOI</v>
      </c>
      <c r="B22088" s="6" t="s">
        <v>1</v>
      </c>
      <c r="C22088" s="6" t="s">
        <v>1</v>
      </c>
    </row>
    <row r="22089" spans="1:3" s="7" customFormat="1" x14ac:dyDescent="0.2">
      <c r="A22089" s="6" t="str">
        <f>"IFIT2"</f>
        <v>IFIT2</v>
      </c>
      <c r="B22089" s="6" t="s">
        <v>1</v>
      </c>
      <c r="C22089" s="6" t="s">
        <v>1</v>
      </c>
    </row>
    <row r="22090" spans="1:3" s="7" customFormat="1" x14ac:dyDescent="0.2">
      <c r="A22090" s="6" t="str">
        <f>"SRGAP1"</f>
        <v>SRGAP1</v>
      </c>
      <c r="B22090" s="6" t="s">
        <v>1</v>
      </c>
      <c r="C22090" s="6" t="s">
        <v>1</v>
      </c>
    </row>
    <row r="22091" spans="1:3" s="7" customFormat="1" x14ac:dyDescent="0.2">
      <c r="A22091" s="6" t="str">
        <f>"MDM1"</f>
        <v>MDM1</v>
      </c>
      <c r="B22091" s="6" t="s">
        <v>1</v>
      </c>
      <c r="C22091" s="6" t="s">
        <v>1</v>
      </c>
    </row>
    <row r="22092" spans="1:3" s="7" customFormat="1" x14ac:dyDescent="0.2">
      <c r="A22092" s="6" t="str">
        <f>"CREBZF"</f>
        <v>CREBZF</v>
      </c>
      <c r="B22092" s="6" t="s">
        <v>1</v>
      </c>
      <c r="C22092" s="6" t="s">
        <v>1</v>
      </c>
    </row>
    <row r="22093" spans="1:3" s="7" customFormat="1" x14ac:dyDescent="0.2">
      <c r="A22093" s="6" t="str">
        <f>"DENND5A"</f>
        <v>DENND5A</v>
      </c>
      <c r="B22093" s="6" t="s">
        <v>1</v>
      </c>
      <c r="C22093" s="6" t="s">
        <v>1</v>
      </c>
    </row>
    <row r="22094" spans="1:3" s="7" customFormat="1" x14ac:dyDescent="0.2">
      <c r="A22094" s="6" t="str">
        <f>"THAP12"</f>
        <v>THAP12</v>
      </c>
      <c r="B22094" s="6" t="s">
        <v>1</v>
      </c>
      <c r="C22094" s="6" t="s">
        <v>1</v>
      </c>
    </row>
    <row r="22095" spans="1:3" s="7" customFormat="1" x14ac:dyDescent="0.2">
      <c r="A22095" s="6" t="str">
        <f>"PCIF1"</f>
        <v>PCIF1</v>
      </c>
      <c r="B22095" s="6" t="s">
        <v>1</v>
      </c>
      <c r="C22095" s="6" t="s">
        <v>1</v>
      </c>
    </row>
    <row r="22096" spans="1:3" s="7" customFormat="1" x14ac:dyDescent="0.2">
      <c r="A22096" s="6" t="str">
        <f>"ENDOD1"</f>
        <v>ENDOD1</v>
      </c>
      <c r="B22096" s="6" t="s">
        <v>1</v>
      </c>
      <c r="C22096" s="6" t="s">
        <v>1</v>
      </c>
    </row>
    <row r="22097" spans="1:3" s="7" customFormat="1" x14ac:dyDescent="0.2">
      <c r="A22097" s="6" t="str">
        <f>"P4HA1"</f>
        <v>P4HA1</v>
      </c>
      <c r="B22097" s="6" t="s">
        <v>1</v>
      </c>
      <c r="C22097" s="6" t="s">
        <v>1</v>
      </c>
    </row>
    <row r="22098" spans="1:3" s="7" customFormat="1" x14ac:dyDescent="0.2">
      <c r="A22098" s="6" t="str">
        <f>"COG8"</f>
        <v>COG8</v>
      </c>
      <c r="B22098" s="6" t="s">
        <v>1</v>
      </c>
      <c r="C22098" s="6" t="s">
        <v>1</v>
      </c>
    </row>
    <row r="22099" spans="1:3" s="7" customFormat="1" x14ac:dyDescent="0.2">
      <c r="A22099" s="6" t="str">
        <f>"HAGHL"</f>
        <v>HAGHL</v>
      </c>
      <c r="B22099" s="6" t="s">
        <v>1</v>
      </c>
      <c r="C22099" s="6" t="s">
        <v>1</v>
      </c>
    </row>
    <row r="22100" spans="1:3" s="7" customFormat="1" x14ac:dyDescent="0.2">
      <c r="A22100" s="6" t="str">
        <f>"CNOT6L"</f>
        <v>CNOT6L</v>
      </c>
      <c r="B22100" s="6" t="s">
        <v>1</v>
      </c>
      <c r="C22100" s="6" t="s">
        <v>1</v>
      </c>
    </row>
    <row r="22101" spans="1:3" s="7" customFormat="1" x14ac:dyDescent="0.2">
      <c r="A22101" s="6" t="str">
        <f>"PHLDA1"</f>
        <v>PHLDA1</v>
      </c>
      <c r="B22101" s="6" t="s">
        <v>1</v>
      </c>
      <c r="C22101" s="6" t="s">
        <v>1</v>
      </c>
    </row>
    <row r="22102" spans="1:3" s="7" customFormat="1" x14ac:dyDescent="0.2">
      <c r="A22102" s="6" t="str">
        <f>"C2orf50"</f>
        <v>C2orf50</v>
      </c>
      <c r="B22102" s="6" t="s">
        <v>1</v>
      </c>
      <c r="C22102" s="6" t="s">
        <v>1</v>
      </c>
    </row>
    <row r="22103" spans="1:3" s="7" customFormat="1" x14ac:dyDescent="0.2">
      <c r="A22103" s="6" t="str">
        <f>"INO80E"</f>
        <v>INO80E</v>
      </c>
      <c r="B22103" s="6" t="s">
        <v>1</v>
      </c>
      <c r="C22103" s="6" t="s">
        <v>1</v>
      </c>
    </row>
    <row r="22104" spans="1:3" s="7" customFormat="1" x14ac:dyDescent="0.2">
      <c r="A22104" s="6" t="str">
        <f>"SMARCD1"</f>
        <v>SMARCD1</v>
      </c>
      <c r="B22104" s="6" t="s">
        <v>1</v>
      </c>
      <c r="C22104" s="6" t="s">
        <v>1</v>
      </c>
    </row>
    <row r="22105" spans="1:3" s="7" customFormat="1" x14ac:dyDescent="0.2">
      <c r="A22105" s="6" t="str">
        <f>"TUB"</f>
        <v>TUB</v>
      </c>
      <c r="B22105" s="6" t="s">
        <v>1</v>
      </c>
      <c r="C22105" s="6" t="s">
        <v>1</v>
      </c>
    </row>
    <row r="22106" spans="1:3" s="7" customFormat="1" x14ac:dyDescent="0.2">
      <c r="A22106" s="6" t="str">
        <f>"NDUFB2"</f>
        <v>NDUFB2</v>
      </c>
      <c r="B22106" s="6" t="s">
        <v>1</v>
      </c>
      <c r="C22106" s="6" t="s">
        <v>1</v>
      </c>
    </row>
    <row r="22107" spans="1:3" s="7" customFormat="1" x14ac:dyDescent="0.2">
      <c r="A22107" s="6" t="str">
        <f>"PLEKHG1"</f>
        <v>PLEKHG1</v>
      </c>
      <c r="B22107" s="6" t="s">
        <v>1</v>
      </c>
      <c r="C22107" s="6" t="s">
        <v>1</v>
      </c>
    </row>
    <row r="22108" spans="1:3" s="7" customFormat="1" x14ac:dyDescent="0.2">
      <c r="A22108" s="6" t="str">
        <f>"MIR205HG"</f>
        <v>MIR205HG</v>
      </c>
      <c r="B22108" s="6" t="s">
        <v>1</v>
      </c>
      <c r="C22108" s="6" t="s">
        <v>1</v>
      </c>
    </row>
    <row r="22109" spans="1:3" s="7" customFormat="1" x14ac:dyDescent="0.2">
      <c r="A22109" s="6" t="str">
        <f>"DENND10"</f>
        <v>DENND10</v>
      </c>
      <c r="B22109" s="6" t="s">
        <v>1</v>
      </c>
      <c r="C22109" s="6" t="s">
        <v>1</v>
      </c>
    </row>
    <row r="22110" spans="1:3" s="7" customFormat="1" x14ac:dyDescent="0.2">
      <c r="A22110" s="6" t="str">
        <f>"PTPMT1"</f>
        <v>PTPMT1</v>
      </c>
      <c r="B22110" s="6" t="s">
        <v>1</v>
      </c>
      <c r="C22110" s="6" t="s">
        <v>1</v>
      </c>
    </row>
    <row r="22111" spans="1:3" s="7" customFormat="1" x14ac:dyDescent="0.2">
      <c r="A22111" s="6" t="str">
        <f>"NECAP1"</f>
        <v>NECAP1</v>
      </c>
      <c r="B22111" s="6" t="s">
        <v>1</v>
      </c>
      <c r="C22111" s="6" t="s">
        <v>1</v>
      </c>
    </row>
    <row r="22112" spans="1:3" s="7" customFormat="1" x14ac:dyDescent="0.2">
      <c r="A22112" s="6" t="str">
        <f>"ALDH5A1"</f>
        <v>ALDH5A1</v>
      </c>
      <c r="B22112" s="6" t="s">
        <v>1</v>
      </c>
      <c r="C22112" s="6" t="s">
        <v>1</v>
      </c>
    </row>
    <row r="22113" spans="1:3" s="7" customFormat="1" x14ac:dyDescent="0.2">
      <c r="A22113" s="6" t="str">
        <f>"FLNC"</f>
        <v>FLNC</v>
      </c>
      <c r="B22113" s="6" t="s">
        <v>1</v>
      </c>
      <c r="C22113" s="6" t="s">
        <v>1</v>
      </c>
    </row>
    <row r="22114" spans="1:3" s="7" customFormat="1" x14ac:dyDescent="0.2">
      <c r="A22114" s="6" t="str">
        <f>"MIR22HG"</f>
        <v>MIR22HG</v>
      </c>
      <c r="B22114" s="6" t="s">
        <v>1</v>
      </c>
      <c r="C22114" s="6" t="s">
        <v>1</v>
      </c>
    </row>
    <row r="22115" spans="1:3" s="7" customFormat="1" x14ac:dyDescent="0.2">
      <c r="A22115" s="6" t="str">
        <f>"MDC1"</f>
        <v>MDC1</v>
      </c>
      <c r="B22115" s="6" t="s">
        <v>1</v>
      </c>
      <c r="C22115" s="6" t="s">
        <v>1</v>
      </c>
    </row>
    <row r="22116" spans="1:3" s="7" customFormat="1" x14ac:dyDescent="0.2">
      <c r="A22116" s="6" t="str">
        <f>"LGALS9C"</f>
        <v>LGALS9C</v>
      </c>
      <c r="B22116" s="6" t="s">
        <v>1</v>
      </c>
      <c r="C22116" s="6" t="s">
        <v>1</v>
      </c>
    </row>
    <row r="22117" spans="1:3" s="7" customFormat="1" x14ac:dyDescent="0.2">
      <c r="A22117" s="6" t="str">
        <f>"INPP5E"</f>
        <v>INPP5E</v>
      </c>
      <c r="B22117" s="6" t="s">
        <v>1</v>
      </c>
      <c r="C22117" s="6" t="s">
        <v>1</v>
      </c>
    </row>
    <row r="22118" spans="1:3" s="7" customFormat="1" x14ac:dyDescent="0.2">
      <c r="A22118" s="6" t="str">
        <f>"ALG1"</f>
        <v>ALG1</v>
      </c>
      <c r="B22118" s="6" t="s">
        <v>1</v>
      </c>
      <c r="C22118" s="6" t="s">
        <v>1</v>
      </c>
    </row>
    <row r="22119" spans="1:3" s="7" customFormat="1" x14ac:dyDescent="0.2">
      <c r="A22119" s="6" t="str">
        <f>"FAM98A"</f>
        <v>FAM98A</v>
      </c>
      <c r="B22119" s="6" t="s">
        <v>1</v>
      </c>
      <c r="C22119" s="6" t="s">
        <v>1</v>
      </c>
    </row>
    <row r="22120" spans="1:3" s="7" customFormat="1" x14ac:dyDescent="0.2">
      <c r="A22120" s="6" t="str">
        <f>"TRIM11"</f>
        <v>TRIM11</v>
      </c>
      <c r="B22120" s="6" t="s">
        <v>1</v>
      </c>
      <c r="C22120" s="6" t="s">
        <v>1</v>
      </c>
    </row>
    <row r="22121" spans="1:3" s="7" customFormat="1" x14ac:dyDescent="0.2">
      <c r="A22121" s="6" t="str">
        <f>"SRGAP2"</f>
        <v>SRGAP2</v>
      </c>
      <c r="B22121" s="6" t="s">
        <v>1</v>
      </c>
      <c r="C22121" s="6" t="s">
        <v>1</v>
      </c>
    </row>
    <row r="22122" spans="1:3" s="7" customFormat="1" x14ac:dyDescent="0.2">
      <c r="A22122" s="6" t="str">
        <f>"ADSS1"</f>
        <v>ADSS1</v>
      </c>
      <c r="B22122" s="6" t="s">
        <v>1</v>
      </c>
      <c r="C22122" s="6" t="s">
        <v>1</v>
      </c>
    </row>
    <row r="22123" spans="1:3" s="7" customFormat="1" x14ac:dyDescent="0.2">
      <c r="A22123" s="6" t="str">
        <f>"ALG2"</f>
        <v>ALG2</v>
      </c>
      <c r="B22123" s="6" t="s">
        <v>1</v>
      </c>
      <c r="C22123" s="6" t="s">
        <v>1</v>
      </c>
    </row>
    <row r="22124" spans="1:3" s="7" customFormat="1" x14ac:dyDescent="0.2">
      <c r="A22124" s="6" t="str">
        <f>"CNPY2"</f>
        <v>CNPY2</v>
      </c>
      <c r="B22124" s="6" t="s">
        <v>1</v>
      </c>
      <c r="C22124" s="6" t="s">
        <v>1</v>
      </c>
    </row>
    <row r="22125" spans="1:3" s="7" customFormat="1" x14ac:dyDescent="0.2">
      <c r="A22125" s="6" t="str">
        <f>"CRLS1"</f>
        <v>CRLS1</v>
      </c>
      <c r="B22125" s="6" t="s">
        <v>1</v>
      </c>
      <c r="C22125" s="6" t="s">
        <v>1</v>
      </c>
    </row>
    <row r="22126" spans="1:3" s="7" customFormat="1" x14ac:dyDescent="0.2">
      <c r="A22126" s="6" t="str">
        <f>"SELPLG"</f>
        <v>SELPLG</v>
      </c>
      <c r="B22126" s="6" t="s">
        <v>1</v>
      </c>
      <c r="C22126" s="6" t="s">
        <v>1</v>
      </c>
    </row>
    <row r="22127" spans="1:3" s="7" customFormat="1" x14ac:dyDescent="0.2">
      <c r="A22127" s="6" t="str">
        <f>"LGR4"</f>
        <v>LGR4</v>
      </c>
      <c r="B22127" s="6" t="s">
        <v>1</v>
      </c>
      <c r="C22127" s="6" t="s">
        <v>1</v>
      </c>
    </row>
    <row r="22128" spans="1:3" s="7" customFormat="1" x14ac:dyDescent="0.2">
      <c r="A22128" s="6" t="str">
        <f>"DOC2B"</f>
        <v>DOC2B</v>
      </c>
      <c r="B22128" s="6" t="s">
        <v>1</v>
      </c>
      <c r="C22128" s="6" t="s">
        <v>1</v>
      </c>
    </row>
    <row r="22129" spans="1:3" s="7" customFormat="1" x14ac:dyDescent="0.2">
      <c r="A22129" s="6" t="str">
        <f>"MAFF"</f>
        <v>MAFF</v>
      </c>
      <c r="B22129" s="6" t="s">
        <v>1</v>
      </c>
      <c r="C22129" s="6" t="s">
        <v>1</v>
      </c>
    </row>
    <row r="22130" spans="1:3" s="7" customFormat="1" x14ac:dyDescent="0.2">
      <c r="A22130" s="6" t="str">
        <f>"VCPIP1"</f>
        <v>VCPIP1</v>
      </c>
      <c r="B22130" s="6" t="s">
        <v>1</v>
      </c>
      <c r="C22130" s="6" t="s">
        <v>1</v>
      </c>
    </row>
    <row r="22131" spans="1:3" s="7" customFormat="1" x14ac:dyDescent="0.2">
      <c r="A22131" s="6" t="str">
        <f>"IFIH1"</f>
        <v>IFIH1</v>
      </c>
      <c r="B22131" s="6" t="s">
        <v>1</v>
      </c>
      <c r="C22131" s="6" t="s">
        <v>1</v>
      </c>
    </row>
    <row r="22132" spans="1:3" s="7" customFormat="1" x14ac:dyDescent="0.2">
      <c r="A22132" s="6" t="str">
        <f>"COBLL1"</f>
        <v>COBLL1</v>
      </c>
      <c r="B22132" s="6" t="s">
        <v>1</v>
      </c>
      <c r="C22132" s="6" t="s">
        <v>1</v>
      </c>
    </row>
    <row r="22133" spans="1:3" s="7" customFormat="1" x14ac:dyDescent="0.2">
      <c r="A22133" s="6" t="str">
        <f>"CHSY1"</f>
        <v>CHSY1</v>
      </c>
      <c r="B22133" s="6" t="s">
        <v>1</v>
      </c>
      <c r="C22133" s="6" t="s">
        <v>1</v>
      </c>
    </row>
    <row r="22134" spans="1:3" s="7" customFormat="1" x14ac:dyDescent="0.2">
      <c r="A22134" s="6" t="str">
        <f>"LGALS9B"</f>
        <v>LGALS9B</v>
      </c>
      <c r="B22134" s="6" t="s">
        <v>1</v>
      </c>
      <c r="C22134" s="6" t="s">
        <v>1</v>
      </c>
    </row>
    <row r="22135" spans="1:3" s="7" customFormat="1" x14ac:dyDescent="0.2">
      <c r="A22135" s="6" t="str">
        <f>"LFNG"</f>
        <v>LFNG</v>
      </c>
      <c r="B22135" s="6" t="s">
        <v>1</v>
      </c>
      <c r="C22135" s="6" t="s">
        <v>1</v>
      </c>
    </row>
    <row r="22136" spans="1:3" s="7" customFormat="1" x14ac:dyDescent="0.2">
      <c r="A22136" s="6" t="str">
        <f>"SOGA1"</f>
        <v>SOGA1</v>
      </c>
      <c r="B22136" s="6" t="s">
        <v>1</v>
      </c>
      <c r="C22136" s="6" t="s">
        <v>1</v>
      </c>
    </row>
    <row r="22137" spans="1:3" s="7" customFormat="1" x14ac:dyDescent="0.2">
      <c r="A22137" s="6" t="str">
        <f>"ASIC1"</f>
        <v>ASIC1</v>
      </c>
      <c r="B22137" s="6" t="s">
        <v>1</v>
      </c>
      <c r="C22137" s="6" t="s">
        <v>1</v>
      </c>
    </row>
    <row r="22138" spans="1:3" s="7" customFormat="1" x14ac:dyDescent="0.2">
      <c r="A22138" s="6" t="str">
        <f>"KLK10"</f>
        <v>KLK10</v>
      </c>
      <c r="B22138" s="6" t="s">
        <v>1</v>
      </c>
      <c r="C22138" s="6" t="s">
        <v>1</v>
      </c>
    </row>
    <row r="22139" spans="1:3" s="7" customFormat="1" x14ac:dyDescent="0.2">
      <c r="A22139" s="6" t="str">
        <f>"MRPS15"</f>
        <v>MRPS15</v>
      </c>
      <c r="B22139" s="6" t="s">
        <v>1</v>
      </c>
      <c r="C22139" s="6" t="s">
        <v>1</v>
      </c>
    </row>
    <row r="22140" spans="1:3" s="7" customFormat="1" x14ac:dyDescent="0.2">
      <c r="A22140" s="6" t="str">
        <f>"CHST15"</f>
        <v>CHST15</v>
      </c>
      <c r="B22140" s="6" t="s">
        <v>1</v>
      </c>
      <c r="C22140" s="6" t="s">
        <v>1</v>
      </c>
    </row>
    <row r="22141" spans="1:3" s="7" customFormat="1" x14ac:dyDescent="0.2">
      <c r="A22141" s="6" t="str">
        <f>"NAA15"</f>
        <v>NAA15</v>
      </c>
      <c r="B22141" s="6" t="s">
        <v>1</v>
      </c>
      <c r="C22141" s="6" t="s">
        <v>1</v>
      </c>
    </row>
    <row r="22142" spans="1:3" s="7" customFormat="1" x14ac:dyDescent="0.2">
      <c r="A22142" s="6" t="str">
        <f>"INO80B"</f>
        <v>INO80B</v>
      </c>
      <c r="B22142" s="6" t="s">
        <v>1</v>
      </c>
      <c r="C22142" s="6" t="s">
        <v>1</v>
      </c>
    </row>
    <row r="22143" spans="1:3" s="7" customFormat="1" x14ac:dyDescent="0.2">
      <c r="A22143" s="6" t="str">
        <f>"APOE"</f>
        <v>APOE</v>
      </c>
      <c r="B22143" s="6" t="s">
        <v>1</v>
      </c>
      <c r="C22143" s="6" t="s">
        <v>1</v>
      </c>
    </row>
    <row r="22144" spans="1:3" s="7" customFormat="1" x14ac:dyDescent="0.2">
      <c r="A22144" s="6" t="str">
        <f>"MED23"</f>
        <v>MED23</v>
      </c>
      <c r="B22144" s="6" t="s">
        <v>1</v>
      </c>
      <c r="C22144" s="6" t="s">
        <v>1</v>
      </c>
    </row>
    <row r="22145" spans="1:3" s="7" customFormat="1" x14ac:dyDescent="0.2">
      <c r="A22145" s="6" t="str">
        <f>"ADGRL1"</f>
        <v>ADGRL1</v>
      </c>
      <c r="B22145" s="6" t="s">
        <v>1</v>
      </c>
      <c r="C22145" s="6" t="s">
        <v>1</v>
      </c>
    </row>
    <row r="22146" spans="1:3" s="7" customFormat="1" x14ac:dyDescent="0.2">
      <c r="A22146" s="6" t="str">
        <f>"OXCT1"</f>
        <v>OXCT1</v>
      </c>
      <c r="B22146" s="6" t="s">
        <v>1</v>
      </c>
      <c r="C22146" s="6" t="s">
        <v>1</v>
      </c>
    </row>
    <row r="22147" spans="1:3" s="7" customFormat="1" x14ac:dyDescent="0.2">
      <c r="A22147" s="6" t="str">
        <f>"STXBP3"</f>
        <v>STXBP3</v>
      </c>
      <c r="B22147" s="6" t="s">
        <v>1</v>
      </c>
      <c r="C22147" s="6" t="s">
        <v>1</v>
      </c>
    </row>
    <row r="22148" spans="1:3" s="7" customFormat="1" x14ac:dyDescent="0.2">
      <c r="A22148" s="6" t="str">
        <f>"CEBPZOS"</f>
        <v>CEBPZOS</v>
      </c>
      <c r="B22148" s="6" t="s">
        <v>1</v>
      </c>
      <c r="C22148" s="6" t="s">
        <v>1</v>
      </c>
    </row>
    <row r="22149" spans="1:3" s="7" customFormat="1" x14ac:dyDescent="0.2">
      <c r="A22149" s="6" t="str">
        <f>"RFFL"</f>
        <v>RFFL</v>
      </c>
      <c r="B22149" s="6" t="s">
        <v>1</v>
      </c>
      <c r="C22149" s="6" t="s">
        <v>1</v>
      </c>
    </row>
    <row r="22150" spans="1:3" s="7" customFormat="1" x14ac:dyDescent="0.2">
      <c r="A22150" s="6" t="str">
        <f>"CEBPG"</f>
        <v>CEBPG</v>
      </c>
      <c r="B22150" s="6" t="s">
        <v>1</v>
      </c>
      <c r="C22150" s="6" t="s">
        <v>1</v>
      </c>
    </row>
    <row r="22151" spans="1:3" s="7" customFormat="1" x14ac:dyDescent="0.2">
      <c r="A22151" s="6" t="str">
        <f>"AC108519.1"</f>
        <v>AC108519.1</v>
      </c>
      <c r="B22151" s="6" t="s">
        <v>1</v>
      </c>
      <c r="C22151" s="6" t="s">
        <v>1</v>
      </c>
    </row>
    <row r="22152" spans="1:3" s="7" customFormat="1" x14ac:dyDescent="0.2">
      <c r="A22152" s="6" t="str">
        <f>"DNAJC21"</f>
        <v>DNAJC21</v>
      </c>
      <c r="B22152" s="6" t="s">
        <v>1</v>
      </c>
      <c r="C22152" s="6" t="s">
        <v>1</v>
      </c>
    </row>
    <row r="22153" spans="1:3" s="7" customFormat="1" x14ac:dyDescent="0.2">
      <c r="A22153" s="6" t="str">
        <f>"APPBP2"</f>
        <v>APPBP2</v>
      </c>
      <c r="B22153" s="6" t="s">
        <v>1</v>
      </c>
      <c r="C22153" s="6" t="s">
        <v>1</v>
      </c>
    </row>
    <row r="22154" spans="1:3" s="7" customFormat="1" x14ac:dyDescent="0.2">
      <c r="A22154" s="6" t="str">
        <f>"TNFAIP8"</f>
        <v>TNFAIP8</v>
      </c>
      <c r="B22154" s="6" t="s">
        <v>1</v>
      </c>
      <c r="C22154" s="6" t="s">
        <v>1</v>
      </c>
    </row>
    <row r="22155" spans="1:3" s="7" customFormat="1" x14ac:dyDescent="0.2">
      <c r="A22155" s="6" t="str">
        <f>"APOO"</f>
        <v>APOO</v>
      </c>
      <c r="B22155" s="6" t="s">
        <v>1</v>
      </c>
      <c r="C22155" s="6" t="s">
        <v>1</v>
      </c>
    </row>
    <row r="22156" spans="1:3" s="7" customFormat="1" x14ac:dyDescent="0.2">
      <c r="A22156" s="6" t="str">
        <f>"TMEM150C"</f>
        <v>TMEM150C</v>
      </c>
      <c r="B22156" s="6" t="s">
        <v>1</v>
      </c>
      <c r="C22156" s="6" t="s">
        <v>1</v>
      </c>
    </row>
    <row r="22157" spans="1:3" s="7" customFormat="1" x14ac:dyDescent="0.2">
      <c r="A22157" s="6" t="str">
        <f>"GAB2"</f>
        <v>GAB2</v>
      </c>
      <c r="B22157" s="6" t="s">
        <v>1</v>
      </c>
      <c r="C22157" s="6" t="s">
        <v>1</v>
      </c>
    </row>
    <row r="22158" spans="1:3" s="7" customFormat="1" x14ac:dyDescent="0.2">
      <c r="A22158" s="6" t="str">
        <f>"N4BP2L2"</f>
        <v>N4BP2L2</v>
      </c>
      <c r="B22158" s="6" t="s">
        <v>1</v>
      </c>
      <c r="C22158" s="6" t="s">
        <v>1</v>
      </c>
    </row>
    <row r="22159" spans="1:3" s="7" customFormat="1" x14ac:dyDescent="0.2">
      <c r="A22159" s="6" t="str">
        <f>"IGF2BP2"</f>
        <v>IGF2BP2</v>
      </c>
      <c r="B22159" s="6" t="s">
        <v>1</v>
      </c>
      <c r="C22159" s="6" t="s">
        <v>1</v>
      </c>
    </row>
    <row r="22160" spans="1:3" s="7" customFormat="1" x14ac:dyDescent="0.2">
      <c r="A22160" s="6" t="str">
        <f>"NOMO3"</f>
        <v>NOMO3</v>
      </c>
      <c r="B22160" s="6" t="s">
        <v>1</v>
      </c>
      <c r="C22160" s="6" t="s">
        <v>1</v>
      </c>
    </row>
    <row r="22161" spans="1:3" s="7" customFormat="1" x14ac:dyDescent="0.2">
      <c r="A22161" s="6" t="str">
        <f>"TTLL3"</f>
        <v>TTLL3</v>
      </c>
      <c r="B22161" s="6" t="s">
        <v>1</v>
      </c>
      <c r="C22161" s="6" t="s">
        <v>1</v>
      </c>
    </row>
    <row r="22162" spans="1:3" s="7" customFormat="1" x14ac:dyDescent="0.2">
      <c r="A22162" s="6" t="str">
        <f>"PCNA"</f>
        <v>PCNA</v>
      </c>
      <c r="B22162" s="6" t="s">
        <v>1</v>
      </c>
      <c r="C22162" s="6" t="s">
        <v>1</v>
      </c>
    </row>
    <row r="22163" spans="1:3" s="7" customFormat="1" x14ac:dyDescent="0.2">
      <c r="A22163" s="6" t="str">
        <f>"COG3"</f>
        <v>COG3</v>
      </c>
      <c r="B22163" s="6" t="s">
        <v>1</v>
      </c>
      <c r="C22163" s="6" t="s">
        <v>1</v>
      </c>
    </row>
    <row r="22164" spans="1:3" s="7" customFormat="1" x14ac:dyDescent="0.2">
      <c r="A22164" s="6" t="str">
        <f>"P2RX4"</f>
        <v>P2RX4</v>
      </c>
      <c r="B22164" s="6" t="s">
        <v>1</v>
      </c>
      <c r="C22164" s="6" t="s">
        <v>1</v>
      </c>
    </row>
    <row r="22165" spans="1:3" s="7" customFormat="1" x14ac:dyDescent="0.2">
      <c r="A22165" s="6" t="str">
        <f>"NEK6"</f>
        <v>NEK6</v>
      </c>
      <c r="B22165" s="6" t="s">
        <v>1</v>
      </c>
      <c r="C22165" s="6" t="s">
        <v>1</v>
      </c>
    </row>
    <row r="22166" spans="1:3" s="7" customFormat="1" x14ac:dyDescent="0.2">
      <c r="A22166" s="6" t="str">
        <f>"ME1"</f>
        <v>ME1</v>
      </c>
      <c r="B22166" s="6" t="s">
        <v>1</v>
      </c>
      <c r="C22166" s="6" t="s">
        <v>1</v>
      </c>
    </row>
    <row r="22167" spans="1:3" s="7" customFormat="1" x14ac:dyDescent="0.2">
      <c r="A22167" s="6" t="str">
        <f>"PTN"</f>
        <v>PTN</v>
      </c>
      <c r="B22167" s="6" t="s">
        <v>1</v>
      </c>
      <c r="C22167" s="6" t="s">
        <v>1</v>
      </c>
    </row>
    <row r="22168" spans="1:3" s="7" customFormat="1" x14ac:dyDescent="0.2">
      <c r="A22168" s="6" t="str">
        <f>"PPA2"</f>
        <v>PPA2</v>
      </c>
      <c r="B22168" s="6" t="s">
        <v>1</v>
      </c>
      <c r="C22168" s="6" t="s">
        <v>1</v>
      </c>
    </row>
    <row r="22169" spans="1:3" s="7" customFormat="1" x14ac:dyDescent="0.2">
      <c r="A22169" s="6" t="str">
        <f>"IFI44"</f>
        <v>IFI44</v>
      </c>
      <c r="B22169" s="6" t="s">
        <v>1</v>
      </c>
      <c r="C22169" s="6" t="s">
        <v>1</v>
      </c>
    </row>
    <row r="22170" spans="1:3" s="7" customFormat="1" x14ac:dyDescent="0.2">
      <c r="A22170" s="6" t="str">
        <f>"PTPN12"</f>
        <v>PTPN12</v>
      </c>
      <c r="B22170" s="6" t="s">
        <v>1</v>
      </c>
      <c r="C22170" s="6" t="s">
        <v>1</v>
      </c>
    </row>
    <row r="22171" spans="1:3" s="7" customFormat="1" x14ac:dyDescent="0.2">
      <c r="A22171" s="6" t="str">
        <f>"SNX4"</f>
        <v>SNX4</v>
      </c>
      <c r="B22171" s="6" t="s">
        <v>1</v>
      </c>
      <c r="C22171" s="6" t="s">
        <v>1</v>
      </c>
    </row>
    <row r="22172" spans="1:3" s="7" customFormat="1" x14ac:dyDescent="0.2">
      <c r="A22172" s="6" t="str">
        <f>"EMC1"</f>
        <v>EMC1</v>
      </c>
      <c r="B22172" s="6" t="s">
        <v>1</v>
      </c>
      <c r="C22172" s="6" t="s">
        <v>1</v>
      </c>
    </row>
    <row r="22173" spans="1:3" s="7" customFormat="1" x14ac:dyDescent="0.2">
      <c r="A22173" s="6" t="str">
        <f>"IFT52"</f>
        <v>IFT52</v>
      </c>
      <c r="B22173" s="6" t="s">
        <v>1</v>
      </c>
      <c r="C22173" s="6" t="s">
        <v>1</v>
      </c>
    </row>
    <row r="22174" spans="1:3" s="7" customFormat="1" x14ac:dyDescent="0.2">
      <c r="A22174" s="6" t="str">
        <f>"MRPS31"</f>
        <v>MRPS31</v>
      </c>
      <c r="B22174" s="6" t="s">
        <v>1</v>
      </c>
      <c r="C22174" s="6" t="s">
        <v>1</v>
      </c>
    </row>
    <row r="22175" spans="1:3" s="7" customFormat="1" x14ac:dyDescent="0.2">
      <c r="A22175" s="6" t="str">
        <f>"BTD"</f>
        <v>BTD</v>
      </c>
      <c r="B22175" s="6" t="s">
        <v>1</v>
      </c>
      <c r="C22175" s="6" t="s">
        <v>1</v>
      </c>
    </row>
    <row r="22176" spans="1:3" s="7" customFormat="1" x14ac:dyDescent="0.2">
      <c r="A22176" s="6" t="str">
        <f>"MDN1"</f>
        <v>MDN1</v>
      </c>
      <c r="B22176" s="6" t="s">
        <v>1</v>
      </c>
      <c r="C22176" s="6" t="s">
        <v>1</v>
      </c>
    </row>
    <row r="22177" spans="1:3" s="7" customFormat="1" x14ac:dyDescent="0.2">
      <c r="A22177" s="6" t="str">
        <f>"RANBP10"</f>
        <v>RANBP10</v>
      </c>
      <c r="B22177" s="6" t="s">
        <v>1</v>
      </c>
      <c r="C22177" s="6" t="s">
        <v>1</v>
      </c>
    </row>
    <row r="22178" spans="1:3" s="7" customFormat="1" x14ac:dyDescent="0.2">
      <c r="A22178" s="6" t="str">
        <f>"REV3L"</f>
        <v>REV3L</v>
      </c>
      <c r="B22178" s="6" t="s">
        <v>1</v>
      </c>
      <c r="C22178" s="6" t="s">
        <v>1</v>
      </c>
    </row>
    <row r="22179" spans="1:3" s="7" customFormat="1" x14ac:dyDescent="0.2">
      <c r="A22179" s="6" t="str">
        <f>"MDH1B"</f>
        <v>MDH1B</v>
      </c>
      <c r="B22179" s="6" t="s">
        <v>1</v>
      </c>
      <c r="C22179" s="6" t="s">
        <v>1</v>
      </c>
    </row>
    <row r="22180" spans="1:3" s="7" customFormat="1" x14ac:dyDescent="0.2">
      <c r="A22180" s="6" t="str">
        <f>"SHARPIN"</f>
        <v>SHARPIN</v>
      </c>
      <c r="B22180" s="6" t="s">
        <v>1</v>
      </c>
      <c r="C22180" s="6" t="s">
        <v>1</v>
      </c>
    </row>
    <row r="22181" spans="1:3" s="7" customFormat="1" x14ac:dyDescent="0.2">
      <c r="A22181" s="6" t="str">
        <f>"TRIM13"</f>
        <v>TRIM13</v>
      </c>
      <c r="B22181" s="6" t="s">
        <v>1</v>
      </c>
      <c r="C22181" s="6" t="s">
        <v>1</v>
      </c>
    </row>
    <row r="22182" spans="1:3" s="7" customFormat="1" x14ac:dyDescent="0.2">
      <c r="A22182" s="6" t="str">
        <f>"NEK7"</f>
        <v>NEK7</v>
      </c>
      <c r="B22182" s="6" t="s">
        <v>1</v>
      </c>
      <c r="C22182" s="6" t="s">
        <v>1</v>
      </c>
    </row>
    <row r="22183" spans="1:3" s="7" customFormat="1" x14ac:dyDescent="0.2">
      <c r="A22183" s="6" t="str">
        <f>"KLHL12"</f>
        <v>KLHL12</v>
      </c>
      <c r="B22183" s="6" t="s">
        <v>1</v>
      </c>
      <c r="C22183" s="6" t="s">
        <v>1</v>
      </c>
    </row>
    <row r="22184" spans="1:3" s="7" customFormat="1" x14ac:dyDescent="0.2">
      <c r="A22184" s="6" t="str">
        <f>"MSL3"</f>
        <v>MSL3</v>
      </c>
      <c r="B22184" s="6" t="s">
        <v>1</v>
      </c>
      <c r="C22184" s="6" t="s">
        <v>1</v>
      </c>
    </row>
    <row r="22185" spans="1:3" s="7" customFormat="1" x14ac:dyDescent="0.2">
      <c r="A22185" s="6" t="str">
        <f>"NELFA"</f>
        <v>NELFA</v>
      </c>
      <c r="B22185" s="6" t="s">
        <v>1</v>
      </c>
      <c r="C22185" s="6" t="s">
        <v>1</v>
      </c>
    </row>
    <row r="22186" spans="1:3" s="7" customFormat="1" x14ac:dyDescent="0.2">
      <c r="A22186" s="6" t="str">
        <f>"IPMK"</f>
        <v>IPMK</v>
      </c>
      <c r="B22186" s="6" t="s">
        <v>1</v>
      </c>
      <c r="C22186" s="6" t="s">
        <v>1</v>
      </c>
    </row>
    <row r="22187" spans="1:3" s="7" customFormat="1" x14ac:dyDescent="0.2">
      <c r="A22187" s="6" t="str">
        <f>"FAM104A"</f>
        <v>FAM104A</v>
      </c>
      <c r="B22187" s="6" t="s">
        <v>1</v>
      </c>
      <c r="C22187" s="6" t="s">
        <v>1</v>
      </c>
    </row>
    <row r="22188" spans="1:3" s="7" customFormat="1" x14ac:dyDescent="0.2">
      <c r="A22188" s="6" t="str">
        <f>"EXTL3"</f>
        <v>EXTL3</v>
      </c>
      <c r="B22188" s="6" t="s">
        <v>1</v>
      </c>
      <c r="C22188" s="6" t="s">
        <v>1</v>
      </c>
    </row>
    <row r="22189" spans="1:3" s="7" customFormat="1" x14ac:dyDescent="0.2">
      <c r="A22189" s="6" t="str">
        <f>"DOCK6"</f>
        <v>DOCK6</v>
      </c>
      <c r="B22189" s="6" t="s">
        <v>1</v>
      </c>
      <c r="C22189" s="6" t="s">
        <v>1</v>
      </c>
    </row>
    <row r="22190" spans="1:3" s="7" customFormat="1" x14ac:dyDescent="0.2">
      <c r="A22190" s="6" t="str">
        <f>"VEZT"</f>
        <v>VEZT</v>
      </c>
      <c r="B22190" s="6" t="s">
        <v>1</v>
      </c>
      <c r="C22190" s="6" t="s">
        <v>1</v>
      </c>
    </row>
    <row r="22191" spans="1:3" s="7" customFormat="1" x14ac:dyDescent="0.2">
      <c r="A22191" s="6" t="str">
        <f>"RNF185"</f>
        <v>RNF185</v>
      </c>
      <c r="B22191" s="6" t="s">
        <v>1</v>
      </c>
      <c r="C22191" s="6" t="s">
        <v>1</v>
      </c>
    </row>
    <row r="22192" spans="1:3" s="7" customFormat="1" x14ac:dyDescent="0.2">
      <c r="A22192" s="6" t="str">
        <f>"OARD1"</f>
        <v>OARD1</v>
      </c>
      <c r="B22192" s="6" t="s">
        <v>1</v>
      </c>
      <c r="C22192" s="6" t="s">
        <v>1</v>
      </c>
    </row>
    <row r="22193" spans="1:3" s="7" customFormat="1" x14ac:dyDescent="0.2">
      <c r="A22193" s="6" t="str">
        <f>"ECHDC2"</f>
        <v>ECHDC2</v>
      </c>
      <c r="B22193" s="6" t="s">
        <v>1</v>
      </c>
      <c r="C22193" s="6" t="s">
        <v>1</v>
      </c>
    </row>
    <row r="22194" spans="1:3" s="7" customFormat="1" x14ac:dyDescent="0.2">
      <c r="A22194" s="6" t="str">
        <f>"DNM1L"</f>
        <v>DNM1L</v>
      </c>
      <c r="B22194" s="6" t="s">
        <v>1</v>
      </c>
      <c r="C22194" s="6" t="s">
        <v>1</v>
      </c>
    </row>
    <row r="22195" spans="1:3" s="7" customFormat="1" x14ac:dyDescent="0.2">
      <c r="A22195" s="6" t="str">
        <f>"CRYBG3"</f>
        <v>CRYBG3</v>
      </c>
      <c r="B22195" s="6" t="s">
        <v>1</v>
      </c>
      <c r="C22195" s="6" t="s">
        <v>1</v>
      </c>
    </row>
    <row r="22196" spans="1:3" s="7" customFormat="1" x14ac:dyDescent="0.2">
      <c r="A22196" s="6" t="str">
        <f>"DELE1"</f>
        <v>DELE1</v>
      </c>
      <c r="B22196" s="6" t="s">
        <v>1</v>
      </c>
      <c r="C22196" s="6" t="s">
        <v>1</v>
      </c>
    </row>
    <row r="22197" spans="1:3" s="7" customFormat="1" x14ac:dyDescent="0.2">
      <c r="A22197" s="6" t="str">
        <f>"INPP4B"</f>
        <v>INPP4B</v>
      </c>
      <c r="B22197" s="6" t="s">
        <v>1</v>
      </c>
      <c r="C22197" s="6" t="s">
        <v>1</v>
      </c>
    </row>
    <row r="22198" spans="1:3" s="7" customFormat="1" x14ac:dyDescent="0.2">
      <c r="A22198" s="6" t="str">
        <f>"PTPN9"</f>
        <v>PTPN9</v>
      </c>
      <c r="B22198" s="6" t="s">
        <v>1</v>
      </c>
      <c r="C22198" s="6" t="s">
        <v>1</v>
      </c>
    </row>
    <row r="22199" spans="1:3" s="7" customFormat="1" x14ac:dyDescent="0.2">
      <c r="A22199" s="6" t="str">
        <f>"PCMTD2"</f>
        <v>PCMTD2</v>
      </c>
      <c r="B22199" s="6" t="s">
        <v>1</v>
      </c>
      <c r="C22199" s="6" t="s">
        <v>1</v>
      </c>
    </row>
    <row r="22200" spans="1:3" s="7" customFormat="1" x14ac:dyDescent="0.2">
      <c r="A22200" s="6" t="str">
        <f>"VKORC1L1"</f>
        <v>VKORC1L1</v>
      </c>
      <c r="B22200" s="6" t="s">
        <v>1</v>
      </c>
      <c r="C22200" s="6" t="s">
        <v>1</v>
      </c>
    </row>
    <row r="22201" spans="1:3" s="7" customFormat="1" x14ac:dyDescent="0.2">
      <c r="A22201" s="6" t="str">
        <f>"INSIG1"</f>
        <v>INSIG1</v>
      </c>
      <c r="B22201" s="6" t="s">
        <v>1</v>
      </c>
      <c r="C22201" s="6" t="s">
        <v>1</v>
      </c>
    </row>
    <row r="22202" spans="1:3" s="7" customFormat="1" x14ac:dyDescent="0.2">
      <c r="A22202" s="6" t="str">
        <f>"PLEKHG3"</f>
        <v>PLEKHG3</v>
      </c>
      <c r="B22202" s="6" t="s">
        <v>1</v>
      </c>
      <c r="C22202" s="6" t="s">
        <v>1</v>
      </c>
    </row>
    <row r="22203" spans="1:3" s="7" customFormat="1" x14ac:dyDescent="0.2">
      <c r="A22203" s="6" t="str">
        <f>"SHB"</f>
        <v>SHB</v>
      </c>
      <c r="B22203" s="6" t="s">
        <v>1</v>
      </c>
      <c r="C22203" s="6" t="s">
        <v>1</v>
      </c>
    </row>
    <row r="22204" spans="1:3" s="7" customFormat="1" x14ac:dyDescent="0.2">
      <c r="A22204" s="6" t="str">
        <f>"PPIC"</f>
        <v>PPIC</v>
      </c>
      <c r="B22204" s="6" t="s">
        <v>1</v>
      </c>
      <c r="C22204" s="6" t="s">
        <v>1</v>
      </c>
    </row>
    <row r="22205" spans="1:3" s="7" customFormat="1" x14ac:dyDescent="0.2">
      <c r="A22205" s="6" t="str">
        <f>"HAT1"</f>
        <v>HAT1</v>
      </c>
      <c r="B22205" s="6" t="s">
        <v>1</v>
      </c>
      <c r="C22205" s="6" t="s">
        <v>1</v>
      </c>
    </row>
    <row r="22206" spans="1:3" s="7" customFormat="1" x14ac:dyDescent="0.2">
      <c r="A22206" s="6" t="str">
        <f>"SLC25A46"</f>
        <v>SLC25A46</v>
      </c>
      <c r="B22206" s="6" t="s">
        <v>1</v>
      </c>
      <c r="C22206" s="6" t="s">
        <v>1</v>
      </c>
    </row>
    <row r="22207" spans="1:3" s="7" customFormat="1" x14ac:dyDescent="0.2">
      <c r="A22207" s="6" t="str">
        <f>"PCMT1"</f>
        <v>PCMT1</v>
      </c>
      <c r="B22207" s="6" t="s">
        <v>1</v>
      </c>
      <c r="C22207" s="6" t="s">
        <v>1</v>
      </c>
    </row>
    <row r="22208" spans="1:3" s="7" customFormat="1" x14ac:dyDescent="0.2">
      <c r="A22208" s="6" t="str">
        <f>"NDUFB11"</f>
        <v>NDUFB11</v>
      </c>
      <c r="B22208" s="6" t="s">
        <v>1</v>
      </c>
      <c r="C22208" s="6" t="s">
        <v>1</v>
      </c>
    </row>
    <row r="22209" spans="1:3" s="7" customFormat="1" x14ac:dyDescent="0.2">
      <c r="A22209" s="6" t="str">
        <f>"PDCD11"</f>
        <v>PDCD11</v>
      </c>
      <c r="B22209" s="6" t="s">
        <v>1</v>
      </c>
      <c r="C22209" s="6" t="s">
        <v>1</v>
      </c>
    </row>
    <row r="22210" spans="1:3" s="7" customFormat="1" x14ac:dyDescent="0.2">
      <c r="A22210" s="6" t="str">
        <f>"SMAD5"</f>
        <v>SMAD5</v>
      </c>
      <c r="B22210" s="6" t="s">
        <v>1</v>
      </c>
      <c r="C22210" s="6" t="s">
        <v>1</v>
      </c>
    </row>
    <row r="22211" spans="1:3" s="7" customFormat="1" x14ac:dyDescent="0.2">
      <c r="A22211" s="6" t="str">
        <f>"LEPROTL1"</f>
        <v>LEPROTL1</v>
      </c>
      <c r="B22211" s="6" t="s">
        <v>1</v>
      </c>
      <c r="C22211" s="6" t="s">
        <v>1</v>
      </c>
    </row>
    <row r="22212" spans="1:3" s="7" customFormat="1" x14ac:dyDescent="0.2">
      <c r="A22212" s="6" t="str">
        <f>"TGFA"</f>
        <v>TGFA</v>
      </c>
      <c r="B22212" s="6" t="s">
        <v>1</v>
      </c>
      <c r="C22212" s="6" t="s">
        <v>1</v>
      </c>
    </row>
    <row r="22213" spans="1:3" s="7" customFormat="1" x14ac:dyDescent="0.2">
      <c r="A22213" s="6" t="str">
        <f>"SNX7"</f>
        <v>SNX7</v>
      </c>
      <c r="B22213" s="6" t="s">
        <v>1</v>
      </c>
      <c r="C22213" s="6" t="s">
        <v>1</v>
      </c>
    </row>
    <row r="22214" spans="1:3" s="7" customFormat="1" x14ac:dyDescent="0.2">
      <c r="A22214" s="6" t="str">
        <f>"COG6"</f>
        <v>COG6</v>
      </c>
      <c r="B22214" s="6" t="s">
        <v>1</v>
      </c>
      <c r="C22214" s="6" t="s">
        <v>1</v>
      </c>
    </row>
    <row r="22215" spans="1:3" s="7" customFormat="1" x14ac:dyDescent="0.2">
      <c r="A22215" s="6" t="str">
        <f>"HADH"</f>
        <v>HADH</v>
      </c>
      <c r="B22215" s="6" t="s">
        <v>1</v>
      </c>
      <c r="C22215" s="6" t="s">
        <v>1</v>
      </c>
    </row>
    <row r="22216" spans="1:3" s="7" customFormat="1" x14ac:dyDescent="0.2">
      <c r="A22216" s="6" t="str">
        <f>"ALDH16A1"</f>
        <v>ALDH16A1</v>
      </c>
      <c r="B22216" s="6" t="s">
        <v>1</v>
      </c>
      <c r="C22216" s="6" t="s">
        <v>1</v>
      </c>
    </row>
    <row r="22217" spans="1:3" s="7" customFormat="1" x14ac:dyDescent="0.2">
      <c r="A22217" s="6" t="str">
        <f>"ADPGK"</f>
        <v>ADPGK</v>
      </c>
      <c r="B22217" s="6" t="s">
        <v>1</v>
      </c>
      <c r="C22217" s="6" t="s">
        <v>1</v>
      </c>
    </row>
    <row r="22218" spans="1:3" s="7" customFormat="1" x14ac:dyDescent="0.2">
      <c r="A22218" s="6" t="str">
        <f>"TGIF1"</f>
        <v>TGIF1</v>
      </c>
      <c r="B22218" s="6" t="s">
        <v>1</v>
      </c>
      <c r="C22218" s="6" t="s">
        <v>1</v>
      </c>
    </row>
    <row r="22219" spans="1:3" s="7" customFormat="1" x14ac:dyDescent="0.2">
      <c r="A22219" s="6" t="str">
        <f>"MRPS26"</f>
        <v>MRPS26</v>
      </c>
      <c r="B22219" s="6" t="s">
        <v>1</v>
      </c>
      <c r="C22219" s="6" t="s">
        <v>1</v>
      </c>
    </row>
    <row r="22220" spans="1:3" s="7" customFormat="1" x14ac:dyDescent="0.2">
      <c r="A22220" s="6" t="str">
        <f>"IPO11"</f>
        <v>IPO11</v>
      </c>
      <c r="B22220" s="6" t="s">
        <v>1</v>
      </c>
      <c r="C22220" s="6" t="s">
        <v>1</v>
      </c>
    </row>
    <row r="22221" spans="1:3" s="7" customFormat="1" x14ac:dyDescent="0.2">
      <c r="A22221" s="6" t="str">
        <f>"BTF3L4"</f>
        <v>BTF3L4</v>
      </c>
      <c r="B22221" s="6" t="s">
        <v>1</v>
      </c>
      <c r="C22221" s="6" t="s">
        <v>1</v>
      </c>
    </row>
    <row r="22222" spans="1:3" s="7" customFormat="1" x14ac:dyDescent="0.2">
      <c r="A22222" s="6" t="str">
        <f>"MKS1"</f>
        <v>MKS1</v>
      </c>
      <c r="B22222" s="6" t="s">
        <v>1</v>
      </c>
      <c r="C22222" s="6" t="s">
        <v>1</v>
      </c>
    </row>
    <row r="22223" spans="1:3" s="7" customFormat="1" x14ac:dyDescent="0.2">
      <c r="A22223" s="6" t="str">
        <f>"EMC2"</f>
        <v>EMC2</v>
      </c>
      <c r="B22223" s="6" t="s">
        <v>1</v>
      </c>
      <c r="C22223" s="6" t="s">
        <v>1</v>
      </c>
    </row>
    <row r="22224" spans="1:3" s="7" customFormat="1" x14ac:dyDescent="0.2">
      <c r="A22224" s="6" t="str">
        <f>"PACSIN3"</f>
        <v>PACSIN3</v>
      </c>
      <c r="B22224" s="6" t="s">
        <v>1</v>
      </c>
      <c r="C22224" s="6" t="s">
        <v>1</v>
      </c>
    </row>
    <row r="22225" spans="1:3" s="7" customFormat="1" x14ac:dyDescent="0.2">
      <c r="A22225" s="6" t="str">
        <f>"EXT1"</f>
        <v>EXT1</v>
      </c>
      <c r="B22225" s="6" t="s">
        <v>1</v>
      </c>
      <c r="C22225" s="6" t="s">
        <v>1</v>
      </c>
    </row>
    <row r="22226" spans="1:3" s="7" customFormat="1" x14ac:dyDescent="0.2">
      <c r="A22226" s="6" t="str">
        <f>"CCSER2"</f>
        <v>CCSER2</v>
      </c>
      <c r="B22226" s="6" t="s">
        <v>1</v>
      </c>
      <c r="C22226" s="6" t="s">
        <v>1</v>
      </c>
    </row>
    <row r="22227" spans="1:3" s="7" customFormat="1" x14ac:dyDescent="0.2">
      <c r="A22227" s="6" t="str">
        <f>"DNAJC15"</f>
        <v>DNAJC15</v>
      </c>
      <c r="B22227" s="6" t="s">
        <v>1</v>
      </c>
      <c r="C22227" s="6" t="s">
        <v>1</v>
      </c>
    </row>
    <row r="22228" spans="1:3" s="7" customFormat="1" x14ac:dyDescent="0.2">
      <c r="A22228" s="6" t="str">
        <f>"STXBP1"</f>
        <v>STXBP1</v>
      </c>
      <c r="B22228" s="6" t="s">
        <v>1</v>
      </c>
      <c r="C22228" s="6" t="s">
        <v>1</v>
      </c>
    </row>
    <row r="22229" spans="1:3" s="7" customFormat="1" x14ac:dyDescent="0.2">
      <c r="A22229" s="6" t="str">
        <f>"PCMTD1"</f>
        <v>PCMTD1</v>
      </c>
      <c r="B22229" s="6" t="s">
        <v>1</v>
      </c>
      <c r="C22229" s="6" t="s">
        <v>1</v>
      </c>
    </row>
    <row r="22230" spans="1:3" s="7" customFormat="1" x14ac:dyDescent="0.2">
      <c r="A22230" s="6" t="str">
        <f>"STYXL1"</f>
        <v>STYXL1</v>
      </c>
      <c r="B22230" s="6" t="s">
        <v>1</v>
      </c>
      <c r="C22230" s="6" t="s">
        <v>1</v>
      </c>
    </row>
    <row r="22231" spans="1:3" s="7" customFormat="1" x14ac:dyDescent="0.2">
      <c r="A22231" s="6" t="str">
        <f>"HMGCS2"</f>
        <v>HMGCS2</v>
      </c>
      <c r="B22231" s="6" t="s">
        <v>1</v>
      </c>
      <c r="C22231" s="6" t="s">
        <v>1</v>
      </c>
    </row>
    <row r="22232" spans="1:3" s="7" customFormat="1" x14ac:dyDescent="0.2">
      <c r="A22232" s="6" t="str">
        <f>"MAFK"</f>
        <v>MAFK</v>
      </c>
      <c r="B22232" s="6" t="s">
        <v>1</v>
      </c>
      <c r="C22232" s="6" t="s">
        <v>1</v>
      </c>
    </row>
    <row r="22233" spans="1:3" s="7" customFormat="1" x14ac:dyDescent="0.2">
      <c r="A22233" s="6" t="str">
        <f>"UBXN7"</f>
        <v>UBXN7</v>
      </c>
      <c r="B22233" s="6" t="s">
        <v>1</v>
      </c>
      <c r="C22233" s="6" t="s">
        <v>1</v>
      </c>
    </row>
    <row r="22234" spans="1:3" s="7" customFormat="1" x14ac:dyDescent="0.2">
      <c r="A22234" s="6" t="str">
        <f>"NXN"</f>
        <v>NXN</v>
      </c>
      <c r="B22234" s="6" t="s">
        <v>1</v>
      </c>
      <c r="C22234" s="6" t="s">
        <v>1</v>
      </c>
    </row>
    <row r="22235" spans="1:3" s="7" customFormat="1" x14ac:dyDescent="0.2">
      <c r="A22235" s="6" t="str">
        <f>"DEF8"</f>
        <v>DEF8</v>
      </c>
      <c r="B22235" s="6" t="s">
        <v>1</v>
      </c>
      <c r="C22235" s="6" t="s">
        <v>1</v>
      </c>
    </row>
    <row r="22236" spans="1:3" s="7" customFormat="1" x14ac:dyDescent="0.2">
      <c r="A22236" s="6" t="str">
        <f>"CYP20A1"</f>
        <v>CYP20A1</v>
      </c>
      <c r="B22236" s="6" t="s">
        <v>1</v>
      </c>
      <c r="C22236" s="6" t="s">
        <v>1</v>
      </c>
    </row>
    <row r="22237" spans="1:3" s="7" customFormat="1" x14ac:dyDescent="0.2">
      <c r="A22237" s="6" t="str">
        <f>"MED14"</f>
        <v>MED14</v>
      </c>
      <c r="B22237" s="6" t="s">
        <v>1</v>
      </c>
      <c r="C22237" s="6" t="s">
        <v>1</v>
      </c>
    </row>
    <row r="22238" spans="1:3" s="7" customFormat="1" x14ac:dyDescent="0.2">
      <c r="A22238" s="6" t="str">
        <f>"MKLN1"</f>
        <v>MKLN1</v>
      </c>
      <c r="B22238" s="6" t="s">
        <v>1</v>
      </c>
      <c r="C22238" s="6" t="s">
        <v>1</v>
      </c>
    </row>
    <row r="22239" spans="1:3" s="7" customFormat="1" x14ac:dyDescent="0.2">
      <c r="A22239" s="6" t="str">
        <f>"NDUFV3"</f>
        <v>NDUFV3</v>
      </c>
      <c r="B22239" s="6" t="s">
        <v>1</v>
      </c>
      <c r="C22239" s="6" t="s">
        <v>1</v>
      </c>
    </row>
    <row r="22240" spans="1:3" s="7" customFormat="1" x14ac:dyDescent="0.2">
      <c r="A22240" s="6" t="str">
        <f>"COG4"</f>
        <v>COG4</v>
      </c>
      <c r="B22240" s="6" t="s">
        <v>1</v>
      </c>
      <c r="C22240" s="6" t="s">
        <v>1</v>
      </c>
    </row>
    <row r="22241" spans="1:3" s="7" customFormat="1" x14ac:dyDescent="0.2">
      <c r="A22241" s="6" t="str">
        <f>"NDUFS7"</f>
        <v>NDUFS7</v>
      </c>
      <c r="B22241" s="6" t="s">
        <v>1</v>
      </c>
      <c r="C22241" s="6" t="s">
        <v>1</v>
      </c>
    </row>
    <row r="22242" spans="1:3" s="7" customFormat="1" x14ac:dyDescent="0.2">
      <c r="A22242" s="6" t="str">
        <f>"CDKN2B"</f>
        <v>CDKN2B</v>
      </c>
      <c r="B22242" s="6" t="s">
        <v>1</v>
      </c>
      <c r="C22242" s="6" t="s">
        <v>1</v>
      </c>
    </row>
    <row r="22243" spans="1:3" s="7" customFormat="1" x14ac:dyDescent="0.2">
      <c r="A22243" s="6" t="str">
        <f>"MACO1"</f>
        <v>MACO1</v>
      </c>
      <c r="B22243" s="6" t="s">
        <v>1</v>
      </c>
      <c r="C22243" s="6" t="s">
        <v>1</v>
      </c>
    </row>
    <row r="22244" spans="1:3" s="7" customFormat="1" x14ac:dyDescent="0.2">
      <c r="A22244" s="6" t="str">
        <f>"CCNL1"</f>
        <v>CCNL1</v>
      </c>
      <c r="B22244" s="6" t="s">
        <v>1</v>
      </c>
      <c r="C22244" s="6" t="s">
        <v>1</v>
      </c>
    </row>
    <row r="22245" spans="1:3" s="7" customFormat="1" x14ac:dyDescent="0.2">
      <c r="A22245" s="6" t="str">
        <f>"SOS2"</f>
        <v>SOS2</v>
      </c>
      <c r="B22245" s="6" t="s">
        <v>1</v>
      </c>
      <c r="C22245" s="6" t="s">
        <v>1</v>
      </c>
    </row>
    <row r="22246" spans="1:3" s="7" customFormat="1" x14ac:dyDescent="0.2">
      <c r="A22246" s="6" t="str">
        <f>"NUP88"</f>
        <v>NUP88</v>
      </c>
      <c r="B22246" s="6" t="s">
        <v>1</v>
      </c>
      <c r="C22246" s="6" t="s">
        <v>1</v>
      </c>
    </row>
    <row r="22247" spans="1:3" s="7" customFormat="1" x14ac:dyDescent="0.2">
      <c r="A22247" s="6" t="str">
        <f>"PPHLN1"</f>
        <v>PPHLN1</v>
      </c>
      <c r="B22247" s="6" t="s">
        <v>1</v>
      </c>
      <c r="C22247" s="6" t="s">
        <v>1</v>
      </c>
    </row>
    <row r="22248" spans="1:3" s="7" customFormat="1" x14ac:dyDescent="0.2">
      <c r="A22248" s="6" t="str">
        <f>"EEA1"</f>
        <v>EEA1</v>
      </c>
      <c r="B22248" s="6" t="s">
        <v>1</v>
      </c>
      <c r="C22248" s="6" t="s">
        <v>1</v>
      </c>
    </row>
    <row r="22249" spans="1:3" s="7" customFormat="1" x14ac:dyDescent="0.2">
      <c r="A22249" s="6" t="str">
        <f>"MRPS27"</f>
        <v>MRPS27</v>
      </c>
      <c r="B22249" s="6" t="s">
        <v>1</v>
      </c>
      <c r="C22249" s="6" t="s">
        <v>1</v>
      </c>
    </row>
    <row r="22250" spans="1:3" s="7" customFormat="1" x14ac:dyDescent="0.2">
      <c r="A22250" s="6" t="str">
        <f>"BRD3"</f>
        <v>BRD3</v>
      </c>
      <c r="B22250" s="6" t="s">
        <v>1</v>
      </c>
      <c r="C22250" s="6" t="s">
        <v>1</v>
      </c>
    </row>
    <row r="22251" spans="1:3" s="7" customFormat="1" x14ac:dyDescent="0.2">
      <c r="A22251" s="6" t="str">
        <f>"RAMP1"</f>
        <v>RAMP1</v>
      </c>
      <c r="B22251" s="6" t="s">
        <v>1</v>
      </c>
      <c r="C22251" s="6" t="s">
        <v>1</v>
      </c>
    </row>
    <row r="22252" spans="1:3" s="7" customFormat="1" x14ac:dyDescent="0.2">
      <c r="A22252" s="6" t="str">
        <f>"BRD8"</f>
        <v>BRD8</v>
      </c>
      <c r="B22252" s="6" t="s">
        <v>1</v>
      </c>
      <c r="C22252" s="6" t="s">
        <v>1</v>
      </c>
    </row>
    <row r="22253" spans="1:3" s="7" customFormat="1" x14ac:dyDescent="0.2">
      <c r="A22253" s="6" t="str">
        <f>"KLHDC7A"</f>
        <v>KLHDC7A</v>
      </c>
      <c r="B22253" s="6" t="s">
        <v>1</v>
      </c>
      <c r="C22253" s="6" t="s">
        <v>1</v>
      </c>
    </row>
    <row r="22254" spans="1:3" s="7" customFormat="1" x14ac:dyDescent="0.2">
      <c r="A22254" s="6" t="str">
        <f>"NDUFB3"</f>
        <v>NDUFB3</v>
      </c>
      <c r="B22254" s="6" t="s">
        <v>1</v>
      </c>
      <c r="C22254" s="6" t="s">
        <v>1</v>
      </c>
    </row>
    <row r="22255" spans="1:3" s="7" customFormat="1" x14ac:dyDescent="0.2">
      <c r="A22255" s="6" t="str">
        <f>"MRTFA"</f>
        <v>MRTFA</v>
      </c>
      <c r="B22255" s="6" t="s">
        <v>1</v>
      </c>
      <c r="C22255" s="6" t="s">
        <v>1</v>
      </c>
    </row>
    <row r="22256" spans="1:3" s="7" customFormat="1" x14ac:dyDescent="0.2">
      <c r="A22256" s="6" t="str">
        <f>"IGBP1"</f>
        <v>IGBP1</v>
      </c>
      <c r="B22256" s="6" t="s">
        <v>1</v>
      </c>
      <c r="C22256" s="6" t="s">
        <v>1</v>
      </c>
    </row>
    <row r="22257" spans="1:3" s="7" customFormat="1" x14ac:dyDescent="0.2">
      <c r="A22257" s="6" t="str">
        <f>"SUCO"</f>
        <v>SUCO</v>
      </c>
      <c r="B22257" s="6" t="s">
        <v>1</v>
      </c>
      <c r="C22257" s="6" t="s">
        <v>1</v>
      </c>
    </row>
    <row r="22258" spans="1:3" s="7" customFormat="1" x14ac:dyDescent="0.2">
      <c r="A22258" s="6" t="str">
        <f>"MAML1"</f>
        <v>MAML1</v>
      </c>
      <c r="B22258" s="6" t="s">
        <v>1</v>
      </c>
      <c r="C22258" s="6" t="s">
        <v>1</v>
      </c>
    </row>
    <row r="22259" spans="1:3" s="7" customFormat="1" x14ac:dyDescent="0.2">
      <c r="A22259" s="6" t="str">
        <f>"GLE1"</f>
        <v>GLE1</v>
      </c>
      <c r="B22259" s="6" t="s">
        <v>1</v>
      </c>
      <c r="C22259" s="6" t="s">
        <v>1</v>
      </c>
    </row>
    <row r="22260" spans="1:3" s="7" customFormat="1" x14ac:dyDescent="0.2">
      <c r="A22260" s="6" t="str">
        <f>"CYHR1"</f>
        <v>CYHR1</v>
      </c>
      <c r="B22260" s="6" t="s">
        <v>1</v>
      </c>
      <c r="C22260" s="6" t="s">
        <v>1</v>
      </c>
    </row>
    <row r="22261" spans="1:3" s="7" customFormat="1" x14ac:dyDescent="0.2">
      <c r="A22261" s="6" t="str">
        <f>"C2CD5"</f>
        <v>C2CD5</v>
      </c>
      <c r="B22261" s="6" t="s">
        <v>1</v>
      </c>
      <c r="C22261" s="6" t="s">
        <v>1</v>
      </c>
    </row>
    <row r="22262" spans="1:3" s="7" customFormat="1" x14ac:dyDescent="0.2">
      <c r="A22262" s="6" t="str">
        <f>"KCNE1"</f>
        <v>KCNE1</v>
      </c>
      <c r="B22262" s="6" t="s">
        <v>1</v>
      </c>
      <c r="C22262" s="6" t="s">
        <v>1</v>
      </c>
    </row>
    <row r="22263" spans="1:3" s="7" customFormat="1" x14ac:dyDescent="0.2">
      <c r="A22263" s="6" t="str">
        <f>"INTS14"</f>
        <v>INTS14</v>
      </c>
      <c r="B22263" s="6" t="s">
        <v>1</v>
      </c>
      <c r="C22263" s="6" t="s">
        <v>1</v>
      </c>
    </row>
    <row r="22264" spans="1:3" s="7" customFormat="1" x14ac:dyDescent="0.2">
      <c r="A22264" s="6" t="str">
        <f>"LDLRAD4"</f>
        <v>LDLRAD4</v>
      </c>
      <c r="B22264" s="6" t="s">
        <v>1</v>
      </c>
      <c r="C22264" s="6" t="s">
        <v>1</v>
      </c>
    </row>
    <row r="22265" spans="1:3" s="7" customFormat="1" x14ac:dyDescent="0.2">
      <c r="A22265" s="6" t="str">
        <f>"OXSR1"</f>
        <v>OXSR1</v>
      </c>
      <c r="B22265" s="6" t="s">
        <v>1</v>
      </c>
      <c r="C22265" s="6" t="s">
        <v>1</v>
      </c>
    </row>
    <row r="22266" spans="1:3" s="7" customFormat="1" x14ac:dyDescent="0.2">
      <c r="A22266" s="6" t="str">
        <f>"TBC1D17"</f>
        <v>TBC1D17</v>
      </c>
      <c r="B22266" s="6" t="s">
        <v>1</v>
      </c>
      <c r="C22266" s="6" t="s">
        <v>1</v>
      </c>
    </row>
    <row r="22267" spans="1:3" s="7" customFormat="1" x14ac:dyDescent="0.2">
      <c r="A22267" s="6" t="str">
        <f>"TNFRSF10B"</f>
        <v>TNFRSF10B</v>
      </c>
      <c r="B22267" s="6" t="s">
        <v>1</v>
      </c>
      <c r="C22267" s="6" t="s">
        <v>1</v>
      </c>
    </row>
    <row r="22268" spans="1:3" s="7" customFormat="1" x14ac:dyDescent="0.2">
      <c r="A22268" s="6" t="str">
        <f>"SLX1A"</f>
        <v>SLX1A</v>
      </c>
      <c r="B22268" s="6" t="s">
        <v>1</v>
      </c>
      <c r="C22268" s="6" t="s">
        <v>1</v>
      </c>
    </row>
    <row r="22269" spans="1:3" s="7" customFormat="1" x14ac:dyDescent="0.2">
      <c r="A22269" s="6" t="str">
        <f>"GPSM3"</f>
        <v>GPSM3</v>
      </c>
      <c r="B22269" s="6" t="s">
        <v>1</v>
      </c>
      <c r="C22269" s="6" t="s">
        <v>1</v>
      </c>
    </row>
    <row r="22270" spans="1:3" s="7" customFormat="1" x14ac:dyDescent="0.2">
      <c r="A22270" s="6" t="str">
        <f>"BAHD1"</f>
        <v>BAHD1</v>
      </c>
      <c r="B22270" s="6" t="s">
        <v>1</v>
      </c>
      <c r="C22270" s="6" t="s">
        <v>1</v>
      </c>
    </row>
    <row r="22271" spans="1:3" s="7" customFormat="1" x14ac:dyDescent="0.2">
      <c r="A22271" s="6" t="str">
        <f>"PPARD"</f>
        <v>PPARD</v>
      </c>
      <c r="B22271" s="6" t="s">
        <v>1</v>
      </c>
      <c r="C22271" s="6" t="s">
        <v>1</v>
      </c>
    </row>
    <row r="22272" spans="1:3" s="7" customFormat="1" x14ac:dyDescent="0.2">
      <c r="A22272" s="6" t="str">
        <f>"DNAJC13"</f>
        <v>DNAJC13</v>
      </c>
      <c r="B22272" s="6" t="s">
        <v>1</v>
      </c>
      <c r="C22272" s="6" t="s">
        <v>1</v>
      </c>
    </row>
    <row r="22273" spans="1:3" s="7" customFormat="1" x14ac:dyDescent="0.2">
      <c r="A22273" s="6" t="str">
        <f>"RNF123"</f>
        <v>RNF123</v>
      </c>
      <c r="B22273" s="6" t="s">
        <v>1</v>
      </c>
      <c r="C22273" s="6" t="s">
        <v>1</v>
      </c>
    </row>
    <row r="22274" spans="1:3" s="7" customFormat="1" x14ac:dyDescent="0.2">
      <c r="A22274" s="6" t="str">
        <f>"OBSL1"</f>
        <v>OBSL1</v>
      </c>
      <c r="B22274" s="6" t="s">
        <v>1</v>
      </c>
      <c r="C22274" s="6" t="s">
        <v>1</v>
      </c>
    </row>
    <row r="22275" spans="1:3" s="7" customFormat="1" x14ac:dyDescent="0.2">
      <c r="A22275" s="6" t="str">
        <f>"PHF8"</f>
        <v>PHF8</v>
      </c>
      <c r="B22275" s="6" t="s">
        <v>1</v>
      </c>
      <c r="C22275" s="6" t="s">
        <v>1</v>
      </c>
    </row>
    <row r="22276" spans="1:3" s="7" customFormat="1" x14ac:dyDescent="0.2">
      <c r="A22276" s="6" t="str">
        <f>"EYA1"</f>
        <v>EYA1</v>
      </c>
      <c r="B22276" s="6" t="s">
        <v>1</v>
      </c>
      <c r="C22276" s="6" t="s">
        <v>1</v>
      </c>
    </row>
    <row r="22277" spans="1:3" s="7" customFormat="1" x14ac:dyDescent="0.2">
      <c r="A22277" s="6" t="str">
        <f>"RNF144B"</f>
        <v>RNF144B</v>
      </c>
      <c r="B22277" s="6" t="s">
        <v>1</v>
      </c>
      <c r="C22277" s="6" t="s">
        <v>1</v>
      </c>
    </row>
    <row r="22278" spans="1:3" s="7" customFormat="1" x14ac:dyDescent="0.2">
      <c r="A22278" s="6" t="str">
        <f>"MLX"</f>
        <v>MLX</v>
      </c>
      <c r="B22278" s="6" t="s">
        <v>1</v>
      </c>
      <c r="C22278" s="6" t="s">
        <v>1</v>
      </c>
    </row>
    <row r="22279" spans="1:3" s="7" customFormat="1" x14ac:dyDescent="0.2">
      <c r="A22279" s="6" t="str">
        <f>"DNER"</f>
        <v>DNER</v>
      </c>
      <c r="B22279" s="6" t="s">
        <v>1</v>
      </c>
      <c r="C22279" s="6" t="s">
        <v>1</v>
      </c>
    </row>
    <row r="22280" spans="1:3" s="7" customFormat="1" x14ac:dyDescent="0.2">
      <c r="A22280" s="6" t="str">
        <f>"IFT88"</f>
        <v>IFT88</v>
      </c>
      <c r="B22280" s="6" t="s">
        <v>1</v>
      </c>
      <c r="C22280" s="6" t="s">
        <v>1</v>
      </c>
    </row>
    <row r="22281" spans="1:3" s="7" customFormat="1" x14ac:dyDescent="0.2">
      <c r="A22281" s="6" t="str">
        <f>"CCNC"</f>
        <v>CCNC</v>
      </c>
      <c r="B22281" s="6" t="s">
        <v>1</v>
      </c>
      <c r="C22281" s="6" t="s">
        <v>1</v>
      </c>
    </row>
    <row r="22282" spans="1:3" s="7" customFormat="1" x14ac:dyDescent="0.2">
      <c r="A22282" s="6" t="str">
        <f>"BRWD1"</f>
        <v>BRWD1</v>
      </c>
      <c r="B22282" s="6" t="s">
        <v>1</v>
      </c>
      <c r="C22282" s="6" t="s">
        <v>1</v>
      </c>
    </row>
    <row r="22283" spans="1:3" s="7" customFormat="1" x14ac:dyDescent="0.2">
      <c r="A22283" s="6" t="str">
        <f>"NEK1"</f>
        <v>NEK1</v>
      </c>
      <c r="B22283" s="6" t="s">
        <v>1</v>
      </c>
      <c r="C22283" s="6" t="s">
        <v>1</v>
      </c>
    </row>
    <row r="22284" spans="1:3" s="7" customFormat="1" x14ac:dyDescent="0.2">
      <c r="A22284" s="6" t="str">
        <f>"ECI1"</f>
        <v>ECI1</v>
      </c>
      <c r="B22284" s="6" t="s">
        <v>1</v>
      </c>
      <c r="C22284" s="6" t="s">
        <v>1</v>
      </c>
    </row>
    <row r="22285" spans="1:3" s="7" customFormat="1" x14ac:dyDescent="0.2">
      <c r="A22285" s="6" t="str">
        <f>"GRHL1"</f>
        <v>GRHL1</v>
      </c>
      <c r="B22285" s="6" t="s">
        <v>1</v>
      </c>
      <c r="C22285" s="6" t="s">
        <v>1</v>
      </c>
    </row>
    <row r="22286" spans="1:3" s="7" customFormat="1" x14ac:dyDescent="0.2">
      <c r="A22286" s="6" t="str">
        <f>"LPAR3"</f>
        <v>LPAR3</v>
      </c>
      <c r="B22286" s="6" t="s">
        <v>1</v>
      </c>
      <c r="C22286" s="6" t="s">
        <v>1</v>
      </c>
    </row>
    <row r="22287" spans="1:3" s="7" customFormat="1" x14ac:dyDescent="0.2">
      <c r="A22287" s="6" t="str">
        <f>"BRMS1"</f>
        <v>BRMS1</v>
      </c>
      <c r="B22287" s="6" t="s">
        <v>1</v>
      </c>
      <c r="C22287" s="6" t="s">
        <v>1</v>
      </c>
    </row>
    <row r="22288" spans="1:3" s="7" customFormat="1" x14ac:dyDescent="0.2">
      <c r="A22288" s="6" t="str">
        <f>"LEMD2"</f>
        <v>LEMD2</v>
      </c>
      <c r="B22288" s="6" t="s">
        <v>1</v>
      </c>
      <c r="C22288" s="6" t="s">
        <v>1</v>
      </c>
    </row>
    <row r="22289" spans="1:3" s="7" customFormat="1" x14ac:dyDescent="0.2">
      <c r="A22289" s="6" t="str">
        <f>"ZC3H15"</f>
        <v>ZC3H15</v>
      </c>
      <c r="B22289" s="6" t="s">
        <v>1</v>
      </c>
      <c r="C22289" s="6" t="s">
        <v>1</v>
      </c>
    </row>
    <row r="22290" spans="1:3" s="7" customFormat="1" x14ac:dyDescent="0.2">
      <c r="A22290" s="6" t="str">
        <f>"IQANK1"</f>
        <v>IQANK1</v>
      </c>
      <c r="B22290" s="6" t="s">
        <v>1</v>
      </c>
      <c r="C22290" s="6" t="s">
        <v>1</v>
      </c>
    </row>
    <row r="22291" spans="1:3" s="7" customFormat="1" x14ac:dyDescent="0.2">
      <c r="A22291" s="6" t="str">
        <f>"STX4"</f>
        <v>STX4</v>
      </c>
      <c r="B22291" s="6" t="s">
        <v>1</v>
      </c>
      <c r="C22291" s="6" t="s">
        <v>1</v>
      </c>
    </row>
    <row r="22292" spans="1:3" s="7" customFormat="1" x14ac:dyDescent="0.2">
      <c r="A22292" s="6" t="str">
        <f>"LINC02185"</f>
        <v>LINC02185</v>
      </c>
      <c r="B22292" s="6" t="s">
        <v>1</v>
      </c>
      <c r="C22292" s="6" t="s">
        <v>1</v>
      </c>
    </row>
    <row r="22293" spans="1:3" s="7" customFormat="1" x14ac:dyDescent="0.2">
      <c r="A22293" s="6" t="str">
        <f>"PROS1"</f>
        <v>PROS1</v>
      </c>
      <c r="B22293" s="6" t="s">
        <v>1</v>
      </c>
      <c r="C22293" s="6" t="s">
        <v>1</v>
      </c>
    </row>
    <row r="22294" spans="1:3" s="7" customFormat="1" x14ac:dyDescent="0.2">
      <c r="A22294" s="6" t="str">
        <f>"MRPS18B"</f>
        <v>MRPS18B</v>
      </c>
      <c r="B22294" s="6" t="s">
        <v>1</v>
      </c>
      <c r="C22294" s="6" t="s">
        <v>1</v>
      </c>
    </row>
    <row r="22295" spans="1:3" s="7" customFormat="1" x14ac:dyDescent="0.2">
      <c r="A22295" s="6" t="str">
        <f>"EXOSC6"</f>
        <v>EXOSC6</v>
      </c>
      <c r="B22295" s="6" t="s">
        <v>1</v>
      </c>
      <c r="C22295" s="6" t="s">
        <v>1</v>
      </c>
    </row>
    <row r="22296" spans="1:3" s="7" customFormat="1" x14ac:dyDescent="0.2">
      <c r="A22296" s="6" t="str">
        <f>"HMOX2"</f>
        <v>HMOX2</v>
      </c>
      <c r="B22296" s="6" t="s">
        <v>1</v>
      </c>
      <c r="C22296" s="6" t="s">
        <v>1</v>
      </c>
    </row>
    <row r="22297" spans="1:3" s="7" customFormat="1" x14ac:dyDescent="0.2">
      <c r="A22297" s="6" t="str">
        <f>"WIPI1"</f>
        <v>WIPI1</v>
      </c>
      <c r="B22297" s="6" t="s">
        <v>1</v>
      </c>
      <c r="C22297" s="6" t="s">
        <v>1</v>
      </c>
    </row>
    <row r="22298" spans="1:3" s="7" customFormat="1" x14ac:dyDescent="0.2">
      <c r="A22298" s="6" t="str">
        <f>"MYLIP"</f>
        <v>MYLIP</v>
      </c>
      <c r="B22298" s="6" t="s">
        <v>1</v>
      </c>
      <c r="C22298" s="6" t="s">
        <v>1</v>
      </c>
    </row>
    <row r="22299" spans="1:3" s="7" customFormat="1" x14ac:dyDescent="0.2">
      <c r="A22299" s="6" t="str">
        <f>"B4GALT2"</f>
        <v>B4GALT2</v>
      </c>
      <c r="B22299" s="6" t="s">
        <v>1</v>
      </c>
      <c r="C22299" s="6" t="s">
        <v>1</v>
      </c>
    </row>
    <row r="22300" spans="1:3" s="7" customFormat="1" x14ac:dyDescent="0.2">
      <c r="A22300" s="6" t="str">
        <f>"PCNT"</f>
        <v>PCNT</v>
      </c>
      <c r="B22300" s="6" t="s">
        <v>1</v>
      </c>
      <c r="C22300" s="6" t="s">
        <v>1</v>
      </c>
    </row>
    <row r="22301" spans="1:3" s="7" customFormat="1" x14ac:dyDescent="0.2">
      <c r="A22301" s="6" t="str">
        <f>"SEMA3A"</f>
        <v>SEMA3A</v>
      </c>
      <c r="B22301" s="6" t="s">
        <v>1</v>
      </c>
      <c r="C22301" s="6" t="s">
        <v>1</v>
      </c>
    </row>
    <row r="22302" spans="1:3" s="7" customFormat="1" x14ac:dyDescent="0.2">
      <c r="A22302" s="6" t="str">
        <f>"NOP10"</f>
        <v>NOP10</v>
      </c>
      <c r="B22302" s="6" t="s">
        <v>1</v>
      </c>
      <c r="C22302" s="6" t="s">
        <v>1</v>
      </c>
    </row>
    <row r="22303" spans="1:3" s="7" customFormat="1" x14ac:dyDescent="0.2">
      <c r="A22303" s="6" t="str">
        <f>"ZNF598"</f>
        <v>ZNF598</v>
      </c>
      <c r="B22303" s="6" t="s">
        <v>1</v>
      </c>
      <c r="C22303" s="6" t="s">
        <v>1</v>
      </c>
    </row>
    <row r="22304" spans="1:3" s="7" customFormat="1" x14ac:dyDescent="0.2">
      <c r="A22304" s="6" t="str">
        <f>"SUCLG1"</f>
        <v>SUCLG1</v>
      </c>
      <c r="B22304" s="6" t="s">
        <v>1</v>
      </c>
      <c r="C22304" s="6" t="s">
        <v>1</v>
      </c>
    </row>
    <row r="22305" spans="1:3" s="7" customFormat="1" x14ac:dyDescent="0.2">
      <c r="A22305" s="6" t="str">
        <f>"RALA"</f>
        <v>RALA</v>
      </c>
      <c r="B22305" s="6" t="s">
        <v>1</v>
      </c>
      <c r="C22305" s="6" t="s">
        <v>1</v>
      </c>
    </row>
    <row r="22306" spans="1:3" s="7" customFormat="1" x14ac:dyDescent="0.2">
      <c r="A22306" s="6" t="str">
        <f>"PDCD2"</f>
        <v>PDCD2</v>
      </c>
      <c r="B22306" s="6" t="s">
        <v>1</v>
      </c>
      <c r="C22306" s="6" t="s">
        <v>1</v>
      </c>
    </row>
    <row r="22307" spans="1:3" s="7" customFormat="1" x14ac:dyDescent="0.2">
      <c r="A22307" s="6" t="str">
        <f>"CYP27A1"</f>
        <v>CYP27A1</v>
      </c>
      <c r="B22307" s="6" t="s">
        <v>1</v>
      </c>
      <c r="C22307" s="6" t="s">
        <v>1</v>
      </c>
    </row>
    <row r="22308" spans="1:3" s="7" customFormat="1" x14ac:dyDescent="0.2">
      <c r="A22308" s="6" t="str">
        <f>"PLEKHH1"</f>
        <v>PLEKHH1</v>
      </c>
      <c r="B22308" s="6" t="s">
        <v>1</v>
      </c>
      <c r="C22308" s="6" t="s">
        <v>1</v>
      </c>
    </row>
    <row r="22309" spans="1:3" s="7" customFormat="1" x14ac:dyDescent="0.2">
      <c r="A22309" s="6" t="str">
        <f>"IQCB1"</f>
        <v>IQCB1</v>
      </c>
      <c r="B22309" s="6" t="s">
        <v>1</v>
      </c>
      <c r="C22309" s="6" t="s">
        <v>1</v>
      </c>
    </row>
    <row r="22310" spans="1:3" s="7" customFormat="1" x14ac:dyDescent="0.2">
      <c r="A22310" s="6" t="str">
        <f>"ZCCHC14"</f>
        <v>ZCCHC14</v>
      </c>
      <c r="B22310" s="6" t="s">
        <v>1</v>
      </c>
      <c r="C22310" s="6" t="s">
        <v>1</v>
      </c>
    </row>
    <row r="22311" spans="1:3" s="7" customFormat="1" x14ac:dyDescent="0.2">
      <c r="A22311" s="6" t="str">
        <f>"FLYWCH1"</f>
        <v>FLYWCH1</v>
      </c>
      <c r="B22311" s="6" t="s">
        <v>1</v>
      </c>
      <c r="C22311" s="6" t="s">
        <v>1</v>
      </c>
    </row>
    <row r="22312" spans="1:3" s="7" customFormat="1" x14ac:dyDescent="0.2">
      <c r="A22312" s="6" t="str">
        <f>"PRKX"</f>
        <v>PRKX</v>
      </c>
      <c r="B22312" s="6" t="s">
        <v>1</v>
      </c>
      <c r="C22312" s="6" t="s">
        <v>1</v>
      </c>
    </row>
    <row r="22313" spans="1:3" s="7" customFormat="1" x14ac:dyDescent="0.2">
      <c r="A22313" s="6" t="str">
        <f>"MCMBP"</f>
        <v>MCMBP</v>
      </c>
      <c r="B22313" s="6" t="s">
        <v>1</v>
      </c>
      <c r="C22313" s="6" t="s">
        <v>1</v>
      </c>
    </row>
    <row r="22314" spans="1:3" s="7" customFormat="1" x14ac:dyDescent="0.2">
      <c r="A22314" s="6" t="str">
        <f>"IPO13"</f>
        <v>IPO13</v>
      </c>
      <c r="B22314" s="6" t="s">
        <v>1</v>
      </c>
      <c r="C22314" s="6" t="s">
        <v>1</v>
      </c>
    </row>
    <row r="22315" spans="1:3" s="7" customFormat="1" x14ac:dyDescent="0.2">
      <c r="A22315" s="6" t="str">
        <f>"GLMP"</f>
        <v>GLMP</v>
      </c>
      <c r="B22315" s="6" t="s">
        <v>1</v>
      </c>
      <c r="C22315" s="6" t="s">
        <v>1</v>
      </c>
    </row>
    <row r="22316" spans="1:3" s="7" customFormat="1" x14ac:dyDescent="0.2">
      <c r="A22316" s="6" t="str">
        <f>"TFIP11"</f>
        <v>TFIP11</v>
      </c>
      <c r="B22316" s="6" t="s">
        <v>1</v>
      </c>
      <c r="C22316" s="6" t="s">
        <v>1</v>
      </c>
    </row>
    <row r="22317" spans="1:3" s="7" customFormat="1" x14ac:dyDescent="0.2">
      <c r="A22317" s="6" t="str">
        <f>"ASH2L"</f>
        <v>ASH2L</v>
      </c>
      <c r="B22317" s="6" t="s">
        <v>1</v>
      </c>
      <c r="C22317" s="6" t="s">
        <v>1</v>
      </c>
    </row>
    <row r="22318" spans="1:3" s="7" customFormat="1" x14ac:dyDescent="0.2">
      <c r="A22318" s="6" t="str">
        <f>"KCNH3"</f>
        <v>KCNH3</v>
      </c>
      <c r="B22318" s="6" t="s">
        <v>1</v>
      </c>
      <c r="C22318" s="6" t="s">
        <v>1</v>
      </c>
    </row>
    <row r="22319" spans="1:3" s="7" customFormat="1" x14ac:dyDescent="0.2">
      <c r="A22319" s="6" t="str">
        <f>"MRPS35"</f>
        <v>MRPS35</v>
      </c>
      <c r="B22319" s="6" t="s">
        <v>1</v>
      </c>
      <c r="C22319" s="6" t="s">
        <v>1</v>
      </c>
    </row>
    <row r="22320" spans="1:3" s="7" customFormat="1" x14ac:dyDescent="0.2">
      <c r="A22320" s="6" t="str">
        <f>"ASXL1"</f>
        <v>ASXL1</v>
      </c>
      <c r="B22320" s="6" t="s">
        <v>1</v>
      </c>
      <c r="C22320" s="6" t="s">
        <v>1</v>
      </c>
    </row>
    <row r="22321" spans="1:3" s="7" customFormat="1" x14ac:dyDescent="0.2">
      <c r="A22321" s="6" t="str">
        <f>"EBP"</f>
        <v>EBP</v>
      </c>
      <c r="B22321" s="6" t="s">
        <v>1</v>
      </c>
      <c r="C22321" s="6" t="s">
        <v>1</v>
      </c>
    </row>
    <row r="22322" spans="1:3" s="7" customFormat="1" x14ac:dyDescent="0.2">
      <c r="A22322" s="6" t="str">
        <f>"SRF"</f>
        <v>SRF</v>
      </c>
      <c r="B22322" s="6" t="s">
        <v>1</v>
      </c>
      <c r="C22322" s="6" t="s">
        <v>1</v>
      </c>
    </row>
    <row r="22323" spans="1:3" s="7" customFormat="1" x14ac:dyDescent="0.2">
      <c r="A22323" s="6" t="str">
        <f>"TBC1D2B"</f>
        <v>TBC1D2B</v>
      </c>
      <c r="B22323" s="6" t="s">
        <v>1</v>
      </c>
      <c r="C22323" s="6" t="s">
        <v>1</v>
      </c>
    </row>
    <row r="22324" spans="1:3" s="7" customFormat="1" x14ac:dyDescent="0.2">
      <c r="A22324" s="6" t="str">
        <f>"BTBD7"</f>
        <v>BTBD7</v>
      </c>
      <c r="B22324" s="6" t="s">
        <v>1</v>
      </c>
      <c r="C22324" s="6" t="s">
        <v>1</v>
      </c>
    </row>
    <row r="22325" spans="1:3" s="7" customFormat="1" x14ac:dyDescent="0.2">
      <c r="A22325" s="6" t="str">
        <f>"HBS1L"</f>
        <v>HBS1L</v>
      </c>
      <c r="B22325" s="6" t="s">
        <v>1</v>
      </c>
      <c r="C22325" s="6" t="s">
        <v>1</v>
      </c>
    </row>
    <row r="22326" spans="1:3" s="7" customFormat="1" x14ac:dyDescent="0.2">
      <c r="A22326" s="6" t="str">
        <f>"TNFAIP1"</f>
        <v>TNFAIP1</v>
      </c>
      <c r="B22326" s="6" t="s">
        <v>1</v>
      </c>
      <c r="C22326" s="6" t="s">
        <v>1</v>
      </c>
    </row>
    <row r="22327" spans="1:3" s="7" customFormat="1" x14ac:dyDescent="0.2">
      <c r="A22327" s="6" t="str">
        <f>"CRTC2"</f>
        <v>CRTC2</v>
      </c>
      <c r="B22327" s="6" t="s">
        <v>1</v>
      </c>
      <c r="C22327" s="6" t="s">
        <v>1</v>
      </c>
    </row>
    <row r="22328" spans="1:3" s="7" customFormat="1" x14ac:dyDescent="0.2">
      <c r="A22328" s="6" t="str">
        <f>"DNTTIP1"</f>
        <v>DNTTIP1</v>
      </c>
      <c r="B22328" s="6" t="s">
        <v>1</v>
      </c>
      <c r="C22328" s="6" t="s">
        <v>1</v>
      </c>
    </row>
    <row r="22329" spans="1:3" s="7" customFormat="1" x14ac:dyDescent="0.2">
      <c r="A22329" s="6" t="str">
        <f>"FAR1"</f>
        <v>FAR1</v>
      </c>
      <c r="B22329" s="6" t="s">
        <v>1</v>
      </c>
      <c r="C22329" s="6" t="s">
        <v>1</v>
      </c>
    </row>
    <row r="22330" spans="1:3" s="7" customFormat="1" x14ac:dyDescent="0.2">
      <c r="A22330" s="6" t="str">
        <f>"ODC1"</f>
        <v>ODC1</v>
      </c>
      <c r="B22330" s="6" t="s">
        <v>1</v>
      </c>
      <c r="C22330" s="6" t="s">
        <v>1</v>
      </c>
    </row>
    <row r="22331" spans="1:3" s="7" customFormat="1" x14ac:dyDescent="0.2">
      <c r="A22331" s="6" t="str">
        <f>"GLCE"</f>
        <v>GLCE</v>
      </c>
      <c r="B22331" s="6" t="s">
        <v>1</v>
      </c>
      <c r="C22331" s="6" t="s">
        <v>1</v>
      </c>
    </row>
    <row r="22332" spans="1:3" s="7" customFormat="1" x14ac:dyDescent="0.2">
      <c r="A22332" s="6" t="str">
        <f>"BABAM1"</f>
        <v>BABAM1</v>
      </c>
      <c r="B22332" s="6" t="s">
        <v>1</v>
      </c>
      <c r="C22332" s="6" t="s">
        <v>1</v>
      </c>
    </row>
    <row r="22333" spans="1:3" s="7" customFormat="1" x14ac:dyDescent="0.2">
      <c r="A22333" s="6" t="str">
        <f>"PADI1"</f>
        <v>PADI1</v>
      </c>
      <c r="B22333" s="6" t="s">
        <v>1</v>
      </c>
      <c r="C22333" s="6" t="s">
        <v>1</v>
      </c>
    </row>
    <row r="22334" spans="1:3" s="7" customFormat="1" x14ac:dyDescent="0.2">
      <c r="A22334" s="6" t="str">
        <f>"TBC1D2"</f>
        <v>TBC1D2</v>
      </c>
      <c r="B22334" s="6" t="s">
        <v>1</v>
      </c>
      <c r="C22334" s="6" t="s">
        <v>1</v>
      </c>
    </row>
    <row r="22335" spans="1:3" s="7" customFormat="1" x14ac:dyDescent="0.2">
      <c r="A22335" s="6" t="str">
        <f>"FAM91A1"</f>
        <v>FAM91A1</v>
      </c>
      <c r="B22335" s="6" t="s">
        <v>1</v>
      </c>
      <c r="C22335" s="6" t="s">
        <v>1</v>
      </c>
    </row>
    <row r="22336" spans="1:3" s="7" customFormat="1" x14ac:dyDescent="0.2">
      <c r="A22336" s="6" t="str">
        <f>"SMAP1"</f>
        <v>SMAP1</v>
      </c>
      <c r="B22336" s="6" t="s">
        <v>1</v>
      </c>
      <c r="C22336" s="6" t="s">
        <v>1</v>
      </c>
    </row>
    <row r="22337" spans="1:3" s="7" customFormat="1" x14ac:dyDescent="0.2">
      <c r="A22337" s="6" t="str">
        <f>"NUP93"</f>
        <v>NUP93</v>
      </c>
      <c r="B22337" s="6" t="s">
        <v>1</v>
      </c>
      <c r="C22337" s="6" t="s">
        <v>1</v>
      </c>
    </row>
    <row r="22338" spans="1:3" s="7" customFormat="1" x14ac:dyDescent="0.2">
      <c r="A22338" s="6" t="str">
        <f>"PRODH"</f>
        <v>PRODH</v>
      </c>
      <c r="B22338" s="6" t="s">
        <v>1</v>
      </c>
      <c r="C22338" s="6" t="s">
        <v>1</v>
      </c>
    </row>
    <row r="22339" spans="1:3" s="7" customFormat="1" x14ac:dyDescent="0.2">
      <c r="A22339" s="6" t="str">
        <f>"STX12"</f>
        <v>STX12</v>
      </c>
      <c r="B22339" s="6" t="s">
        <v>1</v>
      </c>
      <c r="C22339" s="6" t="s">
        <v>1</v>
      </c>
    </row>
    <row r="22340" spans="1:3" s="7" customFormat="1" x14ac:dyDescent="0.2">
      <c r="A22340" s="6" t="str">
        <f>"KCNK1"</f>
        <v>KCNK1</v>
      </c>
      <c r="B22340" s="6" t="s">
        <v>1</v>
      </c>
      <c r="C22340" s="6" t="s">
        <v>1</v>
      </c>
    </row>
    <row r="22341" spans="1:3" s="7" customFormat="1" x14ac:dyDescent="0.2">
      <c r="A22341" s="6" t="str">
        <f>"UCN3"</f>
        <v>UCN3</v>
      </c>
      <c r="B22341" s="6" t="s">
        <v>1</v>
      </c>
      <c r="C22341" s="6" t="s">
        <v>1</v>
      </c>
    </row>
    <row r="22342" spans="1:3" s="7" customFormat="1" x14ac:dyDescent="0.2">
      <c r="A22342" s="6" t="str">
        <f>"ARAP2"</f>
        <v>ARAP2</v>
      </c>
      <c r="B22342" s="6" t="s">
        <v>1</v>
      </c>
      <c r="C22342" s="6" t="s">
        <v>1</v>
      </c>
    </row>
    <row r="22343" spans="1:3" s="7" customFormat="1" x14ac:dyDescent="0.2">
      <c r="A22343" s="6" t="str">
        <f>"WSB2"</f>
        <v>WSB2</v>
      </c>
      <c r="B22343" s="6" t="s">
        <v>1</v>
      </c>
      <c r="C22343" s="6" t="s">
        <v>1</v>
      </c>
    </row>
    <row r="22344" spans="1:3" s="7" customFormat="1" x14ac:dyDescent="0.2">
      <c r="A22344" s="6" t="str">
        <f>"NPAS2"</f>
        <v>NPAS2</v>
      </c>
      <c r="B22344" s="6" t="s">
        <v>1</v>
      </c>
      <c r="C22344" s="6" t="s">
        <v>1</v>
      </c>
    </row>
    <row r="22345" spans="1:3" s="7" customFormat="1" x14ac:dyDescent="0.2">
      <c r="A22345" s="6" t="str">
        <f>"DGCR6"</f>
        <v>DGCR6</v>
      </c>
      <c r="B22345" s="6" t="s">
        <v>1</v>
      </c>
      <c r="C22345" s="6" t="s">
        <v>1</v>
      </c>
    </row>
    <row r="22346" spans="1:3" s="7" customFormat="1" x14ac:dyDescent="0.2">
      <c r="A22346" s="6" t="str">
        <f>"TGFB1"</f>
        <v>TGFB1</v>
      </c>
      <c r="B22346" s="6" t="s">
        <v>1</v>
      </c>
      <c r="C22346" s="6" t="s">
        <v>1</v>
      </c>
    </row>
    <row r="22347" spans="1:3" s="7" customFormat="1" x14ac:dyDescent="0.2">
      <c r="A22347" s="6" t="str">
        <f>"ADIRF"</f>
        <v>ADIRF</v>
      </c>
      <c r="B22347" s="6" t="s">
        <v>1</v>
      </c>
      <c r="C22347" s="6" t="s">
        <v>1</v>
      </c>
    </row>
    <row r="22348" spans="1:3" s="7" customFormat="1" x14ac:dyDescent="0.2">
      <c r="A22348" s="6" t="str">
        <f>"MCRS1"</f>
        <v>MCRS1</v>
      </c>
      <c r="B22348" s="6" t="s">
        <v>1</v>
      </c>
      <c r="C22348" s="6" t="s">
        <v>1</v>
      </c>
    </row>
    <row r="22349" spans="1:3" s="7" customFormat="1" x14ac:dyDescent="0.2">
      <c r="A22349" s="6" t="str">
        <f>"UEVLD"</f>
        <v>UEVLD</v>
      </c>
      <c r="B22349" s="6" t="s">
        <v>1</v>
      </c>
      <c r="C22349" s="6" t="s">
        <v>1</v>
      </c>
    </row>
    <row r="22350" spans="1:3" s="7" customFormat="1" x14ac:dyDescent="0.2">
      <c r="A22350" s="6" t="str">
        <f>"INO80"</f>
        <v>INO80</v>
      </c>
      <c r="B22350" s="6" t="s">
        <v>1</v>
      </c>
      <c r="C22350" s="6" t="s">
        <v>1</v>
      </c>
    </row>
    <row r="22351" spans="1:3" s="7" customFormat="1" x14ac:dyDescent="0.2">
      <c r="A22351" s="6" t="str">
        <f>"FZR1"</f>
        <v>FZR1</v>
      </c>
      <c r="B22351" s="6" t="s">
        <v>1</v>
      </c>
      <c r="C22351" s="6" t="s">
        <v>1</v>
      </c>
    </row>
    <row r="22352" spans="1:3" s="7" customFormat="1" x14ac:dyDescent="0.2">
      <c r="A22352" s="6" t="str">
        <f>"KLHDC2"</f>
        <v>KLHDC2</v>
      </c>
      <c r="B22352" s="6" t="s">
        <v>1</v>
      </c>
      <c r="C22352" s="6" t="s">
        <v>1</v>
      </c>
    </row>
    <row r="22353" spans="1:3" s="7" customFormat="1" x14ac:dyDescent="0.2">
      <c r="A22353" s="6" t="str">
        <f>"KAT7"</f>
        <v>KAT7</v>
      </c>
      <c r="B22353" s="6" t="s">
        <v>1</v>
      </c>
      <c r="C22353" s="6" t="s">
        <v>1</v>
      </c>
    </row>
    <row r="22354" spans="1:3" s="7" customFormat="1" x14ac:dyDescent="0.2">
      <c r="A22354" s="6" t="str">
        <f>"RELCH"</f>
        <v>RELCH</v>
      </c>
      <c r="B22354" s="6" t="s">
        <v>1</v>
      </c>
      <c r="C22354" s="6" t="s">
        <v>1</v>
      </c>
    </row>
    <row r="22355" spans="1:3" s="7" customFormat="1" x14ac:dyDescent="0.2">
      <c r="A22355" s="6" t="str">
        <f>"HMGB1P6"</f>
        <v>HMGB1P6</v>
      </c>
      <c r="B22355" s="6" t="s">
        <v>1</v>
      </c>
      <c r="C22355" s="6" t="s">
        <v>1</v>
      </c>
    </row>
    <row r="22356" spans="1:3" s="7" customFormat="1" x14ac:dyDescent="0.2">
      <c r="A22356" s="6" t="str">
        <f>"NDUFC1"</f>
        <v>NDUFC1</v>
      </c>
      <c r="B22356" s="6" t="s">
        <v>1</v>
      </c>
      <c r="C22356" s="6" t="s">
        <v>1</v>
      </c>
    </row>
    <row r="22357" spans="1:3" s="7" customFormat="1" x14ac:dyDescent="0.2">
      <c r="A22357" s="6" t="str">
        <f>"WNT9A"</f>
        <v>WNT9A</v>
      </c>
      <c r="B22357" s="6" t="s">
        <v>1</v>
      </c>
      <c r="C22357" s="6" t="s">
        <v>1</v>
      </c>
    </row>
    <row r="22358" spans="1:3" s="7" customFormat="1" x14ac:dyDescent="0.2">
      <c r="A22358" s="6" t="str">
        <f>"REXO1"</f>
        <v>REXO1</v>
      </c>
      <c r="B22358" s="6" t="s">
        <v>1</v>
      </c>
      <c r="C22358" s="6" t="s">
        <v>1</v>
      </c>
    </row>
    <row r="22359" spans="1:3" s="7" customFormat="1" x14ac:dyDescent="0.2">
      <c r="A22359" s="6" t="str">
        <f>"SMAD4"</f>
        <v>SMAD4</v>
      </c>
      <c r="B22359" s="6" t="s">
        <v>1</v>
      </c>
      <c r="C22359" s="6" t="s">
        <v>1</v>
      </c>
    </row>
    <row r="22360" spans="1:3" s="7" customFormat="1" x14ac:dyDescent="0.2">
      <c r="A22360" s="6" t="str">
        <f>"SNX5"</f>
        <v>SNX5</v>
      </c>
      <c r="B22360" s="6" t="s">
        <v>1</v>
      </c>
      <c r="C22360" s="6" t="s">
        <v>1</v>
      </c>
    </row>
    <row r="22361" spans="1:3" s="7" customFormat="1" x14ac:dyDescent="0.2">
      <c r="A22361" s="6" t="str">
        <f>"DNAJC16"</f>
        <v>DNAJC16</v>
      </c>
      <c r="B22361" s="6" t="s">
        <v>1</v>
      </c>
      <c r="C22361" s="6" t="s">
        <v>1</v>
      </c>
    </row>
    <row r="22362" spans="1:3" s="7" customFormat="1" x14ac:dyDescent="0.2">
      <c r="A22362" s="6" t="str">
        <f>"NXF1"</f>
        <v>NXF1</v>
      </c>
      <c r="B22362" s="6" t="s">
        <v>1</v>
      </c>
      <c r="C22362" s="6" t="s">
        <v>1</v>
      </c>
    </row>
    <row r="22363" spans="1:3" s="7" customFormat="1" x14ac:dyDescent="0.2">
      <c r="A22363" s="6" t="str">
        <f>"NECAP2"</f>
        <v>NECAP2</v>
      </c>
      <c r="B22363" s="6" t="s">
        <v>1</v>
      </c>
      <c r="C22363" s="6" t="s">
        <v>1</v>
      </c>
    </row>
    <row r="22364" spans="1:3" s="7" customFormat="1" x14ac:dyDescent="0.2">
      <c r="A22364" s="6" t="str">
        <f>"MSH6"</f>
        <v>MSH6</v>
      </c>
      <c r="B22364" s="6" t="s">
        <v>1</v>
      </c>
      <c r="C22364" s="6" t="s">
        <v>1</v>
      </c>
    </row>
    <row r="22365" spans="1:3" s="7" customFormat="1" x14ac:dyDescent="0.2">
      <c r="A22365" s="6" t="str">
        <f>"IFT43"</f>
        <v>IFT43</v>
      </c>
      <c r="B22365" s="6" t="s">
        <v>1</v>
      </c>
      <c r="C22365" s="6" t="s">
        <v>1</v>
      </c>
    </row>
    <row r="22366" spans="1:3" s="7" customFormat="1" x14ac:dyDescent="0.2">
      <c r="A22366" s="6" t="str">
        <f>"RFC1"</f>
        <v>RFC1</v>
      </c>
      <c r="B22366" s="6" t="s">
        <v>1</v>
      </c>
      <c r="C22366" s="6" t="s">
        <v>1</v>
      </c>
    </row>
    <row r="22367" spans="1:3" s="7" customFormat="1" x14ac:dyDescent="0.2">
      <c r="A22367" s="6" t="str">
        <f>"SH3RF1"</f>
        <v>SH3RF1</v>
      </c>
      <c r="B22367" s="6" t="s">
        <v>1</v>
      </c>
      <c r="C22367" s="6" t="s">
        <v>1</v>
      </c>
    </row>
    <row r="22368" spans="1:3" s="7" customFormat="1" x14ac:dyDescent="0.2">
      <c r="A22368" s="6" t="str">
        <f>"KLHL2"</f>
        <v>KLHL2</v>
      </c>
      <c r="B22368" s="6" t="s">
        <v>1</v>
      </c>
      <c r="C22368" s="6" t="s">
        <v>1</v>
      </c>
    </row>
    <row r="22369" spans="1:3" s="7" customFormat="1" x14ac:dyDescent="0.2">
      <c r="A22369" s="6" t="str">
        <f>"ALKBH7"</f>
        <v>ALKBH7</v>
      </c>
      <c r="B22369" s="6" t="s">
        <v>1</v>
      </c>
      <c r="C22369" s="6" t="s">
        <v>1</v>
      </c>
    </row>
    <row r="22370" spans="1:3" s="7" customFormat="1" x14ac:dyDescent="0.2">
      <c r="A22370" s="6" t="str">
        <f>"KBTBD4"</f>
        <v>KBTBD4</v>
      </c>
      <c r="B22370" s="6" t="s">
        <v>1</v>
      </c>
      <c r="C22370" s="6" t="s">
        <v>1</v>
      </c>
    </row>
    <row r="22371" spans="1:3" s="7" customFormat="1" x14ac:dyDescent="0.2">
      <c r="A22371" s="6" t="str">
        <f>"CRKL"</f>
        <v>CRKL</v>
      </c>
      <c r="B22371" s="6" t="s">
        <v>1</v>
      </c>
      <c r="C22371" s="6" t="s">
        <v>1</v>
      </c>
    </row>
    <row r="22372" spans="1:3" s="7" customFormat="1" x14ac:dyDescent="0.2">
      <c r="A22372" s="6" t="str">
        <f>"SAA2"</f>
        <v>SAA2</v>
      </c>
      <c r="B22372" s="6" t="s">
        <v>1</v>
      </c>
      <c r="C22372" s="6" t="s">
        <v>1</v>
      </c>
    </row>
    <row r="22373" spans="1:3" s="7" customFormat="1" x14ac:dyDescent="0.2">
      <c r="A22373" s="6" t="str">
        <f>"NELFCD"</f>
        <v>NELFCD</v>
      </c>
      <c r="B22373" s="6" t="s">
        <v>1</v>
      </c>
      <c r="C22373" s="6" t="s">
        <v>1</v>
      </c>
    </row>
    <row r="22374" spans="1:3" s="7" customFormat="1" x14ac:dyDescent="0.2">
      <c r="A22374" s="6" t="str">
        <f>"WSB1"</f>
        <v>WSB1</v>
      </c>
      <c r="B22374" s="6" t="s">
        <v>1</v>
      </c>
      <c r="C22374" s="6" t="s">
        <v>1</v>
      </c>
    </row>
    <row r="22375" spans="1:3" s="7" customFormat="1" x14ac:dyDescent="0.2">
      <c r="A22375" s="6" t="str">
        <f>"CNOT2"</f>
        <v>CNOT2</v>
      </c>
      <c r="B22375" s="6" t="s">
        <v>1</v>
      </c>
      <c r="C22375" s="6" t="s">
        <v>1</v>
      </c>
    </row>
    <row r="22376" spans="1:3" s="7" customFormat="1" x14ac:dyDescent="0.2">
      <c r="A22376" s="6" t="str">
        <f>"UFD1"</f>
        <v>UFD1</v>
      </c>
      <c r="B22376" s="6" t="s">
        <v>1</v>
      </c>
      <c r="C22376" s="6" t="s">
        <v>1</v>
      </c>
    </row>
    <row r="22377" spans="1:3" s="7" customFormat="1" x14ac:dyDescent="0.2">
      <c r="A22377" s="6" t="str">
        <f>"CEBPZ"</f>
        <v>CEBPZ</v>
      </c>
      <c r="B22377" s="6" t="s">
        <v>1</v>
      </c>
      <c r="C22377" s="6" t="s">
        <v>1</v>
      </c>
    </row>
    <row r="22378" spans="1:3" s="7" customFormat="1" x14ac:dyDescent="0.2">
      <c r="A22378" s="6" t="str">
        <f>"STX5"</f>
        <v>STX5</v>
      </c>
      <c r="B22378" s="6" t="s">
        <v>1</v>
      </c>
      <c r="C22378" s="6" t="s">
        <v>1</v>
      </c>
    </row>
    <row r="22379" spans="1:3" s="7" customFormat="1" x14ac:dyDescent="0.2">
      <c r="A22379" s="6" t="str">
        <f>"DECR1"</f>
        <v>DECR1</v>
      </c>
      <c r="B22379" s="6" t="s">
        <v>1</v>
      </c>
      <c r="C22379" s="6" t="s">
        <v>1</v>
      </c>
    </row>
    <row r="22380" spans="1:3" s="7" customFormat="1" x14ac:dyDescent="0.2">
      <c r="A22380" s="6" t="str">
        <f>"GALNS"</f>
        <v>GALNS</v>
      </c>
      <c r="B22380" s="6" t="s">
        <v>1</v>
      </c>
      <c r="C22380" s="6" t="s">
        <v>1</v>
      </c>
    </row>
    <row r="22381" spans="1:3" s="7" customFormat="1" x14ac:dyDescent="0.2">
      <c r="A22381" s="6" t="str">
        <f>"BRF1"</f>
        <v>BRF1</v>
      </c>
      <c r="B22381" s="6" t="s">
        <v>1</v>
      </c>
      <c r="C22381" s="6" t="s">
        <v>1</v>
      </c>
    </row>
    <row r="22382" spans="1:3" s="7" customFormat="1" x14ac:dyDescent="0.2">
      <c r="A22382" s="6" t="str">
        <f>"RNF126"</f>
        <v>RNF126</v>
      </c>
      <c r="B22382" s="6" t="s">
        <v>1</v>
      </c>
      <c r="C22382" s="6" t="s">
        <v>1</v>
      </c>
    </row>
    <row r="22383" spans="1:3" s="7" customFormat="1" x14ac:dyDescent="0.2">
      <c r="A22383" s="6" t="str">
        <f>"SRPRB"</f>
        <v>SRPRB</v>
      </c>
      <c r="B22383" s="6" t="s">
        <v>1</v>
      </c>
      <c r="C22383" s="6" t="s">
        <v>1</v>
      </c>
    </row>
    <row r="22384" spans="1:3" s="7" customFormat="1" x14ac:dyDescent="0.2">
      <c r="A22384" s="6" t="str">
        <f>"FARP2"</f>
        <v>FARP2</v>
      </c>
      <c r="B22384" s="6" t="s">
        <v>1</v>
      </c>
      <c r="C22384" s="6" t="s">
        <v>1</v>
      </c>
    </row>
    <row r="22385" spans="1:3" s="7" customFormat="1" x14ac:dyDescent="0.2">
      <c r="A22385" s="6" t="str">
        <f>"EML1"</f>
        <v>EML1</v>
      </c>
      <c r="B22385" s="6" t="s">
        <v>1</v>
      </c>
      <c r="C22385" s="6" t="s">
        <v>1</v>
      </c>
    </row>
    <row r="22386" spans="1:3" s="7" customFormat="1" x14ac:dyDescent="0.2">
      <c r="A22386" s="6" t="str">
        <f>"CYP2J2"</f>
        <v>CYP2J2</v>
      </c>
      <c r="B22386" s="6" t="s">
        <v>1</v>
      </c>
      <c r="C22386" s="6" t="s">
        <v>1</v>
      </c>
    </row>
    <row r="22387" spans="1:3" s="7" customFormat="1" x14ac:dyDescent="0.2">
      <c r="A22387" s="6" t="str">
        <f>"COG1"</f>
        <v>COG1</v>
      </c>
      <c r="B22387" s="6" t="s">
        <v>1</v>
      </c>
      <c r="C22387" s="6" t="s">
        <v>1</v>
      </c>
    </row>
    <row r="22388" spans="1:3" s="7" customFormat="1" x14ac:dyDescent="0.2">
      <c r="A22388" s="6" t="str">
        <f>"FBH1"</f>
        <v>FBH1</v>
      </c>
      <c r="B22388" s="6" t="s">
        <v>1</v>
      </c>
      <c r="C22388" s="6" t="s">
        <v>1</v>
      </c>
    </row>
    <row r="22389" spans="1:3" s="7" customFormat="1" x14ac:dyDescent="0.2">
      <c r="A22389" s="6" t="str">
        <f>"FAF1"</f>
        <v>FAF1</v>
      </c>
      <c r="B22389" s="6" t="s">
        <v>1</v>
      </c>
      <c r="C22389" s="6" t="s">
        <v>1</v>
      </c>
    </row>
    <row r="22390" spans="1:3" s="7" customFormat="1" x14ac:dyDescent="0.2">
      <c r="A22390" s="6" t="str">
        <f>"CARM1"</f>
        <v>CARM1</v>
      </c>
      <c r="B22390" s="6" t="s">
        <v>1</v>
      </c>
      <c r="C22390" s="6" t="s">
        <v>1</v>
      </c>
    </row>
    <row r="22391" spans="1:3" s="7" customFormat="1" x14ac:dyDescent="0.2">
      <c r="A22391" s="6" t="str">
        <f>"NEK4"</f>
        <v>NEK4</v>
      </c>
      <c r="B22391" s="6" t="s">
        <v>1</v>
      </c>
      <c r="C22391" s="6" t="s">
        <v>1</v>
      </c>
    </row>
    <row r="22392" spans="1:3" s="7" customFormat="1" x14ac:dyDescent="0.2">
      <c r="A22392" s="6" t="str">
        <f>"ATAD1"</f>
        <v>ATAD1</v>
      </c>
      <c r="B22392" s="6" t="s">
        <v>1</v>
      </c>
      <c r="C22392" s="6" t="s">
        <v>1</v>
      </c>
    </row>
    <row r="22393" spans="1:3" s="7" customFormat="1" x14ac:dyDescent="0.2">
      <c r="A22393" s="6" t="str">
        <f>"TMEM129"</f>
        <v>TMEM129</v>
      </c>
      <c r="B22393" s="6" t="s">
        <v>1</v>
      </c>
      <c r="C22393" s="6" t="s">
        <v>1</v>
      </c>
    </row>
    <row r="22394" spans="1:3" s="7" customFormat="1" x14ac:dyDescent="0.2">
      <c r="A22394" s="6" t="str">
        <f>"FAM83D"</f>
        <v>FAM83D</v>
      </c>
      <c r="B22394" s="6" t="s">
        <v>1</v>
      </c>
      <c r="C22394" s="6" t="s">
        <v>1</v>
      </c>
    </row>
    <row r="22395" spans="1:3" s="7" customFormat="1" x14ac:dyDescent="0.2">
      <c r="A22395" s="6" t="str">
        <f>"EMD"</f>
        <v>EMD</v>
      </c>
      <c r="B22395" s="6" t="s">
        <v>1</v>
      </c>
      <c r="C22395" s="6" t="s">
        <v>1</v>
      </c>
    </row>
    <row r="22396" spans="1:3" s="7" customFormat="1" x14ac:dyDescent="0.2">
      <c r="A22396" s="6" t="str">
        <f>"MAML2"</f>
        <v>MAML2</v>
      </c>
      <c r="B22396" s="6" t="s">
        <v>1</v>
      </c>
      <c r="C22396" s="6" t="s">
        <v>1</v>
      </c>
    </row>
    <row r="22397" spans="1:3" s="7" customFormat="1" x14ac:dyDescent="0.2">
      <c r="A22397" s="6" t="str">
        <f>"MZT2B"</f>
        <v>MZT2B</v>
      </c>
      <c r="B22397" s="6" t="s">
        <v>1</v>
      </c>
      <c r="C22397" s="6" t="s">
        <v>1</v>
      </c>
    </row>
    <row r="22398" spans="1:3" s="7" customFormat="1" x14ac:dyDescent="0.2">
      <c r="A22398" s="6" t="str">
        <f>"MYO10"</f>
        <v>MYO10</v>
      </c>
      <c r="B22398" s="6" t="s">
        <v>1</v>
      </c>
      <c r="C22398" s="6" t="s">
        <v>1</v>
      </c>
    </row>
    <row r="22399" spans="1:3" s="7" customFormat="1" x14ac:dyDescent="0.2">
      <c r="A22399" s="6" t="str">
        <f>"REST"</f>
        <v>REST</v>
      </c>
      <c r="B22399" s="6" t="s">
        <v>1</v>
      </c>
      <c r="C22399" s="6" t="s">
        <v>1</v>
      </c>
    </row>
    <row r="22400" spans="1:3" s="7" customFormat="1" x14ac:dyDescent="0.2">
      <c r="A22400" s="6" t="str">
        <f>"KAT6B"</f>
        <v>KAT6B</v>
      </c>
      <c r="B22400" s="6" t="s">
        <v>1</v>
      </c>
      <c r="C22400" s="6" t="s">
        <v>1</v>
      </c>
    </row>
    <row r="22401" spans="1:3" s="7" customFormat="1" x14ac:dyDescent="0.2">
      <c r="A22401" s="6" t="str">
        <f>"TBC1D15"</f>
        <v>TBC1D15</v>
      </c>
      <c r="B22401" s="6" t="s">
        <v>1</v>
      </c>
      <c r="C22401" s="6" t="s">
        <v>1</v>
      </c>
    </row>
    <row r="22402" spans="1:3" s="7" customFormat="1" x14ac:dyDescent="0.2">
      <c r="A22402" s="6" t="str">
        <f>"CASK"</f>
        <v>CASK</v>
      </c>
      <c r="B22402" s="6" t="s">
        <v>1</v>
      </c>
      <c r="C22402" s="6" t="s">
        <v>1</v>
      </c>
    </row>
    <row r="22403" spans="1:3" s="7" customFormat="1" x14ac:dyDescent="0.2">
      <c r="A22403" s="6" t="str">
        <f>"CNPY3"</f>
        <v>CNPY3</v>
      </c>
      <c r="B22403" s="6" t="s">
        <v>1</v>
      </c>
      <c r="C22403" s="6" t="s">
        <v>1</v>
      </c>
    </row>
    <row r="22404" spans="1:3" s="7" customFormat="1" x14ac:dyDescent="0.2">
      <c r="A22404" s="6" t="str">
        <f>"STX7"</f>
        <v>STX7</v>
      </c>
      <c r="B22404" s="6" t="s">
        <v>1</v>
      </c>
      <c r="C22404" s="6" t="s">
        <v>1</v>
      </c>
    </row>
    <row r="22405" spans="1:3" s="7" customFormat="1" x14ac:dyDescent="0.2">
      <c r="A22405" s="6" t="str">
        <f>"IQCA1"</f>
        <v>IQCA1</v>
      </c>
      <c r="B22405" s="6" t="s">
        <v>1</v>
      </c>
      <c r="C22405" s="6" t="s">
        <v>1</v>
      </c>
    </row>
    <row r="22406" spans="1:3" s="7" customFormat="1" x14ac:dyDescent="0.2">
      <c r="A22406" s="6" t="str">
        <f>"TFRC"</f>
        <v>TFRC</v>
      </c>
      <c r="B22406" s="6" t="s">
        <v>1</v>
      </c>
      <c r="C22406" s="6" t="s">
        <v>1</v>
      </c>
    </row>
    <row r="22407" spans="1:3" s="7" customFormat="1" x14ac:dyDescent="0.2">
      <c r="A22407" s="6" t="str">
        <f>"LPCAT3"</f>
        <v>LPCAT3</v>
      </c>
      <c r="B22407" s="6" t="s">
        <v>1</v>
      </c>
      <c r="C22407" s="6" t="s">
        <v>1</v>
      </c>
    </row>
    <row r="22408" spans="1:3" s="7" customFormat="1" x14ac:dyDescent="0.2">
      <c r="A22408" s="6" t="str">
        <f>"ALDH7A1"</f>
        <v>ALDH7A1</v>
      </c>
      <c r="B22408" s="6" t="s">
        <v>1</v>
      </c>
      <c r="C22408" s="6" t="s">
        <v>1</v>
      </c>
    </row>
    <row r="22409" spans="1:3" s="7" customFormat="1" x14ac:dyDescent="0.2">
      <c r="A22409" s="6" t="str">
        <f>"PHLPP1"</f>
        <v>PHLPP1</v>
      </c>
      <c r="B22409" s="6" t="s">
        <v>1</v>
      </c>
      <c r="C22409" s="6" t="s">
        <v>1</v>
      </c>
    </row>
    <row r="22410" spans="1:3" s="7" customFormat="1" x14ac:dyDescent="0.2">
      <c r="A22410" s="6" t="str">
        <f>"SH3YL1"</f>
        <v>SH3YL1</v>
      </c>
      <c r="B22410" s="6" t="s">
        <v>1</v>
      </c>
      <c r="C22410" s="6" t="s">
        <v>1</v>
      </c>
    </row>
    <row r="22411" spans="1:3" s="7" customFormat="1" x14ac:dyDescent="0.2">
      <c r="A22411" s="6" t="str">
        <f>"PACRG"</f>
        <v>PACRG</v>
      </c>
      <c r="B22411" s="6" t="s">
        <v>1</v>
      </c>
      <c r="C22411" s="6" t="s">
        <v>1</v>
      </c>
    </row>
    <row r="22412" spans="1:3" s="7" customFormat="1" x14ac:dyDescent="0.2">
      <c r="A22412" s="6" t="str">
        <f>"NOP14"</f>
        <v>NOP14</v>
      </c>
      <c r="B22412" s="6" t="s">
        <v>1</v>
      </c>
      <c r="C22412" s="6" t="s">
        <v>1</v>
      </c>
    </row>
    <row r="22413" spans="1:3" s="7" customFormat="1" x14ac:dyDescent="0.2">
      <c r="A22413" s="6" t="str">
        <f>"SORD2P"</f>
        <v>SORD2P</v>
      </c>
      <c r="B22413" s="6" t="s">
        <v>1</v>
      </c>
      <c r="C22413" s="6" t="s">
        <v>1</v>
      </c>
    </row>
    <row r="22414" spans="1:3" s="7" customFormat="1" x14ac:dyDescent="0.2">
      <c r="A22414" s="6" t="str">
        <f>"NDUFS3"</f>
        <v>NDUFS3</v>
      </c>
      <c r="B22414" s="6" t="s">
        <v>1</v>
      </c>
      <c r="C22414" s="6" t="s">
        <v>1</v>
      </c>
    </row>
    <row r="22415" spans="1:3" s="7" customFormat="1" x14ac:dyDescent="0.2">
      <c r="A22415" s="6" t="str">
        <f>"GADD45B"</f>
        <v>GADD45B</v>
      </c>
      <c r="B22415" s="6" t="s">
        <v>1</v>
      </c>
      <c r="C22415" s="6" t="s">
        <v>1</v>
      </c>
    </row>
    <row r="22416" spans="1:3" s="7" customFormat="1" x14ac:dyDescent="0.2">
      <c r="A22416" s="6" t="str">
        <f>"EXT2"</f>
        <v>EXT2</v>
      </c>
      <c r="B22416" s="6" t="s">
        <v>1</v>
      </c>
      <c r="C22416" s="6" t="s">
        <v>1</v>
      </c>
    </row>
    <row r="22417" spans="1:3" s="7" customFormat="1" x14ac:dyDescent="0.2">
      <c r="A22417" s="6" t="str">
        <f>"C1RL"</f>
        <v>C1RL</v>
      </c>
      <c r="B22417" s="6" t="s">
        <v>1</v>
      </c>
      <c r="C22417" s="6" t="s">
        <v>1</v>
      </c>
    </row>
    <row r="22418" spans="1:3" s="7" customFormat="1" x14ac:dyDescent="0.2">
      <c r="A22418" s="6" t="str">
        <f>"DFFA"</f>
        <v>DFFA</v>
      </c>
      <c r="B22418" s="6" t="s">
        <v>1</v>
      </c>
      <c r="C22418" s="6" t="s">
        <v>1</v>
      </c>
    </row>
    <row r="22419" spans="1:3" s="7" customFormat="1" x14ac:dyDescent="0.2">
      <c r="A22419" s="6" t="str">
        <f>"FASTK"</f>
        <v>FASTK</v>
      </c>
      <c r="B22419" s="6" t="s">
        <v>1</v>
      </c>
      <c r="C22419" s="6" t="s">
        <v>1</v>
      </c>
    </row>
    <row r="22420" spans="1:3" s="7" customFormat="1" x14ac:dyDescent="0.2">
      <c r="A22420" s="6" t="str">
        <f>"PPCS"</f>
        <v>PPCS</v>
      </c>
      <c r="B22420" s="6" t="s">
        <v>1</v>
      </c>
      <c r="C22420" s="6" t="s">
        <v>1</v>
      </c>
    </row>
    <row r="22421" spans="1:3" s="7" customFormat="1" x14ac:dyDescent="0.2">
      <c r="A22421" s="6" t="str">
        <f>"INTS10"</f>
        <v>INTS10</v>
      </c>
      <c r="B22421" s="6" t="s">
        <v>1</v>
      </c>
      <c r="C22421" s="6" t="s">
        <v>1</v>
      </c>
    </row>
    <row r="22422" spans="1:3" s="7" customFormat="1" x14ac:dyDescent="0.2">
      <c r="A22422" s="6" t="str">
        <f>"HMGB2"</f>
        <v>HMGB2</v>
      </c>
      <c r="B22422" s="6" t="s">
        <v>1</v>
      </c>
      <c r="C22422" s="6" t="s">
        <v>1</v>
      </c>
    </row>
    <row r="22423" spans="1:3" s="7" customFormat="1" x14ac:dyDescent="0.2">
      <c r="A22423" s="6" t="str">
        <f>"P4HA2"</f>
        <v>P4HA2</v>
      </c>
      <c r="B22423" s="6" t="s">
        <v>1</v>
      </c>
      <c r="C22423" s="6" t="s">
        <v>1</v>
      </c>
    </row>
    <row r="22424" spans="1:3" s="7" customFormat="1" x14ac:dyDescent="0.2">
      <c r="A22424" s="6" t="str">
        <f>"THADA"</f>
        <v>THADA</v>
      </c>
      <c r="B22424" s="6" t="s">
        <v>1</v>
      </c>
      <c r="C22424" s="6" t="s">
        <v>1</v>
      </c>
    </row>
    <row r="22425" spans="1:3" s="7" customFormat="1" x14ac:dyDescent="0.2">
      <c r="A22425" s="6" t="str">
        <f>"CELSR2"</f>
        <v>CELSR2</v>
      </c>
      <c r="B22425" s="6" t="s">
        <v>1</v>
      </c>
      <c r="C22425" s="6" t="s">
        <v>1</v>
      </c>
    </row>
    <row r="22426" spans="1:3" s="7" customFormat="1" x14ac:dyDescent="0.2">
      <c r="A22426" s="6" t="str">
        <f>"OCIAD2"</f>
        <v>OCIAD2</v>
      </c>
      <c r="B22426" s="6" t="s">
        <v>1</v>
      </c>
      <c r="C22426" s="6" t="s">
        <v>1</v>
      </c>
    </row>
    <row r="22427" spans="1:3" s="7" customFormat="1" x14ac:dyDescent="0.2">
      <c r="A22427" s="6" t="str">
        <f>"ECRG4"</f>
        <v>ECRG4</v>
      </c>
      <c r="B22427" s="6" t="s">
        <v>1</v>
      </c>
      <c r="C22427" s="6" t="s">
        <v>1</v>
      </c>
    </row>
    <row r="22428" spans="1:3" s="7" customFormat="1" x14ac:dyDescent="0.2">
      <c r="A22428" s="6" t="str">
        <f>"CNOT9"</f>
        <v>CNOT9</v>
      </c>
      <c r="B22428" s="6" t="s">
        <v>1</v>
      </c>
      <c r="C22428" s="6" t="s">
        <v>1</v>
      </c>
    </row>
    <row r="22429" spans="1:3" s="7" customFormat="1" x14ac:dyDescent="0.2">
      <c r="A22429" s="6" t="str">
        <f>"MRPS7"</f>
        <v>MRPS7</v>
      </c>
      <c r="B22429" s="6" t="s">
        <v>1</v>
      </c>
      <c r="C22429" s="6" t="s">
        <v>1</v>
      </c>
    </row>
    <row r="22430" spans="1:3" s="7" customFormat="1" x14ac:dyDescent="0.2">
      <c r="A22430" s="6" t="str">
        <f>"NPIPB12"</f>
        <v>NPIPB12</v>
      </c>
      <c r="B22430" s="6" t="s">
        <v>1</v>
      </c>
      <c r="C22430" s="6" t="s">
        <v>1</v>
      </c>
    </row>
    <row r="22431" spans="1:3" s="7" customFormat="1" x14ac:dyDescent="0.2">
      <c r="A22431" s="6" t="str">
        <f>"ENKD1"</f>
        <v>ENKD1</v>
      </c>
      <c r="B22431" s="6" t="s">
        <v>1</v>
      </c>
      <c r="C22431" s="6" t="s">
        <v>1</v>
      </c>
    </row>
    <row r="22432" spans="1:3" s="7" customFormat="1" x14ac:dyDescent="0.2">
      <c r="A22432" s="6" t="str">
        <f>"DOCK5"</f>
        <v>DOCK5</v>
      </c>
      <c r="B22432" s="6" t="s">
        <v>1</v>
      </c>
      <c r="C22432" s="6" t="s">
        <v>1</v>
      </c>
    </row>
    <row r="22433" spans="1:3" s="7" customFormat="1" x14ac:dyDescent="0.2">
      <c r="A22433" s="6" t="str">
        <f>"APOBEC3C"</f>
        <v>APOBEC3C</v>
      </c>
      <c r="B22433" s="6" t="s">
        <v>1</v>
      </c>
      <c r="C22433" s="6" t="s">
        <v>1</v>
      </c>
    </row>
    <row r="22434" spans="1:3" s="7" customFormat="1" x14ac:dyDescent="0.2">
      <c r="A22434" s="6" t="str">
        <f>"LNPEP"</f>
        <v>LNPEP</v>
      </c>
      <c r="B22434" s="6" t="s">
        <v>1</v>
      </c>
      <c r="C22434" s="6" t="s">
        <v>1</v>
      </c>
    </row>
    <row r="22435" spans="1:3" s="7" customFormat="1" x14ac:dyDescent="0.2">
      <c r="A22435" s="6" t="str">
        <f>"FMNL1"</f>
        <v>FMNL1</v>
      </c>
      <c r="B22435" s="6" t="s">
        <v>1</v>
      </c>
      <c r="C22435" s="6" t="s">
        <v>1</v>
      </c>
    </row>
    <row r="22436" spans="1:3" s="7" customFormat="1" x14ac:dyDescent="0.2">
      <c r="A22436" s="6" t="str">
        <f>"MED12"</f>
        <v>MED12</v>
      </c>
      <c r="B22436" s="6" t="s">
        <v>1</v>
      </c>
      <c r="C22436" s="6" t="s">
        <v>1</v>
      </c>
    </row>
    <row r="22437" spans="1:3" s="7" customFormat="1" x14ac:dyDescent="0.2">
      <c r="A22437" s="6" t="str">
        <f>"SECISBP2"</f>
        <v>SECISBP2</v>
      </c>
      <c r="B22437" s="6" t="s">
        <v>1</v>
      </c>
      <c r="C22437" s="6" t="s">
        <v>1</v>
      </c>
    </row>
    <row r="22438" spans="1:3" s="7" customFormat="1" x14ac:dyDescent="0.2">
      <c r="A22438" s="6" t="str">
        <f>"HAX1"</f>
        <v>HAX1</v>
      </c>
      <c r="B22438" s="6" t="s">
        <v>1</v>
      </c>
      <c r="C22438" s="6" t="s">
        <v>1</v>
      </c>
    </row>
    <row r="22439" spans="1:3" s="7" customFormat="1" x14ac:dyDescent="0.2">
      <c r="A22439" s="6" t="str">
        <f>"ZNF592"</f>
        <v>ZNF592</v>
      </c>
      <c r="B22439" s="6" t="s">
        <v>1</v>
      </c>
      <c r="C22439" s="6" t="s">
        <v>1</v>
      </c>
    </row>
    <row r="22440" spans="1:3" s="7" customFormat="1" x14ac:dyDescent="0.2">
      <c r="A22440" s="6" t="str">
        <f>"HMGCR"</f>
        <v>HMGCR</v>
      </c>
      <c r="B22440" s="6" t="s">
        <v>1</v>
      </c>
      <c r="C22440" s="6" t="s">
        <v>1</v>
      </c>
    </row>
    <row r="22441" spans="1:3" s="7" customFormat="1" x14ac:dyDescent="0.2">
      <c r="A22441" s="6" t="str">
        <f>"GLO1"</f>
        <v>GLO1</v>
      </c>
      <c r="B22441" s="6" t="s">
        <v>1</v>
      </c>
      <c r="C22441" s="6" t="s">
        <v>1</v>
      </c>
    </row>
    <row r="22442" spans="1:3" s="7" customFormat="1" x14ac:dyDescent="0.2">
      <c r="A22442" s="6" t="str">
        <f>"SEC61B"</f>
        <v>SEC61B</v>
      </c>
      <c r="B22442" s="6" t="s">
        <v>1</v>
      </c>
      <c r="C22442" s="6" t="s">
        <v>1</v>
      </c>
    </row>
    <row r="22443" spans="1:3" s="7" customFormat="1" x14ac:dyDescent="0.2">
      <c r="A22443" s="6" t="str">
        <f>"IFNGR2"</f>
        <v>IFNGR2</v>
      </c>
      <c r="B22443" s="6" t="s">
        <v>1</v>
      </c>
      <c r="C22443" s="6" t="s">
        <v>1</v>
      </c>
    </row>
    <row r="22444" spans="1:3" s="7" customFormat="1" x14ac:dyDescent="0.2">
      <c r="A22444" s="6" t="str">
        <f>"FABP6"</f>
        <v>FABP6</v>
      </c>
      <c r="B22444" s="6" t="s">
        <v>1</v>
      </c>
      <c r="C22444" s="6" t="s">
        <v>1</v>
      </c>
    </row>
    <row r="22445" spans="1:3" s="7" customFormat="1" x14ac:dyDescent="0.2">
      <c r="A22445" s="6" t="str">
        <f>"IFNAR2"</f>
        <v>IFNAR2</v>
      </c>
      <c r="B22445" s="6" t="s">
        <v>1</v>
      </c>
      <c r="C22445" s="6" t="s">
        <v>1</v>
      </c>
    </row>
    <row r="22446" spans="1:3" s="7" customFormat="1" x14ac:dyDescent="0.2">
      <c r="A22446" s="6" t="str">
        <f>"DNAL4"</f>
        <v>DNAL4</v>
      </c>
      <c r="B22446" s="6" t="s">
        <v>1</v>
      </c>
      <c r="C22446" s="6" t="s">
        <v>1</v>
      </c>
    </row>
    <row r="22447" spans="1:3" s="7" customFormat="1" x14ac:dyDescent="0.2">
      <c r="A22447" s="6" t="str">
        <f>"CCNL2"</f>
        <v>CCNL2</v>
      </c>
      <c r="B22447" s="6" t="s">
        <v>1</v>
      </c>
      <c r="C22447" s="6" t="s">
        <v>1</v>
      </c>
    </row>
    <row r="22448" spans="1:3" s="7" customFormat="1" x14ac:dyDescent="0.2">
      <c r="A22448" s="6" t="str">
        <f>"DEDD2"</f>
        <v>DEDD2</v>
      </c>
      <c r="B22448" s="6" t="s">
        <v>1</v>
      </c>
      <c r="C22448" s="6" t="s">
        <v>1</v>
      </c>
    </row>
    <row r="22449" spans="1:3" s="7" customFormat="1" x14ac:dyDescent="0.2">
      <c r="A22449" s="6" t="str">
        <f>"CCNO"</f>
        <v>CCNO</v>
      </c>
      <c r="B22449" s="6" t="s">
        <v>1</v>
      </c>
      <c r="C22449" s="6" t="s">
        <v>1</v>
      </c>
    </row>
    <row r="22450" spans="1:3" s="7" customFormat="1" x14ac:dyDescent="0.2">
      <c r="A22450" s="6" t="str">
        <f>"FARSA"</f>
        <v>FARSA</v>
      </c>
      <c r="B22450" s="6" t="s">
        <v>1</v>
      </c>
      <c r="C22450" s="6" t="s">
        <v>1</v>
      </c>
    </row>
    <row r="22451" spans="1:3" s="7" customFormat="1" x14ac:dyDescent="0.2">
      <c r="A22451" s="6" t="str">
        <f>"DNPEP"</f>
        <v>DNPEP</v>
      </c>
      <c r="B22451" s="6" t="s">
        <v>1</v>
      </c>
      <c r="C22451" s="6" t="s">
        <v>1</v>
      </c>
    </row>
    <row r="22452" spans="1:3" s="7" customFormat="1" x14ac:dyDescent="0.2">
      <c r="A22452" s="6" t="str">
        <f>"TRIM24"</f>
        <v>TRIM24</v>
      </c>
      <c r="B22452" s="6" t="s">
        <v>1</v>
      </c>
      <c r="C22452" s="6" t="s">
        <v>1</v>
      </c>
    </row>
    <row r="22453" spans="1:3" s="7" customFormat="1" x14ac:dyDescent="0.2">
      <c r="A22453" s="6" t="str">
        <f>"ACAA1"</f>
        <v>ACAA1</v>
      </c>
      <c r="B22453" s="6" t="s">
        <v>1</v>
      </c>
      <c r="C22453" s="6" t="s">
        <v>1</v>
      </c>
    </row>
    <row r="22454" spans="1:3" s="7" customFormat="1" x14ac:dyDescent="0.2">
      <c r="A22454" s="6" t="str">
        <f>"WIZ"</f>
        <v>WIZ</v>
      </c>
      <c r="B22454" s="6" t="s">
        <v>1</v>
      </c>
      <c r="C22454" s="6" t="s">
        <v>1</v>
      </c>
    </row>
    <row r="22455" spans="1:3" s="7" customFormat="1" x14ac:dyDescent="0.2">
      <c r="A22455" s="6" t="str">
        <f>"REXO2"</f>
        <v>REXO2</v>
      </c>
      <c r="B22455" s="6" t="s">
        <v>1</v>
      </c>
      <c r="C22455" s="6" t="s">
        <v>1</v>
      </c>
    </row>
    <row r="22456" spans="1:3" s="7" customFormat="1" x14ac:dyDescent="0.2">
      <c r="A22456" s="6" t="str">
        <f>"BTBD6"</f>
        <v>BTBD6</v>
      </c>
      <c r="B22456" s="6" t="s">
        <v>1</v>
      </c>
      <c r="C22456" s="6" t="s">
        <v>1</v>
      </c>
    </row>
    <row r="22457" spans="1:3" s="7" customFormat="1" x14ac:dyDescent="0.2">
      <c r="A22457" s="6" t="str">
        <f>"CNPPD1"</f>
        <v>CNPPD1</v>
      </c>
      <c r="B22457" s="6" t="s">
        <v>1</v>
      </c>
      <c r="C22457" s="6" t="s">
        <v>1</v>
      </c>
    </row>
    <row r="22458" spans="1:3" s="7" customFormat="1" x14ac:dyDescent="0.2">
      <c r="A22458" s="6" t="str">
        <f>"SOS1"</f>
        <v>SOS1</v>
      </c>
      <c r="B22458" s="6" t="s">
        <v>1</v>
      </c>
      <c r="C22458" s="6" t="s">
        <v>1</v>
      </c>
    </row>
    <row r="22459" spans="1:3" s="7" customFormat="1" x14ac:dyDescent="0.2">
      <c r="A22459" s="6" t="str">
        <f>"TMEM14B"</f>
        <v>TMEM14B</v>
      </c>
      <c r="B22459" s="6" t="s">
        <v>1</v>
      </c>
      <c r="C22459" s="6" t="s">
        <v>1</v>
      </c>
    </row>
    <row r="22460" spans="1:3" s="7" customFormat="1" x14ac:dyDescent="0.2">
      <c r="A22460" s="6" t="str">
        <f>"ZNF264"</f>
        <v>ZNF264</v>
      </c>
      <c r="B22460" s="6" t="s">
        <v>1</v>
      </c>
      <c r="C22460" s="6" t="s">
        <v>1</v>
      </c>
    </row>
    <row r="22461" spans="1:3" s="7" customFormat="1" x14ac:dyDescent="0.2">
      <c r="A22461" s="6" t="str">
        <f>"KLHDC10"</f>
        <v>KLHDC10</v>
      </c>
      <c r="B22461" s="6" t="s">
        <v>1</v>
      </c>
      <c r="C22461" s="6" t="s">
        <v>1</v>
      </c>
    </row>
    <row r="22462" spans="1:3" s="7" customFormat="1" x14ac:dyDescent="0.2">
      <c r="A22462" s="6" t="str">
        <f>"CNOT8"</f>
        <v>CNOT8</v>
      </c>
      <c r="B22462" s="6" t="s">
        <v>1</v>
      </c>
      <c r="C22462" s="6" t="s">
        <v>1</v>
      </c>
    </row>
    <row r="22463" spans="1:3" s="7" customFormat="1" x14ac:dyDescent="0.2">
      <c r="A22463" s="6" t="str">
        <f>"VHL"</f>
        <v>VHL</v>
      </c>
      <c r="B22463" s="6" t="s">
        <v>1</v>
      </c>
      <c r="C22463" s="6" t="s">
        <v>1</v>
      </c>
    </row>
    <row r="22464" spans="1:3" s="7" customFormat="1" x14ac:dyDescent="0.2">
      <c r="A22464" s="6" t="str">
        <f>"KCNJ15"</f>
        <v>KCNJ15</v>
      </c>
      <c r="B22464" s="6" t="s">
        <v>1</v>
      </c>
      <c r="C22464" s="6" t="s">
        <v>1</v>
      </c>
    </row>
    <row r="22465" spans="1:3" s="7" customFormat="1" x14ac:dyDescent="0.2">
      <c r="A22465" s="6" t="str">
        <f>"G6PC3"</f>
        <v>G6PC3</v>
      </c>
      <c r="B22465" s="6" t="s">
        <v>1</v>
      </c>
      <c r="C22465" s="6" t="s">
        <v>1</v>
      </c>
    </row>
    <row r="22466" spans="1:3" s="7" customFormat="1" x14ac:dyDescent="0.2">
      <c r="A22466" s="6" t="str">
        <f>"KCNE1B"</f>
        <v>KCNE1B</v>
      </c>
      <c r="B22466" s="6" t="s">
        <v>1</v>
      </c>
      <c r="C22466" s="6" t="s">
        <v>1</v>
      </c>
    </row>
    <row r="22467" spans="1:3" s="7" customFormat="1" x14ac:dyDescent="0.2">
      <c r="A22467" s="6" t="str">
        <f>"DENR"</f>
        <v>DENR</v>
      </c>
      <c r="B22467" s="6" t="s">
        <v>1</v>
      </c>
      <c r="C22467" s="6" t="s">
        <v>1</v>
      </c>
    </row>
    <row r="22468" spans="1:3" s="7" customFormat="1" x14ac:dyDescent="0.2">
      <c r="A22468" s="6" t="str">
        <f>"IPO8"</f>
        <v>IPO8</v>
      </c>
      <c r="B22468" s="6" t="s">
        <v>1</v>
      </c>
      <c r="C22468" s="6" t="s">
        <v>1</v>
      </c>
    </row>
    <row r="22469" spans="1:3" s="7" customFormat="1" x14ac:dyDescent="0.2">
      <c r="A22469" s="6" t="str">
        <f>"NUTF2"</f>
        <v>NUTF2</v>
      </c>
      <c r="B22469" s="6" t="s">
        <v>1</v>
      </c>
      <c r="C22469" s="6" t="s">
        <v>1</v>
      </c>
    </row>
    <row r="22470" spans="1:3" s="7" customFormat="1" x14ac:dyDescent="0.2">
      <c r="A22470" s="6" t="str">
        <f>"CARHSP1"</f>
        <v>CARHSP1</v>
      </c>
      <c r="B22470" s="6" t="s">
        <v>1</v>
      </c>
      <c r="C22470" s="6" t="s">
        <v>1</v>
      </c>
    </row>
    <row r="22471" spans="1:3" s="7" customFormat="1" x14ac:dyDescent="0.2">
      <c r="A22471" s="6" t="str">
        <f>"VIRMA"</f>
        <v>VIRMA</v>
      </c>
      <c r="B22471" s="6" t="s">
        <v>1</v>
      </c>
      <c r="C22471" s="6" t="s">
        <v>1</v>
      </c>
    </row>
    <row r="22472" spans="1:3" s="7" customFormat="1" x14ac:dyDescent="0.2">
      <c r="A22472" s="6" t="str">
        <f>"PAICS"</f>
        <v>PAICS</v>
      </c>
      <c r="B22472" s="6" t="s">
        <v>1</v>
      </c>
      <c r="C22472" s="6" t="s">
        <v>1</v>
      </c>
    </row>
    <row r="22473" spans="1:3" s="7" customFormat="1" x14ac:dyDescent="0.2">
      <c r="A22473" s="6" t="str">
        <f>"EML3"</f>
        <v>EML3</v>
      </c>
      <c r="B22473" s="6" t="s">
        <v>1</v>
      </c>
      <c r="C22473" s="6" t="s">
        <v>1</v>
      </c>
    </row>
    <row r="22474" spans="1:3" s="7" customFormat="1" x14ac:dyDescent="0.2">
      <c r="A22474" s="6" t="str">
        <f>"GRAMD4"</f>
        <v>GRAMD4</v>
      </c>
      <c r="B22474" s="6" t="s">
        <v>1</v>
      </c>
      <c r="C22474" s="6" t="s">
        <v>1</v>
      </c>
    </row>
    <row r="22475" spans="1:3" s="7" customFormat="1" x14ac:dyDescent="0.2">
      <c r="A22475" s="6" t="str">
        <f>"MSMO1"</f>
        <v>MSMO1</v>
      </c>
      <c r="B22475" s="6" t="s">
        <v>1</v>
      </c>
      <c r="C22475" s="6" t="s">
        <v>1</v>
      </c>
    </row>
    <row r="22476" spans="1:3" s="7" customFormat="1" x14ac:dyDescent="0.2">
      <c r="A22476" s="6" t="str">
        <f>"CNOT3"</f>
        <v>CNOT3</v>
      </c>
      <c r="B22476" s="6" t="s">
        <v>1</v>
      </c>
      <c r="C22476" s="6" t="s">
        <v>1</v>
      </c>
    </row>
    <row r="22477" spans="1:3" s="7" customFormat="1" x14ac:dyDescent="0.2">
      <c r="A22477" s="6" t="str">
        <f>"STX3"</f>
        <v>STX3</v>
      </c>
      <c r="B22477" s="6" t="s">
        <v>1</v>
      </c>
      <c r="C22477" s="6" t="s">
        <v>1</v>
      </c>
    </row>
    <row r="22478" spans="1:3" s="7" customFormat="1" x14ac:dyDescent="0.2">
      <c r="A22478" s="6" t="str">
        <f>"MRPS24"</f>
        <v>MRPS24</v>
      </c>
      <c r="B22478" s="6" t="s">
        <v>1</v>
      </c>
      <c r="C22478" s="6" t="s">
        <v>1</v>
      </c>
    </row>
    <row r="22479" spans="1:3" s="7" customFormat="1" x14ac:dyDescent="0.2">
      <c r="A22479" s="6" t="str">
        <f>"MCM4"</f>
        <v>MCM4</v>
      </c>
      <c r="B22479" s="6" t="s">
        <v>1</v>
      </c>
      <c r="C22479" s="6" t="s">
        <v>1</v>
      </c>
    </row>
    <row r="22480" spans="1:3" s="7" customFormat="1" x14ac:dyDescent="0.2">
      <c r="A22480" s="6" t="str">
        <f>"BAD"</f>
        <v>BAD</v>
      </c>
      <c r="B22480" s="6" t="s">
        <v>1</v>
      </c>
      <c r="C22480" s="6" t="s">
        <v>1</v>
      </c>
    </row>
    <row r="22481" spans="1:3" s="7" customFormat="1" x14ac:dyDescent="0.2">
      <c r="A22481" s="6" t="str">
        <f>"TBC1D22A"</f>
        <v>TBC1D22A</v>
      </c>
      <c r="B22481" s="6" t="s">
        <v>1</v>
      </c>
      <c r="C22481" s="6" t="s">
        <v>1</v>
      </c>
    </row>
    <row r="22482" spans="1:3" s="7" customFormat="1" x14ac:dyDescent="0.2">
      <c r="A22482" s="6" t="str">
        <f>"RANBP1"</f>
        <v>RANBP1</v>
      </c>
      <c r="B22482" s="6" t="s">
        <v>1</v>
      </c>
      <c r="C22482" s="6" t="s">
        <v>1</v>
      </c>
    </row>
    <row r="22483" spans="1:3" s="7" customFormat="1" x14ac:dyDescent="0.2">
      <c r="A22483" s="6" t="str">
        <f>"GADD45GIP1"</f>
        <v>GADD45GIP1</v>
      </c>
      <c r="B22483" s="6" t="s">
        <v>1</v>
      </c>
      <c r="C22483" s="6" t="s">
        <v>1</v>
      </c>
    </row>
    <row r="22484" spans="1:3" s="7" customFormat="1" x14ac:dyDescent="0.2">
      <c r="A22484" s="6" t="str">
        <f>"LRIG3"</f>
        <v>LRIG3</v>
      </c>
      <c r="B22484" s="6" t="s">
        <v>1</v>
      </c>
      <c r="C22484" s="6" t="s">
        <v>1</v>
      </c>
    </row>
    <row r="22485" spans="1:3" s="7" customFormat="1" x14ac:dyDescent="0.2">
      <c r="A22485" s="6" t="str">
        <f>"FA2H"</f>
        <v>FA2H</v>
      </c>
      <c r="B22485" s="6" t="s">
        <v>1</v>
      </c>
      <c r="C22485" s="6" t="s">
        <v>1</v>
      </c>
    </row>
    <row r="22486" spans="1:3" s="7" customFormat="1" x14ac:dyDescent="0.2">
      <c r="A22486" s="6" t="str">
        <f>"IP6K2"</f>
        <v>IP6K2</v>
      </c>
      <c r="B22486" s="6" t="s">
        <v>1</v>
      </c>
      <c r="C22486" s="6" t="s">
        <v>1</v>
      </c>
    </row>
    <row r="22487" spans="1:3" s="7" customFormat="1" x14ac:dyDescent="0.2">
      <c r="A22487" s="6" t="str">
        <f>"DENND4C"</f>
        <v>DENND4C</v>
      </c>
      <c r="B22487" s="6" t="s">
        <v>1</v>
      </c>
      <c r="C22487" s="6" t="s">
        <v>1</v>
      </c>
    </row>
    <row r="22488" spans="1:3" s="7" customFormat="1" x14ac:dyDescent="0.2">
      <c r="A22488" s="6" t="str">
        <f>"CNOT6"</f>
        <v>CNOT6</v>
      </c>
      <c r="B22488" s="6" t="s">
        <v>1</v>
      </c>
      <c r="C22488" s="6" t="s">
        <v>1</v>
      </c>
    </row>
    <row r="22489" spans="1:3" s="7" customFormat="1" x14ac:dyDescent="0.2">
      <c r="A22489" s="6" t="str">
        <f>"STX18"</f>
        <v>STX18</v>
      </c>
      <c r="B22489" s="6" t="s">
        <v>1</v>
      </c>
      <c r="C22489" s="6" t="s">
        <v>1</v>
      </c>
    </row>
    <row r="22490" spans="1:3" s="7" customFormat="1" x14ac:dyDescent="0.2">
      <c r="A22490" s="6" t="str">
        <f>"SRPK2"</f>
        <v>SRPK2</v>
      </c>
      <c r="B22490" s="6" t="s">
        <v>1</v>
      </c>
      <c r="C22490" s="6" t="s">
        <v>1</v>
      </c>
    </row>
    <row r="22491" spans="1:3" s="7" customFormat="1" x14ac:dyDescent="0.2">
      <c r="A22491" s="6" t="str">
        <f>"NDUFS8"</f>
        <v>NDUFS8</v>
      </c>
      <c r="B22491" s="6" t="s">
        <v>1</v>
      </c>
      <c r="C22491" s="6" t="s">
        <v>1</v>
      </c>
    </row>
    <row r="22492" spans="1:3" s="7" customFormat="1" x14ac:dyDescent="0.2">
      <c r="A22492" s="6" t="str">
        <f>"KAZN"</f>
        <v>KAZN</v>
      </c>
      <c r="B22492" s="6" t="s">
        <v>1</v>
      </c>
      <c r="C22492" s="6" t="s">
        <v>1</v>
      </c>
    </row>
    <row r="22493" spans="1:3" s="7" customFormat="1" x14ac:dyDescent="0.2">
      <c r="A22493" s="6" t="str">
        <f>"MAGI3"</f>
        <v>MAGI3</v>
      </c>
      <c r="B22493" s="6" t="s">
        <v>1</v>
      </c>
      <c r="C22493" s="6" t="s">
        <v>1</v>
      </c>
    </row>
    <row r="22494" spans="1:3" s="7" customFormat="1" x14ac:dyDescent="0.2">
      <c r="A22494" s="6" t="str">
        <f>"NEDD9"</f>
        <v>NEDD9</v>
      </c>
      <c r="B22494" s="6" t="s">
        <v>1</v>
      </c>
      <c r="C22494" s="6" t="s">
        <v>1</v>
      </c>
    </row>
    <row r="22495" spans="1:3" s="7" customFormat="1" x14ac:dyDescent="0.2">
      <c r="A22495" s="6" t="str">
        <f>"CREBL2"</f>
        <v>CREBL2</v>
      </c>
      <c r="B22495" s="6" t="s">
        <v>1</v>
      </c>
      <c r="C22495" s="6" t="s">
        <v>1</v>
      </c>
    </row>
    <row r="22496" spans="1:3" s="7" customFormat="1" x14ac:dyDescent="0.2">
      <c r="A22496" s="6" t="str">
        <f>"NPIPB3"</f>
        <v>NPIPB3</v>
      </c>
      <c r="B22496" s="6" t="s">
        <v>1</v>
      </c>
      <c r="C22496" s="6" t="s">
        <v>1</v>
      </c>
    </row>
    <row r="22497" spans="1:3" s="7" customFormat="1" x14ac:dyDescent="0.2">
      <c r="A22497" s="6" t="str">
        <f>"DNMBP"</f>
        <v>DNMBP</v>
      </c>
      <c r="B22497" s="6" t="s">
        <v>1</v>
      </c>
      <c r="C22497" s="6" t="s">
        <v>1</v>
      </c>
    </row>
    <row r="22498" spans="1:3" s="7" customFormat="1" x14ac:dyDescent="0.2">
      <c r="A22498" s="6" t="str">
        <f>"TMEM164"</f>
        <v>TMEM164</v>
      </c>
      <c r="B22498" s="6" t="s">
        <v>1</v>
      </c>
      <c r="C22498" s="6" t="s">
        <v>1</v>
      </c>
    </row>
    <row r="22499" spans="1:3" s="7" customFormat="1" x14ac:dyDescent="0.2">
      <c r="A22499" s="6" t="str">
        <f>"RANBP3"</f>
        <v>RANBP3</v>
      </c>
      <c r="B22499" s="6" t="s">
        <v>1</v>
      </c>
      <c r="C22499" s="6" t="s">
        <v>1</v>
      </c>
    </row>
    <row r="22500" spans="1:3" s="7" customFormat="1" x14ac:dyDescent="0.2">
      <c r="A22500" s="6" t="str">
        <f>"TMEM125"</f>
        <v>TMEM125</v>
      </c>
      <c r="B22500" s="6" t="s">
        <v>1</v>
      </c>
      <c r="C22500" s="6" t="s">
        <v>1</v>
      </c>
    </row>
    <row r="22501" spans="1:3" s="7" customFormat="1" x14ac:dyDescent="0.2">
      <c r="A22501" s="6" t="str">
        <f>"THAP4"</f>
        <v>THAP4</v>
      </c>
      <c r="B22501" s="6" t="s">
        <v>1</v>
      </c>
      <c r="C22501" s="6" t="s">
        <v>1</v>
      </c>
    </row>
    <row r="22502" spans="1:3" s="7" customFormat="1" x14ac:dyDescent="0.2">
      <c r="A22502" s="6" t="str">
        <f>"TBC1D5"</f>
        <v>TBC1D5</v>
      </c>
      <c r="B22502" s="6" t="s">
        <v>1</v>
      </c>
      <c r="C22502" s="6" t="s">
        <v>1</v>
      </c>
    </row>
    <row r="22503" spans="1:3" s="7" customFormat="1" x14ac:dyDescent="0.2">
      <c r="A22503" s="6" t="str">
        <f>"EDEM1"</f>
        <v>EDEM1</v>
      </c>
      <c r="B22503" s="6" t="s">
        <v>1</v>
      </c>
      <c r="C22503" s="6" t="s">
        <v>1</v>
      </c>
    </row>
    <row r="22504" spans="1:3" s="7" customFormat="1" x14ac:dyDescent="0.2">
      <c r="A22504" s="6" t="str">
        <f>"HMGB3"</f>
        <v>HMGB3</v>
      </c>
      <c r="B22504" s="6" t="s">
        <v>1</v>
      </c>
      <c r="C22504" s="6" t="s">
        <v>1</v>
      </c>
    </row>
    <row r="22505" spans="1:3" s="7" customFormat="1" x14ac:dyDescent="0.2">
      <c r="A22505" s="6" t="str">
        <f>"ECHDC1"</f>
        <v>ECHDC1</v>
      </c>
      <c r="B22505" s="6" t="s">
        <v>1</v>
      </c>
      <c r="C22505" s="6" t="s">
        <v>1</v>
      </c>
    </row>
    <row r="22506" spans="1:3" s="7" customFormat="1" x14ac:dyDescent="0.2">
      <c r="A22506" s="6" t="str">
        <f>"CASP3"</f>
        <v>CASP3</v>
      </c>
      <c r="B22506" s="6" t="s">
        <v>1</v>
      </c>
      <c r="C22506" s="6" t="s">
        <v>1</v>
      </c>
    </row>
    <row r="22507" spans="1:3" s="7" customFormat="1" x14ac:dyDescent="0.2">
      <c r="A22507" s="6" t="str">
        <f>"SELL"</f>
        <v>SELL</v>
      </c>
      <c r="B22507" s="6" t="s">
        <v>1</v>
      </c>
      <c r="C22507" s="6" t="s">
        <v>1</v>
      </c>
    </row>
    <row r="22508" spans="1:3" s="7" customFormat="1" x14ac:dyDescent="0.2">
      <c r="A22508" s="6" t="str">
        <f>"APOL2"</f>
        <v>APOL2</v>
      </c>
      <c r="B22508" s="6" t="s">
        <v>1</v>
      </c>
      <c r="C22508" s="6" t="s">
        <v>1</v>
      </c>
    </row>
    <row r="22509" spans="1:3" s="7" customFormat="1" x14ac:dyDescent="0.2">
      <c r="A22509" s="6" t="str">
        <f>"NDUFB5"</f>
        <v>NDUFB5</v>
      </c>
      <c r="B22509" s="6" t="s">
        <v>1</v>
      </c>
      <c r="C22509" s="6" t="s">
        <v>1</v>
      </c>
    </row>
    <row r="22510" spans="1:3" s="7" customFormat="1" x14ac:dyDescent="0.2">
      <c r="A22510" s="6" t="str">
        <f>"KLHL24"</f>
        <v>KLHL24</v>
      </c>
      <c r="B22510" s="6" t="s">
        <v>1</v>
      </c>
      <c r="C22510" s="6" t="s">
        <v>1</v>
      </c>
    </row>
    <row r="22511" spans="1:3" s="7" customFormat="1" x14ac:dyDescent="0.2">
      <c r="A22511" s="6" t="str">
        <f>"S100A13"</f>
        <v>S100A13</v>
      </c>
      <c r="B22511" s="6" t="s">
        <v>1</v>
      </c>
      <c r="C22511" s="6" t="s">
        <v>1</v>
      </c>
    </row>
    <row r="22512" spans="1:3" s="7" customFormat="1" x14ac:dyDescent="0.2">
      <c r="A22512" s="6" t="str">
        <f>"NOP56"</f>
        <v>NOP56</v>
      </c>
      <c r="B22512" s="6" t="s">
        <v>1</v>
      </c>
      <c r="C22512" s="6" t="s">
        <v>1</v>
      </c>
    </row>
    <row r="22513" spans="1:3" s="7" customFormat="1" x14ac:dyDescent="0.2">
      <c r="A22513" s="6" t="str">
        <f>"PCNX1"</f>
        <v>PCNX1</v>
      </c>
      <c r="B22513" s="6" t="s">
        <v>1</v>
      </c>
      <c r="C22513" s="6" t="s">
        <v>1</v>
      </c>
    </row>
    <row r="22514" spans="1:3" s="7" customFormat="1" x14ac:dyDescent="0.2">
      <c r="A22514" s="6" t="str">
        <f>"SNX8"</f>
        <v>SNX8</v>
      </c>
      <c r="B22514" s="6" t="s">
        <v>1</v>
      </c>
      <c r="C22514" s="6" t="s">
        <v>1</v>
      </c>
    </row>
    <row r="22515" spans="1:3" s="7" customFormat="1" x14ac:dyDescent="0.2">
      <c r="A22515" s="6" t="str">
        <f>"ZC3H18"</f>
        <v>ZC3H18</v>
      </c>
      <c r="B22515" s="6" t="s">
        <v>1</v>
      </c>
      <c r="C22515" s="6" t="s">
        <v>1</v>
      </c>
    </row>
    <row r="22516" spans="1:3" s="7" customFormat="1" x14ac:dyDescent="0.2">
      <c r="A22516" s="6" t="str">
        <f>"MRPS34"</f>
        <v>MRPS34</v>
      </c>
      <c r="B22516" s="6" t="s">
        <v>1</v>
      </c>
      <c r="C22516" s="6" t="s">
        <v>1</v>
      </c>
    </row>
    <row r="22517" spans="1:3" s="7" customFormat="1" x14ac:dyDescent="0.2">
      <c r="A22517" s="6" t="str">
        <f>"PLEKHM1"</f>
        <v>PLEKHM1</v>
      </c>
      <c r="B22517" s="6" t="s">
        <v>1</v>
      </c>
      <c r="C22517" s="6" t="s">
        <v>1</v>
      </c>
    </row>
    <row r="22518" spans="1:3" s="7" customFormat="1" x14ac:dyDescent="0.2">
      <c r="A22518" s="6" t="str">
        <f>"KLHL36"</f>
        <v>KLHL36</v>
      </c>
      <c r="B22518" s="6" t="s">
        <v>1</v>
      </c>
      <c r="C22518" s="6" t="s">
        <v>1</v>
      </c>
    </row>
    <row r="22519" spans="1:3" s="7" customFormat="1" x14ac:dyDescent="0.2">
      <c r="A22519" s="6" t="str">
        <f>"UFL1"</f>
        <v>UFL1</v>
      </c>
      <c r="B22519" s="6" t="s">
        <v>1</v>
      </c>
      <c r="C22519" s="6" t="s">
        <v>1</v>
      </c>
    </row>
    <row r="22520" spans="1:3" s="7" customFormat="1" x14ac:dyDescent="0.2">
      <c r="A22520" s="6" t="str">
        <f>"OXTR"</f>
        <v>OXTR</v>
      </c>
      <c r="B22520" s="6" t="s">
        <v>1</v>
      </c>
      <c r="C22520" s="6" t="s">
        <v>1</v>
      </c>
    </row>
    <row r="22521" spans="1:3" s="7" customFormat="1" x14ac:dyDescent="0.2">
      <c r="A22521" s="6" t="str">
        <f>"GRIN3B"</f>
        <v>GRIN3B</v>
      </c>
      <c r="B22521" s="6" t="s">
        <v>1</v>
      </c>
      <c r="C22521" s="6" t="s">
        <v>1</v>
      </c>
    </row>
    <row r="22522" spans="1:3" s="7" customFormat="1" x14ac:dyDescent="0.2">
      <c r="A22522" s="6" t="str">
        <f>"PCNP"</f>
        <v>PCNP</v>
      </c>
      <c r="B22522" s="6" t="s">
        <v>1</v>
      </c>
      <c r="C22522" s="6" t="s">
        <v>1</v>
      </c>
    </row>
    <row r="22523" spans="1:3" s="7" customFormat="1" x14ac:dyDescent="0.2">
      <c r="A22523" s="6" t="str">
        <f>"CRELD2"</f>
        <v>CRELD2</v>
      </c>
      <c r="B22523" s="6" t="s">
        <v>1</v>
      </c>
      <c r="C22523" s="6" t="s">
        <v>1</v>
      </c>
    </row>
    <row r="22524" spans="1:3" s="7" customFormat="1" x14ac:dyDescent="0.2">
      <c r="A22524" s="6" t="str">
        <f>"MED1"</f>
        <v>MED1</v>
      </c>
      <c r="B22524" s="6" t="s">
        <v>1</v>
      </c>
      <c r="C22524" s="6" t="s">
        <v>1</v>
      </c>
    </row>
    <row r="22525" spans="1:3" s="7" customFormat="1" x14ac:dyDescent="0.2">
      <c r="A22525" s="6" t="str">
        <f>"IPO9"</f>
        <v>IPO9</v>
      </c>
      <c r="B22525" s="6" t="s">
        <v>1</v>
      </c>
      <c r="C22525" s="6" t="s">
        <v>1</v>
      </c>
    </row>
    <row r="22526" spans="1:3" s="7" customFormat="1" x14ac:dyDescent="0.2">
      <c r="A22526" s="6" t="str">
        <f>"SRPK1"</f>
        <v>SRPK1</v>
      </c>
      <c r="B22526" s="6" t="s">
        <v>1</v>
      </c>
      <c r="C22526" s="6" t="s">
        <v>1</v>
      </c>
    </row>
    <row r="22527" spans="1:3" s="7" customFormat="1" x14ac:dyDescent="0.2">
      <c r="A22527" s="6" t="str">
        <f>"NEK9"</f>
        <v>NEK9</v>
      </c>
      <c r="B22527" s="6" t="s">
        <v>1</v>
      </c>
      <c r="C22527" s="6" t="s">
        <v>1</v>
      </c>
    </row>
    <row r="22528" spans="1:3" s="7" customFormat="1" x14ac:dyDescent="0.2">
      <c r="A22528" s="6" t="str">
        <f>"EMC7"</f>
        <v>EMC7</v>
      </c>
      <c r="B22528" s="6" t="s">
        <v>1</v>
      </c>
      <c r="C22528" s="6" t="s">
        <v>1</v>
      </c>
    </row>
    <row r="22529" spans="1:3" s="7" customFormat="1" x14ac:dyDescent="0.2">
      <c r="A22529" s="6" t="str">
        <f>"ALDH3B2"</f>
        <v>ALDH3B2</v>
      </c>
      <c r="B22529" s="6" t="s">
        <v>1</v>
      </c>
      <c r="C22529" s="6" t="s">
        <v>1</v>
      </c>
    </row>
    <row r="22530" spans="1:3" s="7" customFormat="1" x14ac:dyDescent="0.2">
      <c r="A22530" s="6" t="str">
        <f>"LPIN2"</f>
        <v>LPIN2</v>
      </c>
      <c r="B22530" s="6" t="s">
        <v>1</v>
      </c>
      <c r="C22530" s="6" t="s">
        <v>1</v>
      </c>
    </row>
    <row r="22531" spans="1:3" s="7" customFormat="1" x14ac:dyDescent="0.2">
      <c r="A22531" s="6" t="str">
        <f>"IP6K1"</f>
        <v>IP6K1</v>
      </c>
      <c r="B22531" s="6" t="s">
        <v>1</v>
      </c>
      <c r="C22531" s="6" t="s">
        <v>1</v>
      </c>
    </row>
    <row r="22532" spans="1:3" s="7" customFormat="1" x14ac:dyDescent="0.2">
      <c r="A22532" s="6" t="str">
        <f>"BROX"</f>
        <v>BROX</v>
      </c>
      <c r="B22532" s="6" t="s">
        <v>1</v>
      </c>
      <c r="C22532" s="6" t="s">
        <v>1</v>
      </c>
    </row>
    <row r="22533" spans="1:3" s="7" customFormat="1" x14ac:dyDescent="0.2">
      <c r="A22533" s="6" t="str">
        <f>"DEK"</f>
        <v>DEK</v>
      </c>
      <c r="B22533" s="6" t="s">
        <v>1</v>
      </c>
      <c r="C22533" s="6" t="s">
        <v>1</v>
      </c>
    </row>
    <row r="22534" spans="1:3" s="7" customFormat="1" x14ac:dyDescent="0.2">
      <c r="A22534" s="6" t="str">
        <f>"PPFIA1"</f>
        <v>PPFIA1</v>
      </c>
      <c r="B22534" s="6" t="s">
        <v>1</v>
      </c>
      <c r="C22534" s="6" t="s">
        <v>1</v>
      </c>
    </row>
    <row r="22535" spans="1:3" s="7" customFormat="1" x14ac:dyDescent="0.2">
      <c r="A22535" s="6" t="str">
        <f>"APOBEC4"</f>
        <v>APOBEC4</v>
      </c>
      <c r="B22535" s="6" t="s">
        <v>1</v>
      </c>
      <c r="C22535" s="6" t="s">
        <v>1</v>
      </c>
    </row>
    <row r="22536" spans="1:3" s="7" customFormat="1" x14ac:dyDescent="0.2">
      <c r="A22536" s="6" t="str">
        <f>"IFT74"</f>
        <v>IFT74</v>
      </c>
      <c r="B22536" s="6" t="s">
        <v>1</v>
      </c>
      <c r="C22536" s="6" t="s">
        <v>1</v>
      </c>
    </row>
    <row r="22537" spans="1:3" s="7" customFormat="1" x14ac:dyDescent="0.2">
      <c r="A22537" s="6" t="str">
        <f>"CDS2"</f>
        <v>CDS2</v>
      </c>
      <c r="B22537" s="6" t="s">
        <v>1</v>
      </c>
      <c r="C22537" s="6" t="s">
        <v>1</v>
      </c>
    </row>
    <row r="22538" spans="1:3" s="7" customFormat="1" x14ac:dyDescent="0.2">
      <c r="A22538" s="6" t="str">
        <f>"PCNX4"</f>
        <v>PCNX4</v>
      </c>
      <c r="B22538" s="6" t="s">
        <v>1</v>
      </c>
      <c r="C22538" s="6" t="s">
        <v>1</v>
      </c>
    </row>
    <row r="22539" spans="1:3" s="7" customFormat="1" x14ac:dyDescent="0.2">
      <c r="A22539" s="6" t="str">
        <f>"MDFIC"</f>
        <v>MDFIC</v>
      </c>
      <c r="B22539" s="6" t="s">
        <v>1</v>
      </c>
      <c r="C22539" s="6" t="s">
        <v>1</v>
      </c>
    </row>
    <row r="22540" spans="1:3" s="7" customFormat="1" x14ac:dyDescent="0.2">
      <c r="A22540" s="6" t="str">
        <f>"BAIAP2-DT"</f>
        <v>BAIAP2-DT</v>
      </c>
      <c r="B22540" s="6" t="s">
        <v>1</v>
      </c>
      <c r="C22540" s="6" t="s">
        <v>1</v>
      </c>
    </row>
    <row r="22541" spans="1:3" s="7" customFormat="1" x14ac:dyDescent="0.2">
      <c r="A22541" s="6" t="str">
        <f>"SNX33"</f>
        <v>SNX33</v>
      </c>
      <c r="B22541" s="6" t="s">
        <v>1</v>
      </c>
      <c r="C22541" s="6" t="s">
        <v>1</v>
      </c>
    </row>
    <row r="22542" spans="1:3" s="7" customFormat="1" x14ac:dyDescent="0.2">
      <c r="A22542" s="6" t="str">
        <f>"SAMD12"</f>
        <v>SAMD12</v>
      </c>
      <c r="B22542" s="6" t="s">
        <v>1</v>
      </c>
      <c r="C22542" s="6" t="s">
        <v>1</v>
      </c>
    </row>
    <row r="22543" spans="1:3" s="7" customFormat="1" x14ac:dyDescent="0.2">
      <c r="A22543" s="6" t="str">
        <f>"ENC1"</f>
        <v>ENC1</v>
      </c>
      <c r="B22543" s="6" t="s">
        <v>1</v>
      </c>
      <c r="C22543" s="6" t="s">
        <v>1</v>
      </c>
    </row>
    <row r="22544" spans="1:3" s="7" customFormat="1" x14ac:dyDescent="0.2">
      <c r="A22544" s="6" t="str">
        <f>"ARAF"</f>
        <v>ARAF</v>
      </c>
      <c r="B22544" s="6" t="s">
        <v>1</v>
      </c>
      <c r="C22544" s="6" t="s">
        <v>1</v>
      </c>
    </row>
    <row r="22545" spans="1:3" s="7" customFormat="1" x14ac:dyDescent="0.2">
      <c r="A22545" s="6" t="str">
        <f>"HAGH"</f>
        <v>HAGH</v>
      </c>
      <c r="B22545" s="6" t="s">
        <v>1</v>
      </c>
      <c r="C22545" s="6" t="s">
        <v>1</v>
      </c>
    </row>
    <row r="22546" spans="1:3" s="7" customFormat="1" x14ac:dyDescent="0.2">
      <c r="A22546" s="6" t="str">
        <f>"CNNM4"</f>
        <v>CNNM4</v>
      </c>
      <c r="B22546" s="6" t="s">
        <v>1</v>
      </c>
      <c r="C22546" s="6" t="s">
        <v>1</v>
      </c>
    </row>
    <row r="22547" spans="1:3" s="7" customFormat="1" x14ac:dyDescent="0.2">
      <c r="A22547" s="6" t="str">
        <f>"PCSK7"</f>
        <v>PCSK7</v>
      </c>
      <c r="B22547" s="6" t="s">
        <v>1</v>
      </c>
      <c r="C22547" s="6" t="s">
        <v>1</v>
      </c>
    </row>
    <row r="22548" spans="1:3" s="7" customFormat="1" x14ac:dyDescent="0.2">
      <c r="A22548" s="6" t="str">
        <f>"HCAR2"</f>
        <v>HCAR2</v>
      </c>
      <c r="B22548" s="6" t="s">
        <v>1</v>
      </c>
      <c r="C22548" s="6" t="s">
        <v>1</v>
      </c>
    </row>
    <row r="22549" spans="1:3" s="7" customFormat="1" x14ac:dyDescent="0.2">
      <c r="A22549" s="6" t="str">
        <f>"FAM8A1"</f>
        <v>FAM8A1</v>
      </c>
      <c r="B22549" s="6" t="s">
        <v>1</v>
      </c>
      <c r="C22549" s="6" t="s">
        <v>1</v>
      </c>
    </row>
    <row r="22550" spans="1:3" s="7" customFormat="1" x14ac:dyDescent="0.2">
      <c r="A22550" s="6" t="str">
        <f>"STX16"</f>
        <v>STX16</v>
      </c>
      <c r="B22550" s="6" t="s">
        <v>1</v>
      </c>
      <c r="C22550" s="6" t="s">
        <v>1</v>
      </c>
    </row>
    <row r="22551" spans="1:3" s="7" customFormat="1" x14ac:dyDescent="0.2">
      <c r="A22551" s="6" t="str">
        <f>"KLHDC3"</f>
        <v>KLHDC3</v>
      </c>
      <c r="B22551" s="6" t="s">
        <v>1</v>
      </c>
      <c r="C22551" s="6" t="s">
        <v>1</v>
      </c>
    </row>
    <row r="22552" spans="1:3" s="7" customFormat="1" x14ac:dyDescent="0.2">
      <c r="A22552" s="6" t="str">
        <f>"FAF2"</f>
        <v>FAF2</v>
      </c>
      <c r="B22552" s="6" t="s">
        <v>1</v>
      </c>
      <c r="C22552" s="6" t="s">
        <v>1</v>
      </c>
    </row>
    <row r="22553" spans="1:3" s="7" customFormat="1" x14ac:dyDescent="0.2">
      <c r="A22553" s="6" t="str">
        <f>"IFIT3"</f>
        <v>IFIT3</v>
      </c>
      <c r="B22553" s="6" t="s">
        <v>1</v>
      </c>
      <c r="C22553" s="6" t="s">
        <v>1</v>
      </c>
    </row>
    <row r="22554" spans="1:3" s="7" customFormat="1" x14ac:dyDescent="0.2">
      <c r="A22554" s="6" t="str">
        <f>"HCAR3"</f>
        <v>HCAR3</v>
      </c>
      <c r="B22554" s="6" t="s">
        <v>1</v>
      </c>
      <c r="C22554" s="6" t="s">
        <v>1</v>
      </c>
    </row>
    <row r="22555" spans="1:3" s="7" customFormat="1" x14ac:dyDescent="0.2">
      <c r="A22555" s="6" t="str">
        <f>"DNAJC14"</f>
        <v>DNAJC14</v>
      </c>
      <c r="B22555" s="6" t="s">
        <v>1</v>
      </c>
      <c r="C22555" s="6" t="s">
        <v>1</v>
      </c>
    </row>
    <row r="22556" spans="1:3" s="7" customFormat="1" x14ac:dyDescent="0.2">
      <c r="A22556" s="6" t="str">
        <f>"C21orf58"</f>
        <v>C21orf58</v>
      </c>
      <c r="B22556" s="6" t="s">
        <v>1</v>
      </c>
      <c r="C22556" s="6" t="s">
        <v>1</v>
      </c>
    </row>
    <row r="22557" spans="1:3" s="7" customFormat="1" x14ac:dyDescent="0.2">
      <c r="A22557" s="6" t="str">
        <f>"CRYM"</f>
        <v>CRYM</v>
      </c>
      <c r="B22557" s="6" t="s">
        <v>1</v>
      </c>
      <c r="C22557" s="6" t="s">
        <v>1</v>
      </c>
    </row>
    <row r="22558" spans="1:3" s="7" customFormat="1" x14ac:dyDescent="0.2">
      <c r="A22558" s="6" t="str">
        <f>"NELL2"</f>
        <v>NELL2</v>
      </c>
      <c r="B22558" s="6" t="s">
        <v>1</v>
      </c>
      <c r="C22558" s="6" t="s">
        <v>1</v>
      </c>
    </row>
    <row r="22559" spans="1:3" s="7" customFormat="1" x14ac:dyDescent="0.2">
      <c r="A22559" s="6" t="str">
        <f>"NOS2"</f>
        <v>NOS2</v>
      </c>
      <c r="B22559" s="6" t="s">
        <v>1</v>
      </c>
      <c r="C22559" s="6" t="s">
        <v>1</v>
      </c>
    </row>
    <row r="22560" spans="1:3" s="7" customFormat="1" x14ac:dyDescent="0.2">
      <c r="A22560" s="6" t="str">
        <f>"EBLN3P"</f>
        <v>EBLN3P</v>
      </c>
      <c r="B22560" s="6" t="s">
        <v>1</v>
      </c>
      <c r="C22560" s="6" t="s">
        <v>1</v>
      </c>
    </row>
    <row r="22561" spans="1:3" s="7" customFormat="1" x14ac:dyDescent="0.2">
      <c r="A22561" s="6" t="str">
        <f>"EDC4"</f>
        <v>EDC4</v>
      </c>
      <c r="B22561" s="6" t="s">
        <v>1</v>
      </c>
      <c r="C22561" s="6" t="s">
        <v>1</v>
      </c>
    </row>
    <row r="22562" spans="1:3" s="7" customFormat="1" x14ac:dyDescent="0.2">
      <c r="A22562" s="6" t="str">
        <f>"GRHPR"</f>
        <v>GRHPR</v>
      </c>
      <c r="B22562" s="6" t="s">
        <v>1</v>
      </c>
      <c r="C22562" s="6" t="s">
        <v>1</v>
      </c>
    </row>
    <row r="22563" spans="1:3" s="7" customFormat="1" x14ac:dyDescent="0.2">
      <c r="A22563" s="6" t="str">
        <f>"SHKBP1"</f>
        <v>SHKBP1</v>
      </c>
      <c r="B22563" s="6" t="s">
        <v>1</v>
      </c>
      <c r="C22563" s="6" t="s">
        <v>1</v>
      </c>
    </row>
    <row r="22564" spans="1:3" s="7" customFormat="1" x14ac:dyDescent="0.2">
      <c r="A22564" s="6" t="str">
        <f>"DNASE2"</f>
        <v>DNASE2</v>
      </c>
      <c r="B22564" s="6" t="s">
        <v>1</v>
      </c>
      <c r="C22564" s="6" t="s">
        <v>1</v>
      </c>
    </row>
    <row r="22565" spans="1:3" s="7" customFormat="1" x14ac:dyDescent="0.2">
      <c r="A22565" s="6" t="str">
        <f>"FMN1"</f>
        <v>FMN1</v>
      </c>
      <c r="B22565" s="6" t="s">
        <v>1</v>
      </c>
      <c r="C22565" s="6" t="s">
        <v>1</v>
      </c>
    </row>
    <row r="22566" spans="1:3" s="7" customFormat="1" x14ac:dyDescent="0.2">
      <c r="A22566" s="6" t="str">
        <f>"MED13"</f>
        <v>MED13</v>
      </c>
      <c r="B22566" s="6" t="s">
        <v>1</v>
      </c>
      <c r="C22566" s="6" t="s">
        <v>1</v>
      </c>
    </row>
    <row r="22567" spans="1:3" s="7" customFormat="1" x14ac:dyDescent="0.2">
      <c r="A22567" s="6" t="str">
        <f>"MRPS16"</f>
        <v>MRPS16</v>
      </c>
      <c r="B22567" s="6" t="s">
        <v>1</v>
      </c>
      <c r="C22567" s="6" t="s">
        <v>1</v>
      </c>
    </row>
    <row r="22568" spans="1:3" s="7" customFormat="1" x14ac:dyDescent="0.2">
      <c r="A22568" s="6" t="str">
        <f>"HARS1"</f>
        <v>HARS1</v>
      </c>
      <c r="B22568" s="6" t="s">
        <v>1</v>
      </c>
      <c r="C22568" s="6" t="s">
        <v>1</v>
      </c>
    </row>
    <row r="22569" spans="1:3" s="7" customFormat="1" x14ac:dyDescent="0.2">
      <c r="A22569" s="6" t="str">
        <f>"CHTOP"</f>
        <v>CHTOP</v>
      </c>
      <c r="B22569" s="6" t="s">
        <v>1</v>
      </c>
      <c r="C22569" s="6" t="s">
        <v>1</v>
      </c>
    </row>
    <row r="22570" spans="1:3" s="7" customFormat="1" x14ac:dyDescent="0.2">
      <c r="A22570" s="6" t="str">
        <f>"TBC1D10B"</f>
        <v>TBC1D10B</v>
      </c>
      <c r="B22570" s="6" t="s">
        <v>1</v>
      </c>
      <c r="C22570" s="6" t="s">
        <v>1</v>
      </c>
    </row>
    <row r="22571" spans="1:3" s="7" customFormat="1" x14ac:dyDescent="0.2">
      <c r="A22571" s="6" t="str">
        <f>"CEACAM1"</f>
        <v>CEACAM1</v>
      </c>
      <c r="B22571" s="6" t="s">
        <v>1</v>
      </c>
      <c r="C22571" s="6" t="s">
        <v>1</v>
      </c>
    </row>
    <row r="22572" spans="1:3" s="7" customFormat="1" x14ac:dyDescent="0.2">
      <c r="A22572" s="6" t="str">
        <f>"AQR"</f>
        <v>AQR</v>
      </c>
      <c r="B22572" s="6" t="s">
        <v>1</v>
      </c>
      <c r="C22572" s="6" t="s">
        <v>1</v>
      </c>
    </row>
    <row r="22573" spans="1:3" s="7" customFormat="1" x14ac:dyDescent="0.2">
      <c r="A22573" s="6" t="str">
        <f>"MAGI1"</f>
        <v>MAGI1</v>
      </c>
      <c r="B22573" s="6" t="s">
        <v>1</v>
      </c>
      <c r="C22573" s="6" t="s">
        <v>1</v>
      </c>
    </row>
    <row r="22574" spans="1:3" s="7" customFormat="1" x14ac:dyDescent="0.2">
      <c r="A22574" s="6" t="str">
        <f>"SAE1"</f>
        <v>SAE1</v>
      </c>
      <c r="B22574" s="6" t="s">
        <v>1</v>
      </c>
      <c r="C22574" s="6" t="s">
        <v>1</v>
      </c>
    </row>
    <row r="22575" spans="1:3" s="7" customFormat="1" x14ac:dyDescent="0.2">
      <c r="A22575" s="6" t="str">
        <f>"TMEM14C"</f>
        <v>TMEM14C</v>
      </c>
      <c r="B22575" s="6" t="s">
        <v>1</v>
      </c>
      <c r="C22575" s="6" t="s">
        <v>1</v>
      </c>
    </row>
    <row r="22576" spans="1:3" s="7" customFormat="1" x14ac:dyDescent="0.2">
      <c r="A22576" s="6" t="str">
        <f>"TGFBR2"</f>
        <v>TGFBR2</v>
      </c>
      <c r="B22576" s="6" t="s">
        <v>1</v>
      </c>
      <c r="C22576" s="6" t="s">
        <v>1</v>
      </c>
    </row>
    <row r="22577" spans="1:3" s="7" customFormat="1" x14ac:dyDescent="0.2">
      <c r="A22577" s="6" t="str">
        <f>"GLT8D1"</f>
        <v>GLT8D1</v>
      </c>
      <c r="B22577" s="6" t="s">
        <v>1</v>
      </c>
      <c r="C22577" s="6" t="s">
        <v>1</v>
      </c>
    </row>
    <row r="22578" spans="1:3" s="7" customFormat="1" x14ac:dyDescent="0.2">
      <c r="A22578" s="6" t="str">
        <f>"TRIB2"</f>
        <v>TRIB2</v>
      </c>
      <c r="B22578" s="6" t="s">
        <v>1</v>
      </c>
      <c r="C22578" s="6" t="s">
        <v>1</v>
      </c>
    </row>
    <row r="22579" spans="1:3" s="7" customFormat="1" x14ac:dyDescent="0.2">
      <c r="A22579" s="6" t="str">
        <f>"ASAP2"</f>
        <v>ASAP2</v>
      </c>
      <c r="B22579" s="6" t="s">
        <v>1</v>
      </c>
      <c r="C22579" s="6" t="s">
        <v>1</v>
      </c>
    </row>
    <row r="22580" spans="1:3" s="7" customFormat="1" x14ac:dyDescent="0.2">
      <c r="A22580" s="6" t="str">
        <f>"CCNDBP1"</f>
        <v>CCNDBP1</v>
      </c>
      <c r="B22580" s="6" t="s">
        <v>1</v>
      </c>
      <c r="C22580" s="6" t="s">
        <v>1</v>
      </c>
    </row>
    <row r="22581" spans="1:3" s="7" customFormat="1" x14ac:dyDescent="0.2">
      <c r="A22581" s="6" t="str">
        <f>"P2RY2"</f>
        <v>P2RY2</v>
      </c>
      <c r="B22581" s="6" t="s">
        <v>1</v>
      </c>
      <c r="C22581" s="6" t="s">
        <v>1</v>
      </c>
    </row>
    <row r="22582" spans="1:3" s="7" customFormat="1" x14ac:dyDescent="0.2">
      <c r="A22582" s="6" t="str">
        <f>"PTPN1"</f>
        <v>PTPN1</v>
      </c>
      <c r="B22582" s="6" t="s">
        <v>1</v>
      </c>
      <c r="C22582" s="6" t="s">
        <v>1</v>
      </c>
    </row>
    <row r="22583" spans="1:3" s="7" customFormat="1" x14ac:dyDescent="0.2">
      <c r="A22583" s="6" t="str">
        <f>"GPS2"</f>
        <v>GPS2</v>
      </c>
      <c r="B22583" s="6" t="s">
        <v>1</v>
      </c>
      <c r="C22583" s="6" t="s">
        <v>1</v>
      </c>
    </row>
    <row r="22584" spans="1:3" s="7" customFormat="1" x14ac:dyDescent="0.2">
      <c r="A22584" s="6" t="str">
        <f>"TNFRSF1B"</f>
        <v>TNFRSF1B</v>
      </c>
      <c r="B22584" s="6" t="s">
        <v>1</v>
      </c>
      <c r="C22584" s="6" t="s">
        <v>1</v>
      </c>
    </row>
    <row r="22585" spans="1:3" s="7" customFormat="1" x14ac:dyDescent="0.2">
      <c r="A22585" s="6" t="str">
        <f>"MRPS21"</f>
        <v>MRPS21</v>
      </c>
      <c r="B22585" s="6" t="s">
        <v>1</v>
      </c>
      <c r="C22585" s="6" t="s">
        <v>1</v>
      </c>
    </row>
    <row r="22586" spans="1:3" s="7" customFormat="1" x14ac:dyDescent="0.2">
      <c r="A22586" s="6" t="str">
        <f>"BRD1"</f>
        <v>BRD1</v>
      </c>
      <c r="B22586" s="6" t="s">
        <v>1</v>
      </c>
      <c r="C22586" s="6" t="s">
        <v>1</v>
      </c>
    </row>
    <row r="22587" spans="1:3" s="7" customFormat="1" x14ac:dyDescent="0.2">
      <c r="A22587" s="6" t="str">
        <f>"EXOSC10"</f>
        <v>EXOSC10</v>
      </c>
      <c r="B22587" s="6" t="s">
        <v>1</v>
      </c>
      <c r="C22587" s="6" t="s">
        <v>1</v>
      </c>
    </row>
    <row r="22588" spans="1:3" s="7" customFormat="1" x14ac:dyDescent="0.2">
      <c r="A22588" s="6" t="str">
        <f>"DNPH1"</f>
        <v>DNPH1</v>
      </c>
      <c r="B22588" s="6" t="s">
        <v>1</v>
      </c>
      <c r="C22588" s="6" t="s">
        <v>1</v>
      </c>
    </row>
    <row r="22589" spans="1:3" s="7" customFormat="1" x14ac:dyDescent="0.2">
      <c r="A22589" s="6" t="str">
        <f>"NPIPA1"</f>
        <v>NPIPA1</v>
      </c>
      <c r="B22589" s="6" t="s">
        <v>1</v>
      </c>
      <c r="C22589" s="6" t="s">
        <v>1</v>
      </c>
    </row>
    <row r="22590" spans="1:3" s="7" customFormat="1" x14ac:dyDescent="0.2">
      <c r="A22590" s="6" t="str">
        <f>"NUP62"</f>
        <v>NUP62</v>
      </c>
      <c r="B22590" s="6" t="s">
        <v>1</v>
      </c>
      <c r="C22590" s="6" t="s">
        <v>1</v>
      </c>
    </row>
    <row r="22591" spans="1:3" s="7" customFormat="1" x14ac:dyDescent="0.2">
      <c r="A22591" s="6" t="str">
        <f>"PCYT1A"</f>
        <v>PCYT1A</v>
      </c>
      <c r="B22591" s="6" t="s">
        <v>1</v>
      </c>
      <c r="C22591" s="6" t="s">
        <v>1</v>
      </c>
    </row>
    <row r="22592" spans="1:3" s="7" customFormat="1" x14ac:dyDescent="0.2">
      <c r="A22592" s="6" t="str">
        <f>"SNX6"</f>
        <v>SNX6</v>
      </c>
      <c r="B22592" s="6" t="s">
        <v>1</v>
      </c>
      <c r="C22592" s="6" t="s">
        <v>1</v>
      </c>
    </row>
    <row r="22593" spans="1:3" s="7" customFormat="1" x14ac:dyDescent="0.2">
      <c r="A22593" s="6" t="str">
        <f>"CNOT7"</f>
        <v>CNOT7</v>
      </c>
      <c r="B22593" s="6" t="s">
        <v>1</v>
      </c>
      <c r="C22593" s="6" t="s">
        <v>1</v>
      </c>
    </row>
    <row r="22594" spans="1:3" s="7" customFormat="1" x14ac:dyDescent="0.2">
      <c r="A22594" s="6" t="str">
        <f>"PLEKHF2"</f>
        <v>PLEKHF2</v>
      </c>
      <c r="B22594" s="6" t="s">
        <v>1</v>
      </c>
      <c r="C22594" s="6" t="s">
        <v>1</v>
      </c>
    </row>
    <row r="22595" spans="1:3" s="7" customFormat="1" x14ac:dyDescent="0.2">
      <c r="A22595" s="6" t="str">
        <f>"SECTM1"</f>
        <v>SECTM1</v>
      </c>
      <c r="B22595" s="6" t="s">
        <v>1</v>
      </c>
      <c r="C22595" s="6" t="s">
        <v>1</v>
      </c>
    </row>
    <row r="22596" spans="1:3" s="7" customFormat="1" x14ac:dyDescent="0.2">
      <c r="A22596" s="6" t="str">
        <f>"GLIS3"</f>
        <v>GLIS3</v>
      </c>
      <c r="B22596" s="6" t="s">
        <v>1</v>
      </c>
      <c r="C22596" s="6" t="s">
        <v>1</v>
      </c>
    </row>
    <row r="22597" spans="1:3" s="7" customFormat="1" x14ac:dyDescent="0.2">
      <c r="A22597" s="6" t="str">
        <f>"SNX9"</f>
        <v>SNX9</v>
      </c>
      <c r="B22597" s="6" t="s">
        <v>1</v>
      </c>
      <c r="C22597" s="6" t="s">
        <v>1</v>
      </c>
    </row>
    <row r="22598" spans="1:3" s="7" customFormat="1" x14ac:dyDescent="0.2">
      <c r="A22598" s="6" t="str">
        <f>"IFT122"</f>
        <v>IFT122</v>
      </c>
      <c r="B22598" s="6" t="s">
        <v>1</v>
      </c>
      <c r="C22598" s="6" t="s">
        <v>1</v>
      </c>
    </row>
    <row r="22599" spans="1:3" s="7" customFormat="1" x14ac:dyDescent="0.2">
      <c r="A22599" s="6" t="str">
        <f>"MSH3"</f>
        <v>MSH3</v>
      </c>
      <c r="B22599" s="6" t="s">
        <v>1</v>
      </c>
      <c r="C22599" s="6" t="s">
        <v>1</v>
      </c>
    </row>
    <row r="22600" spans="1:3" s="7" customFormat="1" x14ac:dyDescent="0.2">
      <c r="A22600" s="6" t="str">
        <f>"BSPRY"</f>
        <v>BSPRY</v>
      </c>
      <c r="B22600" s="6" t="s">
        <v>1</v>
      </c>
      <c r="C22600" s="6" t="s">
        <v>1</v>
      </c>
    </row>
    <row r="22601" spans="1:3" s="7" customFormat="1" x14ac:dyDescent="0.2">
      <c r="A22601" s="6" t="str">
        <f>"TNFRSF14"</f>
        <v>TNFRSF14</v>
      </c>
      <c r="B22601" s="6" t="s">
        <v>1</v>
      </c>
      <c r="C22601" s="6" t="s">
        <v>1</v>
      </c>
    </row>
    <row r="22602" spans="1:3" s="7" customFormat="1" x14ac:dyDescent="0.2">
      <c r="A22602" s="6" t="str">
        <f>"TBC1D20"</f>
        <v>TBC1D20</v>
      </c>
      <c r="B22602" s="6" t="s">
        <v>1</v>
      </c>
      <c r="C22602" s="6" t="s">
        <v>1</v>
      </c>
    </row>
    <row r="22603" spans="1:3" s="7" customFormat="1" x14ac:dyDescent="0.2">
      <c r="A22603" s="6" t="str">
        <f>"CHP2"</f>
        <v>CHP2</v>
      </c>
      <c r="B22603" s="6" t="s">
        <v>1</v>
      </c>
      <c r="C22603" s="6" t="s">
        <v>1</v>
      </c>
    </row>
    <row r="22604" spans="1:3" s="7" customFormat="1" x14ac:dyDescent="0.2">
      <c r="A22604" s="6" t="str">
        <f>"NEDD4"</f>
        <v>NEDD4</v>
      </c>
      <c r="B22604" s="6" t="s">
        <v>1</v>
      </c>
      <c r="C22604" s="6" t="s">
        <v>1</v>
      </c>
    </row>
    <row r="22605" spans="1:3" s="7" customFormat="1" x14ac:dyDescent="0.2">
      <c r="A22605" s="6" t="str">
        <f>"IFT81"</f>
        <v>IFT81</v>
      </c>
      <c r="B22605" s="6" t="s">
        <v>1</v>
      </c>
      <c r="C22605" s="6" t="s">
        <v>1</v>
      </c>
    </row>
    <row r="22606" spans="1:3" s="7" customFormat="1" x14ac:dyDescent="0.2">
      <c r="A22606" s="6" t="str">
        <f>"NELFB"</f>
        <v>NELFB</v>
      </c>
      <c r="B22606" s="6" t="s">
        <v>1</v>
      </c>
      <c r="C22606" s="6" t="s">
        <v>1</v>
      </c>
    </row>
    <row r="22607" spans="1:3" s="7" customFormat="1" x14ac:dyDescent="0.2">
      <c r="A22607" s="6" t="str">
        <f>"C20orf96"</f>
        <v>C20orf96</v>
      </c>
      <c r="B22607" s="6" t="s">
        <v>1</v>
      </c>
      <c r="C22607" s="6" t="s">
        <v>1</v>
      </c>
    </row>
    <row r="22608" spans="1:3" s="7" customFormat="1" x14ac:dyDescent="0.2">
      <c r="A22608" s="6" t="str">
        <f>"FMO2"</f>
        <v>FMO2</v>
      </c>
      <c r="B22608" s="6" t="s">
        <v>1</v>
      </c>
      <c r="C22608" s="6" t="s">
        <v>1</v>
      </c>
    </row>
    <row r="22609" spans="1:3" s="7" customFormat="1" x14ac:dyDescent="0.2">
      <c r="A22609" s="6" t="str">
        <f>"MEA1"</f>
        <v>MEA1</v>
      </c>
      <c r="B22609" s="6" t="s">
        <v>1</v>
      </c>
      <c r="C22609" s="6" t="s">
        <v>1</v>
      </c>
    </row>
    <row r="22610" spans="1:3" s="7" customFormat="1" x14ac:dyDescent="0.2">
      <c r="A22610" s="6" t="str">
        <f>"ALG11"</f>
        <v>ALG11</v>
      </c>
      <c r="B22610" s="6" t="s">
        <v>1</v>
      </c>
      <c r="C22610" s="6" t="s">
        <v>1</v>
      </c>
    </row>
    <row r="22611" spans="1:3" s="7" customFormat="1" x14ac:dyDescent="0.2">
      <c r="A22611" s="6" t="str">
        <f>"LGMN"</f>
        <v>LGMN</v>
      </c>
      <c r="B22611" s="6" t="s">
        <v>1</v>
      </c>
      <c r="C22611" s="6" t="s">
        <v>1</v>
      </c>
    </row>
    <row r="22612" spans="1:3" s="7" customFormat="1" x14ac:dyDescent="0.2">
      <c r="A22612" s="6" t="str">
        <f>"DNAJC8"</f>
        <v>DNAJC8</v>
      </c>
      <c r="B22612" s="6" t="s">
        <v>1</v>
      </c>
      <c r="C22612" s="6" t="s">
        <v>1</v>
      </c>
    </row>
    <row r="22613" spans="1:3" s="7" customFormat="1" x14ac:dyDescent="0.2">
      <c r="A22613" s="6" t="str">
        <f>"PHIP"</f>
        <v>PHIP</v>
      </c>
      <c r="B22613" s="6" t="s">
        <v>1</v>
      </c>
      <c r="C22613" s="6" t="s">
        <v>1</v>
      </c>
    </row>
    <row r="22614" spans="1:3" s="7" customFormat="1" x14ac:dyDescent="0.2">
      <c r="A22614" s="6" t="str">
        <f>"AC068580.4"</f>
        <v>AC068580.4</v>
      </c>
      <c r="B22614" s="6" t="s">
        <v>1</v>
      </c>
      <c r="C22614" s="6" t="s">
        <v>1</v>
      </c>
    </row>
    <row r="22615" spans="1:3" s="7" customFormat="1" x14ac:dyDescent="0.2">
      <c r="A22615" s="6" t="str">
        <f>"IFT27"</f>
        <v>IFT27</v>
      </c>
      <c r="B22615" s="6" t="s">
        <v>1</v>
      </c>
      <c r="C22615" s="6" t="s">
        <v>1</v>
      </c>
    </row>
    <row r="22616" spans="1:3" s="7" customFormat="1" x14ac:dyDescent="0.2">
      <c r="A22616" s="6" t="str">
        <f>"MAGT1"</f>
        <v>MAGT1</v>
      </c>
      <c r="B22616" s="6" t="s">
        <v>1</v>
      </c>
      <c r="C22616" s="6" t="s">
        <v>1</v>
      </c>
    </row>
    <row r="22617" spans="1:3" s="7" customFormat="1" x14ac:dyDescent="0.2">
      <c r="A22617" s="6" t="str">
        <f>"NUS1"</f>
        <v>NUS1</v>
      </c>
      <c r="B22617" s="6" t="s">
        <v>1</v>
      </c>
      <c r="C22617" s="6" t="s">
        <v>1</v>
      </c>
    </row>
    <row r="22618" spans="1:3" s="7" customFormat="1" x14ac:dyDescent="0.2">
      <c r="A22618" s="6" t="str">
        <f>"SOAT1"</f>
        <v>SOAT1</v>
      </c>
      <c r="B22618" s="6" t="s">
        <v>1</v>
      </c>
      <c r="C22618" s="6" t="s">
        <v>1</v>
      </c>
    </row>
    <row r="22619" spans="1:3" s="7" customFormat="1" x14ac:dyDescent="0.2">
      <c r="A22619" s="6" t="str">
        <f>"SHANK2"</f>
        <v>SHANK2</v>
      </c>
      <c r="B22619" s="6" t="s">
        <v>1</v>
      </c>
      <c r="C22619" s="6" t="s">
        <v>1</v>
      </c>
    </row>
    <row r="22620" spans="1:3" s="7" customFormat="1" x14ac:dyDescent="0.2">
      <c r="A22620" s="6" t="str">
        <f>"PLEKHM2"</f>
        <v>PLEKHM2</v>
      </c>
      <c r="B22620" s="6" t="s">
        <v>1</v>
      </c>
      <c r="C22620" s="6" t="s">
        <v>1</v>
      </c>
    </row>
    <row r="22621" spans="1:3" s="7" customFormat="1" x14ac:dyDescent="0.2">
      <c r="A22621" s="6" t="str">
        <f>"CNOT11"</f>
        <v>CNOT11</v>
      </c>
      <c r="B22621" s="6" t="s">
        <v>1</v>
      </c>
      <c r="C22621" s="6" t="s">
        <v>1</v>
      </c>
    </row>
    <row r="22622" spans="1:3" s="7" customFormat="1" x14ac:dyDescent="0.2">
      <c r="A22622" s="6" t="str">
        <f>"GMDS"</f>
        <v>GMDS</v>
      </c>
      <c r="B22622" s="6" t="s">
        <v>1</v>
      </c>
      <c r="C22622" s="6" t="s">
        <v>1</v>
      </c>
    </row>
    <row r="22623" spans="1:3" s="7" customFormat="1" x14ac:dyDescent="0.2">
      <c r="A22623" s="6" t="str">
        <f>"COG5"</f>
        <v>COG5</v>
      </c>
      <c r="B22623" s="6" t="s">
        <v>1</v>
      </c>
      <c r="C22623" s="6" t="s">
        <v>1</v>
      </c>
    </row>
    <row r="22624" spans="1:3" s="7" customFormat="1" x14ac:dyDescent="0.2">
      <c r="A22624" s="6" t="str">
        <f>"FKBP4"</f>
        <v>FKBP4</v>
      </c>
      <c r="B22624" s="6" t="s">
        <v>1</v>
      </c>
      <c r="C22624" s="6" t="s">
        <v>1</v>
      </c>
    </row>
    <row r="22625" spans="1:3" s="7" customFormat="1" x14ac:dyDescent="0.2">
      <c r="A22625" s="6" t="str">
        <f>"TTLL12"</f>
        <v>TTLL12</v>
      </c>
      <c r="B22625" s="6" t="s">
        <v>1</v>
      </c>
      <c r="C22625" s="6" t="s">
        <v>1</v>
      </c>
    </row>
    <row r="22626" spans="1:3" s="7" customFormat="1" x14ac:dyDescent="0.2">
      <c r="A22626" s="6" t="str">
        <f>"TNFSF13"</f>
        <v>TNFSF13</v>
      </c>
      <c r="B22626" s="6" t="s">
        <v>1</v>
      </c>
      <c r="C22626" s="6" t="s">
        <v>1</v>
      </c>
    </row>
    <row r="22627" spans="1:3" s="7" customFormat="1" x14ac:dyDescent="0.2">
      <c r="A22627" s="6" t="str">
        <f>"EMC4"</f>
        <v>EMC4</v>
      </c>
      <c r="B22627" s="6" t="s">
        <v>1</v>
      </c>
      <c r="C22627" s="6" t="s">
        <v>1</v>
      </c>
    </row>
    <row r="22628" spans="1:3" s="7" customFormat="1" x14ac:dyDescent="0.2">
      <c r="A22628" s="6" t="str">
        <f>"ZC3H12A"</f>
        <v>ZC3H12A</v>
      </c>
      <c r="B22628" s="6" t="s">
        <v>1</v>
      </c>
      <c r="C22628" s="6" t="s">
        <v>1</v>
      </c>
    </row>
    <row r="22629" spans="1:3" s="7" customFormat="1" x14ac:dyDescent="0.2">
      <c r="A22629" s="6" t="str">
        <f>"NOP9"</f>
        <v>NOP9</v>
      </c>
      <c r="B22629" s="6" t="s">
        <v>1</v>
      </c>
      <c r="C22629" s="6" t="s">
        <v>1</v>
      </c>
    </row>
    <row r="22630" spans="1:3" s="7" customFormat="1" x14ac:dyDescent="0.2">
      <c r="A22630" s="6" t="str">
        <f>"HMGCS1"</f>
        <v>HMGCS1</v>
      </c>
      <c r="B22630" s="6" t="s">
        <v>1</v>
      </c>
      <c r="C22630" s="6" t="s">
        <v>1</v>
      </c>
    </row>
    <row r="22631" spans="1:3" s="7" customFormat="1" x14ac:dyDescent="0.2">
      <c r="A22631" s="6" t="str">
        <f>"OCLN"</f>
        <v>OCLN</v>
      </c>
      <c r="B22631" s="6" t="s">
        <v>1</v>
      </c>
      <c r="C22631" s="6" t="s">
        <v>1</v>
      </c>
    </row>
    <row r="22632" spans="1:3" s="7" customFormat="1" x14ac:dyDescent="0.2">
      <c r="A22632" s="6" t="str">
        <f>"FKBP15"</f>
        <v>FKBP15</v>
      </c>
      <c r="B22632" s="6" t="s">
        <v>1</v>
      </c>
      <c r="C22632" s="6" t="s">
        <v>1</v>
      </c>
    </row>
    <row r="22633" spans="1:3" s="7" customFormat="1" x14ac:dyDescent="0.2">
      <c r="A22633" s="6" t="str">
        <f>"WNK2"</f>
        <v>WNK2</v>
      </c>
      <c r="B22633" s="6" t="s">
        <v>1</v>
      </c>
      <c r="C22633" s="6" t="s">
        <v>1</v>
      </c>
    </row>
    <row r="22634" spans="1:3" s="7" customFormat="1" x14ac:dyDescent="0.2">
      <c r="A22634" s="6" t="str">
        <f>"ATAD3A"</f>
        <v>ATAD3A</v>
      </c>
      <c r="B22634" s="6" t="s">
        <v>1</v>
      </c>
      <c r="C22634" s="6" t="s">
        <v>1</v>
      </c>
    </row>
    <row r="22635" spans="1:3" s="7" customFormat="1" x14ac:dyDescent="0.2">
      <c r="A22635" s="6" t="str">
        <f>"NPEPL1"</f>
        <v>NPEPL1</v>
      </c>
      <c r="B22635" s="6" t="s">
        <v>1</v>
      </c>
      <c r="C22635" s="6" t="s">
        <v>1</v>
      </c>
    </row>
    <row r="22636" spans="1:3" s="7" customFormat="1" x14ac:dyDescent="0.2">
      <c r="A22636" s="6" t="str">
        <f>"LETM1"</f>
        <v>LETM1</v>
      </c>
      <c r="B22636" s="6" t="s">
        <v>1</v>
      </c>
      <c r="C22636" s="6" t="s">
        <v>1</v>
      </c>
    </row>
    <row r="22637" spans="1:3" s="7" customFormat="1" x14ac:dyDescent="0.2">
      <c r="A22637" s="6" t="str">
        <f>"KCMF1"</f>
        <v>KCMF1</v>
      </c>
      <c r="B22637" s="6" t="s">
        <v>1</v>
      </c>
      <c r="C22637" s="6" t="s">
        <v>1</v>
      </c>
    </row>
    <row r="22638" spans="1:3" s="7" customFormat="1" x14ac:dyDescent="0.2">
      <c r="A22638" s="6" t="str">
        <f>"PACS2"</f>
        <v>PACS2</v>
      </c>
      <c r="B22638" s="6" t="s">
        <v>1</v>
      </c>
      <c r="C22638" s="6" t="s">
        <v>1</v>
      </c>
    </row>
    <row r="22639" spans="1:3" s="7" customFormat="1" x14ac:dyDescent="0.2">
      <c r="A22639" s="6" t="str">
        <f>"MED16"</f>
        <v>MED16</v>
      </c>
      <c r="B22639" s="6" t="s">
        <v>1</v>
      </c>
      <c r="C22639" s="6" t="s">
        <v>1</v>
      </c>
    </row>
    <row r="22640" spans="1:3" s="7" customFormat="1" x14ac:dyDescent="0.2">
      <c r="A22640" s="6" t="str">
        <f>"ASCC3"</f>
        <v>ASCC3</v>
      </c>
      <c r="B22640" s="6" t="s">
        <v>1</v>
      </c>
      <c r="C22640" s="6" t="s">
        <v>1</v>
      </c>
    </row>
    <row r="22641" spans="1:3" s="7" customFormat="1" x14ac:dyDescent="0.2">
      <c r="A22641" s="6" t="str">
        <f>"GALC"</f>
        <v>GALC</v>
      </c>
      <c r="B22641" s="6" t="s">
        <v>1</v>
      </c>
      <c r="C22641" s="6" t="s">
        <v>1</v>
      </c>
    </row>
    <row r="22642" spans="1:3" s="7" customFormat="1" x14ac:dyDescent="0.2">
      <c r="A22642" s="6" t="str">
        <f>"CREG1"</f>
        <v>CREG1</v>
      </c>
      <c r="B22642" s="6" t="s">
        <v>1</v>
      </c>
      <c r="C22642" s="6" t="s">
        <v>1</v>
      </c>
    </row>
    <row r="22643" spans="1:3" s="7" customFormat="1" x14ac:dyDescent="0.2">
      <c r="A22643" s="6" t="str">
        <f>"SRGAP3"</f>
        <v>SRGAP3</v>
      </c>
      <c r="B22643" s="6" t="s">
        <v>1</v>
      </c>
      <c r="C22643" s="6" t="s">
        <v>1</v>
      </c>
    </row>
    <row r="22644" spans="1:3" s="7" customFormat="1" x14ac:dyDescent="0.2">
      <c r="A22644" s="6" t="str">
        <f>"OXR1"</f>
        <v>OXR1</v>
      </c>
      <c r="B22644" s="6" t="s">
        <v>1</v>
      </c>
      <c r="C22644" s="6" t="s">
        <v>1</v>
      </c>
    </row>
    <row r="22645" spans="1:3" s="7" customFormat="1" x14ac:dyDescent="0.2">
      <c r="A22645" s="6" t="str">
        <f>"APRT"</f>
        <v>APRT</v>
      </c>
      <c r="B22645" s="6" t="s">
        <v>1</v>
      </c>
      <c r="C22645" s="6" t="s">
        <v>1</v>
      </c>
    </row>
    <row r="22646" spans="1:3" s="7" customFormat="1" x14ac:dyDescent="0.2">
      <c r="A22646" s="6" t="str">
        <f>"PRNP"</f>
        <v>PRNP</v>
      </c>
      <c r="B22646" s="6" t="s">
        <v>1</v>
      </c>
      <c r="C22646" s="6" t="s">
        <v>1</v>
      </c>
    </row>
    <row r="22647" spans="1:3" s="7" customFormat="1" x14ac:dyDescent="0.2">
      <c r="A22647" s="6" t="str">
        <f>"NDUFC2"</f>
        <v>NDUFC2</v>
      </c>
      <c r="B22647" s="6" t="s">
        <v>1</v>
      </c>
      <c r="C22647" s="6" t="s">
        <v>1</v>
      </c>
    </row>
    <row r="22648" spans="1:3" s="7" customFormat="1" x14ac:dyDescent="0.2">
      <c r="A22648" s="6" t="str">
        <f>"CYLD"</f>
        <v>CYLD</v>
      </c>
      <c r="B22648" s="6" t="s">
        <v>1</v>
      </c>
      <c r="C22648" s="6" t="s">
        <v>1</v>
      </c>
    </row>
    <row r="22649" spans="1:3" s="7" customFormat="1" x14ac:dyDescent="0.2">
      <c r="A22649" s="6" t="str">
        <f>"DERL1"</f>
        <v>DERL1</v>
      </c>
      <c r="B22649" s="6" t="s">
        <v>1</v>
      </c>
      <c r="C22649" s="6" t="s">
        <v>1</v>
      </c>
    </row>
    <row r="22650" spans="1:3" s="7" customFormat="1" x14ac:dyDescent="0.2">
      <c r="A22650" s="6" t="str">
        <f>"BRD3OS"</f>
        <v>BRD3OS</v>
      </c>
      <c r="B22650" s="6" t="s">
        <v>1</v>
      </c>
      <c r="C22650" s="6" t="s">
        <v>1</v>
      </c>
    </row>
    <row r="22651" spans="1:3" s="7" customFormat="1" x14ac:dyDescent="0.2">
      <c r="A22651" s="6" t="str">
        <f>"GABARAPL1"</f>
        <v>GABARAPL1</v>
      </c>
      <c r="B22651" s="6" t="s">
        <v>1</v>
      </c>
      <c r="C22651" s="6" t="s">
        <v>1</v>
      </c>
    </row>
    <row r="22652" spans="1:3" s="7" customFormat="1" x14ac:dyDescent="0.2">
      <c r="A22652" s="6" t="str">
        <f>"ZSCAN18"</f>
        <v>ZSCAN18</v>
      </c>
      <c r="B22652" s="6" t="s">
        <v>1</v>
      </c>
      <c r="C22652" s="6" t="s">
        <v>1</v>
      </c>
    </row>
    <row r="22653" spans="1:3" s="7" customFormat="1" x14ac:dyDescent="0.2">
      <c r="A22653" s="6" t="str">
        <f>"CRIM1"</f>
        <v>CRIM1</v>
      </c>
      <c r="B22653" s="6" t="s">
        <v>1</v>
      </c>
      <c r="C22653" s="6" t="s">
        <v>1</v>
      </c>
    </row>
    <row r="22654" spans="1:3" s="7" customFormat="1" x14ac:dyDescent="0.2">
      <c r="A22654" s="6" t="str">
        <f>"ZC3H4"</f>
        <v>ZC3H4</v>
      </c>
      <c r="B22654" s="6" t="s">
        <v>1</v>
      </c>
      <c r="C22654" s="6" t="s">
        <v>1</v>
      </c>
    </row>
    <row r="22655" spans="1:3" s="7" customFormat="1" x14ac:dyDescent="0.2">
      <c r="A22655" s="6" t="str">
        <f>"RNF114"</f>
        <v>RNF114</v>
      </c>
      <c r="B22655" s="6" t="s">
        <v>1</v>
      </c>
      <c r="C22655" s="6" t="s">
        <v>1</v>
      </c>
    </row>
    <row r="22656" spans="1:3" s="7" customFormat="1" x14ac:dyDescent="0.2">
      <c r="A22656" s="6" t="str">
        <f>"ADIPOR2"</f>
        <v>ADIPOR2</v>
      </c>
      <c r="B22656" s="6" t="s">
        <v>1</v>
      </c>
      <c r="C22656" s="6" t="s">
        <v>1</v>
      </c>
    </row>
    <row r="22657" spans="1:3" s="7" customFormat="1" x14ac:dyDescent="0.2">
      <c r="A22657" s="6" t="str">
        <f>"PAFAH1B2"</f>
        <v>PAFAH1B2</v>
      </c>
      <c r="B22657" s="6" t="s">
        <v>1</v>
      </c>
      <c r="C22657" s="6" t="s">
        <v>1</v>
      </c>
    </row>
    <row r="22658" spans="1:3" s="7" customFormat="1" x14ac:dyDescent="0.2">
      <c r="A22658" s="6" t="str">
        <f>"BAP1"</f>
        <v>BAP1</v>
      </c>
      <c r="B22658" s="6" t="s">
        <v>1</v>
      </c>
      <c r="C22658" s="6" t="s">
        <v>1</v>
      </c>
    </row>
    <row r="22659" spans="1:3" s="7" customFormat="1" x14ac:dyDescent="0.2">
      <c r="A22659" s="6" t="str">
        <f>"SMAGP"</f>
        <v>SMAGP</v>
      </c>
      <c r="B22659" s="6" t="s">
        <v>1</v>
      </c>
      <c r="C22659" s="6" t="s">
        <v>1</v>
      </c>
    </row>
    <row r="22660" spans="1:3" s="7" customFormat="1" x14ac:dyDescent="0.2">
      <c r="A22660" s="6" t="str">
        <f>"NDUFS6"</f>
        <v>NDUFS6</v>
      </c>
      <c r="B22660" s="6" t="s">
        <v>1</v>
      </c>
      <c r="C22660" s="6" t="s">
        <v>1</v>
      </c>
    </row>
    <row r="22661" spans="1:3" s="7" customFormat="1" x14ac:dyDescent="0.2">
      <c r="A22661" s="6" t="str">
        <f>"FANK1"</f>
        <v>FANK1</v>
      </c>
      <c r="B22661" s="6" t="s">
        <v>1</v>
      </c>
      <c r="C22661" s="6" t="s">
        <v>1</v>
      </c>
    </row>
    <row r="22662" spans="1:3" s="7" customFormat="1" x14ac:dyDescent="0.2">
      <c r="A22662" s="6" t="str">
        <f>"MAGEF1"</f>
        <v>MAGEF1</v>
      </c>
      <c r="B22662" s="6" t="s">
        <v>1</v>
      </c>
      <c r="C22662" s="6" t="s">
        <v>1</v>
      </c>
    </row>
    <row r="22663" spans="1:3" s="7" customFormat="1" x14ac:dyDescent="0.2">
      <c r="A22663" s="6" t="str">
        <f>"RNF115"</f>
        <v>RNF115</v>
      </c>
      <c r="B22663" s="6" t="s">
        <v>1</v>
      </c>
      <c r="C22663" s="6" t="s">
        <v>1</v>
      </c>
    </row>
    <row r="22664" spans="1:3" s="7" customFormat="1" x14ac:dyDescent="0.2">
      <c r="A22664" s="6" t="str">
        <f>"CHPF2"</f>
        <v>CHPF2</v>
      </c>
      <c r="B22664" s="6" t="s">
        <v>1</v>
      </c>
      <c r="C22664" s="6" t="s">
        <v>1</v>
      </c>
    </row>
    <row r="22665" spans="1:3" s="7" customFormat="1" x14ac:dyDescent="0.2">
      <c r="A22665" s="6" t="str">
        <f>"BRI3"</f>
        <v>BRI3</v>
      </c>
      <c r="B22665" s="6" t="s">
        <v>1</v>
      </c>
      <c r="C22665" s="6" t="s">
        <v>1</v>
      </c>
    </row>
    <row r="22666" spans="1:3" s="7" customFormat="1" x14ac:dyDescent="0.2">
      <c r="A22666" s="6" t="str">
        <f>"WRNIP1"</f>
        <v>WRNIP1</v>
      </c>
      <c r="B22666" s="6" t="s">
        <v>1</v>
      </c>
      <c r="C22666" s="6" t="s">
        <v>1</v>
      </c>
    </row>
    <row r="22667" spans="1:3" s="7" customFormat="1" x14ac:dyDescent="0.2">
      <c r="A22667" s="6" t="str">
        <f>"NOTCH3"</f>
        <v>NOTCH3</v>
      </c>
      <c r="B22667" s="6" t="s">
        <v>1</v>
      </c>
      <c r="C22667" s="6" t="s">
        <v>1</v>
      </c>
    </row>
    <row r="22668" spans="1:3" s="7" customFormat="1" x14ac:dyDescent="0.2">
      <c r="A22668" s="6" t="str">
        <f>"TMX2"</f>
        <v>TMX2</v>
      </c>
      <c r="B22668" s="6" t="s">
        <v>1</v>
      </c>
      <c r="C22668" s="6" t="s">
        <v>1</v>
      </c>
    </row>
    <row r="22669" spans="1:3" s="7" customFormat="1" x14ac:dyDescent="0.2">
      <c r="A22669" s="6" t="str">
        <f>"SUB1"</f>
        <v>SUB1</v>
      </c>
      <c r="B22669" s="6" t="s">
        <v>1</v>
      </c>
      <c r="C22669" s="6" t="s">
        <v>1</v>
      </c>
    </row>
    <row r="22670" spans="1:3" s="7" customFormat="1" x14ac:dyDescent="0.2">
      <c r="A22670" s="6" t="str">
        <f>"PTPN6"</f>
        <v>PTPN6</v>
      </c>
      <c r="B22670" s="6" t="s">
        <v>1</v>
      </c>
      <c r="C22670" s="6" t="s">
        <v>1</v>
      </c>
    </row>
    <row r="22671" spans="1:3" s="7" customFormat="1" x14ac:dyDescent="0.2">
      <c r="A22671" s="6" t="str">
        <f>"ZC3H13"</f>
        <v>ZC3H13</v>
      </c>
      <c r="B22671" s="6" t="s">
        <v>1</v>
      </c>
      <c r="C22671" s="6" t="s">
        <v>1</v>
      </c>
    </row>
    <row r="22672" spans="1:3" s="7" customFormat="1" x14ac:dyDescent="0.2">
      <c r="A22672" s="6" t="str">
        <f>"GRIPAP1"</f>
        <v>GRIPAP1</v>
      </c>
      <c r="B22672" s="6" t="s">
        <v>1</v>
      </c>
      <c r="C22672" s="6" t="s">
        <v>1</v>
      </c>
    </row>
    <row r="22673" spans="1:3" s="7" customFormat="1" x14ac:dyDescent="0.2">
      <c r="A22673" s="6" t="str">
        <f>"NDUFS5"</f>
        <v>NDUFS5</v>
      </c>
      <c r="B22673" s="6" t="s">
        <v>1</v>
      </c>
      <c r="C22673" s="6" t="s">
        <v>1</v>
      </c>
    </row>
    <row r="22674" spans="1:3" s="7" customFormat="1" x14ac:dyDescent="0.2">
      <c r="A22674" s="6" t="str">
        <f>"INTS3"</f>
        <v>INTS3</v>
      </c>
      <c r="B22674" s="6" t="s">
        <v>1</v>
      </c>
      <c r="C22674" s="6" t="s">
        <v>1</v>
      </c>
    </row>
    <row r="22675" spans="1:3" s="7" customFormat="1" x14ac:dyDescent="0.2">
      <c r="A22675" s="6" t="str">
        <f>"BST2"</f>
        <v>BST2</v>
      </c>
      <c r="B22675" s="6" t="s">
        <v>1</v>
      </c>
      <c r="C22675" s="6" t="s">
        <v>1</v>
      </c>
    </row>
    <row r="22676" spans="1:3" s="7" customFormat="1" x14ac:dyDescent="0.2">
      <c r="A22676" s="6" t="str">
        <f>"PHTF1"</f>
        <v>PHTF1</v>
      </c>
      <c r="B22676" s="6" t="s">
        <v>1</v>
      </c>
      <c r="C22676" s="6" t="s">
        <v>1</v>
      </c>
    </row>
    <row r="22677" spans="1:3" s="7" customFormat="1" x14ac:dyDescent="0.2">
      <c r="A22677" s="6" t="str">
        <f>"OAS3"</f>
        <v>OAS3</v>
      </c>
      <c r="B22677" s="6" t="s">
        <v>1</v>
      </c>
      <c r="C22677" s="6" t="s">
        <v>1</v>
      </c>
    </row>
    <row r="22678" spans="1:3" s="7" customFormat="1" x14ac:dyDescent="0.2">
      <c r="A22678" s="6" t="str">
        <f>"SELENOS"</f>
        <v>SELENOS</v>
      </c>
      <c r="B22678" s="6" t="s">
        <v>1</v>
      </c>
      <c r="C22678" s="6" t="s">
        <v>1</v>
      </c>
    </row>
    <row r="22679" spans="1:3" s="7" customFormat="1" x14ac:dyDescent="0.2">
      <c r="A22679" s="6" t="str">
        <f>"EMP1"</f>
        <v>EMP1</v>
      </c>
      <c r="B22679" s="6" t="s">
        <v>1</v>
      </c>
      <c r="C22679" s="6" t="s">
        <v>1</v>
      </c>
    </row>
    <row r="22680" spans="1:3" s="7" customFormat="1" x14ac:dyDescent="0.2">
      <c r="A22680" s="6" t="str">
        <f>"MADD"</f>
        <v>MADD</v>
      </c>
      <c r="B22680" s="6" t="s">
        <v>1</v>
      </c>
      <c r="C22680" s="6" t="s">
        <v>1</v>
      </c>
    </row>
    <row r="22681" spans="1:3" s="7" customFormat="1" x14ac:dyDescent="0.2">
      <c r="A22681" s="6" t="str">
        <f>"APMAP"</f>
        <v>APMAP</v>
      </c>
      <c r="B22681" s="6" t="s">
        <v>1</v>
      </c>
      <c r="C22681" s="6" t="s">
        <v>1</v>
      </c>
    </row>
    <row r="22682" spans="1:3" s="7" customFormat="1" x14ac:dyDescent="0.2">
      <c r="A22682" s="6" t="str">
        <f>"SHC1"</f>
        <v>SHC1</v>
      </c>
      <c r="B22682" s="6" t="s">
        <v>1</v>
      </c>
      <c r="C22682" s="6" t="s">
        <v>1</v>
      </c>
    </row>
    <row r="22683" spans="1:3" s="7" customFormat="1" x14ac:dyDescent="0.2">
      <c r="A22683" s="6" t="str">
        <f>"BAG5"</f>
        <v>BAG5</v>
      </c>
      <c r="B22683" s="6" t="s">
        <v>1</v>
      </c>
      <c r="C22683" s="6" t="s">
        <v>1</v>
      </c>
    </row>
    <row r="22684" spans="1:3" s="7" customFormat="1" x14ac:dyDescent="0.2">
      <c r="A22684" s="6" t="str">
        <f>"PRMT5"</f>
        <v>PRMT5</v>
      </c>
      <c r="B22684" s="6" t="s">
        <v>1</v>
      </c>
      <c r="C22684" s="6" t="s">
        <v>1</v>
      </c>
    </row>
    <row r="22685" spans="1:3" s="7" customFormat="1" x14ac:dyDescent="0.2">
      <c r="A22685" s="6" t="str">
        <f>"SLC2A10"</f>
        <v>SLC2A10</v>
      </c>
      <c r="B22685" s="6" t="s">
        <v>1</v>
      </c>
      <c r="C22685" s="6" t="s">
        <v>1</v>
      </c>
    </row>
    <row r="22686" spans="1:3" s="7" customFormat="1" x14ac:dyDescent="0.2">
      <c r="A22686" s="6" t="str">
        <f>"KATNB1"</f>
        <v>KATNB1</v>
      </c>
      <c r="B22686" s="6" t="s">
        <v>1</v>
      </c>
      <c r="C22686" s="6" t="s">
        <v>1</v>
      </c>
    </row>
    <row r="22687" spans="1:3" s="7" customFormat="1" x14ac:dyDescent="0.2">
      <c r="A22687" s="6" t="str">
        <f>"C2CD2L"</f>
        <v>C2CD2L</v>
      </c>
      <c r="B22687" s="6" t="s">
        <v>1</v>
      </c>
      <c r="C22687" s="6" t="s">
        <v>1</v>
      </c>
    </row>
    <row r="22688" spans="1:3" s="7" customFormat="1" x14ac:dyDescent="0.2">
      <c r="A22688" s="6" t="str">
        <f>"RETREG3"</f>
        <v>RETREG3</v>
      </c>
      <c r="B22688" s="6" t="s">
        <v>1</v>
      </c>
      <c r="C22688" s="6" t="s">
        <v>1</v>
      </c>
    </row>
    <row r="22689" spans="1:3" s="7" customFormat="1" x14ac:dyDescent="0.2">
      <c r="A22689" s="6" t="str">
        <f>"GLOD4"</f>
        <v>GLOD4</v>
      </c>
      <c r="B22689" s="6" t="s">
        <v>1</v>
      </c>
      <c r="C22689" s="6" t="s">
        <v>1</v>
      </c>
    </row>
    <row r="22690" spans="1:3" s="7" customFormat="1" x14ac:dyDescent="0.2">
      <c r="A22690" s="6" t="str">
        <f>"CHURC1"</f>
        <v>CHURC1</v>
      </c>
      <c r="B22690" s="6" t="s">
        <v>1</v>
      </c>
      <c r="C22690" s="6" t="s">
        <v>1</v>
      </c>
    </row>
    <row r="22691" spans="1:3" s="7" customFormat="1" x14ac:dyDescent="0.2">
      <c r="A22691" s="6" t="str">
        <f>"WTAP"</f>
        <v>WTAP</v>
      </c>
      <c r="B22691" s="6" t="s">
        <v>1</v>
      </c>
      <c r="C22691" s="6" t="s">
        <v>1</v>
      </c>
    </row>
    <row r="22692" spans="1:3" s="7" customFormat="1" x14ac:dyDescent="0.2">
      <c r="A22692" s="6" t="str">
        <f>"CYP2B6"</f>
        <v>CYP2B6</v>
      </c>
      <c r="B22692" s="6" t="s">
        <v>1</v>
      </c>
      <c r="C22692" s="6" t="s">
        <v>1</v>
      </c>
    </row>
    <row r="22693" spans="1:3" s="7" customFormat="1" x14ac:dyDescent="0.2">
      <c r="A22693" s="6" t="str">
        <f>"SUGP2"</f>
        <v>SUGP2</v>
      </c>
      <c r="B22693" s="6" t="s">
        <v>1</v>
      </c>
      <c r="C22693" s="6" t="s">
        <v>1</v>
      </c>
    </row>
    <row r="22694" spans="1:3" s="7" customFormat="1" x14ac:dyDescent="0.2">
      <c r="A22694" s="6" t="str">
        <f>"COASY"</f>
        <v>COASY</v>
      </c>
      <c r="B22694" s="6" t="s">
        <v>1</v>
      </c>
      <c r="C22694" s="6" t="s">
        <v>1</v>
      </c>
    </row>
    <row r="22695" spans="1:3" s="7" customFormat="1" x14ac:dyDescent="0.2">
      <c r="A22695" s="6" t="str">
        <f>"BAZ2B"</f>
        <v>BAZ2B</v>
      </c>
      <c r="B22695" s="6" t="s">
        <v>1</v>
      </c>
      <c r="C22695" s="6" t="s">
        <v>1</v>
      </c>
    </row>
    <row r="22696" spans="1:3" s="7" customFormat="1" x14ac:dyDescent="0.2">
      <c r="A22696" s="6" t="str">
        <f>"SUDS3"</f>
        <v>SUDS3</v>
      </c>
      <c r="B22696" s="6" t="s">
        <v>1</v>
      </c>
      <c r="C22696" s="6" t="s">
        <v>1</v>
      </c>
    </row>
    <row r="22697" spans="1:3" s="7" customFormat="1" x14ac:dyDescent="0.2">
      <c r="A22697" s="6" t="str">
        <f>"GABARAPL2"</f>
        <v>GABARAPL2</v>
      </c>
      <c r="B22697" s="6" t="s">
        <v>1</v>
      </c>
      <c r="C22697" s="6" t="s">
        <v>1</v>
      </c>
    </row>
    <row r="22698" spans="1:3" s="7" customFormat="1" x14ac:dyDescent="0.2">
      <c r="A22698" s="6" t="str">
        <f>"FBL"</f>
        <v>FBL</v>
      </c>
      <c r="B22698" s="6" t="s">
        <v>1</v>
      </c>
      <c r="C22698" s="6" t="s">
        <v>1</v>
      </c>
    </row>
    <row r="22699" spans="1:3" s="7" customFormat="1" x14ac:dyDescent="0.2">
      <c r="A22699" s="6" t="str">
        <f>"MAF1"</f>
        <v>MAF1</v>
      </c>
      <c r="B22699" s="6" t="s">
        <v>1</v>
      </c>
      <c r="C22699" s="6" t="s">
        <v>1</v>
      </c>
    </row>
    <row r="22700" spans="1:3" s="7" customFormat="1" x14ac:dyDescent="0.2">
      <c r="A22700" s="6" t="str">
        <f>"BTBD2"</f>
        <v>BTBD2</v>
      </c>
      <c r="B22700" s="6" t="s">
        <v>1</v>
      </c>
      <c r="C22700" s="6" t="s">
        <v>1</v>
      </c>
    </row>
    <row r="22701" spans="1:3" s="7" customFormat="1" x14ac:dyDescent="0.2">
      <c r="A22701" s="6" t="str">
        <f>"SELENOH"</f>
        <v>SELENOH</v>
      </c>
      <c r="B22701" s="6" t="s">
        <v>1</v>
      </c>
      <c r="C22701" s="6" t="s">
        <v>1</v>
      </c>
    </row>
    <row r="22702" spans="1:3" s="7" customFormat="1" x14ac:dyDescent="0.2">
      <c r="A22702" s="6" t="str">
        <f>"CYFIP2"</f>
        <v>CYFIP2</v>
      </c>
      <c r="B22702" s="6" t="s">
        <v>1</v>
      </c>
      <c r="C22702" s="6" t="s">
        <v>1</v>
      </c>
    </row>
    <row r="22703" spans="1:3" s="7" customFormat="1" x14ac:dyDescent="0.2">
      <c r="A22703" s="6" t="str">
        <f>"CARMIL1"</f>
        <v>CARMIL1</v>
      </c>
      <c r="B22703" s="6" t="s">
        <v>1</v>
      </c>
      <c r="C22703" s="6" t="s">
        <v>1</v>
      </c>
    </row>
    <row r="22704" spans="1:3" s="7" customFormat="1" x14ac:dyDescent="0.2">
      <c r="A22704" s="6" t="str">
        <f>"CCND3"</f>
        <v>CCND3</v>
      </c>
      <c r="B22704" s="6" t="s">
        <v>1</v>
      </c>
      <c r="C22704" s="6" t="s">
        <v>1</v>
      </c>
    </row>
    <row r="22705" spans="1:3" s="7" customFormat="1" x14ac:dyDescent="0.2">
      <c r="A22705" s="6" t="str">
        <f>"MSL1"</f>
        <v>MSL1</v>
      </c>
      <c r="B22705" s="6" t="s">
        <v>1</v>
      </c>
      <c r="C22705" s="6" t="s">
        <v>1</v>
      </c>
    </row>
    <row r="22706" spans="1:3" s="7" customFormat="1" x14ac:dyDescent="0.2">
      <c r="A22706" s="6" t="str">
        <f>"COBL"</f>
        <v>COBL</v>
      </c>
      <c r="B22706" s="6" t="s">
        <v>1</v>
      </c>
      <c r="C22706" s="6" t="s">
        <v>1</v>
      </c>
    </row>
    <row r="22707" spans="1:3" s="7" customFormat="1" x14ac:dyDescent="0.2">
      <c r="A22707" s="6" t="str">
        <f>"ADH5"</f>
        <v>ADH5</v>
      </c>
      <c r="B22707" s="6" t="s">
        <v>1</v>
      </c>
      <c r="C22707" s="6" t="s">
        <v>1</v>
      </c>
    </row>
    <row r="22708" spans="1:3" s="7" customFormat="1" x14ac:dyDescent="0.2">
      <c r="A22708" s="6" t="str">
        <f>"UCKL1-AS1"</f>
        <v>UCKL1-AS1</v>
      </c>
      <c r="B22708" s="6" t="s">
        <v>1</v>
      </c>
      <c r="C22708" s="6" t="s">
        <v>1</v>
      </c>
    </row>
    <row r="22709" spans="1:3" s="7" customFormat="1" x14ac:dyDescent="0.2">
      <c r="A22709" s="6" t="str">
        <f>"KAT5"</f>
        <v>KAT5</v>
      </c>
      <c r="B22709" s="6" t="s">
        <v>1</v>
      </c>
      <c r="C22709" s="6" t="s">
        <v>1</v>
      </c>
    </row>
    <row r="22710" spans="1:3" s="7" customFormat="1" x14ac:dyDescent="0.2">
      <c r="A22710" s="6" t="str">
        <f>"ENTPD6"</f>
        <v>ENTPD6</v>
      </c>
      <c r="B22710" s="6" t="s">
        <v>1</v>
      </c>
      <c r="C22710" s="6" t="s">
        <v>1</v>
      </c>
    </row>
    <row r="22711" spans="1:3" s="7" customFormat="1" x14ac:dyDescent="0.2">
      <c r="A22711" s="6" t="str">
        <f>"PHKB"</f>
        <v>PHKB</v>
      </c>
      <c r="B22711" s="6" t="s">
        <v>1</v>
      </c>
      <c r="C22711" s="6" t="s">
        <v>1</v>
      </c>
    </row>
    <row r="22712" spans="1:3" s="7" customFormat="1" x14ac:dyDescent="0.2">
      <c r="A22712" s="6" t="str">
        <f>"DOCK1"</f>
        <v>DOCK1</v>
      </c>
      <c r="B22712" s="6" t="s">
        <v>1</v>
      </c>
      <c r="C22712" s="6" t="s">
        <v>1</v>
      </c>
    </row>
    <row r="22713" spans="1:3" s="7" customFormat="1" x14ac:dyDescent="0.2">
      <c r="A22713" s="6" t="str">
        <f>"DENND11"</f>
        <v>DENND11</v>
      </c>
      <c r="B22713" s="6" t="s">
        <v>1</v>
      </c>
      <c r="C22713" s="6" t="s">
        <v>1</v>
      </c>
    </row>
    <row r="22714" spans="1:3" s="7" customFormat="1" x14ac:dyDescent="0.2">
      <c r="A22714" s="6" t="str">
        <f>"NOTCH1"</f>
        <v>NOTCH1</v>
      </c>
      <c r="B22714" s="6" t="s">
        <v>1</v>
      </c>
      <c r="C22714" s="6" t="s">
        <v>1</v>
      </c>
    </row>
    <row r="22715" spans="1:3" s="7" customFormat="1" x14ac:dyDescent="0.2">
      <c r="A22715" s="6" t="str">
        <f>"RNF13"</f>
        <v>RNF13</v>
      </c>
      <c r="B22715" s="6" t="s">
        <v>1</v>
      </c>
      <c r="C22715" s="6" t="s">
        <v>1</v>
      </c>
    </row>
    <row r="22716" spans="1:3" s="7" customFormat="1" x14ac:dyDescent="0.2">
      <c r="A22716" s="6" t="str">
        <f>"GPX2"</f>
        <v>GPX2</v>
      </c>
      <c r="B22716" s="6" t="s">
        <v>1</v>
      </c>
      <c r="C22716" s="6" t="s">
        <v>1</v>
      </c>
    </row>
    <row r="22717" spans="1:3" s="7" customFormat="1" x14ac:dyDescent="0.2">
      <c r="A22717" s="6" t="str">
        <f>"VEGFA"</f>
        <v>VEGFA</v>
      </c>
      <c r="B22717" s="6" t="s">
        <v>1</v>
      </c>
      <c r="C22717" s="6" t="s">
        <v>1</v>
      </c>
    </row>
    <row r="22718" spans="1:3" s="7" customFormat="1" x14ac:dyDescent="0.2">
      <c r="A22718" s="6" t="str">
        <f>"AC106886.5"</f>
        <v>AC106886.5</v>
      </c>
      <c r="B22718" s="6" t="s">
        <v>1</v>
      </c>
      <c r="C22718" s="6" t="s">
        <v>1</v>
      </c>
    </row>
    <row r="22719" spans="1:3" s="7" customFormat="1" x14ac:dyDescent="0.2">
      <c r="A22719" s="6" t="str">
        <f>"FZD6"</f>
        <v>FZD6</v>
      </c>
      <c r="B22719" s="6" t="s">
        <v>1</v>
      </c>
      <c r="C22719" s="6" t="s">
        <v>1</v>
      </c>
    </row>
    <row r="22720" spans="1:3" s="7" customFormat="1" x14ac:dyDescent="0.2">
      <c r="A22720" s="6" t="str">
        <f>"RPRD2"</f>
        <v>RPRD2</v>
      </c>
      <c r="B22720" s="6" t="s">
        <v>1</v>
      </c>
      <c r="C22720" s="6" t="s">
        <v>1</v>
      </c>
    </row>
    <row r="22721" spans="1:3" s="7" customFormat="1" x14ac:dyDescent="0.2">
      <c r="A22721" s="6" t="str">
        <f>"GLB1"</f>
        <v>GLB1</v>
      </c>
      <c r="B22721" s="6" t="s">
        <v>1</v>
      </c>
      <c r="C22721" s="6" t="s">
        <v>1</v>
      </c>
    </row>
    <row r="22722" spans="1:3" s="7" customFormat="1" x14ac:dyDescent="0.2">
      <c r="A22722" s="6" t="str">
        <f>"CRK"</f>
        <v>CRK</v>
      </c>
      <c r="B22722" s="6" t="s">
        <v>1</v>
      </c>
      <c r="C22722" s="6" t="s">
        <v>1</v>
      </c>
    </row>
    <row r="22723" spans="1:3" s="7" customFormat="1" x14ac:dyDescent="0.2">
      <c r="A22723" s="6" t="str">
        <f>"LRATD2"</f>
        <v>LRATD2</v>
      </c>
      <c r="B22723" s="6" t="s">
        <v>1</v>
      </c>
      <c r="C22723" s="6" t="s">
        <v>1</v>
      </c>
    </row>
    <row r="22724" spans="1:3" s="7" customFormat="1" x14ac:dyDescent="0.2">
      <c r="A22724" s="6" t="str">
        <f>"CNTRL"</f>
        <v>CNTRL</v>
      </c>
      <c r="B22724" s="6" t="s">
        <v>1</v>
      </c>
      <c r="C22724" s="6" t="s">
        <v>1</v>
      </c>
    </row>
    <row r="22725" spans="1:3" s="7" customFormat="1" x14ac:dyDescent="0.2">
      <c r="A22725" s="6" t="str">
        <f>"PRKD2"</f>
        <v>PRKD2</v>
      </c>
      <c r="B22725" s="6" t="s">
        <v>1</v>
      </c>
      <c r="C22725" s="6" t="s">
        <v>1</v>
      </c>
    </row>
    <row r="22726" spans="1:3" s="7" customFormat="1" x14ac:dyDescent="0.2">
      <c r="A22726" s="6" t="str">
        <f>"SELENOT"</f>
        <v>SELENOT</v>
      </c>
      <c r="B22726" s="6" t="s">
        <v>1</v>
      </c>
      <c r="C22726" s="6" t="s">
        <v>1</v>
      </c>
    </row>
    <row r="22727" spans="1:3" s="7" customFormat="1" x14ac:dyDescent="0.2">
      <c r="A22727" s="6" t="str">
        <f>"PRMT1"</f>
        <v>PRMT1</v>
      </c>
      <c r="B22727" s="6" t="s">
        <v>1</v>
      </c>
      <c r="C22727" s="6" t="s">
        <v>1</v>
      </c>
    </row>
    <row r="22728" spans="1:3" s="7" customFormat="1" x14ac:dyDescent="0.2">
      <c r="A22728" s="6" t="str">
        <f>"BRPF3"</f>
        <v>BRPF3</v>
      </c>
      <c r="B22728" s="6" t="s">
        <v>1</v>
      </c>
      <c r="C22728" s="6" t="s">
        <v>1</v>
      </c>
    </row>
    <row r="22729" spans="1:3" s="7" customFormat="1" x14ac:dyDescent="0.2">
      <c r="A22729" s="6" t="str">
        <f>"CAPZA2"</f>
        <v>CAPZA2</v>
      </c>
      <c r="B22729" s="6" t="s">
        <v>1</v>
      </c>
      <c r="C22729" s="6" t="s">
        <v>1</v>
      </c>
    </row>
    <row r="22730" spans="1:3" s="7" customFormat="1" x14ac:dyDescent="0.2">
      <c r="A22730" s="6" t="str">
        <f>"CCNK"</f>
        <v>CCNK</v>
      </c>
      <c r="B22730" s="6" t="s">
        <v>1</v>
      </c>
      <c r="C22730" s="6" t="s">
        <v>1</v>
      </c>
    </row>
    <row r="22731" spans="1:3" s="7" customFormat="1" x14ac:dyDescent="0.2">
      <c r="A22731" s="6" t="str">
        <f>"SMARCB1"</f>
        <v>SMARCB1</v>
      </c>
      <c r="B22731" s="6" t="s">
        <v>1</v>
      </c>
      <c r="C22731" s="6" t="s">
        <v>1</v>
      </c>
    </row>
    <row r="22732" spans="1:3" s="7" customFormat="1" x14ac:dyDescent="0.2">
      <c r="A22732" s="6" t="str">
        <f>"C2CD3"</f>
        <v>C2CD3</v>
      </c>
      <c r="B22732" s="6" t="s">
        <v>1</v>
      </c>
      <c r="C22732" s="6" t="s">
        <v>1</v>
      </c>
    </row>
    <row r="22733" spans="1:3" s="7" customFormat="1" x14ac:dyDescent="0.2">
      <c r="A22733" s="6" t="str">
        <f>"MYO1F"</f>
        <v>MYO1F</v>
      </c>
      <c r="B22733" s="6" t="s">
        <v>1</v>
      </c>
      <c r="C22733" s="6" t="s">
        <v>1</v>
      </c>
    </row>
    <row r="22734" spans="1:3" s="7" customFormat="1" x14ac:dyDescent="0.2">
      <c r="A22734" s="6" t="str">
        <f>"SLU7"</f>
        <v>SLU7</v>
      </c>
      <c r="B22734" s="6" t="s">
        <v>1</v>
      </c>
      <c r="C22734" s="6" t="s">
        <v>1</v>
      </c>
    </row>
    <row r="22735" spans="1:3" s="7" customFormat="1" x14ac:dyDescent="0.2">
      <c r="A22735" s="6" t="str">
        <f>"TTC7A"</f>
        <v>TTC7A</v>
      </c>
      <c r="B22735" s="6" t="s">
        <v>1</v>
      </c>
      <c r="C22735" s="6" t="s">
        <v>1</v>
      </c>
    </row>
    <row r="22736" spans="1:3" s="7" customFormat="1" x14ac:dyDescent="0.2">
      <c r="A22736" s="6" t="str">
        <f>"INTS11"</f>
        <v>INTS11</v>
      </c>
      <c r="B22736" s="6" t="s">
        <v>1</v>
      </c>
      <c r="C22736" s="6" t="s">
        <v>1</v>
      </c>
    </row>
    <row r="22737" spans="1:3" s="7" customFormat="1" x14ac:dyDescent="0.2">
      <c r="A22737" s="6" t="str">
        <f>"GPX3"</f>
        <v>GPX3</v>
      </c>
      <c r="B22737" s="6" t="s">
        <v>1</v>
      </c>
      <c r="C22737" s="6" t="s">
        <v>1</v>
      </c>
    </row>
    <row r="22738" spans="1:3" s="7" customFormat="1" x14ac:dyDescent="0.2">
      <c r="A22738" s="6" t="str">
        <f>"C2orf81"</f>
        <v>C2orf81</v>
      </c>
      <c r="B22738" s="6" t="s">
        <v>1</v>
      </c>
      <c r="C22738" s="6" t="s">
        <v>1</v>
      </c>
    </row>
    <row r="22739" spans="1:3" s="7" customFormat="1" x14ac:dyDescent="0.2">
      <c r="A22739" s="6" t="str">
        <f>"SLURP2"</f>
        <v>SLURP2</v>
      </c>
      <c r="B22739" s="6" t="s">
        <v>1</v>
      </c>
      <c r="C22739" s="6" t="s">
        <v>1</v>
      </c>
    </row>
    <row r="22740" spans="1:3" s="7" customFormat="1" x14ac:dyDescent="0.2">
      <c r="A22740" s="6" t="str">
        <f>"DNMT1"</f>
        <v>DNMT1</v>
      </c>
      <c r="B22740" s="6" t="s">
        <v>1</v>
      </c>
      <c r="C22740" s="6" t="s">
        <v>1</v>
      </c>
    </row>
    <row r="22741" spans="1:3" s="7" customFormat="1" x14ac:dyDescent="0.2">
      <c r="A22741" s="6" t="str">
        <f>"SRP72"</f>
        <v>SRP72</v>
      </c>
      <c r="B22741" s="6" t="s">
        <v>1</v>
      </c>
      <c r="C22741" s="6" t="s">
        <v>1</v>
      </c>
    </row>
    <row r="22742" spans="1:3" s="7" customFormat="1" x14ac:dyDescent="0.2">
      <c r="A22742" s="6" t="str">
        <f>"MAEA"</f>
        <v>MAEA</v>
      </c>
      <c r="B22742" s="6" t="s">
        <v>1</v>
      </c>
      <c r="C22742" s="6" t="s">
        <v>1</v>
      </c>
    </row>
    <row r="22743" spans="1:3" s="7" customFormat="1" x14ac:dyDescent="0.2">
      <c r="A22743" s="6" t="str">
        <f>"PPA1"</f>
        <v>PPA1</v>
      </c>
      <c r="B22743" s="6" t="s">
        <v>1</v>
      </c>
      <c r="C22743" s="6" t="s">
        <v>1</v>
      </c>
    </row>
    <row r="22744" spans="1:3" s="7" customFormat="1" x14ac:dyDescent="0.2">
      <c r="A22744" s="6" t="str">
        <f>"SNX29"</f>
        <v>SNX29</v>
      </c>
      <c r="B22744" s="6" t="s">
        <v>1</v>
      </c>
      <c r="C22744" s="6" t="s">
        <v>1</v>
      </c>
    </row>
    <row r="22745" spans="1:3" s="7" customFormat="1" x14ac:dyDescent="0.2">
      <c r="A22745" s="6" t="str">
        <f>"PAIP1"</f>
        <v>PAIP1</v>
      </c>
      <c r="B22745" s="6" t="s">
        <v>1</v>
      </c>
      <c r="C22745" s="6" t="s">
        <v>1</v>
      </c>
    </row>
    <row r="22746" spans="1:3" s="7" customFormat="1" x14ac:dyDescent="0.2">
      <c r="A22746" s="6" t="str">
        <f>"HBP1"</f>
        <v>HBP1</v>
      </c>
      <c r="B22746" s="6" t="s">
        <v>1</v>
      </c>
      <c r="C22746" s="6" t="s">
        <v>1</v>
      </c>
    </row>
    <row r="22747" spans="1:3" s="7" customFormat="1" x14ac:dyDescent="0.2">
      <c r="A22747" s="6" t="str">
        <f>"COG7"</f>
        <v>COG7</v>
      </c>
      <c r="B22747" s="6" t="s">
        <v>1</v>
      </c>
      <c r="C22747" s="6" t="s">
        <v>1</v>
      </c>
    </row>
    <row r="22748" spans="1:3" s="7" customFormat="1" x14ac:dyDescent="0.2">
      <c r="A22748" s="6" t="str">
        <f>"CCP110"</f>
        <v>CCP110</v>
      </c>
      <c r="B22748" s="6" t="s">
        <v>1</v>
      </c>
      <c r="C22748" s="6" t="s">
        <v>1</v>
      </c>
    </row>
    <row r="22749" spans="1:3" s="7" customFormat="1" x14ac:dyDescent="0.2">
      <c r="A22749" s="6" t="str">
        <f>"FKBP5"</f>
        <v>FKBP5</v>
      </c>
      <c r="B22749" s="6" t="s">
        <v>1</v>
      </c>
      <c r="C22749" s="6" t="s">
        <v>1</v>
      </c>
    </row>
    <row r="22750" spans="1:3" s="7" customFormat="1" x14ac:dyDescent="0.2">
      <c r="A22750" s="6" t="str">
        <f>"TREM1"</f>
        <v>TREM1</v>
      </c>
      <c r="B22750" s="6" t="s">
        <v>1</v>
      </c>
      <c r="C22750" s="6" t="s">
        <v>1</v>
      </c>
    </row>
    <row r="22751" spans="1:3" s="7" customFormat="1" x14ac:dyDescent="0.2">
      <c r="A22751" s="6" t="str">
        <f>"MLLT1"</f>
        <v>MLLT1</v>
      </c>
      <c r="B22751" s="6" t="s">
        <v>1</v>
      </c>
      <c r="C22751" s="6" t="s">
        <v>1</v>
      </c>
    </row>
    <row r="22752" spans="1:3" s="7" customFormat="1" x14ac:dyDescent="0.2">
      <c r="A22752" s="6" t="str">
        <f>"ECH1"</f>
        <v>ECH1</v>
      </c>
      <c r="B22752" s="6" t="s">
        <v>1</v>
      </c>
      <c r="C22752" s="6" t="s">
        <v>1</v>
      </c>
    </row>
    <row r="22753" spans="1:3" s="7" customFormat="1" x14ac:dyDescent="0.2">
      <c r="A22753" s="6" t="str">
        <f>"SEM1"</f>
        <v>SEM1</v>
      </c>
      <c r="B22753" s="6" t="s">
        <v>1</v>
      </c>
      <c r="C22753" s="6" t="s">
        <v>1</v>
      </c>
    </row>
    <row r="22754" spans="1:3" s="7" customFormat="1" x14ac:dyDescent="0.2">
      <c r="A22754" s="6" t="str">
        <f>"ZC3H14"</f>
        <v>ZC3H14</v>
      </c>
      <c r="B22754" s="6" t="s">
        <v>1</v>
      </c>
      <c r="C22754" s="6" t="s">
        <v>1</v>
      </c>
    </row>
    <row r="22755" spans="1:3" s="7" customFormat="1" x14ac:dyDescent="0.2">
      <c r="A22755" s="6" t="str">
        <f>"PTPN23"</f>
        <v>PTPN23</v>
      </c>
      <c r="B22755" s="6" t="s">
        <v>1</v>
      </c>
      <c r="C22755" s="6" t="s">
        <v>1</v>
      </c>
    </row>
    <row r="22756" spans="1:3" s="7" customFormat="1" x14ac:dyDescent="0.2">
      <c r="A22756" s="6" t="str">
        <f>"ALMS1"</f>
        <v>ALMS1</v>
      </c>
      <c r="B22756" s="6" t="s">
        <v>1</v>
      </c>
      <c r="C22756" s="6" t="s">
        <v>1</v>
      </c>
    </row>
    <row r="22757" spans="1:3" s="7" customFormat="1" x14ac:dyDescent="0.2">
      <c r="A22757" s="6" t="str">
        <f>"PHRF1"</f>
        <v>PHRF1</v>
      </c>
      <c r="B22757" s="6" t="s">
        <v>1</v>
      </c>
      <c r="C22757" s="6" t="s">
        <v>1</v>
      </c>
    </row>
    <row r="22758" spans="1:3" s="7" customFormat="1" x14ac:dyDescent="0.2">
      <c r="A22758" s="6" t="str">
        <f>"WIPF2"</f>
        <v>WIPF2</v>
      </c>
      <c r="B22758" s="6" t="s">
        <v>1</v>
      </c>
      <c r="C22758" s="6" t="s">
        <v>1</v>
      </c>
    </row>
    <row r="22759" spans="1:3" s="7" customFormat="1" x14ac:dyDescent="0.2">
      <c r="A22759" s="6" t="str">
        <f>"MLF1"</f>
        <v>MLF1</v>
      </c>
      <c r="B22759" s="6" t="s">
        <v>1</v>
      </c>
      <c r="C22759" s="6" t="s">
        <v>1</v>
      </c>
    </row>
    <row r="22760" spans="1:3" s="7" customFormat="1" x14ac:dyDescent="0.2">
      <c r="A22760" s="6" t="str">
        <f>"IFT80"</f>
        <v>IFT80</v>
      </c>
      <c r="B22760" s="6" t="s">
        <v>1</v>
      </c>
      <c r="C22760" s="6" t="s">
        <v>1</v>
      </c>
    </row>
    <row r="22761" spans="1:3" s="7" customFormat="1" x14ac:dyDescent="0.2">
      <c r="A22761" s="6" t="str">
        <f>"CROCC2"</f>
        <v>CROCC2</v>
      </c>
      <c r="B22761" s="6" t="s">
        <v>1</v>
      </c>
      <c r="C22761" s="6" t="s">
        <v>1</v>
      </c>
    </row>
    <row r="22762" spans="1:3" s="7" customFormat="1" x14ac:dyDescent="0.2">
      <c r="A22762" s="6" t="str">
        <f>"PTK7"</f>
        <v>PTK7</v>
      </c>
      <c r="B22762" s="6" t="s">
        <v>1</v>
      </c>
      <c r="C22762" s="6" t="s">
        <v>1</v>
      </c>
    </row>
    <row r="22763" spans="1:3" s="7" customFormat="1" x14ac:dyDescent="0.2">
      <c r="A22763" s="6" t="str">
        <f>"CRTAP"</f>
        <v>CRTAP</v>
      </c>
      <c r="B22763" s="6" t="s">
        <v>1</v>
      </c>
      <c r="C22763" s="6" t="s">
        <v>1</v>
      </c>
    </row>
    <row r="22764" spans="1:3" s="7" customFormat="1" x14ac:dyDescent="0.2">
      <c r="A22764" s="6" t="str">
        <f>"BAZ1B"</f>
        <v>BAZ1B</v>
      </c>
      <c r="B22764" s="6" t="s">
        <v>1</v>
      </c>
      <c r="C22764" s="6" t="s">
        <v>1</v>
      </c>
    </row>
    <row r="22765" spans="1:3" s="7" customFormat="1" x14ac:dyDescent="0.2">
      <c r="A22765" s="6" t="str">
        <f>"SOCS3"</f>
        <v>SOCS3</v>
      </c>
      <c r="B22765" s="6" t="s">
        <v>1</v>
      </c>
      <c r="C22765" s="6" t="s">
        <v>1</v>
      </c>
    </row>
    <row r="22766" spans="1:3" s="7" customFormat="1" x14ac:dyDescent="0.2">
      <c r="A22766" s="6" t="str">
        <f>"GLB1L2"</f>
        <v>GLB1L2</v>
      </c>
      <c r="B22766" s="6" t="s">
        <v>1</v>
      </c>
      <c r="C22766" s="6" t="s">
        <v>1</v>
      </c>
    </row>
    <row r="22767" spans="1:3" s="7" customFormat="1" x14ac:dyDescent="0.2">
      <c r="A22767" s="6" t="str">
        <f>"BSDC1"</f>
        <v>BSDC1</v>
      </c>
      <c r="B22767" s="6" t="s">
        <v>1</v>
      </c>
      <c r="C22767" s="6" t="s">
        <v>1</v>
      </c>
    </row>
    <row r="22768" spans="1:3" s="7" customFormat="1" x14ac:dyDescent="0.2">
      <c r="A22768" s="6" t="str">
        <f>"PTK2B"</f>
        <v>PTK2B</v>
      </c>
      <c r="B22768" s="6" t="s">
        <v>1</v>
      </c>
      <c r="C22768" s="6" t="s">
        <v>1</v>
      </c>
    </row>
    <row r="22769" spans="1:3" s="7" customFormat="1" x14ac:dyDescent="0.2">
      <c r="A22769" s="6" t="str">
        <f>"HACD4"</f>
        <v>HACD4</v>
      </c>
      <c r="B22769" s="6" t="s">
        <v>1</v>
      </c>
      <c r="C22769" s="6" t="s">
        <v>1</v>
      </c>
    </row>
    <row r="22770" spans="1:3" s="7" customFormat="1" x14ac:dyDescent="0.2">
      <c r="A22770" s="6" t="str">
        <f>"CRY2"</f>
        <v>CRY2</v>
      </c>
      <c r="B22770" s="6" t="s">
        <v>1</v>
      </c>
      <c r="C22770" s="6" t="s">
        <v>1</v>
      </c>
    </row>
    <row r="22771" spans="1:3" s="7" customFormat="1" x14ac:dyDescent="0.2">
      <c r="A22771" s="6" t="str">
        <f>"B9D1"</f>
        <v>B9D1</v>
      </c>
      <c r="B22771" s="6" t="s">
        <v>1</v>
      </c>
      <c r="C22771" s="6" t="s">
        <v>1</v>
      </c>
    </row>
    <row r="22772" spans="1:3" s="7" customFormat="1" x14ac:dyDescent="0.2">
      <c r="A22772" s="6" t="str">
        <f>"NDUFB8"</f>
        <v>NDUFB8</v>
      </c>
      <c r="B22772" s="6" t="s">
        <v>1</v>
      </c>
      <c r="C22772" s="6" t="s">
        <v>1</v>
      </c>
    </row>
    <row r="22773" spans="1:3" s="7" customFormat="1" x14ac:dyDescent="0.2">
      <c r="A22773" s="6" t="str">
        <f>"DNTTIP2"</f>
        <v>DNTTIP2</v>
      </c>
      <c r="B22773" s="6" t="s">
        <v>1</v>
      </c>
      <c r="C22773" s="6" t="s">
        <v>1</v>
      </c>
    </row>
    <row r="22774" spans="1:3" s="7" customFormat="1" x14ac:dyDescent="0.2">
      <c r="A22774" s="6" t="str">
        <f>"DENND6B"</f>
        <v>DENND6B</v>
      </c>
      <c r="B22774" s="6" t="s">
        <v>1</v>
      </c>
      <c r="C22774" s="6" t="s">
        <v>1</v>
      </c>
    </row>
    <row r="22775" spans="1:3" s="7" customFormat="1" x14ac:dyDescent="0.2">
      <c r="A22775" s="6" t="str">
        <f>"ENPP5"</f>
        <v>ENPP5</v>
      </c>
      <c r="B22775" s="6" t="s">
        <v>1</v>
      </c>
      <c r="C22775" s="6" t="s">
        <v>1</v>
      </c>
    </row>
    <row r="22776" spans="1:3" s="7" customFormat="1" x14ac:dyDescent="0.2">
      <c r="A22776" s="6" t="str">
        <f>"IQCD"</f>
        <v>IQCD</v>
      </c>
      <c r="B22776" s="6" t="s">
        <v>1</v>
      </c>
      <c r="C22776" s="6" t="s">
        <v>1</v>
      </c>
    </row>
    <row r="22777" spans="1:3" s="7" customFormat="1" x14ac:dyDescent="0.2">
      <c r="A22777" s="6" t="str">
        <f>"ASL"</f>
        <v>ASL</v>
      </c>
      <c r="B22777" s="6" t="s">
        <v>1</v>
      </c>
      <c r="C22777" s="6" t="s">
        <v>1</v>
      </c>
    </row>
    <row r="22778" spans="1:3" s="7" customFormat="1" x14ac:dyDescent="0.2">
      <c r="A22778" s="6" t="str">
        <f>"EDEM3"</f>
        <v>EDEM3</v>
      </c>
      <c r="B22778" s="6" t="s">
        <v>1</v>
      </c>
      <c r="C22778" s="6" t="s">
        <v>1</v>
      </c>
    </row>
    <row r="22779" spans="1:3" s="7" customFormat="1" x14ac:dyDescent="0.2">
      <c r="A22779" s="6" t="str">
        <f>"EMC3"</f>
        <v>EMC3</v>
      </c>
      <c r="B22779" s="6" t="s">
        <v>1</v>
      </c>
      <c r="C22779" s="6" t="s">
        <v>1</v>
      </c>
    </row>
    <row r="22780" spans="1:3" s="7" customFormat="1" x14ac:dyDescent="0.2">
      <c r="A22780" s="6" t="str">
        <f>"MED29"</f>
        <v>MED29</v>
      </c>
      <c r="B22780" s="6" t="s">
        <v>1</v>
      </c>
      <c r="C22780" s="6" t="s">
        <v>1</v>
      </c>
    </row>
    <row r="22781" spans="1:3" s="7" customFormat="1" x14ac:dyDescent="0.2">
      <c r="A22781" s="6" t="str">
        <f>"FAM107A"</f>
        <v>FAM107A</v>
      </c>
      <c r="B22781" s="6" t="s">
        <v>1</v>
      </c>
      <c r="C22781" s="6" t="s">
        <v>1</v>
      </c>
    </row>
    <row r="22782" spans="1:3" s="7" customFormat="1" x14ac:dyDescent="0.2">
      <c r="A22782" s="6" t="str">
        <f>"IFFO2"</f>
        <v>IFFO2</v>
      </c>
      <c r="B22782" s="6" t="s">
        <v>1</v>
      </c>
      <c r="C22782" s="6" t="s">
        <v>1</v>
      </c>
    </row>
    <row r="22783" spans="1:3" s="7" customFormat="1" x14ac:dyDescent="0.2">
      <c r="A22783" s="6" t="str">
        <f>"TRIB1"</f>
        <v>TRIB1</v>
      </c>
      <c r="B22783" s="6" t="s">
        <v>1</v>
      </c>
      <c r="C22783" s="6" t="s">
        <v>1</v>
      </c>
    </row>
    <row r="22784" spans="1:3" s="7" customFormat="1" x14ac:dyDescent="0.2">
      <c r="A22784" s="6" t="str">
        <f>"MCU"</f>
        <v>MCU</v>
      </c>
      <c r="B22784" s="6" t="s">
        <v>1</v>
      </c>
      <c r="C22784" s="6" t="s">
        <v>1</v>
      </c>
    </row>
    <row r="22785" spans="1:3" s="7" customFormat="1" x14ac:dyDescent="0.2">
      <c r="A22785" s="6" t="str">
        <f>"ALDH18A1"</f>
        <v>ALDH18A1</v>
      </c>
      <c r="B22785" s="6" t="s">
        <v>1</v>
      </c>
      <c r="C22785" s="6" t="s">
        <v>1</v>
      </c>
    </row>
    <row r="22786" spans="1:3" s="7" customFormat="1" x14ac:dyDescent="0.2">
      <c r="A22786" s="6" t="str">
        <f>"NPHP1"</f>
        <v>NPHP1</v>
      </c>
      <c r="B22786" s="6" t="s">
        <v>1</v>
      </c>
      <c r="C22786" s="6" t="s">
        <v>1</v>
      </c>
    </row>
    <row r="22787" spans="1:3" s="7" customFormat="1" x14ac:dyDescent="0.2">
      <c r="A22787" s="6" t="str">
        <f>"G6PD"</f>
        <v>G6PD</v>
      </c>
      <c r="B22787" s="6" t="s">
        <v>1</v>
      </c>
      <c r="C22787" s="6" t="s">
        <v>1</v>
      </c>
    </row>
    <row r="22788" spans="1:3" s="7" customFormat="1" x14ac:dyDescent="0.2">
      <c r="A22788" s="6" t="str">
        <f>"NEK5"</f>
        <v>NEK5</v>
      </c>
      <c r="B22788" s="6" t="s">
        <v>1</v>
      </c>
      <c r="C22788" s="6" t="s">
        <v>1</v>
      </c>
    </row>
    <row r="22789" spans="1:3" s="7" customFormat="1" x14ac:dyDescent="0.2">
      <c r="A22789" s="6" t="str">
        <f>"LRCH4"</f>
        <v>LRCH4</v>
      </c>
      <c r="B22789" s="6" t="s">
        <v>1</v>
      </c>
      <c r="C22789" s="6" t="s">
        <v>1</v>
      </c>
    </row>
    <row r="22790" spans="1:3" s="7" customFormat="1" x14ac:dyDescent="0.2">
      <c r="A22790" s="6" t="str">
        <f>"SRP68"</f>
        <v>SRP68</v>
      </c>
      <c r="B22790" s="6" t="s">
        <v>1</v>
      </c>
      <c r="C22790" s="6" t="s">
        <v>1</v>
      </c>
    </row>
    <row r="22791" spans="1:3" s="7" customFormat="1" x14ac:dyDescent="0.2">
      <c r="A22791" s="6" t="str">
        <f>"KLK11"</f>
        <v>KLK11</v>
      </c>
      <c r="B22791" s="6" t="s">
        <v>1</v>
      </c>
      <c r="C22791" s="6" t="s">
        <v>1</v>
      </c>
    </row>
    <row r="22792" spans="1:3" s="7" customFormat="1" x14ac:dyDescent="0.2">
      <c r="A22792" s="6" t="str">
        <f>"MEAF6"</f>
        <v>MEAF6</v>
      </c>
      <c r="B22792" s="6" t="s">
        <v>1</v>
      </c>
      <c r="C22792" s="6" t="s">
        <v>1</v>
      </c>
    </row>
    <row r="22793" spans="1:3" s="7" customFormat="1" x14ac:dyDescent="0.2">
      <c r="A22793" s="6" t="str">
        <f>"HADHB"</f>
        <v>HADHB</v>
      </c>
      <c r="B22793" s="6" t="s">
        <v>1</v>
      </c>
      <c r="C22793" s="6" t="s">
        <v>1</v>
      </c>
    </row>
    <row r="22794" spans="1:3" s="7" customFormat="1" x14ac:dyDescent="0.2">
      <c r="A22794" s="6" t="str">
        <f>"NEK11"</f>
        <v>NEK11</v>
      </c>
      <c r="B22794" s="6" t="s">
        <v>1</v>
      </c>
      <c r="C22794" s="6" t="s">
        <v>1</v>
      </c>
    </row>
    <row r="22795" spans="1:3" s="7" customFormat="1" x14ac:dyDescent="0.2">
      <c r="A22795" s="6" t="str">
        <f>"BRD7"</f>
        <v>BRD7</v>
      </c>
      <c r="B22795" s="6" t="s">
        <v>1</v>
      </c>
      <c r="C22795" s="6" t="s">
        <v>1</v>
      </c>
    </row>
    <row r="22796" spans="1:3" s="7" customFormat="1" x14ac:dyDescent="0.2">
      <c r="A22796" s="6" t="str">
        <f>"GLB1L"</f>
        <v>GLB1L</v>
      </c>
      <c r="B22796" s="6" t="s">
        <v>1</v>
      </c>
      <c r="C22796" s="6" t="s">
        <v>1</v>
      </c>
    </row>
    <row r="22797" spans="1:3" s="7" customFormat="1" x14ac:dyDescent="0.2">
      <c r="A22797" s="6" t="str">
        <f>"TRIM14"</f>
        <v>TRIM14</v>
      </c>
      <c r="B22797" s="6" t="s">
        <v>1</v>
      </c>
      <c r="C22797" s="6" t="s">
        <v>1</v>
      </c>
    </row>
    <row r="22798" spans="1:3" s="7" customFormat="1" x14ac:dyDescent="0.2">
      <c r="A22798" s="6" t="str">
        <f>"SH3PXD2A"</f>
        <v>SH3PXD2A</v>
      </c>
      <c r="B22798" s="6" t="s">
        <v>1</v>
      </c>
      <c r="C22798" s="6" t="s">
        <v>1</v>
      </c>
    </row>
    <row r="22799" spans="1:3" s="7" customFormat="1" x14ac:dyDescent="0.2">
      <c r="A22799" s="6" t="str">
        <f>"SMAD2"</f>
        <v>SMAD2</v>
      </c>
      <c r="B22799" s="6" t="s">
        <v>1</v>
      </c>
      <c r="C22799" s="6" t="s">
        <v>1</v>
      </c>
    </row>
    <row r="22800" spans="1:3" s="7" customFormat="1" x14ac:dyDescent="0.2">
      <c r="A22800" s="6" t="str">
        <f>"NUPR1"</f>
        <v>NUPR1</v>
      </c>
      <c r="B22800" s="6" t="s">
        <v>1</v>
      </c>
      <c r="C22800" s="6" t="s">
        <v>1</v>
      </c>
    </row>
    <row r="22801" spans="1:3" s="7" customFormat="1" x14ac:dyDescent="0.2">
      <c r="A22801" s="6" t="str">
        <f>"CRIP2"</f>
        <v>CRIP2</v>
      </c>
      <c r="B22801" s="6" t="s">
        <v>1</v>
      </c>
      <c r="C22801" s="6" t="s">
        <v>1</v>
      </c>
    </row>
    <row r="22802" spans="1:3" s="7" customFormat="1" x14ac:dyDescent="0.2">
      <c r="A22802" s="6" t="str">
        <f>"TMEM154"</f>
        <v>TMEM154</v>
      </c>
      <c r="B22802" s="6" t="s">
        <v>1</v>
      </c>
      <c r="C22802" s="6" t="s">
        <v>1</v>
      </c>
    </row>
    <row r="22803" spans="1:3" s="7" customFormat="1" x14ac:dyDescent="0.2">
      <c r="A22803" s="6" t="str">
        <f>"BTBD9"</f>
        <v>BTBD9</v>
      </c>
      <c r="B22803" s="6" t="s">
        <v>1</v>
      </c>
      <c r="C22803" s="6" t="s">
        <v>1</v>
      </c>
    </row>
    <row r="22804" spans="1:3" s="7" customFormat="1" x14ac:dyDescent="0.2">
      <c r="A22804" s="6" t="str">
        <f>"ALDH9A1"</f>
        <v>ALDH9A1</v>
      </c>
      <c r="B22804" s="6" t="s">
        <v>1</v>
      </c>
      <c r="C22804" s="6" t="s">
        <v>1</v>
      </c>
    </row>
    <row r="22805" spans="1:3" s="7" customFormat="1" x14ac:dyDescent="0.2">
      <c r="A22805" s="6" t="str">
        <f>"BTBD3"</f>
        <v>BTBD3</v>
      </c>
      <c r="B22805" s="6" t="s">
        <v>1</v>
      </c>
      <c r="C22805" s="6" t="s">
        <v>1</v>
      </c>
    </row>
    <row r="22806" spans="1:3" s="7" customFormat="1" x14ac:dyDescent="0.2">
      <c r="A22806" s="6" t="str">
        <f>"KLHL21"</f>
        <v>KLHL21</v>
      </c>
      <c r="B22806" s="6" t="s">
        <v>1</v>
      </c>
      <c r="C22806" s="6" t="s">
        <v>1</v>
      </c>
    </row>
    <row r="22807" spans="1:3" s="7" customFormat="1" x14ac:dyDescent="0.2">
      <c r="A22807" s="6" t="str">
        <f>"ENTPD4"</f>
        <v>ENTPD4</v>
      </c>
      <c r="B22807" s="6" t="s">
        <v>1</v>
      </c>
      <c r="C22807" s="6" t="s">
        <v>1</v>
      </c>
    </row>
    <row r="22808" spans="1:3" s="7" customFormat="1" x14ac:dyDescent="0.2">
      <c r="A22808" s="6" t="str">
        <f>"SAFB2"</f>
        <v>SAFB2</v>
      </c>
      <c r="B22808" s="6" t="s">
        <v>1</v>
      </c>
      <c r="C22808" s="6" t="s">
        <v>1</v>
      </c>
    </row>
    <row r="22809" spans="1:3" s="7" customFormat="1" x14ac:dyDescent="0.2">
      <c r="A22809" s="6" t="str">
        <f>"BTBD1"</f>
        <v>BTBD1</v>
      </c>
      <c r="B22809" s="6" t="s">
        <v>1</v>
      </c>
      <c r="C22809" s="6" t="s">
        <v>1</v>
      </c>
    </row>
    <row r="22810" spans="1:3" s="7" customFormat="1" x14ac:dyDescent="0.2">
      <c r="A22810" s="6" t="str">
        <f>"ECT2L"</f>
        <v>ECT2L</v>
      </c>
      <c r="B22810" s="6" t="s">
        <v>1</v>
      </c>
      <c r="C22810" s="6" t="s">
        <v>1</v>
      </c>
    </row>
    <row r="22811" spans="1:3" s="7" customFormat="1" x14ac:dyDescent="0.2">
      <c r="A22811" s="6" t="str">
        <f>"ZC3HAV1"</f>
        <v>ZC3HAV1</v>
      </c>
      <c r="B22811" s="6" t="s">
        <v>1</v>
      </c>
      <c r="C22811" s="6" t="s">
        <v>1</v>
      </c>
    </row>
    <row r="22812" spans="1:3" s="7" customFormat="1" x14ac:dyDescent="0.2">
      <c r="A22812" s="6" t="str">
        <f>"ASXL2"</f>
        <v>ASXL2</v>
      </c>
      <c r="B22812" s="6" t="s">
        <v>1</v>
      </c>
      <c r="C22812" s="6" t="s">
        <v>1</v>
      </c>
    </row>
    <row r="22813" spans="1:3" s="7" customFormat="1" x14ac:dyDescent="0.2">
      <c r="A22813" s="6" t="str">
        <f>"NEDD8"</f>
        <v>NEDD8</v>
      </c>
      <c r="B22813" s="6" t="s">
        <v>1</v>
      </c>
      <c r="C22813" s="6" t="s">
        <v>1</v>
      </c>
    </row>
    <row r="22814" spans="1:3" s="7" customFormat="1" x14ac:dyDescent="0.2">
      <c r="A22814" s="6" t="str">
        <f>"GK"</f>
        <v>GK</v>
      </c>
      <c r="B22814" s="6" t="s">
        <v>1</v>
      </c>
      <c r="C22814" s="6" t="s">
        <v>1</v>
      </c>
    </row>
    <row r="22815" spans="1:3" s="7" customFormat="1" x14ac:dyDescent="0.2">
      <c r="A22815" s="6" t="str">
        <f>"RESF1"</f>
        <v>RESF1</v>
      </c>
      <c r="B22815" s="6" t="s">
        <v>1</v>
      </c>
      <c r="C22815" s="6" t="s">
        <v>1</v>
      </c>
    </row>
    <row r="22816" spans="1:3" s="7" customFormat="1" x14ac:dyDescent="0.2">
      <c r="A22816" s="6" t="str">
        <f>"RALGAPB"</f>
        <v>RALGAPB</v>
      </c>
      <c r="B22816" s="6" t="s">
        <v>1</v>
      </c>
      <c r="C22816" s="6" t="s">
        <v>1</v>
      </c>
    </row>
    <row r="22817" spans="1:3" s="7" customFormat="1" x14ac:dyDescent="0.2">
      <c r="A22817" s="6" t="str">
        <f>"AL135905.2"</f>
        <v>AL135905.2</v>
      </c>
      <c r="B22817" s="6" t="s">
        <v>1</v>
      </c>
      <c r="C22817" s="6" t="s">
        <v>1</v>
      </c>
    </row>
    <row r="22818" spans="1:3" s="7" customFormat="1" x14ac:dyDescent="0.2">
      <c r="A22818" s="6" t="str">
        <f>"RALB"</f>
        <v>RALB</v>
      </c>
      <c r="B22818" s="6" t="s">
        <v>1</v>
      </c>
      <c r="C22818" s="6" t="s">
        <v>1</v>
      </c>
    </row>
    <row r="22819" spans="1:3" s="7" customFormat="1" x14ac:dyDescent="0.2">
      <c r="A22819" s="6" t="str">
        <f>"GPS1"</f>
        <v>GPS1</v>
      </c>
      <c r="B22819" s="6" t="s">
        <v>1</v>
      </c>
      <c r="C22819" s="6" t="s">
        <v>1</v>
      </c>
    </row>
    <row r="22820" spans="1:3" s="7" customFormat="1" x14ac:dyDescent="0.2">
      <c r="A22820" s="6" t="str">
        <f>"INPPL1"</f>
        <v>INPPL1</v>
      </c>
      <c r="B22820" s="6" t="s">
        <v>1</v>
      </c>
      <c r="C22820" s="6" t="s">
        <v>1</v>
      </c>
    </row>
    <row r="22821" spans="1:3" s="7" customFormat="1" x14ac:dyDescent="0.2">
      <c r="A22821" s="6" t="str">
        <f>"IFT46"</f>
        <v>IFT46</v>
      </c>
      <c r="B22821" s="6" t="s">
        <v>1</v>
      </c>
      <c r="C22821" s="6" t="s">
        <v>1</v>
      </c>
    </row>
    <row r="22822" spans="1:3" s="7" customFormat="1" x14ac:dyDescent="0.2">
      <c r="A22822" s="6" t="str">
        <f>"PRMT2"</f>
        <v>PRMT2</v>
      </c>
      <c r="B22822" s="6" t="s">
        <v>1</v>
      </c>
      <c r="C22822" s="6" t="s">
        <v>1</v>
      </c>
    </row>
    <row r="22823" spans="1:3" s="7" customFormat="1" x14ac:dyDescent="0.2">
      <c r="A22823" s="6" t="str">
        <f>"NDUFB4"</f>
        <v>NDUFB4</v>
      </c>
      <c r="B22823" s="6" t="s">
        <v>1</v>
      </c>
      <c r="C22823" s="6" t="s">
        <v>1</v>
      </c>
    </row>
    <row r="22824" spans="1:3" s="7" customFormat="1" x14ac:dyDescent="0.2">
      <c r="A22824" s="6" t="str">
        <f>"MECP2"</f>
        <v>MECP2</v>
      </c>
      <c r="B22824" s="6" t="s">
        <v>1</v>
      </c>
      <c r="C22824" s="6" t="s">
        <v>1</v>
      </c>
    </row>
    <row r="22825" spans="1:3" s="7" customFormat="1" x14ac:dyDescent="0.2">
      <c r="A22825" s="6" t="str">
        <f>"SLC27A1"</f>
        <v>SLC27A1</v>
      </c>
      <c r="B22825" s="6" t="s">
        <v>1</v>
      </c>
      <c r="C22825" s="6" t="s">
        <v>1</v>
      </c>
    </row>
    <row r="22826" spans="1:3" s="7" customFormat="1" x14ac:dyDescent="0.2">
      <c r="A22826" s="6" t="str">
        <f>"GPT2"</f>
        <v>GPT2</v>
      </c>
      <c r="B22826" s="6" t="s">
        <v>1</v>
      </c>
      <c r="C22826" s="6" t="s">
        <v>1</v>
      </c>
    </row>
    <row r="22827" spans="1:3" s="7" customFormat="1" x14ac:dyDescent="0.2">
      <c r="A22827" s="6" t="str">
        <f>"MALL"</f>
        <v>MALL</v>
      </c>
      <c r="B22827" s="6" t="s">
        <v>1</v>
      </c>
      <c r="C22827" s="6" t="s">
        <v>1</v>
      </c>
    </row>
    <row r="22828" spans="1:3" s="7" customFormat="1" x14ac:dyDescent="0.2">
      <c r="A22828" s="6" t="str">
        <f>"HNRNPH3"</f>
        <v>HNRNPH3</v>
      </c>
      <c r="B22828" s="6" t="s">
        <v>1</v>
      </c>
      <c r="C22828" s="6" t="s">
        <v>1</v>
      </c>
    </row>
    <row r="22829" spans="1:3" s="7" customFormat="1" x14ac:dyDescent="0.2">
      <c r="A22829" s="6" t="str">
        <f>"HMGXB3"</f>
        <v>HMGXB3</v>
      </c>
      <c r="B22829" s="6" t="s">
        <v>1</v>
      </c>
      <c r="C22829" s="6" t="s">
        <v>1</v>
      </c>
    </row>
    <row r="22830" spans="1:3" s="7" customFormat="1" x14ac:dyDescent="0.2">
      <c r="A22830" s="6" t="str">
        <f>"FAT2"</f>
        <v>FAT2</v>
      </c>
      <c r="B22830" s="6" t="s">
        <v>1</v>
      </c>
      <c r="C22830" s="6" t="s">
        <v>1</v>
      </c>
    </row>
    <row r="22831" spans="1:3" s="7" customFormat="1" x14ac:dyDescent="0.2">
      <c r="A22831" s="6" t="str">
        <f>"TTLL10"</f>
        <v>TTLL10</v>
      </c>
      <c r="B22831" s="6" t="s">
        <v>1</v>
      </c>
      <c r="C22831" s="6" t="s">
        <v>1</v>
      </c>
    </row>
    <row r="22832" spans="1:3" s="7" customFormat="1" x14ac:dyDescent="0.2">
      <c r="A22832" s="6" t="str">
        <f>"ZSWIM8"</f>
        <v>ZSWIM8</v>
      </c>
      <c r="B22832" s="6" t="s">
        <v>1</v>
      </c>
      <c r="C22832" s="6" t="s">
        <v>1</v>
      </c>
    </row>
    <row r="22833" spans="1:3" s="7" customFormat="1" x14ac:dyDescent="0.2">
      <c r="A22833" s="6" t="str">
        <f>"BSCL2"</f>
        <v>BSCL2</v>
      </c>
      <c r="B22833" s="6" t="s">
        <v>1</v>
      </c>
      <c r="C22833" s="6" t="s">
        <v>1</v>
      </c>
    </row>
    <row r="22834" spans="1:3" s="7" customFormat="1" x14ac:dyDescent="0.2">
      <c r="A22834" s="6" t="str">
        <f>"NPC2"</f>
        <v>NPC2</v>
      </c>
      <c r="B22834" s="6" t="s">
        <v>1</v>
      </c>
      <c r="C22834" s="6" t="s">
        <v>1</v>
      </c>
    </row>
    <row r="22835" spans="1:3" s="7" customFormat="1" x14ac:dyDescent="0.2">
      <c r="A22835" s="6" t="str">
        <f>"GM2A"</f>
        <v>GM2A</v>
      </c>
      <c r="B22835" s="6" t="s">
        <v>1</v>
      </c>
      <c r="C22835" s="6" t="s">
        <v>1</v>
      </c>
    </row>
    <row r="22836" spans="1:3" s="7" customFormat="1" x14ac:dyDescent="0.2">
      <c r="A22836" s="6" t="str">
        <f>"UFM1"</f>
        <v>UFM1</v>
      </c>
      <c r="B22836" s="6" t="s">
        <v>1</v>
      </c>
      <c r="C22836" s="6" t="s">
        <v>1</v>
      </c>
    </row>
    <row r="22837" spans="1:3" s="7" customFormat="1" x14ac:dyDescent="0.2">
      <c r="A22837" s="6" t="str">
        <f>"TMX4"</f>
        <v>TMX4</v>
      </c>
      <c r="B22837" s="6" t="s">
        <v>1</v>
      </c>
      <c r="C22837" s="6" t="s">
        <v>1</v>
      </c>
    </row>
    <row r="22838" spans="1:3" s="7" customFormat="1" x14ac:dyDescent="0.2">
      <c r="A22838" s="6" t="str">
        <f>"ASH1L"</f>
        <v>ASH1L</v>
      </c>
      <c r="B22838" s="6" t="s">
        <v>1</v>
      </c>
      <c r="C22838" s="6" t="s">
        <v>1</v>
      </c>
    </row>
    <row r="22839" spans="1:3" s="7" customFormat="1" x14ac:dyDescent="0.2">
      <c r="A22839" s="6" t="str">
        <f>"PTOV1"</f>
        <v>PTOV1</v>
      </c>
      <c r="B22839" s="6" t="s">
        <v>1</v>
      </c>
      <c r="C22839" s="6" t="s">
        <v>1</v>
      </c>
    </row>
    <row r="22840" spans="1:3" s="7" customFormat="1" x14ac:dyDescent="0.2">
      <c r="A22840" s="6" t="str">
        <f>"SRGAP3-AS2"</f>
        <v>SRGAP3-AS2</v>
      </c>
      <c r="B22840" s="6" t="s">
        <v>1</v>
      </c>
      <c r="C22840" s="6" t="s">
        <v>1</v>
      </c>
    </row>
    <row r="22841" spans="1:3" s="7" customFormat="1" x14ac:dyDescent="0.2">
      <c r="A22841" s="6" t="str">
        <f>"SRP54"</f>
        <v>SRP54</v>
      </c>
      <c r="B22841" s="6" t="s">
        <v>1</v>
      </c>
      <c r="C22841" s="6" t="s">
        <v>1</v>
      </c>
    </row>
    <row r="22842" spans="1:3" s="7" customFormat="1" x14ac:dyDescent="0.2">
      <c r="A22842" s="6" t="str">
        <f>"RETSAT"</f>
        <v>RETSAT</v>
      </c>
      <c r="B22842" s="6" t="s">
        <v>1</v>
      </c>
      <c r="C22842" s="6" t="s">
        <v>1</v>
      </c>
    </row>
    <row r="22843" spans="1:3" s="7" customFormat="1" x14ac:dyDescent="0.2">
      <c r="A22843" s="6" t="str">
        <f>"NDUFS2"</f>
        <v>NDUFS2</v>
      </c>
      <c r="B22843" s="6" t="s">
        <v>1</v>
      </c>
      <c r="C22843" s="6" t="s">
        <v>1</v>
      </c>
    </row>
    <row r="22844" spans="1:3" s="7" customFormat="1" x14ac:dyDescent="0.2">
      <c r="A22844" s="6" t="str">
        <f>"IPO4"</f>
        <v>IPO4</v>
      </c>
      <c r="B22844" s="6" t="s">
        <v>1</v>
      </c>
      <c r="C22844" s="6" t="s">
        <v>1</v>
      </c>
    </row>
    <row r="22845" spans="1:3" s="7" customFormat="1" x14ac:dyDescent="0.2">
      <c r="A22845" s="6" t="str">
        <f>"TTLL5"</f>
        <v>TTLL5</v>
      </c>
      <c r="B22845" s="6" t="s">
        <v>1</v>
      </c>
      <c r="C22845" s="6" t="s">
        <v>1</v>
      </c>
    </row>
    <row r="22846" spans="1:3" s="7" customFormat="1" x14ac:dyDescent="0.2">
      <c r="A22846" s="6" t="str">
        <f>"LPCAT4"</f>
        <v>LPCAT4</v>
      </c>
      <c r="B22846" s="6" t="s">
        <v>1</v>
      </c>
      <c r="C22846" s="6" t="s">
        <v>1</v>
      </c>
    </row>
    <row r="22847" spans="1:3" s="7" customFormat="1" x14ac:dyDescent="0.2">
      <c r="A22847" s="6" t="str">
        <f>"BRK1"</f>
        <v>BRK1</v>
      </c>
      <c r="B22847" s="6" t="s">
        <v>1</v>
      </c>
      <c r="C22847" s="6" t="s">
        <v>1</v>
      </c>
    </row>
    <row r="22848" spans="1:3" s="7" customFormat="1" x14ac:dyDescent="0.2">
      <c r="A22848" s="6" t="str">
        <f>"KAT6A"</f>
        <v>KAT6A</v>
      </c>
      <c r="B22848" s="6" t="s">
        <v>1</v>
      </c>
      <c r="C22848" s="6" t="s">
        <v>1</v>
      </c>
    </row>
    <row r="22849" spans="1:3" s="7" customFormat="1" x14ac:dyDescent="0.2">
      <c r="A22849" s="6" t="str">
        <f>"RNF149"</f>
        <v>RNF149</v>
      </c>
      <c r="B22849" s="6" t="s">
        <v>1</v>
      </c>
      <c r="C22849" s="6" t="s">
        <v>1</v>
      </c>
    </row>
    <row r="22850" spans="1:3" s="7" customFormat="1" x14ac:dyDescent="0.2">
      <c r="A22850" s="6" t="str">
        <f>"ALDH1A3"</f>
        <v>ALDH1A3</v>
      </c>
      <c r="B22850" s="6" t="s">
        <v>1</v>
      </c>
      <c r="C22850" s="6" t="s">
        <v>1</v>
      </c>
    </row>
    <row r="22851" spans="1:3" s="7" customFormat="1" x14ac:dyDescent="0.2">
      <c r="A22851" s="6" t="str">
        <f>"PCYT2"</f>
        <v>PCYT2</v>
      </c>
      <c r="B22851" s="6" t="s">
        <v>1</v>
      </c>
      <c r="C22851" s="6" t="s">
        <v>1</v>
      </c>
    </row>
    <row r="22852" spans="1:3" s="7" customFormat="1" x14ac:dyDescent="0.2">
      <c r="A22852" s="6" t="str">
        <f>"MDH1"</f>
        <v>MDH1</v>
      </c>
      <c r="B22852" s="6" t="s">
        <v>1</v>
      </c>
      <c r="C22852" s="6" t="s">
        <v>1</v>
      </c>
    </row>
    <row r="22853" spans="1:3" s="7" customFormat="1" x14ac:dyDescent="0.2">
      <c r="A22853" s="6" t="str">
        <f>"LEPROT"</f>
        <v>LEPROT</v>
      </c>
      <c r="B22853" s="6" t="s">
        <v>1</v>
      </c>
      <c r="C22853" s="6" t="s">
        <v>1</v>
      </c>
    </row>
    <row r="22854" spans="1:3" s="7" customFormat="1" x14ac:dyDescent="0.2">
      <c r="A22854" s="6" t="str">
        <f>"CHMP5"</f>
        <v>CHMP5</v>
      </c>
      <c r="B22854" s="6" t="s">
        <v>1</v>
      </c>
      <c r="C22854" s="6" t="s">
        <v>1</v>
      </c>
    </row>
    <row r="22855" spans="1:3" s="7" customFormat="1" x14ac:dyDescent="0.2">
      <c r="A22855" s="6" t="str">
        <f>"FKBP2"</f>
        <v>FKBP2</v>
      </c>
      <c r="B22855" s="6" t="s">
        <v>1</v>
      </c>
      <c r="C22855" s="6" t="s">
        <v>1</v>
      </c>
    </row>
    <row r="22856" spans="1:3" s="7" customFormat="1" x14ac:dyDescent="0.2">
      <c r="A22856" s="6" t="str">
        <f>"CIAO1"</f>
        <v>CIAO1</v>
      </c>
      <c r="B22856" s="6" t="s">
        <v>1</v>
      </c>
      <c r="C22856" s="6" t="s">
        <v>1</v>
      </c>
    </row>
    <row r="22857" spans="1:3" s="7" customFormat="1" x14ac:dyDescent="0.2">
      <c r="A22857" s="6" t="str">
        <f>"CARS1"</f>
        <v>CARS1</v>
      </c>
      <c r="B22857" s="6" t="s">
        <v>1</v>
      </c>
      <c r="C22857" s="6" t="s">
        <v>1</v>
      </c>
    </row>
    <row r="22858" spans="1:3" s="7" customFormat="1" x14ac:dyDescent="0.2">
      <c r="A22858" s="6" t="str">
        <f>"CCNY"</f>
        <v>CCNY</v>
      </c>
      <c r="B22858" s="6" t="s">
        <v>1</v>
      </c>
      <c r="C22858" s="6" t="s">
        <v>1</v>
      </c>
    </row>
    <row r="22859" spans="1:3" s="7" customFormat="1" x14ac:dyDescent="0.2">
      <c r="A22859" s="6" t="str">
        <f>"EML2"</f>
        <v>EML2</v>
      </c>
      <c r="B22859" s="6" t="s">
        <v>1</v>
      </c>
      <c r="C22859" s="6" t="s">
        <v>1</v>
      </c>
    </row>
    <row r="22860" spans="1:3" s="7" customFormat="1" x14ac:dyDescent="0.2">
      <c r="A22860" s="6" t="str">
        <f>"PCYOX1"</f>
        <v>PCYOX1</v>
      </c>
      <c r="B22860" s="6" t="s">
        <v>1</v>
      </c>
      <c r="C22860" s="6" t="s">
        <v>1</v>
      </c>
    </row>
    <row r="22861" spans="1:3" s="7" customFormat="1" x14ac:dyDescent="0.2">
      <c r="A22861" s="6" t="str">
        <f>"NDUFB7"</f>
        <v>NDUFB7</v>
      </c>
      <c r="B22861" s="6" t="s">
        <v>1</v>
      </c>
      <c r="C22861" s="6" t="s">
        <v>1</v>
      </c>
    </row>
    <row r="22862" spans="1:3" s="7" customFormat="1" x14ac:dyDescent="0.2">
      <c r="A22862" s="6" t="str">
        <f>"API5"</f>
        <v>API5</v>
      </c>
      <c r="B22862" s="6" t="s">
        <v>1</v>
      </c>
      <c r="C22862" s="6" t="s">
        <v>1</v>
      </c>
    </row>
    <row r="22863" spans="1:3" s="7" customFormat="1" x14ac:dyDescent="0.2">
      <c r="A22863" s="6" t="str">
        <f>"GPRC5B"</f>
        <v>GPRC5B</v>
      </c>
      <c r="B22863" s="6" t="s">
        <v>1</v>
      </c>
      <c r="C22863" s="6" t="s">
        <v>1</v>
      </c>
    </row>
    <row r="22864" spans="1:3" s="7" customFormat="1" x14ac:dyDescent="0.2">
      <c r="A22864" s="6" t="str">
        <f>"NDUFB10"</f>
        <v>NDUFB10</v>
      </c>
      <c r="B22864" s="6" t="s">
        <v>1</v>
      </c>
      <c r="C22864" s="6" t="s">
        <v>1</v>
      </c>
    </row>
    <row r="22865" spans="1:3" s="7" customFormat="1" x14ac:dyDescent="0.2">
      <c r="A22865" s="6" t="str">
        <f>"SEC24D"</f>
        <v>SEC24D</v>
      </c>
      <c r="B22865" s="6" t="s">
        <v>1</v>
      </c>
      <c r="C22865" s="6" t="s">
        <v>1</v>
      </c>
    </row>
    <row r="22866" spans="1:3" s="7" customFormat="1" x14ac:dyDescent="0.2">
      <c r="A22866" s="6" t="str">
        <f>"SUCLG2"</f>
        <v>SUCLG2</v>
      </c>
      <c r="B22866" s="6" t="s">
        <v>1</v>
      </c>
      <c r="C22866" s="6" t="s">
        <v>1</v>
      </c>
    </row>
    <row r="22867" spans="1:3" s="7" customFormat="1" x14ac:dyDescent="0.2">
      <c r="A22867" s="6" t="str">
        <f>"SRPX2"</f>
        <v>SRPX2</v>
      </c>
      <c r="B22867" s="6" t="s">
        <v>1</v>
      </c>
      <c r="C22867" s="6" t="s">
        <v>1</v>
      </c>
    </row>
    <row r="22868" spans="1:3" s="7" customFormat="1" x14ac:dyDescent="0.2">
      <c r="A22868" s="6" t="str">
        <f>"N4BP1"</f>
        <v>N4BP1</v>
      </c>
      <c r="B22868" s="6" t="s">
        <v>1</v>
      </c>
      <c r="C22868" s="6" t="s">
        <v>1</v>
      </c>
    </row>
    <row r="22869" spans="1:3" s="7" customFormat="1" x14ac:dyDescent="0.2">
      <c r="A22869" s="6" t="str">
        <f>"WIPI2"</f>
        <v>WIPI2</v>
      </c>
      <c r="B22869" s="6" t="s">
        <v>1</v>
      </c>
      <c r="C22869" s="6" t="s">
        <v>1</v>
      </c>
    </row>
    <row r="22870" spans="1:3" s="7" customFormat="1" x14ac:dyDescent="0.2">
      <c r="A22870" s="6" t="str">
        <f>"BAZ1A"</f>
        <v>BAZ1A</v>
      </c>
      <c r="B22870" s="6" t="s">
        <v>1</v>
      </c>
      <c r="C22870" s="6" t="s">
        <v>1</v>
      </c>
    </row>
    <row r="22871" spans="1:3" s="7" customFormat="1" x14ac:dyDescent="0.2">
      <c r="A22871" s="6" t="str">
        <f>"GALE"</f>
        <v>GALE</v>
      </c>
      <c r="B22871" s="6" t="s">
        <v>1</v>
      </c>
      <c r="C22871" s="6" t="s">
        <v>1</v>
      </c>
    </row>
    <row r="22872" spans="1:3" s="7" customFormat="1" x14ac:dyDescent="0.2">
      <c r="A22872" s="6" t="str">
        <f>"FIS1"</f>
        <v>FIS1</v>
      </c>
      <c r="B22872" s="6" t="s">
        <v>1</v>
      </c>
      <c r="C22872" s="6" t="s">
        <v>1</v>
      </c>
    </row>
    <row r="22873" spans="1:3" s="7" customFormat="1" x14ac:dyDescent="0.2">
      <c r="A22873" s="6" t="str">
        <f>"SELENOP"</f>
        <v>SELENOP</v>
      </c>
      <c r="B22873" s="6" t="s">
        <v>1</v>
      </c>
      <c r="C22873" s="6" t="s">
        <v>1</v>
      </c>
    </row>
    <row r="22874" spans="1:3" s="7" customFormat="1" x14ac:dyDescent="0.2">
      <c r="A22874" s="6" t="str">
        <f>"PLEKHG7"</f>
        <v>PLEKHG7</v>
      </c>
      <c r="B22874" s="6" t="s">
        <v>1</v>
      </c>
      <c r="C22874" s="6" t="s">
        <v>1</v>
      </c>
    </row>
    <row r="22875" spans="1:3" s="7" customFormat="1" x14ac:dyDescent="0.2">
      <c r="A22875" s="6" t="str">
        <f>"RNF141"</f>
        <v>RNF141</v>
      </c>
      <c r="B22875" s="6" t="s">
        <v>1</v>
      </c>
      <c r="C22875" s="6" t="s">
        <v>1</v>
      </c>
    </row>
    <row r="22876" spans="1:3" s="7" customFormat="1" x14ac:dyDescent="0.2">
      <c r="A22876" s="6" t="str">
        <f>"PLEKHB1"</f>
        <v>PLEKHB1</v>
      </c>
      <c r="B22876" s="6" t="s">
        <v>1</v>
      </c>
      <c r="C22876" s="6" t="s">
        <v>1</v>
      </c>
    </row>
    <row r="22877" spans="1:3" s="7" customFormat="1" x14ac:dyDescent="0.2">
      <c r="A22877" s="6" t="str">
        <f>"AQP9"</f>
        <v>AQP9</v>
      </c>
      <c r="B22877" s="6" t="s">
        <v>1</v>
      </c>
      <c r="C22877" s="6" t="s">
        <v>1</v>
      </c>
    </row>
    <row r="22878" spans="1:3" s="7" customFormat="1" x14ac:dyDescent="0.2">
      <c r="A22878" s="6" t="str">
        <f>"ZNF24"</f>
        <v>ZNF24</v>
      </c>
      <c r="B22878" s="6" t="s">
        <v>1</v>
      </c>
      <c r="C22878" s="6" t="s">
        <v>1</v>
      </c>
    </row>
    <row r="22879" spans="1:3" s="7" customFormat="1" x14ac:dyDescent="0.2">
      <c r="A22879" s="6" t="str">
        <f>"WWC1"</f>
        <v>WWC1</v>
      </c>
      <c r="B22879" s="6" t="s">
        <v>1</v>
      </c>
      <c r="C22879" s="6" t="s">
        <v>1</v>
      </c>
    </row>
    <row r="22880" spans="1:3" s="7" customFormat="1" x14ac:dyDescent="0.2">
      <c r="A22880" s="6" t="str">
        <f>"NDUFB9"</f>
        <v>NDUFB9</v>
      </c>
      <c r="B22880" s="6" t="s">
        <v>1</v>
      </c>
      <c r="C22880" s="6" t="s">
        <v>1</v>
      </c>
    </row>
    <row r="22881" spans="1:3" s="7" customFormat="1" x14ac:dyDescent="0.2">
      <c r="A22881" s="6" t="str">
        <f>"GALNT1"</f>
        <v>GALNT1</v>
      </c>
      <c r="B22881" s="6" t="s">
        <v>1</v>
      </c>
      <c r="C22881" s="6" t="s">
        <v>1</v>
      </c>
    </row>
    <row r="22882" spans="1:3" s="7" customFormat="1" x14ac:dyDescent="0.2">
      <c r="A22882" s="6" t="str">
        <f>"RAI14"</f>
        <v>RAI14</v>
      </c>
      <c r="B22882" s="6" t="s">
        <v>1</v>
      </c>
      <c r="C22882" s="6" t="s">
        <v>1</v>
      </c>
    </row>
    <row r="22883" spans="1:3" s="7" customFormat="1" x14ac:dyDescent="0.2">
      <c r="A22883" s="6" t="str">
        <f>"FAM83F"</f>
        <v>FAM83F</v>
      </c>
      <c r="B22883" s="6" t="s">
        <v>1</v>
      </c>
      <c r="C22883" s="6" t="s">
        <v>1</v>
      </c>
    </row>
    <row r="22884" spans="1:3" s="7" customFormat="1" x14ac:dyDescent="0.2">
      <c r="A22884" s="6" t="str">
        <f>"UGGT1"</f>
        <v>UGGT1</v>
      </c>
      <c r="B22884" s="6" t="s">
        <v>1</v>
      </c>
      <c r="C22884" s="6" t="s">
        <v>1</v>
      </c>
    </row>
    <row r="22885" spans="1:3" s="7" customFormat="1" x14ac:dyDescent="0.2">
      <c r="A22885" s="6" t="str">
        <f>"NELFE"</f>
        <v>NELFE</v>
      </c>
      <c r="B22885" s="6" t="s">
        <v>1</v>
      </c>
      <c r="C22885" s="6" t="s">
        <v>1</v>
      </c>
    </row>
    <row r="22886" spans="1:3" s="7" customFormat="1" x14ac:dyDescent="0.2">
      <c r="A22886" s="6" t="str">
        <f>"CHTF8"</f>
        <v>CHTF8</v>
      </c>
      <c r="B22886" s="6" t="s">
        <v>1</v>
      </c>
      <c r="C22886" s="6" t="s">
        <v>1</v>
      </c>
    </row>
    <row r="22887" spans="1:3" s="7" customFormat="1" x14ac:dyDescent="0.2">
      <c r="A22887" s="6" t="str">
        <f>"ZNF609"</f>
        <v>ZNF609</v>
      </c>
      <c r="B22887" s="6" t="s">
        <v>1</v>
      </c>
      <c r="C22887" s="6" t="s">
        <v>1</v>
      </c>
    </row>
    <row r="22888" spans="1:3" s="7" customFormat="1" x14ac:dyDescent="0.2">
      <c r="A22888" s="6" t="str">
        <f>"LONP1"</f>
        <v>LONP1</v>
      </c>
      <c r="B22888" s="6" t="s">
        <v>1</v>
      </c>
      <c r="C22888" s="6" t="s">
        <v>1</v>
      </c>
    </row>
    <row r="22889" spans="1:3" s="7" customFormat="1" x14ac:dyDescent="0.2">
      <c r="A22889" s="6" t="str">
        <f>"CNP"</f>
        <v>CNP</v>
      </c>
      <c r="B22889" s="6" t="s">
        <v>1</v>
      </c>
      <c r="C22889" s="6" t="s">
        <v>1</v>
      </c>
    </row>
    <row r="22890" spans="1:3" s="7" customFormat="1" x14ac:dyDescent="0.2">
      <c r="A22890" s="6" t="str">
        <f>"EBNA1BP2"</f>
        <v>EBNA1BP2</v>
      </c>
      <c r="B22890" s="6" t="s">
        <v>1</v>
      </c>
      <c r="C22890" s="6" t="s">
        <v>1</v>
      </c>
    </row>
    <row r="22891" spans="1:3" s="7" customFormat="1" x14ac:dyDescent="0.2">
      <c r="A22891" s="6" t="str">
        <f>"BANF1"</f>
        <v>BANF1</v>
      </c>
      <c r="B22891" s="6" t="s">
        <v>1</v>
      </c>
      <c r="C22891" s="6" t="s">
        <v>1</v>
      </c>
    </row>
    <row r="22892" spans="1:3" s="7" customFormat="1" x14ac:dyDescent="0.2">
      <c r="A22892" s="6" t="str">
        <f>"CELF1"</f>
        <v>CELF1</v>
      </c>
      <c r="B22892" s="6" t="s">
        <v>1</v>
      </c>
      <c r="C22892" s="6" t="s">
        <v>1</v>
      </c>
    </row>
    <row r="22893" spans="1:3" s="7" customFormat="1" x14ac:dyDescent="0.2">
      <c r="A22893" s="6" t="str">
        <f>"SH3PXD2B"</f>
        <v>SH3PXD2B</v>
      </c>
      <c r="B22893" s="6" t="s">
        <v>1</v>
      </c>
      <c r="C22893" s="6" t="s">
        <v>1</v>
      </c>
    </row>
    <row r="22894" spans="1:3" s="7" customFormat="1" x14ac:dyDescent="0.2">
      <c r="A22894" s="6" t="str">
        <f>"SEL1L"</f>
        <v>SEL1L</v>
      </c>
      <c r="B22894" s="6" t="s">
        <v>1</v>
      </c>
      <c r="C22894" s="6" t="s">
        <v>1</v>
      </c>
    </row>
    <row r="22895" spans="1:3" s="7" customFormat="1" x14ac:dyDescent="0.2">
      <c r="A22895" s="6" t="str">
        <f>"LDLRAP1"</f>
        <v>LDLRAP1</v>
      </c>
      <c r="B22895" s="6" t="s">
        <v>1</v>
      </c>
      <c r="C22895" s="6" t="s">
        <v>1</v>
      </c>
    </row>
    <row r="22896" spans="1:3" s="7" customFormat="1" x14ac:dyDescent="0.2">
      <c r="A22896" s="6" t="str">
        <f>"OCIAD1"</f>
        <v>OCIAD1</v>
      </c>
      <c r="B22896" s="6" t="s">
        <v>1</v>
      </c>
      <c r="C22896" s="6" t="s">
        <v>1</v>
      </c>
    </row>
    <row r="22897" spans="1:3" s="7" customFormat="1" x14ac:dyDescent="0.2">
      <c r="A22897" s="6" t="str">
        <f>"MYO9B"</f>
        <v>MYO9B</v>
      </c>
      <c r="B22897" s="6" t="s">
        <v>1</v>
      </c>
      <c r="C22897" s="6" t="s">
        <v>1</v>
      </c>
    </row>
    <row r="22898" spans="1:3" s="7" customFormat="1" x14ac:dyDescent="0.2">
      <c r="A22898" s="6" t="str">
        <f>"DNAJC7"</f>
        <v>DNAJC7</v>
      </c>
      <c r="B22898" s="6" t="s">
        <v>1</v>
      </c>
      <c r="C22898" s="6" t="s">
        <v>1</v>
      </c>
    </row>
    <row r="22899" spans="1:3" s="7" customFormat="1" x14ac:dyDescent="0.2">
      <c r="A22899" s="6" t="str">
        <f>"OAS2"</f>
        <v>OAS2</v>
      </c>
      <c r="B22899" s="6" t="s">
        <v>1</v>
      </c>
      <c r="C22899" s="6" t="s">
        <v>1</v>
      </c>
    </row>
    <row r="22900" spans="1:3" s="7" customFormat="1" x14ac:dyDescent="0.2">
      <c r="A22900" s="6" t="str">
        <f>"VDAC2"</f>
        <v>VDAC2</v>
      </c>
      <c r="B22900" s="6" t="s">
        <v>1</v>
      </c>
      <c r="C22900" s="6" t="s">
        <v>1</v>
      </c>
    </row>
    <row r="22901" spans="1:3" s="7" customFormat="1" x14ac:dyDescent="0.2">
      <c r="A22901" s="6" t="str">
        <f>"TRIM22"</f>
        <v>TRIM22</v>
      </c>
      <c r="B22901" s="6" t="s">
        <v>1</v>
      </c>
      <c r="C22901" s="6" t="s">
        <v>1</v>
      </c>
    </row>
    <row r="22902" spans="1:3" s="7" customFormat="1" x14ac:dyDescent="0.2">
      <c r="A22902" s="6" t="str">
        <f>"RNF187"</f>
        <v>RNF187</v>
      </c>
      <c r="B22902" s="6" t="s">
        <v>1</v>
      </c>
      <c r="C22902" s="6" t="s">
        <v>1</v>
      </c>
    </row>
    <row r="22903" spans="1:3" s="7" customFormat="1" x14ac:dyDescent="0.2">
      <c r="A22903" s="6" t="str">
        <f>"OAZ2"</f>
        <v>OAZ2</v>
      </c>
      <c r="B22903" s="6" t="s">
        <v>1</v>
      </c>
      <c r="C22903" s="6" t="s">
        <v>1</v>
      </c>
    </row>
    <row r="22904" spans="1:3" s="7" customFormat="1" x14ac:dyDescent="0.2">
      <c r="A22904" s="6" t="str">
        <f>"PTPN18"</f>
        <v>PTPN18</v>
      </c>
      <c r="B22904" s="6" t="s">
        <v>1</v>
      </c>
      <c r="C22904" s="6" t="s">
        <v>1</v>
      </c>
    </row>
    <row r="22905" spans="1:3" s="7" customFormat="1" x14ac:dyDescent="0.2">
      <c r="A22905" s="6" t="str">
        <f>"VEZF1"</f>
        <v>VEZF1</v>
      </c>
      <c r="B22905" s="6" t="s">
        <v>1</v>
      </c>
      <c r="C22905" s="6" t="s">
        <v>1</v>
      </c>
    </row>
    <row r="22906" spans="1:3" s="7" customFormat="1" x14ac:dyDescent="0.2">
      <c r="A22906" s="6" t="str">
        <f>"VIM"</f>
        <v>VIM</v>
      </c>
      <c r="B22906" s="6" t="s">
        <v>1</v>
      </c>
      <c r="C22906" s="6" t="s">
        <v>1</v>
      </c>
    </row>
    <row r="22907" spans="1:3" s="7" customFormat="1" x14ac:dyDescent="0.2">
      <c r="A22907" s="6" t="str">
        <f>"LDLR"</f>
        <v>LDLR</v>
      </c>
      <c r="B22907" s="6" t="s">
        <v>1</v>
      </c>
      <c r="C22907" s="6" t="s">
        <v>1</v>
      </c>
    </row>
    <row r="22908" spans="1:3" s="7" customFormat="1" x14ac:dyDescent="0.2">
      <c r="A22908" s="6" t="str">
        <f>"PTPRC"</f>
        <v>PTPRC</v>
      </c>
      <c r="B22908" s="6" t="s">
        <v>1</v>
      </c>
      <c r="C22908" s="6" t="s">
        <v>1</v>
      </c>
    </row>
    <row r="22909" spans="1:3" s="7" customFormat="1" x14ac:dyDescent="0.2">
      <c r="A22909" s="6" t="str">
        <f>"NUP214"</f>
        <v>NUP214</v>
      </c>
      <c r="B22909" s="6" t="s">
        <v>1</v>
      </c>
      <c r="C22909" s="6" t="s">
        <v>1</v>
      </c>
    </row>
    <row r="22910" spans="1:3" s="7" customFormat="1" x14ac:dyDescent="0.2">
      <c r="A22910" s="6" t="str">
        <f>"ZBTB7B"</f>
        <v>ZBTB7B</v>
      </c>
      <c r="B22910" s="6" t="s">
        <v>1</v>
      </c>
      <c r="C22910" s="6" t="s">
        <v>1</v>
      </c>
    </row>
    <row r="22911" spans="1:3" s="7" customFormat="1" x14ac:dyDescent="0.2">
      <c r="A22911" s="6" t="str">
        <f>"OAS1"</f>
        <v>OAS1</v>
      </c>
      <c r="B22911" s="6" t="s">
        <v>1</v>
      </c>
      <c r="C22911" s="6" t="s">
        <v>1</v>
      </c>
    </row>
    <row r="22912" spans="1:3" s="7" customFormat="1" x14ac:dyDescent="0.2">
      <c r="A22912" s="6" t="str">
        <f>"IFI30"</f>
        <v>IFI30</v>
      </c>
      <c r="B22912" s="6" t="s">
        <v>1</v>
      </c>
      <c r="C22912" s="6" t="s">
        <v>1</v>
      </c>
    </row>
    <row r="22913" spans="1:3" s="7" customFormat="1" x14ac:dyDescent="0.2">
      <c r="A22913" s="6" t="str">
        <f>"PHF3"</f>
        <v>PHF3</v>
      </c>
      <c r="B22913" s="6" t="s">
        <v>1</v>
      </c>
      <c r="C22913" s="6" t="s">
        <v>1</v>
      </c>
    </row>
    <row r="22914" spans="1:3" s="7" customFormat="1" x14ac:dyDescent="0.2">
      <c r="A22914" s="6" t="str">
        <f>"B4GALT4"</f>
        <v>B4GALT4</v>
      </c>
      <c r="B22914" s="6" t="s">
        <v>1</v>
      </c>
      <c r="C22914" s="6" t="s">
        <v>1</v>
      </c>
    </row>
    <row r="22915" spans="1:3" s="7" customFormat="1" x14ac:dyDescent="0.2">
      <c r="A22915" s="6" t="str">
        <f>"FARP1"</f>
        <v>FARP1</v>
      </c>
      <c r="B22915" s="6" t="s">
        <v>1</v>
      </c>
      <c r="C22915" s="6" t="s">
        <v>1</v>
      </c>
    </row>
    <row r="22916" spans="1:3" s="7" customFormat="1" x14ac:dyDescent="0.2">
      <c r="A22916" s="6" t="str">
        <f>"INSR"</f>
        <v>INSR</v>
      </c>
      <c r="B22916" s="6" t="s">
        <v>1</v>
      </c>
      <c r="C22916" s="6" t="s">
        <v>1</v>
      </c>
    </row>
    <row r="22917" spans="1:3" s="7" customFormat="1" x14ac:dyDescent="0.2">
      <c r="A22917" s="6" t="str">
        <f>"EML4"</f>
        <v>EML4</v>
      </c>
      <c r="B22917" s="6" t="s">
        <v>1</v>
      </c>
      <c r="C22917" s="6" t="s">
        <v>1</v>
      </c>
    </row>
    <row r="22918" spans="1:3" s="7" customFormat="1" x14ac:dyDescent="0.2">
      <c r="A22918" s="6" t="str">
        <f>"RNF152"</f>
        <v>RNF152</v>
      </c>
      <c r="B22918" s="6" t="s">
        <v>1</v>
      </c>
      <c r="C22918" s="6" t="s">
        <v>1</v>
      </c>
    </row>
    <row r="22919" spans="1:3" s="7" customFormat="1" x14ac:dyDescent="0.2">
      <c r="A22919" s="6" t="str">
        <f>"ZZEF1"</f>
        <v>ZZEF1</v>
      </c>
      <c r="B22919" s="6" t="s">
        <v>1</v>
      </c>
      <c r="C22919" s="6" t="s">
        <v>1</v>
      </c>
    </row>
    <row r="22920" spans="1:3" s="7" customFormat="1" x14ac:dyDescent="0.2">
      <c r="A22920" s="6" t="str">
        <f>"EXPH5"</f>
        <v>EXPH5</v>
      </c>
      <c r="B22920" s="6" t="s">
        <v>1</v>
      </c>
      <c r="C22920" s="6" t="s">
        <v>1</v>
      </c>
    </row>
    <row r="22921" spans="1:3" s="7" customFormat="1" x14ac:dyDescent="0.2">
      <c r="A22921" s="6" t="str">
        <f>"GAA"</f>
        <v>GAA</v>
      </c>
      <c r="B22921" s="6" t="s">
        <v>1</v>
      </c>
      <c r="C22921" s="6" t="s">
        <v>1</v>
      </c>
    </row>
    <row r="22922" spans="1:3" s="7" customFormat="1" x14ac:dyDescent="0.2">
      <c r="A22922" s="6" t="str">
        <f>"PACS1"</f>
        <v>PACS1</v>
      </c>
      <c r="B22922" s="6" t="s">
        <v>1</v>
      </c>
      <c r="C22922" s="6" t="s">
        <v>1</v>
      </c>
    </row>
    <row r="22923" spans="1:3" s="7" customFormat="1" x14ac:dyDescent="0.2">
      <c r="A22923" s="6" t="str">
        <f>"B4GALNT3"</f>
        <v>B4GALNT3</v>
      </c>
      <c r="B22923" s="6" t="s">
        <v>1</v>
      </c>
      <c r="C22923" s="6" t="s">
        <v>1</v>
      </c>
    </row>
    <row r="22924" spans="1:3" s="7" customFormat="1" x14ac:dyDescent="0.2">
      <c r="A22924" s="6" t="str">
        <f>"MED15"</f>
        <v>MED15</v>
      </c>
      <c r="B22924" s="6" t="s">
        <v>1</v>
      </c>
      <c r="C22924" s="6" t="s">
        <v>1</v>
      </c>
    </row>
    <row r="22925" spans="1:3" s="7" customFormat="1" x14ac:dyDescent="0.2">
      <c r="A22925" s="6" t="str">
        <f>"MYO18A"</f>
        <v>MYO18A</v>
      </c>
      <c r="B22925" s="6" t="s">
        <v>1</v>
      </c>
      <c r="C22925" s="6" t="s">
        <v>1</v>
      </c>
    </row>
    <row r="22926" spans="1:3" s="7" customFormat="1" x14ac:dyDescent="0.2">
      <c r="A22926" s="6" t="str">
        <f>"TTYH3"</f>
        <v>TTYH3</v>
      </c>
      <c r="B22926" s="6" t="s">
        <v>1</v>
      </c>
      <c r="C22926" s="6" t="s">
        <v>1</v>
      </c>
    </row>
    <row r="22927" spans="1:3" s="7" customFormat="1" x14ac:dyDescent="0.2">
      <c r="A22927" s="6" t="str">
        <f>"LONP2"</f>
        <v>LONP2</v>
      </c>
      <c r="B22927" s="6" t="s">
        <v>1</v>
      </c>
      <c r="C22927" s="6" t="s">
        <v>1</v>
      </c>
    </row>
    <row r="22928" spans="1:3" s="7" customFormat="1" x14ac:dyDescent="0.2">
      <c r="A22928" s="6" t="str">
        <f>"NYNRIN"</f>
        <v>NYNRIN</v>
      </c>
      <c r="B22928" s="6" t="s">
        <v>1</v>
      </c>
      <c r="C22928" s="6" t="s">
        <v>1</v>
      </c>
    </row>
    <row r="22929" spans="1:3" s="7" customFormat="1" x14ac:dyDescent="0.2">
      <c r="A22929" s="6" t="str">
        <f>"VDAC3"</f>
        <v>VDAC3</v>
      </c>
      <c r="B22929" s="6" t="s">
        <v>1</v>
      </c>
      <c r="C22929" s="6" t="s">
        <v>1</v>
      </c>
    </row>
    <row r="22930" spans="1:3" s="7" customFormat="1" x14ac:dyDescent="0.2">
      <c r="A22930" s="6" t="str">
        <f>"IPO7"</f>
        <v>IPO7</v>
      </c>
      <c r="B22930" s="6" t="s">
        <v>1</v>
      </c>
      <c r="C22930" s="6" t="s">
        <v>1</v>
      </c>
    </row>
    <row r="22931" spans="1:3" s="7" customFormat="1" x14ac:dyDescent="0.2">
      <c r="A22931" s="6" t="str">
        <f>"SRRT"</f>
        <v>SRRT</v>
      </c>
      <c r="B22931" s="6" t="s">
        <v>1</v>
      </c>
      <c r="C22931" s="6" t="s">
        <v>1</v>
      </c>
    </row>
    <row r="22932" spans="1:3" s="7" customFormat="1" x14ac:dyDescent="0.2">
      <c r="A22932" s="6" t="str">
        <f>"PDCD6"</f>
        <v>PDCD6</v>
      </c>
      <c r="B22932" s="6" t="s">
        <v>1</v>
      </c>
      <c r="C22932" s="6" t="s">
        <v>1</v>
      </c>
    </row>
    <row r="22933" spans="1:3" s="7" customFormat="1" x14ac:dyDescent="0.2">
      <c r="A22933" s="6" t="str">
        <f>"M6PR"</f>
        <v>M6PR</v>
      </c>
      <c r="B22933" s="6" t="s">
        <v>1</v>
      </c>
      <c r="C22933" s="6" t="s">
        <v>1</v>
      </c>
    </row>
    <row r="22934" spans="1:3" s="7" customFormat="1" x14ac:dyDescent="0.2">
      <c r="A22934" s="6" t="str">
        <f>"IFNAR1"</f>
        <v>IFNAR1</v>
      </c>
      <c r="B22934" s="6" t="s">
        <v>1</v>
      </c>
      <c r="C22934" s="6" t="s">
        <v>1</v>
      </c>
    </row>
    <row r="22935" spans="1:3" s="7" customFormat="1" x14ac:dyDescent="0.2">
      <c r="A22935" s="6" t="str">
        <f>"SORBS3"</f>
        <v>SORBS3</v>
      </c>
      <c r="B22935" s="6" t="s">
        <v>1</v>
      </c>
      <c r="C22935" s="6" t="s">
        <v>1</v>
      </c>
    </row>
    <row r="22936" spans="1:3" s="7" customFormat="1" x14ac:dyDescent="0.2">
      <c r="A22936" s="6" t="str">
        <f>"FKBP9"</f>
        <v>FKBP9</v>
      </c>
      <c r="B22936" s="6" t="s">
        <v>1</v>
      </c>
      <c r="C22936" s="6" t="s">
        <v>1</v>
      </c>
    </row>
    <row r="22937" spans="1:3" s="7" customFormat="1" x14ac:dyDescent="0.2">
      <c r="A22937" s="6" t="str">
        <f>"SELENOF"</f>
        <v>SELENOF</v>
      </c>
      <c r="B22937" s="6" t="s">
        <v>1</v>
      </c>
      <c r="C22937" s="6" t="s">
        <v>1</v>
      </c>
    </row>
    <row r="22938" spans="1:3" s="7" customFormat="1" x14ac:dyDescent="0.2">
      <c r="A22938" s="6" t="str">
        <f>"ZC3H7B"</f>
        <v>ZC3H7B</v>
      </c>
      <c r="B22938" s="6" t="s">
        <v>1</v>
      </c>
      <c r="C22938" s="6" t="s">
        <v>1</v>
      </c>
    </row>
    <row r="22939" spans="1:3" s="7" customFormat="1" x14ac:dyDescent="0.2">
      <c r="A22939" s="6" t="str">
        <f>"CEBPD"</f>
        <v>CEBPD</v>
      </c>
      <c r="B22939" s="6" t="s">
        <v>1</v>
      </c>
      <c r="C22939" s="6" t="s">
        <v>1</v>
      </c>
    </row>
    <row r="22940" spans="1:3" s="7" customFormat="1" x14ac:dyDescent="0.2">
      <c r="A22940" s="6" t="str">
        <f>"IFT22"</f>
        <v>IFT22</v>
      </c>
      <c r="B22940" s="6" t="s">
        <v>1</v>
      </c>
      <c r="C22940" s="6" t="s">
        <v>1</v>
      </c>
    </row>
    <row r="22941" spans="1:3" s="7" customFormat="1" x14ac:dyDescent="0.2">
      <c r="A22941" s="6" t="str">
        <f>"PTPN11"</f>
        <v>PTPN11</v>
      </c>
      <c r="B22941" s="6" t="s">
        <v>1</v>
      </c>
      <c r="C22941" s="6" t="s">
        <v>1</v>
      </c>
    </row>
    <row r="22942" spans="1:3" s="7" customFormat="1" x14ac:dyDescent="0.2">
      <c r="A22942" s="6" t="str">
        <f>"ECHS1"</f>
        <v>ECHS1</v>
      </c>
      <c r="B22942" s="6" t="s">
        <v>1</v>
      </c>
      <c r="C22942" s="6" t="s">
        <v>1</v>
      </c>
    </row>
    <row r="22943" spans="1:3" s="7" customFormat="1" x14ac:dyDescent="0.2">
      <c r="A22943" s="6" t="str">
        <f>"STXBP2"</f>
        <v>STXBP2</v>
      </c>
      <c r="B22943" s="6" t="s">
        <v>1</v>
      </c>
      <c r="C22943" s="6" t="s">
        <v>1</v>
      </c>
    </row>
    <row r="22944" spans="1:3" s="7" customFormat="1" x14ac:dyDescent="0.2">
      <c r="A22944" s="6" t="str">
        <f>"CHPF"</f>
        <v>CHPF</v>
      </c>
      <c r="B22944" s="6" t="s">
        <v>1</v>
      </c>
      <c r="C22944" s="6" t="s">
        <v>1</v>
      </c>
    </row>
    <row r="22945" spans="1:3" s="7" customFormat="1" x14ac:dyDescent="0.2">
      <c r="A22945" s="6" t="str">
        <f>"CASP7"</f>
        <v>CASP7</v>
      </c>
      <c r="B22945" s="6" t="s">
        <v>1</v>
      </c>
      <c r="C22945" s="6" t="s">
        <v>1</v>
      </c>
    </row>
    <row r="22946" spans="1:3" s="7" customFormat="1" x14ac:dyDescent="0.2">
      <c r="A22946" s="6" t="str">
        <f>"RNF167"</f>
        <v>RNF167</v>
      </c>
      <c r="B22946" s="6" t="s">
        <v>1</v>
      </c>
      <c r="C22946" s="6" t="s">
        <v>1</v>
      </c>
    </row>
    <row r="22947" spans="1:3" s="7" customFormat="1" x14ac:dyDescent="0.2">
      <c r="A22947" s="6" t="str">
        <f>"ADI1"</f>
        <v>ADI1</v>
      </c>
      <c r="B22947" s="6" t="s">
        <v>1</v>
      </c>
      <c r="C22947" s="6" t="s">
        <v>1</v>
      </c>
    </row>
    <row r="22948" spans="1:3" s="7" customFormat="1" x14ac:dyDescent="0.2">
      <c r="A22948" s="6" t="str">
        <f>"GALNT4"</f>
        <v>GALNT4</v>
      </c>
      <c r="B22948" s="6" t="s">
        <v>1</v>
      </c>
      <c r="C22948" s="6" t="s">
        <v>1</v>
      </c>
    </row>
    <row r="22949" spans="1:3" s="7" customFormat="1" x14ac:dyDescent="0.2">
      <c r="A22949" s="6" t="str">
        <f>"LPGAT1"</f>
        <v>LPGAT1</v>
      </c>
      <c r="B22949" s="6" t="s">
        <v>1</v>
      </c>
      <c r="C22949" s="6" t="s">
        <v>1</v>
      </c>
    </row>
    <row r="22950" spans="1:3" s="7" customFormat="1" x14ac:dyDescent="0.2">
      <c r="A22950" s="6" t="str">
        <f>"NUP98"</f>
        <v>NUP98</v>
      </c>
      <c r="B22950" s="6" t="s">
        <v>1</v>
      </c>
      <c r="C22950" s="6" t="s">
        <v>1</v>
      </c>
    </row>
    <row r="22951" spans="1:3" s="7" customFormat="1" x14ac:dyDescent="0.2">
      <c r="A22951" s="6" t="str">
        <f>"LPP"</f>
        <v>LPP</v>
      </c>
      <c r="B22951" s="6" t="s">
        <v>1</v>
      </c>
      <c r="C22951" s="6" t="s">
        <v>1</v>
      </c>
    </row>
    <row r="22952" spans="1:3" s="7" customFormat="1" x14ac:dyDescent="0.2">
      <c r="A22952" s="6" t="str">
        <f>"LGALS9"</f>
        <v>LGALS9</v>
      </c>
      <c r="B22952" s="6" t="s">
        <v>1</v>
      </c>
      <c r="C22952" s="6" t="s">
        <v>1</v>
      </c>
    </row>
    <row r="22953" spans="1:3" s="7" customFormat="1" x14ac:dyDescent="0.2">
      <c r="A22953" s="6" t="str">
        <f>"BRD4"</f>
        <v>BRD4</v>
      </c>
      <c r="B22953" s="6" t="s">
        <v>1</v>
      </c>
      <c r="C22953" s="6" t="s">
        <v>1</v>
      </c>
    </row>
    <row r="22954" spans="1:3" s="7" customFormat="1" x14ac:dyDescent="0.2">
      <c r="A22954" s="6" t="str">
        <f>"FAM83E"</f>
        <v>FAM83E</v>
      </c>
      <c r="B22954" s="6" t="s">
        <v>1</v>
      </c>
      <c r="C22954" s="6" t="s">
        <v>1</v>
      </c>
    </row>
    <row r="22955" spans="1:3" s="7" customFormat="1" x14ac:dyDescent="0.2">
      <c r="A22955" s="6" t="str">
        <f>"CEMIP2"</f>
        <v>CEMIP2</v>
      </c>
      <c r="B22955" s="6" t="s">
        <v>1</v>
      </c>
      <c r="C22955" s="6" t="s">
        <v>1</v>
      </c>
    </row>
    <row r="22956" spans="1:3" s="7" customFormat="1" x14ac:dyDescent="0.2">
      <c r="A22956" s="6" t="str">
        <f>"MED13L"</f>
        <v>MED13L</v>
      </c>
      <c r="B22956" s="6" t="s">
        <v>1</v>
      </c>
      <c r="C22956" s="6" t="s">
        <v>1</v>
      </c>
    </row>
    <row r="22957" spans="1:3" s="7" customFormat="1" x14ac:dyDescent="0.2">
      <c r="A22957" s="6" t="str">
        <f>"NDUFV2"</f>
        <v>NDUFV2</v>
      </c>
      <c r="B22957" s="6" t="s">
        <v>1</v>
      </c>
      <c r="C22957" s="6" t="s">
        <v>1</v>
      </c>
    </row>
    <row r="22958" spans="1:3" s="7" customFormat="1" x14ac:dyDescent="0.2">
      <c r="A22958" s="6" t="str">
        <f>"VMP1"</f>
        <v>VMP1</v>
      </c>
      <c r="B22958" s="6" t="s">
        <v>1</v>
      </c>
      <c r="C22958" s="6" t="s">
        <v>1</v>
      </c>
    </row>
    <row r="22959" spans="1:3" s="7" customFormat="1" x14ac:dyDescent="0.2">
      <c r="A22959" s="6" t="str">
        <f>"RNF130"</f>
        <v>RNF130</v>
      </c>
      <c r="B22959" s="6" t="s">
        <v>1</v>
      </c>
      <c r="C22959" s="6" t="s">
        <v>1</v>
      </c>
    </row>
    <row r="22960" spans="1:3" s="7" customFormat="1" x14ac:dyDescent="0.2">
      <c r="A22960" s="6" t="str">
        <f>"RAN"</f>
        <v>RAN</v>
      </c>
      <c r="B22960" s="6" t="s">
        <v>1</v>
      </c>
      <c r="C22960" s="6" t="s">
        <v>1</v>
      </c>
    </row>
    <row r="22961" spans="1:3" s="7" customFormat="1" x14ac:dyDescent="0.2">
      <c r="A22961" s="6" t="str">
        <f>"GALNT3"</f>
        <v>GALNT3</v>
      </c>
      <c r="B22961" s="6" t="s">
        <v>1</v>
      </c>
      <c r="C22961" s="6" t="s">
        <v>1</v>
      </c>
    </row>
    <row r="22962" spans="1:3" s="7" customFormat="1" x14ac:dyDescent="0.2">
      <c r="A22962" s="6" t="str">
        <f>"PACSIN2"</f>
        <v>PACSIN2</v>
      </c>
      <c r="B22962" s="6" t="s">
        <v>1</v>
      </c>
      <c r="C22962" s="6" t="s">
        <v>1</v>
      </c>
    </row>
    <row r="22963" spans="1:3" s="7" customFormat="1" x14ac:dyDescent="0.2">
      <c r="A22963" s="6" t="str">
        <f>"IPO5"</f>
        <v>IPO5</v>
      </c>
      <c r="B22963" s="6" t="s">
        <v>1</v>
      </c>
      <c r="C22963" s="6" t="s">
        <v>1</v>
      </c>
    </row>
    <row r="22964" spans="1:3" s="7" customFormat="1" x14ac:dyDescent="0.2">
      <c r="A22964" s="6" t="str">
        <f>"WNT7B"</f>
        <v>WNT7B</v>
      </c>
      <c r="B22964" s="6" t="s">
        <v>1</v>
      </c>
      <c r="C22964" s="6" t="s">
        <v>1</v>
      </c>
    </row>
    <row r="22965" spans="1:3" s="7" customFormat="1" x14ac:dyDescent="0.2">
      <c r="A22965" s="6" t="str">
        <f>"SLMAP"</f>
        <v>SLMAP</v>
      </c>
      <c r="B22965" s="6" t="s">
        <v>1</v>
      </c>
      <c r="C22965" s="6" t="s">
        <v>1</v>
      </c>
    </row>
    <row r="22966" spans="1:3" s="7" customFormat="1" x14ac:dyDescent="0.2">
      <c r="A22966" s="6" t="str">
        <f>"BAG3"</f>
        <v>BAG3</v>
      </c>
      <c r="B22966" s="6" t="s">
        <v>1</v>
      </c>
      <c r="C22966" s="6" t="s">
        <v>1</v>
      </c>
    </row>
    <row r="22967" spans="1:3" s="7" customFormat="1" x14ac:dyDescent="0.2">
      <c r="A22967" s="6" t="str">
        <f>"IFNGR1"</f>
        <v>IFNGR1</v>
      </c>
      <c r="B22967" s="6" t="s">
        <v>1</v>
      </c>
      <c r="C22967" s="6" t="s">
        <v>1</v>
      </c>
    </row>
    <row r="22968" spans="1:3" s="7" customFormat="1" x14ac:dyDescent="0.2">
      <c r="A22968" s="6" t="str">
        <f>"GRHL2"</f>
        <v>GRHL2</v>
      </c>
      <c r="B22968" s="6" t="s">
        <v>1</v>
      </c>
      <c r="C22968" s="6" t="s">
        <v>1</v>
      </c>
    </row>
    <row r="22969" spans="1:3" s="7" customFormat="1" x14ac:dyDescent="0.2">
      <c r="A22969" s="6" t="str">
        <f>"IFITM1"</f>
        <v>IFITM1</v>
      </c>
      <c r="B22969" s="6" t="s">
        <v>1</v>
      </c>
      <c r="C22969" s="6" t="s">
        <v>1</v>
      </c>
    </row>
    <row r="22970" spans="1:3" s="7" customFormat="1" x14ac:dyDescent="0.2">
      <c r="A22970" s="6" t="str">
        <f>"PLIN3"</f>
        <v>PLIN3</v>
      </c>
      <c r="B22970" s="6" t="s">
        <v>1</v>
      </c>
      <c r="C22970" s="6" t="s">
        <v>1</v>
      </c>
    </row>
    <row r="22971" spans="1:3" s="7" customFormat="1" x14ac:dyDescent="0.2">
      <c r="A22971" s="6" t="str">
        <f>"ADSS2"</f>
        <v>ADSS2</v>
      </c>
      <c r="B22971" s="6" t="s">
        <v>1</v>
      </c>
      <c r="C22971" s="6" t="s">
        <v>1</v>
      </c>
    </row>
    <row r="22972" spans="1:3" s="7" customFormat="1" x14ac:dyDescent="0.2">
      <c r="A22972" s="6" t="str">
        <f>"G0S2"</f>
        <v>G0S2</v>
      </c>
      <c r="B22972" s="6" t="s">
        <v>1</v>
      </c>
      <c r="C22972" s="6" t="s">
        <v>1</v>
      </c>
    </row>
    <row r="22973" spans="1:3" s="7" customFormat="1" x14ac:dyDescent="0.2">
      <c r="A22973" s="6" t="str">
        <f>"ECPAS"</f>
        <v>ECPAS</v>
      </c>
      <c r="B22973" s="6" t="s">
        <v>1</v>
      </c>
      <c r="C22973" s="6" t="s">
        <v>1</v>
      </c>
    </row>
    <row r="22974" spans="1:3" s="7" customFormat="1" x14ac:dyDescent="0.2">
      <c r="A22974" s="6" t="str">
        <f>"SRRM1"</f>
        <v>SRRM1</v>
      </c>
      <c r="B22974" s="6" t="s">
        <v>1</v>
      </c>
      <c r="C22974" s="6" t="s">
        <v>1</v>
      </c>
    </row>
    <row r="22975" spans="1:3" s="7" customFormat="1" x14ac:dyDescent="0.2">
      <c r="A22975" s="6" t="str">
        <f>"SAA1"</f>
        <v>SAA1</v>
      </c>
      <c r="B22975" s="6" t="s">
        <v>1</v>
      </c>
      <c r="C22975" s="6" t="s">
        <v>1</v>
      </c>
    </row>
    <row r="22976" spans="1:3" s="7" customFormat="1" x14ac:dyDescent="0.2">
      <c r="A22976" s="6" t="str">
        <f>"SMARCC2"</f>
        <v>SMARCC2</v>
      </c>
      <c r="B22976" s="6" t="s">
        <v>1</v>
      </c>
      <c r="C22976" s="6" t="s">
        <v>1</v>
      </c>
    </row>
    <row r="22977" spans="1:3" s="7" customFormat="1" x14ac:dyDescent="0.2">
      <c r="A22977" s="6" t="str">
        <f>"NEK10"</f>
        <v>NEK10</v>
      </c>
      <c r="B22977" s="6" t="s">
        <v>1</v>
      </c>
      <c r="C22977" s="6" t="s">
        <v>1</v>
      </c>
    </row>
    <row r="22978" spans="1:3" s="7" customFormat="1" x14ac:dyDescent="0.2">
      <c r="A22978" s="6" t="str">
        <f>"RETREG2"</f>
        <v>RETREG2</v>
      </c>
      <c r="B22978" s="6" t="s">
        <v>1</v>
      </c>
      <c r="C22978" s="6" t="s">
        <v>1</v>
      </c>
    </row>
    <row r="22979" spans="1:3" s="7" customFormat="1" x14ac:dyDescent="0.2">
      <c r="A22979" s="6" t="str">
        <f>"CYP2A6"</f>
        <v>CYP2A6</v>
      </c>
      <c r="B22979" s="6" t="s">
        <v>1</v>
      </c>
      <c r="C22979" s="6" t="s">
        <v>1</v>
      </c>
    </row>
    <row r="22980" spans="1:3" s="7" customFormat="1" x14ac:dyDescent="0.2">
      <c r="A22980" s="6" t="str">
        <f>"RAF1"</f>
        <v>RAF1</v>
      </c>
      <c r="B22980" s="6" t="s">
        <v>1</v>
      </c>
      <c r="C22980" s="6" t="s">
        <v>1</v>
      </c>
    </row>
    <row r="22981" spans="1:3" s="7" customFormat="1" x14ac:dyDescent="0.2">
      <c r="A22981" s="6" t="str">
        <f>"NDUFS1"</f>
        <v>NDUFS1</v>
      </c>
      <c r="B22981" s="6" t="s">
        <v>1</v>
      </c>
      <c r="C22981" s="6" t="s">
        <v>1</v>
      </c>
    </row>
    <row r="22982" spans="1:3" s="7" customFormat="1" x14ac:dyDescent="0.2">
      <c r="A22982" s="6" t="str">
        <f>"CASP4"</f>
        <v>CASP4</v>
      </c>
      <c r="B22982" s="6" t="s">
        <v>1</v>
      </c>
      <c r="C22982" s="6" t="s">
        <v>1</v>
      </c>
    </row>
    <row r="22983" spans="1:3" s="7" customFormat="1" x14ac:dyDescent="0.2">
      <c r="A22983" s="6" t="str">
        <f>"ADNP"</f>
        <v>ADNP</v>
      </c>
      <c r="B22983" s="6" t="s">
        <v>1</v>
      </c>
      <c r="C22983" s="6" t="s">
        <v>1</v>
      </c>
    </row>
    <row r="22984" spans="1:3" s="7" customFormat="1" x14ac:dyDescent="0.2">
      <c r="A22984" s="6" t="str">
        <f>"PAF1"</f>
        <v>PAF1</v>
      </c>
      <c r="B22984" s="6" t="s">
        <v>1</v>
      </c>
      <c r="C22984" s="6" t="s">
        <v>1</v>
      </c>
    </row>
    <row r="22985" spans="1:3" s="7" customFormat="1" x14ac:dyDescent="0.2">
      <c r="A22985" s="6" t="str">
        <f>"P4HTM"</f>
        <v>P4HTM</v>
      </c>
      <c r="B22985" s="6" t="s">
        <v>1</v>
      </c>
      <c r="C22985" s="6" t="s">
        <v>1</v>
      </c>
    </row>
    <row r="22986" spans="1:3" s="7" customFormat="1" x14ac:dyDescent="0.2">
      <c r="A22986" s="6" t="str">
        <f>"HACD3"</f>
        <v>HACD3</v>
      </c>
      <c r="B22986" s="6" t="s">
        <v>1</v>
      </c>
      <c r="C22986" s="6" t="s">
        <v>1</v>
      </c>
    </row>
    <row r="22987" spans="1:3" s="7" customFormat="1" x14ac:dyDescent="0.2">
      <c r="A22987" s="6" t="str">
        <f>"TNFRSF1A"</f>
        <v>TNFRSF1A</v>
      </c>
      <c r="B22987" s="6" t="s">
        <v>1</v>
      </c>
      <c r="C22987" s="6" t="s">
        <v>1</v>
      </c>
    </row>
    <row r="22988" spans="1:3" s="7" customFormat="1" x14ac:dyDescent="0.2">
      <c r="A22988" s="6" t="str">
        <f>"MRTFB"</f>
        <v>MRTFB</v>
      </c>
      <c r="B22988" s="6" t="s">
        <v>1</v>
      </c>
      <c r="C22988" s="6" t="s">
        <v>1</v>
      </c>
    </row>
    <row r="22989" spans="1:3" s="7" customFormat="1" x14ac:dyDescent="0.2">
      <c r="A22989" s="6" t="str">
        <f>"RALBP1"</f>
        <v>RALBP1</v>
      </c>
      <c r="B22989" s="6" t="s">
        <v>1</v>
      </c>
      <c r="C22989" s="6" t="s">
        <v>1</v>
      </c>
    </row>
    <row r="22990" spans="1:3" s="7" customFormat="1" x14ac:dyDescent="0.2">
      <c r="A22990" s="6" t="str">
        <f>"ADRM1"</f>
        <v>ADRM1</v>
      </c>
      <c r="B22990" s="6" t="s">
        <v>1</v>
      </c>
      <c r="C22990" s="6" t="s">
        <v>1</v>
      </c>
    </row>
    <row r="22991" spans="1:3" s="7" customFormat="1" x14ac:dyDescent="0.2">
      <c r="A22991" s="6" t="str">
        <f>"IGFBP4"</f>
        <v>IGFBP4</v>
      </c>
      <c r="B22991" s="6" t="s">
        <v>1</v>
      </c>
      <c r="C22991" s="6" t="s">
        <v>1</v>
      </c>
    </row>
    <row r="22992" spans="1:3" s="7" customFormat="1" x14ac:dyDescent="0.2">
      <c r="A22992" s="6" t="str">
        <f>"MS4A8"</f>
        <v>MS4A8</v>
      </c>
      <c r="B22992" s="6" t="s">
        <v>1</v>
      </c>
      <c r="C22992" s="6" t="s">
        <v>1</v>
      </c>
    </row>
    <row r="22993" spans="1:3" s="7" customFormat="1" x14ac:dyDescent="0.2">
      <c r="A22993" s="6" t="str">
        <f>"FKBP1A"</f>
        <v>FKBP1A</v>
      </c>
      <c r="B22993" s="6" t="s">
        <v>1</v>
      </c>
      <c r="C22993" s="6" t="s">
        <v>1</v>
      </c>
    </row>
    <row r="22994" spans="1:3" s="7" customFormat="1" x14ac:dyDescent="0.2">
      <c r="A22994" s="6" t="str">
        <f>"MYO1C"</f>
        <v>MYO1C</v>
      </c>
      <c r="B22994" s="6" t="s">
        <v>1</v>
      </c>
      <c r="C22994" s="6" t="s">
        <v>1</v>
      </c>
    </row>
    <row r="22995" spans="1:3" s="7" customFormat="1" x14ac:dyDescent="0.2">
      <c r="A22995" s="6" t="str">
        <f>"APPL2"</f>
        <v>APPL2</v>
      </c>
      <c r="B22995" s="6" t="s">
        <v>1</v>
      </c>
      <c r="C22995" s="6" t="s">
        <v>1</v>
      </c>
    </row>
    <row r="22996" spans="1:3" s="7" customFormat="1" x14ac:dyDescent="0.2">
      <c r="A22996" s="6" t="str">
        <f>"G3BP1"</f>
        <v>G3BP1</v>
      </c>
      <c r="B22996" s="6" t="s">
        <v>1</v>
      </c>
      <c r="C22996" s="6" t="s">
        <v>1</v>
      </c>
    </row>
    <row r="22997" spans="1:3" s="7" customFormat="1" x14ac:dyDescent="0.2">
      <c r="A22997" s="6" t="str">
        <f>"TBC1D14"</f>
        <v>TBC1D14</v>
      </c>
      <c r="B22997" s="6" t="s">
        <v>1</v>
      </c>
      <c r="C22997" s="6" t="s">
        <v>1</v>
      </c>
    </row>
    <row r="22998" spans="1:3" s="7" customFormat="1" x14ac:dyDescent="0.2">
      <c r="A22998" s="6" t="str">
        <f>"RALGDS"</f>
        <v>RALGDS</v>
      </c>
      <c r="B22998" s="6" t="s">
        <v>1</v>
      </c>
      <c r="C22998" s="6" t="s">
        <v>1</v>
      </c>
    </row>
    <row r="22999" spans="1:3" s="7" customFormat="1" x14ac:dyDescent="0.2">
      <c r="A22999" s="6" t="str">
        <f>"TBC1D16"</f>
        <v>TBC1D16</v>
      </c>
      <c r="B22999" s="6" t="s">
        <v>1</v>
      </c>
      <c r="C22999" s="6" t="s">
        <v>1</v>
      </c>
    </row>
    <row r="23000" spans="1:3" s="7" customFormat="1" x14ac:dyDescent="0.2">
      <c r="A23000" s="6" t="str">
        <f>"ASCC2"</f>
        <v>ASCC2</v>
      </c>
      <c r="B23000" s="6" t="s">
        <v>1</v>
      </c>
      <c r="C23000" s="6" t="s">
        <v>1</v>
      </c>
    </row>
    <row r="23001" spans="1:3" s="7" customFormat="1" x14ac:dyDescent="0.2">
      <c r="A23001" s="6" t="str">
        <f>"SMARCC1"</f>
        <v>SMARCC1</v>
      </c>
      <c r="B23001" s="6" t="s">
        <v>1</v>
      </c>
      <c r="C23001" s="6" t="s">
        <v>1</v>
      </c>
    </row>
    <row r="23002" spans="1:3" s="7" customFormat="1" x14ac:dyDescent="0.2">
      <c r="A23002" s="6" t="str">
        <f>"VGLL4"</f>
        <v>VGLL4</v>
      </c>
      <c r="B23002" s="6" t="s">
        <v>1</v>
      </c>
      <c r="C23002" s="6" t="s">
        <v>1</v>
      </c>
    </row>
    <row r="23003" spans="1:3" s="7" customFormat="1" x14ac:dyDescent="0.2">
      <c r="A23003" s="6" t="str">
        <f>"ACACA"</f>
        <v>ACACA</v>
      </c>
      <c r="B23003" s="6" t="s">
        <v>1</v>
      </c>
      <c r="C23003" s="6" t="s">
        <v>1</v>
      </c>
    </row>
    <row r="23004" spans="1:3" s="7" customFormat="1" x14ac:dyDescent="0.2">
      <c r="A23004" s="6" t="str">
        <f>"GK5"</f>
        <v>GK5</v>
      </c>
      <c r="B23004" s="6" t="s">
        <v>1</v>
      </c>
      <c r="C23004" s="6" t="s">
        <v>1</v>
      </c>
    </row>
    <row r="23005" spans="1:3" s="7" customFormat="1" x14ac:dyDescent="0.2">
      <c r="A23005" s="6" t="str">
        <f>"MYORG"</f>
        <v>MYORG</v>
      </c>
      <c r="B23005" s="6" t="s">
        <v>1</v>
      </c>
      <c r="C23005" s="6" t="s">
        <v>1</v>
      </c>
    </row>
    <row r="23006" spans="1:3" s="7" customFormat="1" x14ac:dyDescent="0.2">
      <c r="A23006" s="6" t="str">
        <f>"TRIM16"</f>
        <v>TRIM16</v>
      </c>
      <c r="B23006" s="6" t="s">
        <v>1</v>
      </c>
      <c r="C23006" s="6" t="s">
        <v>1</v>
      </c>
    </row>
    <row r="23007" spans="1:3" s="7" customFormat="1" x14ac:dyDescent="0.2">
      <c r="A23007" s="6" t="str">
        <f>"NECTIN4"</f>
        <v>NECTIN4</v>
      </c>
      <c r="B23007" s="6" t="s">
        <v>1</v>
      </c>
      <c r="C23007" s="6" t="s">
        <v>1</v>
      </c>
    </row>
    <row r="23008" spans="1:3" s="7" customFormat="1" x14ac:dyDescent="0.2">
      <c r="A23008" s="6" t="str">
        <f>"KLF6"</f>
        <v>KLF6</v>
      </c>
      <c r="B23008" s="6" t="s">
        <v>1</v>
      </c>
      <c r="C23008" s="6" t="s">
        <v>1</v>
      </c>
    </row>
    <row r="23009" spans="1:3" s="7" customFormat="1" x14ac:dyDescent="0.2">
      <c r="A23009" s="6" t="str">
        <f>"PCNX3"</f>
        <v>PCNX3</v>
      </c>
      <c r="B23009" s="6" t="s">
        <v>1</v>
      </c>
      <c r="C23009" s="6" t="s">
        <v>1</v>
      </c>
    </row>
    <row r="23010" spans="1:3" s="7" customFormat="1" x14ac:dyDescent="0.2">
      <c r="A23010" s="6" t="str">
        <f>"SMARCD2"</f>
        <v>SMARCD2</v>
      </c>
      <c r="B23010" s="6" t="s">
        <v>1</v>
      </c>
      <c r="C23010" s="6" t="s">
        <v>1</v>
      </c>
    </row>
    <row r="23011" spans="1:3" s="7" customFormat="1" x14ac:dyDescent="0.2">
      <c r="A23011" s="6" t="str">
        <f>"SEC24C"</f>
        <v>SEC24C</v>
      </c>
      <c r="B23011" s="6" t="s">
        <v>1</v>
      </c>
      <c r="C23011" s="6" t="s">
        <v>1</v>
      </c>
    </row>
    <row r="23012" spans="1:3" s="7" customFormat="1" x14ac:dyDescent="0.2">
      <c r="A23012" s="6" t="str">
        <f>"HNRNPH2"</f>
        <v>HNRNPH2</v>
      </c>
      <c r="B23012" s="6" t="s">
        <v>1</v>
      </c>
      <c r="C23012" s="6" t="s">
        <v>1</v>
      </c>
    </row>
    <row r="23013" spans="1:3" s="7" customFormat="1" x14ac:dyDescent="0.2">
      <c r="A23013" s="6" t="str">
        <f>"SORBS2"</f>
        <v>SORBS2</v>
      </c>
      <c r="B23013" s="6" t="s">
        <v>1</v>
      </c>
      <c r="C23013" s="6" t="s">
        <v>1</v>
      </c>
    </row>
    <row r="23014" spans="1:3" s="7" customFormat="1" x14ac:dyDescent="0.2">
      <c r="A23014" s="6" t="str">
        <f>"TNFAIP3"</f>
        <v>TNFAIP3</v>
      </c>
      <c r="B23014" s="6" t="s">
        <v>1</v>
      </c>
      <c r="C23014" s="6" t="s">
        <v>1</v>
      </c>
    </row>
    <row r="23015" spans="1:3" s="7" customFormat="1" x14ac:dyDescent="0.2">
      <c r="A23015" s="6" t="str">
        <f>"ASRGL1"</f>
        <v>ASRGL1</v>
      </c>
      <c r="B23015" s="6" t="s">
        <v>1</v>
      </c>
      <c r="C23015" s="6" t="s">
        <v>1</v>
      </c>
    </row>
    <row r="23016" spans="1:3" s="7" customFormat="1" x14ac:dyDescent="0.2">
      <c r="A23016" s="6" t="str">
        <f>"DEGS2"</f>
        <v>DEGS2</v>
      </c>
      <c r="B23016" s="6" t="s">
        <v>1</v>
      </c>
      <c r="C23016" s="6" t="s">
        <v>1</v>
      </c>
    </row>
    <row r="23017" spans="1:3" s="7" customFormat="1" x14ac:dyDescent="0.2">
      <c r="A23017" s="6" t="str">
        <f>"WLS"</f>
        <v>WLS</v>
      </c>
      <c r="B23017" s="6" t="s">
        <v>1</v>
      </c>
      <c r="C23017" s="6" t="s">
        <v>1</v>
      </c>
    </row>
    <row r="23018" spans="1:3" s="7" customFormat="1" x14ac:dyDescent="0.2">
      <c r="A23018" s="6" t="str">
        <f>"GALNT12"</f>
        <v>GALNT12</v>
      </c>
      <c r="B23018" s="6" t="s">
        <v>1</v>
      </c>
      <c r="C23018" s="6" t="s">
        <v>1</v>
      </c>
    </row>
    <row r="23019" spans="1:3" s="7" customFormat="1" x14ac:dyDescent="0.2">
      <c r="A23019" s="6" t="str">
        <f>"HOATZ"</f>
        <v>HOATZ</v>
      </c>
      <c r="B23019" s="6" t="s">
        <v>1</v>
      </c>
      <c r="C23019" s="6" t="s">
        <v>1</v>
      </c>
    </row>
    <row r="23020" spans="1:3" s="7" customFormat="1" x14ac:dyDescent="0.2">
      <c r="A23020" s="6" t="str">
        <f>"RPL7L1"</f>
        <v>RPL7L1</v>
      </c>
      <c r="B23020" s="6" t="s">
        <v>1</v>
      </c>
      <c r="C23020" s="6" t="s">
        <v>1</v>
      </c>
    </row>
    <row r="23021" spans="1:3" s="7" customFormat="1" x14ac:dyDescent="0.2">
      <c r="A23021" s="6" t="str">
        <f>"NEDD4L"</f>
        <v>NEDD4L</v>
      </c>
      <c r="B23021" s="6" t="s">
        <v>1</v>
      </c>
      <c r="C23021" s="6" t="s">
        <v>1</v>
      </c>
    </row>
    <row r="23022" spans="1:3" s="7" customFormat="1" x14ac:dyDescent="0.2">
      <c r="A23022" s="6" t="str">
        <f>"LRG1"</f>
        <v>LRG1</v>
      </c>
      <c r="B23022" s="6" t="s">
        <v>1</v>
      </c>
      <c r="C23022" s="6" t="s">
        <v>1</v>
      </c>
    </row>
    <row r="23023" spans="1:3" s="7" customFormat="1" x14ac:dyDescent="0.2">
      <c r="A23023" s="6" t="str">
        <f>"LENG8"</f>
        <v>LENG8</v>
      </c>
      <c r="B23023" s="6" t="s">
        <v>1</v>
      </c>
      <c r="C23023" s="6" t="s">
        <v>1</v>
      </c>
    </row>
    <row r="23024" spans="1:3" s="7" customFormat="1" x14ac:dyDescent="0.2">
      <c r="A23024" s="6" t="str">
        <f>"UGCG"</f>
        <v>UGCG</v>
      </c>
      <c r="B23024" s="6" t="s">
        <v>1</v>
      </c>
      <c r="C23024" s="6" t="s">
        <v>1</v>
      </c>
    </row>
    <row r="23025" spans="1:3" s="7" customFormat="1" x14ac:dyDescent="0.2">
      <c r="A23025" s="6" t="str">
        <f>"FMO3"</f>
        <v>FMO3</v>
      </c>
      <c r="B23025" s="6" t="s">
        <v>1</v>
      </c>
      <c r="C23025" s="6" t="s">
        <v>1</v>
      </c>
    </row>
    <row r="23026" spans="1:3" s="7" customFormat="1" x14ac:dyDescent="0.2">
      <c r="A23026" s="6" t="str">
        <f>"MYO1E"</f>
        <v>MYO1E</v>
      </c>
      <c r="B23026" s="6" t="s">
        <v>1</v>
      </c>
      <c r="C23026" s="6" t="s">
        <v>1</v>
      </c>
    </row>
    <row r="23027" spans="1:3" s="7" customFormat="1" x14ac:dyDescent="0.2">
      <c r="A23027" s="6" t="str">
        <f>"SECISBP2L"</f>
        <v>SECISBP2L</v>
      </c>
      <c r="B23027" s="6" t="s">
        <v>1</v>
      </c>
      <c r="C23027" s="6" t="s">
        <v>1</v>
      </c>
    </row>
    <row r="23028" spans="1:3" s="7" customFormat="1" x14ac:dyDescent="0.2">
      <c r="A23028" s="6" t="str">
        <f>"ENPP4"</f>
        <v>ENPP4</v>
      </c>
      <c r="B23028" s="6" t="s">
        <v>1</v>
      </c>
      <c r="C23028" s="6" t="s">
        <v>1</v>
      </c>
    </row>
    <row r="23029" spans="1:3" s="7" customFormat="1" x14ac:dyDescent="0.2">
      <c r="A23029" s="6" t="str">
        <f>"NECTIN2"</f>
        <v>NECTIN2</v>
      </c>
      <c r="B23029" s="6" t="s">
        <v>1</v>
      </c>
      <c r="C23029" s="6" t="s">
        <v>1</v>
      </c>
    </row>
    <row r="23030" spans="1:3" s="7" customFormat="1" x14ac:dyDescent="0.2">
      <c r="A23030" s="6" t="str">
        <f>"S100A2"</f>
        <v>S100A2</v>
      </c>
      <c r="B23030" s="6" t="s">
        <v>1</v>
      </c>
      <c r="C23030" s="6" t="s">
        <v>1</v>
      </c>
    </row>
    <row r="23031" spans="1:3" s="7" customFormat="1" x14ac:dyDescent="0.2">
      <c r="A23031" s="6" t="str">
        <f>"SRI"</f>
        <v>SRI</v>
      </c>
      <c r="B23031" s="6" t="s">
        <v>1</v>
      </c>
      <c r="C23031" s="6" t="s">
        <v>1</v>
      </c>
    </row>
    <row r="23032" spans="1:3" s="7" customFormat="1" x14ac:dyDescent="0.2">
      <c r="A23032" s="6" t="str">
        <f>"CAPZA1"</f>
        <v>CAPZA1</v>
      </c>
      <c r="B23032" s="6" t="s">
        <v>1</v>
      </c>
      <c r="C23032" s="6" t="s">
        <v>1</v>
      </c>
    </row>
    <row r="23033" spans="1:3" s="7" customFormat="1" x14ac:dyDescent="0.2">
      <c r="A23033" s="6" t="str">
        <f>"MECOM"</f>
        <v>MECOM</v>
      </c>
      <c r="B23033" s="6" t="s">
        <v>1</v>
      </c>
      <c r="C23033" s="6" t="s">
        <v>1</v>
      </c>
    </row>
    <row r="23034" spans="1:3" s="7" customFormat="1" x14ac:dyDescent="0.2">
      <c r="A23034" s="6" t="str">
        <f>"ENKUR"</f>
        <v>ENKUR</v>
      </c>
      <c r="B23034" s="6" t="s">
        <v>1</v>
      </c>
      <c r="C23034" s="6" t="s">
        <v>1</v>
      </c>
    </row>
    <row r="23035" spans="1:3" s="7" customFormat="1" x14ac:dyDescent="0.2">
      <c r="A23035" s="6" t="str">
        <f>"DNAL1"</f>
        <v>DNAL1</v>
      </c>
      <c r="B23035" s="6" t="s">
        <v>1</v>
      </c>
      <c r="C23035" s="6" t="s">
        <v>1</v>
      </c>
    </row>
    <row r="23036" spans="1:3" s="7" customFormat="1" x14ac:dyDescent="0.2">
      <c r="A23036" s="6" t="str">
        <f>"NPEPPS"</f>
        <v>NPEPPS</v>
      </c>
      <c r="B23036" s="6" t="s">
        <v>1</v>
      </c>
      <c r="C23036" s="6" t="s">
        <v>1</v>
      </c>
    </row>
    <row r="23037" spans="1:3" s="7" customFormat="1" x14ac:dyDescent="0.2">
      <c r="A23037" s="6" t="str">
        <f>"NDUFV1"</f>
        <v>NDUFV1</v>
      </c>
      <c r="B23037" s="6" t="s">
        <v>1</v>
      </c>
      <c r="C23037" s="6" t="s">
        <v>1</v>
      </c>
    </row>
    <row r="23038" spans="1:3" s="7" customFormat="1" x14ac:dyDescent="0.2">
      <c r="A23038" s="6" t="str">
        <f>"VILL"</f>
        <v>VILL</v>
      </c>
      <c r="B23038" s="6" t="s">
        <v>1</v>
      </c>
      <c r="C23038" s="6" t="s">
        <v>1</v>
      </c>
    </row>
    <row r="23039" spans="1:3" s="7" customFormat="1" x14ac:dyDescent="0.2">
      <c r="A23039" s="6" t="str">
        <f>"ZBTB7C"</f>
        <v>ZBTB7C</v>
      </c>
      <c r="B23039" s="6" t="s">
        <v>1</v>
      </c>
      <c r="C23039" s="6" t="s">
        <v>1</v>
      </c>
    </row>
    <row r="23040" spans="1:3" s="7" customFormat="1" x14ac:dyDescent="0.2">
      <c r="A23040" s="6" t="str">
        <f>"UGP2"</f>
        <v>UGP2</v>
      </c>
      <c r="B23040" s="6" t="s">
        <v>1</v>
      </c>
      <c r="C23040" s="6" t="s">
        <v>1</v>
      </c>
    </row>
    <row r="23041" spans="1:3" s="7" customFormat="1" x14ac:dyDescent="0.2">
      <c r="A23041" s="6" t="str">
        <f>"PA2G4"</f>
        <v>PA2G4</v>
      </c>
      <c r="B23041" s="6" t="s">
        <v>1</v>
      </c>
      <c r="C23041" s="6" t="s">
        <v>1</v>
      </c>
    </row>
    <row r="23042" spans="1:3" s="7" customFormat="1" x14ac:dyDescent="0.2">
      <c r="A23042" s="6" t="str">
        <f>"PABPN1"</f>
        <v>PABPN1</v>
      </c>
      <c r="B23042" s="6" t="s">
        <v>1</v>
      </c>
      <c r="C23042" s="6" t="s">
        <v>1</v>
      </c>
    </row>
    <row r="23043" spans="1:3" s="7" customFormat="1" x14ac:dyDescent="0.2">
      <c r="A23043" s="6" t="str">
        <f>"GALNT2"</f>
        <v>GALNT2</v>
      </c>
      <c r="B23043" s="6" t="s">
        <v>1</v>
      </c>
      <c r="C23043" s="6" t="s">
        <v>1</v>
      </c>
    </row>
    <row r="23044" spans="1:3" s="7" customFormat="1" x14ac:dyDescent="0.2">
      <c r="A23044" s="6" t="str">
        <f>"PDAP1"</f>
        <v>PDAP1</v>
      </c>
      <c r="B23044" s="6" t="s">
        <v>1</v>
      </c>
      <c r="C23044" s="6" t="s">
        <v>1</v>
      </c>
    </row>
    <row r="23045" spans="1:3" s="7" customFormat="1" x14ac:dyDescent="0.2">
      <c r="A23045" s="6" t="str">
        <f>"SAFB"</f>
        <v>SAFB</v>
      </c>
      <c r="B23045" s="6" t="s">
        <v>1</v>
      </c>
      <c r="C23045" s="6" t="s">
        <v>1</v>
      </c>
    </row>
    <row r="23046" spans="1:3" s="7" customFormat="1" x14ac:dyDescent="0.2">
      <c r="A23046" s="6" t="str">
        <f>"BAZ2A"</f>
        <v>BAZ2A</v>
      </c>
      <c r="B23046" s="6" t="s">
        <v>1</v>
      </c>
      <c r="C23046" s="6" t="s">
        <v>1</v>
      </c>
    </row>
    <row r="23047" spans="1:3" s="7" customFormat="1" x14ac:dyDescent="0.2">
      <c r="A23047" s="6" t="str">
        <f>"DGCR2"</f>
        <v>DGCR2</v>
      </c>
      <c r="B23047" s="6" t="s">
        <v>1</v>
      </c>
      <c r="C23047" s="6" t="s">
        <v>1</v>
      </c>
    </row>
    <row r="23048" spans="1:3" s="7" customFormat="1" x14ac:dyDescent="0.2">
      <c r="A23048" s="6" t="str">
        <f>"UGDH"</f>
        <v>UGDH</v>
      </c>
      <c r="B23048" s="6" t="s">
        <v>1</v>
      </c>
      <c r="C23048" s="6" t="s">
        <v>1</v>
      </c>
    </row>
    <row r="23049" spans="1:3" s="7" customFormat="1" x14ac:dyDescent="0.2">
      <c r="A23049" s="6" t="str">
        <f>"HNRNPUL2"</f>
        <v>HNRNPUL2</v>
      </c>
      <c r="B23049" s="6" t="s">
        <v>1</v>
      </c>
      <c r="C23049" s="6" t="s">
        <v>1</v>
      </c>
    </row>
    <row r="23050" spans="1:3" s="7" customFormat="1" x14ac:dyDescent="0.2">
      <c r="A23050" s="6" t="str">
        <f>"TNFRSF19"</f>
        <v>TNFRSF19</v>
      </c>
      <c r="B23050" s="6" t="s">
        <v>1</v>
      </c>
      <c r="C23050" s="6" t="s">
        <v>1</v>
      </c>
    </row>
    <row r="23051" spans="1:3" s="7" customFormat="1" x14ac:dyDescent="0.2">
      <c r="A23051" s="6" t="str">
        <f>"SELENOW"</f>
        <v>SELENOW</v>
      </c>
      <c r="B23051" s="6" t="s">
        <v>1</v>
      </c>
      <c r="C23051" s="6" t="s">
        <v>1</v>
      </c>
    </row>
    <row r="23052" spans="1:3" s="7" customFormat="1" x14ac:dyDescent="0.2">
      <c r="A23052" s="6" t="str">
        <f>"CRYBG1"</f>
        <v>CRYBG1</v>
      </c>
      <c r="B23052" s="6" t="s">
        <v>1</v>
      </c>
      <c r="C23052" s="6" t="s">
        <v>1</v>
      </c>
    </row>
    <row r="23053" spans="1:3" s="7" customFormat="1" x14ac:dyDescent="0.2">
      <c r="A23053" s="6" t="str">
        <f>"CREBBP"</f>
        <v>CREBBP</v>
      </c>
      <c r="B23053" s="6" t="s">
        <v>1</v>
      </c>
      <c r="C23053" s="6" t="s">
        <v>1</v>
      </c>
    </row>
    <row r="23054" spans="1:3" s="7" customFormat="1" x14ac:dyDescent="0.2">
      <c r="A23054" s="6" t="str">
        <f>"APOD"</f>
        <v>APOD</v>
      </c>
      <c r="B23054" s="6" t="s">
        <v>1</v>
      </c>
      <c r="C23054" s="6" t="s">
        <v>1</v>
      </c>
    </row>
    <row r="23055" spans="1:3" s="7" customFormat="1" x14ac:dyDescent="0.2">
      <c r="A23055" s="6" t="str">
        <f>"ZC3H11A"</f>
        <v>ZC3H11A</v>
      </c>
      <c r="B23055" s="6" t="s">
        <v>1</v>
      </c>
      <c r="C23055" s="6" t="s">
        <v>1</v>
      </c>
    </row>
    <row r="23056" spans="1:3" s="7" customFormat="1" x14ac:dyDescent="0.2">
      <c r="A23056" s="6" t="str">
        <f>"PTPRA"</f>
        <v>PTPRA</v>
      </c>
      <c r="B23056" s="6" t="s">
        <v>1</v>
      </c>
      <c r="C23056" s="6" t="s">
        <v>1</v>
      </c>
    </row>
    <row r="23057" spans="1:3" s="7" customFormat="1" x14ac:dyDescent="0.2">
      <c r="A23057" s="6" t="str">
        <f>"GLUD1"</f>
        <v>GLUD1</v>
      </c>
      <c r="B23057" s="6" t="s">
        <v>1</v>
      </c>
      <c r="C23057" s="6" t="s">
        <v>1</v>
      </c>
    </row>
    <row r="23058" spans="1:3" s="7" customFormat="1" x14ac:dyDescent="0.2">
      <c r="A23058" s="6" t="str">
        <f>"SEMA3C"</f>
        <v>SEMA3C</v>
      </c>
      <c r="B23058" s="6" t="s">
        <v>1</v>
      </c>
      <c r="C23058" s="6" t="s">
        <v>1</v>
      </c>
    </row>
    <row r="23059" spans="1:3" s="7" customFormat="1" x14ac:dyDescent="0.2">
      <c r="A23059" s="6" t="str">
        <f>"MLPH"</f>
        <v>MLPH</v>
      </c>
      <c r="B23059" s="6" t="s">
        <v>1</v>
      </c>
      <c r="C23059" s="6" t="s">
        <v>1</v>
      </c>
    </row>
    <row r="23060" spans="1:3" s="7" customFormat="1" x14ac:dyDescent="0.2">
      <c r="A23060" s="6" t="str">
        <f>"CYFIP1"</f>
        <v>CYFIP1</v>
      </c>
      <c r="B23060" s="6" t="s">
        <v>1</v>
      </c>
      <c r="C23060" s="6" t="s">
        <v>1</v>
      </c>
    </row>
    <row r="23061" spans="1:3" s="7" customFormat="1" x14ac:dyDescent="0.2">
      <c r="A23061" s="6" t="str">
        <f>"MED24"</f>
        <v>MED24</v>
      </c>
      <c r="B23061" s="6" t="s">
        <v>1</v>
      </c>
      <c r="C23061" s="6" t="s">
        <v>1</v>
      </c>
    </row>
    <row r="23062" spans="1:3" s="7" customFormat="1" x14ac:dyDescent="0.2">
      <c r="A23062" s="6" t="str">
        <f>"CASC3"</f>
        <v>CASC3</v>
      </c>
      <c r="B23062" s="6" t="s">
        <v>1</v>
      </c>
      <c r="C23062" s="6" t="s">
        <v>1</v>
      </c>
    </row>
    <row r="23063" spans="1:3" s="7" customFormat="1" x14ac:dyDescent="0.2">
      <c r="A23063" s="6" t="str">
        <f>"LGALS8"</f>
        <v>LGALS8</v>
      </c>
      <c r="B23063" s="6" t="s">
        <v>1</v>
      </c>
      <c r="C23063" s="6" t="s">
        <v>1</v>
      </c>
    </row>
    <row r="23064" spans="1:3" s="7" customFormat="1" x14ac:dyDescent="0.2">
      <c r="A23064" s="6" t="str">
        <f>"APOL6"</f>
        <v>APOL6</v>
      </c>
      <c r="B23064" s="6" t="s">
        <v>1</v>
      </c>
      <c r="C23064" s="6" t="s">
        <v>1</v>
      </c>
    </row>
    <row r="23065" spans="1:3" s="7" customFormat="1" x14ac:dyDescent="0.2">
      <c r="A23065" s="6" t="str">
        <f>"HCFC1"</f>
        <v>HCFC1</v>
      </c>
      <c r="B23065" s="6" t="s">
        <v>1</v>
      </c>
      <c r="C23065" s="6" t="s">
        <v>1</v>
      </c>
    </row>
    <row r="23066" spans="1:3" s="7" customFormat="1" x14ac:dyDescent="0.2">
      <c r="A23066" s="6" t="str">
        <f>"NUP50"</f>
        <v>NUP50</v>
      </c>
      <c r="B23066" s="6" t="s">
        <v>1</v>
      </c>
      <c r="C23066" s="6" t="s">
        <v>1</v>
      </c>
    </row>
    <row r="23067" spans="1:3" s="7" customFormat="1" x14ac:dyDescent="0.2">
      <c r="A23067" s="6" t="str">
        <f>"CAPSL"</f>
        <v>CAPSL</v>
      </c>
      <c r="B23067" s="6" t="s">
        <v>1</v>
      </c>
      <c r="C23067" s="6" t="s">
        <v>1</v>
      </c>
    </row>
    <row r="23068" spans="1:3" s="7" customFormat="1" x14ac:dyDescent="0.2">
      <c r="A23068" s="6" t="str">
        <f>"PTPN3"</f>
        <v>PTPN3</v>
      </c>
      <c r="B23068" s="6" t="s">
        <v>1</v>
      </c>
      <c r="C23068" s="6" t="s">
        <v>1</v>
      </c>
    </row>
    <row r="23069" spans="1:3" s="7" customFormat="1" x14ac:dyDescent="0.2">
      <c r="A23069" s="6" t="str">
        <f>"GPRC5C"</f>
        <v>GPRC5C</v>
      </c>
      <c r="B23069" s="6" t="s">
        <v>1</v>
      </c>
      <c r="C23069" s="6" t="s">
        <v>1</v>
      </c>
    </row>
    <row r="23070" spans="1:3" s="7" customFormat="1" x14ac:dyDescent="0.2">
      <c r="A23070" s="6" t="str">
        <f>"TNFAIP2"</f>
        <v>TNFAIP2</v>
      </c>
      <c r="B23070" s="6" t="s">
        <v>1</v>
      </c>
      <c r="C23070" s="6" t="s">
        <v>1</v>
      </c>
    </row>
    <row r="23071" spans="1:3" s="7" customFormat="1" x14ac:dyDescent="0.2">
      <c r="A23071" s="6" t="str">
        <f>"GRK2"</f>
        <v>GRK2</v>
      </c>
      <c r="B23071" s="6" t="s">
        <v>1</v>
      </c>
      <c r="C23071" s="6" t="s">
        <v>1</v>
      </c>
    </row>
    <row r="23072" spans="1:3" s="7" customFormat="1" x14ac:dyDescent="0.2">
      <c r="A23072" s="6" t="str">
        <f>"SNX3"</f>
        <v>SNX3</v>
      </c>
      <c r="B23072" s="6" t="s">
        <v>1</v>
      </c>
      <c r="C23072" s="6" t="s">
        <v>1</v>
      </c>
    </row>
    <row r="23073" spans="1:3" s="7" customFormat="1" x14ac:dyDescent="0.2">
      <c r="A23073" s="6" t="str">
        <f>"PABPC4"</f>
        <v>PABPC4</v>
      </c>
      <c r="B23073" s="6" t="s">
        <v>1</v>
      </c>
      <c r="C23073" s="6" t="s">
        <v>1</v>
      </c>
    </row>
    <row r="23074" spans="1:3" s="7" customFormat="1" x14ac:dyDescent="0.2">
      <c r="A23074" s="6" t="str">
        <f>"GALNT5"</f>
        <v>GALNT5</v>
      </c>
      <c r="B23074" s="6" t="s">
        <v>1</v>
      </c>
      <c r="C23074" s="6" t="s">
        <v>1</v>
      </c>
    </row>
    <row r="23075" spans="1:3" s="7" customFormat="1" x14ac:dyDescent="0.2">
      <c r="A23075" s="6" t="str">
        <f>"GRB2"</f>
        <v>GRB2</v>
      </c>
      <c r="B23075" s="6" t="s">
        <v>1</v>
      </c>
      <c r="C23075" s="6" t="s">
        <v>1</v>
      </c>
    </row>
    <row r="23076" spans="1:3" s="7" customFormat="1" x14ac:dyDescent="0.2">
      <c r="A23076" s="6" t="str">
        <f>"CYP2B7P"</f>
        <v>CYP2B7P</v>
      </c>
      <c r="B23076" s="6" t="s">
        <v>1</v>
      </c>
      <c r="C23076" s="6" t="s">
        <v>1</v>
      </c>
    </row>
    <row r="23077" spans="1:3" s="7" customFormat="1" x14ac:dyDescent="0.2">
      <c r="A23077" s="6" t="str">
        <f>"MYO1B"</f>
        <v>MYO1B</v>
      </c>
      <c r="B23077" s="6" t="s">
        <v>1</v>
      </c>
      <c r="C23077" s="6" t="s">
        <v>1</v>
      </c>
    </row>
    <row r="23078" spans="1:3" s="7" customFormat="1" x14ac:dyDescent="0.2">
      <c r="A23078" s="6" t="str">
        <f>"GRINA"</f>
        <v>GRINA</v>
      </c>
      <c r="B23078" s="6" t="s">
        <v>1</v>
      </c>
      <c r="C23078" s="6" t="s">
        <v>1</v>
      </c>
    </row>
    <row r="23079" spans="1:3" s="7" customFormat="1" x14ac:dyDescent="0.2">
      <c r="A23079" s="6" t="str">
        <f>"ZYX"</f>
        <v>ZYX</v>
      </c>
      <c r="B23079" s="6" t="s">
        <v>1</v>
      </c>
      <c r="C23079" s="6" t="s">
        <v>1</v>
      </c>
    </row>
    <row r="23080" spans="1:3" s="7" customFormat="1" x14ac:dyDescent="0.2">
      <c r="A23080" s="6" t="str">
        <f>"CDV3"</f>
        <v>CDV3</v>
      </c>
      <c r="B23080" s="6" t="s">
        <v>1</v>
      </c>
      <c r="C23080" s="6" t="s">
        <v>1</v>
      </c>
    </row>
    <row r="23081" spans="1:3" s="7" customFormat="1" x14ac:dyDescent="0.2">
      <c r="A23081" s="6" t="str">
        <f>"SMARCA5"</f>
        <v>SMARCA5</v>
      </c>
      <c r="B23081" s="6" t="s">
        <v>1</v>
      </c>
      <c r="C23081" s="6" t="s">
        <v>1</v>
      </c>
    </row>
    <row r="23082" spans="1:3" s="7" customFormat="1" x14ac:dyDescent="0.2">
      <c r="A23082" s="6" t="str">
        <f>"HADHA"</f>
        <v>HADHA</v>
      </c>
      <c r="B23082" s="6" t="s">
        <v>1</v>
      </c>
      <c r="C23082" s="6" t="s">
        <v>1</v>
      </c>
    </row>
    <row r="23083" spans="1:3" s="7" customFormat="1" x14ac:dyDescent="0.2">
      <c r="A23083" s="6" t="str">
        <f>"PTPN13"</f>
        <v>PTPN13</v>
      </c>
      <c r="B23083" s="6" t="s">
        <v>1</v>
      </c>
      <c r="C23083" s="6" t="s">
        <v>1</v>
      </c>
    </row>
    <row r="23084" spans="1:3" s="7" customFormat="1" x14ac:dyDescent="0.2">
      <c r="A23084" s="6" t="str">
        <f>"EYA2"</f>
        <v>EYA2</v>
      </c>
      <c r="B23084" s="6" t="s">
        <v>1</v>
      </c>
      <c r="C23084" s="6" t="s">
        <v>1</v>
      </c>
    </row>
    <row r="23085" spans="1:3" s="7" customFormat="1" x14ac:dyDescent="0.2">
      <c r="A23085" s="6" t="str">
        <f>"RER1"</f>
        <v>RER1</v>
      </c>
      <c r="B23085" s="6" t="s">
        <v>1</v>
      </c>
      <c r="C23085" s="6" t="s">
        <v>1</v>
      </c>
    </row>
    <row r="23086" spans="1:3" s="7" customFormat="1" x14ac:dyDescent="0.2">
      <c r="A23086" s="6" t="str">
        <f>"GLIPR2"</f>
        <v>GLIPR2</v>
      </c>
      <c r="B23086" s="6" t="s">
        <v>1</v>
      </c>
      <c r="C23086" s="6" t="s">
        <v>1</v>
      </c>
    </row>
    <row r="23087" spans="1:3" s="7" customFormat="1" x14ac:dyDescent="0.2">
      <c r="A23087" s="6" t="str">
        <f>"HNRNPUL2-BSCL2"</f>
        <v>HNRNPUL2-BSCL2</v>
      </c>
      <c r="B23087" s="6" t="s">
        <v>1</v>
      </c>
      <c r="C23087" s="6" t="s">
        <v>1</v>
      </c>
    </row>
    <row r="23088" spans="1:3" s="7" customFormat="1" x14ac:dyDescent="0.2">
      <c r="A23088" s="6" t="str">
        <f>"EMB"</f>
        <v>EMB</v>
      </c>
      <c r="B23088" s="6" t="s">
        <v>1</v>
      </c>
      <c r="C23088" s="6" t="s">
        <v>1</v>
      </c>
    </row>
    <row r="23089" spans="1:3" s="7" customFormat="1" x14ac:dyDescent="0.2">
      <c r="A23089" s="6" t="str">
        <f>"INTS1"</f>
        <v>INTS1</v>
      </c>
      <c r="B23089" s="6" t="s">
        <v>1</v>
      </c>
      <c r="C23089" s="6" t="s">
        <v>1</v>
      </c>
    </row>
    <row r="23090" spans="1:3" s="7" customFormat="1" x14ac:dyDescent="0.2">
      <c r="A23090" s="6" t="str">
        <f>"SLTM"</f>
        <v>SLTM</v>
      </c>
      <c r="B23090" s="6" t="s">
        <v>1</v>
      </c>
      <c r="C23090" s="6" t="s">
        <v>1</v>
      </c>
    </row>
    <row r="23091" spans="1:3" s="7" customFormat="1" x14ac:dyDescent="0.2">
      <c r="A23091" s="6" t="str">
        <f>"NECTIN1"</f>
        <v>NECTIN1</v>
      </c>
      <c r="B23091" s="6" t="s">
        <v>1</v>
      </c>
      <c r="C23091" s="6" t="s">
        <v>1</v>
      </c>
    </row>
    <row r="23092" spans="1:3" s="7" customFormat="1" x14ac:dyDescent="0.2">
      <c r="A23092" s="6" t="str">
        <f>"PTPA"</f>
        <v>PTPA</v>
      </c>
      <c r="B23092" s="6" t="s">
        <v>1</v>
      </c>
      <c r="C23092" s="6" t="s">
        <v>1</v>
      </c>
    </row>
    <row r="23093" spans="1:3" s="7" customFormat="1" x14ac:dyDescent="0.2">
      <c r="A23093" s="6" t="str">
        <f>"PAFAH1B1"</f>
        <v>PAFAH1B1</v>
      </c>
      <c r="B23093" s="6" t="s">
        <v>1</v>
      </c>
      <c r="C23093" s="6" t="s">
        <v>1</v>
      </c>
    </row>
    <row r="23094" spans="1:3" s="7" customFormat="1" x14ac:dyDescent="0.2">
      <c r="A23094" s="6" t="str">
        <f>"FLOT1"</f>
        <v>FLOT1</v>
      </c>
      <c r="B23094" s="6" t="s">
        <v>1</v>
      </c>
      <c r="C23094" s="6" t="s">
        <v>1</v>
      </c>
    </row>
    <row r="23095" spans="1:3" s="7" customFormat="1" x14ac:dyDescent="0.2">
      <c r="A23095" s="6" t="str">
        <f>"FLNA"</f>
        <v>FLNA</v>
      </c>
      <c r="B23095" s="6" t="s">
        <v>1</v>
      </c>
      <c r="C23095" s="6" t="s">
        <v>1</v>
      </c>
    </row>
    <row r="23096" spans="1:3" s="7" customFormat="1" x14ac:dyDescent="0.2">
      <c r="A23096" s="6" t="str">
        <f>"LRATD1"</f>
        <v>LRATD1</v>
      </c>
      <c r="B23096" s="6" t="s">
        <v>1</v>
      </c>
      <c r="C23096" s="6" t="s">
        <v>1</v>
      </c>
    </row>
    <row r="23097" spans="1:3" s="7" customFormat="1" x14ac:dyDescent="0.2">
      <c r="A23097" s="6" t="str">
        <f>"TMEM165"</f>
        <v>TMEM165</v>
      </c>
      <c r="B23097" s="6" t="s">
        <v>1</v>
      </c>
      <c r="C23097" s="6" t="s">
        <v>1</v>
      </c>
    </row>
    <row r="23098" spans="1:3" s="7" customFormat="1" x14ac:dyDescent="0.2">
      <c r="A23098" s="6" t="str">
        <f>"FABP5"</f>
        <v>FABP5</v>
      </c>
      <c r="B23098" s="6" t="s">
        <v>1</v>
      </c>
      <c r="C23098" s="6" t="s">
        <v>1</v>
      </c>
    </row>
    <row r="23099" spans="1:3" s="7" customFormat="1" x14ac:dyDescent="0.2">
      <c r="A23099" s="6" t="str">
        <f>"KCNE3"</f>
        <v>KCNE3</v>
      </c>
      <c r="B23099" s="6" t="s">
        <v>1</v>
      </c>
      <c r="C23099" s="6" t="s">
        <v>1</v>
      </c>
    </row>
    <row r="23100" spans="1:3" s="7" customFormat="1" x14ac:dyDescent="0.2">
      <c r="A23100" s="6" t="str">
        <f>"PTMS"</f>
        <v>PTMS</v>
      </c>
      <c r="B23100" s="6" t="s">
        <v>1</v>
      </c>
      <c r="C23100" s="6" t="s">
        <v>1</v>
      </c>
    </row>
    <row r="23101" spans="1:3" s="7" customFormat="1" x14ac:dyDescent="0.2">
      <c r="A23101" s="6" t="str">
        <f>"SMAP2"</f>
        <v>SMAP2</v>
      </c>
      <c r="B23101" s="6" t="s">
        <v>1</v>
      </c>
      <c r="C23101" s="6" t="s">
        <v>1</v>
      </c>
    </row>
    <row r="23102" spans="1:3" s="7" customFormat="1" x14ac:dyDescent="0.2">
      <c r="A23102" s="6" t="str">
        <f>"MED25"</f>
        <v>MED25</v>
      </c>
      <c r="B23102" s="6" t="s">
        <v>1</v>
      </c>
      <c r="C23102" s="6" t="s">
        <v>1</v>
      </c>
    </row>
    <row r="23103" spans="1:3" s="7" customFormat="1" x14ac:dyDescent="0.2">
      <c r="A23103" s="6" t="str">
        <f>"HNRNPR"</f>
        <v>HNRNPR</v>
      </c>
      <c r="B23103" s="6" t="s">
        <v>1</v>
      </c>
      <c r="C23103" s="6" t="s">
        <v>1</v>
      </c>
    </row>
    <row r="23104" spans="1:3" s="7" customFormat="1" x14ac:dyDescent="0.2">
      <c r="A23104" s="6" t="str">
        <f>"HNRNPDL"</f>
        <v>HNRNPDL</v>
      </c>
      <c r="B23104" s="6" t="s">
        <v>1</v>
      </c>
      <c r="C23104" s="6" t="s">
        <v>1</v>
      </c>
    </row>
    <row r="23105" spans="1:3" s="7" customFormat="1" x14ac:dyDescent="0.2">
      <c r="A23105" s="6" t="str">
        <f>"IFT140"</f>
        <v>IFT140</v>
      </c>
      <c r="B23105" s="6" t="s">
        <v>1</v>
      </c>
      <c r="C23105" s="6" t="s">
        <v>1</v>
      </c>
    </row>
    <row r="23106" spans="1:3" s="7" customFormat="1" x14ac:dyDescent="0.2">
      <c r="A23106" s="6" t="str">
        <f>"SMAD3"</f>
        <v>SMAD3</v>
      </c>
      <c r="B23106" s="6" t="s">
        <v>1</v>
      </c>
      <c r="C23106" s="6" t="s">
        <v>1</v>
      </c>
    </row>
    <row r="23107" spans="1:3" s="7" customFormat="1" x14ac:dyDescent="0.2">
      <c r="A23107" s="6" t="str">
        <f>"HNRNPA0"</f>
        <v>HNRNPA0</v>
      </c>
      <c r="B23107" s="6" t="s">
        <v>1</v>
      </c>
      <c r="C23107" s="6" t="s">
        <v>1</v>
      </c>
    </row>
    <row r="23108" spans="1:3" s="7" customFormat="1" x14ac:dyDescent="0.2">
      <c r="A23108" s="6" t="str">
        <f>"IFI6"</f>
        <v>IFI6</v>
      </c>
      <c r="B23108" s="6" t="s">
        <v>1</v>
      </c>
      <c r="C23108" s="6" t="s">
        <v>1</v>
      </c>
    </row>
    <row r="23109" spans="1:3" s="7" customFormat="1" x14ac:dyDescent="0.2">
      <c r="A23109" s="6" t="str">
        <f>"RAI1"</f>
        <v>RAI1</v>
      </c>
      <c r="B23109" s="6" t="s">
        <v>1</v>
      </c>
      <c r="C23109" s="6" t="s">
        <v>1</v>
      </c>
    </row>
    <row r="23110" spans="1:3" s="7" customFormat="1" x14ac:dyDescent="0.2">
      <c r="A23110" s="6" t="str">
        <f>"KLHL6"</f>
        <v>KLHL6</v>
      </c>
      <c r="B23110" s="6" t="s">
        <v>1</v>
      </c>
      <c r="C23110" s="6" t="s">
        <v>1</v>
      </c>
    </row>
    <row r="23111" spans="1:3" s="7" customFormat="1" x14ac:dyDescent="0.2">
      <c r="A23111" s="6" t="str">
        <f>"KATNIP"</f>
        <v>KATNIP</v>
      </c>
      <c r="B23111" s="6" t="s">
        <v>1</v>
      </c>
      <c r="C23111" s="6" t="s">
        <v>1</v>
      </c>
    </row>
    <row r="23112" spans="1:3" s="7" customFormat="1" x14ac:dyDescent="0.2">
      <c r="A23112" s="6" t="str">
        <f>"TNC"</f>
        <v>TNC</v>
      </c>
      <c r="B23112" s="6" t="s">
        <v>1</v>
      </c>
      <c r="C23112" s="6" t="s">
        <v>1</v>
      </c>
    </row>
    <row r="23113" spans="1:3" s="7" customFormat="1" x14ac:dyDescent="0.2">
      <c r="A23113" s="6" t="str">
        <f>"HNRNPAB"</f>
        <v>HNRNPAB</v>
      </c>
      <c r="B23113" s="6" t="s">
        <v>1</v>
      </c>
      <c r="C23113" s="6" t="s">
        <v>1</v>
      </c>
    </row>
    <row r="23114" spans="1:3" s="7" customFormat="1" x14ac:dyDescent="0.2">
      <c r="A23114" s="6" t="str">
        <f>"PLEKHB2"</f>
        <v>PLEKHB2</v>
      </c>
      <c r="B23114" s="6" t="s">
        <v>1</v>
      </c>
      <c r="C23114" s="6" t="s">
        <v>1</v>
      </c>
    </row>
    <row r="23115" spans="1:3" s="7" customFormat="1" x14ac:dyDescent="0.2">
      <c r="A23115" s="6" t="str">
        <f>"UBXN6"</f>
        <v>UBXN6</v>
      </c>
      <c r="B23115" s="6" t="s">
        <v>1</v>
      </c>
      <c r="C23115" s="6" t="s">
        <v>1</v>
      </c>
    </row>
    <row r="23116" spans="1:3" s="7" customFormat="1" x14ac:dyDescent="0.2">
      <c r="A23116" s="6" t="str">
        <f>"MYO5C"</f>
        <v>MYO5C</v>
      </c>
      <c r="B23116" s="6" t="s">
        <v>1</v>
      </c>
      <c r="C23116" s="6" t="s">
        <v>1</v>
      </c>
    </row>
    <row r="23117" spans="1:3" s="7" customFormat="1" x14ac:dyDescent="0.2">
      <c r="A23117" s="6" t="str">
        <f>"MSN"</f>
        <v>MSN</v>
      </c>
      <c r="B23117" s="6" t="s">
        <v>1</v>
      </c>
      <c r="C23117" s="6" t="s">
        <v>1</v>
      </c>
    </row>
    <row r="23118" spans="1:3" s="7" customFormat="1" x14ac:dyDescent="0.2">
      <c r="A23118" s="6" t="str">
        <f>"SLC26A2"</f>
        <v>SLC26A2</v>
      </c>
      <c r="B23118" s="6" t="s">
        <v>1</v>
      </c>
      <c r="C23118" s="6" t="s">
        <v>1</v>
      </c>
    </row>
    <row r="23119" spans="1:3" s="7" customFormat="1" x14ac:dyDescent="0.2">
      <c r="A23119" s="6" t="str">
        <f>"CCND1"</f>
        <v>CCND1</v>
      </c>
      <c r="B23119" s="6" t="s">
        <v>1</v>
      </c>
      <c r="C23119" s="6" t="s">
        <v>1</v>
      </c>
    </row>
    <row r="23120" spans="1:3" s="7" customFormat="1" x14ac:dyDescent="0.2">
      <c r="A23120" s="6" t="str">
        <f>"G3BP2"</f>
        <v>G3BP2</v>
      </c>
      <c r="B23120" s="6" t="s">
        <v>1</v>
      </c>
      <c r="C23120" s="6" t="s">
        <v>1</v>
      </c>
    </row>
    <row r="23121" spans="1:3" s="7" customFormat="1" x14ac:dyDescent="0.2">
      <c r="A23121" s="6" t="str">
        <f>"FAT1"</f>
        <v>FAT1</v>
      </c>
      <c r="B23121" s="6" t="s">
        <v>1</v>
      </c>
      <c r="C23121" s="6" t="s">
        <v>1</v>
      </c>
    </row>
    <row r="23122" spans="1:3" s="7" customFormat="1" x14ac:dyDescent="0.2">
      <c r="A23122" s="6" t="str">
        <f>"MLXIP"</f>
        <v>MLXIP</v>
      </c>
      <c r="B23122" s="6" t="s">
        <v>1</v>
      </c>
      <c r="C23122" s="6" t="s">
        <v>1</v>
      </c>
    </row>
    <row r="23123" spans="1:3" s="7" customFormat="1" x14ac:dyDescent="0.2">
      <c r="A23123" s="6" t="str">
        <f>"DNAJC3"</f>
        <v>DNAJC3</v>
      </c>
      <c r="B23123" s="6" t="s">
        <v>1</v>
      </c>
      <c r="C23123" s="6" t="s">
        <v>1</v>
      </c>
    </row>
    <row r="23124" spans="1:3" s="7" customFormat="1" x14ac:dyDescent="0.2">
      <c r="A23124" s="6" t="str">
        <f>"UBXN4"</f>
        <v>UBXN4</v>
      </c>
      <c r="B23124" s="6" t="s">
        <v>1</v>
      </c>
      <c r="C23124" s="6" t="s">
        <v>1</v>
      </c>
    </row>
    <row r="23125" spans="1:3" s="7" customFormat="1" x14ac:dyDescent="0.2">
      <c r="A23125" s="6" t="str">
        <f>"PRKDC"</f>
        <v>PRKDC</v>
      </c>
      <c r="B23125" s="6" t="s">
        <v>1</v>
      </c>
      <c r="C23125" s="6" t="s">
        <v>1</v>
      </c>
    </row>
    <row r="23126" spans="1:3" s="7" customFormat="1" x14ac:dyDescent="0.2">
      <c r="A23126" s="6" t="str">
        <f>"LRBA"</f>
        <v>LRBA</v>
      </c>
      <c r="B23126" s="6" t="s">
        <v>1</v>
      </c>
      <c r="C23126" s="6" t="s">
        <v>1</v>
      </c>
    </row>
    <row r="23127" spans="1:3" s="7" customFormat="1" x14ac:dyDescent="0.2">
      <c r="A23127" s="6" t="str">
        <f>"MACC1"</f>
        <v>MACC1</v>
      </c>
      <c r="B23127" s="6" t="s">
        <v>1</v>
      </c>
      <c r="C23127" s="6" t="s">
        <v>1</v>
      </c>
    </row>
    <row r="23128" spans="1:3" s="7" customFormat="1" x14ac:dyDescent="0.2">
      <c r="A23128" s="6" t="str">
        <f>"PDCD4"</f>
        <v>PDCD4</v>
      </c>
      <c r="B23128" s="6" t="s">
        <v>1</v>
      </c>
      <c r="C23128" s="6" t="s">
        <v>1</v>
      </c>
    </row>
    <row r="23129" spans="1:3" s="7" customFormat="1" x14ac:dyDescent="0.2">
      <c r="A23129" s="6" t="str">
        <f>"GLYR1"</f>
        <v>GLYR1</v>
      </c>
      <c r="B23129" s="6" t="s">
        <v>1</v>
      </c>
      <c r="C23129" s="6" t="s">
        <v>1</v>
      </c>
    </row>
    <row r="23130" spans="1:3" s="7" customFormat="1" x14ac:dyDescent="0.2">
      <c r="A23130" s="6" t="str">
        <f>"RALY"</f>
        <v>RALY</v>
      </c>
      <c r="B23130" s="6" t="s">
        <v>1</v>
      </c>
      <c r="C23130" s="6" t="s">
        <v>1</v>
      </c>
    </row>
    <row r="23131" spans="1:3" s="7" customFormat="1" x14ac:dyDescent="0.2">
      <c r="A23131" s="6" t="str">
        <f>"SELENON"</f>
        <v>SELENON</v>
      </c>
      <c r="B23131" s="6" t="s">
        <v>1</v>
      </c>
      <c r="C23131" s="6" t="s">
        <v>1</v>
      </c>
    </row>
    <row r="23132" spans="1:3" s="7" customFormat="1" x14ac:dyDescent="0.2">
      <c r="A23132" s="6" t="str">
        <f>"PROM2"</f>
        <v>PROM2</v>
      </c>
      <c r="B23132" s="6" t="s">
        <v>1</v>
      </c>
      <c r="C23132" s="6" t="s">
        <v>1</v>
      </c>
    </row>
    <row r="23133" spans="1:3" s="7" customFormat="1" x14ac:dyDescent="0.2">
      <c r="A23133" s="6" t="str">
        <f>"CYP2A13"</f>
        <v>CYP2A13</v>
      </c>
      <c r="B23133" s="6" t="s">
        <v>1</v>
      </c>
      <c r="C23133" s="6" t="s">
        <v>1</v>
      </c>
    </row>
    <row r="23134" spans="1:3" s="7" customFormat="1" x14ac:dyDescent="0.2">
      <c r="A23134" s="6" t="str">
        <f>"SEC63"</f>
        <v>SEC63</v>
      </c>
      <c r="B23134" s="6" t="s">
        <v>1</v>
      </c>
      <c r="C23134" s="6" t="s">
        <v>1</v>
      </c>
    </row>
    <row r="23135" spans="1:3" s="7" customFormat="1" x14ac:dyDescent="0.2">
      <c r="A23135" s="6" t="str">
        <f>"ALDH1L1"</f>
        <v>ALDH1L1</v>
      </c>
      <c r="B23135" s="6" t="s">
        <v>1</v>
      </c>
      <c r="C23135" s="6" t="s">
        <v>1</v>
      </c>
    </row>
    <row r="23136" spans="1:3" s="7" customFormat="1" x14ac:dyDescent="0.2">
      <c r="A23136" s="6" t="str">
        <f>"FLOT2"</f>
        <v>FLOT2</v>
      </c>
      <c r="B23136" s="6" t="s">
        <v>1</v>
      </c>
      <c r="C23136" s="6" t="s">
        <v>1</v>
      </c>
    </row>
    <row r="23137" spans="1:3" s="7" customFormat="1" x14ac:dyDescent="0.2">
      <c r="A23137" s="6" t="str">
        <f>"EEF1B2"</f>
        <v>EEF1B2</v>
      </c>
      <c r="B23137" s="6" t="s">
        <v>1</v>
      </c>
      <c r="C23137" s="6" t="s">
        <v>1</v>
      </c>
    </row>
    <row r="23138" spans="1:3" s="7" customFormat="1" x14ac:dyDescent="0.2">
      <c r="A23138" s="6" t="str">
        <f>"GLTP"</f>
        <v>GLTP</v>
      </c>
      <c r="B23138" s="6" t="s">
        <v>1</v>
      </c>
      <c r="C23138" s="6" t="s">
        <v>1</v>
      </c>
    </row>
    <row r="23139" spans="1:3" s="7" customFormat="1" x14ac:dyDescent="0.2">
      <c r="A23139" s="6" t="str">
        <f>"DENND2B"</f>
        <v>DENND2B</v>
      </c>
      <c r="B23139" s="6" t="s">
        <v>1</v>
      </c>
      <c r="C23139" s="6" t="s">
        <v>1</v>
      </c>
    </row>
    <row r="23140" spans="1:3" s="7" customFormat="1" x14ac:dyDescent="0.2">
      <c r="A23140" s="6" t="str">
        <f>"MYO6"</f>
        <v>MYO6</v>
      </c>
      <c r="B23140" s="6" t="s">
        <v>1</v>
      </c>
      <c r="C23140" s="6" t="s">
        <v>1</v>
      </c>
    </row>
    <row r="23141" spans="1:3" s="7" customFormat="1" x14ac:dyDescent="0.2">
      <c r="A23141" s="6" t="str">
        <f>"TMEM127"</f>
        <v>TMEM127</v>
      </c>
      <c r="B23141" s="6" t="s">
        <v>1</v>
      </c>
      <c r="C23141" s="6" t="s">
        <v>1</v>
      </c>
    </row>
    <row r="23142" spans="1:3" s="7" customFormat="1" x14ac:dyDescent="0.2">
      <c r="A23142" s="6" t="str">
        <f>"BACE2"</f>
        <v>BACE2</v>
      </c>
      <c r="B23142" s="6" t="s">
        <v>1</v>
      </c>
      <c r="C23142" s="6" t="s">
        <v>1</v>
      </c>
    </row>
    <row r="23143" spans="1:3" s="7" customFormat="1" x14ac:dyDescent="0.2">
      <c r="A23143" s="6" t="str">
        <f>"ASPH"</f>
        <v>ASPH</v>
      </c>
      <c r="B23143" s="6" t="s">
        <v>1</v>
      </c>
      <c r="C23143" s="6" t="s">
        <v>1</v>
      </c>
    </row>
    <row r="23144" spans="1:3" s="7" customFormat="1" x14ac:dyDescent="0.2">
      <c r="A23144" s="6" t="str">
        <f>"ENSA"</f>
        <v>ENSA</v>
      </c>
      <c r="B23144" s="6" t="s">
        <v>1</v>
      </c>
      <c r="C23144" s="6" t="s">
        <v>1</v>
      </c>
    </row>
    <row r="23145" spans="1:3" s="7" customFormat="1" x14ac:dyDescent="0.2">
      <c r="A23145" s="6" t="str">
        <f>"BAIAP2"</f>
        <v>BAIAP2</v>
      </c>
      <c r="B23145" s="6" t="s">
        <v>1</v>
      </c>
      <c r="C23145" s="6" t="s">
        <v>1</v>
      </c>
    </row>
    <row r="23146" spans="1:3" s="7" customFormat="1" x14ac:dyDescent="0.2">
      <c r="A23146" s="6" t="str">
        <f>"S100A16"</f>
        <v>S100A16</v>
      </c>
      <c r="B23146" s="6" t="s">
        <v>1</v>
      </c>
      <c r="C23146" s="6" t="s">
        <v>1</v>
      </c>
    </row>
    <row r="23147" spans="1:3" s="7" customFormat="1" x14ac:dyDescent="0.2">
      <c r="A23147" s="6" t="str">
        <f>"EMC10"</f>
        <v>EMC10</v>
      </c>
      <c r="B23147" s="6" t="s">
        <v>1</v>
      </c>
      <c r="C23147" s="6" t="s">
        <v>1</v>
      </c>
    </row>
    <row r="23148" spans="1:3" s="7" customFormat="1" x14ac:dyDescent="0.2">
      <c r="A23148" s="6" t="str">
        <f>"SRP9"</f>
        <v>SRP9</v>
      </c>
      <c r="B23148" s="6" t="s">
        <v>1</v>
      </c>
      <c r="C23148" s="6" t="s">
        <v>1</v>
      </c>
    </row>
    <row r="23149" spans="1:3" s="7" customFormat="1" x14ac:dyDescent="0.2">
      <c r="A23149" s="6" t="str">
        <f>"MKRN1"</f>
        <v>MKRN1</v>
      </c>
      <c r="B23149" s="6" t="s">
        <v>1</v>
      </c>
      <c r="C23149" s="6" t="s">
        <v>1</v>
      </c>
    </row>
    <row r="23150" spans="1:3" s="7" customFormat="1" x14ac:dyDescent="0.2">
      <c r="A23150" s="6" t="str">
        <f>"IFITM3"</f>
        <v>IFITM3</v>
      </c>
      <c r="B23150" s="6" t="s">
        <v>1</v>
      </c>
      <c r="C23150" s="6" t="s">
        <v>1</v>
      </c>
    </row>
    <row r="23151" spans="1:3" s="7" customFormat="1" x14ac:dyDescent="0.2">
      <c r="A23151" s="6" t="str">
        <f>"LRP1"</f>
        <v>LRP1</v>
      </c>
      <c r="B23151" s="6" t="s">
        <v>1</v>
      </c>
      <c r="C23151" s="6" t="s">
        <v>1</v>
      </c>
    </row>
    <row r="23152" spans="1:3" s="7" customFormat="1" x14ac:dyDescent="0.2">
      <c r="A23152" s="6" t="str">
        <f>"MLLT6"</f>
        <v>MLLT6</v>
      </c>
      <c r="B23152" s="6" t="s">
        <v>1</v>
      </c>
      <c r="C23152" s="6" t="s">
        <v>1</v>
      </c>
    </row>
    <row r="23153" spans="1:3" s="7" customFormat="1" x14ac:dyDescent="0.2">
      <c r="A23153" s="6" t="str">
        <f>"MDM2"</f>
        <v>MDM2</v>
      </c>
      <c r="B23153" s="6" t="s">
        <v>1</v>
      </c>
      <c r="C23153" s="6" t="s">
        <v>1</v>
      </c>
    </row>
    <row r="23154" spans="1:3" s="7" customFormat="1" x14ac:dyDescent="0.2">
      <c r="A23154" s="6" t="str">
        <f>"RALGAPA2"</f>
        <v>RALGAPA2</v>
      </c>
      <c r="B23154" s="6" t="s">
        <v>1</v>
      </c>
      <c r="C23154" s="6" t="s">
        <v>1</v>
      </c>
    </row>
    <row r="23155" spans="1:3" s="7" customFormat="1" x14ac:dyDescent="0.2">
      <c r="A23155" s="6" t="str">
        <f>"SEC62"</f>
        <v>SEC62</v>
      </c>
      <c r="B23155" s="6" t="s">
        <v>1</v>
      </c>
      <c r="C23155" s="6" t="s">
        <v>1</v>
      </c>
    </row>
    <row r="23156" spans="1:3" s="7" customFormat="1" x14ac:dyDescent="0.2">
      <c r="A23156" s="6" t="str">
        <f>"FAM83H"</f>
        <v>FAM83H</v>
      </c>
      <c r="B23156" s="6" t="s">
        <v>1</v>
      </c>
      <c r="C23156" s="6" t="s">
        <v>1</v>
      </c>
    </row>
    <row r="23157" spans="1:3" s="7" customFormat="1" x14ac:dyDescent="0.2">
      <c r="A23157" s="6" t="str">
        <f>"IQCE"</f>
        <v>IQCE</v>
      </c>
      <c r="B23157" s="6" t="s">
        <v>1</v>
      </c>
      <c r="C23157" s="6" t="s">
        <v>1</v>
      </c>
    </row>
    <row r="23158" spans="1:3" s="7" customFormat="1" x14ac:dyDescent="0.2">
      <c r="A23158" s="6" t="str">
        <f>"MLF2"</f>
        <v>MLF2</v>
      </c>
      <c r="B23158" s="6" t="s">
        <v>1</v>
      </c>
      <c r="C23158" s="6" t="s">
        <v>1</v>
      </c>
    </row>
    <row r="23159" spans="1:3" s="7" customFormat="1" x14ac:dyDescent="0.2">
      <c r="A23159" s="6" t="str">
        <f>"EMP2"</f>
        <v>EMP2</v>
      </c>
      <c r="B23159" s="6" t="s">
        <v>1</v>
      </c>
      <c r="C23159" s="6" t="s">
        <v>1</v>
      </c>
    </row>
    <row r="23160" spans="1:3" s="7" customFormat="1" x14ac:dyDescent="0.2">
      <c r="A23160" s="6" t="str">
        <f>"FASN"</f>
        <v>FASN</v>
      </c>
      <c r="B23160" s="6" t="s">
        <v>1</v>
      </c>
      <c r="C23160" s="6" t="s">
        <v>1</v>
      </c>
    </row>
    <row r="23161" spans="1:3" s="7" customFormat="1" x14ac:dyDescent="0.2">
      <c r="A23161" s="6" t="str">
        <f>"MISP"</f>
        <v>MISP</v>
      </c>
      <c r="B23161" s="6" t="s">
        <v>1</v>
      </c>
      <c r="C23161" s="6" t="s">
        <v>1</v>
      </c>
    </row>
    <row r="23162" spans="1:3" s="7" customFormat="1" x14ac:dyDescent="0.2">
      <c r="A23162" s="6" t="str">
        <f>"GPRC5A"</f>
        <v>GPRC5A</v>
      </c>
      <c r="B23162" s="6" t="s">
        <v>1</v>
      </c>
      <c r="C23162" s="6" t="s">
        <v>1</v>
      </c>
    </row>
    <row r="23163" spans="1:3" s="7" customFormat="1" x14ac:dyDescent="0.2">
      <c r="A23163" s="6" t="str">
        <f>"SRPRA"</f>
        <v>SRPRA</v>
      </c>
      <c r="B23163" s="6" t="s">
        <v>1</v>
      </c>
      <c r="C23163" s="6" t="s">
        <v>1</v>
      </c>
    </row>
    <row r="23164" spans="1:3" s="7" customFormat="1" x14ac:dyDescent="0.2">
      <c r="A23164" s="6" t="str">
        <f>"APOL1"</f>
        <v>APOL1</v>
      </c>
      <c r="B23164" s="6" t="s">
        <v>1</v>
      </c>
      <c r="C23164" s="6" t="s">
        <v>1</v>
      </c>
    </row>
    <row r="23165" spans="1:3" s="7" customFormat="1" x14ac:dyDescent="0.2">
      <c r="A23165" s="6" t="str">
        <f>"RERE"</f>
        <v>RERE</v>
      </c>
      <c r="B23165" s="6" t="s">
        <v>1</v>
      </c>
      <c r="C23165" s="6" t="s">
        <v>1</v>
      </c>
    </row>
    <row r="23166" spans="1:3" s="7" customFormat="1" x14ac:dyDescent="0.2">
      <c r="A23166" s="6" t="str">
        <f>"TMEM131"</f>
        <v>TMEM131</v>
      </c>
      <c r="B23166" s="6" t="s">
        <v>1</v>
      </c>
      <c r="C23166" s="6" t="s">
        <v>1</v>
      </c>
    </row>
    <row r="23167" spans="1:3" s="7" customFormat="1" x14ac:dyDescent="0.2">
      <c r="A23167" s="6" t="str">
        <f>"BTG1"</f>
        <v>BTG1</v>
      </c>
      <c r="B23167" s="6" t="s">
        <v>1</v>
      </c>
      <c r="C23167" s="6" t="s">
        <v>1</v>
      </c>
    </row>
    <row r="23168" spans="1:3" s="7" customFormat="1" x14ac:dyDescent="0.2">
      <c r="A23168" s="6" t="str">
        <f>"RANBP2"</f>
        <v>RANBP2</v>
      </c>
      <c r="B23168" s="6" t="s">
        <v>1</v>
      </c>
      <c r="C23168" s="6" t="s">
        <v>1</v>
      </c>
    </row>
    <row r="23169" spans="1:3" s="7" customFormat="1" x14ac:dyDescent="0.2">
      <c r="A23169" s="6" t="str">
        <f>"HNRNPH1"</f>
        <v>HNRNPH1</v>
      </c>
      <c r="B23169" s="6" t="s">
        <v>1</v>
      </c>
      <c r="C23169" s="6" t="s">
        <v>1</v>
      </c>
    </row>
    <row r="23170" spans="1:3" s="7" customFormat="1" x14ac:dyDescent="0.2">
      <c r="A23170" s="6" t="str">
        <f>"ZBTB7A"</f>
        <v>ZBTB7A</v>
      </c>
      <c r="B23170" s="6" t="s">
        <v>1</v>
      </c>
      <c r="C23170" s="6" t="s">
        <v>1</v>
      </c>
    </row>
    <row r="23171" spans="1:3" s="7" customFormat="1" x14ac:dyDescent="0.2">
      <c r="A23171" s="6" t="str">
        <f>"ARAP1"</f>
        <v>ARAP1</v>
      </c>
      <c r="B23171" s="6" t="s">
        <v>1</v>
      </c>
      <c r="C23171" s="6" t="s">
        <v>1</v>
      </c>
    </row>
    <row r="23172" spans="1:3" s="7" customFormat="1" x14ac:dyDescent="0.2">
      <c r="A23172" s="6" t="str">
        <f>"SORT1"</f>
        <v>SORT1</v>
      </c>
      <c r="B23172" s="6" t="s">
        <v>1</v>
      </c>
      <c r="C23172" s="6" t="s">
        <v>1</v>
      </c>
    </row>
    <row r="23173" spans="1:3" s="7" customFormat="1" x14ac:dyDescent="0.2">
      <c r="A23173" s="6" t="str">
        <f>"BAIAP2L1"</f>
        <v>BAIAP2L1</v>
      </c>
      <c r="B23173" s="6" t="s">
        <v>1</v>
      </c>
      <c r="C23173" s="6" t="s">
        <v>1</v>
      </c>
    </row>
    <row r="23174" spans="1:3" s="7" customFormat="1" x14ac:dyDescent="0.2">
      <c r="A23174" s="6" t="str">
        <f>"CDS1"</f>
        <v>CDS1</v>
      </c>
      <c r="B23174" s="6" t="s">
        <v>1</v>
      </c>
      <c r="C23174" s="6" t="s">
        <v>1</v>
      </c>
    </row>
    <row r="23175" spans="1:3" s="7" customFormat="1" x14ac:dyDescent="0.2">
      <c r="A23175" s="6" t="str">
        <f>"NOTCH2"</f>
        <v>NOTCH2</v>
      </c>
      <c r="B23175" s="6" t="s">
        <v>1</v>
      </c>
      <c r="C23175" s="6" t="s">
        <v>1</v>
      </c>
    </row>
    <row r="23176" spans="1:3" s="7" customFormat="1" x14ac:dyDescent="0.2">
      <c r="A23176" s="6" t="str">
        <f>"HMGN3"</f>
        <v>HMGN3</v>
      </c>
      <c r="B23176" s="6" t="s">
        <v>1</v>
      </c>
      <c r="C23176" s="6" t="s">
        <v>1</v>
      </c>
    </row>
    <row r="23177" spans="1:3" s="7" customFormat="1" x14ac:dyDescent="0.2">
      <c r="A23177" s="6" t="str">
        <f>"TBC1D8"</f>
        <v>TBC1D8</v>
      </c>
      <c r="B23177" s="6" t="s">
        <v>1</v>
      </c>
      <c r="C23177" s="6" t="s">
        <v>1</v>
      </c>
    </row>
    <row r="23178" spans="1:3" s="7" customFormat="1" x14ac:dyDescent="0.2">
      <c r="A23178" s="6" t="str">
        <f>"CHP1"</f>
        <v>CHP1</v>
      </c>
      <c r="B23178" s="6" t="s">
        <v>1</v>
      </c>
      <c r="C23178" s="6" t="s">
        <v>1</v>
      </c>
    </row>
    <row r="23179" spans="1:3" s="7" customFormat="1" x14ac:dyDescent="0.2">
      <c r="A23179" s="6" t="str">
        <f>"MSI2"</f>
        <v>MSI2</v>
      </c>
      <c r="B23179" s="6" t="s">
        <v>1</v>
      </c>
      <c r="C23179" s="6" t="s">
        <v>1</v>
      </c>
    </row>
    <row r="23180" spans="1:3" s="7" customFormat="1" x14ac:dyDescent="0.2">
      <c r="A23180" s="6" t="str">
        <f>"IQCG"</f>
        <v>IQCG</v>
      </c>
      <c r="B23180" s="6" t="s">
        <v>1</v>
      </c>
      <c r="C23180" s="6" t="s">
        <v>1</v>
      </c>
    </row>
    <row r="23181" spans="1:3" s="7" customFormat="1" x14ac:dyDescent="0.2">
      <c r="A23181" s="6" t="str">
        <f>"GLG1"</f>
        <v>GLG1</v>
      </c>
      <c r="B23181" s="6" t="s">
        <v>1</v>
      </c>
      <c r="C23181" s="6" t="s">
        <v>1</v>
      </c>
    </row>
    <row r="23182" spans="1:3" s="7" customFormat="1" x14ac:dyDescent="0.2">
      <c r="A23182" s="6" t="str">
        <f>"NOMO2"</f>
        <v>NOMO2</v>
      </c>
      <c r="B23182" s="6" t="s">
        <v>1</v>
      </c>
      <c r="C23182" s="6" t="s">
        <v>1</v>
      </c>
    </row>
    <row r="23183" spans="1:3" s="7" customFormat="1" x14ac:dyDescent="0.2">
      <c r="A23183" s="6" t="str">
        <f>"CAPZB"</f>
        <v>CAPZB</v>
      </c>
      <c r="B23183" s="6" t="s">
        <v>1</v>
      </c>
      <c r="C23183" s="6" t="s">
        <v>1</v>
      </c>
    </row>
    <row r="23184" spans="1:3" s="7" customFormat="1" x14ac:dyDescent="0.2">
      <c r="A23184" s="6" t="str">
        <f>"SLC27A2"</f>
        <v>SLC27A2</v>
      </c>
      <c r="B23184" s="6" t="s">
        <v>1</v>
      </c>
      <c r="C23184" s="6" t="s">
        <v>1</v>
      </c>
    </row>
    <row r="23185" spans="1:3" s="7" customFormat="1" x14ac:dyDescent="0.2">
      <c r="A23185" s="6" t="str">
        <f>"CYP2S1"</f>
        <v>CYP2S1</v>
      </c>
      <c r="B23185" s="6" t="s">
        <v>1</v>
      </c>
      <c r="C23185" s="6" t="s">
        <v>1</v>
      </c>
    </row>
    <row r="23186" spans="1:3" s="7" customFormat="1" x14ac:dyDescent="0.2">
      <c r="A23186" s="6" t="str">
        <f>"IGFBP5"</f>
        <v>IGFBP5</v>
      </c>
      <c r="B23186" s="6" t="s">
        <v>1</v>
      </c>
      <c r="C23186" s="6" t="s">
        <v>1</v>
      </c>
    </row>
    <row r="23187" spans="1:3" s="7" customFormat="1" x14ac:dyDescent="0.2">
      <c r="A23187" s="6" t="str">
        <f>"TTC9"</f>
        <v>TTC9</v>
      </c>
      <c r="B23187" s="6" t="s">
        <v>1</v>
      </c>
      <c r="C23187" s="6" t="s">
        <v>1</v>
      </c>
    </row>
    <row r="23188" spans="1:3" s="7" customFormat="1" x14ac:dyDescent="0.2">
      <c r="A23188" s="6" t="str">
        <f>"HNRNPL"</f>
        <v>HNRNPL</v>
      </c>
      <c r="B23188" s="6" t="s">
        <v>1</v>
      </c>
      <c r="C23188" s="6" t="s">
        <v>1</v>
      </c>
    </row>
    <row r="23189" spans="1:3" s="7" customFormat="1" x14ac:dyDescent="0.2">
      <c r="A23189" s="6" t="str">
        <f>"SEC31A"</f>
        <v>SEC31A</v>
      </c>
      <c r="B23189" s="6" t="s">
        <v>1</v>
      </c>
      <c r="C23189" s="6" t="s">
        <v>1</v>
      </c>
    </row>
    <row r="23190" spans="1:3" s="7" customFormat="1" x14ac:dyDescent="0.2">
      <c r="A23190" s="6" t="str">
        <f>"FAU"</f>
        <v>FAU</v>
      </c>
      <c r="B23190" s="6" t="s">
        <v>1</v>
      </c>
      <c r="C23190" s="6" t="s">
        <v>1</v>
      </c>
    </row>
    <row r="23191" spans="1:3" s="7" customFormat="1" x14ac:dyDescent="0.2">
      <c r="A23191" s="6" t="str">
        <f>"VDAC1"</f>
        <v>VDAC1</v>
      </c>
      <c r="B23191" s="6" t="s">
        <v>1</v>
      </c>
      <c r="C23191" s="6" t="s">
        <v>1</v>
      </c>
    </row>
    <row r="23192" spans="1:3" s="7" customFormat="1" x14ac:dyDescent="0.2">
      <c r="A23192" s="6" t="str">
        <f>"DNAJC5"</f>
        <v>DNAJC5</v>
      </c>
      <c r="B23192" s="6" t="s">
        <v>1</v>
      </c>
      <c r="C23192" s="6" t="s">
        <v>1</v>
      </c>
    </row>
    <row r="23193" spans="1:3" s="7" customFormat="1" x14ac:dyDescent="0.2">
      <c r="A23193" s="6" t="str">
        <f>"PI3"</f>
        <v>PI3</v>
      </c>
      <c r="B23193" s="6" t="s">
        <v>1</v>
      </c>
      <c r="C23193" s="6" t="s">
        <v>1</v>
      </c>
    </row>
    <row r="23194" spans="1:3" s="7" customFormat="1" x14ac:dyDescent="0.2">
      <c r="A23194" s="6" t="str">
        <f>"SEL1L3"</f>
        <v>SEL1L3</v>
      </c>
      <c r="B23194" s="6" t="s">
        <v>1</v>
      </c>
      <c r="C23194" s="6" t="s">
        <v>1</v>
      </c>
    </row>
    <row r="23195" spans="1:3" s="7" customFormat="1" x14ac:dyDescent="0.2">
      <c r="A23195" s="6" t="str">
        <f>"BAIAP3"</f>
        <v>BAIAP3</v>
      </c>
      <c r="B23195" s="6" t="s">
        <v>1</v>
      </c>
      <c r="C23195" s="6" t="s">
        <v>1</v>
      </c>
    </row>
    <row r="23196" spans="1:3" s="7" customFormat="1" x14ac:dyDescent="0.2">
      <c r="A23196" s="6" t="str">
        <f>"GAK"</f>
        <v>GAK</v>
      </c>
      <c r="B23196" s="6" t="s">
        <v>1</v>
      </c>
      <c r="C23196" s="6" t="s">
        <v>1</v>
      </c>
    </row>
    <row r="23197" spans="1:3" s="7" customFormat="1" x14ac:dyDescent="0.2">
      <c r="A23197" s="6" t="str">
        <f>"NEBL"</f>
        <v>NEBL</v>
      </c>
      <c r="B23197" s="6" t="s">
        <v>1</v>
      </c>
      <c r="C23197" s="6" t="s">
        <v>1</v>
      </c>
    </row>
    <row r="23198" spans="1:3" s="7" customFormat="1" x14ac:dyDescent="0.2">
      <c r="A23198" s="6" t="str">
        <f>"REPIN1"</f>
        <v>REPIN1</v>
      </c>
      <c r="B23198" s="6" t="s">
        <v>1</v>
      </c>
      <c r="C23198" s="6" t="s">
        <v>1</v>
      </c>
    </row>
    <row r="23199" spans="1:3" s="7" customFormat="1" x14ac:dyDescent="0.2">
      <c r="A23199" s="6" t="str">
        <f>"ALDH3A2"</f>
        <v>ALDH3A2</v>
      </c>
      <c r="B23199" s="6" t="s">
        <v>1</v>
      </c>
      <c r="C23199" s="6" t="s">
        <v>1</v>
      </c>
    </row>
    <row r="23200" spans="1:3" s="7" customFormat="1" x14ac:dyDescent="0.2">
      <c r="A23200" s="6" t="str">
        <f>"LRIG1"</f>
        <v>LRIG1</v>
      </c>
      <c r="B23200" s="6" t="s">
        <v>1</v>
      </c>
      <c r="C23200" s="6" t="s">
        <v>1</v>
      </c>
    </row>
    <row r="23201" spans="1:3" s="7" customFormat="1" x14ac:dyDescent="0.2">
      <c r="A23201" s="6" t="str">
        <f>"IGF1R"</f>
        <v>IGF1R</v>
      </c>
      <c r="B23201" s="6" t="s">
        <v>1</v>
      </c>
      <c r="C23201" s="6" t="s">
        <v>1</v>
      </c>
    </row>
    <row r="23202" spans="1:3" s="7" customFormat="1" x14ac:dyDescent="0.2">
      <c r="A23202" s="6" t="str">
        <f>"S100A8"</f>
        <v>S100A8</v>
      </c>
      <c r="B23202" s="6" t="s">
        <v>1</v>
      </c>
      <c r="C23202" s="6" t="s">
        <v>1</v>
      </c>
    </row>
    <row r="23203" spans="1:3" s="7" customFormat="1" x14ac:dyDescent="0.2">
      <c r="A23203" s="6" t="str">
        <f>"MDH2"</f>
        <v>MDH2</v>
      </c>
      <c r="B23203" s="6" t="s">
        <v>1</v>
      </c>
      <c r="C23203" s="6" t="s">
        <v>1</v>
      </c>
    </row>
    <row r="23204" spans="1:3" s="7" customFormat="1" x14ac:dyDescent="0.2">
      <c r="A23204" s="6" t="str">
        <f>"ALKBH5"</f>
        <v>ALKBH5</v>
      </c>
      <c r="B23204" s="6" t="s">
        <v>1</v>
      </c>
      <c r="C23204" s="6" t="s">
        <v>1</v>
      </c>
    </row>
    <row r="23205" spans="1:3" s="7" customFormat="1" x14ac:dyDescent="0.2">
      <c r="A23205" s="6" t="str">
        <f>"DNM2"</f>
        <v>DNM2</v>
      </c>
      <c r="B23205" s="6" t="s">
        <v>1</v>
      </c>
      <c r="C23205" s="6" t="s">
        <v>1</v>
      </c>
    </row>
    <row r="23206" spans="1:3" s="7" customFormat="1" x14ac:dyDescent="0.2">
      <c r="A23206" s="6" t="str">
        <f>"MACROH2A1"</f>
        <v>MACROH2A1</v>
      </c>
      <c r="B23206" s="6" t="s">
        <v>1</v>
      </c>
      <c r="C23206" s="6" t="s">
        <v>1</v>
      </c>
    </row>
    <row r="23207" spans="1:3" s="7" customFormat="1" x14ac:dyDescent="0.2">
      <c r="A23207" s="6" t="str">
        <f>"MAGED1"</f>
        <v>MAGED1</v>
      </c>
      <c r="B23207" s="6" t="s">
        <v>1</v>
      </c>
      <c r="C23207" s="6" t="s">
        <v>1</v>
      </c>
    </row>
    <row r="23208" spans="1:3" s="7" customFormat="1" x14ac:dyDescent="0.2">
      <c r="A23208" s="6" t="str">
        <f>"CEBPB"</f>
        <v>CEBPB</v>
      </c>
      <c r="B23208" s="6" t="s">
        <v>1</v>
      </c>
      <c r="C23208" s="6" t="s">
        <v>1</v>
      </c>
    </row>
    <row r="23209" spans="1:3" s="7" customFormat="1" x14ac:dyDescent="0.2">
      <c r="A23209" s="6" t="str">
        <f>"EDF1"</f>
        <v>EDF1</v>
      </c>
      <c r="B23209" s="6" t="s">
        <v>1</v>
      </c>
      <c r="C23209" s="6" t="s">
        <v>1</v>
      </c>
    </row>
    <row r="23210" spans="1:3" s="7" customFormat="1" x14ac:dyDescent="0.2">
      <c r="A23210" s="6" t="str">
        <f>"RNF145"</f>
        <v>RNF145</v>
      </c>
      <c r="B23210" s="6" t="s">
        <v>1</v>
      </c>
      <c r="C23210" s="6" t="s">
        <v>1</v>
      </c>
    </row>
    <row r="23211" spans="1:3" s="7" customFormat="1" x14ac:dyDescent="0.2">
      <c r="A23211" s="6" t="str">
        <f>"IFITM2"</f>
        <v>IFITM2</v>
      </c>
      <c r="B23211" s="6" t="s">
        <v>1</v>
      </c>
      <c r="C23211" s="6" t="s">
        <v>1</v>
      </c>
    </row>
    <row r="23212" spans="1:3" s="7" customFormat="1" x14ac:dyDescent="0.2">
      <c r="A23212" s="6" t="str">
        <f>"H6PD"</f>
        <v>H6PD</v>
      </c>
      <c r="B23212" s="6" t="s">
        <v>1</v>
      </c>
      <c r="C23212" s="6" t="s">
        <v>1</v>
      </c>
    </row>
    <row r="23213" spans="1:3" s="7" customFormat="1" x14ac:dyDescent="0.2">
      <c r="A23213" s="6" t="str">
        <f>"MALAT1"</f>
        <v>MALAT1</v>
      </c>
      <c r="B23213" s="6" t="s">
        <v>1</v>
      </c>
      <c r="C23213" s="6" t="s">
        <v>1</v>
      </c>
    </row>
    <row r="23214" spans="1:3" s="7" customFormat="1" x14ac:dyDescent="0.2">
      <c r="A23214" s="6" t="str">
        <f>"SRP14"</f>
        <v>SRP14</v>
      </c>
      <c r="B23214" s="6" t="s">
        <v>1</v>
      </c>
      <c r="C23214" s="6" t="s">
        <v>1</v>
      </c>
    </row>
    <row r="23215" spans="1:3" s="7" customFormat="1" x14ac:dyDescent="0.2">
      <c r="A23215" s="6" t="str">
        <f>"HNRNPD"</f>
        <v>HNRNPD</v>
      </c>
      <c r="B23215" s="6" t="s">
        <v>1</v>
      </c>
      <c r="C23215" s="6" t="s">
        <v>1</v>
      </c>
    </row>
    <row r="23216" spans="1:3" s="7" customFormat="1" x14ac:dyDescent="0.2">
      <c r="A23216" s="6" t="str">
        <f>"SLC2A1"</f>
        <v>SLC2A1</v>
      </c>
      <c r="B23216" s="6" t="s">
        <v>1</v>
      </c>
      <c r="C23216" s="6" t="s">
        <v>1</v>
      </c>
    </row>
    <row r="23217" spans="1:3" s="7" customFormat="1" x14ac:dyDescent="0.2">
      <c r="A23217" s="6" t="str">
        <f>"RPL9"</f>
        <v>RPL9</v>
      </c>
      <c r="B23217" s="6" t="s">
        <v>1</v>
      </c>
      <c r="C23217" s="6" t="s">
        <v>1</v>
      </c>
    </row>
    <row r="23218" spans="1:3" s="7" customFormat="1" x14ac:dyDescent="0.2">
      <c r="A23218" s="6" t="str">
        <f>"GABARAP"</f>
        <v>GABARAP</v>
      </c>
      <c r="B23218" s="6" t="s">
        <v>1</v>
      </c>
      <c r="C23218" s="6" t="s">
        <v>1</v>
      </c>
    </row>
    <row r="23219" spans="1:3" s="7" customFormat="1" x14ac:dyDescent="0.2">
      <c r="A23219" s="6" t="str">
        <f>"SMARCA4"</f>
        <v>SMARCA4</v>
      </c>
      <c r="B23219" s="6" t="s">
        <v>1</v>
      </c>
      <c r="C23219" s="6" t="s">
        <v>1</v>
      </c>
    </row>
    <row r="23220" spans="1:3" s="7" customFormat="1" x14ac:dyDescent="0.2">
      <c r="A23220" s="6" t="str">
        <f>"MACF1"</f>
        <v>MACF1</v>
      </c>
      <c r="B23220" s="6" t="s">
        <v>1</v>
      </c>
      <c r="C23220" s="6" t="s">
        <v>1</v>
      </c>
    </row>
    <row r="23221" spans="1:3" s="7" customFormat="1" x14ac:dyDescent="0.2">
      <c r="A23221" s="6" t="str">
        <f>"SHISA5"</f>
        <v>SHISA5</v>
      </c>
      <c r="B23221" s="6" t="s">
        <v>1</v>
      </c>
      <c r="C23221" s="6" t="s">
        <v>1</v>
      </c>
    </row>
    <row r="23222" spans="1:3" s="7" customFormat="1" x14ac:dyDescent="0.2">
      <c r="A23222" s="6" t="str">
        <f>"FAM102A"</f>
        <v>FAM102A</v>
      </c>
      <c r="B23222" s="6" t="s">
        <v>1</v>
      </c>
      <c r="C23222" s="6" t="s">
        <v>1</v>
      </c>
    </row>
    <row r="23223" spans="1:3" s="7" customFormat="1" x14ac:dyDescent="0.2">
      <c r="A23223" s="6" t="str">
        <f>"S100A14"</f>
        <v>S100A14</v>
      </c>
      <c r="B23223" s="6" t="s">
        <v>1</v>
      </c>
      <c r="C23223" s="6" t="s">
        <v>1</v>
      </c>
    </row>
    <row r="23224" spans="1:3" s="7" customFormat="1" x14ac:dyDescent="0.2">
      <c r="A23224" s="6" t="str">
        <f>"IGF2R"</f>
        <v>IGF2R</v>
      </c>
      <c r="B23224" s="6" t="s">
        <v>1</v>
      </c>
      <c r="C23224" s="6" t="s">
        <v>1</v>
      </c>
    </row>
    <row r="23225" spans="1:3" s="7" customFormat="1" x14ac:dyDescent="0.2">
      <c r="A23225" s="6" t="str">
        <f>"ENAH"</f>
        <v>ENAH</v>
      </c>
      <c r="B23225" s="6" t="s">
        <v>1</v>
      </c>
      <c r="C23225" s="6" t="s">
        <v>1</v>
      </c>
    </row>
    <row r="23226" spans="1:3" s="7" customFormat="1" x14ac:dyDescent="0.2">
      <c r="A23226" s="6" t="str">
        <f>"TGM2"</f>
        <v>TGM2</v>
      </c>
      <c r="B23226" s="6" t="s">
        <v>1</v>
      </c>
      <c r="C23226" s="6" t="s">
        <v>1</v>
      </c>
    </row>
    <row r="23227" spans="1:3" s="7" customFormat="1" x14ac:dyDescent="0.2">
      <c r="A23227" s="6" t="str">
        <f>"FKBP8"</f>
        <v>FKBP8</v>
      </c>
      <c r="B23227" s="6" t="s">
        <v>1</v>
      </c>
      <c r="C23227" s="6" t="s">
        <v>1</v>
      </c>
    </row>
    <row r="23228" spans="1:3" s="7" customFormat="1" x14ac:dyDescent="0.2">
      <c r="A23228" s="6" t="str">
        <f>"MYO1D"</f>
        <v>MYO1D</v>
      </c>
      <c r="B23228" s="6" t="s">
        <v>1</v>
      </c>
      <c r="C23228" s="6" t="s">
        <v>1</v>
      </c>
    </row>
    <row r="23229" spans="1:3" s="7" customFormat="1" x14ac:dyDescent="0.2">
      <c r="A23229" s="6" t="str">
        <f>"IFI16"</f>
        <v>IFI16</v>
      </c>
      <c r="B23229" s="6" t="s">
        <v>1</v>
      </c>
      <c r="C23229" s="6" t="s">
        <v>1</v>
      </c>
    </row>
    <row r="23230" spans="1:3" s="7" customFormat="1" x14ac:dyDescent="0.2">
      <c r="A23230" s="6" t="str">
        <f>"SRGN"</f>
        <v>SRGN</v>
      </c>
      <c r="B23230" s="6" t="s">
        <v>1</v>
      </c>
      <c r="C23230" s="6" t="s">
        <v>1</v>
      </c>
    </row>
    <row r="23231" spans="1:3" s="7" customFormat="1" x14ac:dyDescent="0.2">
      <c r="A23231" s="6" t="str">
        <f>"IFT172"</f>
        <v>IFT172</v>
      </c>
      <c r="B23231" s="6" t="s">
        <v>1</v>
      </c>
      <c r="C23231" s="6" t="s">
        <v>1</v>
      </c>
    </row>
    <row r="23232" spans="1:3" s="7" customFormat="1" x14ac:dyDescent="0.2">
      <c r="A23232" s="6" t="str">
        <f>"FLII"</f>
        <v>FLII</v>
      </c>
      <c r="B23232" s="6" t="s">
        <v>1</v>
      </c>
      <c r="C23232" s="6" t="s">
        <v>1</v>
      </c>
    </row>
    <row r="23233" spans="1:3" s="7" customFormat="1" x14ac:dyDescent="0.2">
      <c r="A23233" s="6" t="str">
        <f>"MLEC"</f>
        <v>MLEC</v>
      </c>
      <c r="B23233" s="6" t="s">
        <v>1</v>
      </c>
      <c r="C23233" s="6" t="s">
        <v>1</v>
      </c>
    </row>
    <row r="23234" spans="1:3" s="7" customFormat="1" x14ac:dyDescent="0.2">
      <c r="A23234" s="6" t="str">
        <f>"MAL2"</f>
        <v>MAL2</v>
      </c>
      <c r="B23234" s="6" t="s">
        <v>1</v>
      </c>
      <c r="C23234" s="6" t="s">
        <v>1</v>
      </c>
    </row>
    <row r="23235" spans="1:3" s="7" customFormat="1" x14ac:dyDescent="0.2">
      <c r="A23235" s="6" t="str">
        <f>"HMGN1"</f>
        <v>HMGN1</v>
      </c>
      <c r="B23235" s="6" t="s">
        <v>1</v>
      </c>
      <c r="C23235" s="6" t="s">
        <v>1</v>
      </c>
    </row>
    <row r="23236" spans="1:3" s="7" customFormat="1" x14ac:dyDescent="0.2">
      <c r="A23236" s="6" t="str">
        <f>"CROCC"</f>
        <v>CROCC</v>
      </c>
      <c r="B23236" s="6" t="s">
        <v>1</v>
      </c>
      <c r="C23236" s="6" t="s">
        <v>1</v>
      </c>
    </row>
    <row r="23237" spans="1:3" s="7" customFormat="1" x14ac:dyDescent="0.2">
      <c r="A23237" s="6" t="str">
        <f>"BAG1"</f>
        <v>BAG1</v>
      </c>
      <c r="B23237" s="6" t="s">
        <v>1</v>
      </c>
      <c r="C23237" s="6" t="s">
        <v>1</v>
      </c>
    </row>
    <row r="23238" spans="1:3" s="7" customFormat="1" x14ac:dyDescent="0.2">
      <c r="A23238" s="6" t="str">
        <f>"ALDH2"</f>
        <v>ALDH2</v>
      </c>
      <c r="B23238" s="6" t="s">
        <v>1</v>
      </c>
      <c r="C23238" s="6" t="s">
        <v>1</v>
      </c>
    </row>
    <row r="23239" spans="1:3" s="7" customFormat="1" x14ac:dyDescent="0.2">
      <c r="A23239" s="6" t="str">
        <f>"TNFRSF21"</f>
        <v>TNFRSF21</v>
      </c>
      <c r="B23239" s="6" t="s">
        <v>1</v>
      </c>
      <c r="C23239" s="6" t="s">
        <v>1</v>
      </c>
    </row>
    <row r="23240" spans="1:3" s="7" customFormat="1" x14ac:dyDescent="0.2">
      <c r="A23240" s="6" t="str">
        <f>"PTP4A2"</f>
        <v>PTP4A2</v>
      </c>
      <c r="B23240" s="6" t="s">
        <v>1</v>
      </c>
      <c r="C23240" s="6" t="s">
        <v>1</v>
      </c>
    </row>
    <row r="23241" spans="1:3" s="7" customFormat="1" x14ac:dyDescent="0.2">
      <c r="A23241" s="6" t="str">
        <f>"SMARCA2"</f>
        <v>SMARCA2</v>
      </c>
      <c r="B23241" s="6" t="s">
        <v>1</v>
      </c>
      <c r="C23241" s="6" t="s">
        <v>1</v>
      </c>
    </row>
    <row r="23242" spans="1:3" s="7" customFormat="1" x14ac:dyDescent="0.2">
      <c r="A23242" s="6" t="str">
        <f>"UGT2A1"</f>
        <v>UGT2A1</v>
      </c>
      <c r="B23242" s="6" t="s">
        <v>1</v>
      </c>
      <c r="C23242" s="6" t="s">
        <v>1</v>
      </c>
    </row>
    <row r="23243" spans="1:3" s="7" customFormat="1" x14ac:dyDescent="0.2">
      <c r="A23243" s="6" t="str">
        <f>"NOMO1"</f>
        <v>NOMO1</v>
      </c>
      <c r="B23243" s="6" t="s">
        <v>1</v>
      </c>
      <c r="C23243" s="6" t="s">
        <v>1</v>
      </c>
    </row>
    <row r="23244" spans="1:3" s="7" customFormat="1" x14ac:dyDescent="0.2">
      <c r="A23244" s="6" t="str">
        <f>"SOD1"</f>
        <v>SOD1</v>
      </c>
      <c r="B23244" s="6" t="s">
        <v>1</v>
      </c>
      <c r="C23244" s="6" t="s">
        <v>1</v>
      </c>
    </row>
    <row r="23245" spans="1:3" s="7" customFormat="1" x14ac:dyDescent="0.2">
      <c r="A23245" s="6" t="str">
        <f>"CCNI"</f>
        <v>CCNI</v>
      </c>
      <c r="B23245" s="6" t="s">
        <v>1</v>
      </c>
      <c r="C23245" s="6" t="s">
        <v>1</v>
      </c>
    </row>
    <row r="23246" spans="1:3" s="7" customFormat="1" x14ac:dyDescent="0.2">
      <c r="A23246" s="6" t="str">
        <f>"OAT"</f>
        <v>OAT</v>
      </c>
      <c r="B23246" s="6" t="s">
        <v>1</v>
      </c>
      <c r="C23246" s="6" t="s">
        <v>1</v>
      </c>
    </row>
    <row r="23247" spans="1:3" s="7" customFormat="1" x14ac:dyDescent="0.2">
      <c r="A23247" s="6" t="str">
        <f>"MKNK2"</f>
        <v>MKNK2</v>
      </c>
      <c r="B23247" s="6" t="s">
        <v>1</v>
      </c>
      <c r="C23247" s="6" t="s">
        <v>1</v>
      </c>
    </row>
    <row r="23248" spans="1:3" s="7" customFormat="1" x14ac:dyDescent="0.2">
      <c r="A23248" s="6" t="str">
        <f>"WNK1"</f>
        <v>WNK1</v>
      </c>
      <c r="B23248" s="6" t="s">
        <v>1</v>
      </c>
      <c r="C23248" s="6" t="s">
        <v>1</v>
      </c>
    </row>
    <row r="23249" spans="1:3" s="7" customFormat="1" x14ac:dyDescent="0.2">
      <c r="A23249" s="6" t="str">
        <f>"PPIB"</f>
        <v>PPIB</v>
      </c>
      <c r="B23249" s="6" t="s">
        <v>1</v>
      </c>
      <c r="C23249" s="6" t="s">
        <v>1</v>
      </c>
    </row>
    <row r="23250" spans="1:3" s="7" customFormat="1" x14ac:dyDescent="0.2">
      <c r="A23250" s="6" t="str">
        <f>"HNRNPA3"</f>
        <v>HNRNPA3</v>
      </c>
      <c r="B23250" s="6" t="s">
        <v>1</v>
      </c>
      <c r="C23250" s="6" t="s">
        <v>1</v>
      </c>
    </row>
    <row r="23251" spans="1:3" s="7" customFormat="1" x14ac:dyDescent="0.2">
      <c r="A23251" s="6" t="str">
        <f>"ADIPOR1"</f>
        <v>ADIPOR1</v>
      </c>
      <c r="B23251" s="6" t="s">
        <v>1</v>
      </c>
      <c r="C23251" s="6" t="s">
        <v>1</v>
      </c>
    </row>
    <row r="23252" spans="1:3" s="7" customFormat="1" x14ac:dyDescent="0.2">
      <c r="A23252" s="6" t="str">
        <f>"LDLRAD1"</f>
        <v>LDLRAD1</v>
      </c>
      <c r="B23252" s="6" t="s">
        <v>1</v>
      </c>
      <c r="C23252" s="6" t="s">
        <v>1</v>
      </c>
    </row>
    <row r="23253" spans="1:3" s="7" customFormat="1" x14ac:dyDescent="0.2">
      <c r="A23253" s="6" t="str">
        <f>"FLNB"</f>
        <v>FLNB</v>
      </c>
      <c r="B23253" s="6" t="s">
        <v>1</v>
      </c>
      <c r="C23253" s="6" t="s">
        <v>1</v>
      </c>
    </row>
    <row r="23254" spans="1:3" s="7" customFormat="1" x14ac:dyDescent="0.2">
      <c r="A23254" s="6" t="str">
        <f>"HNRNPM"</f>
        <v>HNRNPM</v>
      </c>
      <c r="B23254" s="6" t="s">
        <v>1</v>
      </c>
      <c r="C23254" s="6" t="s">
        <v>1</v>
      </c>
    </row>
    <row r="23255" spans="1:3" s="7" customFormat="1" x14ac:dyDescent="0.2">
      <c r="A23255" s="6" t="str">
        <f>"IFI27"</f>
        <v>IFI27</v>
      </c>
      <c r="B23255" s="6" t="s">
        <v>1</v>
      </c>
      <c r="C23255" s="6" t="s">
        <v>1</v>
      </c>
    </row>
    <row r="23256" spans="1:3" s="7" customFormat="1" x14ac:dyDescent="0.2">
      <c r="A23256" s="6" t="str">
        <f>"UFC1"</f>
        <v>UFC1</v>
      </c>
      <c r="B23256" s="6" t="s">
        <v>1</v>
      </c>
      <c r="C23256" s="6" t="s">
        <v>1</v>
      </c>
    </row>
    <row r="23257" spans="1:3" s="7" customFormat="1" x14ac:dyDescent="0.2">
      <c r="A23257" s="6" t="str">
        <f>"PDCD6IP"</f>
        <v>PDCD6IP</v>
      </c>
      <c r="B23257" s="6" t="s">
        <v>1</v>
      </c>
      <c r="C23257" s="6" t="s">
        <v>1</v>
      </c>
    </row>
    <row r="23258" spans="1:3" s="7" customFormat="1" x14ac:dyDescent="0.2">
      <c r="A23258" s="6" t="str">
        <f>"MYO5B"</f>
        <v>MYO5B</v>
      </c>
      <c r="B23258" s="6" t="s">
        <v>1</v>
      </c>
      <c r="C23258" s="6" t="s">
        <v>1</v>
      </c>
    </row>
    <row r="23259" spans="1:3" s="7" customFormat="1" x14ac:dyDescent="0.2">
      <c r="A23259" s="6" t="str">
        <f>"CHST9"</f>
        <v>CHST9</v>
      </c>
      <c r="B23259" s="6" t="s">
        <v>1</v>
      </c>
      <c r="C23259" s="6" t="s">
        <v>1</v>
      </c>
    </row>
    <row r="23260" spans="1:3" s="7" customFormat="1" x14ac:dyDescent="0.2">
      <c r="A23260" s="6" t="str">
        <f>"SLC25A5"</f>
        <v>SLC25A5</v>
      </c>
      <c r="B23260" s="6" t="s">
        <v>1</v>
      </c>
      <c r="C23260" s="6" t="s">
        <v>1</v>
      </c>
    </row>
    <row r="23261" spans="1:3" s="7" customFormat="1" x14ac:dyDescent="0.2">
      <c r="A23261" s="6" t="str">
        <f>"GPX1"</f>
        <v>GPX1</v>
      </c>
      <c r="B23261" s="6" t="s">
        <v>1</v>
      </c>
      <c r="C23261" s="6" t="s">
        <v>1</v>
      </c>
    </row>
    <row r="23262" spans="1:3" s="7" customFormat="1" x14ac:dyDescent="0.2">
      <c r="A23262" s="6" t="str">
        <f>"MDK"</f>
        <v>MDK</v>
      </c>
      <c r="B23262" s="6" t="s">
        <v>1</v>
      </c>
      <c r="C23262" s="6" t="s">
        <v>1</v>
      </c>
    </row>
    <row r="23263" spans="1:3" s="7" customFormat="1" x14ac:dyDescent="0.2">
      <c r="A23263" s="6" t="str">
        <f>"TNFAIP8L1"</f>
        <v>TNFAIP8L1</v>
      </c>
      <c r="B23263" s="6" t="s">
        <v>1</v>
      </c>
      <c r="C23263" s="6" t="s">
        <v>1</v>
      </c>
    </row>
    <row r="23264" spans="1:3" s="7" customFormat="1" x14ac:dyDescent="0.2">
      <c r="A23264" s="6" t="str">
        <f>"SORL1"</f>
        <v>SORL1</v>
      </c>
      <c r="B23264" s="6" t="s">
        <v>1</v>
      </c>
      <c r="C23264" s="6" t="s">
        <v>1</v>
      </c>
    </row>
    <row r="23265" spans="1:3" s="7" customFormat="1" x14ac:dyDescent="0.2">
      <c r="A23265" s="6" t="str">
        <f>"CAPRIN1"</f>
        <v>CAPRIN1</v>
      </c>
      <c r="B23265" s="6" t="s">
        <v>1</v>
      </c>
      <c r="C23265" s="6" t="s">
        <v>1</v>
      </c>
    </row>
    <row r="23266" spans="1:3" s="7" customFormat="1" x14ac:dyDescent="0.2">
      <c r="A23266" s="6" t="str">
        <f>"UCP2"</f>
        <v>UCP2</v>
      </c>
      <c r="B23266" s="6" t="s">
        <v>1</v>
      </c>
      <c r="C23266" s="6" t="s">
        <v>1</v>
      </c>
    </row>
    <row r="23267" spans="1:3" s="7" customFormat="1" x14ac:dyDescent="0.2">
      <c r="A23267" s="6" t="str">
        <f>"B4GALT1"</f>
        <v>B4GALT1</v>
      </c>
      <c r="B23267" s="6" t="s">
        <v>1</v>
      </c>
      <c r="C23267" s="6" t="s">
        <v>1</v>
      </c>
    </row>
    <row r="23268" spans="1:3" s="7" customFormat="1" x14ac:dyDescent="0.2">
      <c r="A23268" s="6" t="str">
        <f>"RPN2"</f>
        <v>RPN2</v>
      </c>
      <c r="B23268" s="6" t="s">
        <v>1</v>
      </c>
      <c r="C23268" s="6" t="s">
        <v>1</v>
      </c>
    </row>
    <row r="23269" spans="1:3" s="7" customFormat="1" x14ac:dyDescent="0.2">
      <c r="A23269" s="6" t="str">
        <f>"CHMP4B"</f>
        <v>CHMP4B</v>
      </c>
      <c r="B23269" s="6" t="s">
        <v>1</v>
      </c>
      <c r="C23269" s="6" t="s">
        <v>1</v>
      </c>
    </row>
    <row r="23270" spans="1:3" s="7" customFormat="1" x14ac:dyDescent="0.2">
      <c r="A23270" s="6" t="str">
        <f>"IFT57"</f>
        <v>IFT57</v>
      </c>
      <c r="B23270" s="6" t="s">
        <v>1</v>
      </c>
      <c r="C23270" s="6" t="s">
        <v>1</v>
      </c>
    </row>
    <row r="23271" spans="1:3" s="7" customFormat="1" x14ac:dyDescent="0.2">
      <c r="A23271" s="6" t="str">
        <f>"EEF1D"</f>
        <v>EEF1D</v>
      </c>
      <c r="B23271" s="6" t="s">
        <v>1</v>
      </c>
      <c r="C23271" s="6" t="s">
        <v>1</v>
      </c>
    </row>
    <row r="23272" spans="1:3" s="7" customFormat="1" x14ac:dyDescent="0.2">
      <c r="A23272" s="6" t="str">
        <f>"DNALI1"</f>
        <v>DNALI1</v>
      </c>
      <c r="B23272" s="6" t="s">
        <v>1</v>
      </c>
      <c r="C23272" s="6" t="s">
        <v>1</v>
      </c>
    </row>
    <row r="23273" spans="1:3" s="7" customFormat="1" x14ac:dyDescent="0.2">
      <c r="A23273" s="6" t="str">
        <f>"BTF3"</f>
        <v>BTF3</v>
      </c>
      <c r="B23273" s="6" t="s">
        <v>1</v>
      </c>
      <c r="C23273" s="6" t="s">
        <v>1</v>
      </c>
    </row>
    <row r="23274" spans="1:3" s="7" customFormat="1" x14ac:dyDescent="0.2">
      <c r="A23274" s="6" t="str">
        <f>"TRIM2"</f>
        <v>TRIM2</v>
      </c>
      <c r="B23274" s="6" t="s">
        <v>1</v>
      </c>
      <c r="C23274" s="6" t="s">
        <v>1</v>
      </c>
    </row>
    <row r="23275" spans="1:3" s="7" customFormat="1" x14ac:dyDescent="0.2">
      <c r="A23275" s="6" t="str">
        <f>"S100A4"</f>
        <v>S100A4</v>
      </c>
      <c r="B23275" s="6" t="s">
        <v>1</v>
      </c>
      <c r="C23275" s="6" t="s">
        <v>1</v>
      </c>
    </row>
    <row r="23276" spans="1:3" s="7" customFormat="1" x14ac:dyDescent="0.2">
      <c r="A23276" s="6" t="str">
        <f>"NOP53"</f>
        <v>NOP53</v>
      </c>
      <c r="B23276" s="6" t="s">
        <v>1</v>
      </c>
      <c r="C23276" s="6" t="s">
        <v>1</v>
      </c>
    </row>
    <row r="23277" spans="1:3" s="7" customFormat="1" x14ac:dyDescent="0.2">
      <c r="A23277" s="6" t="str">
        <f>"HMGN2"</f>
        <v>HMGN2</v>
      </c>
      <c r="B23277" s="6" t="s">
        <v>1</v>
      </c>
      <c r="C23277" s="6" t="s">
        <v>1</v>
      </c>
    </row>
    <row r="23278" spans="1:3" s="7" customFormat="1" x14ac:dyDescent="0.2">
      <c r="A23278" s="6" t="str">
        <f>"B4GALT5"</f>
        <v>B4GALT5</v>
      </c>
      <c r="B23278" s="6" t="s">
        <v>1</v>
      </c>
      <c r="C23278" s="6" t="s">
        <v>1</v>
      </c>
    </row>
    <row r="23279" spans="1:3" s="7" customFormat="1" x14ac:dyDescent="0.2">
      <c r="A23279" s="6" t="str">
        <f>"CHST6"</f>
        <v>CHST6</v>
      </c>
      <c r="B23279" s="6" t="s">
        <v>1</v>
      </c>
      <c r="C23279" s="6" t="s">
        <v>1</v>
      </c>
    </row>
    <row r="23280" spans="1:3" s="7" customFormat="1" x14ac:dyDescent="0.2">
      <c r="A23280" s="6" t="str">
        <f>"NONO"</f>
        <v>NONO</v>
      </c>
      <c r="B23280" s="6" t="s">
        <v>1</v>
      </c>
      <c r="C23280" s="6" t="s">
        <v>1</v>
      </c>
    </row>
    <row r="23281" spans="1:3" s="7" customFormat="1" x14ac:dyDescent="0.2">
      <c r="A23281" s="6" t="str">
        <f>"AC243919.1"</f>
        <v>AC243919.1</v>
      </c>
      <c r="B23281" s="6" t="s">
        <v>1</v>
      </c>
      <c r="C23281" s="6" t="s">
        <v>1</v>
      </c>
    </row>
    <row r="23282" spans="1:3" s="7" customFormat="1" x14ac:dyDescent="0.2">
      <c r="A23282" s="6" t="str">
        <f>"CNOT1"</f>
        <v>CNOT1</v>
      </c>
      <c r="B23282" s="6" t="s">
        <v>1</v>
      </c>
      <c r="C23282" s="6" t="s">
        <v>1</v>
      </c>
    </row>
    <row r="23283" spans="1:3" s="7" customFormat="1" x14ac:dyDescent="0.2">
      <c r="A23283" s="6" t="str">
        <f>"TGOLN2"</f>
        <v>TGOLN2</v>
      </c>
      <c r="B23283" s="6" t="s">
        <v>1</v>
      </c>
      <c r="C23283" s="6" t="s">
        <v>1</v>
      </c>
    </row>
    <row r="23284" spans="1:3" s="7" customFormat="1" x14ac:dyDescent="0.2">
      <c r="A23284" s="6" t="str">
        <f>"RPS10"</f>
        <v>RPS10</v>
      </c>
      <c r="B23284" s="6" t="s">
        <v>1</v>
      </c>
      <c r="C23284" s="6" t="s">
        <v>1</v>
      </c>
    </row>
    <row r="23285" spans="1:3" s="7" customFormat="1" x14ac:dyDescent="0.2">
      <c r="A23285" s="6" t="str">
        <f>"BAG6"</f>
        <v>BAG6</v>
      </c>
      <c r="B23285" s="6" t="s">
        <v>1</v>
      </c>
      <c r="C23285" s="6" t="s">
        <v>1</v>
      </c>
    </row>
    <row r="23286" spans="1:3" s="7" customFormat="1" x14ac:dyDescent="0.2">
      <c r="A23286" s="6" t="str">
        <f>"BRD2"</f>
        <v>BRD2</v>
      </c>
      <c r="B23286" s="6" t="s">
        <v>1</v>
      </c>
      <c r="C23286" s="6" t="s">
        <v>1</v>
      </c>
    </row>
    <row r="23287" spans="1:3" s="7" customFormat="1" x14ac:dyDescent="0.2">
      <c r="A23287" s="6" t="str">
        <f>"SELENBP1"</f>
        <v>SELENBP1</v>
      </c>
      <c r="B23287" s="6" t="s">
        <v>1</v>
      </c>
      <c r="C23287" s="6" t="s">
        <v>1</v>
      </c>
    </row>
    <row r="23288" spans="1:3" s="7" customFormat="1" x14ac:dyDescent="0.2">
      <c r="A23288" s="6" t="str">
        <f>"CCPG1"</f>
        <v>CCPG1</v>
      </c>
      <c r="B23288" s="6" t="s">
        <v>1</v>
      </c>
      <c r="C23288" s="6" t="s">
        <v>1</v>
      </c>
    </row>
    <row r="23289" spans="1:3" s="7" customFormat="1" x14ac:dyDescent="0.2">
      <c r="A23289" s="6" t="str">
        <f>"SEC61A1"</f>
        <v>SEC61A1</v>
      </c>
      <c r="B23289" s="6" t="s">
        <v>1</v>
      </c>
      <c r="C23289" s="6" t="s">
        <v>1</v>
      </c>
    </row>
    <row r="23290" spans="1:3" s="7" customFormat="1" x14ac:dyDescent="0.2">
      <c r="A23290" s="6" t="str">
        <f>"AQP5"</f>
        <v>AQP5</v>
      </c>
      <c r="B23290" s="6" t="s">
        <v>1</v>
      </c>
      <c r="C23290" s="6" t="s">
        <v>1</v>
      </c>
    </row>
    <row r="23291" spans="1:3" s="7" customFormat="1" x14ac:dyDescent="0.2">
      <c r="A23291" s="6" t="str">
        <f>"RPN1"</f>
        <v>RPN1</v>
      </c>
      <c r="B23291" s="6" t="s">
        <v>1</v>
      </c>
      <c r="C23291" s="6" t="s">
        <v>1</v>
      </c>
    </row>
    <row r="23292" spans="1:3" s="7" customFormat="1" x14ac:dyDescent="0.2">
      <c r="A23292" s="6" t="str">
        <f>"ECE1"</f>
        <v>ECE1</v>
      </c>
      <c r="B23292" s="6" t="s">
        <v>1</v>
      </c>
      <c r="C23292" s="6" t="s">
        <v>1</v>
      </c>
    </row>
    <row r="23293" spans="1:3" s="7" customFormat="1" x14ac:dyDescent="0.2">
      <c r="A23293" s="6" t="str">
        <f>"SON"</f>
        <v>SON</v>
      </c>
      <c r="B23293" s="6" t="s">
        <v>1</v>
      </c>
      <c r="C23293" s="6" t="s">
        <v>1</v>
      </c>
    </row>
    <row r="23294" spans="1:3" s="7" customFormat="1" x14ac:dyDescent="0.2">
      <c r="A23294" s="6" t="str">
        <f>"TNFSF10"</f>
        <v>TNFSF10</v>
      </c>
      <c r="B23294" s="6" t="s">
        <v>1</v>
      </c>
      <c r="C23294" s="6" t="s">
        <v>1</v>
      </c>
    </row>
    <row r="23295" spans="1:3" s="7" customFormat="1" x14ac:dyDescent="0.2">
      <c r="A23295" s="6" t="str">
        <f>"SORD"</f>
        <v>SORD</v>
      </c>
      <c r="B23295" s="6" t="s">
        <v>1</v>
      </c>
      <c r="C23295" s="6" t="s">
        <v>1</v>
      </c>
    </row>
    <row r="23296" spans="1:3" s="7" customFormat="1" x14ac:dyDescent="0.2">
      <c r="A23296" s="6" t="str">
        <f>"CCN2"</f>
        <v>CCN2</v>
      </c>
      <c r="B23296" s="6" t="s">
        <v>1</v>
      </c>
      <c r="C23296" s="6" t="s">
        <v>1</v>
      </c>
    </row>
    <row r="23297" spans="1:3" s="7" customFormat="1" x14ac:dyDescent="0.2">
      <c r="A23297" s="6" t="str">
        <f>"ASS1"</f>
        <v>ASS1</v>
      </c>
      <c r="B23297" s="6" t="s">
        <v>1</v>
      </c>
      <c r="C23297" s="6" t="s">
        <v>1</v>
      </c>
    </row>
    <row r="23298" spans="1:3" s="7" customFormat="1" x14ac:dyDescent="0.2">
      <c r="A23298" s="6" t="str">
        <f>"MYOF"</f>
        <v>MYOF</v>
      </c>
      <c r="B23298" s="6" t="s">
        <v>1</v>
      </c>
      <c r="C23298" s="6" t="s">
        <v>1</v>
      </c>
    </row>
    <row r="23299" spans="1:3" s="7" customFormat="1" x14ac:dyDescent="0.2">
      <c r="A23299" s="6" t="str">
        <f>"BASP1"</f>
        <v>BASP1</v>
      </c>
      <c r="B23299" s="6" t="s">
        <v>1</v>
      </c>
      <c r="C23299" s="6" t="s">
        <v>1</v>
      </c>
    </row>
    <row r="23300" spans="1:3" s="7" customFormat="1" x14ac:dyDescent="0.2">
      <c r="A23300" s="6" t="str">
        <f>"IGFBP3"</f>
        <v>IGFBP3</v>
      </c>
      <c r="B23300" s="6" t="s">
        <v>1</v>
      </c>
      <c r="C23300" s="6" t="s">
        <v>1</v>
      </c>
    </row>
    <row r="23301" spans="1:3" s="7" customFormat="1" x14ac:dyDescent="0.2">
      <c r="A23301" s="6" t="str">
        <f>"RPLP2"</f>
        <v>RPLP2</v>
      </c>
      <c r="B23301" s="6" t="s">
        <v>1</v>
      </c>
      <c r="C23301" s="6" t="s">
        <v>1</v>
      </c>
    </row>
    <row r="23302" spans="1:3" s="7" customFormat="1" x14ac:dyDescent="0.2">
      <c r="A23302" s="6" t="str">
        <f>"MAGED2"</f>
        <v>MAGED2</v>
      </c>
      <c r="B23302" s="6" t="s">
        <v>1</v>
      </c>
      <c r="C23302" s="6" t="s">
        <v>1</v>
      </c>
    </row>
    <row r="23303" spans="1:3" s="7" customFormat="1" x14ac:dyDescent="0.2">
      <c r="A23303" s="6" t="str">
        <f>"LRP11"</f>
        <v>LRP11</v>
      </c>
      <c r="B23303" s="6" t="s">
        <v>1</v>
      </c>
      <c r="C23303" s="6" t="s">
        <v>1</v>
      </c>
    </row>
    <row r="23304" spans="1:3" s="7" customFormat="1" x14ac:dyDescent="0.2">
      <c r="A23304" s="6" t="str">
        <f>"HNRNPC"</f>
        <v>HNRNPC</v>
      </c>
      <c r="B23304" s="6" t="s">
        <v>1</v>
      </c>
      <c r="C23304" s="6" t="s">
        <v>1</v>
      </c>
    </row>
    <row r="23305" spans="1:3" s="7" customFormat="1" x14ac:dyDescent="0.2">
      <c r="A23305" s="6" t="str">
        <f>"GPX4"</f>
        <v>GPX4</v>
      </c>
      <c r="B23305" s="6" t="s">
        <v>1</v>
      </c>
      <c r="C23305" s="6" t="s">
        <v>1</v>
      </c>
    </row>
    <row r="23306" spans="1:3" s="7" customFormat="1" x14ac:dyDescent="0.2">
      <c r="A23306" s="6" t="str">
        <f>"FAM107B"</f>
        <v>FAM107B</v>
      </c>
      <c r="B23306" s="6" t="s">
        <v>1</v>
      </c>
      <c r="C23306" s="6" t="s">
        <v>1</v>
      </c>
    </row>
    <row r="23307" spans="1:3" s="7" customFormat="1" x14ac:dyDescent="0.2">
      <c r="A23307" s="6" t="str">
        <f>"F11R"</f>
        <v>F11R</v>
      </c>
      <c r="B23307" s="6" t="s">
        <v>1</v>
      </c>
      <c r="C23307" s="6" t="s">
        <v>1</v>
      </c>
    </row>
    <row r="23308" spans="1:3" s="7" customFormat="1" x14ac:dyDescent="0.2">
      <c r="A23308" s="6" t="str">
        <f>"PCM1"</f>
        <v>PCM1</v>
      </c>
      <c r="B23308" s="6" t="s">
        <v>1</v>
      </c>
      <c r="C23308" s="6" t="s">
        <v>1</v>
      </c>
    </row>
    <row r="23309" spans="1:3" s="7" customFormat="1" x14ac:dyDescent="0.2">
      <c r="A23309" s="6" t="str">
        <f>"HNRNPF"</f>
        <v>HNRNPF</v>
      </c>
      <c r="B23309" s="6" t="s">
        <v>1</v>
      </c>
      <c r="C23309" s="6" t="s">
        <v>1</v>
      </c>
    </row>
    <row r="23310" spans="1:3" s="7" customFormat="1" x14ac:dyDescent="0.2">
      <c r="A23310" s="6" t="str">
        <f>"IGFBP7"</f>
        <v>IGFBP7</v>
      </c>
      <c r="B23310" s="6" t="s">
        <v>1</v>
      </c>
      <c r="C23310" s="6" t="s">
        <v>1</v>
      </c>
    </row>
    <row r="23311" spans="1:3" s="7" customFormat="1" x14ac:dyDescent="0.2">
      <c r="A23311" s="6" t="str">
        <f>"ADH7"</f>
        <v>ADH7</v>
      </c>
      <c r="B23311" s="6" t="s">
        <v>1</v>
      </c>
      <c r="C23311" s="6" t="s">
        <v>1</v>
      </c>
    </row>
    <row r="23312" spans="1:3" s="7" customFormat="1" x14ac:dyDescent="0.2">
      <c r="A23312" s="6" t="str">
        <f>"GABRP"</f>
        <v>GABRP</v>
      </c>
      <c r="B23312" s="6" t="s">
        <v>1</v>
      </c>
      <c r="C23312" s="6" t="s">
        <v>1</v>
      </c>
    </row>
    <row r="23313" spans="1:3" s="7" customFormat="1" x14ac:dyDescent="0.2">
      <c r="A23313" s="6" t="str">
        <f>"HNRNPUL1"</f>
        <v>HNRNPUL1</v>
      </c>
      <c r="B23313" s="6" t="s">
        <v>1</v>
      </c>
      <c r="C23313" s="6" t="s">
        <v>1</v>
      </c>
    </row>
    <row r="23314" spans="1:3" s="7" customFormat="1" x14ac:dyDescent="0.2">
      <c r="A23314" s="6" t="str">
        <f>"PPDPF"</f>
        <v>PPDPF</v>
      </c>
      <c r="B23314" s="6" t="s">
        <v>1</v>
      </c>
      <c r="C23314" s="6" t="s">
        <v>1</v>
      </c>
    </row>
    <row r="23315" spans="1:3" s="7" customFormat="1" x14ac:dyDescent="0.2">
      <c r="A23315" s="6" t="str">
        <f>"VMO1"</f>
        <v>VMO1</v>
      </c>
      <c r="B23315" s="6" t="s">
        <v>1</v>
      </c>
      <c r="C23315" s="6" t="s">
        <v>1</v>
      </c>
    </row>
    <row r="23316" spans="1:3" s="7" customFormat="1" x14ac:dyDescent="0.2">
      <c r="A23316" s="6" t="str">
        <f>"MSLN"</f>
        <v>MSLN</v>
      </c>
      <c r="B23316" s="6" t="s">
        <v>1</v>
      </c>
      <c r="C23316" s="6" t="s">
        <v>1</v>
      </c>
    </row>
    <row r="23317" spans="1:3" s="7" customFormat="1" x14ac:dyDescent="0.2">
      <c r="A23317" s="6" t="str">
        <f>"PLEKHS1"</f>
        <v>PLEKHS1</v>
      </c>
      <c r="B23317" s="6" t="s">
        <v>1</v>
      </c>
      <c r="C23317" s="6" t="s">
        <v>1</v>
      </c>
    </row>
    <row r="23318" spans="1:3" s="7" customFormat="1" x14ac:dyDescent="0.2">
      <c r="A23318" s="6" t="str">
        <f>"NEAT1"</f>
        <v>NEAT1</v>
      </c>
      <c r="B23318" s="6" t="s">
        <v>1</v>
      </c>
      <c r="C23318" s="6" t="s">
        <v>1</v>
      </c>
    </row>
    <row r="23319" spans="1:3" s="7" customFormat="1" x14ac:dyDescent="0.2">
      <c r="A23319" s="6" t="str">
        <f>"SLC25A6"</f>
        <v>SLC25A6</v>
      </c>
      <c r="B23319" s="6" t="s">
        <v>1</v>
      </c>
      <c r="C23319" s="6" t="s">
        <v>1</v>
      </c>
    </row>
    <row r="23320" spans="1:3" s="7" customFormat="1" x14ac:dyDescent="0.2">
      <c r="A23320" s="6" t="str">
        <f>"OAZ1"</f>
        <v>OAZ1</v>
      </c>
      <c r="B23320" s="6" t="s">
        <v>1</v>
      </c>
      <c r="C23320" s="6" t="s">
        <v>1</v>
      </c>
    </row>
    <row r="23321" spans="1:3" s="7" customFormat="1" x14ac:dyDescent="0.2">
      <c r="A23321" s="6" t="str">
        <f>"C20orf85"</f>
        <v>C20orf85</v>
      </c>
      <c r="B23321" s="6" t="s">
        <v>1</v>
      </c>
      <c r="C23321" s="6" t="s">
        <v>1</v>
      </c>
    </row>
    <row r="23322" spans="1:3" s="7" customFormat="1" x14ac:dyDescent="0.2">
      <c r="A23322" s="6" t="str">
        <f>"RPL5"</f>
        <v>RPL5</v>
      </c>
      <c r="B23322" s="6" t="s">
        <v>1</v>
      </c>
      <c r="C23322" s="6" t="s">
        <v>1</v>
      </c>
    </row>
    <row r="23323" spans="1:3" s="7" customFormat="1" x14ac:dyDescent="0.2">
      <c r="A23323" s="6" t="str">
        <f>"NWD1"</f>
        <v>NWD1</v>
      </c>
      <c r="B23323" s="6" t="s">
        <v>1</v>
      </c>
      <c r="C23323" s="6" t="s">
        <v>1</v>
      </c>
    </row>
    <row r="23324" spans="1:3" s="7" customFormat="1" x14ac:dyDescent="0.2">
      <c r="A23324" s="6" t="str">
        <f>"CAPNS1"</f>
        <v>CAPNS1</v>
      </c>
      <c r="B23324" s="6" t="s">
        <v>1</v>
      </c>
      <c r="C23324" s="6" t="s">
        <v>1</v>
      </c>
    </row>
    <row r="23325" spans="1:3" s="7" customFormat="1" x14ac:dyDescent="0.2">
      <c r="A23325" s="6" t="str">
        <f>"CELSR1"</f>
        <v>CELSR1</v>
      </c>
      <c r="B23325" s="6" t="s">
        <v>1</v>
      </c>
      <c r="C23325" s="6" t="s">
        <v>1</v>
      </c>
    </row>
    <row r="23326" spans="1:3" s="7" customFormat="1" x14ac:dyDescent="0.2">
      <c r="A23326" s="6" t="str">
        <f>"LGALS3BP"</f>
        <v>LGALS3BP</v>
      </c>
      <c r="B23326" s="6" t="s">
        <v>1</v>
      </c>
      <c r="C23326" s="6" t="s">
        <v>1</v>
      </c>
    </row>
    <row r="23327" spans="1:3" s="7" customFormat="1" x14ac:dyDescent="0.2">
      <c r="A23327" s="6" t="str">
        <f>"ENO1"</f>
        <v>ENO1</v>
      </c>
      <c r="B23327" s="6" t="s">
        <v>1</v>
      </c>
      <c r="C23327" s="6" t="s">
        <v>1</v>
      </c>
    </row>
    <row r="23328" spans="1:3" s="7" customFormat="1" x14ac:dyDescent="0.2">
      <c r="A23328" s="6" t="str">
        <f>"PPIA"</f>
        <v>PPIA</v>
      </c>
      <c r="B23328" s="6" t="s">
        <v>1</v>
      </c>
      <c r="C23328" s="6" t="s">
        <v>1</v>
      </c>
    </row>
    <row r="23329" spans="1:3" s="7" customFormat="1" x14ac:dyDescent="0.2">
      <c r="A23329" s="6" t="str">
        <f>"RPL6"</f>
        <v>RPL6</v>
      </c>
      <c r="B23329" s="6" t="s">
        <v>1</v>
      </c>
      <c r="C23329" s="6" t="s">
        <v>1</v>
      </c>
    </row>
    <row r="23330" spans="1:3" s="7" customFormat="1" x14ac:dyDescent="0.2">
      <c r="A23330" s="6" t="str">
        <f>"BSG"</f>
        <v>BSG</v>
      </c>
      <c r="B23330" s="6" t="s">
        <v>1</v>
      </c>
      <c r="C23330" s="6" t="s">
        <v>1</v>
      </c>
    </row>
    <row r="23331" spans="1:3" s="7" customFormat="1" x14ac:dyDescent="0.2">
      <c r="A23331" s="6" t="str">
        <f>"NORAD"</f>
        <v>NORAD</v>
      </c>
      <c r="B23331" s="6" t="s">
        <v>1</v>
      </c>
      <c r="C23331" s="6" t="s">
        <v>1</v>
      </c>
    </row>
    <row r="23332" spans="1:3" s="7" customFormat="1" x14ac:dyDescent="0.2">
      <c r="A23332" s="6" t="str">
        <f>"CRIP1"</f>
        <v>CRIP1</v>
      </c>
      <c r="B23332" s="6" t="s">
        <v>1</v>
      </c>
      <c r="C23332" s="6" t="s">
        <v>1</v>
      </c>
    </row>
    <row r="23333" spans="1:3" s="7" customFormat="1" x14ac:dyDescent="0.2">
      <c r="A23333" s="6" t="str">
        <f>"SRRM2"</f>
        <v>SRRM2</v>
      </c>
      <c r="B23333" s="6" t="s">
        <v>1</v>
      </c>
      <c r="C23333" s="6" t="s">
        <v>1</v>
      </c>
    </row>
    <row r="23334" spans="1:3" s="7" customFormat="1" x14ac:dyDescent="0.2">
      <c r="A23334" s="6" t="str">
        <f>"CYP2F1"</f>
        <v>CYP2F1</v>
      </c>
      <c r="B23334" s="6" t="s">
        <v>1</v>
      </c>
      <c r="C23334" s="6" t="s">
        <v>1</v>
      </c>
    </row>
    <row r="23335" spans="1:3" s="7" customFormat="1" x14ac:dyDescent="0.2">
      <c r="A23335" s="6" t="str">
        <f>"CAST"</f>
        <v>CAST</v>
      </c>
      <c r="B23335" s="6" t="s">
        <v>1</v>
      </c>
      <c r="C23335" s="6" t="s">
        <v>1</v>
      </c>
    </row>
    <row r="23336" spans="1:3" s="7" customFormat="1" x14ac:dyDescent="0.2">
      <c r="A23336" s="6" t="str">
        <f>"RPL7"</f>
        <v>RPL7</v>
      </c>
      <c r="B23336" s="6" t="s">
        <v>1</v>
      </c>
      <c r="C23336" s="6" t="s">
        <v>1</v>
      </c>
    </row>
    <row r="23337" spans="1:3" s="7" customFormat="1" x14ac:dyDescent="0.2">
      <c r="A23337" s="6" t="str">
        <f>"HNRNPU"</f>
        <v>HNRNPU</v>
      </c>
      <c r="B23337" s="6" t="s">
        <v>1</v>
      </c>
      <c r="C23337" s="6" t="s">
        <v>1</v>
      </c>
    </row>
    <row r="23338" spans="1:3" s="7" customFormat="1" x14ac:dyDescent="0.2">
      <c r="A23338" s="6" t="str">
        <f>"HNRNPK"</f>
        <v>HNRNPK</v>
      </c>
      <c r="B23338" s="6" t="s">
        <v>1</v>
      </c>
      <c r="C23338" s="6" t="s">
        <v>1</v>
      </c>
    </row>
    <row r="23339" spans="1:3" s="7" customFormat="1" x14ac:dyDescent="0.2">
      <c r="A23339" s="6" t="str">
        <f>"SOD2"</f>
        <v>SOD2</v>
      </c>
      <c r="B23339" s="6" t="s">
        <v>1</v>
      </c>
      <c r="C23339" s="6" t="s">
        <v>1</v>
      </c>
    </row>
    <row r="23340" spans="1:3" s="7" customFormat="1" x14ac:dyDescent="0.2">
      <c r="A23340" s="6" t="str">
        <f>"ADH1C"</f>
        <v>ADH1C</v>
      </c>
      <c r="B23340" s="6" t="s">
        <v>1</v>
      </c>
      <c r="C23340" s="6" t="s">
        <v>1</v>
      </c>
    </row>
    <row r="23341" spans="1:3" s="7" customFormat="1" x14ac:dyDescent="0.2">
      <c r="A23341" s="6" t="str">
        <f>"LRP10"</f>
        <v>LRP10</v>
      </c>
      <c r="B23341" s="6" t="s">
        <v>1</v>
      </c>
      <c r="C23341" s="6" t="s">
        <v>1</v>
      </c>
    </row>
    <row r="23342" spans="1:3" s="7" customFormat="1" x14ac:dyDescent="0.2">
      <c r="A23342" s="6" t="str">
        <f>"APP"</f>
        <v>APP</v>
      </c>
      <c r="B23342" s="6" t="s">
        <v>1</v>
      </c>
      <c r="C23342" s="6" t="s">
        <v>1</v>
      </c>
    </row>
    <row r="23343" spans="1:3" s="7" customFormat="1" x14ac:dyDescent="0.2">
      <c r="A23343" s="6" t="str">
        <f>"CEACAM6"</f>
        <v>CEACAM6</v>
      </c>
      <c r="B23343" s="6" t="s">
        <v>1</v>
      </c>
      <c r="C23343" s="6" t="s">
        <v>1</v>
      </c>
    </row>
    <row r="23344" spans="1:3" s="7" customFormat="1" x14ac:dyDescent="0.2">
      <c r="A23344" s="6" t="str">
        <f>"CYP4B1"</f>
        <v>CYP4B1</v>
      </c>
      <c r="B23344" s="6" t="s">
        <v>1</v>
      </c>
      <c r="C23344" s="6" t="s">
        <v>1</v>
      </c>
    </row>
    <row r="23345" spans="1:3" s="7" customFormat="1" x14ac:dyDescent="0.2">
      <c r="A23345" s="6" t="str">
        <f>"HNRNPA1"</f>
        <v>HNRNPA1</v>
      </c>
      <c r="B23345" s="6" t="s">
        <v>1</v>
      </c>
      <c r="C23345" s="6" t="s">
        <v>1</v>
      </c>
    </row>
    <row r="23346" spans="1:3" s="7" customFormat="1" x14ac:dyDescent="0.2">
      <c r="A23346" s="6" t="str">
        <f>"PROM1"</f>
        <v>PROM1</v>
      </c>
      <c r="B23346" s="6" t="s">
        <v>1</v>
      </c>
      <c r="C23346" s="6" t="s">
        <v>1</v>
      </c>
    </row>
    <row r="23347" spans="1:3" s="7" customFormat="1" x14ac:dyDescent="0.2">
      <c r="A23347" s="6" t="str">
        <f>"IGFBP2"</f>
        <v>IGFBP2</v>
      </c>
      <c r="B23347" s="6" t="s">
        <v>1</v>
      </c>
      <c r="C23347" s="6" t="s">
        <v>1</v>
      </c>
    </row>
    <row r="23348" spans="1:3" s="7" customFormat="1" x14ac:dyDescent="0.2">
      <c r="A23348" s="6" t="str">
        <f>"HNRNPA2B1"</f>
        <v>HNRNPA2B1</v>
      </c>
      <c r="B23348" s="6" t="s">
        <v>1</v>
      </c>
      <c r="C23348" s="6" t="s">
        <v>1</v>
      </c>
    </row>
    <row r="23349" spans="1:3" s="7" customFormat="1" x14ac:dyDescent="0.2">
      <c r="A23349" s="6" t="str">
        <f>"ALDH3B1"</f>
        <v>ALDH3B1</v>
      </c>
      <c r="B23349" s="6" t="s">
        <v>1</v>
      </c>
      <c r="C23349" s="6" t="s">
        <v>1</v>
      </c>
    </row>
    <row r="23350" spans="1:3" s="7" customFormat="1" x14ac:dyDescent="0.2">
      <c r="A23350" s="6" t="str">
        <f>"RPL7A"</f>
        <v>RPL7A</v>
      </c>
      <c r="B23350" s="6" t="s">
        <v>1</v>
      </c>
      <c r="C23350" s="6" t="s">
        <v>1</v>
      </c>
    </row>
    <row r="23351" spans="1:3" s="7" customFormat="1" x14ac:dyDescent="0.2">
      <c r="A23351" s="6" t="str">
        <f>"S100P"</f>
        <v>S100P</v>
      </c>
      <c r="B23351" s="6" t="s">
        <v>1</v>
      </c>
      <c r="C23351" s="6" t="s">
        <v>1</v>
      </c>
    </row>
    <row r="23352" spans="1:3" s="7" customFormat="1" x14ac:dyDescent="0.2">
      <c r="A23352" s="6" t="str">
        <f>"MYL6"</f>
        <v>MYL6</v>
      </c>
      <c r="B23352" s="6" t="s">
        <v>1</v>
      </c>
      <c r="C23352" s="6" t="s">
        <v>1</v>
      </c>
    </row>
    <row r="23353" spans="1:3" s="7" customFormat="1" x14ac:dyDescent="0.2">
      <c r="A23353" s="6" t="str">
        <f>"ALCAM"</f>
        <v>ALCAM</v>
      </c>
      <c r="B23353" s="6" t="s">
        <v>1</v>
      </c>
      <c r="C23353" s="6" t="s">
        <v>1</v>
      </c>
    </row>
    <row r="23354" spans="1:3" s="7" customFormat="1" x14ac:dyDescent="0.2">
      <c r="A23354" s="6" t="str">
        <f>"C3"</f>
        <v>C3</v>
      </c>
      <c r="B23354" s="6" t="s">
        <v>1</v>
      </c>
      <c r="C23354" s="6" t="s">
        <v>1</v>
      </c>
    </row>
    <row r="23355" spans="1:3" s="7" customFormat="1" x14ac:dyDescent="0.2">
      <c r="A23355" s="6" t="str">
        <f>"S100A9"</f>
        <v>S100A9</v>
      </c>
      <c r="B23355" s="6" t="s">
        <v>1</v>
      </c>
      <c r="C23355" s="6" t="s">
        <v>1</v>
      </c>
    </row>
    <row r="23356" spans="1:3" s="7" customFormat="1" x14ac:dyDescent="0.2">
      <c r="A23356" s="6" t="str">
        <f>"LGALS3"</f>
        <v>LGALS3</v>
      </c>
      <c r="B23356" s="6" t="s">
        <v>1</v>
      </c>
      <c r="C23356" s="6" t="s">
        <v>1</v>
      </c>
    </row>
    <row r="23357" spans="1:3" s="7" customFormat="1" x14ac:dyDescent="0.2">
      <c r="A23357" s="6" t="str">
        <f>"APLP2"</f>
        <v>APLP2</v>
      </c>
      <c r="B23357" s="6" t="s">
        <v>1</v>
      </c>
      <c r="C23357" s="6" t="s">
        <v>1</v>
      </c>
    </row>
    <row r="23358" spans="1:3" s="7" customFormat="1" x14ac:dyDescent="0.2">
      <c r="A23358" s="6" t="str">
        <f>"P4HB"</f>
        <v>P4HB</v>
      </c>
      <c r="B23358" s="6" t="s">
        <v>1</v>
      </c>
      <c r="C23358" s="6" t="s">
        <v>1</v>
      </c>
    </row>
    <row r="23359" spans="1:3" s="7" customFormat="1" x14ac:dyDescent="0.2">
      <c r="A23359" s="6" t="str">
        <f>"F3"</f>
        <v>F3</v>
      </c>
      <c r="B23359" s="6" t="s">
        <v>1</v>
      </c>
      <c r="C23359" s="6" t="s">
        <v>1</v>
      </c>
    </row>
    <row r="23360" spans="1:3" s="7" customFormat="1" x14ac:dyDescent="0.2">
      <c r="A23360" s="6" t="str">
        <f>"RPL8"</f>
        <v>RPL8</v>
      </c>
      <c r="B23360" s="6" t="s">
        <v>1</v>
      </c>
      <c r="C23360" s="6" t="s">
        <v>1</v>
      </c>
    </row>
    <row r="23361" spans="1:3" s="7" customFormat="1" x14ac:dyDescent="0.2">
      <c r="A23361" s="6" t="str">
        <f>"ALDOA"</f>
        <v>ALDOA</v>
      </c>
      <c r="B23361" s="6" t="s">
        <v>1</v>
      </c>
      <c r="C23361" s="6" t="s">
        <v>1</v>
      </c>
    </row>
    <row r="23362" spans="1:3" s="7" customFormat="1" x14ac:dyDescent="0.2">
      <c r="A23362" s="6" t="str">
        <f>"MSMB"</f>
        <v>MSMB</v>
      </c>
      <c r="B23362" s="6" t="s">
        <v>1</v>
      </c>
      <c r="C23362" s="6" t="s">
        <v>1</v>
      </c>
    </row>
    <row r="23363" spans="1:3" s="7" customFormat="1" x14ac:dyDescent="0.2">
      <c r="A23363" s="6" t="str">
        <f>"TUBA1A"</f>
        <v>TUBA1A</v>
      </c>
      <c r="B23363" s="6" t="s">
        <v>1</v>
      </c>
      <c r="C23363" s="6" t="s">
        <v>1</v>
      </c>
    </row>
    <row r="23364" spans="1:3" s="7" customFormat="1" x14ac:dyDescent="0.2">
      <c r="A23364" s="6" t="str">
        <f>"RPLP1"</f>
        <v>RPLP1</v>
      </c>
      <c r="B23364" s="6" t="s">
        <v>1</v>
      </c>
      <c r="C23364" s="6" t="s">
        <v>1</v>
      </c>
    </row>
    <row r="23365" spans="1:3" s="7" customFormat="1" x14ac:dyDescent="0.2">
      <c r="A23365" s="6" t="str">
        <f>"PTMA"</f>
        <v>PTMA</v>
      </c>
      <c r="B23365" s="6" t="s">
        <v>1</v>
      </c>
      <c r="C23365" s="6" t="s">
        <v>1</v>
      </c>
    </row>
    <row r="23366" spans="1:3" s="7" customFormat="1" x14ac:dyDescent="0.2">
      <c r="A23366" s="6" t="str">
        <f>"PABPC1"</f>
        <v>PABPC1</v>
      </c>
      <c r="B23366" s="6" t="s">
        <v>1</v>
      </c>
      <c r="C23366" s="6" t="s">
        <v>1</v>
      </c>
    </row>
    <row r="23367" spans="1:3" s="7" customFormat="1" x14ac:dyDescent="0.2">
      <c r="A23367" s="6" t="str">
        <f>"SLPI"</f>
        <v>SLPI</v>
      </c>
      <c r="B23367" s="6" t="s">
        <v>1</v>
      </c>
      <c r="C23367" s="6" t="s">
        <v>1</v>
      </c>
    </row>
    <row r="23368" spans="1:3" s="7" customFormat="1" x14ac:dyDescent="0.2">
      <c r="A23368" s="6" t="str">
        <f>"RPLP0"</f>
        <v>RPLP0</v>
      </c>
      <c r="B23368" s="6" t="s">
        <v>1</v>
      </c>
      <c r="C23368" s="6" t="s">
        <v>1</v>
      </c>
    </row>
    <row r="23369" spans="1:3" s="7" customFormat="1" x14ac:dyDescent="0.2">
      <c r="A23369" s="6" t="str">
        <f>"RPL41"</f>
        <v>RPL41</v>
      </c>
      <c r="B23369" s="6" t="s">
        <v>1</v>
      </c>
      <c r="C23369" s="6" t="s">
        <v>1</v>
      </c>
    </row>
    <row r="23370" spans="1:3" s="7" customFormat="1" x14ac:dyDescent="0.2">
      <c r="A23370" s="6" t="str">
        <f>"ALDH3A1"</f>
        <v>ALDH3A1</v>
      </c>
      <c r="B23370" s="6" t="s">
        <v>1</v>
      </c>
      <c r="C23370" s="6" t="s">
        <v>1</v>
      </c>
    </row>
    <row r="23371" spans="1:3" s="7" customFormat="1" x14ac:dyDescent="0.2">
      <c r="A23371" s="6" t="str">
        <f>"ALDH1A1"</f>
        <v>ALDH1A1</v>
      </c>
      <c r="B23371" s="6" t="s">
        <v>1</v>
      </c>
      <c r="C23371" s="6" t="s">
        <v>1</v>
      </c>
    </row>
    <row r="23372" spans="1:3" s="7" customFormat="1" x14ac:dyDescent="0.2">
      <c r="A23372" s="6" t="str">
        <f>"S100A6"</f>
        <v>S100A6</v>
      </c>
      <c r="B23372" s="6" t="s">
        <v>1</v>
      </c>
      <c r="C23372" s="6" t="s">
        <v>1</v>
      </c>
    </row>
    <row r="23373" spans="1:3" s="7" customFormat="1" x14ac:dyDescent="0.2">
      <c r="A23373" s="6" t="str">
        <f>"CEACAM5"</f>
        <v>CEACAM5</v>
      </c>
      <c r="B23373" s="6" t="s">
        <v>1</v>
      </c>
      <c r="C23373" s="6" t="s">
        <v>1</v>
      </c>
    </row>
    <row r="23374" spans="1:3" s="7" customFormat="1" x14ac:dyDescent="0.2">
      <c r="A23374" s="6" t="str">
        <f>"CAPS"</f>
        <v>CAPS</v>
      </c>
      <c r="B23374" s="6" t="s">
        <v>1</v>
      </c>
      <c r="C23374" s="6" t="s">
        <v>1</v>
      </c>
    </row>
    <row r="23375" spans="1:3" s="7" customFormat="1" x14ac:dyDescent="0.2">
      <c r="A23375" s="6" t="str">
        <f>"EZR"</f>
        <v>EZR</v>
      </c>
      <c r="B23375" s="6" t="s">
        <v>1</v>
      </c>
      <c r="C23375" s="6" t="s">
        <v>1</v>
      </c>
    </row>
    <row r="23376" spans="1:3" s="7" customFormat="1" x14ac:dyDescent="0.2">
      <c r="A23376" s="6" t="str">
        <f>"GLUL"</f>
        <v>GLUL</v>
      </c>
      <c r="B23376" s="6" t="s">
        <v>1</v>
      </c>
      <c r="C23376" s="6" t="s">
        <v>1</v>
      </c>
    </row>
    <row r="23377" spans="1:3" s="7" customFormat="1" x14ac:dyDescent="0.2">
      <c r="A23377" s="6" t="str">
        <f>"AQP3"</f>
        <v>AQP3</v>
      </c>
      <c r="B23377" s="6" t="s">
        <v>1</v>
      </c>
      <c r="C23377" s="6" t="s">
        <v>1</v>
      </c>
    </row>
    <row r="23378" spans="1:3" s="7" customFormat="1" x14ac:dyDescent="0.2">
      <c r="A23378" s="6" t="str">
        <f>"EEF1A1"</f>
        <v>EEF1A1</v>
      </c>
      <c r="B23378" s="6" t="s">
        <v>1</v>
      </c>
      <c r="C23378" s="6" t="s">
        <v>1</v>
      </c>
    </row>
  </sheetData>
  <autoFilter ref="A1:C1" xr:uid="{1CBF1BA4-A7F3-3348-9858-896A3A7DFED7}">
    <sortState xmlns:xlrd2="http://schemas.microsoft.com/office/spreadsheetml/2017/richdata2" ref="A2:C23378">
      <sortCondition ref="C1:C23378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3487A-D259-934D-BF49-BD327C0085B6}">
  <dimension ref="A1:C23378"/>
  <sheetViews>
    <sheetView tabSelected="1" topLeftCell="A20" workbookViewId="0">
      <selection activeCell="E17" sqref="E17"/>
    </sheetView>
  </sheetViews>
  <sheetFormatPr baseColWidth="10" defaultRowHeight="16" x14ac:dyDescent="0.2"/>
  <cols>
    <col min="1" max="3" width="14.83203125" style="4" customWidth="1"/>
  </cols>
  <sheetData>
    <row r="1" spans="1:3" ht="17" x14ac:dyDescent="0.2">
      <c r="A1" s="2" t="s">
        <v>0</v>
      </c>
      <c r="B1" s="2" t="s">
        <v>2</v>
      </c>
      <c r="C1" s="2" t="s">
        <v>3</v>
      </c>
    </row>
    <row r="2" spans="1:3" x14ac:dyDescent="0.2">
      <c r="A2" s="4" t="str">
        <f>"CYP4F62P"</f>
        <v>CYP4F62P</v>
      </c>
      <c r="B2" s="5">
        <v>9.99000999000999E-4</v>
      </c>
      <c r="C2" s="4">
        <v>2.52399619333602E-2</v>
      </c>
    </row>
    <row r="3" spans="1:3" x14ac:dyDescent="0.2">
      <c r="A3" s="4" t="str">
        <f>"EGFEM1P"</f>
        <v>EGFEM1P</v>
      </c>
      <c r="B3" s="5">
        <v>9.99000999000999E-4</v>
      </c>
      <c r="C3" s="4">
        <v>2.52399619333602E-2</v>
      </c>
    </row>
    <row r="4" spans="1:3" x14ac:dyDescent="0.2">
      <c r="A4" s="4" t="str">
        <f>"HPYR1"</f>
        <v>HPYR1</v>
      </c>
      <c r="B4" s="4">
        <v>1.0090817356205801E-3</v>
      </c>
      <c r="C4" s="4">
        <v>2.52399619333602E-2</v>
      </c>
    </row>
    <row r="5" spans="1:3" x14ac:dyDescent="0.2">
      <c r="A5" s="4" t="str">
        <f>"OLIG2"</f>
        <v>OLIG2</v>
      </c>
      <c r="B5" s="5">
        <v>9.99000999000999E-4</v>
      </c>
      <c r="C5" s="4">
        <v>2.52399619333602E-2</v>
      </c>
    </row>
    <row r="6" spans="1:3" x14ac:dyDescent="0.2">
      <c r="A6" s="4" t="str">
        <f>"CTSE"</f>
        <v>CTSE</v>
      </c>
      <c r="B6" s="5">
        <v>9.99000999000999E-4</v>
      </c>
      <c r="C6" s="4">
        <v>2.52399619333602E-2</v>
      </c>
    </row>
    <row r="7" spans="1:3" x14ac:dyDescent="0.2">
      <c r="A7" s="4" t="str">
        <f>"THCAT155"</f>
        <v>THCAT155</v>
      </c>
      <c r="B7" s="4">
        <v>1.00200400801603E-3</v>
      </c>
      <c r="C7" s="4">
        <v>2.52399619333602E-2</v>
      </c>
    </row>
    <row r="8" spans="1:3" x14ac:dyDescent="0.2">
      <c r="A8" s="4" t="str">
        <f>"AC104809.1"</f>
        <v>AC104809.1</v>
      </c>
      <c r="B8" s="4">
        <v>1E-3</v>
      </c>
      <c r="C8" s="4">
        <v>2.52399619333602E-2</v>
      </c>
    </row>
    <row r="9" spans="1:3" x14ac:dyDescent="0.2">
      <c r="A9" s="4" t="str">
        <f>"STAB2"</f>
        <v>STAB2</v>
      </c>
      <c r="B9" s="5">
        <v>9.99000999000999E-4</v>
      </c>
      <c r="C9" s="4">
        <v>2.52399619333602E-2</v>
      </c>
    </row>
    <row r="10" spans="1:3" x14ac:dyDescent="0.2">
      <c r="A10" s="4" t="str">
        <f>"AL137857.1"</f>
        <v>AL137857.1</v>
      </c>
      <c r="B10" s="5">
        <v>9.99000999000999E-4</v>
      </c>
      <c r="C10" s="4">
        <v>2.52399619333602E-2</v>
      </c>
    </row>
    <row r="11" spans="1:3" x14ac:dyDescent="0.2">
      <c r="A11" s="4" t="str">
        <f>"FCRL4"</f>
        <v>FCRL4</v>
      </c>
      <c r="B11" s="4">
        <v>1.0010010010009999E-3</v>
      </c>
      <c r="C11" s="4">
        <v>2.52399619333602E-2</v>
      </c>
    </row>
    <row r="12" spans="1:3" x14ac:dyDescent="0.2">
      <c r="A12" s="4" t="str">
        <f>"AL356417.3"</f>
        <v>AL356417.3</v>
      </c>
      <c r="B12" s="5">
        <v>9.99000999000999E-4</v>
      </c>
      <c r="C12" s="4">
        <v>2.52399619333602E-2</v>
      </c>
    </row>
    <row r="13" spans="1:3" x14ac:dyDescent="0.2">
      <c r="A13" s="4" t="str">
        <f>"MTDHP3"</f>
        <v>MTDHP3</v>
      </c>
      <c r="B13" s="5">
        <v>9.99000999000999E-4</v>
      </c>
      <c r="C13" s="4">
        <v>2.52399619333602E-2</v>
      </c>
    </row>
    <row r="14" spans="1:3" x14ac:dyDescent="0.2">
      <c r="A14" s="4" t="str">
        <f>"AC010327.4"</f>
        <v>AC010327.4</v>
      </c>
      <c r="B14" s="4">
        <v>1E-3</v>
      </c>
      <c r="C14" s="4">
        <v>2.52399619333602E-2</v>
      </c>
    </row>
    <row r="15" spans="1:3" x14ac:dyDescent="0.2">
      <c r="A15" s="4" t="str">
        <f>"AC025475.1"</f>
        <v>AC025475.1</v>
      </c>
      <c r="B15" s="5">
        <v>9.99000999000999E-4</v>
      </c>
      <c r="C15" s="4">
        <v>2.52399619333602E-2</v>
      </c>
    </row>
    <row r="16" spans="1:3" x14ac:dyDescent="0.2">
      <c r="A16" s="4" t="str">
        <f>"TENM1"</f>
        <v>TENM1</v>
      </c>
      <c r="B16" s="5">
        <v>9.99000999000999E-4</v>
      </c>
      <c r="C16" s="4">
        <v>2.52399619333602E-2</v>
      </c>
    </row>
    <row r="17" spans="1:3" x14ac:dyDescent="0.2">
      <c r="A17" s="4" t="str">
        <f>"SEMG1"</f>
        <v>SEMG1</v>
      </c>
      <c r="B17" s="5">
        <v>9.99000999000999E-4</v>
      </c>
      <c r="C17" s="4">
        <v>2.52399619333602E-2</v>
      </c>
    </row>
    <row r="18" spans="1:3" x14ac:dyDescent="0.2">
      <c r="A18" s="4" t="str">
        <f>"AC020928.1"</f>
        <v>AC020928.1</v>
      </c>
      <c r="B18" s="4">
        <v>1.0080645161290301E-3</v>
      </c>
      <c r="C18" s="4">
        <v>2.52399619333602E-2</v>
      </c>
    </row>
    <row r="19" spans="1:3" x14ac:dyDescent="0.2">
      <c r="A19" s="4" t="str">
        <f>"SSTR3"</f>
        <v>SSTR3</v>
      </c>
      <c r="B19" s="5">
        <v>9.99000999000999E-4</v>
      </c>
      <c r="C19" s="4">
        <v>2.52399619333602E-2</v>
      </c>
    </row>
    <row r="20" spans="1:3" x14ac:dyDescent="0.2">
      <c r="A20" s="4" t="str">
        <f>"AC112491.1"</f>
        <v>AC112491.1</v>
      </c>
      <c r="B20" s="4">
        <v>1.0010010010009999E-3</v>
      </c>
      <c r="C20" s="4">
        <v>2.52399619333602E-2</v>
      </c>
    </row>
    <row r="21" spans="1:3" x14ac:dyDescent="0.2">
      <c r="A21" s="4" t="str">
        <f>"AL161911.1"</f>
        <v>AL161911.1</v>
      </c>
      <c r="B21" s="5">
        <v>9.99000999000999E-4</v>
      </c>
      <c r="C21" s="4">
        <v>2.52399619333602E-2</v>
      </c>
    </row>
    <row r="22" spans="1:3" x14ac:dyDescent="0.2">
      <c r="A22" s="4" t="str">
        <f>"AC002091.1"</f>
        <v>AC002091.1</v>
      </c>
      <c r="B22" s="5">
        <v>9.99000999000999E-4</v>
      </c>
      <c r="C22" s="4">
        <v>2.52399619333602E-2</v>
      </c>
    </row>
    <row r="23" spans="1:3" x14ac:dyDescent="0.2">
      <c r="A23" s="4" t="str">
        <f>"CD79B"</f>
        <v>CD79B</v>
      </c>
      <c r="B23" s="5">
        <v>9.99000999000999E-4</v>
      </c>
      <c r="C23" s="4">
        <v>2.52399619333602E-2</v>
      </c>
    </row>
    <row r="24" spans="1:3" x14ac:dyDescent="0.2">
      <c r="A24" s="4" t="str">
        <f>"CAGE1"</f>
        <v>CAGE1</v>
      </c>
      <c r="B24" s="4">
        <v>1.00300902708124E-3</v>
      </c>
      <c r="C24" s="4">
        <v>2.52399619333602E-2</v>
      </c>
    </row>
    <row r="25" spans="1:3" x14ac:dyDescent="0.2">
      <c r="A25" s="4" t="str">
        <f>"NHLH1"</f>
        <v>NHLH1</v>
      </c>
      <c r="B25" s="5">
        <v>9.99000999000999E-4</v>
      </c>
      <c r="C25" s="4">
        <v>2.52399619333602E-2</v>
      </c>
    </row>
    <row r="26" spans="1:3" x14ac:dyDescent="0.2">
      <c r="A26" s="4" t="str">
        <f>"AL049634.2"</f>
        <v>AL049634.2</v>
      </c>
      <c r="B26" s="5">
        <v>9.99000999000999E-4</v>
      </c>
      <c r="C26" s="4">
        <v>2.52399619333602E-2</v>
      </c>
    </row>
    <row r="27" spans="1:3" x14ac:dyDescent="0.2">
      <c r="A27" s="4" t="str">
        <f>"RPH3A"</f>
        <v>RPH3A</v>
      </c>
      <c r="B27" s="5">
        <v>9.99000999000999E-4</v>
      </c>
      <c r="C27" s="4">
        <v>2.52399619333602E-2</v>
      </c>
    </row>
    <row r="28" spans="1:3" x14ac:dyDescent="0.2">
      <c r="A28" s="4" t="str">
        <f>"SDR9C7"</f>
        <v>SDR9C7</v>
      </c>
      <c r="B28" s="4">
        <v>1E-3</v>
      </c>
      <c r="C28" s="4">
        <v>2.52399619333602E-2</v>
      </c>
    </row>
    <row r="29" spans="1:3" x14ac:dyDescent="0.2">
      <c r="A29" s="4" t="str">
        <f>"LINC02436"</f>
        <v>LINC02436</v>
      </c>
      <c r="B29" s="5">
        <v>9.99000999000999E-4</v>
      </c>
      <c r="C29" s="4">
        <v>2.52399619333602E-2</v>
      </c>
    </row>
    <row r="30" spans="1:3" x14ac:dyDescent="0.2">
      <c r="A30" s="4" t="str">
        <f>"AC005523.1"</f>
        <v>AC005523.1</v>
      </c>
      <c r="B30" s="4">
        <v>1.0090817356205801E-3</v>
      </c>
      <c r="C30" s="4">
        <v>2.52399619333602E-2</v>
      </c>
    </row>
    <row r="31" spans="1:3" x14ac:dyDescent="0.2">
      <c r="A31" s="4" t="str">
        <f>"AP005328.1"</f>
        <v>AP005328.1</v>
      </c>
      <c r="B31" s="4">
        <v>1.00200400801603E-3</v>
      </c>
      <c r="C31" s="4">
        <v>2.52399619333602E-2</v>
      </c>
    </row>
    <row r="32" spans="1:3" x14ac:dyDescent="0.2">
      <c r="A32" s="4" t="str">
        <f>"AC010745.2"</f>
        <v>AC010745.2</v>
      </c>
      <c r="B32" s="4">
        <v>1.00200400801603E-3</v>
      </c>
      <c r="C32" s="4">
        <v>2.52399619333602E-2</v>
      </c>
    </row>
    <row r="33" spans="1:3" x14ac:dyDescent="0.2">
      <c r="A33" s="4" t="str">
        <f>"LINC02649"</f>
        <v>LINC02649</v>
      </c>
      <c r="B33" s="5">
        <v>9.99000999000999E-4</v>
      </c>
      <c r="C33" s="4">
        <v>2.52399619333602E-2</v>
      </c>
    </row>
    <row r="34" spans="1:3" x14ac:dyDescent="0.2">
      <c r="A34" s="4" t="str">
        <f>"AC008894.2"</f>
        <v>AC008894.2</v>
      </c>
      <c r="B34" s="4">
        <v>1.0080645161290301E-3</v>
      </c>
      <c r="C34" s="4">
        <v>2.52399619333602E-2</v>
      </c>
    </row>
    <row r="35" spans="1:3" x14ac:dyDescent="0.2">
      <c r="A35" s="4" t="str">
        <f>"AP003392.3"</f>
        <v>AP003392.3</v>
      </c>
      <c r="B35" s="5">
        <v>9.99000999000999E-4</v>
      </c>
      <c r="C35" s="4">
        <v>2.52399619333602E-2</v>
      </c>
    </row>
    <row r="36" spans="1:3" x14ac:dyDescent="0.2">
      <c r="A36" s="4" t="str">
        <f>"MT-TF"</f>
        <v>MT-TF</v>
      </c>
      <c r="B36" s="5">
        <v>9.99000999000999E-4</v>
      </c>
      <c r="C36" s="4">
        <v>2.52399619333602E-2</v>
      </c>
    </row>
    <row r="37" spans="1:3" x14ac:dyDescent="0.2">
      <c r="A37" s="4" t="str">
        <f>"RPS3AP5"</f>
        <v>RPS3AP5</v>
      </c>
      <c r="B37" s="4">
        <v>1.00401606425702E-3</v>
      </c>
      <c r="C37" s="4">
        <v>2.52399619333602E-2</v>
      </c>
    </row>
    <row r="38" spans="1:3" x14ac:dyDescent="0.2">
      <c r="A38" s="4" t="str">
        <f>"RAB39B"</f>
        <v>RAB39B</v>
      </c>
      <c r="B38" s="5">
        <v>9.99000999000999E-4</v>
      </c>
      <c r="C38" s="4">
        <v>2.52399619333602E-2</v>
      </c>
    </row>
    <row r="39" spans="1:3" x14ac:dyDescent="0.2">
      <c r="A39" s="4" t="str">
        <f>"H2AC17"</f>
        <v>H2AC17</v>
      </c>
      <c r="B39" s="5">
        <v>9.99000999000999E-4</v>
      </c>
      <c r="C39" s="4">
        <v>2.52399619333602E-2</v>
      </c>
    </row>
    <row r="40" spans="1:3" x14ac:dyDescent="0.2">
      <c r="A40" s="4" t="str">
        <f>"DHDH"</f>
        <v>DHDH</v>
      </c>
      <c r="B40" s="4">
        <v>1.0090817356205801E-3</v>
      </c>
      <c r="C40" s="4">
        <v>2.52399619333602E-2</v>
      </c>
    </row>
    <row r="41" spans="1:3" x14ac:dyDescent="0.2">
      <c r="A41" s="4" t="str">
        <f>"LINC00513"</f>
        <v>LINC00513</v>
      </c>
      <c r="B41" s="5">
        <v>9.99000999000999E-4</v>
      </c>
      <c r="C41" s="4">
        <v>2.52399619333602E-2</v>
      </c>
    </row>
    <row r="42" spans="1:3" x14ac:dyDescent="0.2">
      <c r="A42" s="4" t="str">
        <f>"POTEI"</f>
        <v>POTEI</v>
      </c>
      <c r="B42" s="5">
        <v>9.99000999000999E-4</v>
      </c>
      <c r="C42" s="4">
        <v>2.52399619333602E-2</v>
      </c>
    </row>
    <row r="43" spans="1:3" x14ac:dyDescent="0.2">
      <c r="A43" s="4" t="str">
        <f>"Z69706.1"</f>
        <v>Z69706.1</v>
      </c>
      <c r="B43" s="5">
        <v>9.99000999000999E-4</v>
      </c>
      <c r="C43" s="4">
        <v>2.52399619333602E-2</v>
      </c>
    </row>
    <row r="44" spans="1:3" x14ac:dyDescent="0.2">
      <c r="A44" s="4" t="str">
        <f>"AL160272.2"</f>
        <v>AL160272.2</v>
      </c>
      <c r="B44" s="5">
        <v>9.99000999000999E-4</v>
      </c>
      <c r="C44" s="4">
        <v>2.52399619333602E-2</v>
      </c>
    </row>
    <row r="45" spans="1:3" x14ac:dyDescent="0.2">
      <c r="A45" s="4" t="str">
        <f>"AC136475.5"</f>
        <v>AC136475.5</v>
      </c>
      <c r="B45" s="5">
        <v>9.99000999000999E-4</v>
      </c>
      <c r="C45" s="4">
        <v>2.52399619333602E-2</v>
      </c>
    </row>
    <row r="46" spans="1:3" x14ac:dyDescent="0.2">
      <c r="A46" s="4" t="str">
        <f>"AC135050.1"</f>
        <v>AC135050.1</v>
      </c>
      <c r="B46" s="5">
        <v>9.99000999000999E-4</v>
      </c>
      <c r="C46" s="4">
        <v>2.52399619333602E-2</v>
      </c>
    </row>
    <row r="47" spans="1:3" x14ac:dyDescent="0.2">
      <c r="A47" s="4" t="str">
        <f>"AD000864.1"</f>
        <v>AD000864.1</v>
      </c>
      <c r="B47" s="5">
        <v>9.99000999000999E-4</v>
      </c>
      <c r="C47" s="4">
        <v>2.52399619333602E-2</v>
      </c>
    </row>
    <row r="48" spans="1:3" x14ac:dyDescent="0.2">
      <c r="A48" s="4" t="str">
        <f>"NCR1"</f>
        <v>NCR1</v>
      </c>
      <c r="B48" s="5">
        <v>9.99000999000999E-4</v>
      </c>
      <c r="C48" s="4">
        <v>2.52399619333602E-2</v>
      </c>
    </row>
    <row r="49" spans="1:3" x14ac:dyDescent="0.2">
      <c r="A49" s="4" t="str">
        <f>"AC021074.3"</f>
        <v>AC021074.3</v>
      </c>
      <c r="B49" s="4">
        <v>1.0050251256281399E-3</v>
      </c>
      <c r="C49" s="4">
        <v>2.52399619333602E-2</v>
      </c>
    </row>
    <row r="50" spans="1:3" x14ac:dyDescent="0.2">
      <c r="A50" s="4" t="str">
        <f>"HOXA1"</f>
        <v>HOXA1</v>
      </c>
      <c r="B50" s="5">
        <v>9.99000999000999E-4</v>
      </c>
      <c r="C50" s="4">
        <v>2.52399619333602E-2</v>
      </c>
    </row>
    <row r="51" spans="1:3" x14ac:dyDescent="0.2">
      <c r="A51" s="4" t="str">
        <f>"AC026333.3"</f>
        <v>AC026333.3</v>
      </c>
      <c r="B51" s="5">
        <v>9.99000999000999E-4</v>
      </c>
      <c r="C51" s="4">
        <v>2.52399619333602E-2</v>
      </c>
    </row>
    <row r="52" spans="1:3" x14ac:dyDescent="0.2">
      <c r="A52" s="4" t="str">
        <f>"RN7SL121P"</f>
        <v>RN7SL121P</v>
      </c>
      <c r="B52" s="4">
        <v>1.00401606425702E-3</v>
      </c>
      <c r="C52" s="4">
        <v>2.52399619333602E-2</v>
      </c>
    </row>
    <row r="53" spans="1:3" x14ac:dyDescent="0.2">
      <c r="A53" s="4" t="str">
        <f>"AC034199.1"</f>
        <v>AC034199.1</v>
      </c>
      <c r="B53" s="5">
        <v>9.99000999000999E-4</v>
      </c>
      <c r="C53" s="4">
        <v>2.52399619333602E-2</v>
      </c>
    </row>
    <row r="54" spans="1:3" x14ac:dyDescent="0.2">
      <c r="A54" s="4" t="str">
        <f>"CXCR5"</f>
        <v>CXCR5</v>
      </c>
      <c r="B54" s="5">
        <v>9.99000999000999E-4</v>
      </c>
      <c r="C54" s="4">
        <v>2.52399619333602E-2</v>
      </c>
    </row>
    <row r="55" spans="1:3" x14ac:dyDescent="0.2">
      <c r="A55" s="4" t="str">
        <f>"OR52K3P"</f>
        <v>OR52K3P</v>
      </c>
      <c r="B55" s="5">
        <v>9.99000999000999E-4</v>
      </c>
      <c r="C55" s="4">
        <v>2.52399619333602E-2</v>
      </c>
    </row>
    <row r="56" spans="1:3" x14ac:dyDescent="0.2">
      <c r="A56" s="4" t="str">
        <f>"AC019131.2"</f>
        <v>AC019131.2</v>
      </c>
      <c r="B56" s="4">
        <v>1.00200400801603E-3</v>
      </c>
      <c r="C56" s="4">
        <v>2.52399619333602E-2</v>
      </c>
    </row>
    <row r="57" spans="1:3" x14ac:dyDescent="0.2">
      <c r="A57" s="4" t="str">
        <f>"AC079142.1"</f>
        <v>AC079142.1</v>
      </c>
      <c r="B57" s="5">
        <v>9.99000999000999E-4</v>
      </c>
      <c r="C57" s="4">
        <v>2.52399619333602E-2</v>
      </c>
    </row>
    <row r="58" spans="1:3" x14ac:dyDescent="0.2">
      <c r="A58" s="4" t="str">
        <f>"GHRL"</f>
        <v>GHRL</v>
      </c>
      <c r="B58" s="5">
        <v>9.99000999000999E-4</v>
      </c>
      <c r="C58" s="4">
        <v>2.52399619333602E-2</v>
      </c>
    </row>
    <row r="59" spans="1:3" x14ac:dyDescent="0.2">
      <c r="A59" s="4" t="str">
        <f>"AC106712.1"</f>
        <v>AC106712.1</v>
      </c>
      <c r="B59" s="5">
        <v>9.99000999000999E-4</v>
      </c>
      <c r="C59" s="4">
        <v>2.52399619333602E-2</v>
      </c>
    </row>
    <row r="60" spans="1:3" x14ac:dyDescent="0.2">
      <c r="A60" s="4" t="str">
        <f>"LINC00528"</f>
        <v>LINC00528</v>
      </c>
      <c r="B60" s="5">
        <v>9.99000999000999E-4</v>
      </c>
      <c r="C60" s="4">
        <v>2.52399619333602E-2</v>
      </c>
    </row>
    <row r="61" spans="1:3" x14ac:dyDescent="0.2">
      <c r="A61" s="4" t="str">
        <f>"MT-TL1"</f>
        <v>MT-TL1</v>
      </c>
      <c r="B61" s="5">
        <v>9.99000999000999E-4</v>
      </c>
      <c r="C61" s="4">
        <v>2.52399619333602E-2</v>
      </c>
    </row>
    <row r="62" spans="1:3" x14ac:dyDescent="0.2">
      <c r="A62" s="4" t="str">
        <f>"CFAP58-DT"</f>
        <v>CFAP58-DT</v>
      </c>
      <c r="B62" s="5">
        <v>9.99000999000999E-4</v>
      </c>
      <c r="C62" s="4">
        <v>2.52399619333602E-2</v>
      </c>
    </row>
    <row r="63" spans="1:3" x14ac:dyDescent="0.2">
      <c r="A63" s="4" t="str">
        <f>"AC011446.2"</f>
        <v>AC011446.2</v>
      </c>
      <c r="B63" s="5">
        <v>9.99000999000999E-4</v>
      </c>
      <c r="C63" s="4">
        <v>2.52399619333602E-2</v>
      </c>
    </row>
    <row r="64" spans="1:3" x14ac:dyDescent="0.2">
      <c r="A64" s="4" t="str">
        <f>"AC020922.1"</f>
        <v>AC020922.1</v>
      </c>
      <c r="B64" s="5">
        <v>9.99000999000999E-4</v>
      </c>
      <c r="C64" s="4">
        <v>2.52399619333602E-2</v>
      </c>
    </row>
    <row r="65" spans="1:3" x14ac:dyDescent="0.2">
      <c r="A65" s="4" t="str">
        <f>"AL138694.1"</f>
        <v>AL138694.1</v>
      </c>
      <c r="B65" s="5">
        <v>9.99000999000999E-4</v>
      </c>
      <c r="C65" s="4">
        <v>2.52399619333602E-2</v>
      </c>
    </row>
    <row r="66" spans="1:3" x14ac:dyDescent="0.2">
      <c r="A66" s="4" t="str">
        <f>"CTRC"</f>
        <v>CTRC</v>
      </c>
      <c r="B66" s="5">
        <v>9.99000999000999E-4</v>
      </c>
      <c r="C66" s="4">
        <v>2.52399619333602E-2</v>
      </c>
    </row>
    <row r="67" spans="1:3" x14ac:dyDescent="0.2">
      <c r="A67" s="4" t="str">
        <f>"CENPA"</f>
        <v>CENPA</v>
      </c>
      <c r="B67" s="5">
        <v>9.99000999000999E-4</v>
      </c>
      <c r="C67" s="4">
        <v>2.52399619333602E-2</v>
      </c>
    </row>
    <row r="68" spans="1:3" x14ac:dyDescent="0.2">
      <c r="A68" s="4" t="str">
        <f>"AC142381.3"</f>
        <v>AC142381.3</v>
      </c>
      <c r="B68" s="5">
        <v>9.99000999000999E-4</v>
      </c>
      <c r="C68" s="4">
        <v>2.52399619333602E-2</v>
      </c>
    </row>
    <row r="69" spans="1:3" x14ac:dyDescent="0.2">
      <c r="A69" s="4" t="str">
        <f>"PYGM"</f>
        <v>PYGM</v>
      </c>
      <c r="B69" s="5">
        <v>9.99000999000999E-4</v>
      </c>
      <c r="C69" s="4">
        <v>2.52399619333602E-2</v>
      </c>
    </row>
    <row r="70" spans="1:3" x14ac:dyDescent="0.2">
      <c r="A70" s="4" t="str">
        <f>"SLC6A13"</f>
        <v>SLC6A13</v>
      </c>
      <c r="B70" s="5">
        <v>9.99000999000999E-4</v>
      </c>
      <c r="C70" s="4">
        <v>2.52399619333602E-2</v>
      </c>
    </row>
    <row r="71" spans="1:3" x14ac:dyDescent="0.2">
      <c r="A71" s="4" t="str">
        <f>"CD79A"</f>
        <v>CD79A</v>
      </c>
      <c r="B71" s="5">
        <v>9.99000999000999E-4</v>
      </c>
      <c r="C71" s="4">
        <v>2.52399619333602E-2</v>
      </c>
    </row>
    <row r="72" spans="1:3" x14ac:dyDescent="0.2">
      <c r="A72" s="4" t="str">
        <f>"CPP"</f>
        <v>CPP</v>
      </c>
      <c r="B72" s="5">
        <v>9.99000999000999E-4</v>
      </c>
      <c r="C72" s="4">
        <v>2.52399619333602E-2</v>
      </c>
    </row>
    <row r="73" spans="1:3" x14ac:dyDescent="0.2">
      <c r="A73" s="4" t="str">
        <f>"ICAM2"</f>
        <v>ICAM2</v>
      </c>
      <c r="B73" s="5">
        <v>9.99000999000999E-4</v>
      </c>
      <c r="C73" s="4">
        <v>2.52399619333602E-2</v>
      </c>
    </row>
    <row r="74" spans="1:3" x14ac:dyDescent="0.2">
      <c r="A74" s="4" t="str">
        <f>"SLC10A6"</f>
        <v>SLC10A6</v>
      </c>
      <c r="B74" s="5">
        <v>9.99000999000999E-4</v>
      </c>
      <c r="C74" s="4">
        <v>2.52399619333602E-2</v>
      </c>
    </row>
    <row r="75" spans="1:3" x14ac:dyDescent="0.2">
      <c r="A75" s="4" t="str">
        <f>"AL049629.2"</f>
        <v>AL049629.2</v>
      </c>
      <c r="B75" s="5">
        <v>9.99000999000999E-4</v>
      </c>
      <c r="C75" s="4">
        <v>2.52399619333602E-2</v>
      </c>
    </row>
    <row r="76" spans="1:3" x14ac:dyDescent="0.2">
      <c r="A76" s="4" t="str">
        <f>"IL1A"</f>
        <v>IL1A</v>
      </c>
      <c r="B76" s="5">
        <v>9.99000999000999E-4</v>
      </c>
      <c r="C76" s="4">
        <v>2.52399619333602E-2</v>
      </c>
    </row>
    <row r="77" spans="1:3" x14ac:dyDescent="0.2">
      <c r="A77" s="4" t="str">
        <f>"LINC00535"</f>
        <v>LINC00535</v>
      </c>
      <c r="B77" s="5">
        <v>9.99000999000999E-4</v>
      </c>
      <c r="C77" s="4">
        <v>2.52399619333602E-2</v>
      </c>
    </row>
    <row r="78" spans="1:3" x14ac:dyDescent="0.2">
      <c r="A78" s="4" t="str">
        <f>"LRRC7"</f>
        <v>LRRC7</v>
      </c>
      <c r="B78" s="5">
        <v>9.99000999000999E-4</v>
      </c>
      <c r="C78" s="4">
        <v>2.52399619333602E-2</v>
      </c>
    </row>
    <row r="79" spans="1:3" x14ac:dyDescent="0.2">
      <c r="A79" s="4" t="str">
        <f>"MPZ"</f>
        <v>MPZ</v>
      </c>
      <c r="B79" s="5">
        <v>9.99000999000999E-4</v>
      </c>
      <c r="C79" s="4">
        <v>2.52399619333602E-2</v>
      </c>
    </row>
    <row r="80" spans="1:3" x14ac:dyDescent="0.2">
      <c r="A80" s="4" t="str">
        <f>"TNFSF8"</f>
        <v>TNFSF8</v>
      </c>
      <c r="B80" s="5">
        <v>9.99000999000999E-4</v>
      </c>
      <c r="C80" s="4">
        <v>2.52399619333602E-2</v>
      </c>
    </row>
    <row r="81" spans="1:3" x14ac:dyDescent="0.2">
      <c r="A81" s="4" t="str">
        <f>"LIMD1-AS1"</f>
        <v>LIMD1-AS1</v>
      </c>
      <c r="B81" s="4">
        <v>1.0070493454179201E-3</v>
      </c>
      <c r="C81" s="4">
        <v>2.52399619333602E-2</v>
      </c>
    </row>
    <row r="82" spans="1:3" x14ac:dyDescent="0.2">
      <c r="A82" s="4" t="str">
        <f>"LINC01506"</f>
        <v>LINC01506</v>
      </c>
      <c r="B82" s="5">
        <v>9.99000999000999E-4</v>
      </c>
      <c r="C82" s="4">
        <v>2.52399619333602E-2</v>
      </c>
    </row>
    <row r="83" spans="1:3" x14ac:dyDescent="0.2">
      <c r="A83" s="4" t="str">
        <f>"EHMT2-AS1"</f>
        <v>EHMT2-AS1</v>
      </c>
      <c r="B83" s="5">
        <v>9.99000999000999E-4</v>
      </c>
      <c r="C83" s="4">
        <v>2.52399619333602E-2</v>
      </c>
    </row>
    <row r="84" spans="1:3" x14ac:dyDescent="0.2">
      <c r="A84" s="4" t="str">
        <f>"SCUBE3"</f>
        <v>SCUBE3</v>
      </c>
      <c r="B84" s="5">
        <v>9.99000999000999E-4</v>
      </c>
      <c r="C84" s="4">
        <v>2.52399619333602E-2</v>
      </c>
    </row>
    <row r="85" spans="1:3" x14ac:dyDescent="0.2">
      <c r="A85" s="4" t="str">
        <f>"SERPINA6"</f>
        <v>SERPINA6</v>
      </c>
      <c r="B85" s="5">
        <v>9.99000999000999E-4</v>
      </c>
      <c r="C85" s="4">
        <v>2.52399619333602E-2</v>
      </c>
    </row>
    <row r="86" spans="1:3" x14ac:dyDescent="0.2">
      <c r="A86" s="4" t="str">
        <f>"AC139795.2"</f>
        <v>AC139795.2</v>
      </c>
      <c r="B86" s="4">
        <v>1.00200400801603E-3</v>
      </c>
      <c r="C86" s="4">
        <v>2.52399619333602E-2</v>
      </c>
    </row>
    <row r="87" spans="1:3" x14ac:dyDescent="0.2">
      <c r="A87" s="4" t="str">
        <f>"AC007032.1"</f>
        <v>AC007032.1</v>
      </c>
      <c r="B87" s="5">
        <v>9.99000999000999E-4</v>
      </c>
      <c r="C87" s="4">
        <v>2.52399619333602E-2</v>
      </c>
    </row>
    <row r="88" spans="1:3" x14ac:dyDescent="0.2">
      <c r="A88" s="4" t="str">
        <f>"AL365181.2"</f>
        <v>AL365181.2</v>
      </c>
      <c r="B88" s="5">
        <v>9.99000999000999E-4</v>
      </c>
      <c r="C88" s="4">
        <v>2.52399619333602E-2</v>
      </c>
    </row>
    <row r="89" spans="1:3" x14ac:dyDescent="0.2">
      <c r="A89" s="4" t="str">
        <f>"ADGRE1"</f>
        <v>ADGRE1</v>
      </c>
      <c r="B89" s="5">
        <v>9.99000999000999E-4</v>
      </c>
      <c r="C89" s="4">
        <v>2.52399619333602E-2</v>
      </c>
    </row>
    <row r="90" spans="1:3" x14ac:dyDescent="0.2">
      <c r="A90" s="4" t="str">
        <f>"ACADL"</f>
        <v>ACADL</v>
      </c>
      <c r="B90" s="5">
        <v>9.99000999000999E-4</v>
      </c>
      <c r="C90" s="4">
        <v>2.52399619333602E-2</v>
      </c>
    </row>
    <row r="91" spans="1:3" x14ac:dyDescent="0.2">
      <c r="A91" s="4" t="str">
        <f>"DHRS2"</f>
        <v>DHRS2</v>
      </c>
      <c r="B91" s="5">
        <v>9.99000999000999E-4</v>
      </c>
      <c r="C91" s="4">
        <v>2.52399619333602E-2</v>
      </c>
    </row>
    <row r="92" spans="1:3" x14ac:dyDescent="0.2">
      <c r="A92" s="4" t="str">
        <f>"AC025279.1"</f>
        <v>AC025279.1</v>
      </c>
      <c r="B92" s="5">
        <v>9.99000999000999E-4</v>
      </c>
      <c r="C92" s="4">
        <v>2.52399619333602E-2</v>
      </c>
    </row>
    <row r="93" spans="1:3" x14ac:dyDescent="0.2">
      <c r="A93" s="4" t="str">
        <f>"AL671277.1"</f>
        <v>AL671277.1</v>
      </c>
      <c r="B93" s="5">
        <v>9.99000999000999E-4</v>
      </c>
      <c r="C93" s="4">
        <v>2.52399619333602E-2</v>
      </c>
    </row>
    <row r="94" spans="1:3" x14ac:dyDescent="0.2">
      <c r="A94" s="4" t="str">
        <f>"FUT7"</f>
        <v>FUT7</v>
      </c>
      <c r="B94" s="5">
        <v>9.99000999000999E-4</v>
      </c>
      <c r="C94" s="4">
        <v>2.52399619333602E-2</v>
      </c>
    </row>
    <row r="95" spans="1:3" x14ac:dyDescent="0.2">
      <c r="A95" s="4" t="str">
        <f>"IGHM"</f>
        <v>IGHM</v>
      </c>
      <c r="B95" s="5">
        <v>9.99000999000999E-4</v>
      </c>
      <c r="C95" s="4">
        <v>2.52399619333602E-2</v>
      </c>
    </row>
    <row r="96" spans="1:3" x14ac:dyDescent="0.2">
      <c r="A96" s="4" t="str">
        <f>"KRTDAP"</f>
        <v>KRTDAP</v>
      </c>
      <c r="B96" s="5">
        <v>9.99000999000999E-4</v>
      </c>
      <c r="C96" s="4">
        <v>2.52399619333602E-2</v>
      </c>
    </row>
    <row r="97" spans="1:3" x14ac:dyDescent="0.2">
      <c r="A97" s="4" t="str">
        <f>"CLEC4D"</f>
        <v>CLEC4D</v>
      </c>
      <c r="B97" s="5">
        <v>9.99000999000999E-4</v>
      </c>
      <c r="C97" s="4">
        <v>2.52399619333602E-2</v>
      </c>
    </row>
    <row r="98" spans="1:3" x14ac:dyDescent="0.2">
      <c r="A98" s="4" t="str">
        <f>"TMEM202-AS1"</f>
        <v>TMEM202-AS1</v>
      </c>
      <c r="B98" s="5">
        <v>9.99000999000999E-4</v>
      </c>
      <c r="C98" s="4">
        <v>2.52399619333602E-2</v>
      </c>
    </row>
    <row r="99" spans="1:3" x14ac:dyDescent="0.2">
      <c r="A99" s="4" t="str">
        <f>"AC008736.1"</f>
        <v>AC008736.1</v>
      </c>
      <c r="B99" s="5">
        <v>9.99000999000999E-4</v>
      </c>
      <c r="C99" s="4">
        <v>2.52399619333602E-2</v>
      </c>
    </row>
    <row r="100" spans="1:3" x14ac:dyDescent="0.2">
      <c r="A100" s="4" t="str">
        <f>"AC015912.3"</f>
        <v>AC015912.3</v>
      </c>
      <c r="B100" s="5">
        <v>9.99000999000999E-4</v>
      </c>
      <c r="C100" s="4">
        <v>2.52399619333602E-2</v>
      </c>
    </row>
    <row r="101" spans="1:3" x14ac:dyDescent="0.2">
      <c r="A101" s="4" t="str">
        <f>"ZNF385D"</f>
        <v>ZNF385D</v>
      </c>
      <c r="B101" s="5">
        <v>9.99000999000999E-4</v>
      </c>
      <c r="C101" s="4">
        <v>2.52399619333602E-2</v>
      </c>
    </row>
    <row r="102" spans="1:3" x14ac:dyDescent="0.2">
      <c r="A102" s="4" t="str">
        <f>"IL12RB2"</f>
        <v>IL12RB2</v>
      </c>
      <c r="B102" s="4">
        <v>1E-3</v>
      </c>
      <c r="C102" s="4">
        <v>2.52399619333602E-2</v>
      </c>
    </row>
    <row r="103" spans="1:3" x14ac:dyDescent="0.2">
      <c r="A103" s="4" t="str">
        <f>"AL671883.2"</f>
        <v>AL671883.2</v>
      </c>
      <c r="B103" s="5">
        <v>9.99000999000999E-4</v>
      </c>
      <c r="C103" s="4">
        <v>2.52399619333602E-2</v>
      </c>
    </row>
    <row r="104" spans="1:3" x14ac:dyDescent="0.2">
      <c r="A104" s="4" t="str">
        <f>"AP002490.1"</f>
        <v>AP002490.1</v>
      </c>
      <c r="B104" s="5">
        <v>9.99000999000999E-4</v>
      </c>
      <c r="C104" s="4">
        <v>2.52399619333602E-2</v>
      </c>
    </row>
    <row r="105" spans="1:3" x14ac:dyDescent="0.2">
      <c r="A105" s="4" t="str">
        <f>"EIF3FP3"</f>
        <v>EIF3FP3</v>
      </c>
      <c r="B105" s="5">
        <v>9.99000999000999E-4</v>
      </c>
      <c r="C105" s="4">
        <v>2.52399619333602E-2</v>
      </c>
    </row>
    <row r="106" spans="1:3" x14ac:dyDescent="0.2">
      <c r="A106" s="4" t="str">
        <f>"CA4"</f>
        <v>CA4</v>
      </c>
      <c r="B106" s="5">
        <v>9.99000999000999E-4</v>
      </c>
      <c r="C106" s="4">
        <v>2.52399619333602E-2</v>
      </c>
    </row>
    <row r="107" spans="1:3" x14ac:dyDescent="0.2">
      <c r="A107" s="4" t="str">
        <f>"PEAK3"</f>
        <v>PEAK3</v>
      </c>
      <c r="B107" s="5">
        <v>9.99000999000999E-4</v>
      </c>
      <c r="C107" s="4">
        <v>2.52399619333602E-2</v>
      </c>
    </row>
    <row r="108" spans="1:3" x14ac:dyDescent="0.2">
      <c r="A108" s="4" t="str">
        <f>"AC116366.1"</f>
        <v>AC116366.1</v>
      </c>
      <c r="B108" s="5">
        <v>9.99000999000999E-4</v>
      </c>
      <c r="C108" s="4">
        <v>2.52399619333602E-2</v>
      </c>
    </row>
    <row r="109" spans="1:3" x14ac:dyDescent="0.2">
      <c r="A109" s="4" t="str">
        <f>"AC239868.1"</f>
        <v>AC239868.1</v>
      </c>
      <c r="B109" s="5">
        <v>9.99000999000999E-4</v>
      </c>
      <c r="C109" s="4">
        <v>2.52399619333602E-2</v>
      </c>
    </row>
    <row r="110" spans="1:3" x14ac:dyDescent="0.2">
      <c r="A110" s="4" t="str">
        <f>"SPIB"</f>
        <v>SPIB</v>
      </c>
      <c r="B110" s="5">
        <v>9.99000999000999E-4</v>
      </c>
      <c r="C110" s="4">
        <v>2.52399619333602E-2</v>
      </c>
    </row>
    <row r="111" spans="1:3" x14ac:dyDescent="0.2">
      <c r="A111" s="4" t="str">
        <f>"LINC01465"</f>
        <v>LINC01465</v>
      </c>
      <c r="B111" s="5">
        <v>9.99000999000999E-4</v>
      </c>
      <c r="C111" s="4">
        <v>2.52399619333602E-2</v>
      </c>
    </row>
    <row r="112" spans="1:3" x14ac:dyDescent="0.2">
      <c r="A112" s="4" t="str">
        <f>"GTSE1"</f>
        <v>GTSE1</v>
      </c>
      <c r="B112" s="5">
        <v>9.99000999000999E-4</v>
      </c>
      <c r="C112" s="4">
        <v>2.52399619333602E-2</v>
      </c>
    </row>
    <row r="113" spans="1:3" x14ac:dyDescent="0.2">
      <c r="A113" s="4" t="str">
        <f>"TRAF3IP2-AS1"</f>
        <v>TRAF3IP2-AS1</v>
      </c>
      <c r="B113" s="5">
        <v>9.99000999000999E-4</v>
      </c>
      <c r="C113" s="4">
        <v>2.52399619333602E-2</v>
      </c>
    </row>
    <row r="114" spans="1:3" x14ac:dyDescent="0.2">
      <c r="A114" s="4" t="str">
        <f>"BMP6"</f>
        <v>BMP6</v>
      </c>
      <c r="B114" s="5">
        <v>9.99000999000999E-4</v>
      </c>
      <c r="C114" s="4">
        <v>2.52399619333602E-2</v>
      </c>
    </row>
    <row r="115" spans="1:3" x14ac:dyDescent="0.2">
      <c r="A115" s="4" t="str">
        <f>"AL604028.1"</f>
        <v>AL604028.1</v>
      </c>
      <c r="B115" s="5">
        <v>9.99000999000999E-4</v>
      </c>
      <c r="C115" s="4">
        <v>2.52399619333602E-2</v>
      </c>
    </row>
    <row r="116" spans="1:3" x14ac:dyDescent="0.2">
      <c r="A116" s="4" t="str">
        <f>"HOTAIRM1"</f>
        <v>HOTAIRM1</v>
      </c>
      <c r="B116" s="5">
        <v>9.99000999000999E-4</v>
      </c>
      <c r="C116" s="4">
        <v>2.52399619333602E-2</v>
      </c>
    </row>
    <row r="117" spans="1:3" x14ac:dyDescent="0.2">
      <c r="A117" s="4" t="str">
        <f>"LINC00324"</f>
        <v>LINC00324</v>
      </c>
      <c r="B117" s="5">
        <v>9.99000999000999E-4</v>
      </c>
      <c r="C117" s="4">
        <v>2.52399619333602E-2</v>
      </c>
    </row>
    <row r="118" spans="1:3" x14ac:dyDescent="0.2">
      <c r="A118" s="4" t="str">
        <f>"AC215522.2"</f>
        <v>AC215522.2</v>
      </c>
      <c r="B118" s="5">
        <v>9.99000999000999E-4</v>
      </c>
      <c r="C118" s="4">
        <v>2.52399619333602E-2</v>
      </c>
    </row>
    <row r="119" spans="1:3" x14ac:dyDescent="0.2">
      <c r="A119" s="4" t="str">
        <f>"C1orf162"</f>
        <v>C1orf162</v>
      </c>
      <c r="B119" s="5">
        <v>9.99000999000999E-4</v>
      </c>
      <c r="C119" s="4">
        <v>2.52399619333602E-2</v>
      </c>
    </row>
    <row r="120" spans="1:3" x14ac:dyDescent="0.2">
      <c r="A120" s="4" t="str">
        <f>"IRX6"</f>
        <v>IRX6</v>
      </c>
      <c r="B120" s="5">
        <v>9.99000999000999E-4</v>
      </c>
      <c r="C120" s="4">
        <v>2.52399619333602E-2</v>
      </c>
    </row>
    <row r="121" spans="1:3" x14ac:dyDescent="0.2">
      <c r="A121" s="4" t="str">
        <f>"C3orf86"</f>
        <v>C3orf86</v>
      </c>
      <c r="B121" s="5">
        <v>9.99000999000999E-4</v>
      </c>
      <c r="C121" s="4">
        <v>2.52399619333602E-2</v>
      </c>
    </row>
    <row r="122" spans="1:3" x14ac:dyDescent="0.2">
      <c r="A122" s="4" t="str">
        <f>"C19orf57"</f>
        <v>C19orf57</v>
      </c>
      <c r="B122" s="5">
        <v>9.99000999000999E-4</v>
      </c>
      <c r="C122" s="4">
        <v>2.52399619333602E-2</v>
      </c>
    </row>
    <row r="123" spans="1:3" x14ac:dyDescent="0.2">
      <c r="A123" s="4" t="str">
        <f>"AC105046.1"</f>
        <v>AC105046.1</v>
      </c>
      <c r="B123" s="5">
        <v>9.99000999000999E-4</v>
      </c>
      <c r="C123" s="4">
        <v>2.52399619333602E-2</v>
      </c>
    </row>
    <row r="124" spans="1:3" x14ac:dyDescent="0.2">
      <c r="A124" s="4" t="str">
        <f>"GUCA1B"</f>
        <v>GUCA1B</v>
      </c>
      <c r="B124" s="5">
        <v>9.99000999000999E-4</v>
      </c>
      <c r="C124" s="4">
        <v>2.52399619333602E-2</v>
      </c>
    </row>
    <row r="125" spans="1:3" x14ac:dyDescent="0.2">
      <c r="A125" s="4" t="str">
        <f>"SAP25"</f>
        <v>SAP25</v>
      </c>
      <c r="B125" s="5">
        <v>9.99000999000999E-4</v>
      </c>
      <c r="C125" s="4">
        <v>2.52399619333602E-2</v>
      </c>
    </row>
    <row r="126" spans="1:3" x14ac:dyDescent="0.2">
      <c r="A126" s="4" t="str">
        <f>"AC020763.4"</f>
        <v>AC020763.4</v>
      </c>
      <c r="B126" s="5">
        <v>9.99000999000999E-4</v>
      </c>
      <c r="C126" s="4">
        <v>2.52399619333602E-2</v>
      </c>
    </row>
    <row r="127" spans="1:3" x14ac:dyDescent="0.2">
      <c r="A127" s="4" t="str">
        <f>"AC074143.1"</f>
        <v>AC074143.1</v>
      </c>
      <c r="B127" s="5">
        <v>9.99000999000999E-4</v>
      </c>
      <c r="C127" s="4">
        <v>2.52399619333602E-2</v>
      </c>
    </row>
    <row r="128" spans="1:3" x14ac:dyDescent="0.2">
      <c r="A128" s="4" t="str">
        <f>"AP002381.2"</f>
        <v>AP002381.2</v>
      </c>
      <c r="B128" s="5">
        <v>9.99000999000999E-4</v>
      </c>
      <c r="C128" s="4">
        <v>2.52399619333602E-2</v>
      </c>
    </row>
    <row r="129" spans="1:3" x14ac:dyDescent="0.2">
      <c r="A129" s="4" t="str">
        <f>"ADAMTS1"</f>
        <v>ADAMTS1</v>
      </c>
      <c r="B129" s="5">
        <v>9.99000999000999E-4</v>
      </c>
      <c r="C129" s="4">
        <v>2.52399619333602E-2</v>
      </c>
    </row>
    <row r="130" spans="1:3" x14ac:dyDescent="0.2">
      <c r="A130" s="4" t="str">
        <f>"KHDC1"</f>
        <v>KHDC1</v>
      </c>
      <c r="B130" s="5">
        <v>9.99000999000999E-4</v>
      </c>
      <c r="C130" s="4">
        <v>2.52399619333602E-2</v>
      </c>
    </row>
    <row r="131" spans="1:3" x14ac:dyDescent="0.2">
      <c r="A131" s="4" t="str">
        <f>"AL356273.3"</f>
        <v>AL356273.3</v>
      </c>
      <c r="B131" s="5">
        <v>9.99000999000999E-4</v>
      </c>
      <c r="C131" s="4">
        <v>2.52399619333602E-2</v>
      </c>
    </row>
    <row r="132" spans="1:3" x14ac:dyDescent="0.2">
      <c r="A132" s="4" t="str">
        <f>"ARL10"</f>
        <v>ARL10</v>
      </c>
      <c r="B132" s="5">
        <v>9.99000999000999E-4</v>
      </c>
      <c r="C132" s="4">
        <v>2.52399619333602E-2</v>
      </c>
    </row>
    <row r="133" spans="1:3" x14ac:dyDescent="0.2">
      <c r="A133" s="4" t="str">
        <f>"ZEB1"</f>
        <v>ZEB1</v>
      </c>
      <c r="B133" s="5">
        <v>9.99000999000999E-4</v>
      </c>
      <c r="C133" s="4">
        <v>2.52399619333602E-2</v>
      </c>
    </row>
    <row r="134" spans="1:3" x14ac:dyDescent="0.2">
      <c r="A134" s="4" t="str">
        <f>"PKIA"</f>
        <v>PKIA</v>
      </c>
      <c r="B134" s="5">
        <v>9.99000999000999E-4</v>
      </c>
      <c r="C134" s="4">
        <v>2.52399619333602E-2</v>
      </c>
    </row>
    <row r="135" spans="1:3" x14ac:dyDescent="0.2">
      <c r="A135" s="4" t="str">
        <f>"AC016027.1"</f>
        <v>AC016027.1</v>
      </c>
      <c r="B135" s="5">
        <v>9.99000999000999E-4</v>
      </c>
      <c r="C135" s="4">
        <v>2.52399619333602E-2</v>
      </c>
    </row>
    <row r="136" spans="1:3" x14ac:dyDescent="0.2">
      <c r="A136" s="4" t="str">
        <f>"AL592295.6"</f>
        <v>AL592295.6</v>
      </c>
      <c r="B136" s="5">
        <v>9.99000999000999E-4</v>
      </c>
      <c r="C136" s="4">
        <v>2.52399619333602E-2</v>
      </c>
    </row>
    <row r="137" spans="1:3" x14ac:dyDescent="0.2">
      <c r="A137" s="4" t="str">
        <f>"LINC00877"</f>
        <v>LINC00877</v>
      </c>
      <c r="B137" s="5">
        <v>9.99000999000999E-4</v>
      </c>
      <c r="C137" s="4">
        <v>2.52399619333602E-2</v>
      </c>
    </row>
    <row r="138" spans="1:3" x14ac:dyDescent="0.2">
      <c r="A138" s="4" t="str">
        <f>"ST20"</f>
        <v>ST20</v>
      </c>
      <c r="B138" s="5">
        <v>9.99000999000999E-4</v>
      </c>
      <c r="C138" s="4">
        <v>2.52399619333602E-2</v>
      </c>
    </row>
    <row r="139" spans="1:3" x14ac:dyDescent="0.2">
      <c r="A139" s="4" t="str">
        <f>"AF274858.1"</f>
        <v>AF274858.1</v>
      </c>
      <c r="B139" s="5">
        <v>9.99000999000999E-4</v>
      </c>
      <c r="C139" s="4">
        <v>2.52399619333602E-2</v>
      </c>
    </row>
    <row r="140" spans="1:3" x14ac:dyDescent="0.2">
      <c r="A140" s="4" t="str">
        <f>"TCHH"</f>
        <v>TCHH</v>
      </c>
      <c r="B140" s="5">
        <v>9.99000999000999E-4</v>
      </c>
      <c r="C140" s="4">
        <v>2.52399619333602E-2</v>
      </c>
    </row>
    <row r="141" spans="1:3" x14ac:dyDescent="0.2">
      <c r="A141" s="4" t="str">
        <f>"TAF1A"</f>
        <v>TAF1A</v>
      </c>
      <c r="B141" s="5">
        <v>9.99000999000999E-4</v>
      </c>
      <c r="C141" s="4">
        <v>2.52399619333602E-2</v>
      </c>
    </row>
    <row r="142" spans="1:3" x14ac:dyDescent="0.2">
      <c r="A142" s="4" t="str">
        <f>"UQCRFS1P1"</f>
        <v>UQCRFS1P1</v>
      </c>
      <c r="B142" s="5">
        <v>9.99000999000999E-4</v>
      </c>
      <c r="C142" s="4">
        <v>2.52399619333602E-2</v>
      </c>
    </row>
    <row r="143" spans="1:3" x14ac:dyDescent="0.2">
      <c r="A143" s="4" t="str">
        <f>"LINC00392"</f>
        <v>LINC00392</v>
      </c>
      <c r="B143" s="5">
        <v>9.99000999000999E-4</v>
      </c>
      <c r="C143" s="4">
        <v>2.52399619333602E-2</v>
      </c>
    </row>
    <row r="144" spans="1:3" x14ac:dyDescent="0.2">
      <c r="A144" s="4" t="str">
        <f>"AL109809.4"</f>
        <v>AL109809.4</v>
      </c>
      <c r="B144" s="5">
        <v>9.99000999000999E-4</v>
      </c>
      <c r="C144" s="4">
        <v>2.52399619333602E-2</v>
      </c>
    </row>
    <row r="145" spans="1:3" x14ac:dyDescent="0.2">
      <c r="A145" s="4" t="str">
        <f>"LINC00707"</f>
        <v>LINC00707</v>
      </c>
      <c r="B145" s="5">
        <v>9.99000999000999E-4</v>
      </c>
      <c r="C145" s="4">
        <v>2.52399619333602E-2</v>
      </c>
    </row>
    <row r="146" spans="1:3" x14ac:dyDescent="0.2">
      <c r="A146" s="4" t="str">
        <f>"NLRP6"</f>
        <v>NLRP6</v>
      </c>
      <c r="B146" s="5">
        <v>9.99000999000999E-4</v>
      </c>
      <c r="C146" s="4">
        <v>2.52399619333602E-2</v>
      </c>
    </row>
    <row r="147" spans="1:3" x14ac:dyDescent="0.2">
      <c r="A147" s="4" t="str">
        <f>"SIGLEC9"</f>
        <v>SIGLEC9</v>
      </c>
      <c r="B147" s="5">
        <v>9.99000999000999E-4</v>
      </c>
      <c r="C147" s="4">
        <v>2.52399619333602E-2</v>
      </c>
    </row>
    <row r="148" spans="1:3" x14ac:dyDescent="0.2">
      <c r="A148" s="4" t="str">
        <f>"ZNF630"</f>
        <v>ZNF630</v>
      </c>
      <c r="B148" s="5">
        <v>9.99000999000999E-4</v>
      </c>
      <c r="C148" s="4">
        <v>2.52399619333602E-2</v>
      </c>
    </row>
    <row r="149" spans="1:3" x14ac:dyDescent="0.2">
      <c r="A149" s="4" t="str">
        <f>"TNFSF15"</f>
        <v>TNFSF15</v>
      </c>
      <c r="B149" s="5">
        <v>9.99000999000999E-4</v>
      </c>
      <c r="C149" s="4">
        <v>2.52399619333602E-2</v>
      </c>
    </row>
    <row r="150" spans="1:3" x14ac:dyDescent="0.2">
      <c r="A150" s="4" t="str">
        <f>"RPL37P6"</f>
        <v>RPL37P6</v>
      </c>
      <c r="B150" s="5">
        <v>9.99000999000999E-4</v>
      </c>
      <c r="C150" s="4">
        <v>2.52399619333602E-2</v>
      </c>
    </row>
    <row r="151" spans="1:3" x14ac:dyDescent="0.2">
      <c r="A151" s="4" t="str">
        <f>"FAM25A"</f>
        <v>FAM25A</v>
      </c>
      <c r="B151" s="5">
        <v>9.99000999000999E-4</v>
      </c>
      <c r="C151" s="4">
        <v>2.52399619333602E-2</v>
      </c>
    </row>
    <row r="152" spans="1:3" x14ac:dyDescent="0.2">
      <c r="A152" s="4" t="str">
        <f>"FAM157B"</f>
        <v>FAM157B</v>
      </c>
      <c r="B152" s="5">
        <v>9.99000999000999E-4</v>
      </c>
      <c r="C152" s="4">
        <v>2.52399619333602E-2</v>
      </c>
    </row>
    <row r="153" spans="1:3" x14ac:dyDescent="0.2">
      <c r="A153" s="4" t="str">
        <f>"GPR143"</f>
        <v>GPR143</v>
      </c>
      <c r="B153" s="5">
        <v>9.99000999000999E-4</v>
      </c>
      <c r="C153" s="4">
        <v>2.52399619333602E-2</v>
      </c>
    </row>
    <row r="154" spans="1:3" x14ac:dyDescent="0.2">
      <c r="A154" s="4" t="str">
        <f>"FBXL22"</f>
        <v>FBXL22</v>
      </c>
      <c r="B154" s="5">
        <v>9.99000999000999E-4</v>
      </c>
      <c r="C154" s="4">
        <v>2.52399619333602E-2</v>
      </c>
    </row>
    <row r="155" spans="1:3" x14ac:dyDescent="0.2">
      <c r="A155" s="4" t="str">
        <f>"CCL20"</f>
        <v>CCL20</v>
      </c>
      <c r="B155" s="5">
        <v>9.99000999000999E-4</v>
      </c>
      <c r="C155" s="4">
        <v>2.52399619333602E-2</v>
      </c>
    </row>
    <row r="156" spans="1:3" x14ac:dyDescent="0.2">
      <c r="A156" s="4" t="str">
        <f>"FCGR1B"</f>
        <v>FCGR1B</v>
      </c>
      <c r="B156" s="5">
        <v>9.99000999000999E-4</v>
      </c>
      <c r="C156" s="4">
        <v>2.52399619333602E-2</v>
      </c>
    </row>
    <row r="157" spans="1:3" x14ac:dyDescent="0.2">
      <c r="A157" s="4" t="str">
        <f>"AC069368.1"</f>
        <v>AC069368.1</v>
      </c>
      <c r="B157" s="5">
        <v>9.99000999000999E-4</v>
      </c>
      <c r="C157" s="4">
        <v>2.52399619333602E-2</v>
      </c>
    </row>
    <row r="158" spans="1:3" x14ac:dyDescent="0.2">
      <c r="A158" s="4" t="str">
        <f>"PYCARD-AS1"</f>
        <v>PYCARD-AS1</v>
      </c>
      <c r="B158" s="5">
        <v>9.99000999000999E-4</v>
      </c>
      <c r="C158" s="4">
        <v>2.52399619333602E-2</v>
      </c>
    </row>
    <row r="159" spans="1:3" x14ac:dyDescent="0.2">
      <c r="A159" s="4" t="str">
        <f>"RGL4"</f>
        <v>RGL4</v>
      </c>
      <c r="B159" s="5">
        <v>9.99000999000999E-4</v>
      </c>
      <c r="C159" s="4">
        <v>2.52399619333602E-2</v>
      </c>
    </row>
    <row r="160" spans="1:3" x14ac:dyDescent="0.2">
      <c r="A160" s="4" t="str">
        <f>"MINCR"</f>
        <v>MINCR</v>
      </c>
      <c r="B160" s="5">
        <v>9.99000999000999E-4</v>
      </c>
      <c r="C160" s="4">
        <v>2.52399619333602E-2</v>
      </c>
    </row>
    <row r="161" spans="1:3" x14ac:dyDescent="0.2">
      <c r="A161" s="4" t="str">
        <f>"LINC01270"</f>
        <v>LINC01270</v>
      </c>
      <c r="B161" s="5">
        <v>9.99000999000999E-4</v>
      </c>
      <c r="C161" s="4">
        <v>2.52399619333602E-2</v>
      </c>
    </row>
    <row r="162" spans="1:3" x14ac:dyDescent="0.2">
      <c r="A162" s="4" t="str">
        <f>"DNAH14"</f>
        <v>DNAH14</v>
      </c>
      <c r="B162" s="5">
        <v>9.99000999000999E-4</v>
      </c>
      <c r="C162" s="4">
        <v>2.52399619333602E-2</v>
      </c>
    </row>
    <row r="163" spans="1:3" x14ac:dyDescent="0.2">
      <c r="A163" s="4" t="str">
        <f>"AC102953.2"</f>
        <v>AC102953.2</v>
      </c>
      <c r="B163" s="5">
        <v>9.99000999000999E-4</v>
      </c>
      <c r="C163" s="4">
        <v>2.52399619333602E-2</v>
      </c>
    </row>
    <row r="164" spans="1:3" x14ac:dyDescent="0.2">
      <c r="A164" s="4" t="str">
        <f>"SCNN1D"</f>
        <v>SCNN1D</v>
      </c>
      <c r="B164" s="5">
        <v>9.99000999000999E-4</v>
      </c>
      <c r="C164" s="4">
        <v>2.52399619333602E-2</v>
      </c>
    </row>
    <row r="165" spans="1:3" x14ac:dyDescent="0.2">
      <c r="A165" s="4" t="str">
        <f>"GUSBP1"</f>
        <v>GUSBP1</v>
      </c>
      <c r="B165" s="5">
        <v>9.99000999000999E-4</v>
      </c>
      <c r="C165" s="4">
        <v>2.52399619333602E-2</v>
      </c>
    </row>
    <row r="166" spans="1:3" x14ac:dyDescent="0.2">
      <c r="A166" s="4" t="str">
        <f>"LIPN"</f>
        <v>LIPN</v>
      </c>
      <c r="B166" s="5">
        <v>9.99000999000999E-4</v>
      </c>
      <c r="C166" s="4">
        <v>2.52399619333602E-2</v>
      </c>
    </row>
    <row r="167" spans="1:3" x14ac:dyDescent="0.2">
      <c r="A167" s="4" t="str">
        <f>"AC040169.1"</f>
        <v>AC040169.1</v>
      </c>
      <c r="B167" s="5">
        <v>9.99000999000999E-4</v>
      </c>
      <c r="C167" s="4">
        <v>2.52399619333602E-2</v>
      </c>
    </row>
    <row r="168" spans="1:3" x14ac:dyDescent="0.2">
      <c r="A168" s="4" t="str">
        <f>"KIF9-AS1"</f>
        <v>KIF9-AS1</v>
      </c>
      <c r="B168" s="5">
        <v>9.99000999000999E-4</v>
      </c>
      <c r="C168" s="4">
        <v>2.52399619333602E-2</v>
      </c>
    </row>
    <row r="169" spans="1:3" x14ac:dyDescent="0.2">
      <c r="A169" s="4" t="str">
        <f>"AATBC"</f>
        <v>AATBC</v>
      </c>
      <c r="B169" s="5">
        <v>9.99000999000999E-4</v>
      </c>
      <c r="C169" s="4">
        <v>2.52399619333602E-2</v>
      </c>
    </row>
    <row r="170" spans="1:3" x14ac:dyDescent="0.2">
      <c r="A170" s="4" t="str">
        <f>"FAM216A"</f>
        <v>FAM216A</v>
      </c>
      <c r="B170" s="5">
        <v>9.99000999000999E-4</v>
      </c>
      <c r="C170" s="4">
        <v>2.52399619333602E-2</v>
      </c>
    </row>
    <row r="171" spans="1:3" x14ac:dyDescent="0.2">
      <c r="A171" s="4" t="str">
        <f>"COX10-AS1"</f>
        <v>COX10-AS1</v>
      </c>
      <c r="B171" s="5">
        <v>9.99000999000999E-4</v>
      </c>
      <c r="C171" s="4">
        <v>2.52399619333602E-2</v>
      </c>
    </row>
    <row r="172" spans="1:3" x14ac:dyDescent="0.2">
      <c r="A172" s="4" t="str">
        <f>"SKAP1"</f>
        <v>SKAP1</v>
      </c>
      <c r="B172" s="5">
        <v>9.99000999000999E-4</v>
      </c>
      <c r="C172" s="4">
        <v>2.52399619333602E-2</v>
      </c>
    </row>
    <row r="173" spans="1:3" x14ac:dyDescent="0.2">
      <c r="A173" s="4" t="str">
        <f>"SLC10A5"</f>
        <v>SLC10A5</v>
      </c>
      <c r="B173" s="5">
        <v>9.99000999000999E-4</v>
      </c>
      <c r="C173" s="4">
        <v>2.52399619333602E-2</v>
      </c>
    </row>
    <row r="174" spans="1:3" x14ac:dyDescent="0.2">
      <c r="A174" s="4" t="str">
        <f>"SDAD1P1"</f>
        <v>SDAD1P1</v>
      </c>
      <c r="B174" s="5">
        <v>9.99000999000999E-4</v>
      </c>
      <c r="C174" s="4">
        <v>2.52399619333602E-2</v>
      </c>
    </row>
    <row r="175" spans="1:3" x14ac:dyDescent="0.2">
      <c r="A175" s="4" t="str">
        <f>"AC074212.1"</f>
        <v>AC074212.1</v>
      </c>
      <c r="B175" s="5">
        <v>9.99000999000999E-4</v>
      </c>
      <c r="C175" s="4">
        <v>2.52399619333602E-2</v>
      </c>
    </row>
    <row r="176" spans="1:3" x14ac:dyDescent="0.2">
      <c r="A176" s="4" t="str">
        <f>"AC000068.1"</f>
        <v>AC000068.1</v>
      </c>
      <c r="B176" s="5">
        <v>9.99000999000999E-4</v>
      </c>
      <c r="C176" s="4">
        <v>2.52399619333602E-2</v>
      </c>
    </row>
    <row r="177" spans="1:3" x14ac:dyDescent="0.2">
      <c r="A177" s="4" t="str">
        <f>"IRAG1"</f>
        <v>IRAG1</v>
      </c>
      <c r="B177" s="5">
        <v>9.99000999000999E-4</v>
      </c>
      <c r="C177" s="4">
        <v>2.52399619333602E-2</v>
      </c>
    </row>
    <row r="178" spans="1:3" x14ac:dyDescent="0.2">
      <c r="A178" s="4" t="str">
        <f>"LINC-PINT"</f>
        <v>LINC-PINT</v>
      </c>
      <c r="B178" s="5">
        <v>9.99000999000999E-4</v>
      </c>
      <c r="C178" s="4">
        <v>2.52399619333602E-2</v>
      </c>
    </row>
    <row r="179" spans="1:3" x14ac:dyDescent="0.2">
      <c r="A179" s="4" t="str">
        <f>"C19orf38"</f>
        <v>C19orf38</v>
      </c>
      <c r="B179" s="5">
        <v>9.99000999000999E-4</v>
      </c>
      <c r="C179" s="4">
        <v>2.52399619333602E-2</v>
      </c>
    </row>
    <row r="180" spans="1:3" x14ac:dyDescent="0.2">
      <c r="A180" s="4" t="str">
        <f>"IZUMO4"</f>
        <v>IZUMO4</v>
      </c>
      <c r="B180" s="5">
        <v>9.99000999000999E-4</v>
      </c>
      <c r="C180" s="4">
        <v>2.52399619333602E-2</v>
      </c>
    </row>
    <row r="181" spans="1:3" x14ac:dyDescent="0.2">
      <c r="A181" s="4" t="str">
        <f>"AC006449.6"</f>
        <v>AC006449.6</v>
      </c>
      <c r="B181" s="5">
        <v>9.99000999000999E-4</v>
      </c>
      <c r="C181" s="4">
        <v>2.52399619333602E-2</v>
      </c>
    </row>
    <row r="182" spans="1:3" x14ac:dyDescent="0.2">
      <c r="A182" s="4" t="str">
        <f>"PRANCR"</f>
        <v>PRANCR</v>
      </c>
      <c r="B182" s="5">
        <v>9.99000999000999E-4</v>
      </c>
      <c r="C182" s="4">
        <v>2.52399619333602E-2</v>
      </c>
    </row>
    <row r="183" spans="1:3" x14ac:dyDescent="0.2">
      <c r="A183" s="4" t="str">
        <f>"ZNF563"</f>
        <v>ZNF563</v>
      </c>
      <c r="B183" s="5">
        <v>9.99000999000999E-4</v>
      </c>
      <c r="C183" s="4">
        <v>2.52399619333602E-2</v>
      </c>
    </row>
    <row r="184" spans="1:3" x14ac:dyDescent="0.2">
      <c r="A184" s="4" t="str">
        <f>"ARHGAP15"</f>
        <v>ARHGAP15</v>
      </c>
      <c r="B184" s="5">
        <v>9.99000999000999E-4</v>
      </c>
      <c r="C184" s="4">
        <v>2.52399619333602E-2</v>
      </c>
    </row>
    <row r="185" spans="1:3" x14ac:dyDescent="0.2">
      <c r="A185" s="4" t="str">
        <f>"SENP8"</f>
        <v>SENP8</v>
      </c>
      <c r="B185" s="5">
        <v>9.99000999000999E-4</v>
      </c>
      <c r="C185" s="4">
        <v>2.52399619333602E-2</v>
      </c>
    </row>
    <row r="186" spans="1:3" x14ac:dyDescent="0.2">
      <c r="A186" s="4" t="str">
        <f>"AC009055.2"</f>
        <v>AC009055.2</v>
      </c>
      <c r="B186" s="5">
        <v>9.99000999000999E-4</v>
      </c>
      <c r="C186" s="4">
        <v>2.52399619333602E-2</v>
      </c>
    </row>
    <row r="187" spans="1:3" x14ac:dyDescent="0.2">
      <c r="A187" s="4" t="str">
        <f>"MUC12"</f>
        <v>MUC12</v>
      </c>
      <c r="B187" s="5">
        <v>9.99000999000999E-4</v>
      </c>
      <c r="C187" s="4">
        <v>2.52399619333602E-2</v>
      </c>
    </row>
    <row r="188" spans="1:3" x14ac:dyDescent="0.2">
      <c r="A188" s="4" t="str">
        <f>"USP46-DT"</f>
        <v>USP46-DT</v>
      </c>
      <c r="B188" s="5">
        <v>9.99000999000999E-4</v>
      </c>
      <c r="C188" s="4">
        <v>2.52399619333602E-2</v>
      </c>
    </row>
    <row r="189" spans="1:3" x14ac:dyDescent="0.2">
      <c r="A189" s="4" t="str">
        <f>"CSGALNACT1"</f>
        <v>CSGALNACT1</v>
      </c>
      <c r="B189" s="5">
        <v>9.99000999000999E-4</v>
      </c>
      <c r="C189" s="4">
        <v>2.52399619333602E-2</v>
      </c>
    </row>
    <row r="190" spans="1:3" x14ac:dyDescent="0.2">
      <c r="A190" s="4" t="str">
        <f>"SLITRK5"</f>
        <v>SLITRK5</v>
      </c>
      <c r="B190" s="5">
        <v>9.99000999000999E-4</v>
      </c>
      <c r="C190" s="4">
        <v>2.52399619333602E-2</v>
      </c>
    </row>
    <row r="191" spans="1:3" x14ac:dyDescent="0.2">
      <c r="A191" s="4" t="str">
        <f>"TRIM73"</f>
        <v>TRIM73</v>
      </c>
      <c r="B191" s="5">
        <v>9.99000999000999E-4</v>
      </c>
      <c r="C191" s="4">
        <v>2.52399619333602E-2</v>
      </c>
    </row>
    <row r="192" spans="1:3" x14ac:dyDescent="0.2">
      <c r="A192" s="4" t="str">
        <f>"AC105233.4"</f>
        <v>AC105233.4</v>
      </c>
      <c r="B192" s="5">
        <v>9.99000999000999E-4</v>
      </c>
      <c r="C192" s="4">
        <v>2.52399619333602E-2</v>
      </c>
    </row>
    <row r="193" spans="1:3" x14ac:dyDescent="0.2">
      <c r="A193" s="4" t="str">
        <f>"AC008014.1"</f>
        <v>AC008014.1</v>
      </c>
      <c r="B193" s="5">
        <v>9.99000999000999E-4</v>
      </c>
      <c r="C193" s="4">
        <v>2.52399619333602E-2</v>
      </c>
    </row>
    <row r="194" spans="1:3" x14ac:dyDescent="0.2">
      <c r="A194" s="4" t="str">
        <f>"MEF2C"</f>
        <v>MEF2C</v>
      </c>
      <c r="B194" s="5">
        <v>9.99000999000999E-4</v>
      </c>
      <c r="C194" s="4">
        <v>2.52399619333602E-2</v>
      </c>
    </row>
    <row r="195" spans="1:3" x14ac:dyDescent="0.2">
      <c r="A195" s="4" t="str">
        <f>"AGAP2"</f>
        <v>AGAP2</v>
      </c>
      <c r="B195" s="5">
        <v>9.99000999000999E-4</v>
      </c>
      <c r="C195" s="4">
        <v>2.52399619333602E-2</v>
      </c>
    </row>
    <row r="196" spans="1:3" x14ac:dyDescent="0.2">
      <c r="A196" s="4" t="str">
        <f>"CDA"</f>
        <v>CDA</v>
      </c>
      <c r="B196" s="5">
        <v>9.99000999000999E-4</v>
      </c>
      <c r="C196" s="4">
        <v>2.52399619333602E-2</v>
      </c>
    </row>
    <row r="197" spans="1:3" x14ac:dyDescent="0.2">
      <c r="A197" s="4" t="str">
        <f>"ZNF782"</f>
        <v>ZNF782</v>
      </c>
      <c r="B197" s="5">
        <v>9.99000999000999E-4</v>
      </c>
      <c r="C197" s="4">
        <v>2.52399619333602E-2</v>
      </c>
    </row>
    <row r="198" spans="1:3" x14ac:dyDescent="0.2">
      <c r="A198" s="4" t="str">
        <f>"ABCB9"</f>
        <v>ABCB9</v>
      </c>
      <c r="B198" s="5">
        <v>9.99000999000999E-4</v>
      </c>
      <c r="C198" s="4">
        <v>2.52399619333602E-2</v>
      </c>
    </row>
    <row r="199" spans="1:3" x14ac:dyDescent="0.2">
      <c r="A199" s="4" t="str">
        <f>"SLC44A5"</f>
        <v>SLC44A5</v>
      </c>
      <c r="B199" s="5">
        <v>9.99000999000999E-4</v>
      </c>
      <c r="C199" s="4">
        <v>2.52399619333602E-2</v>
      </c>
    </row>
    <row r="200" spans="1:3" x14ac:dyDescent="0.2">
      <c r="A200" s="4" t="str">
        <f>"TRAF3IP3"</f>
        <v>TRAF3IP3</v>
      </c>
      <c r="B200" s="5">
        <v>9.99000999000999E-4</v>
      </c>
      <c r="C200" s="4">
        <v>2.52399619333602E-2</v>
      </c>
    </row>
    <row r="201" spans="1:3" x14ac:dyDescent="0.2">
      <c r="A201" s="4" t="str">
        <f>"ZNF14"</f>
        <v>ZNF14</v>
      </c>
      <c r="B201" s="5">
        <v>9.99000999000999E-4</v>
      </c>
      <c r="C201" s="4">
        <v>2.52399619333602E-2</v>
      </c>
    </row>
    <row r="202" spans="1:3" x14ac:dyDescent="0.2">
      <c r="A202" s="4" t="str">
        <f>"SNX10"</f>
        <v>SNX10</v>
      </c>
      <c r="B202" s="5">
        <v>9.99000999000999E-4</v>
      </c>
      <c r="C202" s="4">
        <v>2.52399619333602E-2</v>
      </c>
    </row>
    <row r="203" spans="1:3" x14ac:dyDescent="0.2">
      <c r="A203" s="4" t="str">
        <f>"SEPSECS-AS1"</f>
        <v>SEPSECS-AS1</v>
      </c>
      <c r="B203" s="5">
        <v>9.99000999000999E-4</v>
      </c>
      <c r="C203" s="4">
        <v>2.52399619333602E-2</v>
      </c>
    </row>
    <row r="204" spans="1:3" x14ac:dyDescent="0.2">
      <c r="A204" s="4" t="str">
        <f>"CPXM1"</f>
        <v>CPXM1</v>
      </c>
      <c r="B204" s="5">
        <v>9.99000999000999E-4</v>
      </c>
      <c r="C204" s="4">
        <v>2.52399619333602E-2</v>
      </c>
    </row>
    <row r="205" spans="1:3" x14ac:dyDescent="0.2">
      <c r="A205" s="4" t="str">
        <f>"DKK1"</f>
        <v>DKK1</v>
      </c>
      <c r="B205" s="5">
        <v>9.99000999000999E-4</v>
      </c>
      <c r="C205" s="4">
        <v>2.52399619333602E-2</v>
      </c>
    </row>
    <row r="206" spans="1:3" x14ac:dyDescent="0.2">
      <c r="A206" s="4" t="str">
        <f>"ARHGAP33"</f>
        <v>ARHGAP33</v>
      </c>
      <c r="B206" s="5">
        <v>9.99000999000999E-4</v>
      </c>
      <c r="C206" s="4">
        <v>2.52399619333602E-2</v>
      </c>
    </row>
    <row r="207" spans="1:3" x14ac:dyDescent="0.2">
      <c r="A207" s="4" t="str">
        <f>"TMEM44-AS1"</f>
        <v>TMEM44-AS1</v>
      </c>
      <c r="B207" s="5">
        <v>9.99000999000999E-4</v>
      </c>
      <c r="C207" s="4">
        <v>2.52399619333602E-2</v>
      </c>
    </row>
    <row r="208" spans="1:3" x14ac:dyDescent="0.2">
      <c r="A208" s="4" t="str">
        <f>"VSIG10L"</f>
        <v>VSIG10L</v>
      </c>
      <c r="B208" s="5">
        <v>9.99000999000999E-4</v>
      </c>
      <c r="C208" s="4">
        <v>2.52399619333602E-2</v>
      </c>
    </row>
    <row r="209" spans="1:3" x14ac:dyDescent="0.2">
      <c r="A209" s="4" t="str">
        <f>"SIGLEC14"</f>
        <v>SIGLEC14</v>
      </c>
      <c r="B209" s="5">
        <v>9.99000999000999E-4</v>
      </c>
      <c r="C209" s="4">
        <v>2.52399619333602E-2</v>
      </c>
    </row>
    <row r="210" spans="1:3" x14ac:dyDescent="0.2">
      <c r="A210" s="4" t="str">
        <f>"SNX20"</f>
        <v>SNX20</v>
      </c>
      <c r="B210" s="5">
        <v>9.99000999000999E-4</v>
      </c>
      <c r="C210" s="4">
        <v>2.52399619333602E-2</v>
      </c>
    </row>
    <row r="211" spans="1:3" x14ac:dyDescent="0.2">
      <c r="A211" s="4" t="str">
        <f>"NFKBID"</f>
        <v>NFKBID</v>
      </c>
      <c r="B211" s="5">
        <v>9.99000999000999E-4</v>
      </c>
      <c r="C211" s="4">
        <v>2.52399619333602E-2</v>
      </c>
    </row>
    <row r="212" spans="1:3" x14ac:dyDescent="0.2">
      <c r="A212" s="4" t="str">
        <f>"NFE2"</f>
        <v>NFE2</v>
      </c>
      <c r="B212" s="5">
        <v>9.99000999000999E-4</v>
      </c>
      <c r="C212" s="4">
        <v>2.52399619333602E-2</v>
      </c>
    </row>
    <row r="213" spans="1:3" x14ac:dyDescent="0.2">
      <c r="A213" s="4" t="str">
        <f>"PKN3"</f>
        <v>PKN3</v>
      </c>
      <c r="B213" s="5">
        <v>9.99000999000999E-4</v>
      </c>
      <c r="C213" s="4">
        <v>2.52399619333602E-2</v>
      </c>
    </row>
    <row r="214" spans="1:3" x14ac:dyDescent="0.2">
      <c r="A214" s="4" t="str">
        <f>"DPEP2"</f>
        <v>DPEP2</v>
      </c>
      <c r="B214" s="5">
        <v>9.99000999000999E-4</v>
      </c>
      <c r="C214" s="4">
        <v>2.52399619333602E-2</v>
      </c>
    </row>
    <row r="215" spans="1:3" x14ac:dyDescent="0.2">
      <c r="A215" s="4" t="str">
        <f>"AC023509.1"</f>
        <v>AC023509.1</v>
      </c>
      <c r="B215" s="5">
        <v>9.99000999000999E-4</v>
      </c>
      <c r="C215" s="4">
        <v>2.52399619333602E-2</v>
      </c>
    </row>
    <row r="216" spans="1:3" x14ac:dyDescent="0.2">
      <c r="A216" s="4" t="str">
        <f>"LINC02582"</f>
        <v>LINC02582</v>
      </c>
      <c r="B216" s="5">
        <v>9.99000999000999E-4</v>
      </c>
      <c r="C216" s="4">
        <v>2.52399619333602E-2</v>
      </c>
    </row>
    <row r="217" spans="1:3" x14ac:dyDescent="0.2">
      <c r="A217" s="4" t="str">
        <f>"AC090559.1"</f>
        <v>AC090559.1</v>
      </c>
      <c r="B217" s="5">
        <v>9.99000999000999E-4</v>
      </c>
      <c r="C217" s="4">
        <v>2.52399619333602E-2</v>
      </c>
    </row>
    <row r="218" spans="1:3" x14ac:dyDescent="0.2">
      <c r="A218" s="4" t="str">
        <f>"AL358472.6"</f>
        <v>AL358472.6</v>
      </c>
      <c r="B218" s="5">
        <v>9.99000999000999E-4</v>
      </c>
      <c r="C218" s="4">
        <v>2.52399619333602E-2</v>
      </c>
    </row>
    <row r="219" spans="1:3" x14ac:dyDescent="0.2">
      <c r="A219" s="4" t="str">
        <f>"ZNF438"</f>
        <v>ZNF438</v>
      </c>
      <c r="B219" s="5">
        <v>9.99000999000999E-4</v>
      </c>
      <c r="C219" s="4">
        <v>2.52399619333602E-2</v>
      </c>
    </row>
    <row r="220" spans="1:3" x14ac:dyDescent="0.2">
      <c r="A220" s="4" t="str">
        <f>"TIMM23B-AGAP6"</f>
        <v>TIMM23B-AGAP6</v>
      </c>
      <c r="B220" s="5">
        <v>9.99000999000999E-4</v>
      </c>
      <c r="C220" s="4">
        <v>2.52399619333602E-2</v>
      </c>
    </row>
    <row r="221" spans="1:3" x14ac:dyDescent="0.2">
      <c r="A221" s="4" t="str">
        <f>"CD83"</f>
        <v>CD83</v>
      </c>
      <c r="B221" s="5">
        <v>9.99000999000999E-4</v>
      </c>
      <c r="C221" s="4">
        <v>2.52399619333602E-2</v>
      </c>
    </row>
    <row r="222" spans="1:3" x14ac:dyDescent="0.2">
      <c r="A222" s="4" t="str">
        <f>"PPP3CB-AS1"</f>
        <v>PPP3CB-AS1</v>
      </c>
      <c r="B222" s="5">
        <v>9.99000999000999E-4</v>
      </c>
      <c r="C222" s="4">
        <v>2.52399619333602E-2</v>
      </c>
    </row>
    <row r="223" spans="1:3" x14ac:dyDescent="0.2">
      <c r="A223" s="4" t="str">
        <f>"CST7"</f>
        <v>CST7</v>
      </c>
      <c r="B223" s="5">
        <v>9.99000999000999E-4</v>
      </c>
      <c r="C223" s="4">
        <v>2.52399619333602E-2</v>
      </c>
    </row>
    <row r="224" spans="1:3" x14ac:dyDescent="0.2">
      <c r="A224" s="4" t="str">
        <f>"RNF227"</f>
        <v>RNF227</v>
      </c>
      <c r="B224" s="5">
        <v>9.99000999000999E-4</v>
      </c>
      <c r="C224" s="4">
        <v>2.52399619333602E-2</v>
      </c>
    </row>
    <row r="225" spans="1:3" x14ac:dyDescent="0.2">
      <c r="A225" s="4" t="str">
        <f>"ZNF181"</f>
        <v>ZNF181</v>
      </c>
      <c r="B225" s="5">
        <v>9.99000999000999E-4</v>
      </c>
      <c r="C225" s="4">
        <v>2.52399619333602E-2</v>
      </c>
    </row>
    <row r="226" spans="1:3" x14ac:dyDescent="0.2">
      <c r="A226" s="4" t="str">
        <f>"ZNF681"</f>
        <v>ZNF681</v>
      </c>
      <c r="B226" s="5">
        <v>9.99000999000999E-4</v>
      </c>
      <c r="C226" s="4">
        <v>2.52399619333602E-2</v>
      </c>
    </row>
    <row r="227" spans="1:3" x14ac:dyDescent="0.2">
      <c r="A227" s="4" t="str">
        <f>"RBM26-AS1"</f>
        <v>RBM26-AS1</v>
      </c>
      <c r="B227" s="5">
        <v>9.99000999000999E-4</v>
      </c>
      <c r="C227" s="4">
        <v>2.52399619333602E-2</v>
      </c>
    </row>
    <row r="228" spans="1:3" x14ac:dyDescent="0.2">
      <c r="A228" s="4" t="str">
        <f>"BEST1"</f>
        <v>BEST1</v>
      </c>
      <c r="B228" s="5">
        <v>9.99000999000999E-4</v>
      </c>
      <c r="C228" s="4">
        <v>2.52399619333602E-2</v>
      </c>
    </row>
    <row r="229" spans="1:3" x14ac:dyDescent="0.2">
      <c r="A229" s="4" t="str">
        <f>"CALB1"</f>
        <v>CALB1</v>
      </c>
      <c r="B229" s="5">
        <v>9.99000999000999E-4</v>
      </c>
      <c r="C229" s="4">
        <v>2.52399619333602E-2</v>
      </c>
    </row>
    <row r="230" spans="1:3" x14ac:dyDescent="0.2">
      <c r="A230" s="4" t="str">
        <f>"CAMK1"</f>
        <v>CAMK1</v>
      </c>
      <c r="B230" s="5">
        <v>9.99000999000999E-4</v>
      </c>
      <c r="C230" s="4">
        <v>2.52399619333602E-2</v>
      </c>
    </row>
    <row r="231" spans="1:3" x14ac:dyDescent="0.2">
      <c r="A231" s="4" t="str">
        <f>"KNL1"</f>
        <v>KNL1</v>
      </c>
      <c r="B231" s="4">
        <v>1E-3</v>
      </c>
      <c r="C231" s="4">
        <v>2.52399619333602E-2</v>
      </c>
    </row>
    <row r="232" spans="1:3" x14ac:dyDescent="0.2">
      <c r="A232" s="4" t="str">
        <f>"ZNF772"</f>
        <v>ZNF772</v>
      </c>
      <c r="B232" s="5">
        <v>9.99000999000999E-4</v>
      </c>
      <c r="C232" s="4">
        <v>2.52399619333602E-2</v>
      </c>
    </row>
    <row r="233" spans="1:3" x14ac:dyDescent="0.2">
      <c r="A233" s="4" t="str">
        <f>"TNFSF14"</f>
        <v>TNFSF14</v>
      </c>
      <c r="B233" s="5">
        <v>9.99000999000999E-4</v>
      </c>
      <c r="C233" s="4">
        <v>2.52399619333602E-2</v>
      </c>
    </row>
    <row r="234" spans="1:3" x14ac:dyDescent="0.2">
      <c r="A234" s="4" t="str">
        <f>"ZNF525"</f>
        <v>ZNF525</v>
      </c>
      <c r="B234" s="5">
        <v>9.99000999000999E-4</v>
      </c>
      <c r="C234" s="4">
        <v>2.52399619333602E-2</v>
      </c>
    </row>
    <row r="235" spans="1:3" x14ac:dyDescent="0.2">
      <c r="A235" s="4" t="str">
        <f>"TESMIN"</f>
        <v>TESMIN</v>
      </c>
      <c r="B235" s="5">
        <v>9.99000999000999E-4</v>
      </c>
      <c r="C235" s="4">
        <v>2.52399619333602E-2</v>
      </c>
    </row>
    <row r="236" spans="1:3" x14ac:dyDescent="0.2">
      <c r="A236" s="4" t="str">
        <f>"NCF1B"</f>
        <v>NCF1B</v>
      </c>
      <c r="B236" s="5">
        <v>9.99000999000999E-4</v>
      </c>
      <c r="C236" s="4">
        <v>2.52399619333602E-2</v>
      </c>
    </row>
    <row r="237" spans="1:3" x14ac:dyDescent="0.2">
      <c r="A237" s="4" t="str">
        <f>"ADGRE3"</f>
        <v>ADGRE3</v>
      </c>
      <c r="B237" s="5">
        <v>9.99000999000999E-4</v>
      </c>
      <c r="C237" s="4">
        <v>2.52399619333602E-2</v>
      </c>
    </row>
    <row r="238" spans="1:3" x14ac:dyDescent="0.2">
      <c r="A238" s="4" t="str">
        <f>"XRCC3"</f>
        <v>XRCC3</v>
      </c>
      <c r="B238" s="5">
        <v>9.99000999000999E-4</v>
      </c>
      <c r="C238" s="4">
        <v>2.52399619333602E-2</v>
      </c>
    </row>
    <row r="239" spans="1:3" x14ac:dyDescent="0.2">
      <c r="A239" s="4" t="str">
        <f>"AZIN2"</f>
        <v>AZIN2</v>
      </c>
      <c r="B239" s="5">
        <v>9.99000999000999E-4</v>
      </c>
      <c r="C239" s="4">
        <v>2.52399619333602E-2</v>
      </c>
    </row>
    <row r="240" spans="1:3" x14ac:dyDescent="0.2">
      <c r="A240" s="4" t="str">
        <f>"AC021573.1"</f>
        <v>AC021573.1</v>
      </c>
      <c r="B240" s="5">
        <v>9.99000999000999E-4</v>
      </c>
      <c r="C240" s="4">
        <v>2.52399619333602E-2</v>
      </c>
    </row>
    <row r="241" spans="1:3" x14ac:dyDescent="0.2">
      <c r="A241" s="4" t="str">
        <f>"AC138035.1"</f>
        <v>AC138035.1</v>
      </c>
      <c r="B241" s="5">
        <v>9.99000999000999E-4</v>
      </c>
      <c r="C241" s="4">
        <v>2.52399619333602E-2</v>
      </c>
    </row>
    <row r="242" spans="1:3" x14ac:dyDescent="0.2">
      <c r="A242" s="4" t="str">
        <f>"AC008966.1"</f>
        <v>AC008966.1</v>
      </c>
      <c r="B242" s="5">
        <v>9.99000999000999E-4</v>
      </c>
      <c r="C242" s="4">
        <v>2.52399619333602E-2</v>
      </c>
    </row>
    <row r="243" spans="1:3" x14ac:dyDescent="0.2">
      <c r="A243" s="4" t="str">
        <f>"QPCT"</f>
        <v>QPCT</v>
      </c>
      <c r="B243" s="5">
        <v>9.99000999000999E-4</v>
      </c>
      <c r="C243" s="4">
        <v>2.52399619333602E-2</v>
      </c>
    </row>
    <row r="244" spans="1:3" x14ac:dyDescent="0.2">
      <c r="A244" s="4" t="str">
        <f>"SPTSSB"</f>
        <v>SPTSSB</v>
      </c>
      <c r="B244" s="5">
        <v>9.99000999000999E-4</v>
      </c>
      <c r="C244" s="4">
        <v>2.52399619333602E-2</v>
      </c>
    </row>
    <row r="245" spans="1:3" x14ac:dyDescent="0.2">
      <c r="A245" s="4" t="str">
        <f>"SCARF1"</f>
        <v>SCARF1</v>
      </c>
      <c r="B245" s="5">
        <v>9.99000999000999E-4</v>
      </c>
      <c r="C245" s="4">
        <v>2.52399619333602E-2</v>
      </c>
    </row>
    <row r="246" spans="1:3" x14ac:dyDescent="0.2">
      <c r="A246" s="4" t="str">
        <f>"LAT2"</f>
        <v>LAT2</v>
      </c>
      <c r="B246" s="5">
        <v>9.99000999000999E-4</v>
      </c>
      <c r="C246" s="4">
        <v>2.52399619333602E-2</v>
      </c>
    </row>
    <row r="247" spans="1:3" x14ac:dyDescent="0.2">
      <c r="A247" s="4" t="str">
        <f>"AC068888.1"</f>
        <v>AC068888.1</v>
      </c>
      <c r="B247" s="5">
        <v>9.99000999000999E-4</v>
      </c>
      <c r="C247" s="4">
        <v>2.52399619333602E-2</v>
      </c>
    </row>
    <row r="248" spans="1:3" x14ac:dyDescent="0.2">
      <c r="A248" s="4" t="str">
        <f>"AATK"</f>
        <v>AATK</v>
      </c>
      <c r="B248" s="5">
        <v>9.99000999000999E-4</v>
      </c>
      <c r="C248" s="4">
        <v>2.52399619333602E-2</v>
      </c>
    </row>
    <row r="249" spans="1:3" x14ac:dyDescent="0.2">
      <c r="A249" s="4" t="str">
        <f>"MTARC2"</f>
        <v>MTARC2</v>
      </c>
      <c r="B249" s="5">
        <v>9.99000999000999E-4</v>
      </c>
      <c r="C249" s="4">
        <v>2.52399619333602E-2</v>
      </c>
    </row>
    <row r="250" spans="1:3" x14ac:dyDescent="0.2">
      <c r="A250" s="4" t="str">
        <f>"MST1"</f>
        <v>MST1</v>
      </c>
      <c r="B250" s="5">
        <v>9.99000999000999E-4</v>
      </c>
      <c r="C250" s="4">
        <v>2.52399619333602E-2</v>
      </c>
    </row>
    <row r="251" spans="1:3" x14ac:dyDescent="0.2">
      <c r="A251" s="4" t="str">
        <f>"HRH2"</f>
        <v>HRH2</v>
      </c>
      <c r="B251" s="5">
        <v>9.99000999000999E-4</v>
      </c>
      <c r="C251" s="4">
        <v>2.52399619333602E-2</v>
      </c>
    </row>
    <row r="252" spans="1:3" x14ac:dyDescent="0.2">
      <c r="A252" s="4" t="str">
        <f>"GNG2"</f>
        <v>GNG2</v>
      </c>
      <c r="B252" s="5">
        <v>9.99000999000999E-4</v>
      </c>
      <c r="C252" s="4">
        <v>2.52399619333602E-2</v>
      </c>
    </row>
    <row r="253" spans="1:3" x14ac:dyDescent="0.2">
      <c r="A253" s="4" t="str">
        <f>"LILRA5"</f>
        <v>LILRA5</v>
      </c>
      <c r="B253" s="5">
        <v>9.99000999000999E-4</v>
      </c>
      <c r="C253" s="4">
        <v>2.52399619333602E-2</v>
      </c>
    </row>
    <row r="254" spans="1:3" x14ac:dyDescent="0.2">
      <c r="A254" s="4" t="str">
        <f>"FAM189A2"</f>
        <v>FAM189A2</v>
      </c>
      <c r="B254" s="5">
        <v>9.99000999000999E-4</v>
      </c>
      <c r="C254" s="4">
        <v>2.52399619333602E-2</v>
      </c>
    </row>
    <row r="255" spans="1:3" x14ac:dyDescent="0.2">
      <c r="A255" s="4" t="str">
        <f>"IL10RA"</f>
        <v>IL10RA</v>
      </c>
      <c r="B255" s="5">
        <v>9.99000999000999E-4</v>
      </c>
      <c r="C255" s="4">
        <v>2.52399619333602E-2</v>
      </c>
    </row>
    <row r="256" spans="1:3" x14ac:dyDescent="0.2">
      <c r="A256" s="4" t="str">
        <f>"CSGALNACT2"</f>
        <v>CSGALNACT2</v>
      </c>
      <c r="B256" s="5">
        <v>9.99000999000999E-4</v>
      </c>
      <c r="C256" s="4">
        <v>2.52399619333602E-2</v>
      </c>
    </row>
    <row r="257" spans="1:3" x14ac:dyDescent="0.2">
      <c r="A257" s="4" t="str">
        <f>"ZFP14"</f>
        <v>ZFP14</v>
      </c>
      <c r="B257" s="5">
        <v>9.99000999000999E-4</v>
      </c>
      <c r="C257" s="4">
        <v>2.52399619333602E-2</v>
      </c>
    </row>
    <row r="258" spans="1:3" x14ac:dyDescent="0.2">
      <c r="A258" s="4" t="str">
        <f>"MPP1"</f>
        <v>MPP1</v>
      </c>
      <c r="B258" s="5">
        <v>9.99000999000999E-4</v>
      </c>
      <c r="C258" s="4">
        <v>2.52399619333602E-2</v>
      </c>
    </row>
    <row r="259" spans="1:3" x14ac:dyDescent="0.2">
      <c r="A259" s="4" t="str">
        <f>"CLDN22"</f>
        <v>CLDN22</v>
      </c>
      <c r="B259" s="5">
        <v>9.99000999000999E-4</v>
      </c>
      <c r="C259" s="4">
        <v>2.52399619333602E-2</v>
      </c>
    </row>
    <row r="260" spans="1:3" x14ac:dyDescent="0.2">
      <c r="A260" s="4" t="str">
        <f>"ZEB2"</f>
        <v>ZEB2</v>
      </c>
      <c r="B260" s="5">
        <v>9.99000999000999E-4</v>
      </c>
      <c r="C260" s="4">
        <v>2.52399619333602E-2</v>
      </c>
    </row>
    <row r="261" spans="1:3" x14ac:dyDescent="0.2">
      <c r="A261" s="4" t="str">
        <f>"LTB4R2"</f>
        <v>LTB4R2</v>
      </c>
      <c r="B261" s="5">
        <v>9.99000999000999E-4</v>
      </c>
      <c r="C261" s="4">
        <v>2.52399619333602E-2</v>
      </c>
    </row>
    <row r="262" spans="1:3" x14ac:dyDescent="0.2">
      <c r="A262" s="4" t="str">
        <f>"AL772307.1"</f>
        <v>AL772307.1</v>
      </c>
      <c r="B262" s="5">
        <v>9.99000999000999E-4</v>
      </c>
      <c r="C262" s="4">
        <v>2.52399619333602E-2</v>
      </c>
    </row>
    <row r="263" spans="1:3" x14ac:dyDescent="0.2">
      <c r="A263" s="4" t="str">
        <f>"MOSMO"</f>
        <v>MOSMO</v>
      </c>
      <c r="B263" s="5">
        <v>9.99000999000999E-4</v>
      </c>
      <c r="C263" s="4">
        <v>2.52399619333602E-2</v>
      </c>
    </row>
    <row r="264" spans="1:3" x14ac:dyDescent="0.2">
      <c r="A264" s="4" t="str">
        <f>"TUBE1"</f>
        <v>TUBE1</v>
      </c>
      <c r="B264" s="5">
        <v>9.99000999000999E-4</v>
      </c>
      <c r="C264" s="4">
        <v>2.52399619333602E-2</v>
      </c>
    </row>
    <row r="265" spans="1:3" x14ac:dyDescent="0.2">
      <c r="A265" s="4" t="str">
        <f>"AC027117.1"</f>
        <v>AC027117.1</v>
      </c>
      <c r="B265" s="5">
        <v>9.99000999000999E-4</v>
      </c>
      <c r="C265" s="4">
        <v>2.52399619333602E-2</v>
      </c>
    </row>
    <row r="266" spans="1:3" x14ac:dyDescent="0.2">
      <c r="A266" s="4" t="str">
        <f>"LUCAT1"</f>
        <v>LUCAT1</v>
      </c>
      <c r="B266" s="5">
        <v>9.99000999000999E-4</v>
      </c>
      <c r="C266" s="4">
        <v>2.52399619333602E-2</v>
      </c>
    </row>
    <row r="267" spans="1:3" x14ac:dyDescent="0.2">
      <c r="A267" s="4" t="str">
        <f>"NEMP1"</f>
        <v>NEMP1</v>
      </c>
      <c r="B267" s="5">
        <v>9.99000999000999E-4</v>
      </c>
      <c r="C267" s="4">
        <v>2.52399619333602E-2</v>
      </c>
    </row>
    <row r="268" spans="1:3" x14ac:dyDescent="0.2">
      <c r="A268" s="4" t="str">
        <f>"FPGT"</f>
        <v>FPGT</v>
      </c>
      <c r="B268" s="5">
        <v>9.99000999000999E-4</v>
      </c>
      <c r="C268" s="4">
        <v>2.52399619333602E-2</v>
      </c>
    </row>
    <row r="269" spans="1:3" x14ac:dyDescent="0.2">
      <c r="A269" s="4" t="str">
        <f>"SYNJ1"</f>
        <v>SYNJ1</v>
      </c>
      <c r="B269" s="5">
        <v>9.99000999000999E-4</v>
      </c>
      <c r="C269" s="4">
        <v>2.52399619333602E-2</v>
      </c>
    </row>
    <row r="270" spans="1:3" x14ac:dyDescent="0.2">
      <c r="A270" s="4" t="str">
        <f>"NPM2"</f>
        <v>NPM2</v>
      </c>
      <c r="B270" s="5">
        <v>9.99000999000999E-4</v>
      </c>
      <c r="C270" s="4">
        <v>2.52399619333602E-2</v>
      </c>
    </row>
    <row r="271" spans="1:3" x14ac:dyDescent="0.2">
      <c r="A271" s="4" t="str">
        <f>"PRKCA"</f>
        <v>PRKCA</v>
      </c>
      <c r="B271" s="5">
        <v>9.99000999000999E-4</v>
      </c>
      <c r="C271" s="4">
        <v>2.52399619333602E-2</v>
      </c>
    </row>
    <row r="272" spans="1:3" x14ac:dyDescent="0.2">
      <c r="A272" s="4" t="str">
        <f>"NRG4"</f>
        <v>NRG4</v>
      </c>
      <c r="B272" s="5">
        <v>9.99000999000999E-4</v>
      </c>
      <c r="C272" s="4">
        <v>2.52399619333602E-2</v>
      </c>
    </row>
    <row r="273" spans="1:3" x14ac:dyDescent="0.2">
      <c r="A273" s="4" t="str">
        <f>"PMS1"</f>
        <v>PMS1</v>
      </c>
      <c r="B273" s="5">
        <v>9.99000999000999E-4</v>
      </c>
      <c r="C273" s="4">
        <v>2.52399619333602E-2</v>
      </c>
    </row>
    <row r="274" spans="1:3" x14ac:dyDescent="0.2">
      <c r="A274" s="4" t="str">
        <f>"ACTR3B"</f>
        <v>ACTR3B</v>
      </c>
      <c r="B274" s="5">
        <v>9.99000999000999E-4</v>
      </c>
      <c r="C274" s="4">
        <v>2.52399619333602E-2</v>
      </c>
    </row>
    <row r="275" spans="1:3" x14ac:dyDescent="0.2">
      <c r="A275" s="4" t="str">
        <f>"IVL"</f>
        <v>IVL</v>
      </c>
      <c r="B275" s="5">
        <v>9.99000999000999E-4</v>
      </c>
      <c r="C275" s="4">
        <v>2.52399619333602E-2</v>
      </c>
    </row>
    <row r="276" spans="1:3" x14ac:dyDescent="0.2">
      <c r="A276" s="4" t="str">
        <f>"ARL6IP6"</f>
        <v>ARL6IP6</v>
      </c>
      <c r="B276" s="5">
        <v>9.99000999000999E-4</v>
      </c>
      <c r="C276" s="4">
        <v>2.52399619333602E-2</v>
      </c>
    </row>
    <row r="277" spans="1:3" x14ac:dyDescent="0.2">
      <c r="A277" s="4" t="str">
        <f>"RASGRP4"</f>
        <v>RASGRP4</v>
      </c>
      <c r="B277" s="5">
        <v>9.99000999000999E-4</v>
      </c>
      <c r="C277" s="4">
        <v>2.52399619333602E-2</v>
      </c>
    </row>
    <row r="278" spans="1:3" x14ac:dyDescent="0.2">
      <c r="A278" s="4" t="str">
        <f>"PELATON"</f>
        <v>PELATON</v>
      </c>
      <c r="B278" s="5">
        <v>9.99000999000999E-4</v>
      </c>
      <c r="C278" s="4">
        <v>2.52399619333602E-2</v>
      </c>
    </row>
    <row r="279" spans="1:3" x14ac:dyDescent="0.2">
      <c r="A279" s="4" t="str">
        <f>"FAM221A"</f>
        <v>FAM221A</v>
      </c>
      <c r="B279" s="5">
        <v>9.99000999000999E-4</v>
      </c>
      <c r="C279" s="4">
        <v>2.52399619333602E-2</v>
      </c>
    </row>
    <row r="280" spans="1:3" x14ac:dyDescent="0.2">
      <c r="A280" s="4" t="str">
        <f>"AC099489.1"</f>
        <v>AC099489.1</v>
      </c>
      <c r="B280" s="5">
        <v>9.99000999000999E-4</v>
      </c>
      <c r="C280" s="4">
        <v>2.52399619333602E-2</v>
      </c>
    </row>
    <row r="281" spans="1:3" x14ac:dyDescent="0.2">
      <c r="A281" s="4" t="str">
        <f>"LSAMP"</f>
        <v>LSAMP</v>
      </c>
      <c r="B281" s="5">
        <v>9.99000999000999E-4</v>
      </c>
      <c r="C281" s="4">
        <v>2.52399619333602E-2</v>
      </c>
    </row>
    <row r="282" spans="1:3" x14ac:dyDescent="0.2">
      <c r="A282" s="4" t="str">
        <f>"TRAPPC2"</f>
        <v>TRAPPC2</v>
      </c>
      <c r="B282" s="5">
        <v>9.99000999000999E-4</v>
      </c>
      <c r="C282" s="4">
        <v>2.52399619333602E-2</v>
      </c>
    </row>
    <row r="283" spans="1:3" x14ac:dyDescent="0.2">
      <c r="A283" s="4" t="str">
        <f>"CD300A"</f>
        <v>CD300A</v>
      </c>
      <c r="B283" s="5">
        <v>9.99000999000999E-4</v>
      </c>
      <c r="C283" s="4">
        <v>2.52399619333602E-2</v>
      </c>
    </row>
    <row r="284" spans="1:3" x14ac:dyDescent="0.2">
      <c r="A284" s="4" t="str">
        <f>"DOK1"</f>
        <v>DOK1</v>
      </c>
      <c r="B284" s="5">
        <v>9.99000999000999E-4</v>
      </c>
      <c r="C284" s="4">
        <v>2.52399619333602E-2</v>
      </c>
    </row>
    <row r="285" spans="1:3" x14ac:dyDescent="0.2">
      <c r="A285" s="4" t="str">
        <f>"NRG2"</f>
        <v>NRG2</v>
      </c>
      <c r="B285" s="5">
        <v>9.99000999000999E-4</v>
      </c>
      <c r="C285" s="4">
        <v>2.52399619333602E-2</v>
      </c>
    </row>
    <row r="286" spans="1:3" x14ac:dyDescent="0.2">
      <c r="A286" s="4" t="str">
        <f>"IL18RAP"</f>
        <v>IL18RAP</v>
      </c>
      <c r="B286" s="5">
        <v>9.99000999000999E-4</v>
      </c>
      <c r="C286" s="4">
        <v>2.52399619333602E-2</v>
      </c>
    </row>
    <row r="287" spans="1:3" x14ac:dyDescent="0.2">
      <c r="A287" s="4" t="str">
        <f>"PILRA"</f>
        <v>PILRA</v>
      </c>
      <c r="B287" s="5">
        <v>9.99000999000999E-4</v>
      </c>
      <c r="C287" s="4">
        <v>2.52399619333602E-2</v>
      </c>
    </row>
    <row r="288" spans="1:3" x14ac:dyDescent="0.2">
      <c r="A288" s="4" t="str">
        <f>"NCF1C"</f>
        <v>NCF1C</v>
      </c>
      <c r="B288" s="5">
        <v>9.99000999000999E-4</v>
      </c>
      <c r="C288" s="4">
        <v>2.52399619333602E-2</v>
      </c>
    </row>
    <row r="289" spans="1:3" x14ac:dyDescent="0.2">
      <c r="A289" s="4" t="str">
        <f>"HSPA6"</f>
        <v>HSPA6</v>
      </c>
      <c r="B289" s="5">
        <v>9.99000999000999E-4</v>
      </c>
      <c r="C289" s="4">
        <v>2.52399619333602E-2</v>
      </c>
    </row>
    <row r="290" spans="1:3" x14ac:dyDescent="0.2">
      <c r="A290" s="4" t="str">
        <f>"PLA2G6"</f>
        <v>PLA2G6</v>
      </c>
      <c r="B290" s="5">
        <v>9.99000999000999E-4</v>
      </c>
      <c r="C290" s="4">
        <v>2.52399619333602E-2</v>
      </c>
    </row>
    <row r="291" spans="1:3" x14ac:dyDescent="0.2">
      <c r="A291" s="4" t="str">
        <f>"AC118553.2"</f>
        <v>AC118553.2</v>
      </c>
      <c r="B291" s="5">
        <v>9.99000999000999E-4</v>
      </c>
      <c r="C291" s="4">
        <v>2.52399619333602E-2</v>
      </c>
    </row>
    <row r="292" spans="1:3" x14ac:dyDescent="0.2">
      <c r="A292" s="4" t="str">
        <f>"GTF2E1"</f>
        <v>GTF2E1</v>
      </c>
      <c r="B292" s="5">
        <v>9.99000999000999E-4</v>
      </c>
      <c r="C292" s="4">
        <v>2.52399619333602E-2</v>
      </c>
    </row>
    <row r="293" spans="1:3" x14ac:dyDescent="0.2">
      <c r="A293" s="4" t="str">
        <f>"NFKBIE"</f>
        <v>NFKBIE</v>
      </c>
      <c r="B293" s="5">
        <v>9.99000999000999E-4</v>
      </c>
      <c r="C293" s="4">
        <v>2.52399619333602E-2</v>
      </c>
    </row>
    <row r="294" spans="1:3" x14ac:dyDescent="0.2">
      <c r="A294" s="4" t="str">
        <f>"SBSN"</f>
        <v>SBSN</v>
      </c>
      <c r="B294" s="5">
        <v>9.99000999000999E-4</v>
      </c>
      <c r="C294" s="4">
        <v>2.52399619333602E-2</v>
      </c>
    </row>
    <row r="295" spans="1:3" x14ac:dyDescent="0.2">
      <c r="A295" s="4" t="str">
        <f>"ITGA5"</f>
        <v>ITGA5</v>
      </c>
      <c r="B295" s="5">
        <v>9.99000999000999E-4</v>
      </c>
      <c r="C295" s="4">
        <v>2.52399619333602E-2</v>
      </c>
    </row>
    <row r="296" spans="1:3" x14ac:dyDescent="0.2">
      <c r="A296" s="4" t="str">
        <f>"NDN"</f>
        <v>NDN</v>
      </c>
      <c r="B296" s="5">
        <v>9.99000999000999E-4</v>
      </c>
      <c r="C296" s="4">
        <v>2.52399619333602E-2</v>
      </c>
    </row>
    <row r="297" spans="1:3" x14ac:dyDescent="0.2">
      <c r="A297" s="4" t="str">
        <f>"NRBP2"</f>
        <v>NRBP2</v>
      </c>
      <c r="B297" s="5">
        <v>9.99000999000999E-4</v>
      </c>
      <c r="C297" s="4">
        <v>2.52399619333602E-2</v>
      </c>
    </row>
    <row r="298" spans="1:3" x14ac:dyDescent="0.2">
      <c r="A298" s="4" t="str">
        <f>"LST1"</f>
        <v>LST1</v>
      </c>
      <c r="B298" s="5">
        <v>9.99000999000999E-4</v>
      </c>
      <c r="C298" s="4">
        <v>2.52399619333602E-2</v>
      </c>
    </row>
    <row r="299" spans="1:3" x14ac:dyDescent="0.2">
      <c r="A299" s="4" t="str">
        <f>"SKAP2"</f>
        <v>SKAP2</v>
      </c>
      <c r="B299" s="5">
        <v>9.99000999000999E-4</v>
      </c>
      <c r="C299" s="4">
        <v>2.52399619333602E-2</v>
      </c>
    </row>
    <row r="300" spans="1:3" x14ac:dyDescent="0.2">
      <c r="A300" s="4" t="str">
        <f>"CD109"</f>
        <v>CD109</v>
      </c>
      <c r="B300" s="5">
        <v>9.99000999000999E-4</v>
      </c>
      <c r="C300" s="4">
        <v>2.52399619333602E-2</v>
      </c>
    </row>
    <row r="301" spans="1:3" x14ac:dyDescent="0.2">
      <c r="A301" s="4" t="str">
        <f>"NPNT"</f>
        <v>NPNT</v>
      </c>
      <c r="B301" s="5">
        <v>9.99000999000999E-4</v>
      </c>
      <c r="C301" s="4">
        <v>2.52399619333602E-2</v>
      </c>
    </row>
    <row r="302" spans="1:3" x14ac:dyDescent="0.2">
      <c r="A302" s="4" t="str">
        <f>"DCUN1D4"</f>
        <v>DCUN1D4</v>
      </c>
      <c r="B302" s="5">
        <v>9.99000999000999E-4</v>
      </c>
      <c r="C302" s="4">
        <v>2.52399619333602E-2</v>
      </c>
    </row>
    <row r="303" spans="1:3" x14ac:dyDescent="0.2">
      <c r="A303" s="4" t="str">
        <f>"CD37"</f>
        <v>CD37</v>
      </c>
      <c r="B303" s="5">
        <v>9.99000999000999E-4</v>
      </c>
      <c r="C303" s="4">
        <v>2.52399619333602E-2</v>
      </c>
    </row>
    <row r="304" spans="1:3" x14ac:dyDescent="0.2">
      <c r="A304" s="4" t="str">
        <f>"SASH3"</f>
        <v>SASH3</v>
      </c>
      <c r="B304" s="5">
        <v>9.99000999000999E-4</v>
      </c>
      <c r="C304" s="4">
        <v>2.52399619333602E-2</v>
      </c>
    </row>
    <row r="305" spans="1:3" x14ac:dyDescent="0.2">
      <c r="A305" s="4" t="str">
        <f>"CR1"</f>
        <v>CR1</v>
      </c>
      <c r="B305" s="5">
        <v>9.99000999000999E-4</v>
      </c>
      <c r="C305" s="4">
        <v>2.52399619333602E-2</v>
      </c>
    </row>
    <row r="306" spans="1:3" x14ac:dyDescent="0.2">
      <c r="A306" s="4" t="str">
        <f>"ZFAND4"</f>
        <v>ZFAND4</v>
      </c>
      <c r="B306" s="5">
        <v>9.99000999000999E-4</v>
      </c>
      <c r="C306" s="4">
        <v>2.52399619333602E-2</v>
      </c>
    </row>
    <row r="307" spans="1:3" x14ac:dyDescent="0.2">
      <c r="A307" s="4" t="str">
        <f>"MEFV"</f>
        <v>MEFV</v>
      </c>
      <c r="B307" s="4">
        <v>1E-3</v>
      </c>
      <c r="C307" s="4">
        <v>2.52399619333602E-2</v>
      </c>
    </row>
    <row r="308" spans="1:3" x14ac:dyDescent="0.2">
      <c r="A308" s="4" t="str">
        <f>"BEST4"</f>
        <v>BEST4</v>
      </c>
      <c r="B308" s="5">
        <v>9.99000999000999E-4</v>
      </c>
      <c r="C308" s="4">
        <v>2.52399619333602E-2</v>
      </c>
    </row>
    <row r="309" spans="1:3" x14ac:dyDescent="0.2">
      <c r="A309" s="4" t="str">
        <f>"RGS19"</f>
        <v>RGS19</v>
      </c>
      <c r="B309" s="5">
        <v>9.99000999000999E-4</v>
      </c>
      <c r="C309" s="4">
        <v>2.52399619333602E-2</v>
      </c>
    </row>
    <row r="310" spans="1:3" x14ac:dyDescent="0.2">
      <c r="A310" s="4" t="str">
        <f>"AL157935.2"</f>
        <v>AL157935.2</v>
      </c>
      <c r="B310" s="5">
        <v>9.99000999000999E-4</v>
      </c>
      <c r="C310" s="4">
        <v>2.52399619333602E-2</v>
      </c>
    </row>
    <row r="311" spans="1:3" x14ac:dyDescent="0.2">
      <c r="A311" s="4" t="str">
        <f>"APBB1IP"</f>
        <v>APBB1IP</v>
      </c>
      <c r="B311" s="5">
        <v>9.99000999000999E-4</v>
      </c>
      <c r="C311" s="4">
        <v>2.52399619333602E-2</v>
      </c>
    </row>
    <row r="312" spans="1:3" x14ac:dyDescent="0.2">
      <c r="A312" s="4" t="str">
        <f>"PHACTR1"</f>
        <v>PHACTR1</v>
      </c>
      <c r="B312" s="5">
        <v>9.99000999000999E-4</v>
      </c>
      <c r="C312" s="4">
        <v>2.52399619333602E-2</v>
      </c>
    </row>
    <row r="313" spans="1:3" x14ac:dyDescent="0.2">
      <c r="A313" s="4" t="str">
        <f>"RAB8B"</f>
        <v>RAB8B</v>
      </c>
      <c r="B313" s="5">
        <v>9.99000999000999E-4</v>
      </c>
      <c r="C313" s="4">
        <v>2.52399619333602E-2</v>
      </c>
    </row>
    <row r="314" spans="1:3" x14ac:dyDescent="0.2">
      <c r="A314" s="4" t="str">
        <f>"PIK3R5"</f>
        <v>PIK3R5</v>
      </c>
      <c r="B314" s="5">
        <v>9.99000999000999E-4</v>
      </c>
      <c r="C314" s="4">
        <v>2.52399619333602E-2</v>
      </c>
    </row>
    <row r="315" spans="1:3" x14ac:dyDescent="0.2">
      <c r="A315" s="4" t="str">
        <f>"TRIM47"</f>
        <v>TRIM47</v>
      </c>
      <c r="B315" s="5">
        <v>9.99000999000999E-4</v>
      </c>
      <c r="C315" s="4">
        <v>2.52399619333602E-2</v>
      </c>
    </row>
    <row r="316" spans="1:3" x14ac:dyDescent="0.2">
      <c r="A316" s="4" t="str">
        <f>"LIMD2"</f>
        <v>LIMD2</v>
      </c>
      <c r="B316" s="5">
        <v>9.99000999000999E-4</v>
      </c>
      <c r="C316" s="4">
        <v>2.52399619333602E-2</v>
      </c>
    </row>
    <row r="317" spans="1:3" x14ac:dyDescent="0.2">
      <c r="A317" s="4" t="str">
        <f>"HSD17B8"</f>
        <v>HSD17B8</v>
      </c>
      <c r="B317" s="5">
        <v>9.99000999000999E-4</v>
      </c>
      <c r="C317" s="4">
        <v>2.52399619333602E-2</v>
      </c>
    </row>
    <row r="318" spans="1:3" x14ac:dyDescent="0.2">
      <c r="A318" s="4" t="str">
        <f>"ZNF319"</f>
        <v>ZNF319</v>
      </c>
      <c r="B318" s="5">
        <v>9.99000999000999E-4</v>
      </c>
      <c r="C318" s="4">
        <v>2.52399619333602E-2</v>
      </c>
    </row>
    <row r="319" spans="1:3" x14ac:dyDescent="0.2">
      <c r="A319" s="4" t="str">
        <f>"CETN3"</f>
        <v>CETN3</v>
      </c>
      <c r="B319" s="5">
        <v>9.99000999000999E-4</v>
      </c>
      <c r="C319" s="4">
        <v>2.52399619333602E-2</v>
      </c>
    </row>
    <row r="320" spans="1:3" x14ac:dyDescent="0.2">
      <c r="A320" s="4" t="str">
        <f>"FCER1G"</f>
        <v>FCER1G</v>
      </c>
      <c r="B320" s="5">
        <v>9.99000999000999E-4</v>
      </c>
      <c r="C320" s="4">
        <v>2.52399619333602E-2</v>
      </c>
    </row>
    <row r="321" spans="1:3" x14ac:dyDescent="0.2">
      <c r="A321" s="4" t="str">
        <f>"TRIM66"</f>
        <v>TRIM66</v>
      </c>
      <c r="B321" s="5">
        <v>9.99000999000999E-4</v>
      </c>
      <c r="C321" s="4">
        <v>2.52399619333602E-2</v>
      </c>
    </row>
    <row r="322" spans="1:3" x14ac:dyDescent="0.2">
      <c r="A322" s="4" t="str">
        <f>"MESP1"</f>
        <v>MESP1</v>
      </c>
      <c r="B322" s="5">
        <v>9.99000999000999E-4</v>
      </c>
      <c r="C322" s="4">
        <v>2.52399619333602E-2</v>
      </c>
    </row>
    <row r="323" spans="1:3" x14ac:dyDescent="0.2">
      <c r="A323" s="4" t="str">
        <f>"SPRR1A"</f>
        <v>SPRR1A</v>
      </c>
      <c r="B323" s="5">
        <v>9.99000999000999E-4</v>
      </c>
      <c r="C323" s="4">
        <v>2.52399619333602E-2</v>
      </c>
    </row>
    <row r="324" spans="1:3" x14ac:dyDescent="0.2">
      <c r="A324" s="4" t="str">
        <f>"TMSB4XP4"</f>
        <v>TMSB4XP4</v>
      </c>
      <c r="B324" s="5">
        <v>9.99000999000999E-4</v>
      </c>
      <c r="C324" s="4">
        <v>2.52399619333602E-2</v>
      </c>
    </row>
    <row r="325" spans="1:3" x14ac:dyDescent="0.2">
      <c r="A325" s="4" t="str">
        <f>"MME"</f>
        <v>MME</v>
      </c>
      <c r="B325" s="5">
        <v>9.99000999000999E-4</v>
      </c>
      <c r="C325" s="4">
        <v>2.52399619333602E-2</v>
      </c>
    </row>
    <row r="326" spans="1:3" x14ac:dyDescent="0.2">
      <c r="A326" s="4" t="str">
        <f>"AL137800.1"</f>
        <v>AL137800.1</v>
      </c>
      <c r="B326" s="5">
        <v>9.99000999000999E-4</v>
      </c>
      <c r="C326" s="4">
        <v>2.52399619333602E-2</v>
      </c>
    </row>
    <row r="327" spans="1:3" x14ac:dyDescent="0.2">
      <c r="A327" s="4" t="str">
        <f>"FAM161B"</f>
        <v>FAM161B</v>
      </c>
      <c r="B327" s="5">
        <v>9.99000999000999E-4</v>
      </c>
      <c r="C327" s="4">
        <v>2.52399619333602E-2</v>
      </c>
    </row>
    <row r="328" spans="1:3" x14ac:dyDescent="0.2">
      <c r="A328" s="4" t="str">
        <f>"FERMT3"</f>
        <v>FERMT3</v>
      </c>
      <c r="B328" s="5">
        <v>9.99000999000999E-4</v>
      </c>
      <c r="C328" s="4">
        <v>2.52399619333602E-2</v>
      </c>
    </row>
    <row r="329" spans="1:3" x14ac:dyDescent="0.2">
      <c r="A329" s="4" t="str">
        <f>"FGGY"</f>
        <v>FGGY</v>
      </c>
      <c r="B329" s="5">
        <v>9.99000999000999E-4</v>
      </c>
      <c r="C329" s="4">
        <v>2.52399619333602E-2</v>
      </c>
    </row>
    <row r="330" spans="1:3" x14ac:dyDescent="0.2">
      <c r="A330" s="4" t="str">
        <f>"WAS"</f>
        <v>WAS</v>
      </c>
      <c r="B330" s="5">
        <v>9.99000999000999E-4</v>
      </c>
      <c r="C330" s="4">
        <v>2.52399619333602E-2</v>
      </c>
    </row>
    <row r="331" spans="1:3" x14ac:dyDescent="0.2">
      <c r="A331" s="4" t="str">
        <f>"CEP44"</f>
        <v>CEP44</v>
      </c>
      <c r="B331" s="5">
        <v>9.99000999000999E-4</v>
      </c>
      <c r="C331" s="4">
        <v>2.52399619333602E-2</v>
      </c>
    </row>
    <row r="332" spans="1:3" x14ac:dyDescent="0.2">
      <c r="A332" s="4" t="str">
        <f>"TACC3"</f>
        <v>TACC3</v>
      </c>
      <c r="B332" s="5">
        <v>9.99000999000999E-4</v>
      </c>
      <c r="C332" s="4">
        <v>2.52399619333602E-2</v>
      </c>
    </row>
    <row r="333" spans="1:3" x14ac:dyDescent="0.2">
      <c r="A333" s="4" t="str">
        <f>"CYTIP"</f>
        <v>CYTIP</v>
      </c>
      <c r="B333" s="5">
        <v>9.99000999000999E-4</v>
      </c>
      <c r="C333" s="4">
        <v>2.52399619333602E-2</v>
      </c>
    </row>
    <row r="334" spans="1:3" x14ac:dyDescent="0.2">
      <c r="A334" s="4" t="str">
        <f>"TMCC3"</f>
        <v>TMCC3</v>
      </c>
      <c r="B334" s="5">
        <v>9.99000999000999E-4</v>
      </c>
      <c r="C334" s="4">
        <v>2.52399619333602E-2</v>
      </c>
    </row>
    <row r="335" spans="1:3" x14ac:dyDescent="0.2">
      <c r="A335" s="4" t="str">
        <f>"RBM12B"</f>
        <v>RBM12B</v>
      </c>
      <c r="B335" s="5">
        <v>9.99000999000999E-4</v>
      </c>
      <c r="C335" s="4">
        <v>2.52399619333602E-2</v>
      </c>
    </row>
    <row r="336" spans="1:3" x14ac:dyDescent="0.2">
      <c r="A336" s="4" t="str">
        <f>"GULP1"</f>
        <v>GULP1</v>
      </c>
      <c r="B336" s="5">
        <v>9.99000999000999E-4</v>
      </c>
      <c r="C336" s="4">
        <v>2.52399619333602E-2</v>
      </c>
    </row>
    <row r="337" spans="1:3" x14ac:dyDescent="0.2">
      <c r="A337" s="4" t="str">
        <f>"HILPDA"</f>
        <v>HILPDA</v>
      </c>
      <c r="B337" s="5">
        <v>9.99000999000999E-4</v>
      </c>
      <c r="C337" s="4">
        <v>2.52399619333602E-2</v>
      </c>
    </row>
    <row r="338" spans="1:3" x14ac:dyDescent="0.2">
      <c r="A338" s="4" t="str">
        <f>"FAM122C"</f>
        <v>FAM122C</v>
      </c>
      <c r="B338" s="5">
        <v>9.99000999000999E-4</v>
      </c>
      <c r="C338" s="4">
        <v>2.52399619333602E-2</v>
      </c>
    </row>
    <row r="339" spans="1:3" x14ac:dyDescent="0.2">
      <c r="A339" s="4" t="str">
        <f>"NFAM1"</f>
        <v>NFAM1</v>
      </c>
      <c r="B339" s="5">
        <v>9.99000999000999E-4</v>
      </c>
      <c r="C339" s="4">
        <v>2.52399619333602E-2</v>
      </c>
    </row>
    <row r="340" spans="1:3" x14ac:dyDescent="0.2">
      <c r="A340" s="4" t="str">
        <f>"CENPF"</f>
        <v>CENPF</v>
      </c>
      <c r="B340" s="5">
        <v>9.99000999000999E-4</v>
      </c>
      <c r="C340" s="4">
        <v>2.52399619333602E-2</v>
      </c>
    </row>
    <row r="341" spans="1:3" x14ac:dyDescent="0.2">
      <c r="A341" s="4" t="str">
        <f>"RPL32P3"</f>
        <v>RPL32P3</v>
      </c>
      <c r="B341" s="5">
        <v>9.99000999000999E-4</v>
      </c>
      <c r="C341" s="4">
        <v>2.52399619333602E-2</v>
      </c>
    </row>
    <row r="342" spans="1:3" x14ac:dyDescent="0.2">
      <c r="A342" s="4" t="str">
        <f>"XRRA1"</f>
        <v>XRRA1</v>
      </c>
      <c r="B342" s="5">
        <v>9.99000999000999E-4</v>
      </c>
      <c r="C342" s="4">
        <v>2.52399619333602E-2</v>
      </c>
    </row>
    <row r="343" spans="1:3" x14ac:dyDescent="0.2">
      <c r="A343" s="4" t="str">
        <f>"TSFM"</f>
        <v>TSFM</v>
      </c>
      <c r="B343" s="5">
        <v>9.99000999000999E-4</v>
      </c>
      <c r="C343" s="4">
        <v>2.52399619333602E-2</v>
      </c>
    </row>
    <row r="344" spans="1:3" x14ac:dyDescent="0.2">
      <c r="A344" s="4" t="str">
        <f>"REEP4"</f>
        <v>REEP4</v>
      </c>
      <c r="B344" s="5">
        <v>9.99000999000999E-4</v>
      </c>
      <c r="C344" s="4">
        <v>2.52399619333602E-2</v>
      </c>
    </row>
    <row r="345" spans="1:3" x14ac:dyDescent="0.2">
      <c r="A345" s="4" t="str">
        <f>"EGR3"</f>
        <v>EGR3</v>
      </c>
      <c r="B345" s="5">
        <v>9.99000999000999E-4</v>
      </c>
      <c r="C345" s="4">
        <v>2.52399619333602E-2</v>
      </c>
    </row>
    <row r="346" spans="1:3" x14ac:dyDescent="0.2">
      <c r="A346" s="4" t="str">
        <f>"IL2RG"</f>
        <v>IL2RG</v>
      </c>
      <c r="B346" s="5">
        <v>9.99000999000999E-4</v>
      </c>
      <c r="C346" s="4">
        <v>2.52399619333602E-2</v>
      </c>
    </row>
    <row r="347" spans="1:3" x14ac:dyDescent="0.2">
      <c r="A347" s="4" t="str">
        <f>"THRB"</f>
        <v>THRB</v>
      </c>
      <c r="B347" s="5">
        <v>9.99000999000999E-4</v>
      </c>
      <c r="C347" s="4">
        <v>2.52399619333602E-2</v>
      </c>
    </row>
    <row r="348" spans="1:3" x14ac:dyDescent="0.2">
      <c r="A348" s="4" t="str">
        <f>"HIRIP3"</f>
        <v>HIRIP3</v>
      </c>
      <c r="B348" s="5">
        <v>9.99000999000999E-4</v>
      </c>
      <c r="C348" s="4">
        <v>2.52399619333602E-2</v>
      </c>
    </row>
    <row r="349" spans="1:3" x14ac:dyDescent="0.2">
      <c r="A349" s="4" t="str">
        <f>"SYT17"</f>
        <v>SYT17</v>
      </c>
      <c r="B349" s="5">
        <v>9.99000999000999E-4</v>
      </c>
      <c r="C349" s="4">
        <v>2.52399619333602E-2</v>
      </c>
    </row>
    <row r="350" spans="1:3" x14ac:dyDescent="0.2">
      <c r="A350" s="4" t="str">
        <f>"C8orf82"</f>
        <v>C8orf82</v>
      </c>
      <c r="B350" s="5">
        <v>9.99000999000999E-4</v>
      </c>
      <c r="C350" s="4">
        <v>2.52399619333602E-2</v>
      </c>
    </row>
    <row r="351" spans="1:3" x14ac:dyDescent="0.2">
      <c r="A351" s="4" t="str">
        <f>"KIAA0895"</f>
        <v>KIAA0895</v>
      </c>
      <c r="B351" s="5">
        <v>9.99000999000999E-4</v>
      </c>
      <c r="C351" s="4">
        <v>2.52399619333602E-2</v>
      </c>
    </row>
    <row r="352" spans="1:3" x14ac:dyDescent="0.2">
      <c r="A352" s="4" t="str">
        <f>"DOK3"</f>
        <v>DOK3</v>
      </c>
      <c r="B352" s="5">
        <v>9.99000999000999E-4</v>
      </c>
      <c r="C352" s="4">
        <v>2.52399619333602E-2</v>
      </c>
    </row>
    <row r="353" spans="1:3" x14ac:dyDescent="0.2">
      <c r="A353" s="4" t="str">
        <f>"VWA8"</f>
        <v>VWA8</v>
      </c>
      <c r="B353" s="5">
        <v>9.99000999000999E-4</v>
      </c>
      <c r="C353" s="4">
        <v>2.52399619333602E-2</v>
      </c>
    </row>
    <row r="354" spans="1:3" x14ac:dyDescent="0.2">
      <c r="A354" s="4" t="str">
        <f>"ALOX5AP"</f>
        <v>ALOX5AP</v>
      </c>
      <c r="B354" s="5">
        <v>9.99000999000999E-4</v>
      </c>
      <c r="C354" s="4">
        <v>2.52399619333602E-2</v>
      </c>
    </row>
    <row r="355" spans="1:3" x14ac:dyDescent="0.2">
      <c r="A355" s="4" t="str">
        <f>"BMERB1"</f>
        <v>BMERB1</v>
      </c>
      <c r="B355" s="5">
        <v>9.99000999000999E-4</v>
      </c>
      <c r="C355" s="4">
        <v>2.52399619333602E-2</v>
      </c>
    </row>
    <row r="356" spans="1:3" x14ac:dyDescent="0.2">
      <c r="A356" s="4" t="str">
        <f>"ELL"</f>
        <v>ELL</v>
      </c>
      <c r="B356" s="5">
        <v>9.99000999000999E-4</v>
      </c>
      <c r="C356" s="4">
        <v>2.52399619333602E-2</v>
      </c>
    </row>
    <row r="357" spans="1:3" x14ac:dyDescent="0.2">
      <c r="A357" s="4" t="str">
        <f>"FPR2"</f>
        <v>FPR2</v>
      </c>
      <c r="B357" s="5">
        <v>9.99000999000999E-4</v>
      </c>
      <c r="C357" s="4">
        <v>2.52399619333602E-2</v>
      </c>
    </row>
    <row r="358" spans="1:3" x14ac:dyDescent="0.2">
      <c r="A358" s="4" t="str">
        <f>"PRKCE"</f>
        <v>PRKCE</v>
      </c>
      <c r="B358" s="5">
        <v>9.99000999000999E-4</v>
      </c>
      <c r="C358" s="4">
        <v>2.52399619333602E-2</v>
      </c>
    </row>
    <row r="359" spans="1:3" x14ac:dyDescent="0.2">
      <c r="A359" s="4" t="str">
        <f>"ATG7"</f>
        <v>ATG7</v>
      </c>
      <c r="B359" s="5">
        <v>9.99000999000999E-4</v>
      </c>
      <c r="C359" s="4">
        <v>2.52399619333602E-2</v>
      </c>
    </row>
    <row r="360" spans="1:3" x14ac:dyDescent="0.2">
      <c r="A360" s="4" t="str">
        <f>"MRPL11"</f>
        <v>MRPL11</v>
      </c>
      <c r="B360" s="5">
        <v>9.99000999000999E-4</v>
      </c>
      <c r="C360" s="4">
        <v>2.52399619333602E-2</v>
      </c>
    </row>
    <row r="361" spans="1:3" x14ac:dyDescent="0.2">
      <c r="A361" s="4" t="str">
        <f>"KHDC4"</f>
        <v>KHDC4</v>
      </c>
      <c r="B361" s="5">
        <v>9.99000999000999E-4</v>
      </c>
      <c r="C361" s="4">
        <v>2.52399619333602E-2</v>
      </c>
    </row>
    <row r="362" spans="1:3" x14ac:dyDescent="0.2">
      <c r="A362" s="4" t="str">
        <f>"TLR2"</f>
        <v>TLR2</v>
      </c>
      <c r="B362" s="5">
        <v>9.99000999000999E-4</v>
      </c>
      <c r="C362" s="4">
        <v>2.52399619333602E-2</v>
      </c>
    </row>
    <row r="363" spans="1:3" x14ac:dyDescent="0.2">
      <c r="A363" s="4" t="str">
        <f>"SERTAD4"</f>
        <v>SERTAD4</v>
      </c>
      <c r="B363" s="5">
        <v>9.99000999000999E-4</v>
      </c>
      <c r="C363" s="4">
        <v>2.52399619333602E-2</v>
      </c>
    </row>
    <row r="364" spans="1:3" x14ac:dyDescent="0.2">
      <c r="A364" s="4" t="str">
        <f>"SNRPE"</f>
        <v>SNRPE</v>
      </c>
      <c r="B364" s="5">
        <v>9.99000999000999E-4</v>
      </c>
      <c r="C364" s="4">
        <v>2.52399619333602E-2</v>
      </c>
    </row>
    <row r="365" spans="1:3" x14ac:dyDescent="0.2">
      <c r="A365" s="4" t="str">
        <f>"POLR2M"</f>
        <v>POLR2M</v>
      </c>
      <c r="B365" s="5">
        <v>9.99000999000999E-4</v>
      </c>
      <c r="C365" s="4">
        <v>2.52399619333602E-2</v>
      </c>
    </row>
    <row r="366" spans="1:3" x14ac:dyDescent="0.2">
      <c r="A366" s="4" t="str">
        <f>"MRPL34"</f>
        <v>MRPL34</v>
      </c>
      <c r="B366" s="5">
        <v>9.99000999000999E-4</v>
      </c>
      <c r="C366" s="4">
        <v>2.52399619333602E-2</v>
      </c>
    </row>
    <row r="367" spans="1:3" x14ac:dyDescent="0.2">
      <c r="A367" s="4" t="str">
        <f>"DYSF"</f>
        <v>DYSF</v>
      </c>
      <c r="B367" s="5">
        <v>9.99000999000999E-4</v>
      </c>
      <c r="C367" s="4">
        <v>2.52399619333602E-2</v>
      </c>
    </row>
    <row r="368" spans="1:3" x14ac:dyDescent="0.2">
      <c r="A368" s="4" t="str">
        <f>"TMEM237"</f>
        <v>TMEM237</v>
      </c>
      <c r="B368" s="5">
        <v>9.99000999000999E-4</v>
      </c>
      <c r="C368" s="4">
        <v>2.52399619333602E-2</v>
      </c>
    </row>
    <row r="369" spans="1:3" x14ac:dyDescent="0.2">
      <c r="A369" s="4" t="str">
        <f>"PIM2"</f>
        <v>PIM2</v>
      </c>
      <c r="B369" s="5">
        <v>9.99000999000999E-4</v>
      </c>
      <c r="C369" s="4">
        <v>2.52399619333602E-2</v>
      </c>
    </row>
    <row r="370" spans="1:3" x14ac:dyDescent="0.2">
      <c r="A370" s="4" t="str">
        <f>"LARS2"</f>
        <v>LARS2</v>
      </c>
      <c r="B370" s="5">
        <v>9.99000999000999E-4</v>
      </c>
      <c r="C370" s="4">
        <v>2.52399619333602E-2</v>
      </c>
    </row>
    <row r="371" spans="1:3" x14ac:dyDescent="0.2">
      <c r="A371" s="4" t="str">
        <f>"CFD"</f>
        <v>CFD</v>
      </c>
      <c r="B371" s="5">
        <v>9.99000999000999E-4</v>
      </c>
      <c r="C371" s="4">
        <v>2.52399619333602E-2</v>
      </c>
    </row>
    <row r="372" spans="1:3" x14ac:dyDescent="0.2">
      <c r="A372" s="4" t="str">
        <f>"STRN3"</f>
        <v>STRN3</v>
      </c>
      <c r="B372" s="5">
        <v>9.99000999000999E-4</v>
      </c>
      <c r="C372" s="4">
        <v>2.52399619333602E-2</v>
      </c>
    </row>
    <row r="373" spans="1:3" x14ac:dyDescent="0.2">
      <c r="A373" s="4" t="str">
        <f>"DBP"</f>
        <v>DBP</v>
      </c>
      <c r="B373" s="5">
        <v>9.99000999000999E-4</v>
      </c>
      <c r="C373" s="4">
        <v>2.52399619333602E-2</v>
      </c>
    </row>
    <row r="374" spans="1:3" x14ac:dyDescent="0.2">
      <c r="A374" s="4" t="str">
        <f>"FCAR"</f>
        <v>FCAR</v>
      </c>
      <c r="B374" s="5">
        <v>9.99000999000999E-4</v>
      </c>
      <c r="C374" s="4">
        <v>2.52399619333602E-2</v>
      </c>
    </row>
    <row r="375" spans="1:3" x14ac:dyDescent="0.2">
      <c r="A375" s="4" t="str">
        <f>"ABT1"</f>
        <v>ABT1</v>
      </c>
      <c r="B375" s="5">
        <v>9.99000999000999E-4</v>
      </c>
      <c r="C375" s="4">
        <v>2.52399619333602E-2</v>
      </c>
    </row>
    <row r="376" spans="1:3" x14ac:dyDescent="0.2">
      <c r="A376" s="4" t="str">
        <f>"PTGR2"</f>
        <v>PTGR2</v>
      </c>
      <c r="B376" s="5">
        <v>9.99000999000999E-4</v>
      </c>
      <c r="C376" s="4">
        <v>2.52399619333602E-2</v>
      </c>
    </row>
    <row r="377" spans="1:3" x14ac:dyDescent="0.2">
      <c r="A377" s="4" t="str">
        <f>"PFDN2"</f>
        <v>PFDN2</v>
      </c>
      <c r="B377" s="5">
        <v>9.99000999000999E-4</v>
      </c>
      <c r="C377" s="4">
        <v>2.52399619333602E-2</v>
      </c>
    </row>
    <row r="378" spans="1:3" x14ac:dyDescent="0.2">
      <c r="A378" s="4" t="str">
        <f>"PDE4B"</f>
        <v>PDE4B</v>
      </c>
      <c r="B378" s="5">
        <v>9.99000999000999E-4</v>
      </c>
      <c r="C378" s="4">
        <v>2.52399619333602E-2</v>
      </c>
    </row>
    <row r="379" spans="1:3" x14ac:dyDescent="0.2">
      <c r="A379" s="4" t="str">
        <f>"MAOB"</f>
        <v>MAOB</v>
      </c>
      <c r="B379" s="5">
        <v>9.99000999000999E-4</v>
      </c>
      <c r="C379" s="4">
        <v>2.52399619333602E-2</v>
      </c>
    </row>
    <row r="380" spans="1:3" x14ac:dyDescent="0.2">
      <c r="A380" s="4" t="str">
        <f>"ATG16L2"</f>
        <v>ATG16L2</v>
      </c>
      <c r="B380" s="5">
        <v>9.99000999000999E-4</v>
      </c>
      <c r="C380" s="4">
        <v>2.52399619333602E-2</v>
      </c>
    </row>
    <row r="381" spans="1:3" x14ac:dyDescent="0.2">
      <c r="A381" s="4" t="str">
        <f>"SIRT5"</f>
        <v>SIRT5</v>
      </c>
      <c r="B381" s="5">
        <v>9.99000999000999E-4</v>
      </c>
      <c r="C381" s="4">
        <v>2.52399619333602E-2</v>
      </c>
    </row>
    <row r="382" spans="1:3" x14ac:dyDescent="0.2">
      <c r="A382" s="4" t="str">
        <f>"ITGB1BP1"</f>
        <v>ITGB1BP1</v>
      </c>
      <c r="B382" s="5">
        <v>9.99000999000999E-4</v>
      </c>
      <c r="C382" s="4">
        <v>2.52399619333602E-2</v>
      </c>
    </row>
    <row r="383" spans="1:3" x14ac:dyDescent="0.2">
      <c r="A383" s="4" t="str">
        <f>"ATXN7L1"</f>
        <v>ATXN7L1</v>
      </c>
      <c r="B383" s="5">
        <v>9.99000999000999E-4</v>
      </c>
      <c r="C383" s="4">
        <v>2.52399619333602E-2</v>
      </c>
    </row>
    <row r="384" spans="1:3" x14ac:dyDescent="0.2">
      <c r="A384" s="4" t="str">
        <f>"LSM7"</f>
        <v>LSM7</v>
      </c>
      <c r="B384" s="5">
        <v>9.99000999000999E-4</v>
      </c>
      <c r="C384" s="4">
        <v>2.52399619333602E-2</v>
      </c>
    </row>
    <row r="385" spans="1:3" x14ac:dyDescent="0.2">
      <c r="A385" s="4" t="str">
        <f>"TAGAP"</f>
        <v>TAGAP</v>
      </c>
      <c r="B385" s="5">
        <v>9.99000999000999E-4</v>
      </c>
      <c r="C385" s="4">
        <v>2.52399619333602E-2</v>
      </c>
    </row>
    <row r="386" spans="1:3" x14ac:dyDescent="0.2">
      <c r="A386" s="4" t="str">
        <f>"RABGGTB"</f>
        <v>RABGGTB</v>
      </c>
      <c r="B386" s="5">
        <v>9.99000999000999E-4</v>
      </c>
      <c r="C386" s="4">
        <v>2.52399619333602E-2</v>
      </c>
    </row>
    <row r="387" spans="1:3" x14ac:dyDescent="0.2">
      <c r="A387" s="4" t="str">
        <f>"NDE1"</f>
        <v>NDE1</v>
      </c>
      <c r="B387" s="5">
        <v>9.99000999000999E-4</v>
      </c>
      <c r="C387" s="4">
        <v>2.52399619333602E-2</v>
      </c>
    </row>
    <row r="388" spans="1:3" x14ac:dyDescent="0.2">
      <c r="A388" s="4" t="str">
        <f>"MAP1LC3A"</f>
        <v>MAP1LC3A</v>
      </c>
      <c r="B388" s="5">
        <v>9.99000999000999E-4</v>
      </c>
      <c r="C388" s="4">
        <v>2.52399619333602E-2</v>
      </c>
    </row>
    <row r="389" spans="1:3" x14ac:dyDescent="0.2">
      <c r="A389" s="4" t="str">
        <f>"TRIP4"</f>
        <v>TRIP4</v>
      </c>
      <c r="B389" s="5">
        <v>9.99000999000999E-4</v>
      </c>
      <c r="C389" s="4">
        <v>2.52399619333602E-2</v>
      </c>
    </row>
    <row r="390" spans="1:3" x14ac:dyDescent="0.2">
      <c r="A390" s="4" t="str">
        <f>"CHKB"</f>
        <v>CHKB</v>
      </c>
      <c r="B390" s="5">
        <v>9.99000999000999E-4</v>
      </c>
      <c r="C390" s="4">
        <v>2.52399619333602E-2</v>
      </c>
    </row>
    <row r="391" spans="1:3" x14ac:dyDescent="0.2">
      <c r="A391" s="4" t="str">
        <f>"UXT"</f>
        <v>UXT</v>
      </c>
      <c r="B391" s="5">
        <v>9.99000999000999E-4</v>
      </c>
      <c r="C391" s="4">
        <v>2.52399619333602E-2</v>
      </c>
    </row>
    <row r="392" spans="1:3" x14ac:dyDescent="0.2">
      <c r="A392" s="4" t="str">
        <f>"DHRS4-AS1"</f>
        <v>DHRS4-AS1</v>
      </c>
      <c r="B392" s="5">
        <v>9.99000999000999E-4</v>
      </c>
      <c r="C392" s="4">
        <v>2.52399619333602E-2</v>
      </c>
    </row>
    <row r="393" spans="1:3" x14ac:dyDescent="0.2">
      <c r="A393" s="4" t="str">
        <f>"OSM"</f>
        <v>OSM</v>
      </c>
      <c r="B393" s="5">
        <v>9.99000999000999E-4</v>
      </c>
      <c r="C393" s="4">
        <v>2.52399619333602E-2</v>
      </c>
    </row>
    <row r="394" spans="1:3" x14ac:dyDescent="0.2">
      <c r="A394" s="4" t="str">
        <f>"MOCOS"</f>
        <v>MOCOS</v>
      </c>
      <c r="B394" s="5">
        <v>9.99000999000999E-4</v>
      </c>
      <c r="C394" s="4">
        <v>2.52399619333602E-2</v>
      </c>
    </row>
    <row r="395" spans="1:3" x14ac:dyDescent="0.2">
      <c r="A395" s="4" t="str">
        <f>"TIA1"</f>
        <v>TIA1</v>
      </c>
      <c r="B395" s="5">
        <v>9.99000999000999E-4</v>
      </c>
      <c r="C395" s="4">
        <v>2.52399619333602E-2</v>
      </c>
    </row>
    <row r="396" spans="1:3" x14ac:dyDescent="0.2">
      <c r="A396" s="4" t="str">
        <f>"TYROBP"</f>
        <v>TYROBP</v>
      </c>
      <c r="B396" s="5">
        <v>9.99000999000999E-4</v>
      </c>
      <c r="C396" s="4">
        <v>2.52399619333602E-2</v>
      </c>
    </row>
    <row r="397" spans="1:3" x14ac:dyDescent="0.2">
      <c r="A397" s="4" t="str">
        <f>"TMEM120B"</f>
        <v>TMEM120B</v>
      </c>
      <c r="B397" s="5">
        <v>9.99000999000999E-4</v>
      </c>
      <c r="C397" s="4">
        <v>2.52399619333602E-2</v>
      </c>
    </row>
    <row r="398" spans="1:3" x14ac:dyDescent="0.2">
      <c r="A398" s="4" t="str">
        <f>"COMMD7"</f>
        <v>COMMD7</v>
      </c>
      <c r="B398" s="5">
        <v>9.99000999000999E-4</v>
      </c>
      <c r="C398" s="4">
        <v>2.52399619333602E-2</v>
      </c>
    </row>
    <row r="399" spans="1:3" x14ac:dyDescent="0.2">
      <c r="A399" s="4" t="str">
        <f>"BID"</f>
        <v>BID</v>
      </c>
      <c r="B399" s="5">
        <v>9.99000999000999E-4</v>
      </c>
      <c r="C399" s="4">
        <v>2.52399619333602E-2</v>
      </c>
    </row>
    <row r="400" spans="1:3" x14ac:dyDescent="0.2">
      <c r="A400" s="4" t="str">
        <f>"HDGFL3"</f>
        <v>HDGFL3</v>
      </c>
      <c r="B400" s="5">
        <v>9.99000999000999E-4</v>
      </c>
      <c r="C400" s="4">
        <v>2.52399619333602E-2</v>
      </c>
    </row>
    <row r="401" spans="1:3" x14ac:dyDescent="0.2">
      <c r="A401" s="4" t="str">
        <f>"GMIP"</f>
        <v>GMIP</v>
      </c>
      <c r="B401" s="5">
        <v>9.99000999000999E-4</v>
      </c>
      <c r="C401" s="4">
        <v>2.52399619333602E-2</v>
      </c>
    </row>
    <row r="402" spans="1:3" x14ac:dyDescent="0.2">
      <c r="A402" s="4" t="str">
        <f>"FOXG1"</f>
        <v>FOXG1</v>
      </c>
      <c r="B402" s="5">
        <v>9.99000999000999E-4</v>
      </c>
      <c r="C402" s="4">
        <v>2.52399619333602E-2</v>
      </c>
    </row>
    <row r="403" spans="1:3" x14ac:dyDescent="0.2">
      <c r="A403" s="4" t="str">
        <f>"NUBP1"</f>
        <v>NUBP1</v>
      </c>
      <c r="B403" s="5">
        <v>9.99000999000999E-4</v>
      </c>
      <c r="C403" s="4">
        <v>2.52399619333602E-2</v>
      </c>
    </row>
    <row r="404" spans="1:3" x14ac:dyDescent="0.2">
      <c r="A404" s="4" t="str">
        <f>"RHOG"</f>
        <v>RHOG</v>
      </c>
      <c r="B404" s="5">
        <v>9.99000999000999E-4</v>
      </c>
      <c r="C404" s="4">
        <v>2.52399619333602E-2</v>
      </c>
    </row>
    <row r="405" spans="1:3" x14ac:dyDescent="0.2">
      <c r="A405" s="4" t="str">
        <f>"RBM27"</f>
        <v>RBM27</v>
      </c>
      <c r="B405" s="5">
        <v>9.99000999000999E-4</v>
      </c>
      <c r="C405" s="4">
        <v>2.52399619333602E-2</v>
      </c>
    </row>
    <row r="406" spans="1:3" x14ac:dyDescent="0.2">
      <c r="A406" s="4" t="str">
        <f>"ABCB6"</f>
        <v>ABCB6</v>
      </c>
      <c r="B406" s="5">
        <v>9.99000999000999E-4</v>
      </c>
      <c r="C406" s="4">
        <v>2.52399619333602E-2</v>
      </c>
    </row>
    <row r="407" spans="1:3" x14ac:dyDescent="0.2">
      <c r="A407" s="4" t="str">
        <f>"SLA"</f>
        <v>SLA</v>
      </c>
      <c r="B407" s="5">
        <v>9.99000999000999E-4</v>
      </c>
      <c r="C407" s="4">
        <v>2.52399619333602E-2</v>
      </c>
    </row>
    <row r="408" spans="1:3" x14ac:dyDescent="0.2">
      <c r="A408" s="4" t="str">
        <f>"FBXO28"</f>
        <v>FBXO28</v>
      </c>
      <c r="B408" s="5">
        <v>9.99000999000999E-4</v>
      </c>
      <c r="C408" s="4">
        <v>2.52399619333602E-2</v>
      </c>
    </row>
    <row r="409" spans="1:3" x14ac:dyDescent="0.2">
      <c r="A409" s="4" t="str">
        <f>"FAM136A"</f>
        <v>FAM136A</v>
      </c>
      <c r="B409" s="5">
        <v>9.99000999000999E-4</v>
      </c>
      <c r="C409" s="4">
        <v>2.52399619333602E-2</v>
      </c>
    </row>
    <row r="410" spans="1:3" x14ac:dyDescent="0.2">
      <c r="A410" s="4" t="str">
        <f>"PRPS1"</f>
        <v>PRPS1</v>
      </c>
      <c r="B410" s="5">
        <v>9.99000999000999E-4</v>
      </c>
      <c r="C410" s="4">
        <v>2.52399619333602E-2</v>
      </c>
    </row>
    <row r="411" spans="1:3" x14ac:dyDescent="0.2">
      <c r="A411" s="4" t="str">
        <f>"DSC3"</f>
        <v>DSC3</v>
      </c>
      <c r="B411" s="5">
        <v>9.99000999000999E-4</v>
      </c>
      <c r="C411" s="4">
        <v>2.52399619333602E-2</v>
      </c>
    </row>
    <row r="412" spans="1:3" x14ac:dyDescent="0.2">
      <c r="A412" s="4" t="str">
        <f>"CUL5"</f>
        <v>CUL5</v>
      </c>
      <c r="B412" s="5">
        <v>9.99000999000999E-4</v>
      </c>
      <c r="C412" s="4">
        <v>2.52399619333602E-2</v>
      </c>
    </row>
    <row r="413" spans="1:3" x14ac:dyDescent="0.2">
      <c r="A413" s="4" t="str">
        <f>"COPS5"</f>
        <v>COPS5</v>
      </c>
      <c r="B413" s="5">
        <v>9.99000999000999E-4</v>
      </c>
      <c r="C413" s="4">
        <v>2.52399619333602E-2</v>
      </c>
    </row>
    <row r="414" spans="1:3" x14ac:dyDescent="0.2">
      <c r="A414" s="4" t="str">
        <f>"ATP5MD"</f>
        <v>ATP5MD</v>
      </c>
      <c r="B414" s="5">
        <v>9.99000999000999E-4</v>
      </c>
      <c r="C414" s="4">
        <v>2.52399619333602E-2</v>
      </c>
    </row>
    <row r="415" spans="1:3" x14ac:dyDescent="0.2">
      <c r="A415" s="4" t="str">
        <f>"BMP2K"</f>
        <v>BMP2K</v>
      </c>
      <c r="B415" s="5">
        <v>9.99000999000999E-4</v>
      </c>
      <c r="C415" s="4">
        <v>2.52399619333602E-2</v>
      </c>
    </row>
    <row r="416" spans="1:3" x14ac:dyDescent="0.2">
      <c r="A416" s="4" t="str">
        <f>"WIPF1"</f>
        <v>WIPF1</v>
      </c>
      <c r="B416" s="5">
        <v>9.99000999000999E-4</v>
      </c>
      <c r="C416" s="4">
        <v>2.52399619333602E-2</v>
      </c>
    </row>
    <row r="417" spans="1:3" x14ac:dyDescent="0.2">
      <c r="A417" s="4" t="str">
        <f>"SSH2"</f>
        <v>SSH2</v>
      </c>
      <c r="B417" s="5">
        <v>9.99000999000999E-4</v>
      </c>
      <c r="C417" s="4">
        <v>2.52399619333602E-2</v>
      </c>
    </row>
    <row r="418" spans="1:3" x14ac:dyDescent="0.2">
      <c r="A418" s="4" t="str">
        <f>"GTF2B"</f>
        <v>GTF2B</v>
      </c>
      <c r="B418" s="5">
        <v>9.99000999000999E-4</v>
      </c>
      <c r="C418" s="4">
        <v>2.52399619333602E-2</v>
      </c>
    </row>
    <row r="419" spans="1:3" x14ac:dyDescent="0.2">
      <c r="A419" s="4" t="str">
        <f>"RAC2"</f>
        <v>RAC2</v>
      </c>
      <c r="B419" s="5">
        <v>9.99000999000999E-4</v>
      </c>
      <c r="C419" s="4">
        <v>2.52399619333602E-2</v>
      </c>
    </row>
    <row r="420" spans="1:3" x14ac:dyDescent="0.2">
      <c r="A420" s="4" t="str">
        <f>"RRM2B"</f>
        <v>RRM2B</v>
      </c>
      <c r="B420" s="5">
        <v>9.99000999000999E-4</v>
      </c>
      <c r="C420" s="4">
        <v>2.52399619333602E-2</v>
      </c>
    </row>
    <row r="421" spans="1:3" x14ac:dyDescent="0.2">
      <c r="A421" s="4" t="str">
        <f>"PTPRE"</f>
        <v>PTPRE</v>
      </c>
      <c r="B421" s="4">
        <v>1E-3</v>
      </c>
      <c r="C421" s="4">
        <v>2.52399619333602E-2</v>
      </c>
    </row>
    <row r="422" spans="1:3" x14ac:dyDescent="0.2">
      <c r="A422" s="4" t="str">
        <f>"CXCR4"</f>
        <v>CXCR4</v>
      </c>
      <c r="B422" s="5">
        <v>9.99000999000999E-4</v>
      </c>
      <c r="C422" s="4">
        <v>2.52399619333602E-2</v>
      </c>
    </row>
    <row r="423" spans="1:3" x14ac:dyDescent="0.2">
      <c r="A423" s="4" t="str">
        <f>"FCHSD2"</f>
        <v>FCHSD2</v>
      </c>
      <c r="B423" s="5">
        <v>9.99000999000999E-4</v>
      </c>
      <c r="C423" s="4">
        <v>2.52399619333602E-2</v>
      </c>
    </row>
    <row r="424" spans="1:3" x14ac:dyDescent="0.2">
      <c r="A424" s="4" t="str">
        <f>"DHDDS"</f>
        <v>DHDDS</v>
      </c>
      <c r="B424" s="5">
        <v>9.99000999000999E-4</v>
      </c>
      <c r="C424" s="4">
        <v>2.52399619333602E-2</v>
      </c>
    </row>
    <row r="425" spans="1:3" x14ac:dyDescent="0.2">
      <c r="A425" s="4" t="str">
        <f>"ICAM1"</f>
        <v>ICAM1</v>
      </c>
      <c r="B425" s="5">
        <v>9.99000999000999E-4</v>
      </c>
      <c r="C425" s="4">
        <v>2.52399619333602E-2</v>
      </c>
    </row>
    <row r="426" spans="1:3" x14ac:dyDescent="0.2">
      <c r="A426" s="4" t="str">
        <f>"JAML"</f>
        <v>JAML</v>
      </c>
      <c r="B426" s="5">
        <v>9.99000999000999E-4</v>
      </c>
      <c r="C426" s="4">
        <v>2.52399619333602E-2</v>
      </c>
    </row>
    <row r="427" spans="1:3" x14ac:dyDescent="0.2">
      <c r="A427" s="4" t="str">
        <f>"CD14"</f>
        <v>CD14</v>
      </c>
      <c r="B427" s="5">
        <v>9.99000999000999E-4</v>
      </c>
      <c r="C427" s="4">
        <v>2.52399619333602E-2</v>
      </c>
    </row>
    <row r="428" spans="1:3" x14ac:dyDescent="0.2">
      <c r="A428" s="4" t="str">
        <f>"NAT1"</f>
        <v>NAT1</v>
      </c>
      <c r="B428" s="5">
        <v>9.99000999000999E-4</v>
      </c>
      <c r="C428" s="4">
        <v>2.52399619333602E-2</v>
      </c>
    </row>
    <row r="429" spans="1:3" x14ac:dyDescent="0.2">
      <c r="A429" s="4" t="str">
        <f>"PYCARD"</f>
        <v>PYCARD</v>
      </c>
      <c r="B429" s="5">
        <v>9.99000999000999E-4</v>
      </c>
      <c r="C429" s="4">
        <v>2.52399619333602E-2</v>
      </c>
    </row>
    <row r="430" spans="1:3" x14ac:dyDescent="0.2">
      <c r="A430" s="4" t="str">
        <f>"PARL"</f>
        <v>PARL</v>
      </c>
      <c r="B430" s="5">
        <v>9.99000999000999E-4</v>
      </c>
      <c r="C430" s="4">
        <v>2.52399619333602E-2</v>
      </c>
    </row>
    <row r="431" spans="1:3" x14ac:dyDescent="0.2">
      <c r="A431" s="4" t="str">
        <f>"PPP1R18"</f>
        <v>PPP1R18</v>
      </c>
      <c r="B431" s="5">
        <v>9.99000999000999E-4</v>
      </c>
      <c r="C431" s="4">
        <v>2.52399619333602E-2</v>
      </c>
    </row>
    <row r="432" spans="1:3" x14ac:dyDescent="0.2">
      <c r="A432" s="4" t="str">
        <f>"MNT"</f>
        <v>MNT</v>
      </c>
      <c r="B432" s="5">
        <v>9.99000999000999E-4</v>
      </c>
      <c r="C432" s="4">
        <v>2.52399619333602E-2</v>
      </c>
    </row>
    <row r="433" spans="1:3" x14ac:dyDescent="0.2">
      <c r="A433" s="4" t="str">
        <f>"ALYREF"</f>
        <v>ALYREF</v>
      </c>
      <c r="B433" s="5">
        <v>9.99000999000999E-4</v>
      </c>
      <c r="C433" s="4">
        <v>2.52399619333602E-2</v>
      </c>
    </row>
    <row r="434" spans="1:3" x14ac:dyDescent="0.2">
      <c r="A434" s="4" t="str">
        <f>"PIK3CD"</f>
        <v>PIK3CD</v>
      </c>
      <c r="B434" s="5">
        <v>9.99000999000999E-4</v>
      </c>
      <c r="C434" s="4">
        <v>2.52399619333602E-2</v>
      </c>
    </row>
    <row r="435" spans="1:3" x14ac:dyDescent="0.2">
      <c r="A435" s="4" t="str">
        <f>"DCTN3"</f>
        <v>DCTN3</v>
      </c>
      <c r="B435" s="5">
        <v>9.99000999000999E-4</v>
      </c>
      <c r="C435" s="4">
        <v>2.52399619333602E-2</v>
      </c>
    </row>
    <row r="436" spans="1:3" x14ac:dyDescent="0.2">
      <c r="A436" s="4" t="str">
        <f>"USP25"</f>
        <v>USP25</v>
      </c>
      <c r="B436" s="5">
        <v>9.99000999000999E-4</v>
      </c>
      <c r="C436" s="4">
        <v>2.52399619333602E-2</v>
      </c>
    </row>
    <row r="437" spans="1:3" x14ac:dyDescent="0.2">
      <c r="A437" s="4" t="str">
        <f>"UPK3BL1"</f>
        <v>UPK3BL1</v>
      </c>
      <c r="B437" s="5">
        <v>9.99000999000999E-4</v>
      </c>
      <c r="C437" s="4">
        <v>2.52399619333602E-2</v>
      </c>
    </row>
    <row r="438" spans="1:3" x14ac:dyDescent="0.2">
      <c r="A438" s="4" t="str">
        <f>"ADGRA3"</f>
        <v>ADGRA3</v>
      </c>
      <c r="B438" s="5">
        <v>9.99000999000999E-4</v>
      </c>
      <c r="C438" s="4">
        <v>2.52399619333602E-2</v>
      </c>
    </row>
    <row r="439" spans="1:3" x14ac:dyDescent="0.2">
      <c r="A439" s="4" t="str">
        <f>"NMRAL1"</f>
        <v>NMRAL1</v>
      </c>
      <c r="B439" s="5">
        <v>9.99000999000999E-4</v>
      </c>
      <c r="C439" s="4">
        <v>2.52399619333602E-2</v>
      </c>
    </row>
    <row r="440" spans="1:3" x14ac:dyDescent="0.2">
      <c r="A440" s="4" t="str">
        <f>"DAAM1"</f>
        <v>DAAM1</v>
      </c>
      <c r="B440" s="5">
        <v>9.99000999000999E-4</v>
      </c>
      <c r="C440" s="4">
        <v>2.52399619333602E-2</v>
      </c>
    </row>
    <row r="441" spans="1:3" x14ac:dyDescent="0.2">
      <c r="A441" s="4" t="str">
        <f>"SIRPA"</f>
        <v>SIRPA</v>
      </c>
      <c r="B441" s="5">
        <v>9.99000999000999E-4</v>
      </c>
      <c r="C441" s="4">
        <v>2.52399619333602E-2</v>
      </c>
    </row>
    <row r="442" spans="1:3" x14ac:dyDescent="0.2">
      <c r="A442" s="4" t="str">
        <f>"RASSF2"</f>
        <v>RASSF2</v>
      </c>
      <c r="B442" s="5">
        <v>9.99000999000999E-4</v>
      </c>
      <c r="C442" s="4">
        <v>2.52399619333602E-2</v>
      </c>
    </row>
    <row r="443" spans="1:3" x14ac:dyDescent="0.2">
      <c r="A443" s="4" t="str">
        <f>"MOB3A"</f>
        <v>MOB3A</v>
      </c>
      <c r="B443" s="5">
        <v>9.99000999000999E-4</v>
      </c>
      <c r="C443" s="4">
        <v>2.52399619333602E-2</v>
      </c>
    </row>
    <row r="444" spans="1:3" x14ac:dyDescent="0.2">
      <c r="A444" s="4" t="str">
        <f>"AK9"</f>
        <v>AK9</v>
      </c>
      <c r="B444" s="5">
        <v>9.99000999000999E-4</v>
      </c>
      <c r="C444" s="4">
        <v>2.52399619333602E-2</v>
      </c>
    </row>
    <row r="445" spans="1:3" x14ac:dyDescent="0.2">
      <c r="A445" s="4" t="str">
        <f>"PIAS1"</f>
        <v>PIAS1</v>
      </c>
      <c r="B445" s="5">
        <v>9.99000999000999E-4</v>
      </c>
      <c r="C445" s="4">
        <v>2.52399619333602E-2</v>
      </c>
    </row>
    <row r="446" spans="1:3" x14ac:dyDescent="0.2">
      <c r="A446" s="4" t="str">
        <f>"ISOC2"</f>
        <v>ISOC2</v>
      </c>
      <c r="B446" s="5">
        <v>9.99000999000999E-4</v>
      </c>
      <c r="C446" s="4">
        <v>2.52399619333602E-2</v>
      </c>
    </row>
    <row r="447" spans="1:3" x14ac:dyDescent="0.2">
      <c r="A447" s="4" t="str">
        <f>"DHRS7B"</f>
        <v>DHRS7B</v>
      </c>
      <c r="B447" s="5">
        <v>9.99000999000999E-4</v>
      </c>
      <c r="C447" s="4">
        <v>2.52399619333602E-2</v>
      </c>
    </row>
    <row r="448" spans="1:3" x14ac:dyDescent="0.2">
      <c r="A448" s="4" t="str">
        <f>"USP33"</f>
        <v>USP33</v>
      </c>
      <c r="B448" s="5">
        <v>9.99000999000999E-4</v>
      </c>
      <c r="C448" s="4">
        <v>2.52399619333602E-2</v>
      </c>
    </row>
    <row r="449" spans="1:3" x14ac:dyDescent="0.2">
      <c r="A449" s="4" t="str">
        <f>"ETNK1"</f>
        <v>ETNK1</v>
      </c>
      <c r="B449" s="5">
        <v>9.99000999000999E-4</v>
      </c>
      <c r="C449" s="4">
        <v>2.52399619333602E-2</v>
      </c>
    </row>
    <row r="450" spans="1:3" x14ac:dyDescent="0.2">
      <c r="A450" s="4" t="str">
        <f>"RYK"</f>
        <v>RYK</v>
      </c>
      <c r="B450" s="5">
        <v>9.99000999000999E-4</v>
      </c>
      <c r="C450" s="4">
        <v>2.52399619333602E-2</v>
      </c>
    </row>
    <row r="451" spans="1:3" x14ac:dyDescent="0.2">
      <c r="A451" s="4" t="str">
        <f>"AL669831.1"</f>
        <v>AL669831.1</v>
      </c>
      <c r="B451" s="5">
        <v>9.99000999000999E-4</v>
      </c>
      <c r="C451" s="4">
        <v>2.52399619333602E-2</v>
      </c>
    </row>
    <row r="452" spans="1:3" x14ac:dyDescent="0.2">
      <c r="A452" s="4" t="str">
        <f>"SH3BP5"</f>
        <v>SH3BP5</v>
      </c>
      <c r="B452" s="5">
        <v>9.99000999000999E-4</v>
      </c>
      <c r="C452" s="4">
        <v>2.52399619333602E-2</v>
      </c>
    </row>
    <row r="453" spans="1:3" x14ac:dyDescent="0.2">
      <c r="A453" s="4" t="str">
        <f>"MMP25"</f>
        <v>MMP25</v>
      </c>
      <c r="B453" s="5">
        <v>9.99000999000999E-4</v>
      </c>
      <c r="C453" s="4">
        <v>2.52399619333602E-2</v>
      </c>
    </row>
    <row r="454" spans="1:3" x14ac:dyDescent="0.2">
      <c r="A454" s="4" t="str">
        <f>"RNASE4"</f>
        <v>RNASE4</v>
      </c>
      <c r="B454" s="5">
        <v>9.99000999000999E-4</v>
      </c>
      <c r="C454" s="4">
        <v>2.52399619333602E-2</v>
      </c>
    </row>
    <row r="455" spans="1:3" x14ac:dyDescent="0.2">
      <c r="A455" s="4" t="str">
        <f>"ACBD5"</f>
        <v>ACBD5</v>
      </c>
      <c r="B455" s="5">
        <v>9.99000999000999E-4</v>
      </c>
      <c r="C455" s="4">
        <v>2.52399619333602E-2</v>
      </c>
    </row>
    <row r="456" spans="1:3" x14ac:dyDescent="0.2">
      <c r="A456" s="4" t="str">
        <f>"IL6R"</f>
        <v>IL6R</v>
      </c>
      <c r="B456" s="5">
        <v>9.99000999000999E-4</v>
      </c>
      <c r="C456" s="4">
        <v>2.52399619333602E-2</v>
      </c>
    </row>
    <row r="457" spans="1:3" x14ac:dyDescent="0.2">
      <c r="A457" s="4" t="str">
        <f>"ARNT"</f>
        <v>ARNT</v>
      </c>
      <c r="B457" s="5">
        <v>9.99000999000999E-4</v>
      </c>
      <c r="C457" s="4">
        <v>2.52399619333602E-2</v>
      </c>
    </row>
    <row r="458" spans="1:3" x14ac:dyDescent="0.2">
      <c r="A458" s="4" t="str">
        <f>"PHF1"</f>
        <v>PHF1</v>
      </c>
      <c r="B458" s="5">
        <v>9.99000999000999E-4</v>
      </c>
      <c r="C458" s="4">
        <v>2.52399619333602E-2</v>
      </c>
    </row>
    <row r="459" spans="1:3" x14ac:dyDescent="0.2">
      <c r="A459" s="4" t="str">
        <f>"MFSD12"</f>
        <v>MFSD12</v>
      </c>
      <c r="B459" s="5">
        <v>9.99000999000999E-4</v>
      </c>
      <c r="C459" s="4">
        <v>2.52399619333602E-2</v>
      </c>
    </row>
    <row r="460" spans="1:3" x14ac:dyDescent="0.2">
      <c r="A460" s="4" t="str">
        <f>"LSM14B"</f>
        <v>LSM14B</v>
      </c>
      <c r="B460" s="5">
        <v>9.99000999000999E-4</v>
      </c>
      <c r="C460" s="4">
        <v>2.52399619333602E-2</v>
      </c>
    </row>
    <row r="461" spans="1:3" x14ac:dyDescent="0.2">
      <c r="A461" s="4" t="str">
        <f>"CLCA4"</f>
        <v>CLCA4</v>
      </c>
      <c r="B461" s="5">
        <v>9.99000999000999E-4</v>
      </c>
      <c r="C461" s="4">
        <v>2.52399619333602E-2</v>
      </c>
    </row>
    <row r="462" spans="1:3" x14ac:dyDescent="0.2">
      <c r="A462" s="4" t="str">
        <f>"ANKZF1"</f>
        <v>ANKZF1</v>
      </c>
      <c r="B462" s="5">
        <v>9.99000999000999E-4</v>
      </c>
      <c r="C462" s="4">
        <v>2.52399619333602E-2</v>
      </c>
    </row>
    <row r="463" spans="1:3" x14ac:dyDescent="0.2">
      <c r="A463" s="4" t="str">
        <f>"SSBP2"</f>
        <v>SSBP2</v>
      </c>
      <c r="B463" s="5">
        <v>9.99000999000999E-4</v>
      </c>
      <c r="C463" s="4">
        <v>2.52399619333602E-2</v>
      </c>
    </row>
    <row r="464" spans="1:3" x14ac:dyDescent="0.2">
      <c r="A464" s="4" t="str">
        <f>"NFKB2"</f>
        <v>NFKB2</v>
      </c>
      <c r="B464" s="5">
        <v>9.99000999000999E-4</v>
      </c>
      <c r="C464" s="4">
        <v>2.52399619333602E-2</v>
      </c>
    </row>
    <row r="465" spans="1:3" x14ac:dyDescent="0.2">
      <c r="A465" s="4" t="str">
        <f>"SLC25A11"</f>
        <v>SLC25A11</v>
      </c>
      <c r="B465" s="5">
        <v>9.99000999000999E-4</v>
      </c>
      <c r="C465" s="4">
        <v>2.52399619333602E-2</v>
      </c>
    </row>
    <row r="466" spans="1:3" x14ac:dyDescent="0.2">
      <c r="A466" s="4" t="str">
        <f>"SAMM50"</f>
        <v>SAMM50</v>
      </c>
      <c r="B466" s="5">
        <v>9.99000999000999E-4</v>
      </c>
      <c r="C466" s="4">
        <v>2.52399619333602E-2</v>
      </c>
    </row>
    <row r="467" spans="1:3" x14ac:dyDescent="0.2">
      <c r="A467" s="4" t="str">
        <f>"DOP1A"</f>
        <v>DOP1A</v>
      </c>
      <c r="B467" s="5">
        <v>9.99000999000999E-4</v>
      </c>
      <c r="C467" s="4">
        <v>2.52399619333602E-2</v>
      </c>
    </row>
    <row r="468" spans="1:3" x14ac:dyDescent="0.2">
      <c r="A468" s="4" t="str">
        <f>"NAGLU"</f>
        <v>NAGLU</v>
      </c>
      <c r="B468" s="5">
        <v>9.99000999000999E-4</v>
      </c>
      <c r="C468" s="4">
        <v>2.52399619333602E-2</v>
      </c>
    </row>
    <row r="469" spans="1:3" x14ac:dyDescent="0.2">
      <c r="A469" s="4" t="str">
        <f>"TIMMDC1"</f>
        <v>TIMMDC1</v>
      </c>
      <c r="B469" s="5">
        <v>9.99000999000999E-4</v>
      </c>
      <c r="C469" s="4">
        <v>2.52399619333602E-2</v>
      </c>
    </row>
    <row r="470" spans="1:3" x14ac:dyDescent="0.2">
      <c r="A470" s="4" t="str">
        <f>"GTF2IRD2B"</f>
        <v>GTF2IRD2B</v>
      </c>
      <c r="B470" s="5">
        <v>9.99000999000999E-4</v>
      </c>
      <c r="C470" s="4">
        <v>2.52399619333602E-2</v>
      </c>
    </row>
    <row r="471" spans="1:3" x14ac:dyDescent="0.2">
      <c r="A471" s="4" t="str">
        <f>"RING1"</f>
        <v>RING1</v>
      </c>
      <c r="B471" s="5">
        <v>9.99000999000999E-4</v>
      </c>
      <c r="C471" s="4">
        <v>2.52399619333602E-2</v>
      </c>
    </row>
    <row r="472" spans="1:3" x14ac:dyDescent="0.2">
      <c r="A472" s="4" t="str">
        <f>"IL1B"</f>
        <v>IL1B</v>
      </c>
      <c r="B472" s="5">
        <v>9.99000999000999E-4</v>
      </c>
      <c r="C472" s="4">
        <v>2.52399619333602E-2</v>
      </c>
    </row>
    <row r="473" spans="1:3" x14ac:dyDescent="0.2">
      <c r="A473" s="4" t="str">
        <f>"PEX2"</f>
        <v>PEX2</v>
      </c>
      <c r="B473" s="5">
        <v>9.99000999000999E-4</v>
      </c>
      <c r="C473" s="4">
        <v>2.52399619333602E-2</v>
      </c>
    </row>
    <row r="474" spans="1:3" x14ac:dyDescent="0.2">
      <c r="A474" s="4" t="str">
        <f>"PSMA2"</f>
        <v>PSMA2</v>
      </c>
      <c r="B474" s="5">
        <v>9.99000999000999E-4</v>
      </c>
      <c r="C474" s="4">
        <v>2.52399619333602E-2</v>
      </c>
    </row>
    <row r="475" spans="1:3" x14ac:dyDescent="0.2">
      <c r="A475" s="4" t="str">
        <f>"TRMT112"</f>
        <v>TRMT112</v>
      </c>
      <c r="B475" s="5">
        <v>9.99000999000999E-4</v>
      </c>
      <c r="C475" s="4">
        <v>2.52399619333602E-2</v>
      </c>
    </row>
    <row r="476" spans="1:3" x14ac:dyDescent="0.2">
      <c r="A476" s="4" t="str">
        <f>"STK10"</f>
        <v>STK10</v>
      </c>
      <c r="B476" s="5">
        <v>9.99000999000999E-4</v>
      </c>
      <c r="C476" s="4">
        <v>2.52399619333602E-2</v>
      </c>
    </row>
    <row r="477" spans="1:3" x14ac:dyDescent="0.2">
      <c r="A477" s="4" t="str">
        <f>"USP53"</f>
        <v>USP53</v>
      </c>
      <c r="B477" s="5">
        <v>9.99000999000999E-4</v>
      </c>
      <c r="C477" s="4">
        <v>2.52399619333602E-2</v>
      </c>
    </row>
    <row r="478" spans="1:3" x14ac:dyDescent="0.2">
      <c r="A478" s="4" t="str">
        <f>"POLR2C"</f>
        <v>POLR2C</v>
      </c>
      <c r="B478" s="5">
        <v>9.99000999000999E-4</v>
      </c>
      <c r="C478" s="4">
        <v>2.52399619333602E-2</v>
      </c>
    </row>
    <row r="479" spans="1:3" x14ac:dyDescent="0.2">
      <c r="A479" s="4" t="str">
        <f>"TSEN34"</f>
        <v>TSEN34</v>
      </c>
      <c r="B479" s="5">
        <v>9.99000999000999E-4</v>
      </c>
      <c r="C479" s="4">
        <v>2.52399619333602E-2</v>
      </c>
    </row>
    <row r="480" spans="1:3" x14ac:dyDescent="0.2">
      <c r="A480" s="4" t="str">
        <f>"SAP30L"</f>
        <v>SAP30L</v>
      </c>
      <c r="B480" s="5">
        <v>9.99000999000999E-4</v>
      </c>
      <c r="C480" s="4">
        <v>2.52399619333602E-2</v>
      </c>
    </row>
    <row r="481" spans="1:3" x14ac:dyDescent="0.2">
      <c r="A481" s="4" t="str">
        <f>"SLC25A24"</f>
        <v>SLC25A24</v>
      </c>
      <c r="B481" s="5">
        <v>9.99000999000999E-4</v>
      </c>
      <c r="C481" s="4">
        <v>2.52399619333602E-2</v>
      </c>
    </row>
    <row r="482" spans="1:3" x14ac:dyDescent="0.2">
      <c r="A482" s="4" t="str">
        <f>"CSF2RB"</f>
        <v>CSF2RB</v>
      </c>
      <c r="B482" s="5">
        <v>9.99000999000999E-4</v>
      </c>
      <c r="C482" s="4">
        <v>2.52399619333602E-2</v>
      </c>
    </row>
    <row r="483" spans="1:3" x14ac:dyDescent="0.2">
      <c r="A483" s="4" t="str">
        <f>"SPI1"</f>
        <v>SPI1</v>
      </c>
      <c r="B483" s="5">
        <v>9.99000999000999E-4</v>
      </c>
      <c r="C483" s="4">
        <v>2.52399619333602E-2</v>
      </c>
    </row>
    <row r="484" spans="1:3" x14ac:dyDescent="0.2">
      <c r="A484" s="4" t="str">
        <f>"SPART"</f>
        <v>SPART</v>
      </c>
      <c r="B484" s="5">
        <v>9.99000999000999E-4</v>
      </c>
      <c r="C484" s="4">
        <v>2.52399619333602E-2</v>
      </c>
    </row>
    <row r="485" spans="1:3" x14ac:dyDescent="0.2">
      <c r="A485" s="4" t="str">
        <f>"FAM157A"</f>
        <v>FAM157A</v>
      </c>
      <c r="B485" s="5">
        <v>9.99000999000999E-4</v>
      </c>
      <c r="C485" s="4">
        <v>2.52399619333602E-2</v>
      </c>
    </row>
    <row r="486" spans="1:3" x14ac:dyDescent="0.2">
      <c r="A486" s="4" t="str">
        <f>"NINJ1"</f>
        <v>NINJ1</v>
      </c>
      <c r="B486" s="5">
        <v>9.99000999000999E-4</v>
      </c>
      <c r="C486" s="4">
        <v>2.52399619333602E-2</v>
      </c>
    </row>
    <row r="487" spans="1:3" x14ac:dyDescent="0.2">
      <c r="A487" s="4" t="str">
        <f>"ZNF33B"</f>
        <v>ZNF33B</v>
      </c>
      <c r="B487" s="5">
        <v>9.99000999000999E-4</v>
      </c>
      <c r="C487" s="4">
        <v>2.52399619333602E-2</v>
      </c>
    </row>
    <row r="488" spans="1:3" x14ac:dyDescent="0.2">
      <c r="A488" s="4" t="str">
        <f>"PNISR"</f>
        <v>PNISR</v>
      </c>
      <c r="B488" s="5">
        <v>9.99000999000999E-4</v>
      </c>
      <c r="C488" s="4">
        <v>2.52399619333602E-2</v>
      </c>
    </row>
    <row r="489" spans="1:3" x14ac:dyDescent="0.2">
      <c r="A489" s="4" t="str">
        <f>"TSPYL4"</f>
        <v>TSPYL4</v>
      </c>
      <c r="B489" s="5">
        <v>9.99000999000999E-4</v>
      </c>
      <c r="C489" s="4">
        <v>2.52399619333602E-2</v>
      </c>
    </row>
    <row r="490" spans="1:3" x14ac:dyDescent="0.2">
      <c r="A490" s="4" t="str">
        <f>"SHOC2"</f>
        <v>SHOC2</v>
      </c>
      <c r="B490" s="5">
        <v>9.99000999000999E-4</v>
      </c>
      <c r="C490" s="4">
        <v>2.52399619333602E-2</v>
      </c>
    </row>
    <row r="491" spans="1:3" x14ac:dyDescent="0.2">
      <c r="A491" s="4" t="str">
        <f>"CFAP410"</f>
        <v>CFAP410</v>
      </c>
      <c r="B491" s="5">
        <v>9.99000999000999E-4</v>
      </c>
      <c r="C491" s="4">
        <v>2.52399619333602E-2</v>
      </c>
    </row>
    <row r="492" spans="1:3" x14ac:dyDescent="0.2">
      <c r="A492" s="4" t="str">
        <f>"ATP6V1D"</f>
        <v>ATP6V1D</v>
      </c>
      <c r="B492" s="5">
        <v>9.99000999000999E-4</v>
      </c>
      <c r="C492" s="4">
        <v>2.52399619333602E-2</v>
      </c>
    </row>
    <row r="493" spans="1:3" x14ac:dyDescent="0.2">
      <c r="A493" s="4" t="str">
        <f>"TSTD1"</f>
        <v>TSTD1</v>
      </c>
      <c r="B493" s="5">
        <v>9.99000999000999E-4</v>
      </c>
      <c r="C493" s="4">
        <v>2.52399619333602E-2</v>
      </c>
    </row>
    <row r="494" spans="1:3" x14ac:dyDescent="0.2">
      <c r="A494" s="4" t="str">
        <f>"CALCOCO2"</f>
        <v>CALCOCO2</v>
      </c>
      <c r="B494" s="5">
        <v>9.99000999000999E-4</v>
      </c>
      <c r="C494" s="4">
        <v>2.52399619333602E-2</v>
      </c>
    </row>
    <row r="495" spans="1:3" x14ac:dyDescent="0.2">
      <c r="A495" s="4" t="str">
        <f>"ADAM8"</f>
        <v>ADAM8</v>
      </c>
      <c r="B495" s="5">
        <v>9.99000999000999E-4</v>
      </c>
      <c r="C495" s="4">
        <v>2.52399619333602E-2</v>
      </c>
    </row>
    <row r="496" spans="1:3" x14ac:dyDescent="0.2">
      <c r="A496" s="4" t="str">
        <f>"RCBTB1"</f>
        <v>RCBTB1</v>
      </c>
      <c r="B496" s="5">
        <v>9.99000999000999E-4</v>
      </c>
      <c r="C496" s="4">
        <v>2.52399619333602E-2</v>
      </c>
    </row>
    <row r="497" spans="1:3" x14ac:dyDescent="0.2">
      <c r="A497" s="4" t="str">
        <f>"CD200R1"</f>
        <v>CD200R1</v>
      </c>
      <c r="B497" s="5">
        <v>9.99000999000999E-4</v>
      </c>
      <c r="C497" s="4">
        <v>2.52399619333602E-2</v>
      </c>
    </row>
    <row r="498" spans="1:3" x14ac:dyDescent="0.2">
      <c r="A498" s="4" t="str">
        <f>"TMEM50B"</f>
        <v>TMEM50B</v>
      </c>
      <c r="B498" s="5">
        <v>9.99000999000999E-4</v>
      </c>
      <c r="C498" s="4">
        <v>2.52399619333602E-2</v>
      </c>
    </row>
    <row r="499" spans="1:3" x14ac:dyDescent="0.2">
      <c r="A499" s="4" t="str">
        <f>"TMEM9"</f>
        <v>TMEM9</v>
      </c>
      <c r="B499" s="5">
        <v>9.99000999000999E-4</v>
      </c>
      <c r="C499" s="4">
        <v>2.52399619333602E-2</v>
      </c>
    </row>
    <row r="500" spans="1:3" x14ac:dyDescent="0.2">
      <c r="A500" s="4" t="str">
        <f>"XPO7"</f>
        <v>XPO7</v>
      </c>
      <c r="B500" s="5">
        <v>9.99000999000999E-4</v>
      </c>
      <c r="C500" s="4">
        <v>2.52399619333602E-2</v>
      </c>
    </row>
    <row r="501" spans="1:3" x14ac:dyDescent="0.2">
      <c r="A501" s="4" t="str">
        <f>"PSPC1"</f>
        <v>PSPC1</v>
      </c>
      <c r="B501" s="5">
        <v>9.99000999000999E-4</v>
      </c>
      <c r="C501" s="4">
        <v>2.52399619333602E-2</v>
      </c>
    </row>
    <row r="502" spans="1:3" x14ac:dyDescent="0.2">
      <c r="A502" s="4" t="str">
        <f>"TMPRSS11D"</f>
        <v>TMPRSS11D</v>
      </c>
      <c r="B502" s="5">
        <v>9.99000999000999E-4</v>
      </c>
      <c r="C502" s="4">
        <v>2.52399619333602E-2</v>
      </c>
    </row>
    <row r="503" spans="1:3" x14ac:dyDescent="0.2">
      <c r="A503" s="4" t="str">
        <f>"CCL28"</f>
        <v>CCL28</v>
      </c>
      <c r="B503" s="5">
        <v>9.99000999000999E-4</v>
      </c>
      <c r="C503" s="4">
        <v>2.52399619333602E-2</v>
      </c>
    </row>
    <row r="504" spans="1:3" x14ac:dyDescent="0.2">
      <c r="A504" s="4" t="str">
        <f>"ZFAND6"</f>
        <v>ZFAND6</v>
      </c>
      <c r="B504" s="5">
        <v>9.99000999000999E-4</v>
      </c>
      <c r="C504" s="4">
        <v>2.52399619333602E-2</v>
      </c>
    </row>
    <row r="505" spans="1:3" x14ac:dyDescent="0.2">
      <c r="A505" s="4" t="str">
        <f>"PTAFR"</f>
        <v>PTAFR</v>
      </c>
      <c r="B505" s="5">
        <v>9.99000999000999E-4</v>
      </c>
      <c r="C505" s="4">
        <v>2.52399619333602E-2</v>
      </c>
    </row>
    <row r="506" spans="1:3" x14ac:dyDescent="0.2">
      <c r="A506" s="4" t="str">
        <f>"SLC25A4"</f>
        <v>SLC25A4</v>
      </c>
      <c r="B506" s="5">
        <v>9.99000999000999E-4</v>
      </c>
      <c r="C506" s="4">
        <v>2.52399619333602E-2</v>
      </c>
    </row>
    <row r="507" spans="1:3" x14ac:dyDescent="0.2">
      <c r="A507" s="4" t="str">
        <f>"RARA"</f>
        <v>RARA</v>
      </c>
      <c r="B507" s="5">
        <v>9.99000999000999E-4</v>
      </c>
      <c r="C507" s="4">
        <v>2.52399619333602E-2</v>
      </c>
    </row>
    <row r="508" spans="1:3" x14ac:dyDescent="0.2">
      <c r="A508" s="4" t="str">
        <f>"KDM4B"</f>
        <v>KDM4B</v>
      </c>
      <c r="B508" s="5">
        <v>9.99000999000999E-4</v>
      </c>
      <c r="C508" s="4">
        <v>2.52399619333602E-2</v>
      </c>
    </row>
    <row r="509" spans="1:3" x14ac:dyDescent="0.2">
      <c r="A509" s="4" t="str">
        <f>"RAPGEF2"</f>
        <v>RAPGEF2</v>
      </c>
      <c r="B509" s="5">
        <v>9.99000999000999E-4</v>
      </c>
      <c r="C509" s="4">
        <v>2.52399619333602E-2</v>
      </c>
    </row>
    <row r="510" spans="1:3" x14ac:dyDescent="0.2">
      <c r="A510" s="4" t="str">
        <f>"UBE2N"</f>
        <v>UBE2N</v>
      </c>
      <c r="B510" s="5">
        <v>9.99000999000999E-4</v>
      </c>
      <c r="C510" s="4">
        <v>2.52399619333602E-2</v>
      </c>
    </row>
    <row r="511" spans="1:3" x14ac:dyDescent="0.2">
      <c r="A511" s="4" t="str">
        <f>"EHMT1"</f>
        <v>EHMT1</v>
      </c>
      <c r="B511" s="5">
        <v>9.99000999000999E-4</v>
      </c>
      <c r="C511" s="4">
        <v>2.52399619333602E-2</v>
      </c>
    </row>
    <row r="512" spans="1:3" x14ac:dyDescent="0.2">
      <c r="A512" s="4" t="str">
        <f>"EVA1C"</f>
        <v>EVA1C</v>
      </c>
      <c r="B512" s="5">
        <v>9.99000999000999E-4</v>
      </c>
      <c r="C512" s="4">
        <v>2.52399619333602E-2</v>
      </c>
    </row>
    <row r="513" spans="1:3" x14ac:dyDescent="0.2">
      <c r="A513" s="4" t="str">
        <f>"TMEM230"</f>
        <v>TMEM230</v>
      </c>
      <c r="B513" s="5">
        <v>9.99000999000999E-4</v>
      </c>
      <c r="C513" s="4">
        <v>2.52399619333602E-2</v>
      </c>
    </row>
    <row r="514" spans="1:3" x14ac:dyDescent="0.2">
      <c r="A514" s="4" t="str">
        <f>"UBE2K"</f>
        <v>UBE2K</v>
      </c>
      <c r="B514" s="5">
        <v>9.99000999000999E-4</v>
      </c>
      <c r="C514" s="4">
        <v>2.52399619333602E-2</v>
      </c>
    </row>
    <row r="515" spans="1:3" x14ac:dyDescent="0.2">
      <c r="A515" s="4" t="str">
        <f>"PRPS2"</f>
        <v>PRPS2</v>
      </c>
      <c r="B515" s="5">
        <v>9.99000999000999E-4</v>
      </c>
      <c r="C515" s="4">
        <v>2.52399619333602E-2</v>
      </c>
    </row>
    <row r="516" spans="1:3" x14ac:dyDescent="0.2">
      <c r="A516" s="4" t="str">
        <f>"GNAL"</f>
        <v>GNAL</v>
      </c>
      <c r="B516" s="5">
        <v>9.99000999000999E-4</v>
      </c>
      <c r="C516" s="4">
        <v>2.52399619333602E-2</v>
      </c>
    </row>
    <row r="517" spans="1:3" x14ac:dyDescent="0.2">
      <c r="A517" s="4" t="str">
        <f>"BCL2A1"</f>
        <v>BCL2A1</v>
      </c>
      <c r="B517" s="5">
        <v>9.99000999000999E-4</v>
      </c>
      <c r="C517" s="4">
        <v>2.52399619333602E-2</v>
      </c>
    </row>
    <row r="518" spans="1:3" x14ac:dyDescent="0.2">
      <c r="A518" s="4" t="str">
        <f>"GSK3A"</f>
        <v>GSK3A</v>
      </c>
      <c r="B518" s="5">
        <v>9.99000999000999E-4</v>
      </c>
      <c r="C518" s="4">
        <v>2.52399619333602E-2</v>
      </c>
    </row>
    <row r="519" spans="1:3" x14ac:dyDescent="0.2">
      <c r="A519" s="4" t="str">
        <f>"MUC21"</f>
        <v>MUC21</v>
      </c>
      <c r="B519" s="5">
        <v>9.99000999000999E-4</v>
      </c>
      <c r="C519" s="4">
        <v>2.52399619333602E-2</v>
      </c>
    </row>
    <row r="520" spans="1:3" x14ac:dyDescent="0.2">
      <c r="A520" s="4" t="str">
        <f>"SYBU"</f>
        <v>SYBU</v>
      </c>
      <c r="B520" s="5">
        <v>9.99000999000999E-4</v>
      </c>
      <c r="C520" s="4">
        <v>2.52399619333602E-2</v>
      </c>
    </row>
    <row r="521" spans="1:3" x14ac:dyDescent="0.2">
      <c r="A521" s="4" t="str">
        <f>"FAM177A1"</f>
        <v>FAM177A1</v>
      </c>
      <c r="B521" s="5">
        <v>9.99000999000999E-4</v>
      </c>
      <c r="C521" s="4">
        <v>2.52399619333602E-2</v>
      </c>
    </row>
    <row r="522" spans="1:3" x14ac:dyDescent="0.2">
      <c r="A522" s="4" t="str">
        <f>"ELAVL1"</f>
        <v>ELAVL1</v>
      </c>
      <c r="B522" s="5">
        <v>9.99000999000999E-4</v>
      </c>
      <c r="C522" s="4">
        <v>2.52399619333602E-2</v>
      </c>
    </row>
    <row r="523" spans="1:3" x14ac:dyDescent="0.2">
      <c r="A523" s="4" t="str">
        <f>"TXNL1"</f>
        <v>TXNL1</v>
      </c>
      <c r="B523" s="5">
        <v>9.99000999000999E-4</v>
      </c>
      <c r="C523" s="4">
        <v>2.52399619333602E-2</v>
      </c>
    </row>
    <row r="524" spans="1:3" x14ac:dyDescent="0.2">
      <c r="A524" s="4" t="str">
        <f>"HSD17B13"</f>
        <v>HSD17B13</v>
      </c>
      <c r="B524" s="5">
        <v>9.99000999000999E-4</v>
      </c>
      <c r="C524" s="4">
        <v>2.52399619333602E-2</v>
      </c>
    </row>
    <row r="525" spans="1:3" x14ac:dyDescent="0.2">
      <c r="A525" s="4" t="str">
        <f>"MT-ND6"</f>
        <v>MT-ND6</v>
      </c>
      <c r="B525" s="5">
        <v>9.99000999000999E-4</v>
      </c>
      <c r="C525" s="4">
        <v>2.52399619333602E-2</v>
      </c>
    </row>
    <row r="526" spans="1:3" x14ac:dyDescent="0.2">
      <c r="A526" s="4" t="str">
        <f>"MGST2"</f>
        <v>MGST2</v>
      </c>
      <c r="B526" s="5">
        <v>9.99000999000999E-4</v>
      </c>
      <c r="C526" s="4">
        <v>2.52399619333602E-2</v>
      </c>
    </row>
    <row r="527" spans="1:3" x14ac:dyDescent="0.2">
      <c r="A527" s="4" t="str">
        <f>"VPS39"</f>
        <v>VPS39</v>
      </c>
      <c r="B527" s="5">
        <v>9.99000999000999E-4</v>
      </c>
      <c r="C527" s="4">
        <v>2.52399619333602E-2</v>
      </c>
    </row>
    <row r="528" spans="1:3" x14ac:dyDescent="0.2">
      <c r="A528" s="4" t="str">
        <f>"UPF3A"</f>
        <v>UPF3A</v>
      </c>
      <c r="B528" s="5">
        <v>9.99000999000999E-4</v>
      </c>
      <c r="C528" s="4">
        <v>2.52399619333602E-2</v>
      </c>
    </row>
    <row r="529" spans="1:3" x14ac:dyDescent="0.2">
      <c r="A529" s="4" t="str">
        <f>"GTF3A"</f>
        <v>GTF3A</v>
      </c>
      <c r="B529" s="5">
        <v>9.99000999000999E-4</v>
      </c>
      <c r="C529" s="4">
        <v>2.52399619333602E-2</v>
      </c>
    </row>
    <row r="530" spans="1:3" x14ac:dyDescent="0.2">
      <c r="A530" s="4" t="str">
        <f>"PITPNM3"</f>
        <v>PITPNM3</v>
      </c>
      <c r="B530" s="5">
        <v>9.99000999000999E-4</v>
      </c>
      <c r="C530" s="4">
        <v>2.52399619333602E-2</v>
      </c>
    </row>
    <row r="531" spans="1:3" x14ac:dyDescent="0.2">
      <c r="A531" s="4" t="str">
        <f>"CEP350"</f>
        <v>CEP350</v>
      </c>
      <c r="B531" s="5">
        <v>9.99000999000999E-4</v>
      </c>
      <c r="C531" s="4">
        <v>2.52399619333602E-2</v>
      </c>
    </row>
    <row r="532" spans="1:3" x14ac:dyDescent="0.2">
      <c r="A532" s="4" t="str">
        <f>"ATRAID"</f>
        <v>ATRAID</v>
      </c>
      <c r="B532" s="5">
        <v>9.99000999000999E-4</v>
      </c>
      <c r="C532" s="4">
        <v>2.52399619333602E-2</v>
      </c>
    </row>
    <row r="533" spans="1:3" x14ac:dyDescent="0.2">
      <c r="A533" s="4" t="str">
        <f>"PDE4DIP"</f>
        <v>PDE4DIP</v>
      </c>
      <c r="B533" s="5">
        <v>9.99000999000999E-4</v>
      </c>
      <c r="C533" s="4">
        <v>2.52399619333602E-2</v>
      </c>
    </row>
    <row r="534" spans="1:3" x14ac:dyDescent="0.2">
      <c r="A534" s="4" t="str">
        <f>"PSME3IP1"</f>
        <v>PSME3IP1</v>
      </c>
      <c r="B534" s="5">
        <v>9.99000999000999E-4</v>
      </c>
      <c r="C534" s="4">
        <v>2.52399619333602E-2</v>
      </c>
    </row>
    <row r="535" spans="1:3" x14ac:dyDescent="0.2">
      <c r="A535" s="4" t="str">
        <f>"ACP1"</f>
        <v>ACP1</v>
      </c>
      <c r="B535" s="5">
        <v>9.99000999000999E-4</v>
      </c>
      <c r="C535" s="4">
        <v>2.52399619333602E-2</v>
      </c>
    </row>
    <row r="536" spans="1:3" x14ac:dyDescent="0.2">
      <c r="A536" s="4" t="str">
        <f>"MX2"</f>
        <v>MX2</v>
      </c>
      <c r="B536" s="5">
        <v>9.99000999000999E-4</v>
      </c>
      <c r="C536" s="4">
        <v>2.52399619333602E-2</v>
      </c>
    </row>
    <row r="537" spans="1:3" x14ac:dyDescent="0.2">
      <c r="A537" s="4" t="str">
        <f>"DMTN"</f>
        <v>DMTN</v>
      </c>
      <c r="B537" s="5">
        <v>9.99000999000999E-4</v>
      </c>
      <c r="C537" s="4">
        <v>2.52399619333602E-2</v>
      </c>
    </row>
    <row r="538" spans="1:3" x14ac:dyDescent="0.2">
      <c r="A538" s="4" t="str">
        <f>"TES"</f>
        <v>TES</v>
      </c>
      <c r="B538" s="5">
        <v>9.99000999000999E-4</v>
      </c>
      <c r="C538" s="4">
        <v>2.52399619333602E-2</v>
      </c>
    </row>
    <row r="539" spans="1:3" x14ac:dyDescent="0.2">
      <c r="A539" s="4" t="str">
        <f>"CCDC125"</f>
        <v>CCDC125</v>
      </c>
      <c r="B539" s="5">
        <v>9.99000999000999E-4</v>
      </c>
      <c r="C539" s="4">
        <v>2.52399619333602E-2</v>
      </c>
    </row>
    <row r="540" spans="1:3" x14ac:dyDescent="0.2">
      <c r="A540" s="4" t="str">
        <f>"PREX1"</f>
        <v>PREX1</v>
      </c>
      <c r="B540" s="5">
        <v>9.99000999000999E-4</v>
      </c>
      <c r="C540" s="4">
        <v>2.52399619333602E-2</v>
      </c>
    </row>
    <row r="541" spans="1:3" x14ac:dyDescent="0.2">
      <c r="A541" s="4" t="str">
        <f>"SAMD9"</f>
        <v>SAMD9</v>
      </c>
      <c r="B541" s="5">
        <v>9.99000999000999E-4</v>
      </c>
      <c r="C541" s="4">
        <v>2.52399619333602E-2</v>
      </c>
    </row>
    <row r="542" spans="1:3" x14ac:dyDescent="0.2">
      <c r="A542" s="4" t="str">
        <f>"TOX4"</f>
        <v>TOX4</v>
      </c>
      <c r="B542" s="5">
        <v>9.99000999000999E-4</v>
      </c>
      <c r="C542" s="4">
        <v>2.52399619333602E-2</v>
      </c>
    </row>
    <row r="543" spans="1:3" x14ac:dyDescent="0.2">
      <c r="A543" s="4" t="str">
        <f>"TOR1AIP1"</f>
        <v>TOR1AIP1</v>
      </c>
      <c r="B543" s="5">
        <v>9.99000999000999E-4</v>
      </c>
      <c r="C543" s="4">
        <v>2.52399619333602E-2</v>
      </c>
    </row>
    <row r="544" spans="1:3" x14ac:dyDescent="0.2">
      <c r="A544" s="4" t="str">
        <f>"PLAUR"</f>
        <v>PLAUR</v>
      </c>
      <c r="B544" s="5">
        <v>9.99000999000999E-4</v>
      </c>
      <c r="C544" s="4">
        <v>2.52399619333602E-2</v>
      </c>
    </row>
    <row r="545" spans="1:3" x14ac:dyDescent="0.2">
      <c r="A545" s="4" t="str">
        <f>"FCGR2A"</f>
        <v>FCGR2A</v>
      </c>
      <c r="B545" s="5">
        <v>9.99000999000999E-4</v>
      </c>
      <c r="C545" s="4">
        <v>2.52399619333602E-2</v>
      </c>
    </row>
    <row r="546" spans="1:3" x14ac:dyDescent="0.2">
      <c r="A546" s="4" t="str">
        <f>"FPR1"</f>
        <v>FPR1</v>
      </c>
      <c r="B546" s="5">
        <v>9.99000999000999E-4</v>
      </c>
      <c r="C546" s="4">
        <v>2.52399619333602E-2</v>
      </c>
    </row>
    <row r="547" spans="1:3" x14ac:dyDescent="0.2">
      <c r="A547" s="4" t="str">
        <f>"PPP5C"</f>
        <v>PPP5C</v>
      </c>
      <c r="B547" s="5">
        <v>9.99000999000999E-4</v>
      </c>
      <c r="C547" s="4">
        <v>2.52399619333602E-2</v>
      </c>
    </row>
    <row r="548" spans="1:3" x14ac:dyDescent="0.2">
      <c r="A548" s="4" t="str">
        <f>"PSMC4"</f>
        <v>PSMC4</v>
      </c>
      <c r="B548" s="5">
        <v>9.99000999000999E-4</v>
      </c>
      <c r="C548" s="4">
        <v>2.52399619333602E-2</v>
      </c>
    </row>
    <row r="549" spans="1:3" x14ac:dyDescent="0.2">
      <c r="A549" s="4" t="str">
        <f>"SLC39A1"</f>
        <v>SLC39A1</v>
      </c>
      <c r="B549" s="5">
        <v>9.99000999000999E-4</v>
      </c>
      <c r="C549" s="4">
        <v>2.52399619333602E-2</v>
      </c>
    </row>
    <row r="550" spans="1:3" x14ac:dyDescent="0.2">
      <c r="A550" s="4" t="str">
        <f>"ATP6V1F"</f>
        <v>ATP6V1F</v>
      </c>
      <c r="B550" s="5">
        <v>9.99000999000999E-4</v>
      </c>
      <c r="C550" s="4">
        <v>2.52399619333602E-2</v>
      </c>
    </row>
    <row r="551" spans="1:3" x14ac:dyDescent="0.2">
      <c r="A551" s="4" t="str">
        <f>"RAB18"</f>
        <v>RAB18</v>
      </c>
      <c r="B551" s="5">
        <v>9.99000999000999E-4</v>
      </c>
      <c r="C551" s="4">
        <v>2.52399619333602E-2</v>
      </c>
    </row>
    <row r="552" spans="1:3" x14ac:dyDescent="0.2">
      <c r="A552" s="4" t="str">
        <f>"PLP2"</f>
        <v>PLP2</v>
      </c>
      <c r="B552" s="5">
        <v>9.99000999000999E-4</v>
      </c>
      <c r="C552" s="4">
        <v>2.52399619333602E-2</v>
      </c>
    </row>
    <row r="553" spans="1:3" x14ac:dyDescent="0.2">
      <c r="A553" s="4" t="str">
        <f>"HDAC2"</f>
        <v>HDAC2</v>
      </c>
      <c r="B553" s="5">
        <v>9.99000999000999E-4</v>
      </c>
      <c r="C553" s="4">
        <v>2.52399619333602E-2</v>
      </c>
    </row>
    <row r="554" spans="1:3" x14ac:dyDescent="0.2">
      <c r="A554" s="4" t="str">
        <f>"NFIA"</f>
        <v>NFIA</v>
      </c>
      <c r="B554" s="5">
        <v>9.99000999000999E-4</v>
      </c>
      <c r="C554" s="4">
        <v>2.52399619333602E-2</v>
      </c>
    </row>
    <row r="555" spans="1:3" x14ac:dyDescent="0.2">
      <c r="A555" s="4" t="str">
        <f>"COTL1"</f>
        <v>COTL1</v>
      </c>
      <c r="B555" s="5">
        <v>9.99000999000999E-4</v>
      </c>
      <c r="C555" s="4">
        <v>2.52399619333602E-2</v>
      </c>
    </row>
    <row r="556" spans="1:3" x14ac:dyDescent="0.2">
      <c r="A556" s="4" t="str">
        <f>"ATF6"</f>
        <v>ATF6</v>
      </c>
      <c r="B556" s="5">
        <v>9.99000999000999E-4</v>
      </c>
      <c r="C556" s="4">
        <v>2.52399619333602E-2</v>
      </c>
    </row>
    <row r="557" spans="1:3" x14ac:dyDescent="0.2">
      <c r="A557" s="4" t="str">
        <f>"PFKFB3"</f>
        <v>PFKFB3</v>
      </c>
      <c r="B557" s="5">
        <v>9.99000999000999E-4</v>
      </c>
      <c r="C557" s="4">
        <v>2.52399619333602E-2</v>
      </c>
    </row>
    <row r="558" spans="1:3" x14ac:dyDescent="0.2">
      <c r="A558" s="4" t="str">
        <f>"PEAK1"</f>
        <v>PEAK1</v>
      </c>
      <c r="B558" s="5">
        <v>9.99000999000999E-4</v>
      </c>
      <c r="C558" s="4">
        <v>2.52399619333602E-2</v>
      </c>
    </row>
    <row r="559" spans="1:3" x14ac:dyDescent="0.2">
      <c r="A559" s="4" t="str">
        <f>"SLC25A37"</f>
        <v>SLC25A37</v>
      </c>
      <c r="B559" s="5">
        <v>9.99000999000999E-4</v>
      </c>
      <c r="C559" s="4">
        <v>2.52399619333602E-2</v>
      </c>
    </row>
    <row r="560" spans="1:3" x14ac:dyDescent="0.2">
      <c r="A560" s="4" t="str">
        <f>"RNF11"</f>
        <v>RNF11</v>
      </c>
      <c r="B560" s="5">
        <v>9.99000999000999E-4</v>
      </c>
      <c r="C560" s="4">
        <v>2.52399619333602E-2</v>
      </c>
    </row>
    <row r="561" spans="1:3" x14ac:dyDescent="0.2">
      <c r="A561" s="4" t="str">
        <f>"ELK3"</f>
        <v>ELK3</v>
      </c>
      <c r="B561" s="5">
        <v>9.99000999000999E-4</v>
      </c>
      <c r="C561" s="4">
        <v>2.52399619333602E-2</v>
      </c>
    </row>
    <row r="562" spans="1:3" x14ac:dyDescent="0.2">
      <c r="A562" s="4" t="str">
        <f>"RPA1"</f>
        <v>RPA1</v>
      </c>
      <c r="B562" s="5">
        <v>9.99000999000999E-4</v>
      </c>
      <c r="C562" s="4">
        <v>2.52399619333602E-2</v>
      </c>
    </row>
    <row r="563" spans="1:3" x14ac:dyDescent="0.2">
      <c r="A563" s="4" t="str">
        <f>"ARFGEF2"</f>
        <v>ARFGEF2</v>
      </c>
      <c r="B563" s="5">
        <v>9.99000999000999E-4</v>
      </c>
      <c r="C563" s="4">
        <v>2.52399619333602E-2</v>
      </c>
    </row>
    <row r="564" spans="1:3" x14ac:dyDescent="0.2">
      <c r="A564" s="4" t="str">
        <f>"ITGAX"</f>
        <v>ITGAX</v>
      </c>
      <c r="B564" s="5">
        <v>9.99000999000999E-4</v>
      </c>
      <c r="C564" s="4">
        <v>2.52399619333602E-2</v>
      </c>
    </row>
    <row r="565" spans="1:3" x14ac:dyDescent="0.2">
      <c r="A565" s="4" t="str">
        <f>"ESRRA"</f>
        <v>ESRRA</v>
      </c>
      <c r="B565" s="5">
        <v>9.99000999000999E-4</v>
      </c>
      <c r="C565" s="4">
        <v>2.52399619333602E-2</v>
      </c>
    </row>
    <row r="566" spans="1:3" x14ac:dyDescent="0.2">
      <c r="A566" s="4" t="str">
        <f>"BDH1"</f>
        <v>BDH1</v>
      </c>
      <c r="B566" s="5">
        <v>9.99000999000999E-4</v>
      </c>
      <c r="C566" s="4">
        <v>2.52399619333602E-2</v>
      </c>
    </row>
    <row r="567" spans="1:3" x14ac:dyDescent="0.2">
      <c r="A567" s="4" t="str">
        <f>"IARS1"</f>
        <v>IARS1</v>
      </c>
      <c r="B567" s="5">
        <v>9.99000999000999E-4</v>
      </c>
      <c r="C567" s="4">
        <v>2.52399619333602E-2</v>
      </c>
    </row>
    <row r="568" spans="1:3" x14ac:dyDescent="0.2">
      <c r="A568" s="4" t="str">
        <f>"NR1D2"</f>
        <v>NR1D2</v>
      </c>
      <c r="B568" s="5">
        <v>9.99000999000999E-4</v>
      </c>
      <c r="C568" s="4">
        <v>2.52399619333602E-2</v>
      </c>
    </row>
    <row r="569" spans="1:3" x14ac:dyDescent="0.2">
      <c r="A569" s="4" t="str">
        <f>"AK2"</f>
        <v>AK2</v>
      </c>
      <c r="B569" s="5">
        <v>9.99000999000999E-4</v>
      </c>
      <c r="C569" s="4">
        <v>2.52399619333602E-2</v>
      </c>
    </row>
    <row r="570" spans="1:3" x14ac:dyDescent="0.2">
      <c r="A570" s="4" t="str">
        <f>"CENPBD1P1"</f>
        <v>CENPBD1P1</v>
      </c>
      <c r="B570" s="5">
        <v>9.99000999000999E-4</v>
      </c>
      <c r="C570" s="4">
        <v>2.52399619333602E-2</v>
      </c>
    </row>
    <row r="571" spans="1:3" x14ac:dyDescent="0.2">
      <c r="A571" s="4" t="str">
        <f>"DCAF8"</f>
        <v>DCAF8</v>
      </c>
      <c r="B571" s="5">
        <v>9.99000999000999E-4</v>
      </c>
      <c r="C571" s="4">
        <v>2.52399619333602E-2</v>
      </c>
    </row>
    <row r="572" spans="1:3" x14ac:dyDescent="0.2">
      <c r="A572" s="4" t="str">
        <f>"BCL3"</f>
        <v>BCL3</v>
      </c>
      <c r="B572" s="5">
        <v>9.99000999000999E-4</v>
      </c>
      <c r="C572" s="4">
        <v>2.52399619333602E-2</v>
      </c>
    </row>
    <row r="573" spans="1:3" x14ac:dyDescent="0.2">
      <c r="A573" s="4" t="str">
        <f>"TMEM219"</f>
        <v>TMEM219</v>
      </c>
      <c r="B573" s="5">
        <v>9.99000999000999E-4</v>
      </c>
      <c r="C573" s="4">
        <v>2.52399619333602E-2</v>
      </c>
    </row>
    <row r="574" spans="1:3" x14ac:dyDescent="0.2">
      <c r="A574" s="4" t="str">
        <f>"PLEKHA5"</f>
        <v>PLEKHA5</v>
      </c>
      <c r="B574" s="5">
        <v>9.99000999000999E-4</v>
      </c>
      <c r="C574" s="4">
        <v>2.52399619333602E-2</v>
      </c>
    </row>
    <row r="575" spans="1:3" x14ac:dyDescent="0.2">
      <c r="A575" s="4" t="str">
        <f>"GPBP1"</f>
        <v>GPBP1</v>
      </c>
      <c r="B575" s="5">
        <v>9.99000999000999E-4</v>
      </c>
      <c r="C575" s="4">
        <v>2.52399619333602E-2</v>
      </c>
    </row>
    <row r="576" spans="1:3" x14ac:dyDescent="0.2">
      <c r="A576" s="4" t="str">
        <f>"ZMAT2"</f>
        <v>ZMAT2</v>
      </c>
      <c r="B576" s="5">
        <v>9.99000999000999E-4</v>
      </c>
      <c r="C576" s="4">
        <v>2.52399619333602E-2</v>
      </c>
    </row>
    <row r="577" spans="1:3" x14ac:dyDescent="0.2">
      <c r="A577" s="4" t="str">
        <f>"MYADM"</f>
        <v>MYADM</v>
      </c>
      <c r="B577" s="5">
        <v>9.99000999000999E-4</v>
      </c>
      <c r="C577" s="4">
        <v>2.52399619333602E-2</v>
      </c>
    </row>
    <row r="578" spans="1:3" x14ac:dyDescent="0.2">
      <c r="A578" s="4" t="str">
        <f>"EHD1"</f>
        <v>EHD1</v>
      </c>
      <c r="B578" s="5">
        <v>9.99000999000999E-4</v>
      </c>
      <c r="C578" s="4">
        <v>2.52399619333602E-2</v>
      </c>
    </row>
    <row r="579" spans="1:3" x14ac:dyDescent="0.2">
      <c r="A579" s="4" t="str">
        <f>"PPIF"</f>
        <v>PPIF</v>
      </c>
      <c r="B579" s="5">
        <v>9.99000999000999E-4</v>
      </c>
      <c r="C579" s="4">
        <v>2.52399619333602E-2</v>
      </c>
    </row>
    <row r="580" spans="1:3" x14ac:dyDescent="0.2">
      <c r="A580" s="4" t="str">
        <f>"RILPL2"</f>
        <v>RILPL2</v>
      </c>
      <c r="B580" s="5">
        <v>9.99000999000999E-4</v>
      </c>
      <c r="C580" s="4">
        <v>2.52399619333602E-2</v>
      </c>
    </row>
    <row r="581" spans="1:3" x14ac:dyDescent="0.2">
      <c r="A581" s="4" t="str">
        <f>"CENPB"</f>
        <v>CENPB</v>
      </c>
      <c r="B581" s="5">
        <v>9.99000999000999E-4</v>
      </c>
      <c r="C581" s="4">
        <v>2.52399619333602E-2</v>
      </c>
    </row>
    <row r="582" spans="1:3" x14ac:dyDescent="0.2">
      <c r="A582" s="4" t="str">
        <f>"CIR1"</f>
        <v>CIR1</v>
      </c>
      <c r="B582" s="5">
        <v>9.99000999000999E-4</v>
      </c>
      <c r="C582" s="4">
        <v>2.52399619333602E-2</v>
      </c>
    </row>
    <row r="583" spans="1:3" x14ac:dyDescent="0.2">
      <c r="A583" s="4" t="str">
        <f>"IL1RN"</f>
        <v>IL1RN</v>
      </c>
      <c r="B583" s="5">
        <v>9.99000999000999E-4</v>
      </c>
      <c r="C583" s="4">
        <v>2.52399619333602E-2</v>
      </c>
    </row>
    <row r="584" spans="1:3" x14ac:dyDescent="0.2">
      <c r="A584" s="4" t="str">
        <f>"LSM14A"</f>
        <v>LSM14A</v>
      </c>
      <c r="B584" s="5">
        <v>9.99000999000999E-4</v>
      </c>
      <c r="C584" s="4">
        <v>2.52399619333602E-2</v>
      </c>
    </row>
    <row r="585" spans="1:3" x14ac:dyDescent="0.2">
      <c r="A585" s="4" t="str">
        <f>"GNG5"</f>
        <v>GNG5</v>
      </c>
      <c r="B585" s="5">
        <v>9.99000999000999E-4</v>
      </c>
      <c r="C585" s="4">
        <v>2.52399619333602E-2</v>
      </c>
    </row>
    <row r="586" spans="1:3" x14ac:dyDescent="0.2">
      <c r="A586" s="4" t="str">
        <f>"RBBP7"</f>
        <v>RBBP7</v>
      </c>
      <c r="B586" s="5">
        <v>9.99000999000999E-4</v>
      </c>
      <c r="C586" s="4">
        <v>2.52399619333602E-2</v>
      </c>
    </row>
    <row r="587" spans="1:3" x14ac:dyDescent="0.2">
      <c r="A587" s="4" t="str">
        <f>"MFSD1"</f>
        <v>MFSD1</v>
      </c>
      <c r="B587" s="5">
        <v>9.99000999000999E-4</v>
      </c>
      <c r="C587" s="4">
        <v>2.52399619333602E-2</v>
      </c>
    </row>
    <row r="588" spans="1:3" x14ac:dyDescent="0.2">
      <c r="A588" s="4" t="str">
        <f>"RAD21"</f>
        <v>RAD21</v>
      </c>
      <c r="B588" s="5">
        <v>9.99000999000999E-4</v>
      </c>
      <c r="C588" s="4">
        <v>2.52399619333602E-2</v>
      </c>
    </row>
    <row r="589" spans="1:3" x14ac:dyDescent="0.2">
      <c r="A589" s="4" t="str">
        <f>"MAPK15"</f>
        <v>MAPK15</v>
      </c>
      <c r="B589" s="5">
        <v>9.99000999000999E-4</v>
      </c>
      <c r="C589" s="4">
        <v>2.52399619333602E-2</v>
      </c>
    </row>
    <row r="590" spans="1:3" x14ac:dyDescent="0.2">
      <c r="A590" s="4" t="str">
        <f>"SLC2A3"</f>
        <v>SLC2A3</v>
      </c>
      <c r="B590" s="5">
        <v>9.99000999000999E-4</v>
      </c>
      <c r="C590" s="4">
        <v>2.52399619333602E-2</v>
      </c>
    </row>
    <row r="591" spans="1:3" x14ac:dyDescent="0.2">
      <c r="A591" s="4" t="str">
        <f>"TAF7"</f>
        <v>TAF7</v>
      </c>
      <c r="B591" s="5">
        <v>9.99000999000999E-4</v>
      </c>
      <c r="C591" s="4">
        <v>2.52399619333602E-2</v>
      </c>
    </row>
    <row r="592" spans="1:3" x14ac:dyDescent="0.2">
      <c r="A592" s="4" t="str">
        <f>"SATB1"</f>
        <v>SATB1</v>
      </c>
      <c r="B592" s="5">
        <v>9.99000999000999E-4</v>
      </c>
      <c r="C592" s="4">
        <v>2.52399619333602E-2</v>
      </c>
    </row>
    <row r="593" spans="1:3" x14ac:dyDescent="0.2">
      <c r="A593" s="4" t="str">
        <f>"CTDNEP1"</f>
        <v>CTDNEP1</v>
      </c>
      <c r="B593" s="5">
        <v>9.99000999000999E-4</v>
      </c>
      <c r="C593" s="4">
        <v>2.52399619333602E-2</v>
      </c>
    </row>
    <row r="594" spans="1:3" x14ac:dyDescent="0.2">
      <c r="A594" s="4" t="str">
        <f>"AGPAT2"</f>
        <v>AGPAT2</v>
      </c>
      <c r="B594" s="5">
        <v>9.99000999000999E-4</v>
      </c>
      <c r="C594" s="4">
        <v>2.52399619333602E-2</v>
      </c>
    </row>
    <row r="595" spans="1:3" x14ac:dyDescent="0.2">
      <c r="A595" s="4" t="str">
        <f>"PSMC3"</f>
        <v>PSMC3</v>
      </c>
      <c r="B595" s="5">
        <v>9.99000999000999E-4</v>
      </c>
      <c r="C595" s="4">
        <v>2.52399619333602E-2</v>
      </c>
    </row>
    <row r="596" spans="1:3" x14ac:dyDescent="0.2">
      <c r="A596" s="4" t="str">
        <f>"PSMF1"</f>
        <v>PSMF1</v>
      </c>
      <c r="B596" s="5">
        <v>9.99000999000999E-4</v>
      </c>
      <c r="C596" s="4">
        <v>2.52399619333602E-2</v>
      </c>
    </row>
    <row r="597" spans="1:3" x14ac:dyDescent="0.2">
      <c r="A597" s="4" t="str">
        <f>"SSBP3"</f>
        <v>SSBP3</v>
      </c>
      <c r="B597" s="5">
        <v>9.99000999000999E-4</v>
      </c>
      <c r="C597" s="4">
        <v>2.52399619333602E-2</v>
      </c>
    </row>
    <row r="598" spans="1:3" x14ac:dyDescent="0.2">
      <c r="A598" s="4" t="str">
        <f>"C5AR1"</f>
        <v>C5AR1</v>
      </c>
      <c r="B598" s="5">
        <v>9.99000999000999E-4</v>
      </c>
      <c r="C598" s="4">
        <v>2.52399619333602E-2</v>
      </c>
    </row>
    <row r="599" spans="1:3" x14ac:dyDescent="0.2">
      <c r="A599" s="4" t="str">
        <f>"TOB2"</f>
        <v>TOB2</v>
      </c>
      <c r="B599" s="5">
        <v>9.99000999000999E-4</v>
      </c>
      <c r="C599" s="4">
        <v>2.52399619333602E-2</v>
      </c>
    </row>
    <row r="600" spans="1:3" x14ac:dyDescent="0.2">
      <c r="A600" s="4" t="str">
        <f>"AKT2"</f>
        <v>AKT2</v>
      </c>
      <c r="B600" s="5">
        <v>9.99000999000999E-4</v>
      </c>
      <c r="C600" s="4">
        <v>2.52399619333602E-2</v>
      </c>
    </row>
    <row r="601" spans="1:3" x14ac:dyDescent="0.2">
      <c r="A601" s="4" t="str">
        <f>"SH3BGRL3"</f>
        <v>SH3BGRL3</v>
      </c>
      <c r="B601" s="5">
        <v>9.99000999000999E-4</v>
      </c>
      <c r="C601" s="4">
        <v>2.52399619333602E-2</v>
      </c>
    </row>
    <row r="602" spans="1:3" x14ac:dyDescent="0.2">
      <c r="A602" s="4" t="str">
        <f>"MFSD14B"</f>
        <v>MFSD14B</v>
      </c>
      <c r="B602" s="5">
        <v>9.99000999000999E-4</v>
      </c>
      <c r="C602" s="4">
        <v>2.52399619333602E-2</v>
      </c>
    </row>
    <row r="603" spans="1:3" x14ac:dyDescent="0.2">
      <c r="A603" s="4" t="str">
        <f>"PSMD4"</f>
        <v>PSMD4</v>
      </c>
      <c r="B603" s="5">
        <v>9.99000999000999E-4</v>
      </c>
      <c r="C603" s="4">
        <v>2.52399619333602E-2</v>
      </c>
    </row>
    <row r="604" spans="1:3" x14ac:dyDescent="0.2">
      <c r="A604" s="4" t="str">
        <f>"SAMD4B"</f>
        <v>SAMD4B</v>
      </c>
      <c r="B604" s="5">
        <v>9.99000999000999E-4</v>
      </c>
      <c r="C604" s="4">
        <v>2.52399619333602E-2</v>
      </c>
    </row>
    <row r="605" spans="1:3" x14ac:dyDescent="0.2">
      <c r="A605" s="4" t="str">
        <f>"TPRG1L"</f>
        <v>TPRG1L</v>
      </c>
      <c r="B605" s="5">
        <v>9.99000999000999E-4</v>
      </c>
      <c r="C605" s="4">
        <v>2.52399619333602E-2</v>
      </c>
    </row>
    <row r="606" spans="1:3" x14ac:dyDescent="0.2">
      <c r="A606" s="4" t="str">
        <f>"SUPT16H"</f>
        <v>SUPT16H</v>
      </c>
      <c r="B606" s="5">
        <v>9.99000999000999E-4</v>
      </c>
      <c r="C606" s="4">
        <v>2.52399619333602E-2</v>
      </c>
    </row>
    <row r="607" spans="1:3" x14ac:dyDescent="0.2">
      <c r="A607" s="4" t="str">
        <f>"AP1M2"</f>
        <v>AP1M2</v>
      </c>
      <c r="B607" s="5">
        <v>9.99000999000999E-4</v>
      </c>
      <c r="C607" s="4">
        <v>2.52399619333602E-2</v>
      </c>
    </row>
    <row r="608" spans="1:3" x14ac:dyDescent="0.2">
      <c r="A608" s="4" t="str">
        <f>"RB1CC1"</f>
        <v>RB1CC1</v>
      </c>
      <c r="B608" s="5">
        <v>9.99000999000999E-4</v>
      </c>
      <c r="C608" s="4">
        <v>2.52399619333602E-2</v>
      </c>
    </row>
    <row r="609" spans="1:3" x14ac:dyDescent="0.2">
      <c r="A609" s="4" t="str">
        <f>"TMEM50A"</f>
        <v>TMEM50A</v>
      </c>
      <c r="B609" s="5">
        <v>9.99000999000999E-4</v>
      </c>
      <c r="C609" s="4">
        <v>2.52399619333602E-2</v>
      </c>
    </row>
    <row r="610" spans="1:3" x14ac:dyDescent="0.2">
      <c r="A610" s="4" t="str">
        <f>"ERLIN2"</f>
        <v>ERLIN2</v>
      </c>
      <c r="B610" s="5">
        <v>9.99000999000999E-4</v>
      </c>
      <c r="C610" s="4">
        <v>2.52399619333602E-2</v>
      </c>
    </row>
    <row r="611" spans="1:3" x14ac:dyDescent="0.2">
      <c r="A611" s="4" t="str">
        <f>"GCC2"</f>
        <v>GCC2</v>
      </c>
      <c r="B611" s="5">
        <v>9.99000999000999E-4</v>
      </c>
      <c r="C611" s="4">
        <v>2.52399619333602E-2</v>
      </c>
    </row>
    <row r="612" spans="1:3" x14ac:dyDescent="0.2">
      <c r="A612" s="4" t="str">
        <f>"CCT8"</f>
        <v>CCT8</v>
      </c>
      <c r="B612" s="5">
        <v>9.99000999000999E-4</v>
      </c>
      <c r="C612" s="4">
        <v>2.52399619333602E-2</v>
      </c>
    </row>
    <row r="613" spans="1:3" x14ac:dyDescent="0.2">
      <c r="A613" s="4" t="str">
        <f>"EIF2S2"</f>
        <v>EIF2S2</v>
      </c>
      <c r="B613" s="5">
        <v>9.99000999000999E-4</v>
      </c>
      <c r="C613" s="4">
        <v>2.52399619333602E-2</v>
      </c>
    </row>
    <row r="614" spans="1:3" x14ac:dyDescent="0.2">
      <c r="A614" s="4" t="str">
        <f>"TOP1"</f>
        <v>TOP1</v>
      </c>
      <c r="B614" s="5">
        <v>9.99000999000999E-4</v>
      </c>
      <c r="C614" s="4">
        <v>2.52399619333602E-2</v>
      </c>
    </row>
    <row r="615" spans="1:3" x14ac:dyDescent="0.2">
      <c r="A615" s="4" t="str">
        <f>"PIAS3"</f>
        <v>PIAS3</v>
      </c>
      <c r="B615" s="5">
        <v>9.99000999000999E-4</v>
      </c>
      <c r="C615" s="4">
        <v>2.52399619333602E-2</v>
      </c>
    </row>
    <row r="616" spans="1:3" x14ac:dyDescent="0.2">
      <c r="A616" s="4" t="str">
        <f>"PSME4"</f>
        <v>PSME4</v>
      </c>
      <c r="B616" s="5">
        <v>9.99000999000999E-4</v>
      </c>
      <c r="C616" s="4">
        <v>2.52399619333602E-2</v>
      </c>
    </row>
    <row r="617" spans="1:3" x14ac:dyDescent="0.2">
      <c r="A617" s="4" t="str">
        <f>"PSMD3"</f>
        <v>PSMD3</v>
      </c>
      <c r="B617" s="5">
        <v>9.99000999000999E-4</v>
      </c>
      <c r="C617" s="4">
        <v>2.52399619333602E-2</v>
      </c>
    </row>
    <row r="618" spans="1:3" x14ac:dyDescent="0.2">
      <c r="A618" s="4" t="str">
        <f>"PRKAR2A"</f>
        <v>PRKAR2A</v>
      </c>
      <c r="B618" s="5">
        <v>9.99000999000999E-4</v>
      </c>
      <c r="C618" s="4">
        <v>2.52399619333602E-2</v>
      </c>
    </row>
    <row r="619" spans="1:3" x14ac:dyDescent="0.2">
      <c r="A619" s="4" t="str">
        <f>"MBOAT7"</f>
        <v>MBOAT7</v>
      </c>
      <c r="B619" s="5">
        <v>9.99000999000999E-4</v>
      </c>
      <c r="C619" s="4">
        <v>2.52399619333602E-2</v>
      </c>
    </row>
    <row r="620" spans="1:3" x14ac:dyDescent="0.2">
      <c r="A620" s="4" t="str">
        <f>"CIPC"</f>
        <v>CIPC</v>
      </c>
      <c r="B620" s="5">
        <v>9.99000999000999E-4</v>
      </c>
      <c r="C620" s="4">
        <v>2.52399619333602E-2</v>
      </c>
    </row>
    <row r="621" spans="1:3" x14ac:dyDescent="0.2">
      <c r="A621" s="4" t="str">
        <f>"AAMP"</f>
        <v>AAMP</v>
      </c>
      <c r="B621" s="5">
        <v>9.99000999000999E-4</v>
      </c>
      <c r="C621" s="4">
        <v>2.52399619333602E-2</v>
      </c>
    </row>
    <row r="622" spans="1:3" x14ac:dyDescent="0.2">
      <c r="A622" s="4" t="str">
        <f>"NFKBIA"</f>
        <v>NFKBIA</v>
      </c>
      <c r="B622" s="5">
        <v>9.99000999000999E-4</v>
      </c>
      <c r="C622" s="4">
        <v>2.52399619333602E-2</v>
      </c>
    </row>
    <row r="623" spans="1:3" x14ac:dyDescent="0.2">
      <c r="A623" s="4" t="str">
        <f>"CTBP1"</f>
        <v>CTBP1</v>
      </c>
      <c r="B623" s="5">
        <v>9.99000999000999E-4</v>
      </c>
      <c r="C623" s="4">
        <v>2.52399619333602E-2</v>
      </c>
    </row>
    <row r="624" spans="1:3" x14ac:dyDescent="0.2">
      <c r="A624" s="4" t="str">
        <f>"UBE2Z"</f>
        <v>UBE2Z</v>
      </c>
      <c r="B624" s="5">
        <v>9.99000999000999E-4</v>
      </c>
      <c r="C624" s="4">
        <v>2.52399619333602E-2</v>
      </c>
    </row>
    <row r="625" spans="1:3" x14ac:dyDescent="0.2">
      <c r="A625" s="4" t="str">
        <f>"OPTN"</f>
        <v>OPTN</v>
      </c>
      <c r="B625" s="5">
        <v>9.99000999000999E-4</v>
      </c>
      <c r="C625" s="4">
        <v>2.52399619333602E-2</v>
      </c>
    </row>
    <row r="626" spans="1:3" x14ac:dyDescent="0.2">
      <c r="A626" s="4" t="str">
        <f>"NSFL1C"</f>
        <v>NSFL1C</v>
      </c>
      <c r="B626" s="5">
        <v>9.99000999000999E-4</v>
      </c>
      <c r="C626" s="4">
        <v>2.52399619333602E-2</v>
      </c>
    </row>
    <row r="627" spans="1:3" x14ac:dyDescent="0.2">
      <c r="A627" s="4" t="str">
        <f>"CTBP2"</f>
        <v>CTBP2</v>
      </c>
      <c r="B627" s="5">
        <v>9.99000999000999E-4</v>
      </c>
      <c r="C627" s="4">
        <v>2.52399619333602E-2</v>
      </c>
    </row>
    <row r="628" spans="1:3" x14ac:dyDescent="0.2">
      <c r="A628" s="4" t="str">
        <f>"TRIOBP"</f>
        <v>TRIOBP</v>
      </c>
      <c r="B628" s="5">
        <v>9.99000999000999E-4</v>
      </c>
      <c r="C628" s="4">
        <v>2.52399619333602E-2</v>
      </c>
    </row>
    <row r="629" spans="1:3" x14ac:dyDescent="0.2">
      <c r="A629" s="4" t="str">
        <f>"STIP1"</f>
        <v>STIP1</v>
      </c>
      <c r="B629" s="5">
        <v>9.99000999000999E-4</v>
      </c>
      <c r="C629" s="4">
        <v>2.52399619333602E-2</v>
      </c>
    </row>
    <row r="630" spans="1:3" x14ac:dyDescent="0.2">
      <c r="A630" s="4" t="str">
        <f>"LAPTM5"</f>
        <v>LAPTM5</v>
      </c>
      <c r="B630" s="5">
        <v>9.99000999000999E-4</v>
      </c>
      <c r="C630" s="4">
        <v>2.52399619333602E-2</v>
      </c>
    </row>
    <row r="631" spans="1:3" x14ac:dyDescent="0.2">
      <c r="A631" s="4" t="str">
        <f>"MXD1"</f>
        <v>MXD1</v>
      </c>
      <c r="B631" s="5">
        <v>9.99000999000999E-4</v>
      </c>
      <c r="C631" s="4">
        <v>2.52399619333602E-2</v>
      </c>
    </row>
    <row r="632" spans="1:3" x14ac:dyDescent="0.2">
      <c r="A632" s="4" t="str">
        <f>"SRSF1"</f>
        <v>SRSF1</v>
      </c>
      <c r="B632" s="5">
        <v>9.99000999000999E-4</v>
      </c>
      <c r="C632" s="4">
        <v>2.52399619333602E-2</v>
      </c>
    </row>
    <row r="633" spans="1:3" x14ac:dyDescent="0.2">
      <c r="A633" s="4" t="str">
        <f>"PSMD8"</f>
        <v>PSMD8</v>
      </c>
      <c r="B633" s="5">
        <v>9.99000999000999E-4</v>
      </c>
      <c r="C633" s="4">
        <v>2.52399619333602E-2</v>
      </c>
    </row>
    <row r="634" spans="1:3" x14ac:dyDescent="0.2">
      <c r="A634" s="4" t="str">
        <f>"CCT3"</f>
        <v>CCT3</v>
      </c>
      <c r="B634" s="5">
        <v>9.99000999000999E-4</v>
      </c>
      <c r="C634" s="4">
        <v>2.52399619333602E-2</v>
      </c>
    </row>
    <row r="635" spans="1:3" x14ac:dyDescent="0.2">
      <c r="A635" s="4" t="str">
        <f>"GPBP1L1"</f>
        <v>GPBP1L1</v>
      </c>
      <c r="B635" s="5">
        <v>9.99000999000999E-4</v>
      </c>
      <c r="C635" s="4">
        <v>2.52399619333602E-2</v>
      </c>
    </row>
    <row r="636" spans="1:3" x14ac:dyDescent="0.2">
      <c r="A636" s="4" t="str">
        <f>"DTX2"</f>
        <v>DTX2</v>
      </c>
      <c r="B636" s="5">
        <v>9.99000999000999E-4</v>
      </c>
      <c r="C636" s="4">
        <v>2.52399619333602E-2</v>
      </c>
    </row>
    <row r="637" spans="1:3" x14ac:dyDescent="0.2">
      <c r="A637" s="4" t="str">
        <f>"PDPK1"</f>
        <v>PDPK1</v>
      </c>
      <c r="B637" s="5">
        <v>9.99000999000999E-4</v>
      </c>
      <c r="C637" s="4">
        <v>2.52399619333602E-2</v>
      </c>
    </row>
    <row r="638" spans="1:3" x14ac:dyDescent="0.2">
      <c r="A638" s="4" t="str">
        <f>"HSPA4"</f>
        <v>HSPA4</v>
      </c>
      <c r="B638" s="5">
        <v>9.99000999000999E-4</v>
      </c>
      <c r="C638" s="4">
        <v>2.52399619333602E-2</v>
      </c>
    </row>
    <row r="639" spans="1:3" x14ac:dyDescent="0.2">
      <c r="A639" s="4" t="str">
        <f>"PRKCD"</f>
        <v>PRKCD</v>
      </c>
      <c r="B639" s="5">
        <v>9.99000999000999E-4</v>
      </c>
      <c r="C639" s="4">
        <v>2.52399619333602E-2</v>
      </c>
    </row>
    <row r="640" spans="1:3" x14ac:dyDescent="0.2">
      <c r="A640" s="4" t="str">
        <f>"CBX5"</f>
        <v>CBX5</v>
      </c>
      <c r="B640" s="5">
        <v>9.99000999000999E-4</v>
      </c>
      <c r="C640" s="4">
        <v>2.52399619333602E-2</v>
      </c>
    </row>
    <row r="641" spans="1:3" x14ac:dyDescent="0.2">
      <c r="A641" s="4" t="str">
        <f>"RAB10"</f>
        <v>RAB10</v>
      </c>
      <c r="B641" s="5">
        <v>9.99000999000999E-4</v>
      </c>
      <c r="C641" s="4">
        <v>2.52399619333602E-2</v>
      </c>
    </row>
    <row r="642" spans="1:3" x14ac:dyDescent="0.2">
      <c r="A642" s="4" t="str">
        <f>"RNH1"</f>
        <v>RNH1</v>
      </c>
      <c r="B642" s="5">
        <v>9.99000999000999E-4</v>
      </c>
      <c r="C642" s="4">
        <v>2.52399619333602E-2</v>
      </c>
    </row>
    <row r="643" spans="1:3" x14ac:dyDescent="0.2">
      <c r="A643" s="4" t="str">
        <f>"NAP1L4"</f>
        <v>NAP1L4</v>
      </c>
      <c r="B643" s="5">
        <v>9.99000999000999E-4</v>
      </c>
      <c r="C643" s="4">
        <v>2.52399619333602E-2</v>
      </c>
    </row>
    <row r="644" spans="1:3" x14ac:dyDescent="0.2">
      <c r="A644" s="4" t="str">
        <f>"PPM1G"</f>
        <v>PPM1G</v>
      </c>
      <c r="B644" s="5">
        <v>9.99000999000999E-4</v>
      </c>
      <c r="C644" s="4">
        <v>2.52399619333602E-2</v>
      </c>
    </row>
    <row r="645" spans="1:3" x14ac:dyDescent="0.2">
      <c r="A645" s="4" t="str">
        <f>"AHCYL1"</f>
        <v>AHCYL1</v>
      </c>
      <c r="B645" s="5">
        <v>9.99000999000999E-4</v>
      </c>
      <c r="C645" s="4">
        <v>2.52399619333602E-2</v>
      </c>
    </row>
    <row r="646" spans="1:3" x14ac:dyDescent="0.2">
      <c r="A646" s="4" t="str">
        <f>"RAB6A"</f>
        <v>RAB6A</v>
      </c>
      <c r="B646" s="5">
        <v>9.99000999000999E-4</v>
      </c>
      <c r="C646" s="4">
        <v>2.52399619333602E-2</v>
      </c>
    </row>
    <row r="647" spans="1:3" x14ac:dyDescent="0.2">
      <c r="A647" s="4" t="str">
        <f>"EIF3D"</f>
        <v>EIF3D</v>
      </c>
      <c r="B647" s="5">
        <v>9.99000999000999E-4</v>
      </c>
      <c r="C647" s="4">
        <v>2.52399619333602E-2</v>
      </c>
    </row>
    <row r="648" spans="1:3" x14ac:dyDescent="0.2">
      <c r="A648" s="4" t="str">
        <f>"KHDRBS1"</f>
        <v>KHDRBS1</v>
      </c>
      <c r="B648" s="5">
        <v>9.99000999000999E-4</v>
      </c>
      <c r="C648" s="4">
        <v>2.52399619333602E-2</v>
      </c>
    </row>
    <row r="649" spans="1:3" x14ac:dyDescent="0.2">
      <c r="A649" s="4" t="str">
        <f>"MAZ"</f>
        <v>MAZ</v>
      </c>
      <c r="B649" s="5">
        <v>9.99000999000999E-4</v>
      </c>
      <c r="C649" s="4">
        <v>2.52399619333602E-2</v>
      </c>
    </row>
    <row r="650" spans="1:3" x14ac:dyDescent="0.2">
      <c r="A650" s="4" t="str">
        <f>"SREBF1"</f>
        <v>SREBF1</v>
      </c>
      <c r="B650" s="5">
        <v>9.99000999000999E-4</v>
      </c>
      <c r="C650" s="4">
        <v>2.52399619333602E-2</v>
      </c>
    </row>
    <row r="651" spans="1:3" x14ac:dyDescent="0.2">
      <c r="A651" s="4" t="str">
        <f>"WBP2"</f>
        <v>WBP2</v>
      </c>
      <c r="B651" s="5">
        <v>9.99000999000999E-4</v>
      </c>
      <c r="C651" s="4">
        <v>2.52399619333602E-2</v>
      </c>
    </row>
    <row r="652" spans="1:3" x14ac:dyDescent="0.2">
      <c r="A652" s="4" t="str">
        <f>"RAB5C"</f>
        <v>RAB5C</v>
      </c>
      <c r="B652" s="5">
        <v>9.99000999000999E-4</v>
      </c>
      <c r="C652" s="4">
        <v>2.52399619333602E-2</v>
      </c>
    </row>
    <row r="653" spans="1:3" x14ac:dyDescent="0.2">
      <c r="A653" s="4" t="str">
        <f>"KHSRP"</f>
        <v>KHSRP</v>
      </c>
      <c r="B653" s="5">
        <v>9.99000999000999E-4</v>
      </c>
      <c r="C653" s="4">
        <v>2.52399619333602E-2</v>
      </c>
    </row>
    <row r="654" spans="1:3" x14ac:dyDescent="0.2">
      <c r="A654" s="4" t="str">
        <f>"AUTS2"</f>
        <v>AUTS2</v>
      </c>
      <c r="B654" s="5">
        <v>9.99000999000999E-4</v>
      </c>
      <c r="C654" s="4">
        <v>2.52399619333602E-2</v>
      </c>
    </row>
    <row r="655" spans="1:3" x14ac:dyDescent="0.2">
      <c r="A655" s="4" t="str">
        <f>"PDXK"</f>
        <v>PDXK</v>
      </c>
      <c r="B655" s="5">
        <v>9.99000999000999E-4</v>
      </c>
      <c r="C655" s="4">
        <v>2.52399619333602E-2</v>
      </c>
    </row>
    <row r="656" spans="1:3" x14ac:dyDescent="0.2">
      <c r="A656" s="4" t="str">
        <f>"RAB5B"</f>
        <v>RAB5B</v>
      </c>
      <c r="B656" s="5">
        <v>9.99000999000999E-4</v>
      </c>
      <c r="C656" s="4">
        <v>2.52399619333602E-2</v>
      </c>
    </row>
    <row r="657" spans="1:3" x14ac:dyDescent="0.2">
      <c r="A657" s="4" t="str">
        <f>"C1orf43"</f>
        <v>C1orf43</v>
      </c>
      <c r="B657" s="5">
        <v>9.99000999000999E-4</v>
      </c>
      <c r="C657" s="4">
        <v>2.52399619333602E-2</v>
      </c>
    </row>
    <row r="658" spans="1:3" x14ac:dyDescent="0.2">
      <c r="A658" s="4" t="str">
        <f>"YME1L1"</f>
        <v>YME1L1</v>
      </c>
      <c r="B658" s="5">
        <v>9.99000999000999E-4</v>
      </c>
      <c r="C658" s="4">
        <v>2.52399619333602E-2</v>
      </c>
    </row>
    <row r="659" spans="1:3" x14ac:dyDescent="0.2">
      <c r="A659" s="4" t="str">
        <f>"TRIR"</f>
        <v>TRIR</v>
      </c>
      <c r="B659" s="5">
        <v>9.99000999000999E-4</v>
      </c>
      <c r="C659" s="4">
        <v>2.52399619333602E-2</v>
      </c>
    </row>
    <row r="660" spans="1:3" x14ac:dyDescent="0.2">
      <c r="A660" s="4" t="str">
        <f>"STING1"</f>
        <v>STING1</v>
      </c>
      <c r="B660" s="5">
        <v>9.99000999000999E-4</v>
      </c>
      <c r="C660" s="4">
        <v>2.52399619333602E-2</v>
      </c>
    </row>
    <row r="661" spans="1:3" x14ac:dyDescent="0.2">
      <c r="A661" s="4" t="str">
        <f>"BCAP31"</f>
        <v>BCAP31</v>
      </c>
      <c r="B661" s="5">
        <v>9.99000999000999E-4</v>
      </c>
      <c r="C661" s="4">
        <v>2.52399619333602E-2</v>
      </c>
    </row>
    <row r="662" spans="1:3" x14ac:dyDescent="0.2">
      <c r="A662" s="4" t="str">
        <f>"RPL38"</f>
        <v>RPL38</v>
      </c>
      <c r="B662" s="5">
        <v>9.99000999000999E-4</v>
      </c>
      <c r="C662" s="4">
        <v>2.52399619333602E-2</v>
      </c>
    </row>
    <row r="663" spans="1:3" x14ac:dyDescent="0.2">
      <c r="A663" s="4" t="str">
        <f>"BCL6"</f>
        <v>BCL6</v>
      </c>
      <c r="B663" s="5">
        <v>9.99000999000999E-4</v>
      </c>
      <c r="C663" s="4">
        <v>2.52399619333602E-2</v>
      </c>
    </row>
    <row r="664" spans="1:3" x14ac:dyDescent="0.2">
      <c r="A664" s="4" t="str">
        <f>"MUC5B"</f>
        <v>MUC5B</v>
      </c>
      <c r="B664" s="5">
        <v>9.99000999000999E-4</v>
      </c>
      <c r="C664" s="4">
        <v>2.52399619333602E-2</v>
      </c>
    </row>
    <row r="665" spans="1:3" x14ac:dyDescent="0.2">
      <c r="A665" s="4" t="str">
        <f>"CCT7"</f>
        <v>CCT7</v>
      </c>
      <c r="B665" s="5">
        <v>9.99000999000999E-4</v>
      </c>
      <c r="C665" s="4">
        <v>2.52399619333602E-2</v>
      </c>
    </row>
    <row r="666" spans="1:3" x14ac:dyDescent="0.2">
      <c r="A666" s="4" t="str">
        <f>"CHMP2A"</f>
        <v>CHMP2A</v>
      </c>
      <c r="B666" s="5">
        <v>9.99000999000999E-4</v>
      </c>
      <c r="C666" s="4">
        <v>2.52399619333602E-2</v>
      </c>
    </row>
    <row r="667" spans="1:3" x14ac:dyDescent="0.2">
      <c r="A667" s="4" t="str">
        <f>"GTF2I"</f>
        <v>GTF2I</v>
      </c>
      <c r="B667" s="5">
        <v>9.99000999000999E-4</v>
      </c>
      <c r="C667" s="4">
        <v>2.52399619333602E-2</v>
      </c>
    </row>
    <row r="668" spans="1:3" x14ac:dyDescent="0.2">
      <c r="A668" s="4" t="str">
        <f>"TRIM28"</f>
        <v>TRIM28</v>
      </c>
      <c r="B668" s="5">
        <v>9.99000999000999E-4</v>
      </c>
      <c r="C668" s="4">
        <v>2.52399619333602E-2</v>
      </c>
    </row>
    <row r="669" spans="1:3" x14ac:dyDescent="0.2">
      <c r="A669" s="4" t="str">
        <f>"TLN1"</f>
        <v>TLN1</v>
      </c>
      <c r="B669" s="5">
        <v>9.99000999000999E-4</v>
      </c>
      <c r="C669" s="4">
        <v>2.52399619333602E-2</v>
      </c>
    </row>
    <row r="670" spans="1:3" x14ac:dyDescent="0.2">
      <c r="A670" s="4" t="str">
        <f>"GNA11"</f>
        <v>GNA11</v>
      </c>
      <c r="B670" s="5">
        <v>9.99000999000999E-4</v>
      </c>
      <c r="C670" s="4">
        <v>2.52399619333602E-2</v>
      </c>
    </row>
    <row r="671" spans="1:3" x14ac:dyDescent="0.2">
      <c r="A671" s="4" t="str">
        <f>"STAU1"</f>
        <v>STAU1</v>
      </c>
      <c r="B671" s="5">
        <v>9.99000999000999E-4</v>
      </c>
      <c r="C671" s="4">
        <v>2.52399619333602E-2</v>
      </c>
    </row>
    <row r="672" spans="1:3" x14ac:dyDescent="0.2">
      <c r="A672" s="4" t="str">
        <f>"VAPA"</f>
        <v>VAPA</v>
      </c>
      <c r="B672" s="5">
        <v>9.99000999000999E-4</v>
      </c>
      <c r="C672" s="4">
        <v>2.52399619333602E-2</v>
      </c>
    </row>
    <row r="673" spans="1:3" x14ac:dyDescent="0.2">
      <c r="A673" s="4" t="str">
        <f>"CSF3R"</f>
        <v>CSF3R</v>
      </c>
      <c r="B673" s="5">
        <v>9.99000999000999E-4</v>
      </c>
      <c r="C673" s="4">
        <v>2.52399619333602E-2</v>
      </c>
    </row>
    <row r="674" spans="1:3" x14ac:dyDescent="0.2">
      <c r="A674" s="4" t="str">
        <f>"ZFP36"</f>
        <v>ZFP36</v>
      </c>
      <c r="B674" s="5">
        <v>9.99000999000999E-4</v>
      </c>
      <c r="C674" s="4">
        <v>2.52399619333602E-2</v>
      </c>
    </row>
    <row r="675" spans="1:3" x14ac:dyDescent="0.2">
      <c r="A675" s="4" t="str">
        <f>"MARCKS"</f>
        <v>MARCKS</v>
      </c>
      <c r="B675" s="5">
        <v>9.99000999000999E-4</v>
      </c>
      <c r="C675" s="4">
        <v>2.52399619333602E-2</v>
      </c>
    </row>
    <row r="676" spans="1:3" x14ac:dyDescent="0.2">
      <c r="A676" s="4" t="str">
        <f>"DDOST"</f>
        <v>DDOST</v>
      </c>
      <c r="B676" s="5">
        <v>9.99000999000999E-4</v>
      </c>
      <c r="C676" s="4">
        <v>2.52399619333602E-2</v>
      </c>
    </row>
    <row r="677" spans="1:3" x14ac:dyDescent="0.2">
      <c r="A677" s="4" t="str">
        <f>"IVNS1ABP"</f>
        <v>IVNS1ABP</v>
      </c>
      <c r="B677" s="5">
        <v>9.99000999000999E-4</v>
      </c>
      <c r="C677" s="4">
        <v>2.52399619333602E-2</v>
      </c>
    </row>
    <row r="678" spans="1:3" x14ac:dyDescent="0.2">
      <c r="A678" s="4" t="str">
        <f>"COPG1"</f>
        <v>COPG1</v>
      </c>
      <c r="B678" s="5">
        <v>9.99000999000999E-4</v>
      </c>
      <c r="C678" s="4">
        <v>2.52399619333602E-2</v>
      </c>
    </row>
    <row r="679" spans="1:3" x14ac:dyDescent="0.2">
      <c r="A679" s="4" t="str">
        <f>"B3GNT7"</f>
        <v>B3GNT7</v>
      </c>
      <c r="B679" s="5">
        <v>9.99000999000999E-4</v>
      </c>
      <c r="C679" s="4">
        <v>2.52399619333602E-2</v>
      </c>
    </row>
    <row r="680" spans="1:3" x14ac:dyDescent="0.2">
      <c r="A680" s="4" t="str">
        <f>"EPB41L1"</f>
        <v>EPB41L1</v>
      </c>
      <c r="B680" s="5">
        <v>9.99000999000999E-4</v>
      </c>
      <c r="C680" s="4">
        <v>2.52399619333602E-2</v>
      </c>
    </row>
    <row r="681" spans="1:3" x14ac:dyDescent="0.2">
      <c r="A681" s="4" t="str">
        <f>"PDIA4"</f>
        <v>PDIA4</v>
      </c>
      <c r="B681" s="5">
        <v>9.99000999000999E-4</v>
      </c>
      <c r="C681" s="4">
        <v>2.52399619333602E-2</v>
      </c>
    </row>
    <row r="682" spans="1:3" x14ac:dyDescent="0.2">
      <c r="A682" s="4" t="str">
        <f>"PRRC2A"</f>
        <v>PRRC2A</v>
      </c>
      <c r="B682" s="5">
        <v>9.99000999000999E-4</v>
      </c>
      <c r="C682" s="4">
        <v>2.52399619333602E-2</v>
      </c>
    </row>
    <row r="683" spans="1:3" x14ac:dyDescent="0.2">
      <c r="A683" s="4" t="str">
        <f>"GSR"</f>
        <v>GSR</v>
      </c>
      <c r="B683" s="5">
        <v>9.99000999000999E-4</v>
      </c>
      <c r="C683" s="4">
        <v>2.52399619333602E-2</v>
      </c>
    </row>
    <row r="684" spans="1:3" x14ac:dyDescent="0.2">
      <c r="A684" s="4" t="str">
        <f>"USP22"</f>
        <v>USP22</v>
      </c>
      <c r="B684" s="5">
        <v>9.99000999000999E-4</v>
      </c>
      <c r="C684" s="4">
        <v>2.52399619333602E-2</v>
      </c>
    </row>
    <row r="685" spans="1:3" x14ac:dyDescent="0.2">
      <c r="A685" s="4" t="str">
        <f>"KRT6A"</f>
        <v>KRT6A</v>
      </c>
      <c r="B685" s="5">
        <v>9.99000999000999E-4</v>
      </c>
      <c r="C685" s="4">
        <v>2.52399619333602E-2</v>
      </c>
    </row>
    <row r="686" spans="1:3" x14ac:dyDescent="0.2">
      <c r="A686" s="4" t="str">
        <f>"SFPQ"</f>
        <v>SFPQ</v>
      </c>
      <c r="B686" s="5">
        <v>9.99000999000999E-4</v>
      </c>
      <c r="C686" s="4">
        <v>2.52399619333602E-2</v>
      </c>
    </row>
    <row r="687" spans="1:3" x14ac:dyDescent="0.2">
      <c r="A687" s="4" t="str">
        <f>"MORF4L1"</f>
        <v>MORF4L1</v>
      </c>
      <c r="B687" s="5">
        <v>9.99000999000999E-4</v>
      </c>
      <c r="C687" s="4">
        <v>2.52399619333602E-2</v>
      </c>
    </row>
    <row r="688" spans="1:3" x14ac:dyDescent="0.2">
      <c r="A688" s="4" t="str">
        <f>"LITAF"</f>
        <v>LITAF</v>
      </c>
      <c r="B688" s="5">
        <v>9.99000999000999E-4</v>
      </c>
      <c r="C688" s="4">
        <v>2.52399619333602E-2</v>
      </c>
    </row>
    <row r="689" spans="1:3" x14ac:dyDescent="0.2">
      <c r="A689" s="4" t="str">
        <f>"ATP6V0C"</f>
        <v>ATP6V0C</v>
      </c>
      <c r="B689" s="5">
        <v>9.99000999000999E-4</v>
      </c>
      <c r="C689" s="4">
        <v>2.52399619333602E-2</v>
      </c>
    </row>
    <row r="690" spans="1:3" x14ac:dyDescent="0.2">
      <c r="A690" s="4" t="str">
        <f>"SF3B2"</f>
        <v>SF3B2</v>
      </c>
      <c r="B690" s="5">
        <v>9.99000999000999E-4</v>
      </c>
      <c r="C690" s="4">
        <v>2.52399619333602E-2</v>
      </c>
    </row>
    <row r="691" spans="1:3" x14ac:dyDescent="0.2">
      <c r="A691" s="4" t="str">
        <f>"RAB7A"</f>
        <v>RAB7A</v>
      </c>
      <c r="B691" s="5">
        <v>9.99000999000999E-4</v>
      </c>
      <c r="C691" s="4">
        <v>2.52399619333602E-2</v>
      </c>
    </row>
    <row r="692" spans="1:3" x14ac:dyDescent="0.2">
      <c r="A692" s="4" t="str">
        <f>"ATP5F1A"</f>
        <v>ATP5F1A</v>
      </c>
      <c r="B692" s="5">
        <v>9.99000999000999E-4</v>
      </c>
      <c r="C692" s="4">
        <v>2.52399619333602E-2</v>
      </c>
    </row>
    <row r="693" spans="1:3" x14ac:dyDescent="0.2">
      <c r="A693" s="4" t="str">
        <f>"ZFP36L1"</f>
        <v>ZFP36L1</v>
      </c>
      <c r="B693" s="5">
        <v>9.99000999000999E-4</v>
      </c>
      <c r="C693" s="4">
        <v>2.52399619333602E-2</v>
      </c>
    </row>
    <row r="694" spans="1:3" x14ac:dyDescent="0.2">
      <c r="A694" s="4" t="str">
        <f>"ARF1"</f>
        <v>ARF1</v>
      </c>
      <c r="B694" s="5">
        <v>9.99000999000999E-4</v>
      </c>
      <c r="C694" s="4">
        <v>2.52399619333602E-2</v>
      </c>
    </row>
    <row r="695" spans="1:3" x14ac:dyDescent="0.2">
      <c r="A695" s="4" t="str">
        <f>"SEPTIN9"</f>
        <v>SEPTIN9</v>
      </c>
      <c r="B695" s="5">
        <v>9.99000999000999E-4</v>
      </c>
      <c r="C695" s="4">
        <v>2.52399619333602E-2</v>
      </c>
    </row>
    <row r="696" spans="1:3" x14ac:dyDescent="0.2">
      <c r="A696" s="4" t="str">
        <f>"HSP90B1"</f>
        <v>HSP90B1</v>
      </c>
      <c r="B696" s="5">
        <v>9.99000999000999E-4</v>
      </c>
      <c r="C696" s="4">
        <v>2.52399619333602E-2</v>
      </c>
    </row>
    <row r="697" spans="1:3" x14ac:dyDescent="0.2">
      <c r="A697" s="4" t="str">
        <f>"SPINT2"</f>
        <v>SPINT2</v>
      </c>
      <c r="B697" s="5">
        <v>9.99000999000999E-4</v>
      </c>
      <c r="C697" s="4">
        <v>2.52399619333602E-2</v>
      </c>
    </row>
    <row r="698" spans="1:3" x14ac:dyDescent="0.2">
      <c r="A698" s="4" t="str">
        <f>"CXCL8"</f>
        <v>CXCL8</v>
      </c>
      <c r="B698" s="5">
        <v>9.99000999000999E-4</v>
      </c>
      <c r="C698" s="4">
        <v>2.52399619333602E-2</v>
      </c>
    </row>
    <row r="699" spans="1:3" x14ac:dyDescent="0.2">
      <c r="A699" s="4" t="str">
        <f>"NAMPT"</f>
        <v>NAMPT</v>
      </c>
      <c r="B699" s="5">
        <v>9.99000999000999E-4</v>
      </c>
      <c r="C699" s="4">
        <v>2.52399619333602E-2</v>
      </c>
    </row>
    <row r="700" spans="1:3" x14ac:dyDescent="0.2">
      <c r="A700" s="4" t="str">
        <f>"CTNNA1"</f>
        <v>CTNNA1</v>
      </c>
      <c r="B700" s="5">
        <v>9.99000999000999E-4</v>
      </c>
      <c r="C700" s="4">
        <v>2.52399619333602E-2</v>
      </c>
    </row>
    <row r="701" spans="1:3" x14ac:dyDescent="0.2">
      <c r="A701" s="4" t="str">
        <f>"MTATP6P1"</f>
        <v>MTATP6P1</v>
      </c>
      <c r="B701" s="5">
        <v>9.99000999000999E-4</v>
      </c>
      <c r="C701" s="4">
        <v>2.52399619333602E-2</v>
      </c>
    </row>
    <row r="702" spans="1:3" x14ac:dyDescent="0.2">
      <c r="A702" s="4" t="str">
        <f>"FTL"</f>
        <v>FTL</v>
      </c>
      <c r="B702" s="5">
        <v>9.99000999000999E-4</v>
      </c>
      <c r="C702" s="4">
        <v>2.52399619333602E-2</v>
      </c>
    </row>
    <row r="703" spans="1:3" x14ac:dyDescent="0.2">
      <c r="A703" s="4" t="str">
        <f>"MUC1"</f>
        <v>MUC1</v>
      </c>
      <c r="B703" s="5">
        <v>9.99000999000999E-4</v>
      </c>
      <c r="C703" s="4">
        <v>2.52399619333602E-2</v>
      </c>
    </row>
    <row r="704" spans="1:3" x14ac:dyDescent="0.2">
      <c r="A704" s="4" t="str">
        <f>"FTH1"</f>
        <v>FTH1</v>
      </c>
      <c r="B704" s="5">
        <v>9.99000999000999E-4</v>
      </c>
      <c r="C704" s="4">
        <v>2.52399619333602E-2</v>
      </c>
    </row>
    <row r="705" spans="1:3" x14ac:dyDescent="0.2">
      <c r="A705" s="4" t="str">
        <f>"AC004678.1"</f>
        <v>AC004678.1</v>
      </c>
      <c r="B705" s="4">
        <v>1.0121457489878499E-3</v>
      </c>
      <c r="C705" s="4">
        <v>2.5244781347804699E-2</v>
      </c>
    </row>
    <row r="706" spans="1:3" x14ac:dyDescent="0.2">
      <c r="A706" s="4" t="str">
        <f>"AC017104.2"</f>
        <v>AC017104.2</v>
      </c>
      <c r="B706" s="4">
        <v>1.0111223458038399E-3</v>
      </c>
      <c r="C706" s="4">
        <v>2.5244781347804699E-2</v>
      </c>
    </row>
    <row r="707" spans="1:3" x14ac:dyDescent="0.2">
      <c r="A707" s="4" t="str">
        <f>"CLDN25"</f>
        <v>CLDN25</v>
      </c>
      <c r="B707" s="4">
        <v>1.01522842639593E-3</v>
      </c>
      <c r="C707" s="4">
        <v>2.5275698301537301E-2</v>
      </c>
    </row>
    <row r="708" spans="1:3" x14ac:dyDescent="0.2">
      <c r="A708" s="4" t="str">
        <f>"AL662797.1"</f>
        <v>AL662797.1</v>
      </c>
      <c r="B708" s="4">
        <v>1.0162601626016201E-3</v>
      </c>
      <c r="C708" s="4">
        <v>2.5275698301537301E-2</v>
      </c>
    </row>
    <row r="709" spans="1:3" x14ac:dyDescent="0.2">
      <c r="A709" s="4" t="str">
        <f>"AC025165.2"</f>
        <v>AC025165.2</v>
      </c>
      <c r="B709" s="4">
        <v>1.0193679918450501E-3</v>
      </c>
      <c r="C709" s="4">
        <v>2.52814764014151E-2</v>
      </c>
    </row>
    <row r="710" spans="1:3" x14ac:dyDescent="0.2">
      <c r="A710" s="4" t="str">
        <f>"SCGB1B2P"</f>
        <v>SCGB1B2P</v>
      </c>
      <c r="B710" s="4">
        <v>1.0183299389002001E-3</v>
      </c>
      <c r="C710" s="4">
        <v>2.52814764014151E-2</v>
      </c>
    </row>
    <row r="711" spans="1:3" x14ac:dyDescent="0.2">
      <c r="A711" s="4" t="str">
        <f>"AL513210.2"</f>
        <v>AL513210.2</v>
      </c>
      <c r="B711" s="4">
        <v>1.0224948875255601E-3</v>
      </c>
      <c r="C711" s="4">
        <v>2.53233100031682E-2</v>
      </c>
    </row>
    <row r="712" spans="1:3" x14ac:dyDescent="0.2">
      <c r="A712" s="4" t="str">
        <f>"AP001107.2"</f>
        <v>AP001107.2</v>
      </c>
      <c r="B712" s="4">
        <v>1.0416666666666599E-3</v>
      </c>
      <c r="C712" s="4">
        <v>2.5761837787154001E-2</v>
      </c>
    </row>
    <row r="713" spans="1:3" x14ac:dyDescent="0.2">
      <c r="A713" s="4" t="str">
        <f>"AP003717.1"</f>
        <v>AP003717.1</v>
      </c>
      <c r="B713" s="4">
        <v>1.0438413361169099E-3</v>
      </c>
      <c r="C713" s="4">
        <v>2.5779362435786098E-2</v>
      </c>
    </row>
    <row r="714" spans="1:3" x14ac:dyDescent="0.2">
      <c r="A714" s="4" t="str">
        <f>"XIAPP2"</f>
        <v>XIAPP2</v>
      </c>
      <c r="B714" s="4">
        <v>1.06269925611052E-3</v>
      </c>
      <c r="C714" s="4">
        <v>2.6208280111426899E-2</v>
      </c>
    </row>
    <row r="715" spans="1:3" x14ac:dyDescent="0.2">
      <c r="A715" s="4" t="str">
        <f>"AC136469.2"</f>
        <v>AC136469.2</v>
      </c>
      <c r="B715" s="4">
        <v>1.07181136120042E-3</v>
      </c>
      <c r="C715" s="4">
        <v>2.6359064301186199E-2</v>
      </c>
    </row>
    <row r="716" spans="1:3" x14ac:dyDescent="0.2">
      <c r="A716" s="4" t="str">
        <f>"AC005394.2"</f>
        <v>AC005394.2</v>
      </c>
      <c r="B716" s="4">
        <v>1.0706638115631599E-3</v>
      </c>
      <c r="C716" s="4">
        <v>2.6359064301186199E-2</v>
      </c>
    </row>
    <row r="717" spans="1:3" x14ac:dyDescent="0.2">
      <c r="A717" s="4" t="str">
        <f>"ANXA2P2"</f>
        <v>ANXA2P2</v>
      </c>
      <c r="B717" s="4">
        <v>1.07642626480086E-3</v>
      </c>
      <c r="C717" s="4">
        <v>2.6435585810416599E-2</v>
      </c>
    </row>
    <row r="718" spans="1:3" x14ac:dyDescent="0.2">
      <c r="A718" s="4" t="str">
        <f>"AC005726.2"</f>
        <v>AC005726.2</v>
      </c>
      <c r="B718" s="4">
        <v>1.0822510822510801E-3</v>
      </c>
      <c r="C718" s="4">
        <v>2.6541566290520201E-2</v>
      </c>
    </row>
    <row r="719" spans="1:3" x14ac:dyDescent="0.2">
      <c r="A719" s="4" t="str">
        <f>"C10orf82"</f>
        <v>C10orf82</v>
      </c>
      <c r="B719" s="4">
        <v>1.1173184357541801E-3</v>
      </c>
      <c r="C719" s="4">
        <v>2.7363408599305701E-2</v>
      </c>
    </row>
    <row r="720" spans="1:3" x14ac:dyDescent="0.2">
      <c r="A720" s="4" t="str">
        <f>"AL662907.3"</f>
        <v>AL662907.3</v>
      </c>
      <c r="B720" s="4">
        <v>1.23915737298636E-3</v>
      </c>
      <c r="C720" s="4">
        <v>3.0305067102353402E-2</v>
      </c>
    </row>
    <row r="721" spans="1:3" x14ac:dyDescent="0.2">
      <c r="A721" s="4" t="str">
        <f>"AC113348.3"</f>
        <v>AC113348.3</v>
      </c>
      <c r="B721" s="4">
        <v>1.27877237851662E-3</v>
      </c>
      <c r="C721" s="4">
        <v>3.1230463199772501E-2</v>
      </c>
    </row>
    <row r="722" spans="1:3" x14ac:dyDescent="0.2">
      <c r="A722" s="4" t="str">
        <f>"NACA2"</f>
        <v>NACA2</v>
      </c>
      <c r="B722" s="4">
        <v>1.45348837209302E-3</v>
      </c>
      <c r="C722" s="4">
        <v>3.5448182433957899E-2</v>
      </c>
    </row>
    <row r="723" spans="1:3" x14ac:dyDescent="0.2">
      <c r="A723" s="4" t="str">
        <f>"AC073861.1"</f>
        <v>AC073861.1</v>
      </c>
      <c r="B723" s="4">
        <v>1.5974440894568601E-3</v>
      </c>
      <c r="C723" s="4">
        <v>3.8905064915525499E-2</v>
      </c>
    </row>
    <row r="724" spans="1:3" x14ac:dyDescent="0.2">
      <c r="A724" s="4" t="str">
        <f>"CAMK1G"</f>
        <v>CAMK1G</v>
      </c>
      <c r="B724" s="4">
        <v>1.9980019980019902E-3</v>
      </c>
      <c r="C724" s="4">
        <v>3.8945736434108501E-2</v>
      </c>
    </row>
    <row r="725" spans="1:3" x14ac:dyDescent="0.2">
      <c r="A725" s="4" t="str">
        <f>"AL391832.3"</f>
        <v>AL391832.3</v>
      </c>
      <c r="B725" s="4">
        <v>1.9980019980019902E-3</v>
      </c>
      <c r="C725" s="4">
        <v>3.8945736434108501E-2</v>
      </c>
    </row>
    <row r="726" spans="1:3" x14ac:dyDescent="0.2">
      <c r="A726" s="4" t="str">
        <f>"AC005050.3"</f>
        <v>AC005050.3</v>
      </c>
      <c r="B726" s="4">
        <v>1.9980019980019902E-3</v>
      </c>
      <c r="C726" s="4">
        <v>3.8945736434108501E-2</v>
      </c>
    </row>
    <row r="727" spans="1:3" x14ac:dyDescent="0.2">
      <c r="A727" s="4" t="str">
        <f>"AL133163.1"</f>
        <v>AL133163.1</v>
      </c>
      <c r="B727" s="4">
        <v>1.9980019980019902E-3</v>
      </c>
      <c r="C727" s="4">
        <v>3.8945736434108501E-2</v>
      </c>
    </row>
    <row r="728" spans="1:3" x14ac:dyDescent="0.2">
      <c r="A728" s="4" t="str">
        <f>"RN7SL368P"</f>
        <v>RN7SL368P</v>
      </c>
      <c r="B728" s="4">
        <v>2E-3</v>
      </c>
      <c r="C728" s="4">
        <v>3.8945736434108501E-2</v>
      </c>
    </row>
    <row r="729" spans="1:3" x14ac:dyDescent="0.2">
      <c r="A729" s="4" t="str">
        <f>"AC018362.1"</f>
        <v>AC018362.1</v>
      </c>
      <c r="B729" s="4">
        <v>1.9980019980019902E-3</v>
      </c>
      <c r="C729" s="4">
        <v>3.8945736434108501E-2</v>
      </c>
    </row>
    <row r="730" spans="1:3" x14ac:dyDescent="0.2">
      <c r="A730" s="4" t="str">
        <f>"AC002091.2"</f>
        <v>AC002091.2</v>
      </c>
      <c r="B730" s="4">
        <v>1.9980019980019902E-3</v>
      </c>
      <c r="C730" s="4">
        <v>3.8945736434108501E-2</v>
      </c>
    </row>
    <row r="731" spans="1:3" x14ac:dyDescent="0.2">
      <c r="A731" s="4" t="str">
        <f>"CLEC17A"</f>
        <v>CLEC17A</v>
      </c>
      <c r="B731" s="4">
        <v>1.9980019980019902E-3</v>
      </c>
      <c r="C731" s="4">
        <v>3.8945736434108501E-2</v>
      </c>
    </row>
    <row r="732" spans="1:3" x14ac:dyDescent="0.2">
      <c r="A732" s="4" t="str">
        <f>"AL645728.2"</f>
        <v>AL645728.2</v>
      </c>
      <c r="B732" s="4">
        <v>1.9980019980019902E-3</v>
      </c>
      <c r="C732" s="4">
        <v>3.8945736434108501E-2</v>
      </c>
    </row>
    <row r="733" spans="1:3" x14ac:dyDescent="0.2">
      <c r="A733" s="4" t="str">
        <f>"AC005622.1"</f>
        <v>AC005622.1</v>
      </c>
      <c r="B733" s="4">
        <v>1.9980019980019902E-3</v>
      </c>
      <c r="C733" s="4">
        <v>3.8945736434108501E-2</v>
      </c>
    </row>
    <row r="734" spans="1:3" x14ac:dyDescent="0.2">
      <c r="A734" s="4" t="str">
        <f>"DSCAM-AS1"</f>
        <v>DSCAM-AS1</v>
      </c>
      <c r="B734" s="4">
        <v>1.9980019980019902E-3</v>
      </c>
      <c r="C734" s="4">
        <v>3.8945736434108501E-2</v>
      </c>
    </row>
    <row r="735" spans="1:3" x14ac:dyDescent="0.2">
      <c r="A735" s="4" t="str">
        <f>"CR392000.1"</f>
        <v>CR392000.1</v>
      </c>
      <c r="B735" s="4">
        <v>1.9980019980019902E-3</v>
      </c>
      <c r="C735" s="4">
        <v>3.8945736434108501E-2</v>
      </c>
    </row>
    <row r="736" spans="1:3" x14ac:dyDescent="0.2">
      <c r="A736" s="4" t="str">
        <f>"AC092053.2"</f>
        <v>AC092053.2</v>
      </c>
      <c r="B736" s="4">
        <v>1.9980019980019902E-3</v>
      </c>
      <c r="C736" s="4">
        <v>3.8945736434108501E-2</v>
      </c>
    </row>
    <row r="737" spans="1:3" x14ac:dyDescent="0.2">
      <c r="A737" s="4" t="str">
        <f>"AC097374.1"</f>
        <v>AC097374.1</v>
      </c>
      <c r="B737" s="4">
        <v>1.9980019980019902E-3</v>
      </c>
      <c r="C737" s="4">
        <v>3.8945736434108501E-2</v>
      </c>
    </row>
    <row r="738" spans="1:3" x14ac:dyDescent="0.2">
      <c r="A738" s="4" t="str">
        <f>"RPL15P3"</f>
        <v>RPL15P3</v>
      </c>
      <c r="B738" s="4">
        <v>1.9980019980019902E-3</v>
      </c>
      <c r="C738" s="4">
        <v>3.8945736434108501E-2</v>
      </c>
    </row>
    <row r="739" spans="1:3" x14ac:dyDescent="0.2">
      <c r="A739" s="4" t="str">
        <f>"LINC01366"</f>
        <v>LINC01366</v>
      </c>
      <c r="B739" s="4">
        <v>1.9980019980019902E-3</v>
      </c>
      <c r="C739" s="4">
        <v>3.8945736434108501E-2</v>
      </c>
    </row>
    <row r="740" spans="1:3" x14ac:dyDescent="0.2">
      <c r="A740" s="4" t="str">
        <f>"IL10RB-DT"</f>
        <v>IL10RB-DT</v>
      </c>
      <c r="B740" s="4">
        <v>1.9980019980019902E-3</v>
      </c>
      <c r="C740" s="4">
        <v>3.8945736434108501E-2</v>
      </c>
    </row>
    <row r="741" spans="1:3" x14ac:dyDescent="0.2">
      <c r="A741" s="4" t="str">
        <f>"AL137803.1"</f>
        <v>AL137803.1</v>
      </c>
      <c r="B741" s="4">
        <v>1.9980019980019902E-3</v>
      </c>
      <c r="C741" s="4">
        <v>3.8945736434108501E-2</v>
      </c>
    </row>
    <row r="742" spans="1:3" x14ac:dyDescent="0.2">
      <c r="A742" s="4" t="str">
        <f>"AC009093.10"</f>
        <v>AC009093.10</v>
      </c>
      <c r="B742" s="4">
        <v>1.9980019980019902E-3</v>
      </c>
      <c r="C742" s="4">
        <v>3.8945736434108501E-2</v>
      </c>
    </row>
    <row r="743" spans="1:3" x14ac:dyDescent="0.2">
      <c r="A743" s="4" t="str">
        <f>"NR2F1"</f>
        <v>NR2F1</v>
      </c>
      <c r="B743" s="4">
        <v>1.9980019980019902E-3</v>
      </c>
      <c r="C743" s="4">
        <v>3.8945736434108501E-2</v>
      </c>
    </row>
    <row r="744" spans="1:3" x14ac:dyDescent="0.2">
      <c r="A744" s="4" t="str">
        <f>"AP002008.2"</f>
        <v>AP002008.2</v>
      </c>
      <c r="B744" s="4">
        <v>1.9980019980019902E-3</v>
      </c>
      <c r="C744" s="4">
        <v>3.8945736434108501E-2</v>
      </c>
    </row>
    <row r="745" spans="1:3" x14ac:dyDescent="0.2">
      <c r="A745" s="4" t="str">
        <f>"SLC2A14"</f>
        <v>SLC2A14</v>
      </c>
      <c r="B745" s="4">
        <v>1.9980019980019902E-3</v>
      </c>
      <c r="C745" s="4">
        <v>3.8945736434108501E-2</v>
      </c>
    </row>
    <row r="746" spans="1:3" x14ac:dyDescent="0.2">
      <c r="A746" s="4" t="str">
        <f>"AC104695.2"</f>
        <v>AC104695.2</v>
      </c>
      <c r="B746" s="4">
        <v>1.9980019980019902E-3</v>
      </c>
      <c r="C746" s="4">
        <v>3.8945736434108501E-2</v>
      </c>
    </row>
    <row r="747" spans="1:3" x14ac:dyDescent="0.2">
      <c r="A747" s="4" t="str">
        <f>"PTGER4P2-CDK2AP2P2"</f>
        <v>PTGER4P2-CDK2AP2P2</v>
      </c>
      <c r="B747" s="4">
        <v>1.9980019980019902E-3</v>
      </c>
      <c r="C747" s="4">
        <v>3.8945736434108501E-2</v>
      </c>
    </row>
    <row r="748" spans="1:3" x14ac:dyDescent="0.2">
      <c r="A748" s="4" t="str">
        <f>"AC136475.3"</f>
        <v>AC136475.3</v>
      </c>
      <c r="B748" s="4">
        <v>1.9980019980019902E-3</v>
      </c>
      <c r="C748" s="4">
        <v>3.8945736434108501E-2</v>
      </c>
    </row>
    <row r="749" spans="1:3" x14ac:dyDescent="0.2">
      <c r="A749" s="4" t="str">
        <f>"ADAMTSL4-AS1"</f>
        <v>ADAMTSL4-AS1</v>
      </c>
      <c r="B749" s="4">
        <v>1.9980019980019902E-3</v>
      </c>
      <c r="C749" s="4">
        <v>3.8945736434108501E-2</v>
      </c>
    </row>
    <row r="750" spans="1:3" x14ac:dyDescent="0.2">
      <c r="A750" s="4" t="str">
        <f>"AC092053.1"</f>
        <v>AC092053.1</v>
      </c>
      <c r="B750" s="4">
        <v>1.9980019980019902E-3</v>
      </c>
      <c r="C750" s="4">
        <v>3.8945736434108501E-2</v>
      </c>
    </row>
    <row r="751" spans="1:3" x14ac:dyDescent="0.2">
      <c r="A751" s="4" t="str">
        <f>"RFX3-AS1"</f>
        <v>RFX3-AS1</v>
      </c>
      <c r="B751" s="4">
        <v>1.9980019980019902E-3</v>
      </c>
      <c r="C751" s="4">
        <v>3.8945736434108501E-2</v>
      </c>
    </row>
    <row r="752" spans="1:3" x14ac:dyDescent="0.2">
      <c r="A752" s="4" t="str">
        <f>"NFE4"</f>
        <v>NFE4</v>
      </c>
      <c r="B752" s="4">
        <v>1.9980019980019902E-3</v>
      </c>
      <c r="C752" s="4">
        <v>3.8945736434108501E-2</v>
      </c>
    </row>
    <row r="753" spans="1:3" x14ac:dyDescent="0.2">
      <c r="A753" s="4" t="str">
        <f>"PIMREG"</f>
        <v>PIMREG</v>
      </c>
      <c r="B753" s="4">
        <v>1.9980019980019902E-3</v>
      </c>
      <c r="C753" s="4">
        <v>3.8945736434108501E-2</v>
      </c>
    </row>
    <row r="754" spans="1:3" x14ac:dyDescent="0.2">
      <c r="A754" s="4" t="str">
        <f>"KRT18P59"</f>
        <v>KRT18P59</v>
      </c>
      <c r="B754" s="4">
        <v>1.9980019980019902E-3</v>
      </c>
      <c r="C754" s="4">
        <v>3.8945736434108501E-2</v>
      </c>
    </row>
    <row r="755" spans="1:3" x14ac:dyDescent="0.2">
      <c r="A755" s="4" t="str">
        <f>"AC021092.1"</f>
        <v>AC021092.1</v>
      </c>
      <c r="B755" s="4">
        <v>1.9980019980019902E-3</v>
      </c>
      <c r="C755" s="4">
        <v>3.8945736434108501E-2</v>
      </c>
    </row>
    <row r="756" spans="1:3" x14ac:dyDescent="0.2">
      <c r="A756" s="4" t="str">
        <f>"CCDC150"</f>
        <v>CCDC150</v>
      </c>
      <c r="B756" s="4">
        <v>1.9980019980019902E-3</v>
      </c>
      <c r="C756" s="4">
        <v>3.8945736434108501E-2</v>
      </c>
    </row>
    <row r="757" spans="1:3" x14ac:dyDescent="0.2">
      <c r="A757" s="4" t="str">
        <f>"NRROS"</f>
        <v>NRROS</v>
      </c>
      <c r="B757" s="4">
        <v>2E-3</v>
      </c>
      <c r="C757" s="4">
        <v>3.8945736434108501E-2</v>
      </c>
    </row>
    <row r="758" spans="1:3" x14ac:dyDescent="0.2">
      <c r="A758" s="4" t="str">
        <f>"SOX9-AS1"</f>
        <v>SOX9-AS1</v>
      </c>
      <c r="B758" s="4">
        <v>2E-3</v>
      </c>
      <c r="C758" s="4">
        <v>3.8945736434108501E-2</v>
      </c>
    </row>
    <row r="759" spans="1:3" x14ac:dyDescent="0.2">
      <c r="A759" s="4" t="str">
        <f>"CD8B2"</f>
        <v>CD8B2</v>
      </c>
      <c r="B759" s="4">
        <v>1.9980019980019902E-3</v>
      </c>
      <c r="C759" s="4">
        <v>3.8945736434108501E-2</v>
      </c>
    </row>
    <row r="760" spans="1:3" x14ac:dyDescent="0.2">
      <c r="A760" s="4" t="str">
        <f>"AC016590.4"</f>
        <v>AC016590.4</v>
      </c>
      <c r="B760" s="4">
        <v>1.9980019980019902E-3</v>
      </c>
      <c r="C760" s="4">
        <v>3.8945736434108501E-2</v>
      </c>
    </row>
    <row r="761" spans="1:3" x14ac:dyDescent="0.2">
      <c r="A761" s="4" t="str">
        <f>"C12orf54"</f>
        <v>C12orf54</v>
      </c>
      <c r="B761" s="4">
        <v>1.9980019980019902E-3</v>
      </c>
      <c r="C761" s="4">
        <v>3.8945736434108501E-2</v>
      </c>
    </row>
    <row r="762" spans="1:3" x14ac:dyDescent="0.2">
      <c r="A762" s="4" t="str">
        <f>"VWDE"</f>
        <v>VWDE</v>
      </c>
      <c r="B762" s="4">
        <v>1.9980019980019902E-3</v>
      </c>
      <c r="C762" s="4">
        <v>3.8945736434108501E-2</v>
      </c>
    </row>
    <row r="763" spans="1:3" x14ac:dyDescent="0.2">
      <c r="A763" s="4" t="str">
        <f>"AC092691.1"</f>
        <v>AC092691.1</v>
      </c>
      <c r="B763" s="4">
        <v>1.9980019980019902E-3</v>
      </c>
      <c r="C763" s="4">
        <v>3.8945736434108501E-2</v>
      </c>
    </row>
    <row r="764" spans="1:3" x14ac:dyDescent="0.2">
      <c r="A764" s="4" t="str">
        <f>"LINC02560"</f>
        <v>LINC02560</v>
      </c>
      <c r="B764" s="4">
        <v>1.9980019980019902E-3</v>
      </c>
      <c r="C764" s="4">
        <v>3.8945736434108501E-2</v>
      </c>
    </row>
    <row r="765" spans="1:3" x14ac:dyDescent="0.2">
      <c r="A765" s="4" t="str">
        <f>"TMEM88"</f>
        <v>TMEM88</v>
      </c>
      <c r="B765" s="4">
        <v>1.9980019980019902E-3</v>
      </c>
      <c r="C765" s="4">
        <v>3.8945736434108501E-2</v>
      </c>
    </row>
    <row r="766" spans="1:3" x14ac:dyDescent="0.2">
      <c r="A766" s="4" t="str">
        <f>"OLFM2"</f>
        <v>OLFM2</v>
      </c>
      <c r="B766" s="4">
        <v>1.9980019980019902E-3</v>
      </c>
      <c r="C766" s="4">
        <v>3.8945736434108501E-2</v>
      </c>
    </row>
    <row r="767" spans="1:3" x14ac:dyDescent="0.2">
      <c r="A767" s="4" t="str">
        <f>"SCART1"</f>
        <v>SCART1</v>
      </c>
      <c r="B767" s="4">
        <v>1.9980019980019902E-3</v>
      </c>
      <c r="C767" s="4">
        <v>3.8945736434108501E-2</v>
      </c>
    </row>
    <row r="768" spans="1:3" x14ac:dyDescent="0.2">
      <c r="A768" s="4" t="str">
        <f>"CBX3P2"</f>
        <v>CBX3P2</v>
      </c>
      <c r="B768" s="4">
        <v>1.9980019980019902E-3</v>
      </c>
      <c r="C768" s="4">
        <v>3.8945736434108501E-2</v>
      </c>
    </row>
    <row r="769" spans="1:3" x14ac:dyDescent="0.2">
      <c r="A769" s="4" t="str">
        <f>"POM121B"</f>
        <v>POM121B</v>
      </c>
      <c r="B769" s="4">
        <v>1.9980019980019902E-3</v>
      </c>
      <c r="C769" s="4">
        <v>3.8945736434108501E-2</v>
      </c>
    </row>
    <row r="770" spans="1:3" x14ac:dyDescent="0.2">
      <c r="A770" s="4" t="str">
        <f>"AC123912.4"</f>
        <v>AC123912.4</v>
      </c>
      <c r="B770" s="4">
        <v>1.9980019980019902E-3</v>
      </c>
      <c r="C770" s="4">
        <v>3.8945736434108501E-2</v>
      </c>
    </row>
    <row r="771" spans="1:3" x14ac:dyDescent="0.2">
      <c r="A771" s="4" t="str">
        <f>"AC006557.6"</f>
        <v>AC006557.6</v>
      </c>
      <c r="B771" s="4">
        <v>1.9980019980019902E-3</v>
      </c>
      <c r="C771" s="4">
        <v>3.8945736434108501E-2</v>
      </c>
    </row>
    <row r="772" spans="1:3" x14ac:dyDescent="0.2">
      <c r="A772" s="4" t="str">
        <f>"DNAH17"</f>
        <v>DNAH17</v>
      </c>
      <c r="B772" s="4">
        <v>1.9980019980019902E-3</v>
      </c>
      <c r="C772" s="4">
        <v>3.8945736434108501E-2</v>
      </c>
    </row>
    <row r="773" spans="1:3" x14ac:dyDescent="0.2">
      <c r="A773" s="4" t="str">
        <f>"AC016831.6"</f>
        <v>AC016831.6</v>
      </c>
      <c r="B773" s="4">
        <v>1.9980019980019902E-3</v>
      </c>
      <c r="C773" s="4">
        <v>3.8945736434108501E-2</v>
      </c>
    </row>
    <row r="774" spans="1:3" x14ac:dyDescent="0.2">
      <c r="A774" s="4" t="str">
        <f>"NLRC4"</f>
        <v>NLRC4</v>
      </c>
      <c r="B774" s="4">
        <v>1.9980019980019902E-3</v>
      </c>
      <c r="C774" s="4">
        <v>3.8945736434108501E-2</v>
      </c>
    </row>
    <row r="775" spans="1:3" x14ac:dyDescent="0.2">
      <c r="A775" s="4" t="str">
        <f>"AP002807.1"</f>
        <v>AP002807.1</v>
      </c>
      <c r="B775" s="4">
        <v>1.9980019980019902E-3</v>
      </c>
      <c r="C775" s="4">
        <v>3.8945736434108501E-2</v>
      </c>
    </row>
    <row r="776" spans="1:3" x14ac:dyDescent="0.2">
      <c r="A776" s="4" t="str">
        <f>"RNF222"</f>
        <v>RNF222</v>
      </c>
      <c r="B776" s="4">
        <v>1.9980019980019902E-3</v>
      </c>
      <c r="C776" s="4">
        <v>3.8945736434108501E-2</v>
      </c>
    </row>
    <row r="777" spans="1:3" x14ac:dyDescent="0.2">
      <c r="A777" s="4" t="str">
        <f>"H2BC11"</f>
        <v>H2BC11</v>
      </c>
      <c r="B777" s="4">
        <v>1.9980019980019902E-3</v>
      </c>
      <c r="C777" s="4">
        <v>3.8945736434108501E-2</v>
      </c>
    </row>
    <row r="778" spans="1:3" x14ac:dyDescent="0.2">
      <c r="A778" s="4" t="str">
        <f>"AC099521.2"</f>
        <v>AC099521.2</v>
      </c>
      <c r="B778" s="4">
        <v>1.9980019980019902E-3</v>
      </c>
      <c r="C778" s="4">
        <v>3.8945736434108501E-2</v>
      </c>
    </row>
    <row r="779" spans="1:3" x14ac:dyDescent="0.2">
      <c r="A779" s="4" t="str">
        <f>"TLR7"</f>
        <v>TLR7</v>
      </c>
      <c r="B779" s="4">
        <v>1.9980019980019902E-3</v>
      </c>
      <c r="C779" s="4">
        <v>3.8945736434108501E-2</v>
      </c>
    </row>
    <row r="780" spans="1:3" x14ac:dyDescent="0.2">
      <c r="A780" s="4" t="str">
        <f>"MEX3A"</f>
        <v>MEX3A</v>
      </c>
      <c r="B780" s="4">
        <v>1.9980019980019902E-3</v>
      </c>
      <c r="C780" s="4">
        <v>3.8945736434108501E-2</v>
      </c>
    </row>
    <row r="781" spans="1:3" x14ac:dyDescent="0.2">
      <c r="A781" s="4" t="str">
        <f>"UBE2C"</f>
        <v>UBE2C</v>
      </c>
      <c r="B781" s="4">
        <v>1.9980019980019902E-3</v>
      </c>
      <c r="C781" s="4">
        <v>3.8945736434108501E-2</v>
      </c>
    </row>
    <row r="782" spans="1:3" x14ac:dyDescent="0.2">
      <c r="A782" s="4" t="str">
        <f>"HK3"</f>
        <v>HK3</v>
      </c>
      <c r="B782" s="4">
        <v>1.9980019980019902E-3</v>
      </c>
      <c r="C782" s="4">
        <v>3.8945736434108501E-2</v>
      </c>
    </row>
    <row r="783" spans="1:3" x14ac:dyDescent="0.2">
      <c r="A783" s="4" t="str">
        <f>"GRK5"</f>
        <v>GRK5</v>
      </c>
      <c r="B783" s="4">
        <v>1.9980019980019902E-3</v>
      </c>
      <c r="C783" s="4">
        <v>3.8945736434108501E-2</v>
      </c>
    </row>
    <row r="784" spans="1:3" x14ac:dyDescent="0.2">
      <c r="A784" s="4" t="str">
        <f>"NINJ2"</f>
        <v>NINJ2</v>
      </c>
      <c r="B784" s="4">
        <v>1.9980019980019902E-3</v>
      </c>
      <c r="C784" s="4">
        <v>3.8945736434108501E-2</v>
      </c>
    </row>
    <row r="785" spans="1:3" x14ac:dyDescent="0.2">
      <c r="A785" s="4" t="str">
        <f>"LINC02887"</f>
        <v>LINC02887</v>
      </c>
      <c r="B785" s="4">
        <v>1.9980019980019902E-3</v>
      </c>
      <c r="C785" s="4">
        <v>3.8945736434108501E-2</v>
      </c>
    </row>
    <row r="786" spans="1:3" x14ac:dyDescent="0.2">
      <c r="A786" s="4" t="str">
        <f>"MYBL2"</f>
        <v>MYBL2</v>
      </c>
      <c r="B786" s="4">
        <v>1.9980019980019902E-3</v>
      </c>
      <c r="C786" s="4">
        <v>3.8945736434108501E-2</v>
      </c>
    </row>
    <row r="787" spans="1:3" x14ac:dyDescent="0.2">
      <c r="A787" s="4" t="str">
        <f>"SIGLEC5"</f>
        <v>SIGLEC5</v>
      </c>
      <c r="B787" s="4">
        <v>1.9980019980019902E-3</v>
      </c>
      <c r="C787" s="4">
        <v>3.8945736434108501E-2</v>
      </c>
    </row>
    <row r="788" spans="1:3" x14ac:dyDescent="0.2">
      <c r="A788" s="4" t="str">
        <f>"LILRA1"</f>
        <v>LILRA1</v>
      </c>
      <c r="B788" s="4">
        <v>2E-3</v>
      </c>
      <c r="C788" s="4">
        <v>3.8945736434108501E-2</v>
      </c>
    </row>
    <row r="789" spans="1:3" x14ac:dyDescent="0.2">
      <c r="A789" s="4" t="str">
        <f>"RGS18"</f>
        <v>RGS18</v>
      </c>
      <c r="B789" s="4">
        <v>1.9980019980019902E-3</v>
      </c>
      <c r="C789" s="4">
        <v>3.8945736434108501E-2</v>
      </c>
    </row>
    <row r="790" spans="1:3" x14ac:dyDescent="0.2">
      <c r="A790" s="4" t="str">
        <f>"CD48"</f>
        <v>CD48</v>
      </c>
      <c r="B790" s="4">
        <v>1.9980019980019902E-3</v>
      </c>
      <c r="C790" s="4">
        <v>3.8945736434108501E-2</v>
      </c>
    </row>
    <row r="791" spans="1:3" x14ac:dyDescent="0.2">
      <c r="A791" s="4" t="str">
        <f>"AL132780.3"</f>
        <v>AL132780.3</v>
      </c>
      <c r="B791" s="4">
        <v>1.9980019980019902E-3</v>
      </c>
      <c r="C791" s="4">
        <v>3.8945736434108501E-2</v>
      </c>
    </row>
    <row r="792" spans="1:3" x14ac:dyDescent="0.2">
      <c r="A792" s="4" t="str">
        <f>"ELMO1"</f>
        <v>ELMO1</v>
      </c>
      <c r="B792" s="4">
        <v>1.9980019980019902E-3</v>
      </c>
      <c r="C792" s="4">
        <v>3.8945736434108501E-2</v>
      </c>
    </row>
    <row r="793" spans="1:3" x14ac:dyDescent="0.2">
      <c r="A793" s="4" t="str">
        <f>"JPH1"</f>
        <v>JPH1</v>
      </c>
      <c r="B793" s="4">
        <v>1.9980019980019902E-3</v>
      </c>
      <c r="C793" s="4">
        <v>3.8945736434108501E-2</v>
      </c>
    </row>
    <row r="794" spans="1:3" x14ac:dyDescent="0.2">
      <c r="A794" s="4" t="str">
        <f>"CAV1"</f>
        <v>CAV1</v>
      </c>
      <c r="B794" s="4">
        <v>1.9980019980019902E-3</v>
      </c>
      <c r="C794" s="4">
        <v>3.8945736434108501E-2</v>
      </c>
    </row>
    <row r="795" spans="1:3" x14ac:dyDescent="0.2">
      <c r="A795" s="4" t="str">
        <f>"RHOH"</f>
        <v>RHOH</v>
      </c>
      <c r="B795" s="4">
        <v>1.9980019980019902E-3</v>
      </c>
      <c r="C795" s="4">
        <v>3.8945736434108501E-2</v>
      </c>
    </row>
    <row r="796" spans="1:3" x14ac:dyDescent="0.2">
      <c r="A796" s="4" t="str">
        <f>"EREG"</f>
        <v>EREG</v>
      </c>
      <c r="B796" s="4">
        <v>1.9980019980019902E-3</v>
      </c>
      <c r="C796" s="4">
        <v>3.8945736434108501E-2</v>
      </c>
    </row>
    <row r="797" spans="1:3" x14ac:dyDescent="0.2">
      <c r="A797" s="4" t="str">
        <f>"POU2F2"</f>
        <v>POU2F2</v>
      </c>
      <c r="B797" s="4">
        <v>1.9980019980019902E-3</v>
      </c>
      <c r="C797" s="4">
        <v>3.8945736434108501E-2</v>
      </c>
    </row>
    <row r="798" spans="1:3" x14ac:dyDescent="0.2">
      <c r="A798" s="4" t="str">
        <f>"DTX2P1"</f>
        <v>DTX2P1</v>
      </c>
      <c r="B798" s="4">
        <v>1.9980019980019902E-3</v>
      </c>
      <c r="C798" s="4">
        <v>3.8945736434108501E-2</v>
      </c>
    </row>
    <row r="799" spans="1:3" x14ac:dyDescent="0.2">
      <c r="A799" s="4" t="str">
        <f>"SMARCD3"</f>
        <v>SMARCD3</v>
      </c>
      <c r="B799" s="4">
        <v>1.9980019980019902E-3</v>
      </c>
      <c r="C799" s="4">
        <v>3.8945736434108501E-2</v>
      </c>
    </row>
    <row r="800" spans="1:3" x14ac:dyDescent="0.2">
      <c r="A800" s="4" t="str">
        <f>"CSF1"</f>
        <v>CSF1</v>
      </c>
      <c r="B800" s="4">
        <v>1.9980019980019902E-3</v>
      </c>
      <c r="C800" s="4">
        <v>3.8945736434108501E-2</v>
      </c>
    </row>
    <row r="801" spans="1:3" x14ac:dyDescent="0.2">
      <c r="A801" s="4" t="str">
        <f>"NHSL2"</f>
        <v>NHSL2</v>
      </c>
      <c r="B801" s="4">
        <v>1.9980019980019902E-3</v>
      </c>
      <c r="C801" s="4">
        <v>3.8945736434108501E-2</v>
      </c>
    </row>
    <row r="802" spans="1:3" x14ac:dyDescent="0.2">
      <c r="A802" s="4" t="str">
        <f>"NLRP3"</f>
        <v>NLRP3</v>
      </c>
      <c r="B802" s="4">
        <v>1.9980019980019902E-3</v>
      </c>
      <c r="C802" s="4">
        <v>3.8945736434108501E-2</v>
      </c>
    </row>
    <row r="803" spans="1:3" x14ac:dyDescent="0.2">
      <c r="A803" s="4" t="str">
        <f>"SH2B2"</f>
        <v>SH2B2</v>
      </c>
      <c r="B803" s="4">
        <v>1.9980019980019902E-3</v>
      </c>
      <c r="C803" s="4">
        <v>3.8945736434108501E-2</v>
      </c>
    </row>
    <row r="804" spans="1:3" x14ac:dyDescent="0.2">
      <c r="A804" s="4" t="str">
        <f>"EPHB1"</f>
        <v>EPHB1</v>
      </c>
      <c r="B804" s="4">
        <v>1.9980019980019902E-3</v>
      </c>
      <c r="C804" s="4">
        <v>3.8945736434108501E-2</v>
      </c>
    </row>
    <row r="805" spans="1:3" x14ac:dyDescent="0.2">
      <c r="A805" s="4" t="str">
        <f>"ARID3A"</f>
        <v>ARID3A</v>
      </c>
      <c r="B805" s="4">
        <v>1.9980019980019902E-3</v>
      </c>
      <c r="C805" s="4">
        <v>3.8945736434108501E-2</v>
      </c>
    </row>
    <row r="806" spans="1:3" x14ac:dyDescent="0.2">
      <c r="A806" s="4" t="str">
        <f>"EVI2A"</f>
        <v>EVI2A</v>
      </c>
      <c r="B806" s="4">
        <v>1.9980019980019902E-3</v>
      </c>
      <c r="C806" s="4">
        <v>3.8945736434108501E-2</v>
      </c>
    </row>
    <row r="807" spans="1:3" x14ac:dyDescent="0.2">
      <c r="A807" s="4" t="str">
        <f>"PARVG"</f>
        <v>PARVG</v>
      </c>
      <c r="B807" s="4">
        <v>1.9980019980019902E-3</v>
      </c>
      <c r="C807" s="4">
        <v>3.8945736434108501E-2</v>
      </c>
    </row>
    <row r="808" spans="1:3" x14ac:dyDescent="0.2">
      <c r="A808" s="4" t="str">
        <f>"LILRA6"</f>
        <v>LILRA6</v>
      </c>
      <c r="B808" s="4">
        <v>1.9980019980019902E-3</v>
      </c>
      <c r="C808" s="4">
        <v>3.8945736434108501E-2</v>
      </c>
    </row>
    <row r="809" spans="1:3" x14ac:dyDescent="0.2">
      <c r="A809" s="4" t="str">
        <f>"MTHFS"</f>
        <v>MTHFS</v>
      </c>
      <c r="B809" s="4">
        <v>1.9980019980019902E-3</v>
      </c>
      <c r="C809" s="4">
        <v>3.8945736434108501E-2</v>
      </c>
    </row>
    <row r="810" spans="1:3" x14ac:dyDescent="0.2">
      <c r="A810" s="4" t="str">
        <f>"AL627309.6"</f>
        <v>AL627309.6</v>
      </c>
      <c r="B810" s="4">
        <v>1.9980019980019902E-3</v>
      </c>
      <c r="C810" s="4">
        <v>3.8945736434108501E-2</v>
      </c>
    </row>
    <row r="811" spans="1:3" x14ac:dyDescent="0.2">
      <c r="A811" s="4" t="str">
        <f>"RHCG"</f>
        <v>RHCG</v>
      </c>
      <c r="B811" s="4">
        <v>1.9980019980019902E-3</v>
      </c>
      <c r="C811" s="4">
        <v>3.8945736434108501E-2</v>
      </c>
    </row>
    <row r="812" spans="1:3" x14ac:dyDescent="0.2">
      <c r="A812" s="4" t="str">
        <f>"FCN1"</f>
        <v>FCN1</v>
      </c>
      <c r="B812" s="4">
        <v>1.9980019980019902E-3</v>
      </c>
      <c r="C812" s="4">
        <v>3.8945736434108501E-2</v>
      </c>
    </row>
    <row r="813" spans="1:3" x14ac:dyDescent="0.2">
      <c r="A813" s="4" t="str">
        <f>"TBXAS1"</f>
        <v>TBXAS1</v>
      </c>
      <c r="B813" s="4">
        <v>1.9980019980019902E-3</v>
      </c>
      <c r="C813" s="4">
        <v>3.8945736434108501E-2</v>
      </c>
    </row>
    <row r="814" spans="1:3" x14ac:dyDescent="0.2">
      <c r="A814" s="4" t="str">
        <f>"LILRA2"</f>
        <v>LILRA2</v>
      </c>
      <c r="B814" s="4">
        <v>1.9980019980019902E-3</v>
      </c>
      <c r="C814" s="4">
        <v>3.8945736434108501E-2</v>
      </c>
    </row>
    <row r="815" spans="1:3" x14ac:dyDescent="0.2">
      <c r="A815" s="4" t="str">
        <f>"ITGAM"</f>
        <v>ITGAM</v>
      </c>
      <c r="B815" s="4">
        <v>1.9980019980019902E-3</v>
      </c>
      <c r="C815" s="4">
        <v>3.8945736434108501E-2</v>
      </c>
    </row>
    <row r="816" spans="1:3" x14ac:dyDescent="0.2">
      <c r="A816" s="4" t="str">
        <f>"PLK3"</f>
        <v>PLK3</v>
      </c>
      <c r="B816" s="4">
        <v>1.9980019980019902E-3</v>
      </c>
      <c r="C816" s="4">
        <v>3.8945736434108501E-2</v>
      </c>
    </row>
    <row r="817" spans="1:3" x14ac:dyDescent="0.2">
      <c r="A817" s="4" t="str">
        <f>"ANLN"</f>
        <v>ANLN</v>
      </c>
      <c r="B817" s="4">
        <v>1.9980019980019902E-3</v>
      </c>
      <c r="C817" s="4">
        <v>3.8945736434108501E-2</v>
      </c>
    </row>
    <row r="818" spans="1:3" x14ac:dyDescent="0.2">
      <c r="A818" s="4" t="str">
        <f>"SIGLEC10"</f>
        <v>SIGLEC10</v>
      </c>
      <c r="B818" s="4">
        <v>1.9980019980019902E-3</v>
      </c>
      <c r="C818" s="4">
        <v>3.8945736434108501E-2</v>
      </c>
    </row>
    <row r="819" spans="1:3" x14ac:dyDescent="0.2">
      <c r="A819" s="4" t="str">
        <f>"CDC42EP2"</f>
        <v>CDC42EP2</v>
      </c>
      <c r="B819" s="4">
        <v>1.9980019980019902E-3</v>
      </c>
      <c r="C819" s="4">
        <v>3.8945736434108501E-2</v>
      </c>
    </row>
    <row r="820" spans="1:3" x14ac:dyDescent="0.2">
      <c r="A820" s="4" t="str">
        <f>"TSPAN11"</f>
        <v>TSPAN11</v>
      </c>
      <c r="B820" s="4">
        <v>1.9980019980019902E-3</v>
      </c>
      <c r="C820" s="4">
        <v>3.8945736434108501E-2</v>
      </c>
    </row>
    <row r="821" spans="1:3" x14ac:dyDescent="0.2">
      <c r="A821" s="4" t="str">
        <f>"KIF21B"</f>
        <v>KIF21B</v>
      </c>
      <c r="B821" s="4">
        <v>2E-3</v>
      </c>
      <c r="C821" s="4">
        <v>3.8945736434108501E-2</v>
      </c>
    </row>
    <row r="822" spans="1:3" x14ac:dyDescent="0.2">
      <c r="A822" s="4" t="str">
        <f>"AIF1"</f>
        <v>AIF1</v>
      </c>
      <c r="B822" s="4">
        <v>1.9980019980019902E-3</v>
      </c>
      <c r="C822" s="4">
        <v>3.8945736434108501E-2</v>
      </c>
    </row>
    <row r="823" spans="1:3" x14ac:dyDescent="0.2">
      <c r="A823" s="4" t="str">
        <f>"RUBCNL"</f>
        <v>RUBCNL</v>
      </c>
      <c r="B823" s="4">
        <v>1.9980019980019902E-3</v>
      </c>
      <c r="C823" s="4">
        <v>3.8945736434108501E-2</v>
      </c>
    </row>
    <row r="824" spans="1:3" x14ac:dyDescent="0.2">
      <c r="A824" s="4" t="str">
        <f>"SERPINB9"</f>
        <v>SERPINB9</v>
      </c>
      <c r="B824" s="4">
        <v>1.9980019980019902E-3</v>
      </c>
      <c r="C824" s="4">
        <v>3.8945736434108501E-2</v>
      </c>
    </row>
    <row r="825" spans="1:3" x14ac:dyDescent="0.2">
      <c r="A825" s="4" t="str">
        <f>"C16orf89"</f>
        <v>C16orf89</v>
      </c>
      <c r="B825" s="4">
        <v>1.9980019980019902E-3</v>
      </c>
      <c r="C825" s="4">
        <v>3.8945736434108501E-2</v>
      </c>
    </row>
    <row r="826" spans="1:3" x14ac:dyDescent="0.2">
      <c r="A826" s="4" t="str">
        <f>"JAK3"</f>
        <v>JAK3</v>
      </c>
      <c r="B826" s="4">
        <v>1.9980019980019902E-3</v>
      </c>
      <c r="C826" s="4">
        <v>3.8945736434108501E-2</v>
      </c>
    </row>
    <row r="827" spans="1:3" x14ac:dyDescent="0.2">
      <c r="A827" s="4" t="str">
        <f>"GCSH"</f>
        <v>GCSH</v>
      </c>
      <c r="B827" s="4">
        <v>1.9980019980019902E-3</v>
      </c>
      <c r="C827" s="4">
        <v>3.8945736434108501E-2</v>
      </c>
    </row>
    <row r="828" spans="1:3" x14ac:dyDescent="0.2">
      <c r="A828" s="4" t="str">
        <f>"SULF1"</f>
        <v>SULF1</v>
      </c>
      <c r="B828" s="4">
        <v>1.9980019980019902E-3</v>
      </c>
      <c r="C828" s="4">
        <v>3.8945736434108501E-2</v>
      </c>
    </row>
    <row r="829" spans="1:3" x14ac:dyDescent="0.2">
      <c r="A829" s="4" t="str">
        <f>"CD93"</f>
        <v>CD93</v>
      </c>
      <c r="B829" s="4">
        <v>1.9980019980019902E-3</v>
      </c>
      <c r="C829" s="4">
        <v>3.8945736434108501E-2</v>
      </c>
    </row>
    <row r="830" spans="1:3" x14ac:dyDescent="0.2">
      <c r="A830" s="4" t="str">
        <f>"GATM"</f>
        <v>GATM</v>
      </c>
      <c r="B830" s="4">
        <v>1.9980019980019902E-3</v>
      </c>
      <c r="C830" s="4">
        <v>3.8945736434108501E-2</v>
      </c>
    </row>
    <row r="831" spans="1:3" x14ac:dyDescent="0.2">
      <c r="A831" s="4" t="str">
        <f>"IGSF6"</f>
        <v>IGSF6</v>
      </c>
      <c r="B831" s="4">
        <v>1.9980019980019902E-3</v>
      </c>
      <c r="C831" s="4">
        <v>3.8945736434108501E-2</v>
      </c>
    </row>
    <row r="832" spans="1:3" x14ac:dyDescent="0.2">
      <c r="A832" s="4" t="str">
        <f>"SNCA"</f>
        <v>SNCA</v>
      </c>
      <c r="B832" s="4">
        <v>1.9980019980019902E-3</v>
      </c>
      <c r="C832" s="4">
        <v>3.8945736434108501E-2</v>
      </c>
    </row>
    <row r="833" spans="1:3" x14ac:dyDescent="0.2">
      <c r="A833" s="4" t="str">
        <f>"KRT16"</f>
        <v>KRT16</v>
      </c>
      <c r="B833" s="4">
        <v>1.9980019980019902E-3</v>
      </c>
      <c r="C833" s="4">
        <v>3.8945736434108501E-2</v>
      </c>
    </row>
    <row r="834" spans="1:3" x14ac:dyDescent="0.2">
      <c r="A834" s="4" t="str">
        <f>"PLPPR2"</f>
        <v>PLPPR2</v>
      </c>
      <c r="B834" s="4">
        <v>1.9980019980019902E-3</v>
      </c>
      <c r="C834" s="4">
        <v>3.8945736434108501E-2</v>
      </c>
    </row>
    <row r="835" spans="1:3" x14ac:dyDescent="0.2">
      <c r="A835" s="4" t="str">
        <f>"PGGHG"</f>
        <v>PGGHG</v>
      </c>
      <c r="B835" s="4">
        <v>1.9980019980019902E-3</v>
      </c>
      <c r="C835" s="4">
        <v>3.8945736434108501E-2</v>
      </c>
    </row>
    <row r="836" spans="1:3" x14ac:dyDescent="0.2">
      <c r="A836" s="4" t="str">
        <f>"SIRPB1"</f>
        <v>SIRPB1</v>
      </c>
      <c r="B836" s="4">
        <v>1.9980019980019902E-3</v>
      </c>
      <c r="C836" s="4">
        <v>3.8945736434108501E-2</v>
      </c>
    </row>
    <row r="837" spans="1:3" x14ac:dyDescent="0.2">
      <c r="A837" s="4" t="str">
        <f>"NCF4"</f>
        <v>NCF4</v>
      </c>
      <c r="B837" s="4">
        <v>1.9980019980019902E-3</v>
      </c>
      <c r="C837" s="4">
        <v>3.8945736434108501E-2</v>
      </c>
    </row>
    <row r="838" spans="1:3" x14ac:dyDescent="0.2">
      <c r="A838" s="4" t="str">
        <f>"DSG3"</f>
        <v>DSG3</v>
      </c>
      <c r="B838" s="4">
        <v>1.9980019980019902E-3</v>
      </c>
      <c r="C838" s="4">
        <v>3.8945736434108501E-2</v>
      </c>
    </row>
    <row r="839" spans="1:3" x14ac:dyDescent="0.2">
      <c r="A839" s="4" t="str">
        <f>"PKIB"</f>
        <v>PKIB</v>
      </c>
      <c r="B839" s="4">
        <v>1.9980019980019902E-3</v>
      </c>
      <c r="C839" s="4">
        <v>3.8945736434108501E-2</v>
      </c>
    </row>
    <row r="840" spans="1:3" x14ac:dyDescent="0.2">
      <c r="A840" s="4" t="str">
        <f>"THEMIS2"</f>
        <v>THEMIS2</v>
      </c>
      <c r="B840" s="4">
        <v>1.9980019980019902E-3</v>
      </c>
      <c r="C840" s="4">
        <v>3.8945736434108501E-2</v>
      </c>
    </row>
    <row r="841" spans="1:3" x14ac:dyDescent="0.2">
      <c r="A841" s="4" t="str">
        <f>"ARHGAP9"</f>
        <v>ARHGAP9</v>
      </c>
      <c r="B841" s="4">
        <v>1.9980019980019902E-3</v>
      </c>
      <c r="C841" s="4">
        <v>3.8945736434108501E-2</v>
      </c>
    </row>
    <row r="842" spans="1:3" x14ac:dyDescent="0.2">
      <c r="A842" s="4" t="str">
        <f>"CNFN"</f>
        <v>CNFN</v>
      </c>
      <c r="B842" s="4">
        <v>1.9980019980019902E-3</v>
      </c>
      <c r="C842" s="4">
        <v>3.8945736434108501E-2</v>
      </c>
    </row>
    <row r="843" spans="1:3" x14ac:dyDescent="0.2">
      <c r="A843" s="4" t="str">
        <f>"NCF1"</f>
        <v>NCF1</v>
      </c>
      <c r="B843" s="4">
        <v>1.9980019980019902E-3</v>
      </c>
      <c r="C843" s="4">
        <v>3.8945736434108501E-2</v>
      </c>
    </row>
    <row r="844" spans="1:3" x14ac:dyDescent="0.2">
      <c r="A844" s="4" t="str">
        <f>"SAMSN1"</f>
        <v>SAMSN1</v>
      </c>
      <c r="B844" s="4">
        <v>1.9980019980019902E-3</v>
      </c>
      <c r="C844" s="4">
        <v>3.8945736434108501E-2</v>
      </c>
    </row>
    <row r="845" spans="1:3" x14ac:dyDescent="0.2">
      <c r="A845" s="4" t="str">
        <f>"CD53"</f>
        <v>CD53</v>
      </c>
      <c r="B845" s="4">
        <v>1.9980019980019902E-3</v>
      </c>
      <c r="C845" s="4">
        <v>3.8945736434108501E-2</v>
      </c>
    </row>
    <row r="846" spans="1:3" x14ac:dyDescent="0.2">
      <c r="A846" s="4" t="str">
        <f>"FFAR2"</f>
        <v>FFAR2</v>
      </c>
      <c r="B846" s="4">
        <v>1.9980019980019902E-3</v>
      </c>
      <c r="C846" s="4">
        <v>3.8945736434108501E-2</v>
      </c>
    </row>
    <row r="847" spans="1:3" x14ac:dyDescent="0.2">
      <c r="A847" s="4" t="str">
        <f>"RIN3"</f>
        <v>RIN3</v>
      </c>
      <c r="B847" s="4">
        <v>1.9980019980019902E-3</v>
      </c>
      <c r="C847" s="4">
        <v>3.8945736434108501E-2</v>
      </c>
    </row>
    <row r="848" spans="1:3" x14ac:dyDescent="0.2">
      <c r="A848" s="4" t="str">
        <f>"ADGRE2"</f>
        <v>ADGRE2</v>
      </c>
      <c r="B848" s="4">
        <v>1.9980019980019902E-3</v>
      </c>
      <c r="C848" s="4">
        <v>3.8945736434108501E-2</v>
      </c>
    </row>
    <row r="849" spans="1:3" x14ac:dyDescent="0.2">
      <c r="A849" s="4" t="str">
        <f>"HHLA1"</f>
        <v>HHLA1</v>
      </c>
      <c r="B849" s="4">
        <v>1.9980019980019902E-3</v>
      </c>
      <c r="C849" s="4">
        <v>3.8945736434108501E-2</v>
      </c>
    </row>
    <row r="850" spans="1:3" x14ac:dyDescent="0.2">
      <c r="A850" s="4" t="str">
        <f>"TLR4"</f>
        <v>TLR4</v>
      </c>
      <c r="B850" s="4">
        <v>1.9980019980019902E-3</v>
      </c>
      <c r="C850" s="4">
        <v>3.8945736434108501E-2</v>
      </c>
    </row>
    <row r="851" spans="1:3" x14ac:dyDescent="0.2">
      <c r="A851" s="4" t="str">
        <f>"AKIRIN2"</f>
        <v>AKIRIN2</v>
      </c>
      <c r="B851" s="4">
        <v>1.9980019980019902E-3</v>
      </c>
      <c r="C851" s="4">
        <v>3.8945736434108501E-2</v>
      </c>
    </row>
    <row r="852" spans="1:3" x14ac:dyDescent="0.2">
      <c r="A852" s="4" t="str">
        <f>"DGUOK"</f>
        <v>DGUOK</v>
      </c>
      <c r="B852" s="4">
        <v>1.9980019980019902E-3</v>
      </c>
      <c r="C852" s="4">
        <v>3.8945736434108501E-2</v>
      </c>
    </row>
    <row r="853" spans="1:3" x14ac:dyDescent="0.2">
      <c r="A853" s="4" t="str">
        <f>"HCK"</f>
        <v>HCK</v>
      </c>
      <c r="B853" s="4">
        <v>1.9980019980019902E-3</v>
      </c>
      <c r="C853" s="4">
        <v>3.8945736434108501E-2</v>
      </c>
    </row>
    <row r="854" spans="1:3" x14ac:dyDescent="0.2">
      <c r="A854" s="4" t="str">
        <f>"FSCN1"</f>
        <v>FSCN1</v>
      </c>
      <c r="B854" s="4">
        <v>1.9980019980019902E-3</v>
      </c>
      <c r="C854" s="4">
        <v>3.8945736434108501E-2</v>
      </c>
    </row>
    <row r="855" spans="1:3" x14ac:dyDescent="0.2">
      <c r="A855" s="4" t="str">
        <f>"FCGR3A"</f>
        <v>FCGR3A</v>
      </c>
      <c r="B855" s="4">
        <v>1.9980019980019902E-3</v>
      </c>
      <c r="C855" s="4">
        <v>3.8945736434108501E-2</v>
      </c>
    </row>
    <row r="856" spans="1:3" x14ac:dyDescent="0.2">
      <c r="A856" s="4" t="str">
        <f>"CYTH4"</f>
        <v>CYTH4</v>
      </c>
      <c r="B856" s="4">
        <v>1.9980019980019902E-3</v>
      </c>
      <c r="C856" s="4">
        <v>3.8945736434108501E-2</v>
      </c>
    </row>
    <row r="857" spans="1:3" x14ac:dyDescent="0.2">
      <c r="A857" s="4" t="str">
        <f>"NSMAF"</f>
        <v>NSMAF</v>
      </c>
      <c r="B857" s="4">
        <v>1.9980019980019902E-3</v>
      </c>
      <c r="C857" s="4">
        <v>3.8945736434108501E-2</v>
      </c>
    </row>
    <row r="858" spans="1:3" x14ac:dyDescent="0.2">
      <c r="A858" s="4" t="str">
        <f>"PECAM1"</f>
        <v>PECAM1</v>
      </c>
      <c r="B858" s="4">
        <v>1.9980019980019902E-3</v>
      </c>
      <c r="C858" s="4">
        <v>3.8945736434108501E-2</v>
      </c>
    </row>
    <row r="859" spans="1:3" x14ac:dyDescent="0.2">
      <c r="A859" s="4" t="str">
        <f>"PLCB2"</f>
        <v>PLCB2</v>
      </c>
      <c r="B859" s="4">
        <v>1.9980019980019902E-3</v>
      </c>
      <c r="C859" s="4">
        <v>3.8945736434108501E-2</v>
      </c>
    </row>
    <row r="860" spans="1:3" x14ac:dyDescent="0.2">
      <c r="A860" s="4" t="str">
        <f>"CXCR1"</f>
        <v>CXCR1</v>
      </c>
      <c r="B860" s="4">
        <v>1.9980019980019902E-3</v>
      </c>
      <c r="C860" s="4">
        <v>3.8945736434108501E-2</v>
      </c>
    </row>
    <row r="861" spans="1:3" x14ac:dyDescent="0.2">
      <c r="A861" s="4" t="str">
        <f>"ICAM3"</f>
        <v>ICAM3</v>
      </c>
      <c r="B861" s="4">
        <v>1.9980019980019902E-3</v>
      </c>
      <c r="C861" s="4">
        <v>3.8945736434108501E-2</v>
      </c>
    </row>
    <row r="862" spans="1:3" x14ac:dyDescent="0.2">
      <c r="A862" s="4" t="str">
        <f>"LUC7L2"</f>
        <v>LUC7L2</v>
      </c>
      <c r="B862" s="4">
        <v>1.9980019980019902E-3</v>
      </c>
      <c r="C862" s="4">
        <v>3.8945736434108501E-2</v>
      </c>
    </row>
    <row r="863" spans="1:3" x14ac:dyDescent="0.2">
      <c r="A863" s="4" t="str">
        <f>"PRKAR2B"</f>
        <v>PRKAR2B</v>
      </c>
      <c r="B863" s="4">
        <v>1.9980019980019902E-3</v>
      </c>
      <c r="C863" s="4">
        <v>3.8945736434108501E-2</v>
      </c>
    </row>
    <row r="864" spans="1:3" x14ac:dyDescent="0.2">
      <c r="A864" s="4" t="str">
        <f>"CYRIB"</f>
        <v>CYRIB</v>
      </c>
      <c r="B864" s="4">
        <v>1.9980019980019902E-3</v>
      </c>
      <c r="C864" s="4">
        <v>3.8945736434108501E-2</v>
      </c>
    </row>
    <row r="865" spans="1:3" x14ac:dyDescent="0.2">
      <c r="A865" s="4" t="str">
        <f>"ATXN1"</f>
        <v>ATXN1</v>
      </c>
      <c r="B865" s="4">
        <v>1.9980019980019902E-3</v>
      </c>
      <c r="C865" s="4">
        <v>3.8945736434108501E-2</v>
      </c>
    </row>
    <row r="866" spans="1:3" x14ac:dyDescent="0.2">
      <c r="A866" s="4" t="str">
        <f>"AMPD2"</f>
        <v>AMPD2</v>
      </c>
      <c r="B866" s="4">
        <v>1.9980019980019902E-3</v>
      </c>
      <c r="C866" s="4">
        <v>3.8945736434108501E-2</v>
      </c>
    </row>
    <row r="867" spans="1:3" x14ac:dyDescent="0.2">
      <c r="A867" s="4" t="str">
        <f>"SLC11A1"</f>
        <v>SLC11A1</v>
      </c>
      <c r="B867" s="4">
        <v>1.9980019980019902E-3</v>
      </c>
      <c r="C867" s="4">
        <v>3.8945736434108501E-2</v>
      </c>
    </row>
    <row r="868" spans="1:3" x14ac:dyDescent="0.2">
      <c r="A868" s="4" t="str">
        <f>"PEX26"</f>
        <v>PEX26</v>
      </c>
      <c r="B868" s="4">
        <v>1.9980019980019902E-3</v>
      </c>
      <c r="C868" s="4">
        <v>3.8945736434108501E-2</v>
      </c>
    </row>
    <row r="869" spans="1:3" x14ac:dyDescent="0.2">
      <c r="A869" s="4" t="str">
        <f>"PPP1R10"</f>
        <v>PPP1R10</v>
      </c>
      <c r="B869" s="4">
        <v>1.9980019980019902E-3</v>
      </c>
      <c r="C869" s="4">
        <v>3.8945736434108501E-2</v>
      </c>
    </row>
    <row r="870" spans="1:3" x14ac:dyDescent="0.2">
      <c r="A870" s="4" t="str">
        <f>"AL161431.1"</f>
        <v>AL161431.1</v>
      </c>
      <c r="B870" s="4">
        <v>1.9980019980019902E-3</v>
      </c>
      <c r="C870" s="4">
        <v>3.8945736434108501E-2</v>
      </c>
    </row>
    <row r="871" spans="1:3" x14ac:dyDescent="0.2">
      <c r="A871" s="4" t="str">
        <f>"TLE3"</f>
        <v>TLE3</v>
      </c>
      <c r="B871" s="4">
        <v>1.9980019980019902E-3</v>
      </c>
      <c r="C871" s="4">
        <v>3.8945736434108501E-2</v>
      </c>
    </row>
    <row r="872" spans="1:3" x14ac:dyDescent="0.2">
      <c r="A872" s="4" t="str">
        <f>"RASSF5"</f>
        <v>RASSF5</v>
      </c>
      <c r="B872" s="4">
        <v>2E-3</v>
      </c>
      <c r="C872" s="4">
        <v>3.8945736434108501E-2</v>
      </c>
    </row>
    <row r="873" spans="1:3" x14ac:dyDescent="0.2">
      <c r="A873" s="4" t="str">
        <f>"SPRR1B"</f>
        <v>SPRR1B</v>
      </c>
      <c r="B873" s="4">
        <v>1.9980019980019902E-3</v>
      </c>
      <c r="C873" s="4">
        <v>3.8945736434108501E-2</v>
      </c>
    </row>
    <row r="874" spans="1:3" x14ac:dyDescent="0.2">
      <c r="A874" s="4" t="str">
        <f>"MAPK1IP1L"</f>
        <v>MAPK1IP1L</v>
      </c>
      <c r="B874" s="4">
        <v>1.9980019980019902E-3</v>
      </c>
      <c r="C874" s="4">
        <v>3.8945736434108501E-2</v>
      </c>
    </row>
    <row r="875" spans="1:3" x14ac:dyDescent="0.2">
      <c r="A875" s="4" t="str">
        <f>"ITGB2"</f>
        <v>ITGB2</v>
      </c>
      <c r="B875" s="4">
        <v>1.9980019980019902E-3</v>
      </c>
      <c r="C875" s="4">
        <v>3.8945736434108501E-2</v>
      </c>
    </row>
    <row r="876" spans="1:3" x14ac:dyDescent="0.2">
      <c r="A876" s="4" t="str">
        <f>"PLEK"</f>
        <v>PLEK</v>
      </c>
      <c r="B876" s="4">
        <v>1.9980019980019902E-3</v>
      </c>
      <c r="C876" s="4">
        <v>3.8945736434108501E-2</v>
      </c>
    </row>
    <row r="877" spans="1:3" x14ac:dyDescent="0.2">
      <c r="A877" s="4" t="str">
        <f>"KIAA2013"</f>
        <v>KIAA2013</v>
      </c>
      <c r="B877" s="4">
        <v>1.9980019980019902E-3</v>
      </c>
      <c r="C877" s="4">
        <v>3.8945736434108501E-2</v>
      </c>
    </row>
    <row r="878" spans="1:3" x14ac:dyDescent="0.2">
      <c r="A878" s="4" t="str">
        <f>"PNRC1"</f>
        <v>PNRC1</v>
      </c>
      <c r="B878" s="4">
        <v>1.9980019980019902E-3</v>
      </c>
      <c r="C878" s="4">
        <v>3.8945736434108501E-2</v>
      </c>
    </row>
    <row r="879" spans="1:3" x14ac:dyDescent="0.2">
      <c r="A879" s="4" t="str">
        <f>"BPNT2"</f>
        <v>BPNT2</v>
      </c>
      <c r="B879" s="4">
        <v>1.9980019980019902E-3</v>
      </c>
      <c r="C879" s="4">
        <v>3.8945736434108501E-2</v>
      </c>
    </row>
    <row r="880" spans="1:3" x14ac:dyDescent="0.2">
      <c r="A880" s="4" t="str">
        <f>"DGKZ"</f>
        <v>DGKZ</v>
      </c>
      <c r="B880" s="4">
        <v>1.9980019980019902E-3</v>
      </c>
      <c r="C880" s="4">
        <v>3.8945736434108501E-2</v>
      </c>
    </row>
    <row r="881" spans="1:3" x14ac:dyDescent="0.2">
      <c r="A881" s="4" t="str">
        <f>"GNG12"</f>
        <v>GNG12</v>
      </c>
      <c r="B881" s="4">
        <v>1.9980019980019902E-3</v>
      </c>
      <c r="C881" s="4">
        <v>3.8945736434108501E-2</v>
      </c>
    </row>
    <row r="882" spans="1:3" x14ac:dyDescent="0.2">
      <c r="A882" s="4" t="str">
        <f>"HIF1A"</f>
        <v>HIF1A</v>
      </c>
      <c r="B882" s="4">
        <v>1.9980019980019902E-3</v>
      </c>
      <c r="C882" s="4">
        <v>3.8945736434108501E-2</v>
      </c>
    </row>
    <row r="883" spans="1:3" x14ac:dyDescent="0.2">
      <c r="A883" s="4" t="str">
        <f>"CS"</f>
        <v>CS</v>
      </c>
      <c r="B883" s="4">
        <v>1.9980019980019902E-3</v>
      </c>
      <c r="C883" s="4">
        <v>3.8945736434108501E-2</v>
      </c>
    </row>
    <row r="884" spans="1:3" x14ac:dyDescent="0.2">
      <c r="A884" s="4" t="str">
        <f>"PTGS2"</f>
        <v>PTGS2</v>
      </c>
      <c r="B884" s="4">
        <v>1.9980019980019902E-3</v>
      </c>
      <c r="C884" s="4">
        <v>3.8945736434108501E-2</v>
      </c>
    </row>
    <row r="885" spans="1:3" x14ac:dyDescent="0.2">
      <c r="A885" s="4" t="str">
        <f>"SFN"</f>
        <v>SFN</v>
      </c>
      <c r="B885" s="4">
        <v>1.9980019980019902E-3</v>
      </c>
      <c r="C885" s="4">
        <v>3.8945736434108501E-2</v>
      </c>
    </row>
    <row r="886" spans="1:3" x14ac:dyDescent="0.2">
      <c r="A886" s="4" t="str">
        <f>"LRPAP1"</f>
        <v>LRPAP1</v>
      </c>
      <c r="B886" s="4">
        <v>1.9980019980019902E-3</v>
      </c>
      <c r="C886" s="4">
        <v>3.8945736434108501E-2</v>
      </c>
    </row>
    <row r="887" spans="1:3" x14ac:dyDescent="0.2">
      <c r="A887" s="4" t="str">
        <f>"SERPINA1"</f>
        <v>SERPINA1</v>
      </c>
      <c r="B887" s="4">
        <v>1.9980019980019902E-3</v>
      </c>
      <c r="C887" s="4">
        <v>3.8945736434108501E-2</v>
      </c>
    </row>
    <row r="888" spans="1:3" x14ac:dyDescent="0.2">
      <c r="A888" s="4" t="str">
        <f>"SBNO2"</f>
        <v>SBNO2</v>
      </c>
      <c r="B888" s="4">
        <v>1.9980019980019902E-3</v>
      </c>
      <c r="C888" s="4">
        <v>3.8945736434108501E-2</v>
      </c>
    </row>
    <row r="889" spans="1:3" x14ac:dyDescent="0.2">
      <c r="A889" s="4" t="str">
        <f>"KDM6B"</f>
        <v>KDM6B</v>
      </c>
      <c r="B889" s="4">
        <v>1.9980019980019902E-3</v>
      </c>
      <c r="C889" s="4">
        <v>3.8945736434108501E-2</v>
      </c>
    </row>
    <row r="890" spans="1:3" x14ac:dyDescent="0.2">
      <c r="A890" s="4" t="str">
        <f>"RGS2"</f>
        <v>RGS2</v>
      </c>
      <c r="B890" s="4">
        <v>1.9980019980019902E-3</v>
      </c>
      <c r="C890" s="4">
        <v>3.8945736434108501E-2</v>
      </c>
    </row>
    <row r="891" spans="1:3" x14ac:dyDescent="0.2">
      <c r="A891" s="4" t="str">
        <f>"NANS"</f>
        <v>NANS</v>
      </c>
      <c r="B891" s="4">
        <v>1.9980019980019902E-3</v>
      </c>
      <c r="C891" s="4">
        <v>3.8945736434108501E-2</v>
      </c>
    </row>
    <row r="892" spans="1:3" x14ac:dyDescent="0.2">
      <c r="A892" s="4" t="str">
        <f>"KDM2A"</f>
        <v>KDM2A</v>
      </c>
      <c r="B892" s="4">
        <v>1.9980019980019902E-3</v>
      </c>
      <c r="C892" s="4">
        <v>3.8945736434108501E-2</v>
      </c>
    </row>
    <row r="893" spans="1:3" x14ac:dyDescent="0.2">
      <c r="A893" s="4" t="str">
        <f>"ERP29"</f>
        <v>ERP29</v>
      </c>
      <c r="B893" s="4">
        <v>1.9980019980019902E-3</v>
      </c>
      <c r="C893" s="4">
        <v>3.8945736434108501E-2</v>
      </c>
    </row>
    <row r="894" spans="1:3" x14ac:dyDescent="0.2">
      <c r="A894" s="4" t="str">
        <f>"RAB11B"</f>
        <v>RAB11B</v>
      </c>
      <c r="B894" s="4">
        <v>1.9980019980019902E-3</v>
      </c>
      <c r="C894" s="4">
        <v>3.8945736434108501E-2</v>
      </c>
    </row>
    <row r="895" spans="1:3" x14ac:dyDescent="0.2">
      <c r="A895" s="4" t="str">
        <f>"TNIP1"</f>
        <v>TNIP1</v>
      </c>
      <c r="B895" s="4">
        <v>1.9980019980019902E-3</v>
      </c>
      <c r="C895" s="4">
        <v>3.8945736434108501E-2</v>
      </c>
    </row>
    <row r="896" spans="1:3" x14ac:dyDescent="0.2">
      <c r="A896" s="4" t="str">
        <f>"SUPT5H"</f>
        <v>SUPT5H</v>
      </c>
      <c r="B896" s="4">
        <v>1.9980019980019902E-3</v>
      </c>
      <c r="C896" s="4">
        <v>3.8945736434108501E-2</v>
      </c>
    </row>
    <row r="897" spans="1:3" x14ac:dyDescent="0.2">
      <c r="A897" s="4" t="str">
        <f>"SEC14L1"</f>
        <v>SEC14L1</v>
      </c>
      <c r="B897" s="4">
        <v>1.9980019980019902E-3</v>
      </c>
      <c r="C897" s="4">
        <v>3.8945736434108501E-2</v>
      </c>
    </row>
    <row r="898" spans="1:3" x14ac:dyDescent="0.2">
      <c r="A898" s="4" t="str">
        <f>"AP2M1"</f>
        <v>AP2M1</v>
      </c>
      <c r="B898" s="4">
        <v>1.9980019980019902E-3</v>
      </c>
      <c r="C898" s="4">
        <v>3.8945736434108501E-2</v>
      </c>
    </row>
    <row r="899" spans="1:3" x14ac:dyDescent="0.2">
      <c r="A899" s="4" t="str">
        <f>"PPP1R15A"</f>
        <v>PPP1R15A</v>
      </c>
      <c r="B899" s="4">
        <v>1.9980019980019902E-3</v>
      </c>
      <c r="C899" s="4">
        <v>3.8945736434108501E-2</v>
      </c>
    </row>
    <row r="900" spans="1:3" x14ac:dyDescent="0.2">
      <c r="A900" s="4" t="str">
        <f>"CSNK1A1"</f>
        <v>CSNK1A1</v>
      </c>
      <c r="B900" s="4">
        <v>1.9980019980019902E-3</v>
      </c>
      <c r="C900" s="4">
        <v>3.8945736434108501E-2</v>
      </c>
    </row>
    <row r="901" spans="1:3" x14ac:dyDescent="0.2">
      <c r="A901" s="4" t="str">
        <f>"H1-0"</f>
        <v>H1-0</v>
      </c>
      <c r="B901" s="4">
        <v>1.9980019980019902E-3</v>
      </c>
      <c r="C901" s="4">
        <v>3.8945736434108501E-2</v>
      </c>
    </row>
    <row r="902" spans="1:3" x14ac:dyDescent="0.2">
      <c r="A902" s="4" t="str">
        <f>"PPL"</f>
        <v>PPL</v>
      </c>
      <c r="B902" s="4">
        <v>1.9980019980019902E-3</v>
      </c>
      <c r="C902" s="4">
        <v>3.8945736434108501E-2</v>
      </c>
    </row>
    <row r="903" spans="1:3" x14ac:dyDescent="0.2">
      <c r="A903" s="4" t="str">
        <f>"MT-ND4L"</f>
        <v>MT-ND4L</v>
      </c>
      <c r="B903" s="4">
        <v>1.9980019980019902E-3</v>
      </c>
      <c r="C903" s="4">
        <v>3.8945736434108501E-2</v>
      </c>
    </row>
    <row r="904" spans="1:3" x14ac:dyDescent="0.2">
      <c r="A904" s="4" t="str">
        <f>"MT-RNR2"</f>
        <v>MT-RNR2</v>
      </c>
      <c r="B904" s="4">
        <v>1.9980019980019902E-3</v>
      </c>
      <c r="C904" s="4">
        <v>3.8945736434108501E-2</v>
      </c>
    </row>
    <row r="905" spans="1:3" x14ac:dyDescent="0.2">
      <c r="A905" s="4" t="str">
        <f>"AC079841.2"</f>
        <v>AC079841.2</v>
      </c>
      <c r="B905" s="4">
        <v>2.0100502512562799E-3</v>
      </c>
      <c r="C905" s="4">
        <v>3.8968824275733602E-2</v>
      </c>
    </row>
    <row r="906" spans="1:3" x14ac:dyDescent="0.2">
      <c r="A906" s="4" t="str">
        <f>"AL645939.1"</f>
        <v>AL645939.1</v>
      </c>
      <c r="B906" s="4">
        <v>2.0040080160320601E-3</v>
      </c>
      <c r="C906" s="4">
        <v>3.8968824275733602E-2</v>
      </c>
    </row>
    <row r="907" spans="1:3" x14ac:dyDescent="0.2">
      <c r="A907" s="4" t="str">
        <f>"MAPRE3-AS1"</f>
        <v>MAPRE3-AS1</v>
      </c>
      <c r="B907" s="4">
        <v>2.0100502512562799E-3</v>
      </c>
      <c r="C907" s="4">
        <v>3.8968824275733602E-2</v>
      </c>
    </row>
    <row r="908" spans="1:3" x14ac:dyDescent="0.2">
      <c r="A908" s="4" t="str">
        <f>"AL049840.4"</f>
        <v>AL049840.4</v>
      </c>
      <c r="B908" s="4">
        <v>2.00803212851405E-3</v>
      </c>
      <c r="C908" s="4">
        <v>3.8968824275733602E-2</v>
      </c>
    </row>
    <row r="909" spans="1:3" x14ac:dyDescent="0.2">
      <c r="A909" s="4" t="str">
        <f>"AC126283.1"</f>
        <v>AC126283.1</v>
      </c>
      <c r="B909" s="4">
        <v>2.0181634712411701E-3</v>
      </c>
      <c r="C909" s="4">
        <v>3.9083024755842202E-2</v>
      </c>
    </row>
    <row r="910" spans="1:3" x14ac:dyDescent="0.2">
      <c r="A910" s="4" t="str">
        <f>"AC124068.1"</f>
        <v>AC124068.1</v>
      </c>
      <c r="B910" s="4">
        <v>2.02839756592292E-3</v>
      </c>
      <c r="C910" s="4">
        <v>3.9194882196910502E-2</v>
      </c>
    </row>
    <row r="911" spans="1:3" x14ac:dyDescent="0.2">
      <c r="A911" s="4" t="str">
        <f>"AC009084.2"</f>
        <v>AC009084.2</v>
      </c>
      <c r="B911" s="4">
        <v>2.02839756592292E-3</v>
      </c>
      <c r="C911" s="4">
        <v>3.9194882196910502E-2</v>
      </c>
    </row>
    <row r="912" spans="1:3" x14ac:dyDescent="0.2">
      <c r="A912" s="4" t="str">
        <f>"USP12-AS2"</f>
        <v>USP12-AS2</v>
      </c>
      <c r="B912" s="4">
        <v>2.0325203252032501E-3</v>
      </c>
      <c r="C912" s="4">
        <v>3.9231435124449897E-2</v>
      </c>
    </row>
    <row r="913" spans="1:3" x14ac:dyDescent="0.2">
      <c r="A913" s="4" t="str">
        <f>"OR2M3"</f>
        <v>OR2M3</v>
      </c>
      <c r="B913" s="4">
        <v>2.0811654526534801E-3</v>
      </c>
      <c r="C913" s="4">
        <v>4.01263303941434E-2</v>
      </c>
    </row>
    <row r="914" spans="1:3" x14ac:dyDescent="0.2">
      <c r="A914" s="4" t="str">
        <f>"AC097382.2"</f>
        <v>AC097382.2</v>
      </c>
      <c r="B914" s="4">
        <v>2.0942408376963301E-3</v>
      </c>
      <c r="C914" s="4">
        <v>4.03342068894329E-2</v>
      </c>
    </row>
    <row r="915" spans="1:3" x14ac:dyDescent="0.2">
      <c r="A915" s="4" t="str">
        <f>"C9orf106"</f>
        <v>C9orf106</v>
      </c>
      <c r="B915" s="4">
        <v>2.18340611353711E-3</v>
      </c>
      <c r="C915" s="4">
        <v>4.1959577158946999E-2</v>
      </c>
    </row>
    <row r="916" spans="1:3" x14ac:dyDescent="0.2">
      <c r="A916" s="4" t="str">
        <f>"MTATP8P1"</f>
        <v>MTATP8P1</v>
      </c>
      <c r="B916" s="4">
        <v>2.18340611353711E-3</v>
      </c>
      <c r="C916" s="4">
        <v>4.1959577158946999E-2</v>
      </c>
    </row>
    <row r="917" spans="1:3" x14ac:dyDescent="0.2">
      <c r="A917" s="4" t="str">
        <f>"AC113137.1"</f>
        <v>AC113137.1</v>
      </c>
      <c r="B917" s="4">
        <v>2.1881838074398201E-3</v>
      </c>
      <c r="C917" s="4">
        <v>4.2005484792600203E-2</v>
      </c>
    </row>
    <row r="918" spans="1:3" x14ac:dyDescent="0.2">
      <c r="A918" s="4" t="str">
        <f>"AC141586.3"</f>
        <v>AC141586.3</v>
      </c>
      <c r="B918" s="4">
        <v>2.24719101123595E-3</v>
      </c>
      <c r="C918" s="4">
        <v>4.3091174200188598E-2</v>
      </c>
    </row>
    <row r="919" spans="1:3" x14ac:dyDescent="0.2">
      <c r="A919" s="4" t="str">
        <f>"DRAXIN"</f>
        <v>DRAXIN</v>
      </c>
      <c r="B919" s="4">
        <v>2.2598870056497098E-3</v>
      </c>
      <c r="C919" s="4">
        <v>4.32874216855604E-2</v>
      </c>
    </row>
    <row r="920" spans="1:3" x14ac:dyDescent="0.2">
      <c r="A920" s="4" t="str">
        <f>"NACA4P"</f>
        <v>NACA4P</v>
      </c>
      <c r="B920" s="4">
        <v>2.4937655860349101E-3</v>
      </c>
      <c r="C920" s="4">
        <v>4.7715314542804997E-2</v>
      </c>
    </row>
    <row r="921" spans="1:3" s="8" customFormat="1" x14ac:dyDescent="0.2">
      <c r="A921" s="6" t="str">
        <f>"AC106739.1"</f>
        <v>AC106739.1</v>
      </c>
      <c r="B921" s="6">
        <v>2.9970029970029901E-3</v>
      </c>
      <c r="C921" s="6">
        <v>5.09189189189189E-2</v>
      </c>
    </row>
    <row r="922" spans="1:3" s="8" customFormat="1" x14ac:dyDescent="0.2">
      <c r="A922" s="6" t="str">
        <f>"AL021978.1"</f>
        <v>AL021978.1</v>
      </c>
      <c r="B922" s="6">
        <v>2.9970029970029901E-3</v>
      </c>
      <c r="C922" s="6">
        <v>5.09189189189189E-2</v>
      </c>
    </row>
    <row r="923" spans="1:3" s="8" customFormat="1" x14ac:dyDescent="0.2">
      <c r="A923" s="6" t="str">
        <f>"RCCD1-AS1"</f>
        <v>RCCD1-AS1</v>
      </c>
      <c r="B923" s="6">
        <v>2.9970029970029901E-3</v>
      </c>
      <c r="C923" s="6">
        <v>5.09189189189189E-2</v>
      </c>
    </row>
    <row r="924" spans="1:3" s="8" customFormat="1" x14ac:dyDescent="0.2">
      <c r="A924" s="6" t="str">
        <f>"AL121820.3"</f>
        <v>AL121820.3</v>
      </c>
      <c r="B924" s="6">
        <v>3.0000000000000001E-3</v>
      </c>
      <c r="C924" s="6">
        <v>5.09189189189189E-2</v>
      </c>
    </row>
    <row r="925" spans="1:3" s="8" customFormat="1" x14ac:dyDescent="0.2">
      <c r="A925" s="6" t="str">
        <f>"GFI1B"</f>
        <v>GFI1B</v>
      </c>
      <c r="B925" s="6">
        <v>3.0000000000000001E-3</v>
      </c>
      <c r="C925" s="6">
        <v>5.09189189189189E-2</v>
      </c>
    </row>
    <row r="926" spans="1:3" s="8" customFormat="1" x14ac:dyDescent="0.2">
      <c r="A926" s="6" t="str">
        <f>"ELAVL2"</f>
        <v>ELAVL2</v>
      </c>
      <c r="B926" s="6">
        <v>2.9970029970029901E-3</v>
      </c>
      <c r="C926" s="6">
        <v>5.09189189189189E-2</v>
      </c>
    </row>
    <row r="927" spans="1:3" s="8" customFormat="1" x14ac:dyDescent="0.2">
      <c r="A927" s="6" t="str">
        <f>"MAP1LC3B2"</f>
        <v>MAP1LC3B2</v>
      </c>
      <c r="B927" s="6">
        <v>3.0000000000000001E-3</v>
      </c>
      <c r="C927" s="6">
        <v>5.09189189189189E-2</v>
      </c>
    </row>
    <row r="928" spans="1:3" s="8" customFormat="1" x14ac:dyDescent="0.2">
      <c r="A928" s="6" t="str">
        <f>"BX255923.2"</f>
        <v>BX255923.2</v>
      </c>
      <c r="B928" s="6">
        <v>2.9970029970029901E-3</v>
      </c>
      <c r="C928" s="6">
        <v>5.09189189189189E-2</v>
      </c>
    </row>
    <row r="929" spans="1:3" s="8" customFormat="1" x14ac:dyDescent="0.2">
      <c r="A929" s="6" t="str">
        <f>"AL391825.1"</f>
        <v>AL391825.1</v>
      </c>
      <c r="B929" s="6">
        <v>2.9970029970029901E-3</v>
      </c>
      <c r="C929" s="6">
        <v>5.09189189189189E-2</v>
      </c>
    </row>
    <row r="930" spans="1:3" s="8" customFormat="1" x14ac:dyDescent="0.2">
      <c r="A930" s="6" t="str">
        <f>"THEG"</f>
        <v>THEG</v>
      </c>
      <c r="B930" s="6">
        <v>2.9970029970029901E-3</v>
      </c>
      <c r="C930" s="6">
        <v>5.09189189189189E-2</v>
      </c>
    </row>
    <row r="931" spans="1:3" s="8" customFormat="1" x14ac:dyDescent="0.2">
      <c r="A931" s="6" t="str">
        <f>"ARG1"</f>
        <v>ARG1</v>
      </c>
      <c r="B931" s="6">
        <v>2.9970029970029901E-3</v>
      </c>
      <c r="C931" s="6">
        <v>5.09189189189189E-2</v>
      </c>
    </row>
    <row r="932" spans="1:3" s="8" customFormat="1" x14ac:dyDescent="0.2">
      <c r="A932" s="6" t="str">
        <f>"RN7SL531P"</f>
        <v>RN7SL531P</v>
      </c>
      <c r="B932" s="6">
        <v>2.9970029970029901E-3</v>
      </c>
      <c r="C932" s="6">
        <v>5.09189189189189E-2</v>
      </c>
    </row>
    <row r="933" spans="1:3" s="8" customFormat="1" x14ac:dyDescent="0.2">
      <c r="A933" s="6" t="str">
        <f>"AC096667.1"</f>
        <v>AC096667.1</v>
      </c>
      <c r="B933" s="6">
        <v>2.9970029970029901E-3</v>
      </c>
      <c r="C933" s="6">
        <v>5.09189189189189E-2</v>
      </c>
    </row>
    <row r="934" spans="1:3" s="8" customFormat="1" x14ac:dyDescent="0.2">
      <c r="A934" s="6" t="str">
        <f>"RFX5-AS1"</f>
        <v>RFX5-AS1</v>
      </c>
      <c r="B934" s="6">
        <v>2.9970029970029901E-3</v>
      </c>
      <c r="C934" s="6">
        <v>5.09189189189189E-2</v>
      </c>
    </row>
    <row r="935" spans="1:3" s="8" customFormat="1" x14ac:dyDescent="0.2">
      <c r="A935" s="6" t="str">
        <f>"RPS3AP20"</f>
        <v>RPS3AP20</v>
      </c>
      <c r="B935" s="6">
        <v>3.0000000000000001E-3</v>
      </c>
      <c r="C935" s="6">
        <v>5.09189189189189E-2</v>
      </c>
    </row>
    <row r="936" spans="1:3" s="8" customFormat="1" x14ac:dyDescent="0.2">
      <c r="A936" s="6" t="str">
        <f>"AC145207.2"</f>
        <v>AC145207.2</v>
      </c>
      <c r="B936" s="6">
        <v>3.0000000000000001E-3</v>
      </c>
      <c r="C936" s="6">
        <v>5.09189189189189E-2</v>
      </c>
    </row>
    <row r="937" spans="1:3" s="8" customFormat="1" x14ac:dyDescent="0.2">
      <c r="A937" s="6" t="str">
        <f>"AC123912.2"</f>
        <v>AC123912.2</v>
      </c>
      <c r="B937" s="6">
        <v>2.9970029970029901E-3</v>
      </c>
      <c r="C937" s="6">
        <v>5.09189189189189E-2</v>
      </c>
    </row>
    <row r="938" spans="1:3" s="8" customFormat="1" x14ac:dyDescent="0.2">
      <c r="A938" s="6" t="str">
        <f>"KIF26B-AS1"</f>
        <v>KIF26B-AS1</v>
      </c>
      <c r="B938" s="6">
        <v>2.9970029970029901E-3</v>
      </c>
      <c r="C938" s="6">
        <v>5.09189189189189E-2</v>
      </c>
    </row>
    <row r="939" spans="1:3" s="8" customFormat="1" x14ac:dyDescent="0.2">
      <c r="A939" s="6" t="str">
        <f>"ITLN1"</f>
        <v>ITLN1</v>
      </c>
      <c r="B939" s="6">
        <v>2.9970029970029901E-3</v>
      </c>
      <c r="C939" s="6">
        <v>5.09189189189189E-2</v>
      </c>
    </row>
    <row r="940" spans="1:3" s="8" customFormat="1" x14ac:dyDescent="0.2">
      <c r="A940" s="6" t="str">
        <f>"LINC02617"</f>
        <v>LINC02617</v>
      </c>
      <c r="B940" s="6">
        <v>2.9970029970029901E-3</v>
      </c>
      <c r="C940" s="6">
        <v>5.09189189189189E-2</v>
      </c>
    </row>
    <row r="941" spans="1:3" s="8" customFormat="1" x14ac:dyDescent="0.2">
      <c r="A941" s="6" t="str">
        <f>"SLC39A2"</f>
        <v>SLC39A2</v>
      </c>
      <c r="B941" s="6">
        <v>2.9970029970029901E-3</v>
      </c>
      <c r="C941" s="6">
        <v>5.09189189189189E-2</v>
      </c>
    </row>
    <row r="942" spans="1:3" s="8" customFormat="1" x14ac:dyDescent="0.2">
      <c r="A942" s="6" t="str">
        <f>"AC004678.2"</f>
        <v>AC004678.2</v>
      </c>
      <c r="B942" s="6">
        <v>2.8735632183907998E-3</v>
      </c>
      <c r="C942" s="6">
        <v>5.09189189189189E-2</v>
      </c>
    </row>
    <row r="943" spans="1:3" s="8" customFormat="1" x14ac:dyDescent="0.2">
      <c r="A943" s="6" t="str">
        <f>"ORM1"</f>
        <v>ORM1</v>
      </c>
      <c r="B943" s="6">
        <v>2.9970029970029901E-3</v>
      </c>
      <c r="C943" s="6">
        <v>5.09189189189189E-2</v>
      </c>
    </row>
    <row r="944" spans="1:3" s="8" customFormat="1" x14ac:dyDescent="0.2">
      <c r="A944" s="6" t="str">
        <f>"PNPLA1"</f>
        <v>PNPLA1</v>
      </c>
      <c r="B944" s="6">
        <v>2.9970029970029901E-3</v>
      </c>
      <c r="C944" s="6">
        <v>5.09189189189189E-2</v>
      </c>
    </row>
    <row r="945" spans="1:3" s="8" customFormat="1" x14ac:dyDescent="0.2">
      <c r="A945" s="6" t="str">
        <f>"SPDYA"</f>
        <v>SPDYA</v>
      </c>
      <c r="B945" s="6">
        <v>2.9970029970029901E-3</v>
      </c>
      <c r="C945" s="6">
        <v>5.09189189189189E-2</v>
      </c>
    </row>
    <row r="946" spans="1:3" s="8" customFormat="1" x14ac:dyDescent="0.2">
      <c r="A946" s="6" t="str">
        <f>"ZNF114"</f>
        <v>ZNF114</v>
      </c>
      <c r="B946" s="6">
        <v>2.9970029970029901E-3</v>
      </c>
      <c r="C946" s="6">
        <v>5.09189189189189E-2</v>
      </c>
    </row>
    <row r="947" spans="1:3" s="8" customFormat="1" x14ac:dyDescent="0.2">
      <c r="A947" s="6" t="str">
        <f>"AL592429.1"</f>
        <v>AL592429.1</v>
      </c>
      <c r="B947" s="6">
        <v>2.9970029970029901E-3</v>
      </c>
      <c r="C947" s="6">
        <v>5.09189189189189E-2</v>
      </c>
    </row>
    <row r="948" spans="1:3" s="8" customFormat="1" x14ac:dyDescent="0.2">
      <c r="A948" s="6" t="str">
        <f>"MGAM2"</f>
        <v>MGAM2</v>
      </c>
      <c r="B948" s="6">
        <v>2.9970029970029901E-3</v>
      </c>
      <c r="C948" s="6">
        <v>5.09189189189189E-2</v>
      </c>
    </row>
    <row r="949" spans="1:3" s="8" customFormat="1" x14ac:dyDescent="0.2">
      <c r="A949" s="6" t="str">
        <f>"CXorf21"</f>
        <v>CXorf21</v>
      </c>
      <c r="B949" s="6">
        <v>2.9970029970029901E-3</v>
      </c>
      <c r="C949" s="6">
        <v>5.09189189189189E-2</v>
      </c>
    </row>
    <row r="950" spans="1:3" s="8" customFormat="1" x14ac:dyDescent="0.2">
      <c r="A950" s="6" t="str">
        <f>"AL365259.1"</f>
        <v>AL365259.1</v>
      </c>
      <c r="B950" s="6">
        <v>2.9970029970029901E-3</v>
      </c>
      <c r="C950" s="6">
        <v>5.09189189189189E-2</v>
      </c>
    </row>
    <row r="951" spans="1:3" s="8" customFormat="1" x14ac:dyDescent="0.2">
      <c r="A951" s="6" t="str">
        <f>"NLGN3"</f>
        <v>NLGN3</v>
      </c>
      <c r="B951" s="6">
        <v>2.9970029970029901E-3</v>
      </c>
      <c r="C951" s="6">
        <v>5.09189189189189E-2</v>
      </c>
    </row>
    <row r="952" spans="1:3" s="8" customFormat="1" x14ac:dyDescent="0.2">
      <c r="A952" s="6" t="str">
        <f>"LINC01671"</f>
        <v>LINC01671</v>
      </c>
      <c r="B952" s="6">
        <v>2.9970029970029901E-3</v>
      </c>
      <c r="C952" s="6">
        <v>5.09189189189189E-2</v>
      </c>
    </row>
    <row r="953" spans="1:3" s="8" customFormat="1" x14ac:dyDescent="0.2">
      <c r="A953" s="6" t="str">
        <f>"AL117378.1"</f>
        <v>AL117378.1</v>
      </c>
      <c r="B953" s="6">
        <v>2.9970029970029901E-3</v>
      </c>
      <c r="C953" s="6">
        <v>5.09189189189189E-2</v>
      </c>
    </row>
    <row r="954" spans="1:3" s="8" customFormat="1" x14ac:dyDescent="0.2">
      <c r="A954" s="6" t="str">
        <f>"RNF212"</f>
        <v>RNF212</v>
      </c>
      <c r="B954" s="6">
        <v>2.9970029970029901E-3</v>
      </c>
      <c r="C954" s="6">
        <v>5.09189189189189E-2</v>
      </c>
    </row>
    <row r="955" spans="1:3" s="8" customFormat="1" x14ac:dyDescent="0.2">
      <c r="A955" s="6" t="str">
        <f>"SLC24A4"</f>
        <v>SLC24A4</v>
      </c>
      <c r="B955" s="6">
        <v>2.9970029970029901E-3</v>
      </c>
      <c r="C955" s="6">
        <v>5.09189189189189E-2</v>
      </c>
    </row>
    <row r="956" spans="1:3" s="8" customFormat="1" x14ac:dyDescent="0.2">
      <c r="A956" s="6" t="str">
        <f>"AL359397.2"</f>
        <v>AL359397.2</v>
      </c>
      <c r="B956" s="6">
        <v>2.9970029970029901E-3</v>
      </c>
      <c r="C956" s="6">
        <v>5.09189189189189E-2</v>
      </c>
    </row>
    <row r="957" spans="1:3" s="8" customFormat="1" x14ac:dyDescent="0.2">
      <c r="A957" s="6" t="str">
        <f>"AC008105.3"</f>
        <v>AC008105.3</v>
      </c>
      <c r="B957" s="6">
        <v>2.9970029970029901E-3</v>
      </c>
      <c r="C957" s="6">
        <v>5.09189189189189E-2</v>
      </c>
    </row>
    <row r="958" spans="1:3" s="8" customFormat="1" x14ac:dyDescent="0.2">
      <c r="A958" s="6" t="str">
        <f>"SDR42E2"</f>
        <v>SDR42E2</v>
      </c>
      <c r="B958" s="6">
        <v>2.9970029970029901E-3</v>
      </c>
      <c r="C958" s="6">
        <v>5.09189189189189E-2</v>
      </c>
    </row>
    <row r="959" spans="1:3" s="8" customFormat="1" x14ac:dyDescent="0.2">
      <c r="A959" s="6" t="str">
        <f>"AURKB"</f>
        <v>AURKB</v>
      </c>
      <c r="B959" s="6">
        <v>2.9970029970029901E-3</v>
      </c>
      <c r="C959" s="6">
        <v>5.09189189189189E-2</v>
      </c>
    </row>
    <row r="960" spans="1:3" s="8" customFormat="1" x14ac:dyDescent="0.2">
      <c r="A960" s="6" t="str">
        <f>"SCN1B"</f>
        <v>SCN1B</v>
      </c>
      <c r="B960" s="6">
        <v>2.9970029970029901E-3</v>
      </c>
      <c r="C960" s="6">
        <v>5.09189189189189E-2</v>
      </c>
    </row>
    <row r="961" spans="1:3" s="8" customFormat="1" x14ac:dyDescent="0.2">
      <c r="A961" s="6" t="str">
        <f>"DNA2"</f>
        <v>DNA2</v>
      </c>
      <c r="B961" s="6">
        <v>2.9970029970029901E-3</v>
      </c>
      <c r="C961" s="6">
        <v>5.09189189189189E-2</v>
      </c>
    </row>
    <row r="962" spans="1:3" s="8" customFormat="1" x14ac:dyDescent="0.2">
      <c r="A962" s="6" t="str">
        <f>"AC008517.1"</f>
        <v>AC008517.1</v>
      </c>
      <c r="B962" s="6">
        <v>2.9970029970029901E-3</v>
      </c>
      <c r="C962" s="6">
        <v>5.09189189189189E-2</v>
      </c>
    </row>
    <row r="963" spans="1:3" s="8" customFormat="1" x14ac:dyDescent="0.2">
      <c r="A963" s="6" t="str">
        <f>"AP001267.3"</f>
        <v>AP001267.3</v>
      </c>
      <c r="B963" s="6">
        <v>2.9970029970029901E-3</v>
      </c>
      <c r="C963" s="6">
        <v>5.09189189189189E-2</v>
      </c>
    </row>
    <row r="964" spans="1:3" s="8" customFormat="1" x14ac:dyDescent="0.2">
      <c r="A964" s="6" t="str">
        <f>"FGD5"</f>
        <v>FGD5</v>
      </c>
      <c r="B964" s="6">
        <v>2.9970029970029901E-3</v>
      </c>
      <c r="C964" s="6">
        <v>5.09189189189189E-2</v>
      </c>
    </row>
    <row r="965" spans="1:3" s="8" customFormat="1" x14ac:dyDescent="0.2">
      <c r="A965" s="6" t="str">
        <f>"IL36G"</f>
        <v>IL36G</v>
      </c>
      <c r="B965" s="6">
        <v>2.9970029970029901E-3</v>
      </c>
      <c r="C965" s="6">
        <v>5.09189189189189E-2</v>
      </c>
    </row>
    <row r="966" spans="1:3" s="8" customFormat="1" x14ac:dyDescent="0.2">
      <c r="A966" s="6" t="str">
        <f>"PIEZO2"</f>
        <v>PIEZO2</v>
      </c>
      <c r="B966" s="6">
        <v>3.0000000000000001E-3</v>
      </c>
      <c r="C966" s="6">
        <v>5.09189189189189E-2</v>
      </c>
    </row>
    <row r="967" spans="1:3" s="8" customFormat="1" x14ac:dyDescent="0.2">
      <c r="A967" s="6" t="str">
        <f>"AC004687.1"</f>
        <v>AC004687.1</v>
      </c>
      <c r="B967" s="6">
        <v>3.0000000000000001E-3</v>
      </c>
      <c r="C967" s="6">
        <v>5.09189189189189E-2</v>
      </c>
    </row>
    <row r="968" spans="1:3" s="8" customFormat="1" x14ac:dyDescent="0.2">
      <c r="A968" s="6" t="str">
        <f>"CAMK2N1"</f>
        <v>CAMK2N1</v>
      </c>
      <c r="B968" s="6">
        <v>2.9970029970029901E-3</v>
      </c>
      <c r="C968" s="6">
        <v>5.09189189189189E-2</v>
      </c>
    </row>
    <row r="969" spans="1:3" s="8" customFormat="1" x14ac:dyDescent="0.2">
      <c r="A969" s="6" t="str">
        <f>"LIN7A"</f>
        <v>LIN7A</v>
      </c>
      <c r="B969" s="6">
        <v>2.9970029970029901E-3</v>
      </c>
      <c r="C969" s="6">
        <v>5.09189189189189E-2</v>
      </c>
    </row>
    <row r="970" spans="1:3" s="8" customFormat="1" x14ac:dyDescent="0.2">
      <c r="A970" s="6" t="str">
        <f>"OLR1"</f>
        <v>OLR1</v>
      </c>
      <c r="B970" s="6">
        <v>2.9970029970029901E-3</v>
      </c>
      <c r="C970" s="6">
        <v>5.09189189189189E-2</v>
      </c>
    </row>
    <row r="971" spans="1:3" s="8" customFormat="1" x14ac:dyDescent="0.2">
      <c r="A971" s="6" t="str">
        <f>"AC005192.1"</f>
        <v>AC005192.1</v>
      </c>
      <c r="B971" s="6">
        <v>2.9970029970029901E-3</v>
      </c>
      <c r="C971" s="6">
        <v>5.09189189189189E-2</v>
      </c>
    </row>
    <row r="972" spans="1:3" s="8" customFormat="1" x14ac:dyDescent="0.2">
      <c r="A972" s="6" t="str">
        <f>"SIRPB2"</f>
        <v>SIRPB2</v>
      </c>
      <c r="B972" s="6">
        <v>2.9970029970029901E-3</v>
      </c>
      <c r="C972" s="6">
        <v>5.09189189189189E-2</v>
      </c>
    </row>
    <row r="973" spans="1:3" s="8" customFormat="1" x14ac:dyDescent="0.2">
      <c r="A973" s="6" t="str">
        <f>"ITM2A"</f>
        <v>ITM2A</v>
      </c>
      <c r="B973" s="6">
        <v>2.9970029970029901E-3</v>
      </c>
      <c r="C973" s="6">
        <v>5.09189189189189E-2</v>
      </c>
    </row>
    <row r="974" spans="1:3" s="8" customFormat="1" x14ac:dyDescent="0.2">
      <c r="A974" s="6" t="str">
        <f>"SH2D3C"</f>
        <v>SH2D3C</v>
      </c>
      <c r="B974" s="6">
        <v>2.9970029970029901E-3</v>
      </c>
      <c r="C974" s="6">
        <v>5.09189189189189E-2</v>
      </c>
    </row>
    <row r="975" spans="1:3" s="8" customFormat="1" x14ac:dyDescent="0.2">
      <c r="A975" s="6" t="str">
        <f>"RNASE7"</f>
        <v>RNASE7</v>
      </c>
      <c r="B975" s="6">
        <v>2.9970029970029901E-3</v>
      </c>
      <c r="C975" s="6">
        <v>5.09189189189189E-2</v>
      </c>
    </row>
    <row r="976" spans="1:3" s="8" customFormat="1" x14ac:dyDescent="0.2">
      <c r="A976" s="6" t="str">
        <f>"AOAH"</f>
        <v>AOAH</v>
      </c>
      <c r="B976" s="6">
        <v>2.9970029970029901E-3</v>
      </c>
      <c r="C976" s="6">
        <v>5.09189189189189E-2</v>
      </c>
    </row>
    <row r="977" spans="1:3" s="8" customFormat="1" x14ac:dyDescent="0.2">
      <c r="A977" s="6" t="str">
        <f>"SCN4B"</f>
        <v>SCN4B</v>
      </c>
      <c r="B977" s="6">
        <v>2.9970029970029901E-3</v>
      </c>
      <c r="C977" s="6">
        <v>5.09189189189189E-2</v>
      </c>
    </row>
    <row r="978" spans="1:3" s="8" customFormat="1" x14ac:dyDescent="0.2">
      <c r="A978" s="6" t="str">
        <f>"ADAM19"</f>
        <v>ADAM19</v>
      </c>
      <c r="B978" s="6">
        <v>2.9970029970029901E-3</v>
      </c>
      <c r="C978" s="6">
        <v>5.09189189189189E-2</v>
      </c>
    </row>
    <row r="979" spans="1:3" s="8" customFormat="1" x14ac:dyDescent="0.2">
      <c r="A979" s="6" t="str">
        <f>"NMU"</f>
        <v>NMU</v>
      </c>
      <c r="B979" s="6">
        <v>2.9970029970029901E-3</v>
      </c>
      <c r="C979" s="6">
        <v>5.09189189189189E-2</v>
      </c>
    </row>
    <row r="980" spans="1:3" s="8" customFormat="1" x14ac:dyDescent="0.2">
      <c r="A980" s="6" t="str">
        <f>"TLR8"</f>
        <v>TLR8</v>
      </c>
      <c r="B980" s="6">
        <v>2.9970029970029901E-3</v>
      </c>
      <c r="C980" s="6">
        <v>5.09189189189189E-2</v>
      </c>
    </row>
    <row r="981" spans="1:3" s="8" customFormat="1" x14ac:dyDescent="0.2">
      <c r="A981" s="6" t="str">
        <f>"AC020916.1"</f>
        <v>AC020916.1</v>
      </c>
      <c r="B981" s="6">
        <v>2.9970029970029901E-3</v>
      </c>
      <c r="C981" s="6">
        <v>5.09189189189189E-2</v>
      </c>
    </row>
    <row r="982" spans="1:3" s="8" customFormat="1" x14ac:dyDescent="0.2">
      <c r="A982" s="6" t="str">
        <f>"C5AR2"</f>
        <v>C5AR2</v>
      </c>
      <c r="B982" s="6">
        <v>3.0000000000000001E-3</v>
      </c>
      <c r="C982" s="6">
        <v>5.09189189189189E-2</v>
      </c>
    </row>
    <row r="983" spans="1:3" s="8" customFormat="1" x14ac:dyDescent="0.2">
      <c r="A983" s="6" t="str">
        <f>"IL1R2"</f>
        <v>IL1R2</v>
      </c>
      <c r="B983" s="6">
        <v>2.9970029970029901E-3</v>
      </c>
      <c r="C983" s="6">
        <v>5.09189189189189E-2</v>
      </c>
    </row>
    <row r="984" spans="1:3" s="8" customFormat="1" x14ac:dyDescent="0.2">
      <c r="A984" s="6" t="str">
        <f>"CHDH"</f>
        <v>CHDH</v>
      </c>
      <c r="B984" s="6">
        <v>2.9970029970029901E-3</v>
      </c>
      <c r="C984" s="6">
        <v>5.09189189189189E-2</v>
      </c>
    </row>
    <row r="985" spans="1:3" s="8" customFormat="1" x14ac:dyDescent="0.2">
      <c r="A985" s="6" t="str">
        <f>"SLC7A5"</f>
        <v>SLC7A5</v>
      </c>
      <c r="B985" s="6">
        <v>2.9970029970029901E-3</v>
      </c>
      <c r="C985" s="6">
        <v>5.09189189189189E-2</v>
      </c>
    </row>
    <row r="986" spans="1:3" s="8" customFormat="1" x14ac:dyDescent="0.2">
      <c r="A986" s="6" t="str">
        <f>"LACC1"</f>
        <v>LACC1</v>
      </c>
      <c r="B986" s="6">
        <v>2.9970029970029901E-3</v>
      </c>
      <c r="C986" s="6">
        <v>5.09189189189189E-2</v>
      </c>
    </row>
    <row r="987" spans="1:3" s="8" customFormat="1" x14ac:dyDescent="0.2">
      <c r="A987" s="6" t="str">
        <f>"POU2AF1"</f>
        <v>POU2AF1</v>
      </c>
      <c r="B987" s="6">
        <v>2.9970029970029901E-3</v>
      </c>
      <c r="C987" s="6">
        <v>5.09189189189189E-2</v>
      </c>
    </row>
    <row r="988" spans="1:3" s="8" customFormat="1" x14ac:dyDescent="0.2">
      <c r="A988" s="6" t="str">
        <f>"IL16"</f>
        <v>IL16</v>
      </c>
      <c r="B988" s="6">
        <v>2.9970029970029901E-3</v>
      </c>
      <c r="C988" s="6">
        <v>5.09189189189189E-2</v>
      </c>
    </row>
    <row r="989" spans="1:3" s="8" customFormat="1" x14ac:dyDescent="0.2">
      <c r="A989" s="6" t="str">
        <f>"TOP2A"</f>
        <v>TOP2A</v>
      </c>
      <c r="B989" s="6">
        <v>2.9970029970029901E-3</v>
      </c>
      <c r="C989" s="6">
        <v>5.09189189189189E-2</v>
      </c>
    </row>
    <row r="990" spans="1:3" s="8" customFormat="1" x14ac:dyDescent="0.2">
      <c r="A990" s="6" t="str">
        <f>"FEN1"</f>
        <v>FEN1</v>
      </c>
      <c r="B990" s="6">
        <v>2.9970029970029901E-3</v>
      </c>
      <c r="C990" s="6">
        <v>5.09189189189189E-2</v>
      </c>
    </row>
    <row r="991" spans="1:3" s="8" customFormat="1" x14ac:dyDescent="0.2">
      <c r="A991" s="6" t="str">
        <f>"HPSE"</f>
        <v>HPSE</v>
      </c>
      <c r="B991" s="6">
        <v>2.9970029970029901E-3</v>
      </c>
      <c r="C991" s="6">
        <v>5.09189189189189E-2</v>
      </c>
    </row>
    <row r="992" spans="1:3" s="8" customFormat="1" x14ac:dyDescent="0.2">
      <c r="A992" s="6" t="str">
        <f>"SLC9A6"</f>
        <v>SLC9A6</v>
      </c>
      <c r="B992" s="6">
        <v>2.9970029970029901E-3</v>
      </c>
      <c r="C992" s="6">
        <v>5.09189189189189E-2</v>
      </c>
    </row>
    <row r="993" spans="1:3" s="8" customFormat="1" x14ac:dyDescent="0.2">
      <c r="A993" s="6" t="str">
        <f>"LARP6"</f>
        <v>LARP6</v>
      </c>
      <c r="B993" s="6">
        <v>2.9970029970029901E-3</v>
      </c>
      <c r="C993" s="6">
        <v>5.09189189189189E-2</v>
      </c>
    </row>
    <row r="994" spans="1:3" s="8" customFormat="1" x14ac:dyDescent="0.2">
      <c r="A994" s="6" t="str">
        <f>"C6orf120"</f>
        <v>C6orf120</v>
      </c>
      <c r="B994" s="6">
        <v>3.0000000000000001E-3</v>
      </c>
      <c r="C994" s="6">
        <v>5.09189189189189E-2</v>
      </c>
    </row>
    <row r="995" spans="1:3" s="8" customFormat="1" x14ac:dyDescent="0.2">
      <c r="A995" s="6" t="str">
        <f>"PIK3AP1"</f>
        <v>PIK3AP1</v>
      </c>
      <c r="B995" s="6">
        <v>2.9970029970029901E-3</v>
      </c>
      <c r="C995" s="6">
        <v>5.09189189189189E-2</v>
      </c>
    </row>
    <row r="996" spans="1:3" s="8" customFormat="1" x14ac:dyDescent="0.2">
      <c r="A996" s="6" t="str">
        <f>"ASAP1"</f>
        <v>ASAP1</v>
      </c>
      <c r="B996" s="6">
        <v>2.9970029970029901E-3</v>
      </c>
      <c r="C996" s="6">
        <v>5.09189189189189E-2</v>
      </c>
    </row>
    <row r="997" spans="1:3" s="8" customFormat="1" x14ac:dyDescent="0.2">
      <c r="A997" s="6" t="str">
        <f>"DHX34"</f>
        <v>DHX34</v>
      </c>
      <c r="B997" s="6">
        <v>2.9970029970029901E-3</v>
      </c>
      <c r="C997" s="6">
        <v>5.09189189189189E-2</v>
      </c>
    </row>
    <row r="998" spans="1:3" s="8" customFormat="1" x14ac:dyDescent="0.2">
      <c r="A998" s="6" t="str">
        <f>"ALOX5"</f>
        <v>ALOX5</v>
      </c>
      <c r="B998" s="6">
        <v>2.9970029970029901E-3</v>
      </c>
      <c r="C998" s="6">
        <v>5.09189189189189E-2</v>
      </c>
    </row>
    <row r="999" spans="1:3" s="8" customFormat="1" x14ac:dyDescent="0.2">
      <c r="A999" s="6" t="str">
        <f>"PDLIM7"</f>
        <v>PDLIM7</v>
      </c>
      <c r="B999" s="6">
        <v>2.9970029970029901E-3</v>
      </c>
      <c r="C999" s="6">
        <v>5.09189189189189E-2</v>
      </c>
    </row>
    <row r="1000" spans="1:3" s="8" customFormat="1" x14ac:dyDescent="0.2">
      <c r="A1000" s="6" t="str">
        <f>"LILRB3"</f>
        <v>LILRB3</v>
      </c>
      <c r="B1000" s="6">
        <v>2.9970029970029901E-3</v>
      </c>
      <c r="C1000" s="6">
        <v>5.09189189189189E-2</v>
      </c>
    </row>
    <row r="1001" spans="1:3" s="8" customFormat="1" x14ac:dyDescent="0.2">
      <c r="A1001" s="6" t="str">
        <f>"KIAA0040"</f>
        <v>KIAA0040</v>
      </c>
      <c r="B1001" s="6">
        <v>2.9970029970029901E-3</v>
      </c>
      <c r="C1001" s="6">
        <v>5.09189189189189E-2</v>
      </c>
    </row>
    <row r="1002" spans="1:3" s="8" customFormat="1" x14ac:dyDescent="0.2">
      <c r="A1002" s="6" t="str">
        <f>"A2M"</f>
        <v>A2M</v>
      </c>
      <c r="B1002" s="6">
        <v>2.9970029970029901E-3</v>
      </c>
      <c r="C1002" s="6">
        <v>5.09189189189189E-2</v>
      </c>
    </row>
    <row r="1003" spans="1:3" s="8" customFormat="1" x14ac:dyDescent="0.2">
      <c r="A1003" s="6" t="str">
        <f>"MAST3"</f>
        <v>MAST3</v>
      </c>
      <c r="B1003" s="6">
        <v>2.9970029970029901E-3</v>
      </c>
      <c r="C1003" s="6">
        <v>5.09189189189189E-2</v>
      </c>
    </row>
    <row r="1004" spans="1:3" s="8" customFormat="1" x14ac:dyDescent="0.2">
      <c r="A1004" s="6" t="str">
        <f>"COL28A1"</f>
        <v>COL28A1</v>
      </c>
      <c r="B1004" s="6">
        <v>2.9970029970029901E-3</v>
      </c>
      <c r="C1004" s="6">
        <v>5.09189189189189E-2</v>
      </c>
    </row>
    <row r="1005" spans="1:3" s="8" customFormat="1" x14ac:dyDescent="0.2">
      <c r="A1005" s="6" t="str">
        <f>"ARHGAP45"</f>
        <v>ARHGAP45</v>
      </c>
      <c r="B1005" s="6">
        <v>2.9970029970029901E-3</v>
      </c>
      <c r="C1005" s="6">
        <v>5.09189189189189E-2</v>
      </c>
    </row>
    <row r="1006" spans="1:3" s="8" customFormat="1" x14ac:dyDescent="0.2">
      <c r="A1006" s="6" t="str">
        <f>"QKI"</f>
        <v>QKI</v>
      </c>
      <c r="B1006" s="6">
        <v>2.9970029970029901E-3</v>
      </c>
      <c r="C1006" s="6">
        <v>5.09189189189189E-2</v>
      </c>
    </row>
    <row r="1007" spans="1:3" s="8" customFormat="1" x14ac:dyDescent="0.2">
      <c r="A1007" s="6" t="str">
        <f>"C1QC"</f>
        <v>C1QC</v>
      </c>
      <c r="B1007" s="6">
        <v>2.9970029970029901E-3</v>
      </c>
      <c r="C1007" s="6">
        <v>5.09189189189189E-2</v>
      </c>
    </row>
    <row r="1008" spans="1:3" s="8" customFormat="1" x14ac:dyDescent="0.2">
      <c r="A1008" s="6" t="str">
        <f>"ARHGAP30"</f>
        <v>ARHGAP30</v>
      </c>
      <c r="B1008" s="6">
        <v>2.9970029970029901E-3</v>
      </c>
      <c r="C1008" s="6">
        <v>5.09189189189189E-2</v>
      </c>
    </row>
    <row r="1009" spans="1:3" s="8" customFormat="1" x14ac:dyDescent="0.2">
      <c r="A1009" s="6" t="str">
        <f>"MAN2A2"</f>
        <v>MAN2A2</v>
      </c>
      <c r="B1009" s="6">
        <v>2.9970029970029901E-3</v>
      </c>
      <c r="C1009" s="6">
        <v>5.09189189189189E-2</v>
      </c>
    </row>
    <row r="1010" spans="1:3" s="8" customFormat="1" x14ac:dyDescent="0.2">
      <c r="A1010" s="6" t="str">
        <f>"EVI2B"</f>
        <v>EVI2B</v>
      </c>
      <c r="B1010" s="6">
        <v>2.9970029970029901E-3</v>
      </c>
      <c r="C1010" s="6">
        <v>5.09189189189189E-2</v>
      </c>
    </row>
    <row r="1011" spans="1:3" s="8" customFormat="1" x14ac:dyDescent="0.2">
      <c r="A1011" s="6" t="str">
        <f>"ARHGAP26"</f>
        <v>ARHGAP26</v>
      </c>
      <c r="B1011" s="6">
        <v>2.9970029970029901E-3</v>
      </c>
      <c r="C1011" s="6">
        <v>5.09189189189189E-2</v>
      </c>
    </row>
    <row r="1012" spans="1:3" s="8" customFormat="1" x14ac:dyDescent="0.2">
      <c r="A1012" s="6" t="str">
        <f>"GGA1"</f>
        <v>GGA1</v>
      </c>
      <c r="B1012" s="6">
        <v>2.9970029970029901E-3</v>
      </c>
      <c r="C1012" s="6">
        <v>5.09189189189189E-2</v>
      </c>
    </row>
    <row r="1013" spans="1:3" s="8" customFormat="1" x14ac:dyDescent="0.2">
      <c r="A1013" s="6" t="str">
        <f>"LAD1"</f>
        <v>LAD1</v>
      </c>
      <c r="B1013" s="6">
        <v>2.9970029970029901E-3</v>
      </c>
      <c r="C1013" s="6">
        <v>5.09189189189189E-2</v>
      </c>
    </row>
    <row r="1014" spans="1:3" s="8" customFormat="1" x14ac:dyDescent="0.2">
      <c r="A1014" s="6" t="str">
        <f>"H2AC19"</f>
        <v>H2AC19</v>
      </c>
      <c r="B1014" s="6">
        <v>2.9970029970029901E-3</v>
      </c>
      <c r="C1014" s="6">
        <v>5.09189189189189E-2</v>
      </c>
    </row>
    <row r="1015" spans="1:3" s="8" customFormat="1" x14ac:dyDescent="0.2">
      <c r="A1015" s="6" t="str">
        <f>"ITGA6"</f>
        <v>ITGA6</v>
      </c>
      <c r="B1015" s="6">
        <v>2.9970029970029901E-3</v>
      </c>
      <c r="C1015" s="6">
        <v>5.09189189189189E-2</v>
      </c>
    </row>
    <row r="1016" spans="1:3" s="8" customFormat="1" x14ac:dyDescent="0.2">
      <c r="A1016" s="6" t="str">
        <f>"C15orf39"</f>
        <v>C15orf39</v>
      </c>
      <c r="B1016" s="6">
        <v>2.9970029970029901E-3</v>
      </c>
      <c r="C1016" s="6">
        <v>5.09189189189189E-2</v>
      </c>
    </row>
    <row r="1017" spans="1:3" s="8" customFormat="1" x14ac:dyDescent="0.2">
      <c r="A1017" s="6" t="str">
        <f>"LYPD3"</f>
        <v>LYPD3</v>
      </c>
      <c r="B1017" s="6">
        <v>2.9970029970029901E-3</v>
      </c>
      <c r="C1017" s="6">
        <v>5.09189189189189E-2</v>
      </c>
    </row>
    <row r="1018" spans="1:3" s="8" customFormat="1" x14ac:dyDescent="0.2">
      <c r="A1018" s="6" t="str">
        <f>"PELI1"</f>
        <v>PELI1</v>
      </c>
      <c r="B1018" s="6">
        <v>2.9970029970029901E-3</v>
      </c>
      <c r="C1018" s="6">
        <v>5.09189189189189E-2</v>
      </c>
    </row>
    <row r="1019" spans="1:3" s="8" customFormat="1" x14ac:dyDescent="0.2">
      <c r="A1019" s="6" t="str">
        <f>"SMCHD1"</f>
        <v>SMCHD1</v>
      </c>
      <c r="B1019" s="6">
        <v>2.9970029970029901E-3</v>
      </c>
      <c r="C1019" s="6">
        <v>5.09189189189189E-2</v>
      </c>
    </row>
    <row r="1020" spans="1:3" s="8" customFormat="1" x14ac:dyDescent="0.2">
      <c r="A1020" s="6" t="str">
        <f>"MAP4K4"</f>
        <v>MAP4K4</v>
      </c>
      <c r="B1020" s="6">
        <v>2.9970029970029901E-3</v>
      </c>
      <c r="C1020" s="6">
        <v>5.09189189189189E-2</v>
      </c>
    </row>
    <row r="1021" spans="1:3" s="8" customFormat="1" x14ac:dyDescent="0.2">
      <c r="A1021" s="6" t="str">
        <f>"MAP7D1"</f>
        <v>MAP7D1</v>
      </c>
      <c r="B1021" s="6">
        <v>2.9970029970029901E-3</v>
      </c>
      <c r="C1021" s="6">
        <v>5.09189189189189E-2</v>
      </c>
    </row>
    <row r="1022" spans="1:3" s="8" customFormat="1" x14ac:dyDescent="0.2">
      <c r="A1022" s="6" t="str">
        <f>"IST1"</f>
        <v>IST1</v>
      </c>
      <c r="B1022" s="6">
        <v>2.9970029970029901E-3</v>
      </c>
      <c r="C1022" s="6">
        <v>5.09189189189189E-2</v>
      </c>
    </row>
    <row r="1023" spans="1:3" s="8" customFormat="1" x14ac:dyDescent="0.2">
      <c r="A1023" s="6" t="str">
        <f>"MAPK3"</f>
        <v>MAPK3</v>
      </c>
      <c r="B1023" s="6">
        <v>2.9970029970029901E-3</v>
      </c>
      <c r="C1023" s="6">
        <v>5.09189189189189E-2</v>
      </c>
    </row>
    <row r="1024" spans="1:3" s="8" customFormat="1" x14ac:dyDescent="0.2">
      <c r="A1024" s="6" t="str">
        <f>"STK40"</f>
        <v>STK40</v>
      </c>
      <c r="B1024" s="6">
        <v>2.9970029970029901E-3</v>
      </c>
      <c r="C1024" s="6">
        <v>5.09189189189189E-2</v>
      </c>
    </row>
    <row r="1025" spans="1:3" s="8" customFormat="1" x14ac:dyDescent="0.2">
      <c r="A1025" s="6" t="str">
        <f>"FOS"</f>
        <v>FOS</v>
      </c>
      <c r="B1025" s="6">
        <v>2.9970029970029901E-3</v>
      </c>
      <c r="C1025" s="6">
        <v>5.09189189189189E-2</v>
      </c>
    </row>
    <row r="1026" spans="1:3" s="8" customFormat="1" x14ac:dyDescent="0.2">
      <c r="A1026" s="6" t="str">
        <f>"MTND2P28"</f>
        <v>MTND2P28</v>
      </c>
      <c r="B1026" s="6">
        <v>2.9970029970029901E-3</v>
      </c>
      <c r="C1026" s="6">
        <v>5.09189189189189E-2</v>
      </c>
    </row>
    <row r="1027" spans="1:3" s="8" customFormat="1" x14ac:dyDescent="0.2">
      <c r="A1027" s="6" t="str">
        <f>"CLTA"</f>
        <v>CLTA</v>
      </c>
      <c r="B1027" s="6">
        <v>2.9970029970029901E-3</v>
      </c>
      <c r="C1027" s="6">
        <v>5.09189189189189E-2</v>
      </c>
    </row>
    <row r="1028" spans="1:3" s="8" customFormat="1" x14ac:dyDescent="0.2">
      <c r="A1028" s="6" t="str">
        <f>"YWHAQ"</f>
        <v>YWHAQ</v>
      </c>
      <c r="B1028" s="6">
        <v>2.9970029970029901E-3</v>
      </c>
      <c r="C1028" s="6">
        <v>5.09189189189189E-2</v>
      </c>
    </row>
    <row r="1029" spans="1:3" s="8" customFormat="1" x14ac:dyDescent="0.2">
      <c r="A1029" s="6" t="str">
        <f>"MIDN"</f>
        <v>MIDN</v>
      </c>
      <c r="B1029" s="6">
        <v>2.9970029970029901E-3</v>
      </c>
      <c r="C1029" s="6">
        <v>5.09189189189189E-2</v>
      </c>
    </row>
    <row r="1030" spans="1:3" s="8" customFormat="1" x14ac:dyDescent="0.2">
      <c r="A1030" s="6" t="str">
        <f>"GNAI2"</f>
        <v>GNAI2</v>
      </c>
      <c r="B1030" s="6">
        <v>2.9970029970029901E-3</v>
      </c>
      <c r="C1030" s="6">
        <v>5.09189189189189E-2</v>
      </c>
    </row>
    <row r="1031" spans="1:3" s="8" customFormat="1" x14ac:dyDescent="0.2">
      <c r="A1031" s="6" t="str">
        <f>"RNF213"</f>
        <v>RNF213</v>
      </c>
      <c r="B1031" s="6">
        <v>2.9970029970029901E-3</v>
      </c>
      <c r="C1031" s="6">
        <v>5.09189189189189E-2</v>
      </c>
    </row>
    <row r="1032" spans="1:3" s="8" customFormat="1" x14ac:dyDescent="0.2">
      <c r="A1032" s="6" t="str">
        <f>"CNBP"</f>
        <v>CNBP</v>
      </c>
      <c r="B1032" s="6">
        <v>2.9970029970029901E-3</v>
      </c>
      <c r="C1032" s="6">
        <v>5.09189189189189E-2</v>
      </c>
    </row>
    <row r="1033" spans="1:3" s="8" customFormat="1" x14ac:dyDescent="0.2">
      <c r="A1033" s="6" t="str">
        <f>"NPTN"</f>
        <v>NPTN</v>
      </c>
      <c r="B1033" s="6">
        <v>2.9970029970029901E-3</v>
      </c>
      <c r="C1033" s="6">
        <v>5.09189189189189E-2</v>
      </c>
    </row>
    <row r="1034" spans="1:3" s="8" customFormat="1" x14ac:dyDescent="0.2">
      <c r="A1034" s="6" t="str">
        <f>"TXN"</f>
        <v>TXN</v>
      </c>
      <c r="B1034" s="6">
        <v>2.9970029970029901E-3</v>
      </c>
      <c r="C1034" s="6">
        <v>5.09189189189189E-2</v>
      </c>
    </row>
    <row r="1035" spans="1:3" s="8" customFormat="1" x14ac:dyDescent="0.2">
      <c r="A1035" s="6" t="str">
        <f>"CA12"</f>
        <v>CA12</v>
      </c>
      <c r="B1035" s="6">
        <v>2.9970029970029901E-3</v>
      </c>
      <c r="C1035" s="6">
        <v>5.09189189189189E-2</v>
      </c>
    </row>
    <row r="1036" spans="1:3" s="8" customFormat="1" x14ac:dyDescent="0.2">
      <c r="A1036" s="6" t="str">
        <f>"SPRR3"</f>
        <v>SPRR3</v>
      </c>
      <c r="B1036" s="6">
        <v>2.9970029970029901E-3</v>
      </c>
      <c r="C1036" s="6">
        <v>5.09189189189189E-2</v>
      </c>
    </row>
    <row r="1037" spans="1:3" s="8" customFormat="1" x14ac:dyDescent="0.2">
      <c r="A1037" s="6" t="str">
        <f>"MT-ND3"</f>
        <v>MT-ND3</v>
      </c>
      <c r="B1037" s="6">
        <v>2.9970029970029901E-3</v>
      </c>
      <c r="C1037" s="6">
        <v>5.09189189189189E-2</v>
      </c>
    </row>
    <row r="1038" spans="1:3" s="8" customFormat="1" x14ac:dyDescent="0.2">
      <c r="A1038" s="6" t="str">
        <f>"AC021087.1"</f>
        <v>AC021087.1</v>
      </c>
      <c r="B1038" s="6">
        <v>3.0150753768844198E-3</v>
      </c>
      <c r="C1038" s="6">
        <v>5.1125443999166402E-2</v>
      </c>
    </row>
    <row r="1039" spans="1:3" s="8" customFormat="1" x14ac:dyDescent="0.2">
      <c r="A1039" s="6" t="str">
        <f>"AC011773.4"</f>
        <v>AC011773.4</v>
      </c>
      <c r="B1039" s="6">
        <v>3.04259634888438E-3</v>
      </c>
      <c r="C1039" s="6">
        <v>5.1542402889000902E-2</v>
      </c>
    </row>
    <row r="1040" spans="1:3" s="8" customFormat="1" x14ac:dyDescent="0.2">
      <c r="A1040" s="6" t="str">
        <f>"AC005972.3"</f>
        <v>AC005972.3</v>
      </c>
      <c r="B1040" s="6">
        <v>3.06122448979591E-3</v>
      </c>
      <c r="C1040" s="6">
        <v>5.1808057197854897E-2</v>
      </c>
    </row>
    <row r="1041" spans="1:3" s="8" customFormat="1" x14ac:dyDescent="0.2">
      <c r="A1041" s="6" t="str">
        <f>"AC097713.2"</f>
        <v>AC097713.2</v>
      </c>
      <c r="B1041" s="6">
        <v>3.2051282051281998E-3</v>
      </c>
      <c r="C1041" s="6">
        <v>5.4191321499013699E-2</v>
      </c>
    </row>
    <row r="1042" spans="1:3" s="8" customFormat="1" x14ac:dyDescent="0.2">
      <c r="A1042" s="6" t="str">
        <f>"AL160408.2"</f>
        <v>AL160408.2</v>
      </c>
      <c r="B1042" s="6">
        <v>3.3936651583710399E-3</v>
      </c>
      <c r="C1042" s="6">
        <v>5.7323927132369203E-2</v>
      </c>
    </row>
    <row r="1043" spans="1:3" s="8" customFormat="1" x14ac:dyDescent="0.2">
      <c r="A1043" s="6" t="str">
        <f>"AC073195.1"</f>
        <v>AC073195.1</v>
      </c>
      <c r="B1043" s="6">
        <v>3.4722222222222199E-3</v>
      </c>
      <c r="C1043" s="6">
        <v>5.8594583066751901E-2</v>
      </c>
    </row>
    <row r="1044" spans="1:3" s="8" customFormat="1" x14ac:dyDescent="0.2">
      <c r="A1044" s="6" t="str">
        <f>"AC140481.3"</f>
        <v>AC140481.3</v>
      </c>
      <c r="B1044" s="6">
        <v>3.9960039960039899E-3</v>
      </c>
      <c r="C1044" s="6">
        <v>6.0116239316239301E-2</v>
      </c>
    </row>
    <row r="1045" spans="1:3" s="8" customFormat="1" x14ac:dyDescent="0.2">
      <c r="A1045" s="6" t="str">
        <f>"AL160408.3"</f>
        <v>AL160408.3</v>
      </c>
      <c r="B1045" s="6">
        <v>4.0000000000000001E-3</v>
      </c>
      <c r="C1045" s="6">
        <v>6.0116239316239301E-2</v>
      </c>
    </row>
    <row r="1046" spans="1:3" s="8" customFormat="1" x14ac:dyDescent="0.2">
      <c r="A1046" s="6" t="str">
        <f>"PNOC"</f>
        <v>PNOC</v>
      </c>
      <c r="B1046" s="6">
        <v>3.9960039960039899E-3</v>
      </c>
      <c r="C1046" s="6">
        <v>6.0116239316239301E-2</v>
      </c>
    </row>
    <row r="1047" spans="1:3" s="8" customFormat="1" x14ac:dyDescent="0.2">
      <c r="A1047" s="6" t="str">
        <f>"JAM2"</f>
        <v>JAM2</v>
      </c>
      <c r="B1047" s="6">
        <v>3.9960039960039899E-3</v>
      </c>
      <c r="C1047" s="6">
        <v>6.0116239316239301E-2</v>
      </c>
    </row>
    <row r="1048" spans="1:3" s="8" customFormat="1" x14ac:dyDescent="0.2">
      <c r="A1048" s="6" t="str">
        <f>"MTND5P32"</f>
        <v>MTND5P32</v>
      </c>
      <c r="B1048" s="6">
        <v>3.9960039960039899E-3</v>
      </c>
      <c r="C1048" s="6">
        <v>6.0116239316239301E-2</v>
      </c>
    </row>
    <row r="1049" spans="1:3" s="8" customFormat="1" x14ac:dyDescent="0.2">
      <c r="A1049" s="6" t="str">
        <f>"RPS3AP47"</f>
        <v>RPS3AP47</v>
      </c>
      <c r="B1049" s="6">
        <v>3.9840637450199202E-3</v>
      </c>
      <c r="C1049" s="6">
        <v>6.0116239316239301E-2</v>
      </c>
    </row>
    <row r="1050" spans="1:3" s="8" customFormat="1" x14ac:dyDescent="0.2">
      <c r="A1050" s="6" t="str">
        <f>"AL118508.3"</f>
        <v>AL118508.3</v>
      </c>
      <c r="B1050" s="6">
        <v>3.9960039960039899E-3</v>
      </c>
      <c r="C1050" s="6">
        <v>6.0116239316239301E-2</v>
      </c>
    </row>
    <row r="1051" spans="1:3" s="8" customFormat="1" x14ac:dyDescent="0.2">
      <c r="A1051" s="6" t="str">
        <f>"AL136988.1"</f>
        <v>AL136988.1</v>
      </c>
      <c r="B1051" s="6">
        <v>3.6945812807881698E-3</v>
      </c>
      <c r="C1051" s="6">
        <v>6.0116239316239301E-2</v>
      </c>
    </row>
    <row r="1052" spans="1:3" s="8" customFormat="1" x14ac:dyDescent="0.2">
      <c r="A1052" s="6" t="str">
        <f>"AC000123.2"</f>
        <v>AC000123.2</v>
      </c>
      <c r="B1052" s="6">
        <v>3.9960039960039899E-3</v>
      </c>
      <c r="C1052" s="6">
        <v>6.0116239316239301E-2</v>
      </c>
    </row>
    <row r="1053" spans="1:3" s="8" customFormat="1" x14ac:dyDescent="0.2">
      <c r="A1053" s="6" t="str">
        <f>"AC019155.2"</f>
        <v>AC019155.2</v>
      </c>
      <c r="B1053" s="6">
        <v>3.9960039960039899E-3</v>
      </c>
      <c r="C1053" s="6">
        <v>6.0116239316239301E-2</v>
      </c>
    </row>
    <row r="1054" spans="1:3" s="8" customFormat="1" x14ac:dyDescent="0.2">
      <c r="A1054" s="6" t="str">
        <f>"HSP90AA3P"</f>
        <v>HSP90AA3P</v>
      </c>
      <c r="B1054" s="6">
        <v>4.0000000000000001E-3</v>
      </c>
      <c r="C1054" s="6">
        <v>6.0116239316239301E-2</v>
      </c>
    </row>
    <row r="1055" spans="1:3" s="8" customFormat="1" x14ac:dyDescent="0.2">
      <c r="A1055" s="6" t="str">
        <f>"ISM2"</f>
        <v>ISM2</v>
      </c>
      <c r="B1055" s="6">
        <v>3.9960039960039899E-3</v>
      </c>
      <c r="C1055" s="6">
        <v>6.0116239316239301E-2</v>
      </c>
    </row>
    <row r="1056" spans="1:3" s="8" customFormat="1" x14ac:dyDescent="0.2">
      <c r="A1056" s="6" t="str">
        <f>"LINC00540"</f>
        <v>LINC00540</v>
      </c>
      <c r="B1056" s="6">
        <v>3.9960039960039899E-3</v>
      </c>
      <c r="C1056" s="6">
        <v>6.0116239316239301E-2</v>
      </c>
    </row>
    <row r="1057" spans="1:3" s="8" customFormat="1" x14ac:dyDescent="0.2">
      <c r="A1057" s="6" t="str">
        <f>"AC005280.2"</f>
        <v>AC005280.2</v>
      </c>
      <c r="B1057" s="6">
        <v>3.9960039960039899E-3</v>
      </c>
      <c r="C1057" s="6">
        <v>6.0116239316239301E-2</v>
      </c>
    </row>
    <row r="1058" spans="1:3" s="8" customFormat="1" x14ac:dyDescent="0.2">
      <c r="A1058" s="6" t="str">
        <f>"GOLGA6L3"</f>
        <v>GOLGA6L3</v>
      </c>
      <c r="B1058" s="6">
        <v>3.9960039960039899E-3</v>
      </c>
      <c r="C1058" s="6">
        <v>6.0116239316239301E-2</v>
      </c>
    </row>
    <row r="1059" spans="1:3" s="8" customFormat="1" x14ac:dyDescent="0.2">
      <c r="A1059" s="6" t="str">
        <f>"AL035409.2"</f>
        <v>AL035409.2</v>
      </c>
      <c r="B1059" s="6">
        <v>3.9960039960039899E-3</v>
      </c>
      <c r="C1059" s="6">
        <v>6.0116239316239301E-2</v>
      </c>
    </row>
    <row r="1060" spans="1:3" s="8" customFormat="1" x14ac:dyDescent="0.2">
      <c r="A1060" s="6" t="str">
        <f>"PCDH18"</f>
        <v>PCDH18</v>
      </c>
      <c r="B1060" s="6">
        <v>3.9960039960039899E-3</v>
      </c>
      <c r="C1060" s="6">
        <v>6.0116239316239301E-2</v>
      </c>
    </row>
    <row r="1061" spans="1:3" s="8" customFormat="1" x14ac:dyDescent="0.2">
      <c r="A1061" s="6" t="str">
        <f>"SNHG22"</f>
        <v>SNHG22</v>
      </c>
      <c r="B1061" s="6">
        <v>3.9960039960039899E-3</v>
      </c>
      <c r="C1061" s="6">
        <v>6.0116239316239301E-2</v>
      </c>
    </row>
    <row r="1062" spans="1:3" s="8" customFormat="1" x14ac:dyDescent="0.2">
      <c r="A1062" s="6" t="str">
        <f>"UBBP4"</f>
        <v>UBBP4</v>
      </c>
      <c r="B1062" s="6">
        <v>3.9960039960039899E-3</v>
      </c>
      <c r="C1062" s="6">
        <v>6.0116239316239301E-2</v>
      </c>
    </row>
    <row r="1063" spans="1:3" s="8" customFormat="1" x14ac:dyDescent="0.2">
      <c r="A1063" s="6" t="str">
        <f>"SEZ6"</f>
        <v>SEZ6</v>
      </c>
      <c r="B1063" s="6">
        <v>3.9960039960039899E-3</v>
      </c>
      <c r="C1063" s="6">
        <v>6.0116239316239301E-2</v>
      </c>
    </row>
    <row r="1064" spans="1:3" s="8" customFormat="1" x14ac:dyDescent="0.2">
      <c r="A1064" s="6" t="str">
        <f>"AJ003147.2"</f>
        <v>AJ003147.2</v>
      </c>
      <c r="B1064" s="6">
        <v>3.9960039960039899E-3</v>
      </c>
      <c r="C1064" s="6">
        <v>6.0116239316239301E-2</v>
      </c>
    </row>
    <row r="1065" spans="1:3" s="8" customFormat="1" x14ac:dyDescent="0.2">
      <c r="A1065" s="6" t="str">
        <f>"TKTL1"</f>
        <v>TKTL1</v>
      </c>
      <c r="B1065" s="6">
        <v>3.9960039960039899E-3</v>
      </c>
      <c r="C1065" s="6">
        <v>6.0116239316239301E-2</v>
      </c>
    </row>
    <row r="1066" spans="1:3" s="8" customFormat="1" x14ac:dyDescent="0.2">
      <c r="A1066" s="6" t="str">
        <f>"MGAT4C"</f>
        <v>MGAT4C</v>
      </c>
      <c r="B1066" s="6">
        <v>3.9960039960039899E-3</v>
      </c>
      <c r="C1066" s="6">
        <v>6.0116239316239301E-2</v>
      </c>
    </row>
    <row r="1067" spans="1:3" s="8" customFormat="1" x14ac:dyDescent="0.2">
      <c r="A1067" s="6" t="str">
        <f>"RPL21P28"</f>
        <v>RPL21P28</v>
      </c>
      <c r="B1067" s="6">
        <v>3.7688442211055201E-3</v>
      </c>
      <c r="C1067" s="6">
        <v>6.0116239316239301E-2</v>
      </c>
    </row>
    <row r="1068" spans="1:3" s="8" customFormat="1" x14ac:dyDescent="0.2">
      <c r="A1068" s="6" t="str">
        <f>"AC110995.1"</f>
        <v>AC110995.1</v>
      </c>
      <c r="B1068" s="6">
        <v>3.9960039960039899E-3</v>
      </c>
      <c r="C1068" s="6">
        <v>6.0116239316239301E-2</v>
      </c>
    </row>
    <row r="1069" spans="1:3" s="8" customFormat="1" x14ac:dyDescent="0.2">
      <c r="A1069" s="6" t="str">
        <f>"AC091073.1"</f>
        <v>AC091073.1</v>
      </c>
      <c r="B1069" s="6">
        <v>3.9960039960039899E-3</v>
      </c>
      <c r="C1069" s="6">
        <v>6.0116239316239301E-2</v>
      </c>
    </row>
    <row r="1070" spans="1:3" s="8" customFormat="1" x14ac:dyDescent="0.2">
      <c r="A1070" s="6" t="str">
        <f>"AL117335.1"</f>
        <v>AL117335.1</v>
      </c>
      <c r="B1070" s="6">
        <v>3.9960039960039899E-3</v>
      </c>
      <c r="C1070" s="6">
        <v>6.0116239316239301E-2</v>
      </c>
    </row>
    <row r="1071" spans="1:3" s="8" customFormat="1" x14ac:dyDescent="0.2">
      <c r="A1071" s="6" t="str">
        <f>"OGDHL"</f>
        <v>OGDHL</v>
      </c>
      <c r="B1071" s="6">
        <v>3.9960039960039899E-3</v>
      </c>
      <c r="C1071" s="6">
        <v>6.0116239316239301E-2</v>
      </c>
    </row>
    <row r="1072" spans="1:3" s="8" customFormat="1" x14ac:dyDescent="0.2">
      <c r="A1072" s="6" t="str">
        <f>"RN7SL602P"</f>
        <v>RN7SL602P</v>
      </c>
      <c r="B1072" s="6">
        <v>4.0000000000000001E-3</v>
      </c>
      <c r="C1072" s="6">
        <v>6.0116239316239301E-2</v>
      </c>
    </row>
    <row r="1073" spans="1:3" s="8" customFormat="1" x14ac:dyDescent="0.2">
      <c r="A1073" s="6" t="str">
        <f>"KHDRBS2"</f>
        <v>KHDRBS2</v>
      </c>
      <c r="B1073" s="6">
        <v>3.9960039960039899E-3</v>
      </c>
      <c r="C1073" s="6">
        <v>6.0116239316239301E-2</v>
      </c>
    </row>
    <row r="1074" spans="1:3" s="8" customFormat="1" x14ac:dyDescent="0.2">
      <c r="A1074" s="6" t="str">
        <f>"BX005266.2"</f>
        <v>BX005266.2</v>
      </c>
      <c r="B1074" s="6">
        <v>3.9960039960039899E-3</v>
      </c>
      <c r="C1074" s="6">
        <v>6.0116239316239301E-2</v>
      </c>
    </row>
    <row r="1075" spans="1:3" s="8" customFormat="1" x14ac:dyDescent="0.2">
      <c r="A1075" s="6" t="str">
        <f>"CACNA1E"</f>
        <v>CACNA1E</v>
      </c>
      <c r="B1075" s="6">
        <v>3.9960039960039899E-3</v>
      </c>
      <c r="C1075" s="6">
        <v>6.0116239316239301E-2</v>
      </c>
    </row>
    <row r="1076" spans="1:3" s="8" customFormat="1" x14ac:dyDescent="0.2">
      <c r="A1076" s="6" t="str">
        <f>"AC005280.3"</f>
        <v>AC005280.3</v>
      </c>
      <c r="B1076" s="6">
        <v>4.0000000000000001E-3</v>
      </c>
      <c r="C1076" s="6">
        <v>6.0116239316239301E-2</v>
      </c>
    </row>
    <row r="1077" spans="1:3" s="8" customFormat="1" x14ac:dyDescent="0.2">
      <c r="A1077" s="6" t="str">
        <f>"C12orf56"</f>
        <v>C12orf56</v>
      </c>
      <c r="B1077" s="6">
        <v>3.9960039960039899E-3</v>
      </c>
      <c r="C1077" s="6">
        <v>6.0116239316239301E-2</v>
      </c>
    </row>
    <row r="1078" spans="1:3" s="8" customFormat="1" x14ac:dyDescent="0.2">
      <c r="A1078" s="6" t="str">
        <f>"MYBL1"</f>
        <v>MYBL1</v>
      </c>
      <c r="B1078" s="6">
        <v>3.9960039960039899E-3</v>
      </c>
      <c r="C1078" s="6">
        <v>6.0116239316239301E-2</v>
      </c>
    </row>
    <row r="1079" spans="1:3" s="8" customFormat="1" x14ac:dyDescent="0.2">
      <c r="A1079" s="6" t="str">
        <f>"TMEM26"</f>
        <v>TMEM26</v>
      </c>
      <c r="B1079" s="6">
        <v>3.9960039960039899E-3</v>
      </c>
      <c r="C1079" s="6">
        <v>6.0116239316239301E-2</v>
      </c>
    </row>
    <row r="1080" spans="1:3" s="8" customFormat="1" x14ac:dyDescent="0.2">
      <c r="A1080" s="6" t="str">
        <f>"KRT89P"</f>
        <v>KRT89P</v>
      </c>
      <c r="B1080" s="6">
        <v>3.9960039960039899E-3</v>
      </c>
      <c r="C1080" s="6">
        <v>6.0116239316239301E-2</v>
      </c>
    </row>
    <row r="1081" spans="1:3" s="8" customFormat="1" x14ac:dyDescent="0.2">
      <c r="A1081" s="6" t="str">
        <f>"GSEC"</f>
        <v>GSEC</v>
      </c>
      <c r="B1081" s="6">
        <v>3.9960039960039899E-3</v>
      </c>
      <c r="C1081" s="6">
        <v>6.0116239316239301E-2</v>
      </c>
    </row>
    <row r="1082" spans="1:3" s="8" customFormat="1" x14ac:dyDescent="0.2">
      <c r="A1082" s="6" t="str">
        <f>"CLDN17"</f>
        <v>CLDN17</v>
      </c>
      <c r="B1082" s="6">
        <v>3.9960039960039899E-3</v>
      </c>
      <c r="C1082" s="6">
        <v>6.0116239316239301E-2</v>
      </c>
    </row>
    <row r="1083" spans="1:3" s="8" customFormat="1" x14ac:dyDescent="0.2">
      <c r="A1083" s="6" t="str">
        <f>"RPL14P1"</f>
        <v>RPL14P1</v>
      </c>
      <c r="B1083" s="6">
        <v>3.9960039960039899E-3</v>
      </c>
      <c r="C1083" s="6">
        <v>6.0116239316239301E-2</v>
      </c>
    </row>
    <row r="1084" spans="1:3" s="8" customFormat="1" x14ac:dyDescent="0.2">
      <c r="A1084" s="6" t="str">
        <f>"AC009005.1"</f>
        <v>AC009005.1</v>
      </c>
      <c r="B1084" s="6">
        <v>3.9960039960039899E-3</v>
      </c>
      <c r="C1084" s="6">
        <v>6.0116239316239301E-2</v>
      </c>
    </row>
    <row r="1085" spans="1:3" s="8" customFormat="1" x14ac:dyDescent="0.2">
      <c r="A1085" s="6" t="str">
        <f>"NPR3"</f>
        <v>NPR3</v>
      </c>
      <c r="B1085" s="6">
        <v>3.9960039960039899E-3</v>
      </c>
      <c r="C1085" s="6">
        <v>6.0116239316239301E-2</v>
      </c>
    </row>
    <row r="1086" spans="1:3" s="8" customFormat="1" x14ac:dyDescent="0.2">
      <c r="A1086" s="6" t="str">
        <f>"TMEM119"</f>
        <v>TMEM119</v>
      </c>
      <c r="B1086" s="6">
        <v>3.9960039960039899E-3</v>
      </c>
      <c r="C1086" s="6">
        <v>6.0116239316239301E-2</v>
      </c>
    </row>
    <row r="1087" spans="1:3" s="8" customFormat="1" x14ac:dyDescent="0.2">
      <c r="A1087" s="6" t="str">
        <f>"MESP2"</f>
        <v>MESP2</v>
      </c>
      <c r="B1087" s="6">
        <v>3.9960039960039899E-3</v>
      </c>
      <c r="C1087" s="6">
        <v>6.0116239316239301E-2</v>
      </c>
    </row>
    <row r="1088" spans="1:3" s="8" customFormat="1" x14ac:dyDescent="0.2">
      <c r="A1088" s="6" t="str">
        <f>"CMTM1"</f>
        <v>CMTM1</v>
      </c>
      <c r="B1088" s="6">
        <v>3.9960039960039899E-3</v>
      </c>
      <c r="C1088" s="6">
        <v>6.0116239316239301E-2</v>
      </c>
    </row>
    <row r="1089" spans="1:3" s="8" customFormat="1" x14ac:dyDescent="0.2">
      <c r="A1089" s="6" t="str">
        <f>"SLC5A9"</f>
        <v>SLC5A9</v>
      </c>
      <c r="B1089" s="6">
        <v>3.9960039960039899E-3</v>
      </c>
      <c r="C1089" s="6">
        <v>6.0116239316239301E-2</v>
      </c>
    </row>
    <row r="1090" spans="1:3" s="8" customFormat="1" x14ac:dyDescent="0.2">
      <c r="A1090" s="6" t="str">
        <f>"FPGT-TNNI3K"</f>
        <v>FPGT-TNNI3K</v>
      </c>
      <c r="B1090" s="6">
        <v>3.9960039960039899E-3</v>
      </c>
      <c r="C1090" s="6">
        <v>6.0116239316239301E-2</v>
      </c>
    </row>
    <row r="1091" spans="1:3" s="8" customFormat="1" x14ac:dyDescent="0.2">
      <c r="A1091" s="6" t="str">
        <f>"YJEFN3"</f>
        <v>YJEFN3</v>
      </c>
      <c r="B1091" s="6">
        <v>3.9960039960039899E-3</v>
      </c>
      <c r="C1091" s="6">
        <v>6.0116239316239301E-2</v>
      </c>
    </row>
    <row r="1092" spans="1:3" s="8" customFormat="1" x14ac:dyDescent="0.2">
      <c r="A1092" s="6" t="str">
        <f>"Z97192.1"</f>
        <v>Z97192.1</v>
      </c>
      <c r="B1092" s="6">
        <v>3.9960039960039899E-3</v>
      </c>
      <c r="C1092" s="6">
        <v>6.0116239316239301E-2</v>
      </c>
    </row>
    <row r="1093" spans="1:3" s="8" customFormat="1" x14ac:dyDescent="0.2">
      <c r="A1093" s="6" t="str">
        <f>"SNAI3"</f>
        <v>SNAI3</v>
      </c>
      <c r="B1093" s="6">
        <v>3.9960039960039899E-3</v>
      </c>
      <c r="C1093" s="6">
        <v>6.0116239316239301E-2</v>
      </c>
    </row>
    <row r="1094" spans="1:3" s="8" customFormat="1" x14ac:dyDescent="0.2">
      <c r="A1094" s="6" t="str">
        <f>"AC010624.3"</f>
        <v>AC010624.3</v>
      </c>
      <c r="B1094" s="6">
        <v>3.9960039960039899E-3</v>
      </c>
      <c r="C1094" s="6">
        <v>6.0116239316239301E-2</v>
      </c>
    </row>
    <row r="1095" spans="1:3" s="8" customFormat="1" x14ac:dyDescent="0.2">
      <c r="A1095" s="6" t="str">
        <f>"SPC24"</f>
        <v>SPC24</v>
      </c>
      <c r="B1095" s="6">
        <v>3.9960039960039899E-3</v>
      </c>
      <c r="C1095" s="6">
        <v>6.0116239316239301E-2</v>
      </c>
    </row>
    <row r="1096" spans="1:3" s="8" customFormat="1" x14ac:dyDescent="0.2">
      <c r="A1096" s="6" t="str">
        <f>"BTK"</f>
        <v>BTK</v>
      </c>
      <c r="B1096" s="6">
        <v>3.9960039960039899E-3</v>
      </c>
      <c r="C1096" s="6">
        <v>6.0116239316239301E-2</v>
      </c>
    </row>
    <row r="1097" spans="1:3" s="8" customFormat="1" x14ac:dyDescent="0.2">
      <c r="A1097" s="6" t="str">
        <f>"CD209"</f>
        <v>CD209</v>
      </c>
      <c r="B1097" s="6">
        <v>3.9960039960039899E-3</v>
      </c>
      <c r="C1097" s="6">
        <v>6.0116239316239301E-2</v>
      </c>
    </row>
    <row r="1098" spans="1:3" s="8" customFormat="1" x14ac:dyDescent="0.2">
      <c r="A1098" s="6" t="str">
        <f>"SIGLEC1"</f>
        <v>SIGLEC1</v>
      </c>
      <c r="B1098" s="6">
        <v>4.0000000000000001E-3</v>
      </c>
      <c r="C1098" s="6">
        <v>6.0116239316239301E-2</v>
      </c>
    </row>
    <row r="1099" spans="1:3" s="8" customFormat="1" x14ac:dyDescent="0.2">
      <c r="A1099" s="6" t="str">
        <f>"HHEX"</f>
        <v>HHEX</v>
      </c>
      <c r="B1099" s="6">
        <v>3.9960039960039899E-3</v>
      </c>
      <c r="C1099" s="6">
        <v>6.0116239316239301E-2</v>
      </c>
    </row>
    <row r="1100" spans="1:3" s="8" customFormat="1" x14ac:dyDescent="0.2">
      <c r="A1100" s="6" t="str">
        <f>"GAPT"</f>
        <v>GAPT</v>
      </c>
      <c r="B1100" s="6">
        <v>3.9960039960039899E-3</v>
      </c>
      <c r="C1100" s="6">
        <v>6.0116239316239301E-2</v>
      </c>
    </row>
    <row r="1101" spans="1:3" s="8" customFormat="1" x14ac:dyDescent="0.2">
      <c r="A1101" s="6" t="str">
        <f>"ETV4"</f>
        <v>ETV4</v>
      </c>
      <c r="B1101" s="6">
        <v>3.9960039960039899E-3</v>
      </c>
      <c r="C1101" s="6">
        <v>6.0116239316239301E-2</v>
      </c>
    </row>
    <row r="1102" spans="1:3" s="8" customFormat="1" x14ac:dyDescent="0.2">
      <c r="A1102" s="6" t="str">
        <f>"MFAP2"</f>
        <v>MFAP2</v>
      </c>
      <c r="B1102" s="6">
        <v>3.9960039960039899E-3</v>
      </c>
      <c r="C1102" s="6">
        <v>6.0116239316239301E-2</v>
      </c>
    </row>
    <row r="1103" spans="1:3" s="8" customFormat="1" x14ac:dyDescent="0.2">
      <c r="A1103" s="6" t="str">
        <f>"ZNF135"</f>
        <v>ZNF135</v>
      </c>
      <c r="B1103" s="6">
        <v>3.9960039960039899E-3</v>
      </c>
      <c r="C1103" s="6">
        <v>6.0116239316239301E-2</v>
      </c>
    </row>
    <row r="1104" spans="1:3" s="8" customFormat="1" x14ac:dyDescent="0.2">
      <c r="A1104" s="6" t="str">
        <f>"ITGB2-AS1"</f>
        <v>ITGB2-AS1</v>
      </c>
      <c r="B1104" s="6">
        <v>3.9960039960039899E-3</v>
      </c>
      <c r="C1104" s="6">
        <v>6.0116239316239301E-2</v>
      </c>
    </row>
    <row r="1105" spans="1:3" s="8" customFormat="1" x14ac:dyDescent="0.2">
      <c r="A1105" s="6" t="str">
        <f>"RASGRP2"</f>
        <v>RASGRP2</v>
      </c>
      <c r="B1105" s="6">
        <v>3.9960039960039899E-3</v>
      </c>
      <c r="C1105" s="6">
        <v>6.0116239316239301E-2</v>
      </c>
    </row>
    <row r="1106" spans="1:3" s="8" customFormat="1" x14ac:dyDescent="0.2">
      <c r="A1106" s="6" t="str">
        <f>"MELK"</f>
        <v>MELK</v>
      </c>
      <c r="B1106" s="6">
        <v>3.9960039960039899E-3</v>
      </c>
      <c r="C1106" s="6">
        <v>6.0116239316239301E-2</v>
      </c>
    </row>
    <row r="1107" spans="1:3" s="8" customFormat="1" x14ac:dyDescent="0.2">
      <c r="A1107" s="6" t="str">
        <f>"TAGLN3"</f>
        <v>TAGLN3</v>
      </c>
      <c r="B1107" s="6">
        <v>3.9960039960039899E-3</v>
      </c>
      <c r="C1107" s="6">
        <v>6.0116239316239301E-2</v>
      </c>
    </row>
    <row r="1108" spans="1:3" s="8" customFormat="1" x14ac:dyDescent="0.2">
      <c r="A1108" s="6" t="str">
        <f>"AL139246.5"</f>
        <v>AL139246.5</v>
      </c>
      <c r="B1108" s="6">
        <v>3.9960039960039899E-3</v>
      </c>
      <c r="C1108" s="6">
        <v>6.0116239316239301E-2</v>
      </c>
    </row>
    <row r="1109" spans="1:3" s="8" customFormat="1" x14ac:dyDescent="0.2">
      <c r="A1109" s="6" t="str">
        <f>"SPINK7"</f>
        <v>SPINK7</v>
      </c>
      <c r="B1109" s="6">
        <v>3.9960039960039899E-3</v>
      </c>
      <c r="C1109" s="6">
        <v>6.0116239316239301E-2</v>
      </c>
    </row>
    <row r="1110" spans="1:3" s="8" customFormat="1" x14ac:dyDescent="0.2">
      <c r="A1110" s="6" t="str">
        <f>"CMTM2"</f>
        <v>CMTM2</v>
      </c>
      <c r="B1110" s="6">
        <v>3.9960039960039899E-3</v>
      </c>
      <c r="C1110" s="6">
        <v>6.0116239316239301E-2</v>
      </c>
    </row>
    <row r="1111" spans="1:3" s="8" customFormat="1" x14ac:dyDescent="0.2">
      <c r="A1111" s="6" t="str">
        <f>"GPR132"</f>
        <v>GPR132</v>
      </c>
      <c r="B1111" s="6">
        <v>3.9960039960039899E-3</v>
      </c>
      <c r="C1111" s="6">
        <v>6.0116239316239301E-2</v>
      </c>
    </row>
    <row r="1112" spans="1:3" s="8" customFormat="1" x14ac:dyDescent="0.2">
      <c r="A1112" s="6" t="str">
        <f>"CYRIA"</f>
        <v>CYRIA</v>
      </c>
      <c r="B1112" s="6">
        <v>3.9960039960039899E-3</v>
      </c>
      <c r="C1112" s="6">
        <v>6.0116239316239301E-2</v>
      </c>
    </row>
    <row r="1113" spans="1:3" s="8" customFormat="1" x14ac:dyDescent="0.2">
      <c r="A1113" s="6" t="str">
        <f>"RNF223"</f>
        <v>RNF223</v>
      </c>
      <c r="B1113" s="6">
        <v>3.9960039960039899E-3</v>
      </c>
      <c r="C1113" s="6">
        <v>6.0116239316239301E-2</v>
      </c>
    </row>
    <row r="1114" spans="1:3" s="8" customFormat="1" x14ac:dyDescent="0.2">
      <c r="A1114" s="6" t="str">
        <f>"CLEC4E"</f>
        <v>CLEC4E</v>
      </c>
      <c r="B1114" s="6">
        <v>3.9960039960039899E-3</v>
      </c>
      <c r="C1114" s="6">
        <v>6.0116239316239301E-2</v>
      </c>
    </row>
    <row r="1115" spans="1:3" s="8" customFormat="1" x14ac:dyDescent="0.2">
      <c r="A1115" s="6" t="str">
        <f>"LTB"</f>
        <v>LTB</v>
      </c>
      <c r="B1115" s="6">
        <v>3.9960039960039899E-3</v>
      </c>
      <c r="C1115" s="6">
        <v>6.0116239316239301E-2</v>
      </c>
    </row>
    <row r="1116" spans="1:3" s="8" customFormat="1" x14ac:dyDescent="0.2">
      <c r="A1116" s="6" t="str">
        <f>"WASL-DT"</f>
        <v>WASL-DT</v>
      </c>
      <c r="B1116" s="6">
        <v>3.9960039960039899E-3</v>
      </c>
      <c r="C1116" s="6">
        <v>6.0116239316239301E-2</v>
      </c>
    </row>
    <row r="1117" spans="1:3" s="8" customFormat="1" x14ac:dyDescent="0.2">
      <c r="A1117" s="6" t="str">
        <f>"GNG4"</f>
        <v>GNG4</v>
      </c>
      <c r="B1117" s="6">
        <v>3.9960039960039899E-3</v>
      </c>
      <c r="C1117" s="6">
        <v>6.0116239316239301E-2</v>
      </c>
    </row>
    <row r="1118" spans="1:3" s="8" customFormat="1" x14ac:dyDescent="0.2">
      <c r="A1118" s="6" t="str">
        <f>"UNC13D"</f>
        <v>UNC13D</v>
      </c>
      <c r="B1118" s="6">
        <v>3.9960039960039899E-3</v>
      </c>
      <c r="C1118" s="6">
        <v>6.0116239316239301E-2</v>
      </c>
    </row>
    <row r="1119" spans="1:3" s="8" customFormat="1" x14ac:dyDescent="0.2">
      <c r="A1119" s="6" t="str">
        <f>"GEN1"</f>
        <v>GEN1</v>
      </c>
      <c r="B1119" s="6">
        <v>3.9960039960039899E-3</v>
      </c>
      <c r="C1119" s="6">
        <v>6.0116239316239301E-2</v>
      </c>
    </row>
    <row r="1120" spans="1:3" s="8" customFormat="1" x14ac:dyDescent="0.2">
      <c r="A1120" s="6" t="str">
        <f>"TMEM243"</f>
        <v>TMEM243</v>
      </c>
      <c r="B1120" s="6">
        <v>3.9960039960039899E-3</v>
      </c>
      <c r="C1120" s="6">
        <v>6.0116239316239301E-2</v>
      </c>
    </row>
    <row r="1121" spans="1:3" s="8" customFormat="1" x14ac:dyDescent="0.2">
      <c r="A1121" s="6" t="str">
        <f>"DDIT3"</f>
        <v>DDIT3</v>
      </c>
      <c r="B1121" s="6">
        <v>3.9960039960039899E-3</v>
      </c>
      <c r="C1121" s="6">
        <v>6.0116239316239301E-2</v>
      </c>
    </row>
    <row r="1122" spans="1:3" s="8" customFormat="1" x14ac:dyDescent="0.2">
      <c r="A1122" s="6" t="str">
        <f>"HPCAL1"</f>
        <v>HPCAL1</v>
      </c>
      <c r="B1122" s="6">
        <v>3.9960039960039899E-3</v>
      </c>
      <c r="C1122" s="6">
        <v>6.0116239316239301E-2</v>
      </c>
    </row>
    <row r="1123" spans="1:3" s="8" customFormat="1" x14ac:dyDescent="0.2">
      <c r="A1123" s="6" t="str">
        <f>"DSC2"</f>
        <v>DSC2</v>
      </c>
      <c r="B1123" s="6">
        <v>3.9960039960039899E-3</v>
      </c>
      <c r="C1123" s="6">
        <v>6.0116239316239301E-2</v>
      </c>
    </row>
    <row r="1124" spans="1:3" s="8" customFormat="1" x14ac:dyDescent="0.2">
      <c r="A1124" s="6" t="str">
        <f>"SLC15A3"</f>
        <v>SLC15A3</v>
      </c>
      <c r="B1124" s="6">
        <v>3.9960039960039899E-3</v>
      </c>
      <c r="C1124" s="6">
        <v>6.0116239316239301E-2</v>
      </c>
    </row>
    <row r="1125" spans="1:3" s="8" customFormat="1" x14ac:dyDescent="0.2">
      <c r="A1125" s="6" t="str">
        <f>"LILRB2"</f>
        <v>LILRB2</v>
      </c>
      <c r="B1125" s="6">
        <v>3.9960039960039899E-3</v>
      </c>
      <c r="C1125" s="6">
        <v>6.0116239316239301E-2</v>
      </c>
    </row>
    <row r="1126" spans="1:3" s="8" customFormat="1" x14ac:dyDescent="0.2">
      <c r="A1126" s="6" t="str">
        <f>"UQCC2"</f>
        <v>UQCC2</v>
      </c>
      <c r="B1126" s="6">
        <v>3.9960039960039899E-3</v>
      </c>
      <c r="C1126" s="6">
        <v>6.0116239316239301E-2</v>
      </c>
    </row>
    <row r="1127" spans="1:3" s="8" customFormat="1" x14ac:dyDescent="0.2">
      <c r="A1127" s="6" t="str">
        <f>"KRT6B"</f>
        <v>KRT6B</v>
      </c>
      <c r="B1127" s="6">
        <v>3.9960039960039899E-3</v>
      </c>
      <c r="C1127" s="6">
        <v>6.0116239316239301E-2</v>
      </c>
    </row>
    <row r="1128" spans="1:3" s="8" customFormat="1" x14ac:dyDescent="0.2">
      <c r="A1128" s="6" t="str">
        <f>"ARHGAP4"</f>
        <v>ARHGAP4</v>
      </c>
      <c r="B1128" s="6">
        <v>3.9960039960039899E-3</v>
      </c>
      <c r="C1128" s="6">
        <v>6.0116239316239301E-2</v>
      </c>
    </row>
    <row r="1129" spans="1:3" s="8" customFormat="1" x14ac:dyDescent="0.2">
      <c r="A1129" s="6" t="str">
        <f>"C1QA"</f>
        <v>C1QA</v>
      </c>
      <c r="B1129" s="6">
        <v>3.9960039960039899E-3</v>
      </c>
      <c r="C1129" s="6">
        <v>6.0116239316239301E-2</v>
      </c>
    </row>
    <row r="1130" spans="1:3" s="8" customFormat="1" x14ac:dyDescent="0.2">
      <c r="A1130" s="6" t="str">
        <f>"SNED1"</f>
        <v>SNED1</v>
      </c>
      <c r="B1130" s="6">
        <v>3.9960039960039899E-3</v>
      </c>
      <c r="C1130" s="6">
        <v>6.0116239316239301E-2</v>
      </c>
    </row>
    <row r="1131" spans="1:3" s="8" customFormat="1" x14ac:dyDescent="0.2">
      <c r="A1131" s="6" t="str">
        <f>"CSRP2"</f>
        <v>CSRP2</v>
      </c>
      <c r="B1131" s="6">
        <v>3.9960039960039899E-3</v>
      </c>
      <c r="C1131" s="6">
        <v>6.0116239316239301E-2</v>
      </c>
    </row>
    <row r="1132" spans="1:3" s="8" customFormat="1" x14ac:dyDescent="0.2">
      <c r="A1132" s="6" t="str">
        <f>"PLXNC1"</f>
        <v>PLXNC1</v>
      </c>
      <c r="B1132" s="6">
        <v>3.9960039960039899E-3</v>
      </c>
      <c r="C1132" s="6">
        <v>6.0116239316239301E-2</v>
      </c>
    </row>
    <row r="1133" spans="1:3" s="8" customFormat="1" x14ac:dyDescent="0.2">
      <c r="A1133" s="6" t="str">
        <f>"PIGU"</f>
        <v>PIGU</v>
      </c>
      <c r="B1133" s="6">
        <v>4.0000000000000001E-3</v>
      </c>
      <c r="C1133" s="6">
        <v>6.0116239316239301E-2</v>
      </c>
    </row>
    <row r="1134" spans="1:3" s="8" customFormat="1" x14ac:dyDescent="0.2">
      <c r="A1134" s="6" t="str">
        <f>"TFAM"</f>
        <v>TFAM</v>
      </c>
      <c r="B1134" s="6">
        <v>3.9960039960039899E-3</v>
      </c>
      <c r="C1134" s="6">
        <v>6.0116239316239301E-2</v>
      </c>
    </row>
    <row r="1135" spans="1:3" s="8" customFormat="1" x14ac:dyDescent="0.2">
      <c r="A1135" s="6" t="str">
        <f>"GCA"</f>
        <v>GCA</v>
      </c>
      <c r="B1135" s="6">
        <v>3.9960039960039899E-3</v>
      </c>
      <c r="C1135" s="6">
        <v>6.0116239316239301E-2</v>
      </c>
    </row>
    <row r="1136" spans="1:3" s="8" customFormat="1" x14ac:dyDescent="0.2">
      <c r="A1136" s="6" t="str">
        <f>"TMEM178B"</f>
        <v>TMEM178B</v>
      </c>
      <c r="B1136" s="6">
        <v>3.9960039960039899E-3</v>
      </c>
      <c r="C1136" s="6">
        <v>6.0116239316239301E-2</v>
      </c>
    </row>
    <row r="1137" spans="1:3" s="8" customFormat="1" x14ac:dyDescent="0.2">
      <c r="A1137" s="6" t="str">
        <f>"ATG12"</f>
        <v>ATG12</v>
      </c>
      <c r="B1137" s="6">
        <v>3.9960039960039899E-3</v>
      </c>
      <c r="C1137" s="6">
        <v>6.0116239316239301E-2</v>
      </c>
    </row>
    <row r="1138" spans="1:3" s="8" customFormat="1" x14ac:dyDescent="0.2">
      <c r="A1138" s="6" t="str">
        <f>"SPRR2D"</f>
        <v>SPRR2D</v>
      </c>
      <c r="B1138" s="6">
        <v>3.9960039960039899E-3</v>
      </c>
      <c r="C1138" s="6">
        <v>6.0116239316239301E-2</v>
      </c>
    </row>
    <row r="1139" spans="1:3" s="8" customFormat="1" x14ac:dyDescent="0.2">
      <c r="A1139" s="6" t="str">
        <f>"CLEC7A"</f>
        <v>CLEC7A</v>
      </c>
      <c r="B1139" s="6">
        <v>3.9960039960039899E-3</v>
      </c>
      <c r="C1139" s="6">
        <v>6.0116239316239301E-2</v>
      </c>
    </row>
    <row r="1140" spans="1:3" s="8" customFormat="1" x14ac:dyDescent="0.2">
      <c r="A1140" s="6" t="str">
        <f>"ITPRIP"</f>
        <v>ITPRIP</v>
      </c>
      <c r="B1140" s="6">
        <v>3.9960039960039899E-3</v>
      </c>
      <c r="C1140" s="6">
        <v>6.0116239316239301E-2</v>
      </c>
    </row>
    <row r="1141" spans="1:3" s="8" customFormat="1" x14ac:dyDescent="0.2">
      <c r="A1141" s="6" t="str">
        <f>"H1-2"</f>
        <v>H1-2</v>
      </c>
      <c r="B1141" s="6">
        <v>3.9960039960039899E-3</v>
      </c>
      <c r="C1141" s="6">
        <v>6.0116239316239301E-2</v>
      </c>
    </row>
    <row r="1142" spans="1:3" s="8" customFormat="1" x14ac:dyDescent="0.2">
      <c r="A1142" s="6" t="str">
        <f>"POC1B"</f>
        <v>POC1B</v>
      </c>
      <c r="B1142" s="6">
        <v>3.9960039960039899E-3</v>
      </c>
      <c r="C1142" s="6">
        <v>6.0116239316239301E-2</v>
      </c>
    </row>
    <row r="1143" spans="1:3" s="8" customFormat="1" x14ac:dyDescent="0.2">
      <c r="A1143" s="6" t="str">
        <f>"LRRK2"</f>
        <v>LRRK2</v>
      </c>
      <c r="B1143" s="6">
        <v>3.9960039960039899E-3</v>
      </c>
      <c r="C1143" s="6">
        <v>6.0116239316239301E-2</v>
      </c>
    </row>
    <row r="1144" spans="1:3" s="8" customFormat="1" x14ac:dyDescent="0.2">
      <c r="A1144" s="6" t="str">
        <f>"MSRB1"</f>
        <v>MSRB1</v>
      </c>
      <c r="B1144" s="6">
        <v>3.9960039960039899E-3</v>
      </c>
      <c r="C1144" s="6">
        <v>6.0116239316239301E-2</v>
      </c>
    </row>
    <row r="1145" spans="1:3" s="8" customFormat="1" x14ac:dyDescent="0.2">
      <c r="A1145" s="6" t="str">
        <f>"RABGEF1"</f>
        <v>RABGEF1</v>
      </c>
      <c r="B1145" s="6">
        <v>3.9960039960039899E-3</v>
      </c>
      <c r="C1145" s="6">
        <v>6.0116239316239301E-2</v>
      </c>
    </row>
    <row r="1146" spans="1:3" s="8" customFormat="1" x14ac:dyDescent="0.2">
      <c r="A1146" s="6" t="str">
        <f>"ABTB1"</f>
        <v>ABTB1</v>
      </c>
      <c r="B1146" s="6">
        <v>3.9960039960039899E-3</v>
      </c>
      <c r="C1146" s="6">
        <v>6.0116239316239301E-2</v>
      </c>
    </row>
    <row r="1147" spans="1:3" s="8" customFormat="1" x14ac:dyDescent="0.2">
      <c r="A1147" s="6" t="str">
        <f>"AP3M1"</f>
        <v>AP3M1</v>
      </c>
      <c r="B1147" s="6">
        <v>3.9960039960039899E-3</v>
      </c>
      <c r="C1147" s="6">
        <v>6.0116239316239301E-2</v>
      </c>
    </row>
    <row r="1148" spans="1:3" s="8" customFormat="1" x14ac:dyDescent="0.2">
      <c r="A1148" s="6" t="str">
        <f>"SH3BP2"</f>
        <v>SH3BP2</v>
      </c>
      <c r="B1148" s="6">
        <v>3.9960039960039899E-3</v>
      </c>
      <c r="C1148" s="6">
        <v>6.0116239316239301E-2</v>
      </c>
    </row>
    <row r="1149" spans="1:3" s="8" customFormat="1" x14ac:dyDescent="0.2">
      <c r="A1149" s="6" t="str">
        <f>"ZDHHC18"</f>
        <v>ZDHHC18</v>
      </c>
      <c r="B1149" s="6">
        <v>3.9960039960039899E-3</v>
      </c>
      <c r="C1149" s="6">
        <v>6.0116239316239301E-2</v>
      </c>
    </row>
    <row r="1150" spans="1:3" s="8" customFormat="1" x14ac:dyDescent="0.2">
      <c r="A1150" s="6" t="str">
        <f>"CTNNAL1"</f>
        <v>CTNNAL1</v>
      </c>
      <c r="B1150" s="6">
        <v>3.9960039960039899E-3</v>
      </c>
      <c r="C1150" s="6">
        <v>6.0116239316239301E-2</v>
      </c>
    </row>
    <row r="1151" spans="1:3" s="8" customFormat="1" x14ac:dyDescent="0.2">
      <c r="A1151" s="6" t="str">
        <f>"VNN2"</f>
        <v>VNN2</v>
      </c>
      <c r="B1151" s="6">
        <v>3.9960039960039899E-3</v>
      </c>
      <c r="C1151" s="6">
        <v>6.0116239316239301E-2</v>
      </c>
    </row>
    <row r="1152" spans="1:3" s="8" customFormat="1" x14ac:dyDescent="0.2">
      <c r="A1152" s="6" t="str">
        <f>"IWS1"</f>
        <v>IWS1</v>
      </c>
      <c r="B1152" s="6">
        <v>3.9960039960039899E-3</v>
      </c>
      <c r="C1152" s="6">
        <v>6.0116239316239301E-2</v>
      </c>
    </row>
    <row r="1153" spans="1:3" s="8" customFormat="1" x14ac:dyDescent="0.2">
      <c r="A1153" s="6" t="str">
        <f>"CORO1A"</f>
        <v>CORO1A</v>
      </c>
      <c r="B1153" s="6">
        <v>3.9960039960039899E-3</v>
      </c>
      <c r="C1153" s="6">
        <v>6.0116239316239301E-2</v>
      </c>
    </row>
    <row r="1154" spans="1:3" s="8" customFormat="1" x14ac:dyDescent="0.2">
      <c r="A1154" s="6" t="str">
        <f>"CD68"</f>
        <v>CD68</v>
      </c>
      <c r="B1154" s="6">
        <v>3.9960039960039899E-3</v>
      </c>
      <c r="C1154" s="6">
        <v>6.0116239316239301E-2</v>
      </c>
    </row>
    <row r="1155" spans="1:3" s="8" customFormat="1" x14ac:dyDescent="0.2">
      <c r="A1155" s="6" t="str">
        <f>"CXCR2"</f>
        <v>CXCR2</v>
      </c>
      <c r="B1155" s="6">
        <v>3.9960039960039899E-3</v>
      </c>
      <c r="C1155" s="6">
        <v>6.0116239316239301E-2</v>
      </c>
    </row>
    <row r="1156" spans="1:3" s="8" customFormat="1" x14ac:dyDescent="0.2">
      <c r="A1156" s="6" t="str">
        <f>"NCF2"</f>
        <v>NCF2</v>
      </c>
      <c r="B1156" s="6">
        <v>3.9960039960039899E-3</v>
      </c>
      <c r="C1156" s="6">
        <v>6.0116239316239301E-2</v>
      </c>
    </row>
    <row r="1157" spans="1:3" s="8" customFormat="1" x14ac:dyDescent="0.2">
      <c r="A1157" s="6" t="str">
        <f>"MNDA"</f>
        <v>MNDA</v>
      </c>
      <c r="B1157" s="6">
        <v>3.9960039960039899E-3</v>
      </c>
      <c r="C1157" s="6">
        <v>6.0116239316239301E-2</v>
      </c>
    </row>
    <row r="1158" spans="1:3" s="8" customFormat="1" x14ac:dyDescent="0.2">
      <c r="A1158" s="6" t="str">
        <f>"JMJD1C"</f>
        <v>JMJD1C</v>
      </c>
      <c r="B1158" s="6">
        <v>3.9960039960039899E-3</v>
      </c>
      <c r="C1158" s="6">
        <v>6.0116239316239301E-2</v>
      </c>
    </row>
    <row r="1159" spans="1:3" s="8" customFormat="1" x14ac:dyDescent="0.2">
      <c r="A1159" s="6" t="str">
        <f>"MAP1LC3B"</f>
        <v>MAP1LC3B</v>
      </c>
      <c r="B1159" s="6">
        <v>3.9960039960039899E-3</v>
      </c>
      <c r="C1159" s="6">
        <v>6.0116239316239301E-2</v>
      </c>
    </row>
    <row r="1160" spans="1:3" s="8" customFormat="1" x14ac:dyDescent="0.2">
      <c r="A1160" s="6" t="str">
        <f>"DVL3"</f>
        <v>DVL3</v>
      </c>
      <c r="B1160" s="6">
        <v>3.9960039960039899E-3</v>
      </c>
      <c r="C1160" s="6">
        <v>6.0116239316239301E-2</v>
      </c>
    </row>
    <row r="1161" spans="1:3" s="8" customFormat="1" x14ac:dyDescent="0.2">
      <c r="A1161" s="6" t="str">
        <f>"TCIRG1"</f>
        <v>TCIRG1</v>
      </c>
      <c r="B1161" s="6">
        <v>3.9960039960039899E-3</v>
      </c>
      <c r="C1161" s="6">
        <v>6.0116239316239301E-2</v>
      </c>
    </row>
    <row r="1162" spans="1:3" s="8" customFormat="1" x14ac:dyDescent="0.2">
      <c r="A1162" s="6" t="str">
        <f>"C11orf58"</f>
        <v>C11orf58</v>
      </c>
      <c r="B1162" s="6">
        <v>3.9960039960039899E-3</v>
      </c>
      <c r="C1162" s="6">
        <v>6.0116239316239301E-2</v>
      </c>
    </row>
    <row r="1163" spans="1:3" s="8" customFormat="1" x14ac:dyDescent="0.2">
      <c r="A1163" s="6" t="str">
        <f>"VASP"</f>
        <v>VASP</v>
      </c>
      <c r="B1163" s="6">
        <v>3.9960039960039899E-3</v>
      </c>
      <c r="C1163" s="6">
        <v>6.0116239316239301E-2</v>
      </c>
    </row>
    <row r="1164" spans="1:3" s="8" customFormat="1" x14ac:dyDescent="0.2">
      <c r="A1164" s="6" t="str">
        <f>"XPO6"</f>
        <v>XPO6</v>
      </c>
      <c r="B1164" s="6">
        <v>4.0000000000000001E-3</v>
      </c>
      <c r="C1164" s="6">
        <v>6.0116239316239301E-2</v>
      </c>
    </row>
    <row r="1165" spans="1:3" s="8" customFormat="1" x14ac:dyDescent="0.2">
      <c r="A1165" s="6" t="str">
        <f>"SCP2"</f>
        <v>SCP2</v>
      </c>
      <c r="B1165" s="6">
        <v>3.9960039960039899E-3</v>
      </c>
      <c r="C1165" s="6">
        <v>6.0116239316239301E-2</v>
      </c>
    </row>
    <row r="1166" spans="1:3" s="8" customFormat="1" x14ac:dyDescent="0.2">
      <c r="A1166" s="6" t="str">
        <f>"LSP1"</f>
        <v>LSP1</v>
      </c>
      <c r="B1166" s="6">
        <v>3.9960039960039899E-3</v>
      </c>
      <c r="C1166" s="6">
        <v>6.0116239316239301E-2</v>
      </c>
    </row>
    <row r="1167" spans="1:3" s="8" customFormat="1" x14ac:dyDescent="0.2">
      <c r="A1167" s="6" t="str">
        <f>"MTCH1"</f>
        <v>MTCH1</v>
      </c>
      <c r="B1167" s="6">
        <v>3.9960039960039899E-3</v>
      </c>
      <c r="C1167" s="6">
        <v>6.0116239316239301E-2</v>
      </c>
    </row>
    <row r="1168" spans="1:3" s="8" customFormat="1" x14ac:dyDescent="0.2">
      <c r="A1168" s="6" t="str">
        <f>"LRRK1"</f>
        <v>LRRK1</v>
      </c>
      <c r="B1168" s="6">
        <v>3.9960039960039899E-3</v>
      </c>
      <c r="C1168" s="6">
        <v>6.0116239316239301E-2</v>
      </c>
    </row>
    <row r="1169" spans="1:3" s="8" customFormat="1" x14ac:dyDescent="0.2">
      <c r="A1169" s="6" t="str">
        <f>"FBRS"</f>
        <v>FBRS</v>
      </c>
      <c r="B1169" s="6">
        <v>3.9960039960039899E-3</v>
      </c>
      <c r="C1169" s="6">
        <v>6.0116239316239301E-2</v>
      </c>
    </row>
    <row r="1170" spans="1:3" s="8" customFormat="1" x14ac:dyDescent="0.2">
      <c r="A1170" s="6" t="str">
        <f>"PIGT"</f>
        <v>PIGT</v>
      </c>
      <c r="B1170" s="6">
        <v>3.9960039960039899E-3</v>
      </c>
      <c r="C1170" s="6">
        <v>6.0116239316239301E-2</v>
      </c>
    </row>
    <row r="1171" spans="1:3" s="8" customFormat="1" x14ac:dyDescent="0.2">
      <c r="A1171" s="6" t="str">
        <f>"MX1"</f>
        <v>MX1</v>
      </c>
      <c r="B1171" s="6">
        <v>3.9960039960039899E-3</v>
      </c>
      <c r="C1171" s="6">
        <v>6.0116239316239301E-2</v>
      </c>
    </row>
    <row r="1172" spans="1:3" s="8" customFormat="1" x14ac:dyDescent="0.2">
      <c r="A1172" s="6" t="str">
        <f>"METTL15P1"</f>
        <v>METTL15P1</v>
      </c>
      <c r="B1172" s="6">
        <v>4.0080160320641201E-3</v>
      </c>
      <c r="C1172" s="6">
        <v>6.0133919716566099E-2</v>
      </c>
    </row>
    <row r="1173" spans="1:3" s="8" customFormat="1" x14ac:dyDescent="0.2">
      <c r="A1173" s="6" t="str">
        <f>"AC040162.3"</f>
        <v>AC040162.3</v>
      </c>
      <c r="B1173" s="6">
        <v>4.0080160320641201E-3</v>
      </c>
      <c r="C1173" s="6">
        <v>6.0133919716566099E-2</v>
      </c>
    </row>
    <row r="1174" spans="1:3" s="8" customFormat="1" x14ac:dyDescent="0.2">
      <c r="A1174" s="6" t="str">
        <f>"UNC93B3"</f>
        <v>UNC93B3</v>
      </c>
      <c r="B1174" s="6">
        <v>4.17972831765935E-3</v>
      </c>
      <c r="C1174" s="6">
        <v>6.2656728676659806E-2</v>
      </c>
    </row>
    <row r="1175" spans="1:3" s="8" customFormat="1" x14ac:dyDescent="0.2">
      <c r="A1175" s="6" t="str">
        <f>"LINC00485"</f>
        <v>LINC00485</v>
      </c>
      <c r="B1175" s="6">
        <v>4.2283298097251501E-3</v>
      </c>
      <c r="C1175" s="6">
        <v>6.3331304407331299E-2</v>
      </c>
    </row>
    <row r="1176" spans="1:3" s="8" customFormat="1" x14ac:dyDescent="0.2">
      <c r="A1176" s="6" t="str">
        <f>"AC025682.1"</f>
        <v>AC025682.1</v>
      </c>
      <c r="B1176" s="6">
        <v>4.3149946062567401E-3</v>
      </c>
      <c r="C1176" s="6">
        <v>6.4574353324611505E-2</v>
      </c>
    </row>
    <row r="1177" spans="1:3" s="8" customFormat="1" x14ac:dyDescent="0.2">
      <c r="A1177" s="6" t="str">
        <f>"TCF23"</f>
        <v>TCF23</v>
      </c>
      <c r="B1177" s="6">
        <v>4.4792833146696503E-3</v>
      </c>
      <c r="C1177" s="6">
        <v>6.6975950514584298E-2</v>
      </c>
    </row>
    <row r="1178" spans="1:3" s="8" customFormat="1" x14ac:dyDescent="0.2">
      <c r="A1178" s="6" t="str">
        <f>"HOXA5"</f>
        <v>HOXA5</v>
      </c>
      <c r="B1178" s="6">
        <v>4.9950049950049898E-3</v>
      </c>
      <c r="C1178" s="6">
        <v>6.8526890101324997E-2</v>
      </c>
    </row>
    <row r="1179" spans="1:3" s="8" customFormat="1" x14ac:dyDescent="0.2">
      <c r="A1179" s="6" t="str">
        <f>"NCR3"</f>
        <v>NCR3</v>
      </c>
      <c r="B1179" s="6">
        <v>4.9950049950049898E-3</v>
      </c>
      <c r="C1179" s="6">
        <v>6.8526890101324997E-2</v>
      </c>
    </row>
    <row r="1180" spans="1:3" s="8" customFormat="1" x14ac:dyDescent="0.2">
      <c r="A1180" s="6" t="str">
        <f>"LINC01471"</f>
        <v>LINC01471</v>
      </c>
      <c r="B1180" s="6">
        <v>4.9950049950049898E-3</v>
      </c>
      <c r="C1180" s="6">
        <v>6.8526890101324997E-2</v>
      </c>
    </row>
    <row r="1181" spans="1:3" s="8" customFormat="1" x14ac:dyDescent="0.2">
      <c r="A1181" s="6" t="str">
        <f>"SENCR"</f>
        <v>SENCR</v>
      </c>
      <c r="B1181" s="6">
        <v>4.9950049950049898E-3</v>
      </c>
      <c r="C1181" s="6">
        <v>6.8526890101324997E-2</v>
      </c>
    </row>
    <row r="1182" spans="1:3" s="8" customFormat="1" x14ac:dyDescent="0.2">
      <c r="A1182" s="6" t="str">
        <f>"LINC00514"</f>
        <v>LINC00514</v>
      </c>
      <c r="B1182" s="6">
        <v>4.9950049950049898E-3</v>
      </c>
      <c r="C1182" s="6">
        <v>6.8526890101324997E-2</v>
      </c>
    </row>
    <row r="1183" spans="1:3" s="8" customFormat="1" x14ac:dyDescent="0.2">
      <c r="A1183" s="6" t="str">
        <f>"AC112496.1"</f>
        <v>AC112496.1</v>
      </c>
      <c r="B1183" s="6">
        <v>4.9950049950049898E-3</v>
      </c>
      <c r="C1183" s="6">
        <v>6.8526890101324997E-2</v>
      </c>
    </row>
    <row r="1184" spans="1:3" s="8" customFormat="1" x14ac:dyDescent="0.2">
      <c r="A1184" s="6" t="str">
        <f>"FCRL5"</f>
        <v>FCRL5</v>
      </c>
      <c r="B1184" s="6">
        <v>4.9950049950049898E-3</v>
      </c>
      <c r="C1184" s="6">
        <v>6.8526890101324997E-2</v>
      </c>
    </row>
    <row r="1185" spans="1:3" s="8" customFormat="1" x14ac:dyDescent="0.2">
      <c r="A1185" s="6" t="str">
        <f>"AC019270.1"</f>
        <v>AC019270.1</v>
      </c>
      <c r="B1185" s="6">
        <v>4.9950049950049898E-3</v>
      </c>
      <c r="C1185" s="6">
        <v>6.8526890101324997E-2</v>
      </c>
    </row>
    <row r="1186" spans="1:3" s="8" customFormat="1" x14ac:dyDescent="0.2">
      <c r="A1186" s="6" t="str">
        <f>"OR7E37P"</f>
        <v>OR7E37P</v>
      </c>
      <c r="B1186" s="6">
        <v>4.9950049950049898E-3</v>
      </c>
      <c r="C1186" s="6">
        <v>6.8526890101324997E-2</v>
      </c>
    </row>
    <row r="1187" spans="1:3" s="8" customFormat="1" x14ac:dyDescent="0.2">
      <c r="A1187" s="6" t="str">
        <f>"TAC3"</f>
        <v>TAC3</v>
      </c>
      <c r="B1187" s="6">
        <v>4.9950049950049898E-3</v>
      </c>
      <c r="C1187" s="6">
        <v>6.8526890101324997E-2</v>
      </c>
    </row>
    <row r="1188" spans="1:3" s="8" customFormat="1" x14ac:dyDescent="0.2">
      <c r="A1188" s="6" t="str">
        <f>"AC010655.2"</f>
        <v>AC010655.2</v>
      </c>
      <c r="B1188" s="6">
        <v>5.0000000000000001E-3</v>
      </c>
      <c r="C1188" s="6">
        <v>6.8526890101324997E-2</v>
      </c>
    </row>
    <row r="1189" spans="1:3" s="8" customFormat="1" x14ac:dyDescent="0.2">
      <c r="A1189" s="6" t="str">
        <f>"AL138963.3"</f>
        <v>AL138963.3</v>
      </c>
      <c r="B1189" s="6">
        <v>4.9950049950049898E-3</v>
      </c>
      <c r="C1189" s="6">
        <v>6.8526890101324997E-2</v>
      </c>
    </row>
    <row r="1190" spans="1:3" s="8" customFormat="1" x14ac:dyDescent="0.2">
      <c r="A1190" s="6" t="str">
        <f>"ABCA9"</f>
        <v>ABCA9</v>
      </c>
      <c r="B1190" s="6">
        <v>4.9950049950049898E-3</v>
      </c>
      <c r="C1190" s="6">
        <v>6.8526890101324997E-2</v>
      </c>
    </row>
    <row r="1191" spans="1:3" s="8" customFormat="1" x14ac:dyDescent="0.2">
      <c r="A1191" s="6" t="str">
        <f>"C9orf139"</f>
        <v>C9orf139</v>
      </c>
      <c r="B1191" s="6">
        <v>4.9950049950049898E-3</v>
      </c>
      <c r="C1191" s="6">
        <v>6.8526890101324997E-2</v>
      </c>
    </row>
    <row r="1192" spans="1:3" s="8" customFormat="1" x14ac:dyDescent="0.2">
      <c r="A1192" s="6" t="str">
        <f>"SNAI1"</f>
        <v>SNAI1</v>
      </c>
      <c r="B1192" s="6">
        <v>4.9950049950049898E-3</v>
      </c>
      <c r="C1192" s="6">
        <v>6.8526890101324997E-2</v>
      </c>
    </row>
    <row r="1193" spans="1:3" s="8" customFormat="1" x14ac:dyDescent="0.2">
      <c r="A1193" s="6" t="str">
        <f>"PDE2A"</f>
        <v>PDE2A</v>
      </c>
      <c r="B1193" s="6">
        <v>4.9950049950049898E-3</v>
      </c>
      <c r="C1193" s="6">
        <v>6.8526890101324997E-2</v>
      </c>
    </row>
    <row r="1194" spans="1:3" s="8" customFormat="1" x14ac:dyDescent="0.2">
      <c r="A1194" s="6" t="str">
        <f>"TMEM272"</f>
        <v>TMEM272</v>
      </c>
      <c r="B1194" s="6">
        <v>4.9950049950049898E-3</v>
      </c>
      <c r="C1194" s="6">
        <v>6.8526890101324997E-2</v>
      </c>
    </row>
    <row r="1195" spans="1:3" s="8" customFormat="1" x14ac:dyDescent="0.2">
      <c r="A1195" s="6" t="str">
        <f>"GUSBP3"</f>
        <v>GUSBP3</v>
      </c>
      <c r="B1195" s="6">
        <v>4.9950049950049898E-3</v>
      </c>
      <c r="C1195" s="6">
        <v>6.8526890101324997E-2</v>
      </c>
    </row>
    <row r="1196" spans="1:3" s="8" customFormat="1" x14ac:dyDescent="0.2">
      <c r="A1196" s="6" t="str">
        <f>"AC006213.6"</f>
        <v>AC006213.6</v>
      </c>
      <c r="B1196" s="6">
        <v>5.0000000000000001E-3</v>
      </c>
      <c r="C1196" s="6">
        <v>6.8526890101324997E-2</v>
      </c>
    </row>
    <row r="1197" spans="1:3" s="8" customFormat="1" x14ac:dyDescent="0.2">
      <c r="A1197" s="6" t="str">
        <f>"CKLF-CMTM1"</f>
        <v>CKLF-CMTM1</v>
      </c>
      <c r="B1197" s="6">
        <v>4.9950049950049898E-3</v>
      </c>
      <c r="C1197" s="6">
        <v>6.8526890101324997E-2</v>
      </c>
    </row>
    <row r="1198" spans="1:3" s="8" customFormat="1" x14ac:dyDescent="0.2">
      <c r="A1198" s="6" t="str">
        <f>"COL23A1"</f>
        <v>COL23A1</v>
      </c>
      <c r="B1198" s="6">
        <v>4.9950049950049898E-3</v>
      </c>
      <c r="C1198" s="6">
        <v>6.8526890101324997E-2</v>
      </c>
    </row>
    <row r="1199" spans="1:3" s="8" customFormat="1" x14ac:dyDescent="0.2">
      <c r="A1199" s="6" t="str">
        <f>"CNGA1"</f>
        <v>CNGA1</v>
      </c>
      <c r="B1199" s="6">
        <v>4.9950049950049898E-3</v>
      </c>
      <c r="C1199" s="6">
        <v>6.8526890101324997E-2</v>
      </c>
    </row>
    <row r="1200" spans="1:3" s="8" customFormat="1" x14ac:dyDescent="0.2">
      <c r="A1200" s="6" t="str">
        <f>"AC025171.3"</f>
        <v>AC025171.3</v>
      </c>
      <c r="B1200" s="6">
        <v>4.9950049950049898E-3</v>
      </c>
      <c r="C1200" s="6">
        <v>6.8526890101324997E-2</v>
      </c>
    </row>
    <row r="1201" spans="1:3" s="8" customFormat="1" x14ac:dyDescent="0.2">
      <c r="A1201" s="6" t="str">
        <f>"SLC5A12"</f>
        <v>SLC5A12</v>
      </c>
      <c r="B1201" s="6">
        <v>4.9950049950049898E-3</v>
      </c>
      <c r="C1201" s="6">
        <v>6.8526890101324997E-2</v>
      </c>
    </row>
    <row r="1202" spans="1:3" s="8" customFormat="1" x14ac:dyDescent="0.2">
      <c r="A1202" s="6" t="str">
        <f>"MTCO2P12"</f>
        <v>MTCO2P12</v>
      </c>
      <c r="B1202" s="6">
        <v>4.9950049950049898E-3</v>
      </c>
      <c r="C1202" s="6">
        <v>6.8526890101324997E-2</v>
      </c>
    </row>
    <row r="1203" spans="1:3" s="8" customFormat="1" x14ac:dyDescent="0.2">
      <c r="A1203" s="6" t="str">
        <f>"CSPG5"</f>
        <v>CSPG5</v>
      </c>
      <c r="B1203" s="6">
        <v>4.9950049950049898E-3</v>
      </c>
      <c r="C1203" s="6">
        <v>6.8526890101324997E-2</v>
      </c>
    </row>
    <row r="1204" spans="1:3" s="8" customFormat="1" x14ac:dyDescent="0.2">
      <c r="A1204" s="6" t="str">
        <f>"SIGLEC7"</f>
        <v>SIGLEC7</v>
      </c>
      <c r="B1204" s="6">
        <v>4.9950049950049898E-3</v>
      </c>
      <c r="C1204" s="6">
        <v>6.8526890101324997E-2</v>
      </c>
    </row>
    <row r="1205" spans="1:3" s="8" customFormat="1" x14ac:dyDescent="0.2">
      <c r="A1205" s="6" t="str">
        <f>"NPIPB7"</f>
        <v>NPIPB7</v>
      </c>
      <c r="B1205" s="6">
        <v>4.9950049950049898E-3</v>
      </c>
      <c r="C1205" s="6">
        <v>6.8526890101324997E-2</v>
      </c>
    </row>
    <row r="1206" spans="1:3" s="8" customFormat="1" x14ac:dyDescent="0.2">
      <c r="A1206" s="6" t="str">
        <f>"ANKRD33B"</f>
        <v>ANKRD33B</v>
      </c>
      <c r="B1206" s="6">
        <v>4.9950049950049898E-3</v>
      </c>
      <c r="C1206" s="6">
        <v>6.8526890101324997E-2</v>
      </c>
    </row>
    <row r="1207" spans="1:3" s="8" customFormat="1" x14ac:dyDescent="0.2">
      <c r="A1207" s="6" t="str">
        <f>"AL035420.3"</f>
        <v>AL035420.3</v>
      </c>
      <c r="B1207" s="6">
        <v>4.9950049950049898E-3</v>
      </c>
      <c r="C1207" s="6">
        <v>6.8526890101324997E-2</v>
      </c>
    </row>
    <row r="1208" spans="1:3" s="8" customFormat="1" x14ac:dyDescent="0.2">
      <c r="A1208" s="6" t="str">
        <f>"PBK"</f>
        <v>PBK</v>
      </c>
      <c r="B1208" s="6">
        <v>4.9950049950049898E-3</v>
      </c>
      <c r="C1208" s="6">
        <v>6.8526890101324997E-2</v>
      </c>
    </row>
    <row r="1209" spans="1:3" s="8" customFormat="1" x14ac:dyDescent="0.2">
      <c r="A1209" s="6" t="str">
        <f>"MST1L"</f>
        <v>MST1L</v>
      </c>
      <c r="B1209" s="6">
        <v>4.9950049950049898E-3</v>
      </c>
      <c r="C1209" s="6">
        <v>6.8526890101324997E-2</v>
      </c>
    </row>
    <row r="1210" spans="1:3" s="8" customFormat="1" x14ac:dyDescent="0.2">
      <c r="A1210" s="6" t="str">
        <f>"PAQR6"</f>
        <v>PAQR6</v>
      </c>
      <c r="B1210" s="6">
        <v>4.9950049950049898E-3</v>
      </c>
      <c r="C1210" s="6">
        <v>6.8526890101324997E-2</v>
      </c>
    </row>
    <row r="1211" spans="1:3" s="8" customFormat="1" x14ac:dyDescent="0.2">
      <c r="A1211" s="6" t="str">
        <f>"OSCAR"</f>
        <v>OSCAR</v>
      </c>
      <c r="B1211" s="6">
        <v>4.9950049950049898E-3</v>
      </c>
      <c r="C1211" s="6">
        <v>6.8526890101324997E-2</v>
      </c>
    </row>
    <row r="1212" spans="1:3" s="8" customFormat="1" x14ac:dyDescent="0.2">
      <c r="A1212" s="6" t="str">
        <f>"U62317.3"</f>
        <v>U62317.3</v>
      </c>
      <c r="B1212" s="6">
        <v>4.9950049950049898E-3</v>
      </c>
      <c r="C1212" s="6">
        <v>6.8526890101324997E-2</v>
      </c>
    </row>
    <row r="1213" spans="1:3" s="8" customFormat="1" x14ac:dyDescent="0.2">
      <c r="A1213" s="6" t="str">
        <f>"AP002761.3"</f>
        <v>AP002761.3</v>
      </c>
      <c r="B1213" s="6">
        <v>4.9950049950049898E-3</v>
      </c>
      <c r="C1213" s="6">
        <v>6.8526890101324997E-2</v>
      </c>
    </row>
    <row r="1214" spans="1:3" s="8" customFormat="1" x14ac:dyDescent="0.2">
      <c r="A1214" s="6" t="str">
        <f>"NEURL1"</f>
        <v>NEURL1</v>
      </c>
      <c r="B1214" s="6">
        <v>4.9950049950049898E-3</v>
      </c>
      <c r="C1214" s="6">
        <v>6.8526890101324997E-2</v>
      </c>
    </row>
    <row r="1215" spans="1:3" s="8" customFormat="1" x14ac:dyDescent="0.2">
      <c r="A1215" s="6" t="str">
        <f>"PRDM5"</f>
        <v>PRDM5</v>
      </c>
      <c r="B1215" s="6">
        <v>4.9950049950049898E-3</v>
      </c>
      <c r="C1215" s="6">
        <v>6.8526890101324997E-2</v>
      </c>
    </row>
    <row r="1216" spans="1:3" s="8" customFormat="1" x14ac:dyDescent="0.2">
      <c r="A1216" s="6" t="str">
        <f>"IL1RL2"</f>
        <v>IL1RL2</v>
      </c>
      <c r="B1216" s="6">
        <v>4.9950049950049898E-3</v>
      </c>
      <c r="C1216" s="6">
        <v>6.8526890101324997E-2</v>
      </c>
    </row>
    <row r="1217" spans="1:3" s="8" customFormat="1" x14ac:dyDescent="0.2">
      <c r="A1217" s="6" t="str">
        <f>"AC044860.1"</f>
        <v>AC044860.1</v>
      </c>
      <c r="B1217" s="6">
        <v>4.9950049950049898E-3</v>
      </c>
      <c r="C1217" s="6">
        <v>6.8526890101324997E-2</v>
      </c>
    </row>
    <row r="1218" spans="1:3" s="8" customFormat="1" x14ac:dyDescent="0.2">
      <c r="A1218" s="6" t="str">
        <f>"NDNF"</f>
        <v>NDNF</v>
      </c>
      <c r="B1218" s="6">
        <v>4.9950049950049898E-3</v>
      </c>
      <c r="C1218" s="6">
        <v>6.8526890101324997E-2</v>
      </c>
    </row>
    <row r="1219" spans="1:3" s="8" customFormat="1" x14ac:dyDescent="0.2">
      <c r="A1219" s="6" t="str">
        <f>"CENPE"</f>
        <v>CENPE</v>
      </c>
      <c r="B1219" s="6">
        <v>4.9950049950049898E-3</v>
      </c>
      <c r="C1219" s="6">
        <v>6.8526890101324997E-2</v>
      </c>
    </row>
    <row r="1220" spans="1:3" s="8" customFormat="1" x14ac:dyDescent="0.2">
      <c r="A1220" s="6" t="str">
        <f>"MGC32805"</f>
        <v>MGC32805</v>
      </c>
      <c r="B1220" s="6">
        <v>4.9950049950049898E-3</v>
      </c>
      <c r="C1220" s="6">
        <v>6.8526890101324997E-2</v>
      </c>
    </row>
    <row r="1221" spans="1:3" s="8" customFormat="1" x14ac:dyDescent="0.2">
      <c r="A1221" s="6" t="str">
        <f>"BTNL8"</f>
        <v>BTNL8</v>
      </c>
      <c r="B1221" s="6">
        <v>4.9950049950049898E-3</v>
      </c>
      <c r="C1221" s="6">
        <v>6.8526890101324997E-2</v>
      </c>
    </row>
    <row r="1222" spans="1:3" s="8" customFormat="1" x14ac:dyDescent="0.2">
      <c r="A1222" s="6" t="str">
        <f>"LINC00240"</f>
        <v>LINC00240</v>
      </c>
      <c r="B1222" s="6">
        <v>4.9950049950049898E-3</v>
      </c>
      <c r="C1222" s="6">
        <v>6.8526890101324997E-2</v>
      </c>
    </row>
    <row r="1223" spans="1:3" s="8" customFormat="1" x14ac:dyDescent="0.2">
      <c r="A1223" s="6" t="str">
        <f>"FCGR1A"</f>
        <v>FCGR1A</v>
      </c>
      <c r="B1223" s="6">
        <v>4.9950049950049898E-3</v>
      </c>
      <c r="C1223" s="6">
        <v>6.8526890101324997E-2</v>
      </c>
    </row>
    <row r="1224" spans="1:3" s="8" customFormat="1" x14ac:dyDescent="0.2">
      <c r="A1224" s="6" t="str">
        <f>"CENPW"</f>
        <v>CENPW</v>
      </c>
      <c r="B1224" s="6">
        <v>4.9950049950049898E-3</v>
      </c>
      <c r="C1224" s="6">
        <v>6.8526890101324997E-2</v>
      </c>
    </row>
    <row r="1225" spans="1:3" s="8" customFormat="1" x14ac:dyDescent="0.2">
      <c r="A1225" s="6" t="str">
        <f>"YBX2"</f>
        <v>YBX2</v>
      </c>
      <c r="B1225" s="6">
        <v>4.9950049950049898E-3</v>
      </c>
      <c r="C1225" s="6">
        <v>6.8526890101324997E-2</v>
      </c>
    </row>
    <row r="1226" spans="1:3" s="8" customFormat="1" x14ac:dyDescent="0.2">
      <c r="A1226" s="6" t="str">
        <f>"AL365181.3"</f>
        <v>AL365181.3</v>
      </c>
      <c r="B1226" s="6">
        <v>4.9950049950049898E-3</v>
      </c>
      <c r="C1226" s="6">
        <v>6.8526890101324997E-2</v>
      </c>
    </row>
    <row r="1227" spans="1:3" s="8" customFormat="1" x14ac:dyDescent="0.2">
      <c r="A1227" s="6" t="str">
        <f>"ADAMDEC1"</f>
        <v>ADAMDEC1</v>
      </c>
      <c r="B1227" s="6">
        <v>4.9950049950049898E-3</v>
      </c>
      <c r="C1227" s="6">
        <v>6.8526890101324997E-2</v>
      </c>
    </row>
    <row r="1228" spans="1:3" s="8" customFormat="1" x14ac:dyDescent="0.2">
      <c r="A1228" s="6" t="str">
        <f>"CENPP"</f>
        <v>CENPP</v>
      </c>
      <c r="B1228" s="6">
        <v>4.9950049950049898E-3</v>
      </c>
      <c r="C1228" s="6">
        <v>6.8526890101324997E-2</v>
      </c>
    </row>
    <row r="1229" spans="1:3" s="8" customFormat="1" x14ac:dyDescent="0.2">
      <c r="A1229" s="6" t="str">
        <f>"CENPK"</f>
        <v>CENPK</v>
      </c>
      <c r="B1229" s="6">
        <v>4.9950049950049898E-3</v>
      </c>
      <c r="C1229" s="6">
        <v>6.8526890101324997E-2</v>
      </c>
    </row>
    <row r="1230" spans="1:3" s="8" customFormat="1" x14ac:dyDescent="0.2">
      <c r="A1230" s="6" t="str">
        <f>"TENT5B"</f>
        <v>TENT5B</v>
      </c>
      <c r="B1230" s="6">
        <v>4.9950049950049898E-3</v>
      </c>
      <c r="C1230" s="6">
        <v>6.8526890101324997E-2</v>
      </c>
    </row>
    <row r="1231" spans="1:3" s="8" customFormat="1" x14ac:dyDescent="0.2">
      <c r="A1231" s="6" t="str">
        <f>"ABTB2"</f>
        <v>ABTB2</v>
      </c>
      <c r="B1231" s="6">
        <v>4.9950049950049898E-3</v>
      </c>
      <c r="C1231" s="6">
        <v>6.8526890101324997E-2</v>
      </c>
    </row>
    <row r="1232" spans="1:3" s="8" customFormat="1" x14ac:dyDescent="0.2">
      <c r="A1232" s="6" t="str">
        <f>"FER1L5"</f>
        <v>FER1L5</v>
      </c>
      <c r="B1232" s="6">
        <v>4.9950049950049898E-3</v>
      </c>
      <c r="C1232" s="6">
        <v>6.8526890101324997E-2</v>
      </c>
    </row>
    <row r="1233" spans="1:3" s="8" customFormat="1" x14ac:dyDescent="0.2">
      <c r="A1233" s="6" t="str">
        <f>"MXD3"</f>
        <v>MXD3</v>
      </c>
      <c r="B1233" s="6">
        <v>4.9950049950049898E-3</v>
      </c>
      <c r="C1233" s="6">
        <v>6.8526890101324997E-2</v>
      </c>
    </row>
    <row r="1234" spans="1:3" s="8" customFormat="1" x14ac:dyDescent="0.2">
      <c r="A1234" s="6" t="str">
        <f>"FOXM1"</f>
        <v>FOXM1</v>
      </c>
      <c r="B1234" s="6">
        <v>4.9950049950049898E-3</v>
      </c>
      <c r="C1234" s="6">
        <v>6.8526890101324997E-2</v>
      </c>
    </row>
    <row r="1235" spans="1:3" s="8" customFormat="1" x14ac:dyDescent="0.2">
      <c r="A1235" s="6" t="str">
        <f>"TPX2"</f>
        <v>TPX2</v>
      </c>
      <c r="B1235" s="6">
        <v>4.9950049950049898E-3</v>
      </c>
      <c r="C1235" s="6">
        <v>6.8526890101324997E-2</v>
      </c>
    </row>
    <row r="1236" spans="1:3" s="8" customFormat="1" x14ac:dyDescent="0.2">
      <c r="A1236" s="6" t="str">
        <f>"PLA2G4F"</f>
        <v>PLA2G4F</v>
      </c>
      <c r="B1236" s="6">
        <v>4.9950049950049898E-3</v>
      </c>
      <c r="C1236" s="6">
        <v>6.8526890101324997E-2</v>
      </c>
    </row>
    <row r="1237" spans="1:3" s="8" customFormat="1" x14ac:dyDescent="0.2">
      <c r="A1237" s="6" t="str">
        <f>"RFLNB"</f>
        <v>RFLNB</v>
      </c>
      <c r="B1237" s="6">
        <v>4.9950049950049898E-3</v>
      </c>
      <c r="C1237" s="6">
        <v>6.8526890101324997E-2</v>
      </c>
    </row>
    <row r="1238" spans="1:3" s="8" customFormat="1" x14ac:dyDescent="0.2">
      <c r="A1238" s="6" t="str">
        <f>"WASH7P"</f>
        <v>WASH7P</v>
      </c>
      <c r="B1238" s="6">
        <v>4.9950049950049898E-3</v>
      </c>
      <c r="C1238" s="6">
        <v>6.8526890101324997E-2</v>
      </c>
    </row>
    <row r="1239" spans="1:3" s="8" customFormat="1" x14ac:dyDescent="0.2">
      <c r="A1239" s="6" t="str">
        <f>"LRRC25"</f>
        <v>LRRC25</v>
      </c>
      <c r="B1239" s="6">
        <v>4.9950049950049898E-3</v>
      </c>
      <c r="C1239" s="6">
        <v>6.8526890101324997E-2</v>
      </c>
    </row>
    <row r="1240" spans="1:3" s="8" customFormat="1" x14ac:dyDescent="0.2">
      <c r="A1240" s="6" t="str">
        <f>"SAMD4A"</f>
        <v>SAMD4A</v>
      </c>
      <c r="B1240" s="6">
        <v>4.9950049950049898E-3</v>
      </c>
      <c r="C1240" s="6">
        <v>6.8526890101324997E-2</v>
      </c>
    </row>
    <row r="1241" spans="1:3" s="8" customFormat="1" x14ac:dyDescent="0.2">
      <c r="A1241" s="6" t="str">
        <f>"NUDT1"</f>
        <v>NUDT1</v>
      </c>
      <c r="B1241" s="6">
        <v>4.9950049950049898E-3</v>
      </c>
      <c r="C1241" s="6">
        <v>6.8526890101324997E-2</v>
      </c>
    </row>
    <row r="1242" spans="1:3" s="8" customFormat="1" x14ac:dyDescent="0.2">
      <c r="A1242" s="6" t="str">
        <f>"PLB1"</f>
        <v>PLB1</v>
      </c>
      <c r="B1242" s="6">
        <v>4.9950049950049898E-3</v>
      </c>
      <c r="C1242" s="6">
        <v>6.8526890101324997E-2</v>
      </c>
    </row>
    <row r="1243" spans="1:3" s="8" customFormat="1" x14ac:dyDescent="0.2">
      <c r="A1243" s="6" t="str">
        <f>"C12orf65"</f>
        <v>C12orf65</v>
      </c>
      <c r="B1243" s="6">
        <v>4.9950049950049898E-3</v>
      </c>
      <c r="C1243" s="6">
        <v>6.8526890101324997E-2</v>
      </c>
    </row>
    <row r="1244" spans="1:3" s="8" customFormat="1" x14ac:dyDescent="0.2">
      <c r="A1244" s="6" t="str">
        <f>"CHI3L1"</f>
        <v>CHI3L1</v>
      </c>
      <c r="B1244" s="6">
        <v>4.9950049950049898E-3</v>
      </c>
      <c r="C1244" s="6">
        <v>6.8526890101324997E-2</v>
      </c>
    </row>
    <row r="1245" spans="1:3" s="8" customFormat="1" x14ac:dyDescent="0.2">
      <c r="A1245" s="6" t="str">
        <f>"CATSPERD"</f>
        <v>CATSPERD</v>
      </c>
      <c r="B1245" s="6">
        <v>4.9950049950049898E-3</v>
      </c>
      <c r="C1245" s="6">
        <v>6.8526890101324997E-2</v>
      </c>
    </row>
    <row r="1246" spans="1:3" s="8" customFormat="1" x14ac:dyDescent="0.2">
      <c r="A1246" s="6" t="str">
        <f>"ARHGAP25"</f>
        <v>ARHGAP25</v>
      </c>
      <c r="B1246" s="6">
        <v>4.9950049950049898E-3</v>
      </c>
      <c r="C1246" s="6">
        <v>6.8526890101324997E-2</v>
      </c>
    </row>
    <row r="1247" spans="1:3" s="8" customFormat="1" x14ac:dyDescent="0.2">
      <c r="A1247" s="6" t="str">
        <f>"FGF14"</f>
        <v>FGF14</v>
      </c>
      <c r="B1247" s="6">
        <v>4.9950049950049898E-3</v>
      </c>
      <c r="C1247" s="6">
        <v>6.8526890101324997E-2</v>
      </c>
    </row>
    <row r="1248" spans="1:3" s="8" customFormat="1" x14ac:dyDescent="0.2">
      <c r="A1248" s="6" t="str">
        <f>"VBP1"</f>
        <v>VBP1</v>
      </c>
      <c r="B1248" s="6">
        <v>4.9950049950049898E-3</v>
      </c>
      <c r="C1248" s="6">
        <v>6.8526890101324997E-2</v>
      </c>
    </row>
    <row r="1249" spans="1:3" s="8" customFormat="1" x14ac:dyDescent="0.2">
      <c r="A1249" s="6" t="str">
        <f>"ANKRD44-AS1"</f>
        <v>ANKRD44-AS1</v>
      </c>
      <c r="B1249" s="6">
        <v>4.9950049950049898E-3</v>
      </c>
      <c r="C1249" s="6">
        <v>6.8526890101324997E-2</v>
      </c>
    </row>
    <row r="1250" spans="1:3" s="8" customFormat="1" x14ac:dyDescent="0.2">
      <c r="A1250" s="6" t="str">
        <f>"HDAC4"</f>
        <v>HDAC4</v>
      </c>
      <c r="B1250" s="6">
        <v>4.9950049950049898E-3</v>
      </c>
      <c r="C1250" s="6">
        <v>6.8526890101324997E-2</v>
      </c>
    </row>
    <row r="1251" spans="1:3" s="8" customFormat="1" x14ac:dyDescent="0.2">
      <c r="A1251" s="6" t="str">
        <f>"ARL4C"</f>
        <v>ARL4C</v>
      </c>
      <c r="B1251" s="6">
        <v>4.9950049950049898E-3</v>
      </c>
      <c r="C1251" s="6">
        <v>6.8526890101324997E-2</v>
      </c>
    </row>
    <row r="1252" spans="1:3" s="8" customFormat="1" x14ac:dyDescent="0.2">
      <c r="A1252" s="6" t="str">
        <f>"CRBN"</f>
        <v>CRBN</v>
      </c>
      <c r="B1252" s="6">
        <v>4.9950049950049898E-3</v>
      </c>
      <c r="C1252" s="6">
        <v>6.8526890101324997E-2</v>
      </c>
    </row>
    <row r="1253" spans="1:3" s="8" customFormat="1" x14ac:dyDescent="0.2">
      <c r="A1253" s="6" t="str">
        <f>"ANOS1"</f>
        <v>ANOS1</v>
      </c>
      <c r="B1253" s="6">
        <v>4.9950049950049898E-3</v>
      </c>
      <c r="C1253" s="6">
        <v>6.8526890101324997E-2</v>
      </c>
    </row>
    <row r="1254" spans="1:3" s="8" customFormat="1" x14ac:dyDescent="0.2">
      <c r="A1254" s="6" t="str">
        <f>"PRAF2"</f>
        <v>PRAF2</v>
      </c>
      <c r="B1254" s="6">
        <v>4.9950049950049898E-3</v>
      </c>
      <c r="C1254" s="6">
        <v>6.8526890101324997E-2</v>
      </c>
    </row>
    <row r="1255" spans="1:3" s="8" customFormat="1" x14ac:dyDescent="0.2">
      <c r="A1255" s="6" t="str">
        <f>"DBT"</f>
        <v>DBT</v>
      </c>
      <c r="B1255" s="6">
        <v>4.9950049950049898E-3</v>
      </c>
      <c r="C1255" s="6">
        <v>6.8526890101324997E-2</v>
      </c>
    </row>
    <row r="1256" spans="1:3" s="8" customFormat="1" x14ac:dyDescent="0.2">
      <c r="A1256" s="6" t="str">
        <f>"PPP1R3B"</f>
        <v>PPP1R3B</v>
      </c>
      <c r="B1256" s="6">
        <v>4.9950049950049898E-3</v>
      </c>
      <c r="C1256" s="6">
        <v>6.8526890101324997E-2</v>
      </c>
    </row>
    <row r="1257" spans="1:3" s="8" customFormat="1" x14ac:dyDescent="0.2">
      <c r="A1257" s="6" t="str">
        <f>"SLC16A7"</f>
        <v>SLC16A7</v>
      </c>
      <c r="B1257" s="6">
        <v>4.9950049950049898E-3</v>
      </c>
      <c r="C1257" s="6">
        <v>6.8526890101324997E-2</v>
      </c>
    </row>
    <row r="1258" spans="1:3" s="8" customFormat="1" x14ac:dyDescent="0.2">
      <c r="A1258" s="6" t="str">
        <f>"CYB561D1"</f>
        <v>CYB561D1</v>
      </c>
      <c r="B1258" s="6">
        <v>4.9950049950049898E-3</v>
      </c>
      <c r="C1258" s="6">
        <v>6.8526890101324997E-2</v>
      </c>
    </row>
    <row r="1259" spans="1:3" s="8" customFormat="1" x14ac:dyDescent="0.2">
      <c r="A1259" s="6" t="str">
        <f>"IL1RAP"</f>
        <v>IL1RAP</v>
      </c>
      <c r="B1259" s="6">
        <v>4.9950049950049898E-3</v>
      </c>
      <c r="C1259" s="6">
        <v>6.8526890101324997E-2</v>
      </c>
    </row>
    <row r="1260" spans="1:3" s="8" customFormat="1" x14ac:dyDescent="0.2">
      <c r="A1260" s="6" t="str">
        <f>"SMN2"</f>
        <v>SMN2</v>
      </c>
      <c r="B1260" s="6">
        <v>4.9950049950049898E-3</v>
      </c>
      <c r="C1260" s="6">
        <v>6.8526890101324997E-2</v>
      </c>
    </row>
    <row r="1261" spans="1:3" s="8" customFormat="1" x14ac:dyDescent="0.2">
      <c r="A1261" s="6" t="str">
        <f>"SLC9A3"</f>
        <v>SLC9A3</v>
      </c>
      <c r="B1261" s="6">
        <v>4.9950049950049898E-3</v>
      </c>
      <c r="C1261" s="6">
        <v>6.8526890101324997E-2</v>
      </c>
    </row>
    <row r="1262" spans="1:3" s="8" customFormat="1" x14ac:dyDescent="0.2">
      <c r="A1262" s="6" t="str">
        <f>"PTGFR"</f>
        <v>PTGFR</v>
      </c>
      <c r="B1262" s="6">
        <v>4.9950049950049898E-3</v>
      </c>
      <c r="C1262" s="6">
        <v>6.8526890101324997E-2</v>
      </c>
    </row>
    <row r="1263" spans="1:3" s="8" customFormat="1" x14ac:dyDescent="0.2">
      <c r="A1263" s="6" t="str">
        <f>"ISG20"</f>
        <v>ISG20</v>
      </c>
      <c r="B1263" s="6">
        <v>4.9950049950049898E-3</v>
      </c>
      <c r="C1263" s="6">
        <v>6.8526890101324997E-2</v>
      </c>
    </row>
    <row r="1264" spans="1:3" s="8" customFormat="1" x14ac:dyDescent="0.2">
      <c r="A1264" s="6" t="str">
        <f>"MAP3K13"</f>
        <v>MAP3K13</v>
      </c>
      <c r="B1264" s="6">
        <v>4.9950049950049898E-3</v>
      </c>
      <c r="C1264" s="6">
        <v>6.8526890101324997E-2</v>
      </c>
    </row>
    <row r="1265" spans="1:3" s="8" customFormat="1" x14ac:dyDescent="0.2">
      <c r="A1265" s="6" t="str">
        <f>"SNRPC"</f>
        <v>SNRPC</v>
      </c>
      <c r="B1265" s="6">
        <v>4.9950049950049898E-3</v>
      </c>
      <c r="C1265" s="6">
        <v>6.8526890101324997E-2</v>
      </c>
    </row>
    <row r="1266" spans="1:3" s="8" customFormat="1" x14ac:dyDescent="0.2">
      <c r="A1266" s="6" t="str">
        <f>"HERC6"</f>
        <v>HERC6</v>
      </c>
      <c r="B1266" s="6">
        <v>4.9950049950049898E-3</v>
      </c>
      <c r="C1266" s="6">
        <v>6.8526890101324997E-2</v>
      </c>
    </row>
    <row r="1267" spans="1:3" s="8" customFormat="1" x14ac:dyDescent="0.2">
      <c r="A1267" s="6" t="str">
        <f>"TXN2"</f>
        <v>TXN2</v>
      </c>
      <c r="B1267" s="6">
        <v>4.9950049950049898E-3</v>
      </c>
      <c r="C1267" s="6">
        <v>6.8526890101324997E-2</v>
      </c>
    </row>
    <row r="1268" spans="1:3" s="8" customFormat="1" x14ac:dyDescent="0.2">
      <c r="A1268" s="6" t="str">
        <f>"FBXW4"</f>
        <v>FBXW4</v>
      </c>
      <c r="B1268" s="6">
        <v>4.9950049950049898E-3</v>
      </c>
      <c r="C1268" s="6">
        <v>6.8526890101324997E-2</v>
      </c>
    </row>
    <row r="1269" spans="1:3" s="8" customFormat="1" x14ac:dyDescent="0.2">
      <c r="A1269" s="6" t="str">
        <f>"CSRNP1"</f>
        <v>CSRNP1</v>
      </c>
      <c r="B1269" s="6">
        <v>4.9950049950049898E-3</v>
      </c>
      <c r="C1269" s="6">
        <v>6.8526890101324997E-2</v>
      </c>
    </row>
    <row r="1270" spans="1:3" s="8" customFormat="1" x14ac:dyDescent="0.2">
      <c r="A1270" s="6" t="str">
        <f>"RNF19B"</f>
        <v>RNF19B</v>
      </c>
      <c r="B1270" s="6">
        <v>4.9950049950049898E-3</v>
      </c>
      <c r="C1270" s="6">
        <v>6.8526890101324997E-2</v>
      </c>
    </row>
    <row r="1271" spans="1:3" s="8" customFormat="1" x14ac:dyDescent="0.2">
      <c r="A1271" s="6" t="str">
        <f>"SEC14L3"</f>
        <v>SEC14L3</v>
      </c>
      <c r="B1271" s="6">
        <v>4.9950049950049898E-3</v>
      </c>
      <c r="C1271" s="6">
        <v>6.8526890101324997E-2</v>
      </c>
    </row>
    <row r="1272" spans="1:3" s="8" customFormat="1" x14ac:dyDescent="0.2">
      <c r="A1272" s="6" t="str">
        <f>"EHBP1L1"</f>
        <v>EHBP1L1</v>
      </c>
      <c r="B1272" s="6">
        <v>4.9950049950049898E-3</v>
      </c>
      <c r="C1272" s="6">
        <v>6.8526890101324997E-2</v>
      </c>
    </row>
    <row r="1273" spans="1:3" s="8" customFormat="1" x14ac:dyDescent="0.2">
      <c r="A1273" s="6" t="str">
        <f>"MAP2K3"</f>
        <v>MAP2K3</v>
      </c>
      <c r="B1273" s="6">
        <v>4.9950049950049898E-3</v>
      </c>
      <c r="C1273" s="6">
        <v>6.8526890101324997E-2</v>
      </c>
    </row>
    <row r="1274" spans="1:3" s="8" customFormat="1" x14ac:dyDescent="0.2">
      <c r="A1274" s="6" t="str">
        <f>"ARRB2"</f>
        <v>ARRB2</v>
      </c>
      <c r="B1274" s="6">
        <v>4.9950049950049898E-3</v>
      </c>
      <c r="C1274" s="6">
        <v>6.8526890101324997E-2</v>
      </c>
    </row>
    <row r="1275" spans="1:3" s="8" customFormat="1" x14ac:dyDescent="0.2">
      <c r="A1275" s="6" t="str">
        <f>"ZNF185"</f>
        <v>ZNF185</v>
      </c>
      <c r="B1275" s="6">
        <v>4.9950049950049898E-3</v>
      </c>
      <c r="C1275" s="6">
        <v>6.8526890101324997E-2</v>
      </c>
    </row>
    <row r="1276" spans="1:3" s="8" customFormat="1" x14ac:dyDescent="0.2">
      <c r="A1276" s="6" t="str">
        <f>"GDI1"</f>
        <v>GDI1</v>
      </c>
      <c r="B1276" s="6">
        <v>5.0000000000000001E-3</v>
      </c>
      <c r="C1276" s="6">
        <v>6.8526890101324997E-2</v>
      </c>
    </row>
    <row r="1277" spans="1:3" s="8" customFormat="1" x14ac:dyDescent="0.2">
      <c r="A1277" s="6" t="str">
        <f>"BECN1"</f>
        <v>BECN1</v>
      </c>
      <c r="B1277" s="6">
        <v>4.9950049950049898E-3</v>
      </c>
      <c r="C1277" s="6">
        <v>6.8526890101324997E-2</v>
      </c>
    </row>
    <row r="1278" spans="1:3" s="8" customFormat="1" x14ac:dyDescent="0.2">
      <c r="A1278" s="6" t="str">
        <f>"DHX9"</f>
        <v>DHX9</v>
      </c>
      <c r="B1278" s="6">
        <v>4.9950049950049898E-3</v>
      </c>
      <c r="C1278" s="6">
        <v>6.8526890101324997E-2</v>
      </c>
    </row>
    <row r="1279" spans="1:3" s="8" customFormat="1" x14ac:dyDescent="0.2">
      <c r="A1279" s="6" t="str">
        <f>"CYBA"</f>
        <v>CYBA</v>
      </c>
      <c r="B1279" s="6">
        <v>4.9950049950049898E-3</v>
      </c>
      <c r="C1279" s="6">
        <v>6.8526890101324997E-2</v>
      </c>
    </row>
    <row r="1280" spans="1:3" s="8" customFormat="1" x14ac:dyDescent="0.2">
      <c r="A1280" s="6" t="str">
        <f>"LYN"</f>
        <v>LYN</v>
      </c>
      <c r="B1280" s="6">
        <v>4.9950049950049898E-3</v>
      </c>
      <c r="C1280" s="6">
        <v>6.8526890101324997E-2</v>
      </c>
    </row>
    <row r="1281" spans="1:3" s="8" customFormat="1" x14ac:dyDescent="0.2">
      <c r="A1281" s="6" t="str">
        <f>"DUSP1"</f>
        <v>DUSP1</v>
      </c>
      <c r="B1281" s="6">
        <v>4.9950049950049898E-3</v>
      </c>
      <c r="C1281" s="6">
        <v>6.8526890101324997E-2</v>
      </c>
    </row>
    <row r="1282" spans="1:3" s="8" customFormat="1" x14ac:dyDescent="0.2">
      <c r="A1282" s="6" t="str">
        <f>"RPL27A"</f>
        <v>RPL27A</v>
      </c>
      <c r="B1282" s="6">
        <v>4.9950049950049898E-3</v>
      </c>
      <c r="C1282" s="6">
        <v>6.8526890101324997E-2</v>
      </c>
    </row>
    <row r="1283" spans="1:3" s="8" customFormat="1" x14ac:dyDescent="0.2">
      <c r="A1283" s="6" t="str">
        <f>"PERP"</f>
        <v>PERP</v>
      </c>
      <c r="B1283" s="6">
        <v>4.9950049950049898E-3</v>
      </c>
      <c r="C1283" s="6">
        <v>6.8526890101324997E-2</v>
      </c>
    </row>
    <row r="1284" spans="1:3" s="8" customFormat="1" x14ac:dyDescent="0.2">
      <c r="A1284" s="6" t="str">
        <f>"MT-ATP8"</f>
        <v>MT-ATP8</v>
      </c>
      <c r="B1284" s="6">
        <v>4.9950049950049898E-3</v>
      </c>
      <c r="C1284" s="6">
        <v>6.8526890101324997E-2</v>
      </c>
    </row>
    <row r="1285" spans="1:3" s="8" customFormat="1" x14ac:dyDescent="0.2">
      <c r="A1285" s="6" t="str">
        <f>"AC021739.2"</f>
        <v>AC021739.2</v>
      </c>
      <c r="B1285" s="6">
        <v>5.0150451354062098E-3</v>
      </c>
      <c r="C1285" s="6">
        <v>6.8679558925999001E-2</v>
      </c>
    </row>
    <row r="1286" spans="1:3" s="8" customFormat="1" x14ac:dyDescent="0.2">
      <c r="A1286" s="6" t="str">
        <f>"LINC02540"</f>
        <v>LINC02540</v>
      </c>
      <c r="B1286" s="6">
        <v>5.0403225806451603E-3</v>
      </c>
      <c r="C1286" s="6">
        <v>6.8972009539349802E-2</v>
      </c>
    </row>
    <row r="1287" spans="1:3" s="8" customFormat="1" x14ac:dyDescent="0.2">
      <c r="A1287" s="6" t="str">
        <f>"AC005775.1"</f>
        <v>AC005775.1</v>
      </c>
      <c r="B1287" s="6">
        <v>5.4406964091403701E-3</v>
      </c>
      <c r="C1287" s="6">
        <v>7.4392850434155694E-2</v>
      </c>
    </row>
    <row r="1288" spans="1:3" s="8" customFormat="1" x14ac:dyDescent="0.2">
      <c r="A1288" s="6" t="str">
        <f>"GAS5-AS1"</f>
        <v>GAS5-AS1</v>
      </c>
      <c r="B1288" s="6">
        <v>5.4744525547445197E-3</v>
      </c>
      <c r="C1288" s="6">
        <v>7.4796249978731605E-2</v>
      </c>
    </row>
    <row r="1289" spans="1:3" s="8" customFormat="1" x14ac:dyDescent="0.2">
      <c r="A1289" s="6" t="str">
        <f>"POTEJ"</f>
        <v>POTEJ</v>
      </c>
      <c r="B1289" s="6">
        <v>5.9940059940059897E-3</v>
      </c>
      <c r="C1289" s="6">
        <v>7.5999590842360396E-2</v>
      </c>
    </row>
    <row r="1290" spans="1:3" s="8" customFormat="1" x14ac:dyDescent="0.2">
      <c r="A1290" s="6" t="str">
        <f>"CLC"</f>
        <v>CLC</v>
      </c>
      <c r="B1290" s="6">
        <v>6.0120240480961897E-3</v>
      </c>
      <c r="C1290" s="6">
        <v>7.5999590842360396E-2</v>
      </c>
    </row>
    <row r="1291" spans="1:3" s="8" customFormat="1" x14ac:dyDescent="0.2">
      <c r="A1291" s="6" t="str">
        <f>"IL22RA2"</f>
        <v>IL22RA2</v>
      </c>
      <c r="B1291" s="6">
        <v>5.9940059940059897E-3</v>
      </c>
      <c r="C1291" s="6">
        <v>7.5999590842360396E-2</v>
      </c>
    </row>
    <row r="1292" spans="1:3" s="8" customFormat="1" x14ac:dyDescent="0.2">
      <c r="A1292" s="6" t="str">
        <f>"LINC02631"</f>
        <v>LINC02631</v>
      </c>
      <c r="B1292" s="6">
        <v>5.9940059940059897E-3</v>
      </c>
      <c r="C1292" s="6">
        <v>7.5999590842360396E-2</v>
      </c>
    </row>
    <row r="1293" spans="1:3" s="8" customFormat="1" x14ac:dyDescent="0.2">
      <c r="A1293" s="6" t="str">
        <f>"TRIM40"</f>
        <v>TRIM40</v>
      </c>
      <c r="B1293" s="6">
        <v>5.9940059940059897E-3</v>
      </c>
      <c r="C1293" s="6">
        <v>7.5999590842360396E-2</v>
      </c>
    </row>
    <row r="1294" spans="1:3" s="8" customFormat="1" x14ac:dyDescent="0.2">
      <c r="A1294" s="6" t="str">
        <f>"KIF26A"</f>
        <v>KIF26A</v>
      </c>
      <c r="B1294" s="6">
        <v>6.0060060060059999E-3</v>
      </c>
      <c r="C1294" s="6">
        <v>7.5999590842360396E-2</v>
      </c>
    </row>
    <row r="1295" spans="1:3" s="8" customFormat="1" x14ac:dyDescent="0.2">
      <c r="A1295" s="6" t="str">
        <f>"AC116353.6"</f>
        <v>AC116353.6</v>
      </c>
      <c r="B1295" s="6">
        <v>5.9940059940059897E-3</v>
      </c>
      <c r="C1295" s="6">
        <v>7.5999590842360396E-2</v>
      </c>
    </row>
    <row r="1296" spans="1:3" s="8" customFormat="1" x14ac:dyDescent="0.2">
      <c r="A1296" s="6" t="str">
        <f>"MPP4"</f>
        <v>MPP4</v>
      </c>
      <c r="B1296" s="6">
        <v>6.0120240480961897E-3</v>
      </c>
      <c r="C1296" s="6">
        <v>7.5999590842360396E-2</v>
      </c>
    </row>
    <row r="1297" spans="1:3" s="8" customFormat="1" x14ac:dyDescent="0.2">
      <c r="A1297" s="6" t="str">
        <f>"YWHAEP1"</f>
        <v>YWHAEP1</v>
      </c>
      <c r="B1297" s="6">
        <v>5.9940059940059897E-3</v>
      </c>
      <c r="C1297" s="6">
        <v>7.5999590842360396E-2</v>
      </c>
    </row>
    <row r="1298" spans="1:3" s="8" customFormat="1" x14ac:dyDescent="0.2">
      <c r="A1298" s="6" t="str">
        <f>"YWHABP2"</f>
        <v>YWHABP2</v>
      </c>
      <c r="B1298" s="6">
        <v>5.9940059940059897E-3</v>
      </c>
      <c r="C1298" s="6">
        <v>7.5999590842360396E-2</v>
      </c>
    </row>
    <row r="1299" spans="1:3" s="8" customFormat="1" x14ac:dyDescent="0.2">
      <c r="A1299" s="6" t="str">
        <f>"FAM209A"</f>
        <v>FAM209A</v>
      </c>
      <c r="B1299" s="6">
        <v>6.0000000000000001E-3</v>
      </c>
      <c r="C1299" s="6">
        <v>7.5999590842360396E-2</v>
      </c>
    </row>
    <row r="1300" spans="1:3" s="8" customFormat="1" x14ac:dyDescent="0.2">
      <c r="A1300" s="6" t="str">
        <f>"RPS27AP16"</f>
        <v>RPS27AP16</v>
      </c>
      <c r="B1300" s="6">
        <v>5.6053811659192796E-3</v>
      </c>
      <c r="C1300" s="6">
        <v>7.5999590842360396E-2</v>
      </c>
    </row>
    <row r="1301" spans="1:3" s="8" customFormat="1" x14ac:dyDescent="0.2">
      <c r="A1301" s="6" t="str">
        <f>"AC011921.1"</f>
        <v>AC011921.1</v>
      </c>
      <c r="B1301" s="6">
        <v>5.9940059940059897E-3</v>
      </c>
      <c r="C1301" s="6">
        <v>7.5999590842360396E-2</v>
      </c>
    </row>
    <row r="1302" spans="1:3" s="8" customFormat="1" x14ac:dyDescent="0.2">
      <c r="A1302" s="6" t="str">
        <f>"AL773545.3"</f>
        <v>AL773545.3</v>
      </c>
      <c r="B1302" s="6">
        <v>5.9940059940059897E-3</v>
      </c>
      <c r="C1302" s="6">
        <v>7.5999590842360396E-2</v>
      </c>
    </row>
    <row r="1303" spans="1:3" s="8" customFormat="1" x14ac:dyDescent="0.2">
      <c r="A1303" s="6" t="str">
        <f>"TMSB4XP6"</f>
        <v>TMSB4XP6</v>
      </c>
      <c r="B1303" s="6">
        <v>6.0000000000000001E-3</v>
      </c>
      <c r="C1303" s="6">
        <v>7.5999590842360396E-2</v>
      </c>
    </row>
    <row r="1304" spans="1:3" s="8" customFormat="1" x14ac:dyDescent="0.2">
      <c r="A1304" s="6" t="str">
        <f>"LINC02798"</f>
        <v>LINC02798</v>
      </c>
      <c r="B1304" s="6">
        <v>5.9940059940059897E-3</v>
      </c>
      <c r="C1304" s="6">
        <v>7.5999590842360396E-2</v>
      </c>
    </row>
    <row r="1305" spans="1:3" s="8" customFormat="1" x14ac:dyDescent="0.2">
      <c r="A1305" s="6" t="str">
        <f>"FAM180A"</f>
        <v>FAM180A</v>
      </c>
      <c r="B1305" s="6">
        <v>5.9940059940059897E-3</v>
      </c>
      <c r="C1305" s="6">
        <v>7.5999590842360396E-2</v>
      </c>
    </row>
    <row r="1306" spans="1:3" s="8" customFormat="1" x14ac:dyDescent="0.2">
      <c r="A1306" s="6" t="str">
        <f>"HTR7"</f>
        <v>HTR7</v>
      </c>
      <c r="B1306" s="6">
        <v>5.9940059940059897E-3</v>
      </c>
      <c r="C1306" s="6">
        <v>7.5999590842360396E-2</v>
      </c>
    </row>
    <row r="1307" spans="1:3" s="8" customFormat="1" x14ac:dyDescent="0.2">
      <c r="A1307" s="6" t="str">
        <f>"CHGB"</f>
        <v>CHGB</v>
      </c>
      <c r="B1307" s="6">
        <v>5.9940059940059897E-3</v>
      </c>
      <c r="C1307" s="6">
        <v>7.5999590842360396E-2</v>
      </c>
    </row>
    <row r="1308" spans="1:3" s="8" customFormat="1" x14ac:dyDescent="0.2">
      <c r="A1308" s="6" t="str">
        <f>"ZDHHC19"</f>
        <v>ZDHHC19</v>
      </c>
      <c r="B1308" s="6">
        <v>5.9940059940059897E-3</v>
      </c>
      <c r="C1308" s="6">
        <v>7.5999590842360396E-2</v>
      </c>
    </row>
    <row r="1309" spans="1:3" s="8" customFormat="1" x14ac:dyDescent="0.2">
      <c r="A1309" s="6" t="str">
        <f>"AL160314.2"</f>
        <v>AL160314.2</v>
      </c>
      <c r="B1309" s="6">
        <v>5.5741360089186101E-3</v>
      </c>
      <c r="C1309" s="6">
        <v>7.5999590842360396E-2</v>
      </c>
    </row>
    <row r="1310" spans="1:3" s="8" customFormat="1" x14ac:dyDescent="0.2">
      <c r="A1310" s="6" t="str">
        <f>"AC233723.1"</f>
        <v>AC233723.1</v>
      </c>
      <c r="B1310" s="6">
        <v>6.0060060060059999E-3</v>
      </c>
      <c r="C1310" s="6">
        <v>7.5999590842360396E-2</v>
      </c>
    </row>
    <row r="1311" spans="1:3" s="8" customFormat="1" x14ac:dyDescent="0.2">
      <c r="A1311" s="6" t="str">
        <f>"LINC02484"</f>
        <v>LINC02484</v>
      </c>
      <c r="B1311" s="6">
        <v>5.9940059940059897E-3</v>
      </c>
      <c r="C1311" s="6">
        <v>7.5999590842360396E-2</v>
      </c>
    </row>
    <row r="1312" spans="1:3" s="8" customFormat="1" x14ac:dyDescent="0.2">
      <c r="A1312" s="6" t="str">
        <f>"ARHGAP42-AS1"</f>
        <v>ARHGAP42-AS1</v>
      </c>
      <c r="B1312" s="6">
        <v>5.9940059940059897E-3</v>
      </c>
      <c r="C1312" s="6">
        <v>7.5999590842360396E-2</v>
      </c>
    </row>
    <row r="1313" spans="1:3" s="8" customFormat="1" x14ac:dyDescent="0.2">
      <c r="A1313" s="6" t="str">
        <f>"AC079781.2"</f>
        <v>AC079781.2</v>
      </c>
      <c r="B1313" s="6">
        <v>5.9940059940059897E-3</v>
      </c>
      <c r="C1313" s="6">
        <v>7.5999590842360396E-2</v>
      </c>
    </row>
    <row r="1314" spans="1:3" s="8" customFormat="1" x14ac:dyDescent="0.2">
      <c r="A1314" s="6" t="str">
        <f>"CENPI"</f>
        <v>CENPI</v>
      </c>
      <c r="B1314" s="6">
        <v>5.9940059940059897E-3</v>
      </c>
      <c r="C1314" s="6">
        <v>7.5999590842360396E-2</v>
      </c>
    </row>
    <row r="1315" spans="1:3" s="8" customFormat="1" x14ac:dyDescent="0.2">
      <c r="A1315" s="6" t="str">
        <f>"PTX3"</f>
        <v>PTX3</v>
      </c>
      <c r="B1315" s="6">
        <v>5.9940059940059897E-3</v>
      </c>
      <c r="C1315" s="6">
        <v>7.5999590842360396E-2</v>
      </c>
    </row>
    <row r="1316" spans="1:3" s="8" customFormat="1" x14ac:dyDescent="0.2">
      <c r="A1316" s="6" t="str">
        <f>"SCG3"</f>
        <v>SCG3</v>
      </c>
      <c r="B1316" s="6">
        <v>5.9940059940059897E-3</v>
      </c>
      <c r="C1316" s="6">
        <v>7.5999590842360396E-2</v>
      </c>
    </row>
    <row r="1317" spans="1:3" s="8" customFormat="1" x14ac:dyDescent="0.2">
      <c r="A1317" s="6" t="str">
        <f>"DAB1"</f>
        <v>DAB1</v>
      </c>
      <c r="B1317" s="6">
        <v>5.9940059940059897E-3</v>
      </c>
      <c r="C1317" s="6">
        <v>7.5999590842360396E-2</v>
      </c>
    </row>
    <row r="1318" spans="1:3" s="8" customFormat="1" x14ac:dyDescent="0.2">
      <c r="A1318" s="6" t="str">
        <f>"PCDHGA5"</f>
        <v>PCDHGA5</v>
      </c>
      <c r="B1318" s="6">
        <v>6.0000000000000001E-3</v>
      </c>
      <c r="C1318" s="6">
        <v>7.5999590842360396E-2</v>
      </c>
    </row>
    <row r="1319" spans="1:3" s="8" customFormat="1" x14ac:dyDescent="0.2">
      <c r="A1319" s="6" t="str">
        <f>"ADAMTS4"</f>
        <v>ADAMTS4</v>
      </c>
      <c r="B1319" s="6">
        <v>5.9940059940059897E-3</v>
      </c>
      <c r="C1319" s="6">
        <v>7.5999590842360396E-2</v>
      </c>
    </row>
    <row r="1320" spans="1:3" s="8" customFormat="1" x14ac:dyDescent="0.2">
      <c r="A1320" s="6" t="str">
        <f>"THBS4"</f>
        <v>THBS4</v>
      </c>
      <c r="B1320" s="6">
        <v>5.9940059940059897E-3</v>
      </c>
      <c r="C1320" s="6">
        <v>7.5999590842360396E-2</v>
      </c>
    </row>
    <row r="1321" spans="1:3" s="8" customFormat="1" x14ac:dyDescent="0.2">
      <c r="A1321" s="6" t="str">
        <f>"PGAM1P8"</f>
        <v>PGAM1P8</v>
      </c>
      <c r="B1321" s="6">
        <v>5.9940059940059897E-3</v>
      </c>
      <c r="C1321" s="6">
        <v>7.5999590842360396E-2</v>
      </c>
    </row>
    <row r="1322" spans="1:3" s="8" customFormat="1" x14ac:dyDescent="0.2">
      <c r="A1322" s="6" t="str">
        <f>"AL391832.2"</f>
        <v>AL391832.2</v>
      </c>
      <c r="B1322" s="6">
        <v>5.9940059940059897E-3</v>
      </c>
      <c r="C1322" s="6">
        <v>7.5999590842360396E-2</v>
      </c>
    </row>
    <row r="1323" spans="1:3" s="8" customFormat="1" x14ac:dyDescent="0.2">
      <c r="A1323" s="6" t="str">
        <f>"AC138207.8"</f>
        <v>AC138207.8</v>
      </c>
      <c r="B1323" s="6">
        <v>6.0060060060059999E-3</v>
      </c>
      <c r="C1323" s="6">
        <v>7.5999590842360396E-2</v>
      </c>
    </row>
    <row r="1324" spans="1:3" s="8" customFormat="1" x14ac:dyDescent="0.2">
      <c r="A1324" s="6" t="str">
        <f>"KIF14"</f>
        <v>KIF14</v>
      </c>
      <c r="B1324" s="6">
        <v>6.0000000000000001E-3</v>
      </c>
      <c r="C1324" s="6">
        <v>7.5999590842360396E-2</v>
      </c>
    </row>
    <row r="1325" spans="1:3" s="8" customFormat="1" x14ac:dyDescent="0.2">
      <c r="A1325" s="6" t="str">
        <f>"AC092117.1"</f>
        <v>AC092117.1</v>
      </c>
      <c r="B1325" s="6">
        <v>5.9940059940059897E-3</v>
      </c>
      <c r="C1325" s="6">
        <v>7.5999590842360396E-2</v>
      </c>
    </row>
    <row r="1326" spans="1:3" s="8" customFormat="1" x14ac:dyDescent="0.2">
      <c r="A1326" s="6" t="str">
        <f>"PGLYRP1"</f>
        <v>PGLYRP1</v>
      </c>
      <c r="B1326" s="6">
        <v>5.9940059940059897E-3</v>
      </c>
      <c r="C1326" s="6">
        <v>7.5999590842360396E-2</v>
      </c>
    </row>
    <row r="1327" spans="1:3" s="8" customFormat="1" x14ac:dyDescent="0.2">
      <c r="A1327" s="6" t="str">
        <f>"AC020911.2"</f>
        <v>AC020911.2</v>
      </c>
      <c r="B1327" s="6">
        <v>5.9940059940059897E-3</v>
      </c>
      <c r="C1327" s="6">
        <v>7.5999590842360396E-2</v>
      </c>
    </row>
    <row r="1328" spans="1:3" s="8" customFormat="1" x14ac:dyDescent="0.2">
      <c r="A1328" s="6" t="str">
        <f>"TM6SF1"</f>
        <v>TM6SF1</v>
      </c>
      <c r="B1328" s="6">
        <v>5.9940059940059897E-3</v>
      </c>
      <c r="C1328" s="6">
        <v>7.5999590842360396E-2</v>
      </c>
    </row>
    <row r="1329" spans="1:3" s="8" customFormat="1" x14ac:dyDescent="0.2">
      <c r="A1329" s="6" t="str">
        <f>"AC092164.1"</f>
        <v>AC092164.1</v>
      </c>
      <c r="B1329" s="6">
        <v>5.9940059940059897E-3</v>
      </c>
      <c r="C1329" s="6">
        <v>7.5999590842360396E-2</v>
      </c>
    </row>
    <row r="1330" spans="1:3" s="8" customFormat="1" x14ac:dyDescent="0.2">
      <c r="A1330" s="6" t="str">
        <f>"AC083862.1"</f>
        <v>AC083862.1</v>
      </c>
      <c r="B1330" s="6">
        <v>5.9940059940059897E-3</v>
      </c>
      <c r="C1330" s="6">
        <v>7.5999590842360396E-2</v>
      </c>
    </row>
    <row r="1331" spans="1:3" s="8" customFormat="1" x14ac:dyDescent="0.2">
      <c r="A1331" s="6" t="str">
        <f>"KIF18B"</f>
        <v>KIF18B</v>
      </c>
      <c r="B1331" s="6">
        <v>5.9940059940059897E-3</v>
      </c>
      <c r="C1331" s="6">
        <v>7.5999590842360396E-2</v>
      </c>
    </row>
    <row r="1332" spans="1:3" s="8" customFormat="1" x14ac:dyDescent="0.2">
      <c r="A1332" s="6" t="str">
        <f>"IL1RL1"</f>
        <v>IL1RL1</v>
      </c>
      <c r="B1332" s="6">
        <v>5.9940059940059897E-3</v>
      </c>
      <c r="C1332" s="6">
        <v>7.5999590842360396E-2</v>
      </c>
    </row>
    <row r="1333" spans="1:3" s="8" customFormat="1" x14ac:dyDescent="0.2">
      <c r="A1333" s="6" t="str">
        <f>"GNG7"</f>
        <v>GNG7</v>
      </c>
      <c r="B1333" s="6">
        <v>5.9940059940059897E-3</v>
      </c>
      <c r="C1333" s="6">
        <v>7.5999590842360396E-2</v>
      </c>
    </row>
    <row r="1334" spans="1:3" s="8" customFormat="1" x14ac:dyDescent="0.2">
      <c r="A1334" s="6" t="str">
        <f>"CACNA1H"</f>
        <v>CACNA1H</v>
      </c>
      <c r="B1334" s="6">
        <v>5.9940059940059897E-3</v>
      </c>
      <c r="C1334" s="6">
        <v>7.5999590842360396E-2</v>
      </c>
    </row>
    <row r="1335" spans="1:3" s="8" customFormat="1" x14ac:dyDescent="0.2">
      <c r="A1335" s="6" t="str">
        <f>"CLEC4A"</f>
        <v>CLEC4A</v>
      </c>
      <c r="B1335" s="6">
        <v>5.9940059940059897E-3</v>
      </c>
      <c r="C1335" s="6">
        <v>7.5999590842360396E-2</v>
      </c>
    </row>
    <row r="1336" spans="1:3" s="8" customFormat="1" x14ac:dyDescent="0.2">
      <c r="A1336" s="6" t="str">
        <f>"AC040970.1"</f>
        <v>AC040970.1</v>
      </c>
      <c r="B1336" s="6">
        <v>5.9940059940059897E-3</v>
      </c>
      <c r="C1336" s="6">
        <v>7.5999590842360396E-2</v>
      </c>
    </row>
    <row r="1337" spans="1:3" s="8" customFormat="1" x14ac:dyDescent="0.2">
      <c r="A1337" s="6" t="str">
        <f>"BTNL9"</f>
        <v>BTNL9</v>
      </c>
      <c r="B1337" s="6">
        <v>5.9940059940059897E-3</v>
      </c>
      <c r="C1337" s="6">
        <v>7.5999590842360396E-2</v>
      </c>
    </row>
    <row r="1338" spans="1:3" s="8" customFormat="1" x14ac:dyDescent="0.2">
      <c r="A1338" s="6" t="str">
        <f>"SLC16A10"</f>
        <v>SLC16A10</v>
      </c>
      <c r="B1338" s="6">
        <v>5.9940059940059897E-3</v>
      </c>
      <c r="C1338" s="6">
        <v>7.5999590842360396E-2</v>
      </c>
    </row>
    <row r="1339" spans="1:3" s="8" customFormat="1" x14ac:dyDescent="0.2">
      <c r="A1339" s="6" t="str">
        <f>"SERPINB9P1"</f>
        <v>SERPINB9P1</v>
      </c>
      <c r="B1339" s="6">
        <v>5.9940059940059897E-3</v>
      </c>
      <c r="C1339" s="6">
        <v>7.5999590842360396E-2</v>
      </c>
    </row>
    <row r="1340" spans="1:3" s="8" customFormat="1" x14ac:dyDescent="0.2">
      <c r="A1340" s="6" t="str">
        <f>"PPP1R1A"</f>
        <v>PPP1R1A</v>
      </c>
      <c r="B1340" s="6">
        <v>5.9940059940059897E-3</v>
      </c>
      <c r="C1340" s="6">
        <v>7.5999590842360396E-2</v>
      </c>
    </row>
    <row r="1341" spans="1:3" s="8" customFormat="1" x14ac:dyDescent="0.2">
      <c r="A1341" s="6" t="str">
        <f>"AL136295.4"</f>
        <v>AL136295.4</v>
      </c>
      <c r="B1341" s="6">
        <v>5.9940059940059897E-3</v>
      </c>
      <c r="C1341" s="6">
        <v>7.5999590842360396E-2</v>
      </c>
    </row>
    <row r="1342" spans="1:3" s="8" customFormat="1" x14ac:dyDescent="0.2">
      <c r="A1342" s="6" t="str">
        <f>"SFTPB"</f>
        <v>SFTPB</v>
      </c>
      <c r="B1342" s="6">
        <v>5.9940059940059897E-3</v>
      </c>
      <c r="C1342" s="6">
        <v>7.5999590842360396E-2</v>
      </c>
    </row>
    <row r="1343" spans="1:3" s="8" customFormat="1" x14ac:dyDescent="0.2">
      <c r="A1343" s="6" t="str">
        <f>"ESPL1"</f>
        <v>ESPL1</v>
      </c>
      <c r="B1343" s="6">
        <v>5.9940059940059897E-3</v>
      </c>
      <c r="C1343" s="6">
        <v>7.5999590842360396E-2</v>
      </c>
    </row>
    <row r="1344" spans="1:3" s="8" customFormat="1" x14ac:dyDescent="0.2">
      <c r="A1344" s="6" t="str">
        <f>"LILRB1"</f>
        <v>LILRB1</v>
      </c>
      <c r="B1344" s="6">
        <v>5.9940059940059897E-3</v>
      </c>
      <c r="C1344" s="6">
        <v>7.5999590842360396E-2</v>
      </c>
    </row>
    <row r="1345" spans="1:3" s="8" customFormat="1" x14ac:dyDescent="0.2">
      <c r="A1345" s="6" t="str">
        <f>"CENPN"</f>
        <v>CENPN</v>
      </c>
      <c r="B1345" s="6">
        <v>5.9940059940059897E-3</v>
      </c>
      <c r="C1345" s="6">
        <v>7.5999590842360396E-2</v>
      </c>
    </row>
    <row r="1346" spans="1:3" s="8" customFormat="1" x14ac:dyDescent="0.2">
      <c r="A1346" s="6" t="str">
        <f>"CIDECP1"</f>
        <v>CIDECP1</v>
      </c>
      <c r="B1346" s="6">
        <v>5.9940059940059897E-3</v>
      </c>
      <c r="C1346" s="6">
        <v>7.5999590842360396E-2</v>
      </c>
    </row>
    <row r="1347" spans="1:3" s="8" customFormat="1" x14ac:dyDescent="0.2">
      <c r="A1347" s="6" t="str">
        <f>"AC011603.2"</f>
        <v>AC011603.2</v>
      </c>
      <c r="B1347" s="6">
        <v>5.9940059940059897E-3</v>
      </c>
      <c r="C1347" s="6">
        <v>7.5999590842360396E-2</v>
      </c>
    </row>
    <row r="1348" spans="1:3" s="8" customFormat="1" x14ac:dyDescent="0.2">
      <c r="A1348" s="6" t="str">
        <f>"ARL11"</f>
        <v>ARL11</v>
      </c>
      <c r="B1348" s="6">
        <v>5.9940059940059897E-3</v>
      </c>
      <c r="C1348" s="6">
        <v>7.5999590842360396E-2</v>
      </c>
    </row>
    <row r="1349" spans="1:3" s="8" customFormat="1" x14ac:dyDescent="0.2">
      <c r="A1349" s="6" t="str">
        <f>"SEMA6B"</f>
        <v>SEMA6B</v>
      </c>
      <c r="B1349" s="6">
        <v>5.9940059940059897E-3</v>
      </c>
      <c r="C1349" s="6">
        <v>7.5999590842360396E-2</v>
      </c>
    </row>
    <row r="1350" spans="1:3" s="8" customFormat="1" x14ac:dyDescent="0.2">
      <c r="A1350" s="6" t="str">
        <f>"LRR1"</f>
        <v>LRR1</v>
      </c>
      <c r="B1350" s="6">
        <v>5.9940059940059897E-3</v>
      </c>
      <c r="C1350" s="6">
        <v>7.5999590842360396E-2</v>
      </c>
    </row>
    <row r="1351" spans="1:3" s="8" customFormat="1" x14ac:dyDescent="0.2">
      <c r="A1351" s="6" t="str">
        <f>"IL18R1"</f>
        <v>IL18R1</v>
      </c>
      <c r="B1351" s="6">
        <v>5.9940059940059897E-3</v>
      </c>
      <c r="C1351" s="6">
        <v>7.5999590842360396E-2</v>
      </c>
    </row>
    <row r="1352" spans="1:3" s="8" customFormat="1" x14ac:dyDescent="0.2">
      <c r="A1352" s="6" t="str">
        <f>"STAP1"</f>
        <v>STAP1</v>
      </c>
      <c r="B1352" s="6">
        <v>5.9940059940059897E-3</v>
      </c>
      <c r="C1352" s="6">
        <v>7.5999590842360396E-2</v>
      </c>
    </row>
    <row r="1353" spans="1:3" s="8" customFormat="1" x14ac:dyDescent="0.2">
      <c r="A1353" s="6" t="str">
        <f>"AL732372.3"</f>
        <v>AL732372.3</v>
      </c>
      <c r="B1353" s="6">
        <v>5.9940059940059897E-3</v>
      </c>
      <c r="C1353" s="6">
        <v>7.5999590842360396E-2</v>
      </c>
    </row>
    <row r="1354" spans="1:3" s="8" customFormat="1" x14ac:dyDescent="0.2">
      <c r="A1354" s="6" t="str">
        <f>"ARHGEF26"</f>
        <v>ARHGEF26</v>
      </c>
      <c r="B1354" s="6">
        <v>5.9940059940059897E-3</v>
      </c>
      <c r="C1354" s="6">
        <v>7.5999590842360396E-2</v>
      </c>
    </row>
    <row r="1355" spans="1:3" s="8" customFormat="1" x14ac:dyDescent="0.2">
      <c r="A1355" s="6" t="str">
        <f>"CRCT1"</f>
        <v>CRCT1</v>
      </c>
      <c r="B1355" s="6">
        <v>5.9940059940059897E-3</v>
      </c>
      <c r="C1355" s="6">
        <v>7.5999590842360396E-2</v>
      </c>
    </row>
    <row r="1356" spans="1:3" s="8" customFormat="1" x14ac:dyDescent="0.2">
      <c r="A1356" s="6" t="str">
        <f>"DLL1"</f>
        <v>DLL1</v>
      </c>
      <c r="B1356" s="6">
        <v>5.9940059940059897E-3</v>
      </c>
      <c r="C1356" s="6">
        <v>7.5999590842360396E-2</v>
      </c>
    </row>
    <row r="1357" spans="1:3" s="8" customFormat="1" x14ac:dyDescent="0.2">
      <c r="A1357" s="6" t="str">
        <f>"CDC20"</f>
        <v>CDC20</v>
      </c>
      <c r="B1357" s="6">
        <v>5.9940059940059897E-3</v>
      </c>
      <c r="C1357" s="6">
        <v>7.5999590842360396E-2</v>
      </c>
    </row>
    <row r="1358" spans="1:3" s="8" customFormat="1" x14ac:dyDescent="0.2">
      <c r="A1358" s="6" t="str">
        <f>"AL627309.5"</f>
        <v>AL627309.5</v>
      </c>
      <c r="B1358" s="6">
        <v>5.9940059940059897E-3</v>
      </c>
      <c r="C1358" s="6">
        <v>7.5999590842360396E-2</v>
      </c>
    </row>
    <row r="1359" spans="1:3" s="8" customFormat="1" x14ac:dyDescent="0.2">
      <c r="A1359" s="6" t="str">
        <f>"SLC43A3"</f>
        <v>SLC43A3</v>
      </c>
      <c r="B1359" s="6">
        <v>5.9940059940059897E-3</v>
      </c>
      <c r="C1359" s="6">
        <v>7.5999590842360396E-2</v>
      </c>
    </row>
    <row r="1360" spans="1:3" s="8" customFormat="1" x14ac:dyDescent="0.2">
      <c r="A1360" s="6" t="str">
        <f>"CKLF"</f>
        <v>CKLF</v>
      </c>
      <c r="B1360" s="6">
        <v>5.9940059940059897E-3</v>
      </c>
      <c r="C1360" s="6">
        <v>7.5999590842360396E-2</v>
      </c>
    </row>
    <row r="1361" spans="1:3" s="8" customFormat="1" x14ac:dyDescent="0.2">
      <c r="A1361" s="6" t="str">
        <f>"SLC9A3-AS1"</f>
        <v>SLC9A3-AS1</v>
      </c>
      <c r="B1361" s="6">
        <v>5.9940059940059897E-3</v>
      </c>
      <c r="C1361" s="6">
        <v>7.5999590842360396E-2</v>
      </c>
    </row>
    <row r="1362" spans="1:3" s="8" customFormat="1" x14ac:dyDescent="0.2">
      <c r="A1362" s="6" t="str">
        <f>"ALOX15B"</f>
        <v>ALOX15B</v>
      </c>
      <c r="B1362" s="6">
        <v>5.9940059940059897E-3</v>
      </c>
      <c r="C1362" s="6">
        <v>7.5999590842360396E-2</v>
      </c>
    </row>
    <row r="1363" spans="1:3" s="8" customFormat="1" x14ac:dyDescent="0.2">
      <c r="A1363" s="6" t="str">
        <f>"TRIM7"</f>
        <v>TRIM7</v>
      </c>
      <c r="B1363" s="6">
        <v>5.9940059940059897E-3</v>
      </c>
      <c r="C1363" s="6">
        <v>7.5999590842360396E-2</v>
      </c>
    </row>
    <row r="1364" spans="1:3" s="8" customFormat="1" x14ac:dyDescent="0.2">
      <c r="A1364" s="6" t="str">
        <f>"KSR1"</f>
        <v>KSR1</v>
      </c>
      <c r="B1364" s="6">
        <v>5.9940059940059897E-3</v>
      </c>
      <c r="C1364" s="6">
        <v>7.5999590842360396E-2</v>
      </c>
    </row>
    <row r="1365" spans="1:3" s="8" customFormat="1" x14ac:dyDescent="0.2">
      <c r="A1365" s="6" t="str">
        <f>"RASSF3"</f>
        <v>RASSF3</v>
      </c>
      <c r="B1365" s="6">
        <v>5.9940059940059897E-3</v>
      </c>
      <c r="C1365" s="6">
        <v>7.5999590842360396E-2</v>
      </c>
    </row>
    <row r="1366" spans="1:3" s="8" customFormat="1" x14ac:dyDescent="0.2">
      <c r="A1366" s="6" t="str">
        <f>"SYT5"</f>
        <v>SYT5</v>
      </c>
      <c r="B1366" s="6">
        <v>5.9940059940059897E-3</v>
      </c>
      <c r="C1366" s="6">
        <v>7.5999590842360396E-2</v>
      </c>
    </row>
    <row r="1367" spans="1:3" s="8" customFormat="1" x14ac:dyDescent="0.2">
      <c r="A1367" s="6" t="str">
        <f>"PLK2"</f>
        <v>PLK2</v>
      </c>
      <c r="B1367" s="6">
        <v>5.9940059940059897E-3</v>
      </c>
      <c r="C1367" s="6">
        <v>7.5999590842360396E-2</v>
      </c>
    </row>
    <row r="1368" spans="1:3" s="8" customFormat="1" x14ac:dyDescent="0.2">
      <c r="A1368" s="6" t="str">
        <f>"NR1D1"</f>
        <v>NR1D1</v>
      </c>
      <c r="B1368" s="6">
        <v>5.9940059940059897E-3</v>
      </c>
      <c r="C1368" s="6">
        <v>7.5999590842360396E-2</v>
      </c>
    </row>
    <row r="1369" spans="1:3" s="8" customFormat="1" x14ac:dyDescent="0.2">
      <c r="A1369" s="6" t="str">
        <f>"MAP3K6"</f>
        <v>MAP3K6</v>
      </c>
      <c r="B1369" s="6">
        <v>5.9940059940059897E-3</v>
      </c>
      <c r="C1369" s="6">
        <v>7.5999590842360396E-2</v>
      </c>
    </row>
    <row r="1370" spans="1:3" s="8" customFormat="1" x14ac:dyDescent="0.2">
      <c r="A1370" s="6" t="str">
        <f>"THUMPD3"</f>
        <v>THUMPD3</v>
      </c>
      <c r="B1370" s="6">
        <v>5.9940059940059897E-3</v>
      </c>
      <c r="C1370" s="6">
        <v>7.5999590842360396E-2</v>
      </c>
    </row>
    <row r="1371" spans="1:3" s="8" customFormat="1" x14ac:dyDescent="0.2">
      <c r="A1371" s="6" t="str">
        <f>"STK4"</f>
        <v>STK4</v>
      </c>
      <c r="B1371" s="6">
        <v>5.9940059940059897E-3</v>
      </c>
      <c r="C1371" s="6">
        <v>7.5999590842360396E-2</v>
      </c>
    </row>
    <row r="1372" spans="1:3" s="8" customFormat="1" x14ac:dyDescent="0.2">
      <c r="A1372" s="6" t="str">
        <f>"FNDC3B"</f>
        <v>FNDC3B</v>
      </c>
      <c r="B1372" s="6">
        <v>5.9940059940059897E-3</v>
      </c>
      <c r="C1372" s="6">
        <v>7.5999590842360396E-2</v>
      </c>
    </row>
    <row r="1373" spans="1:3" s="8" customFormat="1" x14ac:dyDescent="0.2">
      <c r="A1373" s="6" t="str">
        <f>"PGLS"</f>
        <v>PGLS</v>
      </c>
      <c r="B1373" s="6">
        <v>5.9940059940059897E-3</v>
      </c>
      <c r="C1373" s="6">
        <v>7.5999590842360396E-2</v>
      </c>
    </row>
    <row r="1374" spans="1:3" s="8" customFormat="1" x14ac:dyDescent="0.2">
      <c r="A1374" s="6" t="str">
        <f>"SCD"</f>
        <v>SCD</v>
      </c>
      <c r="B1374" s="6">
        <v>5.9940059940059897E-3</v>
      </c>
      <c r="C1374" s="6">
        <v>7.5999590842360396E-2</v>
      </c>
    </row>
    <row r="1375" spans="1:3" s="8" customFormat="1" x14ac:dyDescent="0.2">
      <c r="A1375" s="6" t="str">
        <f>"TSC22D3"</f>
        <v>TSC22D3</v>
      </c>
      <c r="B1375" s="6">
        <v>5.9940059940059897E-3</v>
      </c>
      <c r="C1375" s="6">
        <v>7.5999590842360396E-2</v>
      </c>
    </row>
    <row r="1376" spans="1:3" s="8" customFormat="1" x14ac:dyDescent="0.2">
      <c r="A1376" s="6" t="str">
        <f>"UBALD2"</f>
        <v>UBALD2</v>
      </c>
      <c r="B1376" s="6">
        <v>5.9940059940059897E-3</v>
      </c>
      <c r="C1376" s="6">
        <v>7.5999590842360396E-2</v>
      </c>
    </row>
    <row r="1377" spans="1:3" s="8" customFormat="1" x14ac:dyDescent="0.2">
      <c r="A1377" s="6" t="str">
        <f>"PNKD"</f>
        <v>PNKD</v>
      </c>
      <c r="B1377" s="6">
        <v>5.9940059940059897E-3</v>
      </c>
      <c r="C1377" s="6">
        <v>7.5999590842360396E-2</v>
      </c>
    </row>
    <row r="1378" spans="1:3" s="8" customFormat="1" x14ac:dyDescent="0.2">
      <c r="A1378" s="6" t="str">
        <f>"DYNLRB1"</f>
        <v>DYNLRB1</v>
      </c>
      <c r="B1378" s="6">
        <v>5.9940059940059897E-3</v>
      </c>
      <c r="C1378" s="6">
        <v>7.5999590842360396E-2</v>
      </c>
    </row>
    <row r="1379" spans="1:3" s="8" customFormat="1" x14ac:dyDescent="0.2">
      <c r="A1379" s="6" t="str">
        <f>"TRAF7"</f>
        <v>TRAF7</v>
      </c>
      <c r="B1379" s="6">
        <v>5.9940059940059897E-3</v>
      </c>
      <c r="C1379" s="6">
        <v>7.5999590842360396E-2</v>
      </c>
    </row>
    <row r="1380" spans="1:3" s="8" customFormat="1" x14ac:dyDescent="0.2">
      <c r="A1380" s="6" t="str">
        <f>"CFAP157"</f>
        <v>CFAP157</v>
      </c>
      <c r="B1380" s="6">
        <v>5.9940059940059897E-3</v>
      </c>
      <c r="C1380" s="6">
        <v>7.5999590842360396E-2</v>
      </c>
    </row>
    <row r="1381" spans="1:3" s="8" customFormat="1" x14ac:dyDescent="0.2">
      <c r="A1381" s="6" t="str">
        <f>"BTG2"</f>
        <v>BTG2</v>
      </c>
      <c r="B1381" s="6">
        <v>5.9940059940059897E-3</v>
      </c>
      <c r="C1381" s="6">
        <v>7.5999590842360396E-2</v>
      </c>
    </row>
    <row r="1382" spans="1:3" s="8" customFormat="1" x14ac:dyDescent="0.2">
      <c r="A1382" s="6" t="str">
        <f>"FCGR3B"</f>
        <v>FCGR3B</v>
      </c>
      <c r="B1382" s="6">
        <v>5.9940059940059897E-3</v>
      </c>
      <c r="C1382" s="6">
        <v>7.5999590842360396E-2</v>
      </c>
    </row>
    <row r="1383" spans="1:3" s="8" customFormat="1" x14ac:dyDescent="0.2">
      <c r="A1383" s="6" t="str">
        <f>"SPRR2A"</f>
        <v>SPRR2A</v>
      </c>
      <c r="B1383" s="6">
        <v>5.9940059940059897E-3</v>
      </c>
      <c r="C1383" s="6">
        <v>7.5999590842360396E-2</v>
      </c>
    </row>
    <row r="1384" spans="1:3" s="8" customFormat="1" x14ac:dyDescent="0.2">
      <c r="A1384" s="6" t="str">
        <f>"NBEAL2"</f>
        <v>NBEAL2</v>
      </c>
      <c r="B1384" s="6">
        <v>6.0000000000000001E-3</v>
      </c>
      <c r="C1384" s="6">
        <v>7.5999590842360396E-2</v>
      </c>
    </row>
    <row r="1385" spans="1:3" s="8" customFormat="1" x14ac:dyDescent="0.2">
      <c r="A1385" s="6" t="str">
        <f>"SCAF11"</f>
        <v>SCAF11</v>
      </c>
      <c r="B1385" s="6">
        <v>5.9940059940059897E-3</v>
      </c>
      <c r="C1385" s="6">
        <v>7.5999590842360396E-2</v>
      </c>
    </row>
    <row r="1386" spans="1:3" s="8" customFormat="1" x14ac:dyDescent="0.2">
      <c r="A1386" s="6" t="str">
        <f>"PARP4"</f>
        <v>PARP4</v>
      </c>
      <c r="B1386" s="6">
        <v>5.9940059940059897E-3</v>
      </c>
      <c r="C1386" s="6">
        <v>7.5999590842360396E-2</v>
      </c>
    </row>
    <row r="1387" spans="1:3" s="8" customFormat="1" x14ac:dyDescent="0.2">
      <c r="A1387" s="6" t="str">
        <f>"RABL6"</f>
        <v>RABL6</v>
      </c>
      <c r="B1387" s="6">
        <v>5.9940059940059897E-3</v>
      </c>
      <c r="C1387" s="6">
        <v>7.5999590842360396E-2</v>
      </c>
    </row>
    <row r="1388" spans="1:3" s="8" customFormat="1" x14ac:dyDescent="0.2">
      <c r="A1388" s="6" t="str">
        <f>"CXCL16"</f>
        <v>CXCL16</v>
      </c>
      <c r="B1388" s="6">
        <v>5.9940059940059897E-3</v>
      </c>
      <c r="C1388" s="6">
        <v>7.5999590842360396E-2</v>
      </c>
    </row>
    <row r="1389" spans="1:3" s="8" customFormat="1" x14ac:dyDescent="0.2">
      <c r="A1389" s="6" t="str">
        <f>"EPN1"</f>
        <v>EPN1</v>
      </c>
      <c r="B1389" s="6">
        <v>5.9940059940059897E-3</v>
      </c>
      <c r="C1389" s="6">
        <v>7.5999590842360396E-2</v>
      </c>
    </row>
    <row r="1390" spans="1:3" s="8" customFormat="1" x14ac:dyDescent="0.2">
      <c r="A1390" s="6" t="str">
        <f>"CFLAR"</f>
        <v>CFLAR</v>
      </c>
      <c r="B1390" s="6">
        <v>5.9940059940059897E-3</v>
      </c>
      <c r="C1390" s="6">
        <v>7.5999590842360396E-2</v>
      </c>
    </row>
    <row r="1391" spans="1:3" s="8" customFormat="1" x14ac:dyDescent="0.2">
      <c r="A1391" s="6" t="str">
        <f>"TAPBP"</f>
        <v>TAPBP</v>
      </c>
      <c r="B1391" s="6">
        <v>5.9940059940059897E-3</v>
      </c>
      <c r="C1391" s="6">
        <v>7.5999590842360396E-2</v>
      </c>
    </row>
    <row r="1392" spans="1:3" s="8" customFormat="1" x14ac:dyDescent="0.2">
      <c r="A1392" s="6" t="str">
        <f>"TAGLN2"</f>
        <v>TAGLN2</v>
      </c>
      <c r="B1392" s="6">
        <v>5.9940059940059897E-3</v>
      </c>
      <c r="C1392" s="6">
        <v>7.5999590842360396E-2</v>
      </c>
    </row>
    <row r="1393" spans="1:3" s="8" customFormat="1" x14ac:dyDescent="0.2">
      <c r="A1393" s="6" t="str">
        <f>"AL157712.1"</f>
        <v>AL157712.1</v>
      </c>
      <c r="B1393" s="6">
        <v>6.0362173038229303E-3</v>
      </c>
      <c r="C1393" s="6">
        <v>7.6217886756795306E-2</v>
      </c>
    </row>
    <row r="1394" spans="1:3" s="8" customFormat="1" x14ac:dyDescent="0.2">
      <c r="A1394" s="6" t="str">
        <f>"AC007848.1"</f>
        <v>AC007848.1</v>
      </c>
      <c r="B1394" s="6">
        <v>6.0422960725075503E-3</v>
      </c>
      <c r="C1394" s="6">
        <v>7.6217886756795306E-2</v>
      </c>
    </row>
    <row r="1395" spans="1:3" s="8" customFormat="1" x14ac:dyDescent="0.2">
      <c r="A1395" s="6" t="str">
        <f>"AL049795.1"</f>
        <v>AL049795.1</v>
      </c>
      <c r="B1395" s="6">
        <v>6.0422960725075503E-3</v>
      </c>
      <c r="C1395" s="6">
        <v>7.6217886756795306E-2</v>
      </c>
    </row>
    <row r="1396" spans="1:3" s="8" customFormat="1" x14ac:dyDescent="0.2">
      <c r="A1396" s="6" t="str">
        <f>"AC024060.2"</f>
        <v>AC024060.2</v>
      </c>
      <c r="B1396" s="6">
        <v>6.1664953751284597E-3</v>
      </c>
      <c r="C1396" s="6">
        <v>7.7728784714164001E-2</v>
      </c>
    </row>
    <row r="1397" spans="1:3" s="8" customFormat="1" x14ac:dyDescent="0.2">
      <c r="A1397" s="6" t="str">
        <f>"AC024581.1"</f>
        <v>AC024581.1</v>
      </c>
      <c r="B1397" s="6">
        <v>6.2370062370062304E-3</v>
      </c>
      <c r="C1397" s="6">
        <v>7.8561259077018303E-2</v>
      </c>
    </row>
    <row r="1398" spans="1:3" s="8" customFormat="1" x14ac:dyDescent="0.2">
      <c r="A1398" s="6" t="str">
        <f>"KIF12"</f>
        <v>KIF12</v>
      </c>
      <c r="B1398" s="6">
        <v>6.9930069930069904E-3</v>
      </c>
      <c r="C1398" s="6">
        <v>8.3562797012898801E-2</v>
      </c>
    </row>
    <row r="1399" spans="1:3" s="8" customFormat="1" x14ac:dyDescent="0.2">
      <c r="A1399" s="6" t="str">
        <f>"IGKV1-17"</f>
        <v>IGKV1-17</v>
      </c>
      <c r="B1399" s="6">
        <v>7.0000000000000001E-3</v>
      </c>
      <c r="C1399" s="6">
        <v>8.3562797012898801E-2</v>
      </c>
    </row>
    <row r="1400" spans="1:3" s="8" customFormat="1" x14ac:dyDescent="0.2">
      <c r="A1400" s="6" t="str">
        <f>"H2AC13"</f>
        <v>H2AC13</v>
      </c>
      <c r="B1400" s="6">
        <v>6.9930069930069904E-3</v>
      </c>
      <c r="C1400" s="6">
        <v>8.3562797012898801E-2</v>
      </c>
    </row>
    <row r="1401" spans="1:3" s="8" customFormat="1" x14ac:dyDescent="0.2">
      <c r="A1401" s="6" t="str">
        <f>"AC012020.1"</f>
        <v>AC012020.1</v>
      </c>
      <c r="B1401" s="6">
        <v>6.9930069930069904E-3</v>
      </c>
      <c r="C1401" s="6">
        <v>8.3562797012898801E-2</v>
      </c>
    </row>
    <row r="1402" spans="1:3" s="8" customFormat="1" x14ac:dyDescent="0.2">
      <c r="A1402" s="6" t="str">
        <f>"AL034376.1"</f>
        <v>AL034376.1</v>
      </c>
      <c r="B1402" s="6">
        <v>6.9930069930069904E-3</v>
      </c>
      <c r="C1402" s="6">
        <v>8.3562797012898801E-2</v>
      </c>
    </row>
    <row r="1403" spans="1:3" s="8" customFormat="1" x14ac:dyDescent="0.2">
      <c r="A1403" s="6" t="str">
        <f>"C7orf61"</f>
        <v>C7orf61</v>
      </c>
      <c r="B1403" s="6">
        <v>6.9930069930069904E-3</v>
      </c>
      <c r="C1403" s="6">
        <v>8.3562797012898801E-2</v>
      </c>
    </row>
    <row r="1404" spans="1:3" s="8" customFormat="1" x14ac:dyDescent="0.2">
      <c r="A1404" s="6" t="str">
        <f>"AC068700.2"</f>
        <v>AC068700.2</v>
      </c>
      <c r="B1404" s="6">
        <v>6.9930069930069904E-3</v>
      </c>
      <c r="C1404" s="6">
        <v>8.3562797012898801E-2</v>
      </c>
    </row>
    <row r="1405" spans="1:3" s="8" customFormat="1" x14ac:dyDescent="0.2">
      <c r="A1405" s="6" t="str">
        <f>"ABHD16B"</f>
        <v>ABHD16B</v>
      </c>
      <c r="B1405" s="6">
        <v>6.9930069930069904E-3</v>
      </c>
      <c r="C1405" s="6">
        <v>8.3562797012898801E-2</v>
      </c>
    </row>
    <row r="1406" spans="1:3" s="8" customFormat="1" x14ac:dyDescent="0.2">
      <c r="A1406" s="6" t="str">
        <f>"AC117395.1"</f>
        <v>AC117395.1</v>
      </c>
      <c r="B1406" s="6">
        <v>6.9930069930069904E-3</v>
      </c>
      <c r="C1406" s="6">
        <v>8.3562797012898801E-2</v>
      </c>
    </row>
    <row r="1407" spans="1:3" s="8" customFormat="1" x14ac:dyDescent="0.2">
      <c r="A1407" s="6" t="str">
        <f>"AL358472.5"</f>
        <v>AL358472.5</v>
      </c>
      <c r="B1407" s="6">
        <v>6.9930069930069904E-3</v>
      </c>
      <c r="C1407" s="6">
        <v>8.3562797012898801E-2</v>
      </c>
    </row>
    <row r="1408" spans="1:3" s="8" customFormat="1" x14ac:dyDescent="0.2">
      <c r="A1408" s="6" t="str">
        <f>"DLL4"</f>
        <v>DLL4</v>
      </c>
      <c r="B1408" s="6">
        <v>6.9930069930069904E-3</v>
      </c>
      <c r="C1408" s="6">
        <v>8.3562797012898801E-2</v>
      </c>
    </row>
    <row r="1409" spans="1:3" s="8" customFormat="1" x14ac:dyDescent="0.2">
      <c r="A1409" s="6" t="str">
        <f>"ITGAD"</f>
        <v>ITGAD</v>
      </c>
      <c r="B1409" s="6">
        <v>7.0000000000000001E-3</v>
      </c>
      <c r="C1409" s="6">
        <v>8.3562797012898801E-2</v>
      </c>
    </row>
    <row r="1410" spans="1:3" s="8" customFormat="1" x14ac:dyDescent="0.2">
      <c r="A1410" s="6" t="str">
        <f>"LINC00664"</f>
        <v>LINC00664</v>
      </c>
      <c r="B1410" s="6">
        <v>6.9930069930069904E-3</v>
      </c>
      <c r="C1410" s="6">
        <v>8.3562797012898801E-2</v>
      </c>
    </row>
    <row r="1411" spans="1:3" s="8" customFormat="1" x14ac:dyDescent="0.2">
      <c r="A1411" s="6" t="str">
        <f>"TMIGD2"</f>
        <v>TMIGD2</v>
      </c>
      <c r="B1411" s="6">
        <v>6.9930069930069904E-3</v>
      </c>
      <c r="C1411" s="6">
        <v>8.3562797012898801E-2</v>
      </c>
    </row>
    <row r="1412" spans="1:3" s="8" customFormat="1" x14ac:dyDescent="0.2">
      <c r="A1412" s="6" t="str">
        <f>"AC016957.2"</f>
        <v>AC016957.2</v>
      </c>
      <c r="B1412" s="6">
        <v>6.9930069930069904E-3</v>
      </c>
      <c r="C1412" s="6">
        <v>8.3562797012898801E-2</v>
      </c>
    </row>
    <row r="1413" spans="1:3" s="8" customFormat="1" x14ac:dyDescent="0.2">
      <c r="A1413" s="6" t="str">
        <f>"PNMA6A"</f>
        <v>PNMA6A</v>
      </c>
      <c r="B1413" s="6">
        <v>6.9930069930069904E-3</v>
      </c>
      <c r="C1413" s="6">
        <v>8.3562797012898801E-2</v>
      </c>
    </row>
    <row r="1414" spans="1:3" s="8" customFormat="1" x14ac:dyDescent="0.2">
      <c r="A1414" s="6" t="str">
        <f>"GFRA2"</f>
        <v>GFRA2</v>
      </c>
      <c r="B1414" s="6">
        <v>6.9930069930069904E-3</v>
      </c>
      <c r="C1414" s="6">
        <v>8.3562797012898801E-2</v>
      </c>
    </row>
    <row r="1415" spans="1:3" s="8" customFormat="1" x14ac:dyDescent="0.2">
      <c r="A1415" s="6" t="str">
        <f>"MYBPC3"</f>
        <v>MYBPC3</v>
      </c>
      <c r="B1415" s="6">
        <v>6.9930069930069904E-3</v>
      </c>
      <c r="C1415" s="6">
        <v>8.3562797012898801E-2</v>
      </c>
    </row>
    <row r="1416" spans="1:3" s="8" customFormat="1" x14ac:dyDescent="0.2">
      <c r="A1416" s="6" t="str">
        <f>"LINC01431"</f>
        <v>LINC01431</v>
      </c>
      <c r="B1416" s="6">
        <v>6.9930069930069904E-3</v>
      </c>
      <c r="C1416" s="6">
        <v>8.3562797012898801E-2</v>
      </c>
    </row>
    <row r="1417" spans="1:3" s="8" customFormat="1" x14ac:dyDescent="0.2">
      <c r="A1417" s="6" t="str">
        <f>"AC026523.2"</f>
        <v>AC026523.2</v>
      </c>
      <c r="B1417" s="6">
        <v>6.9930069930069904E-3</v>
      </c>
      <c r="C1417" s="6">
        <v>8.3562797012898801E-2</v>
      </c>
    </row>
    <row r="1418" spans="1:3" s="8" customFormat="1" x14ac:dyDescent="0.2">
      <c r="A1418" s="6" t="str">
        <f>"SNX22"</f>
        <v>SNX22</v>
      </c>
      <c r="B1418" s="6">
        <v>6.9930069930069904E-3</v>
      </c>
      <c r="C1418" s="6">
        <v>8.3562797012898801E-2</v>
      </c>
    </row>
    <row r="1419" spans="1:3" s="8" customFormat="1" x14ac:dyDescent="0.2">
      <c r="A1419" s="6" t="str">
        <f>"TMC1"</f>
        <v>TMC1</v>
      </c>
      <c r="B1419" s="6">
        <v>6.9930069930069904E-3</v>
      </c>
      <c r="C1419" s="6">
        <v>8.3562797012898801E-2</v>
      </c>
    </row>
    <row r="1420" spans="1:3" s="8" customFormat="1" x14ac:dyDescent="0.2">
      <c r="A1420" s="6" t="str">
        <f>"C11orf96"</f>
        <v>C11orf96</v>
      </c>
      <c r="B1420" s="6">
        <v>6.9930069930069904E-3</v>
      </c>
      <c r="C1420" s="6">
        <v>8.3562797012898801E-2</v>
      </c>
    </row>
    <row r="1421" spans="1:3" s="8" customFormat="1" x14ac:dyDescent="0.2">
      <c r="A1421" s="6" t="str">
        <f>"H2AC8"</f>
        <v>H2AC8</v>
      </c>
      <c r="B1421" s="6">
        <v>6.9930069930069904E-3</v>
      </c>
      <c r="C1421" s="6">
        <v>8.3562797012898801E-2</v>
      </c>
    </row>
    <row r="1422" spans="1:3" s="8" customFormat="1" x14ac:dyDescent="0.2">
      <c r="A1422" s="6" t="str">
        <f>"CD300LB"</f>
        <v>CD300LB</v>
      </c>
      <c r="B1422" s="6">
        <v>6.9930069930069904E-3</v>
      </c>
      <c r="C1422" s="6">
        <v>8.3562797012898801E-2</v>
      </c>
    </row>
    <row r="1423" spans="1:3" s="8" customFormat="1" x14ac:dyDescent="0.2">
      <c r="A1423" s="6" t="str">
        <f>"SLC38A4"</f>
        <v>SLC38A4</v>
      </c>
      <c r="B1423" s="6">
        <v>6.9930069930069904E-3</v>
      </c>
      <c r="C1423" s="6">
        <v>8.3562797012898801E-2</v>
      </c>
    </row>
    <row r="1424" spans="1:3" s="8" customFormat="1" x14ac:dyDescent="0.2">
      <c r="A1424" s="6" t="str">
        <f>"AC012313.6"</f>
        <v>AC012313.6</v>
      </c>
      <c r="B1424" s="6">
        <v>7.0000000000000001E-3</v>
      </c>
      <c r="C1424" s="6">
        <v>8.3562797012898801E-2</v>
      </c>
    </row>
    <row r="1425" spans="1:3" s="8" customFormat="1" x14ac:dyDescent="0.2">
      <c r="A1425" s="6" t="str">
        <f>"CCL24"</f>
        <v>CCL24</v>
      </c>
      <c r="B1425" s="6">
        <v>6.9930069930069904E-3</v>
      </c>
      <c r="C1425" s="6">
        <v>8.3562797012898801E-2</v>
      </c>
    </row>
    <row r="1426" spans="1:3" s="8" customFormat="1" x14ac:dyDescent="0.2">
      <c r="A1426" s="6" t="str">
        <f>"CMKLR1"</f>
        <v>CMKLR1</v>
      </c>
      <c r="B1426" s="6">
        <v>6.9930069930069904E-3</v>
      </c>
      <c r="C1426" s="6">
        <v>8.3562797012898801E-2</v>
      </c>
    </row>
    <row r="1427" spans="1:3" s="8" customFormat="1" x14ac:dyDescent="0.2">
      <c r="A1427" s="6" t="str">
        <f>"SPACA6"</f>
        <v>SPACA6</v>
      </c>
      <c r="B1427" s="6">
        <v>6.9930069930069904E-3</v>
      </c>
      <c r="C1427" s="6">
        <v>8.3562797012898801E-2</v>
      </c>
    </row>
    <row r="1428" spans="1:3" s="8" customFormat="1" x14ac:dyDescent="0.2">
      <c r="A1428" s="6" t="str">
        <f>"ZBP1"</f>
        <v>ZBP1</v>
      </c>
      <c r="B1428" s="6">
        <v>6.9930069930069904E-3</v>
      </c>
      <c r="C1428" s="6">
        <v>8.3562797012898801E-2</v>
      </c>
    </row>
    <row r="1429" spans="1:3" s="8" customFormat="1" x14ac:dyDescent="0.2">
      <c r="A1429" s="6" t="str">
        <f>"RBM14-RBM4"</f>
        <v>RBM14-RBM4</v>
      </c>
      <c r="B1429" s="6">
        <v>6.9930069930069904E-3</v>
      </c>
      <c r="C1429" s="6">
        <v>8.3562797012898801E-2</v>
      </c>
    </row>
    <row r="1430" spans="1:3" s="8" customFormat="1" x14ac:dyDescent="0.2">
      <c r="A1430" s="6" t="str">
        <f>"CENPQ"</f>
        <v>CENPQ</v>
      </c>
      <c r="B1430" s="6">
        <v>6.9930069930069904E-3</v>
      </c>
      <c r="C1430" s="6">
        <v>8.3562797012898801E-2</v>
      </c>
    </row>
    <row r="1431" spans="1:3" s="8" customFormat="1" x14ac:dyDescent="0.2">
      <c r="A1431" s="6" t="str">
        <f>"NANOS1"</f>
        <v>NANOS1</v>
      </c>
      <c r="B1431" s="6">
        <v>6.9930069930069904E-3</v>
      </c>
      <c r="C1431" s="6">
        <v>8.3562797012898801E-2</v>
      </c>
    </row>
    <row r="1432" spans="1:3" s="8" customFormat="1" x14ac:dyDescent="0.2">
      <c r="A1432" s="6" t="str">
        <f>"PRAM1"</f>
        <v>PRAM1</v>
      </c>
      <c r="B1432" s="6">
        <v>6.9930069930069904E-3</v>
      </c>
      <c r="C1432" s="6">
        <v>8.3562797012898801E-2</v>
      </c>
    </row>
    <row r="1433" spans="1:3" s="8" customFormat="1" x14ac:dyDescent="0.2">
      <c r="A1433" s="6" t="str">
        <f>"KCNK2"</f>
        <v>KCNK2</v>
      </c>
      <c r="B1433" s="6">
        <v>6.9930069930069904E-3</v>
      </c>
      <c r="C1433" s="6">
        <v>8.3562797012898801E-2</v>
      </c>
    </row>
    <row r="1434" spans="1:3" s="8" customFormat="1" x14ac:dyDescent="0.2">
      <c r="A1434" s="6" t="str">
        <f>"RFXAP"</f>
        <v>RFXAP</v>
      </c>
      <c r="B1434" s="6">
        <v>6.9930069930069904E-3</v>
      </c>
      <c r="C1434" s="6">
        <v>8.3562797012898801E-2</v>
      </c>
    </row>
    <row r="1435" spans="1:3" s="8" customFormat="1" x14ac:dyDescent="0.2">
      <c r="A1435" s="6" t="str">
        <f>"FAM157C"</f>
        <v>FAM157C</v>
      </c>
      <c r="B1435" s="6">
        <v>6.9930069930069904E-3</v>
      </c>
      <c r="C1435" s="6">
        <v>8.3562797012898801E-2</v>
      </c>
    </row>
    <row r="1436" spans="1:3" s="8" customFormat="1" x14ac:dyDescent="0.2">
      <c r="A1436" s="6" t="str">
        <f>"RCSD1"</f>
        <v>RCSD1</v>
      </c>
      <c r="B1436" s="6">
        <v>7.0000000000000001E-3</v>
      </c>
      <c r="C1436" s="6">
        <v>8.3562797012898801E-2</v>
      </c>
    </row>
    <row r="1437" spans="1:3" s="8" customFormat="1" x14ac:dyDescent="0.2">
      <c r="A1437" s="6" t="str">
        <f>"TYRO3"</f>
        <v>TYRO3</v>
      </c>
      <c r="B1437" s="6">
        <v>6.9930069930069904E-3</v>
      </c>
      <c r="C1437" s="6">
        <v>8.3562797012898801E-2</v>
      </c>
    </row>
    <row r="1438" spans="1:3" s="8" customFormat="1" x14ac:dyDescent="0.2">
      <c r="A1438" s="6" t="str">
        <f>"RPS6KA6"</f>
        <v>RPS6KA6</v>
      </c>
      <c r="B1438" s="6">
        <v>6.9930069930069904E-3</v>
      </c>
      <c r="C1438" s="6">
        <v>8.3562797012898801E-2</v>
      </c>
    </row>
    <row r="1439" spans="1:3" s="8" customFormat="1" x14ac:dyDescent="0.2">
      <c r="A1439" s="6" t="str">
        <f>"DSN1"</f>
        <v>DSN1</v>
      </c>
      <c r="B1439" s="6">
        <v>6.9930069930069904E-3</v>
      </c>
      <c r="C1439" s="6">
        <v>8.3562797012898801E-2</v>
      </c>
    </row>
    <row r="1440" spans="1:3" s="8" customFormat="1" x14ac:dyDescent="0.2">
      <c r="A1440" s="6" t="str">
        <f>"XKR8"</f>
        <v>XKR8</v>
      </c>
      <c r="B1440" s="6">
        <v>6.9930069930069904E-3</v>
      </c>
      <c r="C1440" s="6">
        <v>8.3562797012898801E-2</v>
      </c>
    </row>
    <row r="1441" spans="1:3" s="8" customFormat="1" x14ac:dyDescent="0.2">
      <c r="A1441" s="6" t="str">
        <f>"AC139495.2"</f>
        <v>AC139495.2</v>
      </c>
      <c r="B1441" s="6">
        <v>6.9930069930069904E-3</v>
      </c>
      <c r="C1441" s="6">
        <v>8.3562797012898801E-2</v>
      </c>
    </row>
    <row r="1442" spans="1:3" s="8" customFormat="1" x14ac:dyDescent="0.2">
      <c r="A1442" s="6" t="str">
        <f>"C15orf62"</f>
        <v>C15orf62</v>
      </c>
      <c r="B1442" s="6">
        <v>6.9930069930069904E-3</v>
      </c>
      <c r="C1442" s="6">
        <v>8.3562797012898801E-2</v>
      </c>
    </row>
    <row r="1443" spans="1:3" s="8" customFormat="1" x14ac:dyDescent="0.2">
      <c r="A1443" s="6" t="str">
        <f>"PRSS27"</f>
        <v>PRSS27</v>
      </c>
      <c r="B1443" s="6">
        <v>6.9930069930069904E-3</v>
      </c>
      <c r="C1443" s="6">
        <v>8.3562797012898801E-2</v>
      </c>
    </row>
    <row r="1444" spans="1:3" s="8" customFormat="1" x14ac:dyDescent="0.2">
      <c r="A1444" s="6" t="str">
        <f>"NADK2"</f>
        <v>NADK2</v>
      </c>
      <c r="B1444" s="6">
        <v>6.9930069930069904E-3</v>
      </c>
      <c r="C1444" s="6">
        <v>8.3562797012898801E-2</v>
      </c>
    </row>
    <row r="1445" spans="1:3" s="8" customFormat="1" x14ac:dyDescent="0.2">
      <c r="A1445" s="6" t="str">
        <f>"TMPRSS11E"</f>
        <v>TMPRSS11E</v>
      </c>
      <c r="B1445" s="6">
        <v>6.9930069930069904E-3</v>
      </c>
      <c r="C1445" s="6">
        <v>8.3562797012898801E-2</v>
      </c>
    </row>
    <row r="1446" spans="1:3" s="8" customFormat="1" x14ac:dyDescent="0.2">
      <c r="A1446" s="6" t="str">
        <f>"NFIL3"</f>
        <v>NFIL3</v>
      </c>
      <c r="B1446" s="6">
        <v>6.9930069930069904E-3</v>
      </c>
      <c r="C1446" s="6">
        <v>8.3562797012898801E-2</v>
      </c>
    </row>
    <row r="1447" spans="1:3" s="8" customFormat="1" x14ac:dyDescent="0.2">
      <c r="A1447" s="6" t="str">
        <f>"ARID5A"</f>
        <v>ARID5A</v>
      </c>
      <c r="B1447" s="6">
        <v>6.9930069930069904E-3</v>
      </c>
      <c r="C1447" s="6">
        <v>8.3562797012898801E-2</v>
      </c>
    </row>
    <row r="1448" spans="1:3" s="8" customFormat="1" x14ac:dyDescent="0.2">
      <c r="A1448" s="6" t="str">
        <f>"SOWAHC"</f>
        <v>SOWAHC</v>
      </c>
      <c r="B1448" s="6">
        <v>6.9930069930069904E-3</v>
      </c>
      <c r="C1448" s="6">
        <v>8.3562797012898801E-2</v>
      </c>
    </row>
    <row r="1449" spans="1:3" s="8" customFormat="1" x14ac:dyDescent="0.2">
      <c r="A1449" s="6" t="str">
        <f>"FGL2"</f>
        <v>FGL2</v>
      </c>
      <c r="B1449" s="6">
        <v>6.9930069930069904E-3</v>
      </c>
      <c r="C1449" s="6">
        <v>8.3562797012898801E-2</v>
      </c>
    </row>
    <row r="1450" spans="1:3" s="8" customFormat="1" x14ac:dyDescent="0.2">
      <c r="A1450" s="6" t="str">
        <f>"FAM222A"</f>
        <v>FAM222A</v>
      </c>
      <c r="B1450" s="6">
        <v>6.9930069930069904E-3</v>
      </c>
      <c r="C1450" s="6">
        <v>8.3562797012898801E-2</v>
      </c>
    </row>
    <row r="1451" spans="1:3" s="8" customFormat="1" x14ac:dyDescent="0.2">
      <c r="A1451" s="6" t="str">
        <f>"CD99L2"</f>
        <v>CD99L2</v>
      </c>
      <c r="B1451" s="6">
        <v>7.0000000000000001E-3</v>
      </c>
      <c r="C1451" s="6">
        <v>8.3562797012898801E-2</v>
      </c>
    </row>
    <row r="1452" spans="1:3" s="8" customFormat="1" x14ac:dyDescent="0.2">
      <c r="A1452" s="6" t="str">
        <f>"CD177"</f>
        <v>CD177</v>
      </c>
      <c r="B1452" s="6">
        <v>6.9930069930069904E-3</v>
      </c>
      <c r="C1452" s="6">
        <v>8.3562797012898801E-2</v>
      </c>
    </row>
    <row r="1453" spans="1:3" s="8" customFormat="1" x14ac:dyDescent="0.2">
      <c r="A1453" s="6" t="str">
        <f>"MB"</f>
        <v>MB</v>
      </c>
      <c r="B1453" s="6">
        <v>6.9930069930069904E-3</v>
      </c>
      <c r="C1453" s="6">
        <v>8.3562797012898801E-2</v>
      </c>
    </row>
    <row r="1454" spans="1:3" s="8" customFormat="1" x14ac:dyDescent="0.2">
      <c r="A1454" s="6" t="str">
        <f>"SPRR2E"</f>
        <v>SPRR2E</v>
      </c>
      <c r="B1454" s="6">
        <v>6.9930069930069904E-3</v>
      </c>
      <c r="C1454" s="6">
        <v>8.3562797012898801E-2</v>
      </c>
    </row>
    <row r="1455" spans="1:3" s="8" customFormat="1" x14ac:dyDescent="0.2">
      <c r="A1455" s="6" t="str">
        <f>"ARHGEF2"</f>
        <v>ARHGEF2</v>
      </c>
      <c r="B1455" s="6">
        <v>6.9930069930069904E-3</v>
      </c>
      <c r="C1455" s="6">
        <v>8.3562797012898801E-2</v>
      </c>
    </row>
    <row r="1456" spans="1:3" s="8" customFormat="1" x14ac:dyDescent="0.2">
      <c r="A1456" s="6" t="str">
        <f>"SERPING1"</f>
        <v>SERPING1</v>
      </c>
      <c r="B1456" s="6">
        <v>6.9930069930069904E-3</v>
      </c>
      <c r="C1456" s="6">
        <v>8.3562797012898801E-2</v>
      </c>
    </row>
    <row r="1457" spans="1:3" s="8" customFormat="1" x14ac:dyDescent="0.2">
      <c r="A1457" s="6" t="str">
        <f>"CFAP100"</f>
        <v>CFAP100</v>
      </c>
      <c r="B1457" s="6">
        <v>6.9930069930069904E-3</v>
      </c>
      <c r="C1457" s="6">
        <v>8.3562797012898801E-2</v>
      </c>
    </row>
    <row r="1458" spans="1:3" s="8" customFormat="1" x14ac:dyDescent="0.2">
      <c r="A1458" s="6" t="str">
        <f>"AGPAT1"</f>
        <v>AGPAT1</v>
      </c>
      <c r="B1458" s="6">
        <v>6.9930069930069904E-3</v>
      </c>
      <c r="C1458" s="6">
        <v>8.3562797012898801E-2</v>
      </c>
    </row>
    <row r="1459" spans="1:3" s="8" customFormat="1" x14ac:dyDescent="0.2">
      <c r="A1459" s="6" t="str">
        <f>"ESRG"</f>
        <v>ESRG</v>
      </c>
      <c r="B1459" s="6">
        <v>6.9930069930069904E-3</v>
      </c>
      <c r="C1459" s="6">
        <v>8.3562797012898801E-2</v>
      </c>
    </row>
    <row r="1460" spans="1:3" s="8" customFormat="1" x14ac:dyDescent="0.2">
      <c r="A1460" s="6" t="str">
        <f>"ARHGEF1"</f>
        <v>ARHGEF1</v>
      </c>
      <c r="B1460" s="6">
        <v>6.9930069930069904E-3</v>
      </c>
      <c r="C1460" s="6">
        <v>8.3562797012898801E-2</v>
      </c>
    </row>
    <row r="1461" spans="1:3" s="8" customFormat="1" x14ac:dyDescent="0.2">
      <c r="A1461" s="6" t="str">
        <f>"SFT2D2"</f>
        <v>SFT2D2</v>
      </c>
      <c r="B1461" s="6">
        <v>6.9930069930069904E-3</v>
      </c>
      <c r="C1461" s="6">
        <v>8.3562797012898801E-2</v>
      </c>
    </row>
    <row r="1462" spans="1:3" s="8" customFormat="1" x14ac:dyDescent="0.2">
      <c r="A1462" s="6" t="str">
        <f>"GAN"</f>
        <v>GAN</v>
      </c>
      <c r="B1462" s="6">
        <v>6.9930069930069904E-3</v>
      </c>
      <c r="C1462" s="6">
        <v>8.3562797012898801E-2</v>
      </c>
    </row>
    <row r="1463" spans="1:3" s="8" customFormat="1" x14ac:dyDescent="0.2">
      <c r="A1463" s="6" t="str">
        <f>"ATP5ME"</f>
        <v>ATP5ME</v>
      </c>
      <c r="B1463" s="6">
        <v>6.9930069930069904E-3</v>
      </c>
      <c r="C1463" s="6">
        <v>8.3562797012898801E-2</v>
      </c>
    </row>
    <row r="1464" spans="1:3" s="8" customFormat="1" x14ac:dyDescent="0.2">
      <c r="A1464" s="6" t="str">
        <f>"IL4R"</f>
        <v>IL4R</v>
      </c>
      <c r="B1464" s="6">
        <v>6.9930069930069904E-3</v>
      </c>
      <c r="C1464" s="6">
        <v>8.3562797012898801E-2</v>
      </c>
    </row>
    <row r="1465" spans="1:3" s="8" customFormat="1" x14ac:dyDescent="0.2">
      <c r="A1465" s="6" t="str">
        <f>"BCL2L13"</f>
        <v>BCL2L13</v>
      </c>
      <c r="B1465" s="6">
        <v>6.9930069930069904E-3</v>
      </c>
      <c r="C1465" s="6">
        <v>8.3562797012898801E-2</v>
      </c>
    </row>
    <row r="1466" spans="1:3" s="8" customFormat="1" x14ac:dyDescent="0.2">
      <c r="A1466" s="6" t="str">
        <f>"RIPOR2"</f>
        <v>RIPOR2</v>
      </c>
      <c r="B1466" s="6">
        <v>6.9930069930069904E-3</v>
      </c>
      <c r="C1466" s="6">
        <v>8.3562797012898801E-2</v>
      </c>
    </row>
    <row r="1467" spans="1:3" s="8" customFormat="1" x14ac:dyDescent="0.2">
      <c r="A1467" s="6" t="str">
        <f>"COX6B1"</f>
        <v>COX6B1</v>
      </c>
      <c r="B1467" s="6">
        <v>6.9930069930069904E-3</v>
      </c>
      <c r="C1467" s="6">
        <v>8.3562797012898801E-2</v>
      </c>
    </row>
    <row r="1468" spans="1:3" s="8" customFormat="1" x14ac:dyDescent="0.2">
      <c r="A1468" s="6" t="str">
        <f>"SLC43A2"</f>
        <v>SLC43A2</v>
      </c>
      <c r="B1468" s="6">
        <v>6.9930069930069904E-3</v>
      </c>
      <c r="C1468" s="6">
        <v>8.3562797012898801E-2</v>
      </c>
    </row>
    <row r="1469" spans="1:3" s="8" customFormat="1" x14ac:dyDescent="0.2">
      <c r="A1469" s="6" t="str">
        <f>"PDIA6"</f>
        <v>PDIA6</v>
      </c>
      <c r="B1469" s="6">
        <v>6.9930069930069904E-3</v>
      </c>
      <c r="C1469" s="6">
        <v>8.3562797012898801E-2</v>
      </c>
    </row>
    <row r="1470" spans="1:3" s="8" customFormat="1" x14ac:dyDescent="0.2">
      <c r="A1470" s="6" t="str">
        <f>"LIMK2"</f>
        <v>LIMK2</v>
      </c>
      <c r="B1470" s="6">
        <v>7.0000000000000001E-3</v>
      </c>
      <c r="C1470" s="6">
        <v>8.3562797012898801E-2</v>
      </c>
    </row>
    <row r="1471" spans="1:3" s="8" customFormat="1" x14ac:dyDescent="0.2">
      <c r="A1471" s="6" t="str">
        <f>"C9orf24"</f>
        <v>C9orf24</v>
      </c>
      <c r="B1471" s="6">
        <v>6.9930069930069904E-3</v>
      </c>
      <c r="C1471" s="6">
        <v>8.3562797012898801E-2</v>
      </c>
    </row>
    <row r="1472" spans="1:3" s="8" customFormat="1" x14ac:dyDescent="0.2">
      <c r="A1472" s="6" t="str">
        <f>"NIBAN2"</f>
        <v>NIBAN2</v>
      </c>
      <c r="B1472" s="6">
        <v>6.9930069930069904E-3</v>
      </c>
      <c r="C1472" s="6">
        <v>8.3562797012898801E-2</v>
      </c>
    </row>
    <row r="1473" spans="1:3" s="8" customFormat="1" x14ac:dyDescent="0.2">
      <c r="A1473" s="6" t="str">
        <f>"MUC16"</f>
        <v>MUC16</v>
      </c>
      <c r="B1473" s="6">
        <v>6.9930069930069904E-3</v>
      </c>
      <c r="C1473" s="6">
        <v>8.3562797012898801E-2</v>
      </c>
    </row>
    <row r="1474" spans="1:3" s="8" customFormat="1" x14ac:dyDescent="0.2">
      <c r="A1474" s="6" t="str">
        <f>"SAT1"</f>
        <v>SAT1</v>
      </c>
      <c r="B1474" s="6">
        <v>6.9930069930069904E-3</v>
      </c>
      <c r="C1474" s="6">
        <v>8.3562797012898801E-2</v>
      </c>
    </row>
    <row r="1475" spans="1:3" s="8" customFormat="1" x14ac:dyDescent="0.2">
      <c r="A1475" s="6" t="str">
        <f>"AL592148.3"</f>
        <v>AL592148.3</v>
      </c>
      <c r="B1475" s="6">
        <v>7.007007007007E-3</v>
      </c>
      <c r="C1475" s="6">
        <v>8.3589695529993902E-2</v>
      </c>
    </row>
    <row r="1476" spans="1:3" s="8" customFormat="1" x14ac:dyDescent="0.2">
      <c r="A1476" s="6" t="str">
        <f>"AL033519.5"</f>
        <v>AL033519.5</v>
      </c>
      <c r="B1476" s="6">
        <v>7.0140280561122202E-3</v>
      </c>
      <c r="C1476" s="6">
        <v>8.3616724975374396E-2</v>
      </c>
    </row>
    <row r="1477" spans="1:3" s="8" customFormat="1" x14ac:dyDescent="0.2">
      <c r="A1477" s="6" t="str">
        <f>"FAM160A1-DT"</f>
        <v>FAM160A1-DT</v>
      </c>
      <c r="B1477" s="6">
        <v>7.0210631895687003E-3</v>
      </c>
      <c r="C1477" s="6">
        <v>8.3643885586298095E-2</v>
      </c>
    </row>
    <row r="1478" spans="1:3" s="8" customFormat="1" x14ac:dyDescent="0.2">
      <c r="A1478" s="6" t="str">
        <f>"AL139099.1"</f>
        <v>AL139099.1</v>
      </c>
      <c r="B1478" s="6">
        <v>7.0422535211267599E-3</v>
      </c>
      <c r="C1478" s="6">
        <v>8.3839530071423696E-2</v>
      </c>
    </row>
    <row r="1479" spans="1:3" s="8" customFormat="1" x14ac:dyDescent="0.2">
      <c r="A1479" s="6" t="str">
        <f>"AC005154.2"</f>
        <v>AC005154.2</v>
      </c>
      <c r="B1479" s="6">
        <v>7.1355759429153898E-3</v>
      </c>
      <c r="C1479" s="6">
        <v>8.4893076711924295E-2</v>
      </c>
    </row>
    <row r="1480" spans="1:3" s="8" customFormat="1" x14ac:dyDescent="0.2">
      <c r="A1480" s="6" t="str">
        <f>"CFC1"</f>
        <v>CFC1</v>
      </c>
      <c r="B1480" s="6">
        <v>7.9920079920079903E-3</v>
      </c>
      <c r="C1480" s="6">
        <v>9.1854411489114496E-2</v>
      </c>
    </row>
    <row r="1481" spans="1:3" s="8" customFormat="1" x14ac:dyDescent="0.2">
      <c r="A1481" s="6" t="str">
        <f>"AL590399.3"</f>
        <v>AL590399.3</v>
      </c>
      <c r="B1481" s="6">
        <v>7.9920079920079903E-3</v>
      </c>
      <c r="C1481" s="6">
        <v>9.1854411489114496E-2</v>
      </c>
    </row>
    <row r="1482" spans="1:3" s="8" customFormat="1" x14ac:dyDescent="0.2">
      <c r="A1482" s="6" t="str">
        <f>"ADAMTSL4-AS2"</f>
        <v>ADAMTSL4-AS2</v>
      </c>
      <c r="B1482" s="6">
        <v>7.9920079920079903E-3</v>
      </c>
      <c r="C1482" s="6">
        <v>9.1854411489114496E-2</v>
      </c>
    </row>
    <row r="1483" spans="1:3" s="8" customFormat="1" x14ac:dyDescent="0.2">
      <c r="A1483" s="6" t="str">
        <f>"HSD11B1-AS1"</f>
        <v>HSD11B1-AS1</v>
      </c>
      <c r="B1483" s="6">
        <v>7.9920079920079903E-3</v>
      </c>
      <c r="C1483" s="6">
        <v>9.1854411489114496E-2</v>
      </c>
    </row>
    <row r="1484" spans="1:3" s="8" customFormat="1" x14ac:dyDescent="0.2">
      <c r="A1484" s="6" t="str">
        <f>"LINC01284"</f>
        <v>LINC01284</v>
      </c>
      <c r="B1484" s="6">
        <v>8.0080080080079993E-3</v>
      </c>
      <c r="C1484" s="6">
        <v>9.1854411489114496E-2</v>
      </c>
    </row>
    <row r="1485" spans="1:3" s="8" customFormat="1" x14ac:dyDescent="0.2">
      <c r="A1485" s="6" t="str">
        <f>"SERPINA11"</f>
        <v>SERPINA11</v>
      </c>
      <c r="B1485" s="6">
        <v>7.9920079920079903E-3</v>
      </c>
      <c r="C1485" s="6">
        <v>9.1854411489114496E-2</v>
      </c>
    </row>
    <row r="1486" spans="1:3" s="8" customFormat="1" x14ac:dyDescent="0.2">
      <c r="A1486" s="6" t="str">
        <f>"LINC02444"</f>
        <v>LINC02444</v>
      </c>
      <c r="B1486" s="6">
        <v>7.9920079920079903E-3</v>
      </c>
      <c r="C1486" s="6">
        <v>9.1854411489114496E-2</v>
      </c>
    </row>
    <row r="1487" spans="1:3" s="8" customFormat="1" x14ac:dyDescent="0.2">
      <c r="A1487" s="6" t="str">
        <f>"LINC02870"</f>
        <v>LINC02870</v>
      </c>
      <c r="B1487" s="6">
        <v>7.9920079920079903E-3</v>
      </c>
      <c r="C1487" s="6">
        <v>9.1854411489114496E-2</v>
      </c>
    </row>
    <row r="1488" spans="1:3" s="8" customFormat="1" x14ac:dyDescent="0.2">
      <c r="A1488" s="6" t="str">
        <f>"PRH1"</f>
        <v>PRH1</v>
      </c>
      <c r="B1488" s="6">
        <v>8.0000000000000002E-3</v>
      </c>
      <c r="C1488" s="6">
        <v>9.1854411489114496E-2</v>
      </c>
    </row>
    <row r="1489" spans="1:3" s="8" customFormat="1" x14ac:dyDescent="0.2">
      <c r="A1489" s="6" t="str">
        <f>"NTN5"</f>
        <v>NTN5</v>
      </c>
      <c r="B1489" s="6">
        <v>7.9920079920079903E-3</v>
      </c>
      <c r="C1489" s="6">
        <v>9.1854411489114496E-2</v>
      </c>
    </row>
    <row r="1490" spans="1:3" s="8" customFormat="1" x14ac:dyDescent="0.2">
      <c r="A1490" s="6" t="str">
        <f>"MTRNR2L12"</f>
        <v>MTRNR2L12</v>
      </c>
      <c r="B1490" s="6">
        <v>7.9920079920079903E-3</v>
      </c>
      <c r="C1490" s="6">
        <v>9.1854411489114496E-2</v>
      </c>
    </row>
    <row r="1491" spans="1:3" s="8" customFormat="1" x14ac:dyDescent="0.2">
      <c r="A1491" s="6" t="str">
        <f>"DCHS1"</f>
        <v>DCHS1</v>
      </c>
      <c r="B1491" s="6">
        <v>7.9920079920079903E-3</v>
      </c>
      <c r="C1491" s="6">
        <v>9.1854411489114496E-2</v>
      </c>
    </row>
    <row r="1492" spans="1:3" s="8" customFormat="1" x14ac:dyDescent="0.2">
      <c r="A1492" s="6" t="str">
        <f>"LINC01341"</f>
        <v>LINC01341</v>
      </c>
      <c r="B1492" s="6">
        <v>7.9920079920079903E-3</v>
      </c>
      <c r="C1492" s="6">
        <v>9.1854411489114496E-2</v>
      </c>
    </row>
    <row r="1493" spans="1:3" s="8" customFormat="1" x14ac:dyDescent="0.2">
      <c r="A1493" s="6" t="str">
        <f>"FBXW4P1"</f>
        <v>FBXW4P1</v>
      </c>
      <c r="B1493" s="6">
        <v>8.0080080080079993E-3</v>
      </c>
      <c r="C1493" s="6">
        <v>9.1854411489114496E-2</v>
      </c>
    </row>
    <row r="1494" spans="1:3" s="8" customFormat="1" x14ac:dyDescent="0.2">
      <c r="A1494" s="6" t="str">
        <f>"AC034243.1"</f>
        <v>AC034243.1</v>
      </c>
      <c r="B1494" s="6">
        <v>7.9920079920079903E-3</v>
      </c>
      <c r="C1494" s="6">
        <v>9.1854411489114496E-2</v>
      </c>
    </row>
    <row r="1495" spans="1:3" s="8" customFormat="1" x14ac:dyDescent="0.2">
      <c r="A1495" s="6" t="str">
        <f>"CLEC5A"</f>
        <v>CLEC5A</v>
      </c>
      <c r="B1495" s="6">
        <v>7.9920079920079903E-3</v>
      </c>
      <c r="C1495" s="6">
        <v>9.1854411489114496E-2</v>
      </c>
    </row>
    <row r="1496" spans="1:3" s="8" customFormat="1" x14ac:dyDescent="0.2">
      <c r="A1496" s="6" t="str">
        <f>"C1QTNF3"</f>
        <v>C1QTNF3</v>
      </c>
      <c r="B1496" s="6">
        <v>7.9920079920079903E-3</v>
      </c>
      <c r="C1496" s="6">
        <v>9.1854411489114496E-2</v>
      </c>
    </row>
    <row r="1497" spans="1:3" s="8" customFormat="1" x14ac:dyDescent="0.2">
      <c r="A1497" s="6" t="str">
        <f>"CLEC11A"</f>
        <v>CLEC11A</v>
      </c>
      <c r="B1497" s="6">
        <v>7.9920079920079903E-3</v>
      </c>
      <c r="C1497" s="6">
        <v>9.1854411489114496E-2</v>
      </c>
    </row>
    <row r="1498" spans="1:3" s="8" customFormat="1" x14ac:dyDescent="0.2">
      <c r="A1498" s="6" t="str">
        <f>"AL359715.2"</f>
        <v>AL359715.2</v>
      </c>
      <c r="B1498" s="6">
        <v>7.9920079920079903E-3</v>
      </c>
      <c r="C1498" s="6">
        <v>9.1854411489114496E-2</v>
      </c>
    </row>
    <row r="1499" spans="1:3" s="8" customFormat="1" x14ac:dyDescent="0.2">
      <c r="A1499" s="6" t="str">
        <f>"TMEM273"</f>
        <v>TMEM273</v>
      </c>
      <c r="B1499" s="6">
        <v>7.9920079920079903E-3</v>
      </c>
      <c r="C1499" s="6">
        <v>9.1854411489114496E-2</v>
      </c>
    </row>
    <row r="1500" spans="1:3" s="8" customFormat="1" x14ac:dyDescent="0.2">
      <c r="A1500" s="6" t="str">
        <f>"MFNG"</f>
        <v>MFNG</v>
      </c>
      <c r="B1500" s="6">
        <v>7.9920079920079903E-3</v>
      </c>
      <c r="C1500" s="6">
        <v>9.1854411489114496E-2</v>
      </c>
    </row>
    <row r="1501" spans="1:3" s="8" customFormat="1" x14ac:dyDescent="0.2">
      <c r="A1501" s="6" t="str">
        <f>"LINC00894"</f>
        <v>LINC00894</v>
      </c>
      <c r="B1501" s="6">
        <v>7.9920079920079903E-3</v>
      </c>
      <c r="C1501" s="6">
        <v>9.1854411489114496E-2</v>
      </c>
    </row>
    <row r="1502" spans="1:3" s="8" customFormat="1" x14ac:dyDescent="0.2">
      <c r="A1502" s="6" t="str">
        <f>"FAM181A-AS1"</f>
        <v>FAM181A-AS1</v>
      </c>
      <c r="B1502" s="6">
        <v>7.9920079920079903E-3</v>
      </c>
      <c r="C1502" s="6">
        <v>9.1854411489114496E-2</v>
      </c>
    </row>
    <row r="1503" spans="1:3" s="8" customFormat="1" x14ac:dyDescent="0.2">
      <c r="A1503" s="6" t="str">
        <f>"LY96"</f>
        <v>LY96</v>
      </c>
      <c r="B1503" s="6">
        <v>7.9920079920079903E-3</v>
      </c>
      <c r="C1503" s="6">
        <v>9.1854411489114496E-2</v>
      </c>
    </row>
    <row r="1504" spans="1:3" s="8" customFormat="1" x14ac:dyDescent="0.2">
      <c r="A1504" s="6" t="str">
        <f>"SCUBE2"</f>
        <v>SCUBE2</v>
      </c>
      <c r="B1504" s="6">
        <v>7.9920079920079903E-3</v>
      </c>
      <c r="C1504" s="6">
        <v>9.1854411489114496E-2</v>
      </c>
    </row>
    <row r="1505" spans="1:3" s="8" customFormat="1" x14ac:dyDescent="0.2">
      <c r="A1505" s="6" t="str">
        <f>"BIRC5"</f>
        <v>BIRC5</v>
      </c>
      <c r="B1505" s="6">
        <v>7.9920079920079903E-3</v>
      </c>
      <c r="C1505" s="6">
        <v>9.1854411489114496E-2</v>
      </c>
    </row>
    <row r="1506" spans="1:3" s="8" customFormat="1" x14ac:dyDescent="0.2">
      <c r="A1506" s="6" t="str">
        <f>"SMIM27"</f>
        <v>SMIM27</v>
      </c>
      <c r="B1506" s="6">
        <v>7.9920079920079903E-3</v>
      </c>
      <c r="C1506" s="6">
        <v>9.1854411489114496E-2</v>
      </c>
    </row>
    <row r="1507" spans="1:3" s="8" customFormat="1" x14ac:dyDescent="0.2">
      <c r="A1507" s="6" t="str">
        <f>"GYPC"</f>
        <v>GYPC</v>
      </c>
      <c r="B1507" s="6">
        <v>7.9920079920079903E-3</v>
      </c>
      <c r="C1507" s="6">
        <v>9.1854411489114496E-2</v>
      </c>
    </row>
    <row r="1508" spans="1:3" s="8" customFormat="1" x14ac:dyDescent="0.2">
      <c r="A1508" s="6" t="str">
        <f>"TYMS"</f>
        <v>TYMS</v>
      </c>
      <c r="B1508" s="6">
        <v>7.9920079920079903E-3</v>
      </c>
      <c r="C1508" s="6">
        <v>9.1854411489114496E-2</v>
      </c>
    </row>
    <row r="1509" spans="1:3" s="8" customFormat="1" x14ac:dyDescent="0.2">
      <c r="A1509" s="6" t="str">
        <f>"PPP4R4"</f>
        <v>PPP4R4</v>
      </c>
      <c r="B1509" s="6">
        <v>7.9920079920079903E-3</v>
      </c>
      <c r="C1509" s="6">
        <v>9.1854411489114496E-2</v>
      </c>
    </row>
    <row r="1510" spans="1:3" s="8" customFormat="1" x14ac:dyDescent="0.2">
      <c r="A1510" s="6" t="str">
        <f>"ZNF860"</f>
        <v>ZNF860</v>
      </c>
      <c r="B1510" s="6">
        <v>7.9920079920079903E-3</v>
      </c>
      <c r="C1510" s="6">
        <v>9.1854411489114496E-2</v>
      </c>
    </row>
    <row r="1511" spans="1:3" s="8" customFormat="1" x14ac:dyDescent="0.2">
      <c r="A1511" s="6" t="str">
        <f>"RIPK2"</f>
        <v>RIPK2</v>
      </c>
      <c r="B1511" s="6">
        <v>7.9920079920079903E-3</v>
      </c>
      <c r="C1511" s="6">
        <v>9.1854411489114496E-2</v>
      </c>
    </row>
    <row r="1512" spans="1:3" s="8" customFormat="1" x14ac:dyDescent="0.2">
      <c r="A1512" s="6" t="str">
        <f>"NR4A3"</f>
        <v>NR4A3</v>
      </c>
      <c r="B1512" s="6">
        <v>7.9920079920079903E-3</v>
      </c>
      <c r="C1512" s="6">
        <v>9.1854411489114496E-2</v>
      </c>
    </row>
    <row r="1513" spans="1:3" s="8" customFormat="1" x14ac:dyDescent="0.2">
      <c r="A1513" s="6" t="str">
        <f>"GXYLT1"</f>
        <v>GXYLT1</v>
      </c>
      <c r="B1513" s="6">
        <v>7.9920079920079903E-3</v>
      </c>
      <c r="C1513" s="6">
        <v>9.1854411489114496E-2</v>
      </c>
    </row>
    <row r="1514" spans="1:3" s="8" customFormat="1" x14ac:dyDescent="0.2">
      <c r="A1514" s="6" t="str">
        <f>"SEPTIN6"</f>
        <v>SEPTIN6</v>
      </c>
      <c r="B1514" s="6">
        <v>7.9920079920079903E-3</v>
      </c>
      <c r="C1514" s="6">
        <v>9.1854411489114496E-2</v>
      </c>
    </row>
    <row r="1515" spans="1:3" s="8" customFormat="1" x14ac:dyDescent="0.2">
      <c r="A1515" s="6" t="str">
        <f>"PLAU"</f>
        <v>PLAU</v>
      </c>
      <c r="B1515" s="6">
        <v>7.9920079920079903E-3</v>
      </c>
      <c r="C1515" s="6">
        <v>9.1854411489114496E-2</v>
      </c>
    </row>
    <row r="1516" spans="1:3" s="8" customFormat="1" x14ac:dyDescent="0.2">
      <c r="A1516" s="6" t="str">
        <f>"EPSTI1"</f>
        <v>EPSTI1</v>
      </c>
      <c r="B1516" s="6">
        <v>7.9920079920079903E-3</v>
      </c>
      <c r="C1516" s="6">
        <v>9.1854411489114496E-2</v>
      </c>
    </row>
    <row r="1517" spans="1:3" s="8" customFormat="1" x14ac:dyDescent="0.2">
      <c r="A1517" s="6" t="str">
        <f>"COX15"</f>
        <v>COX15</v>
      </c>
      <c r="B1517" s="6">
        <v>7.9920079920079903E-3</v>
      </c>
      <c r="C1517" s="6">
        <v>9.1854411489114496E-2</v>
      </c>
    </row>
    <row r="1518" spans="1:3" s="8" customFormat="1" x14ac:dyDescent="0.2">
      <c r="A1518" s="6" t="str">
        <f>"VPS9D1"</f>
        <v>VPS9D1</v>
      </c>
      <c r="B1518" s="6">
        <v>7.9920079920079903E-3</v>
      </c>
      <c r="C1518" s="6">
        <v>9.1854411489114496E-2</v>
      </c>
    </row>
    <row r="1519" spans="1:3" s="8" customFormat="1" x14ac:dyDescent="0.2">
      <c r="A1519" s="6" t="str">
        <f>"SNRK"</f>
        <v>SNRK</v>
      </c>
      <c r="B1519" s="6">
        <v>7.9920079920079903E-3</v>
      </c>
      <c r="C1519" s="6">
        <v>9.1854411489114496E-2</v>
      </c>
    </row>
    <row r="1520" spans="1:3" s="8" customFormat="1" x14ac:dyDescent="0.2">
      <c r="A1520" s="6" t="str">
        <f>"ATP6V1H"</f>
        <v>ATP6V1H</v>
      </c>
      <c r="B1520" s="6">
        <v>7.9920079920079903E-3</v>
      </c>
      <c r="C1520" s="6">
        <v>9.1854411489114496E-2</v>
      </c>
    </row>
    <row r="1521" spans="1:3" s="8" customFormat="1" x14ac:dyDescent="0.2">
      <c r="A1521" s="6" t="str">
        <f>"TANK"</f>
        <v>TANK</v>
      </c>
      <c r="B1521" s="6">
        <v>7.9920079920079903E-3</v>
      </c>
      <c r="C1521" s="6">
        <v>9.1854411489114496E-2</v>
      </c>
    </row>
    <row r="1522" spans="1:3" s="8" customFormat="1" x14ac:dyDescent="0.2">
      <c r="A1522" s="6" t="str">
        <f>"WBP1"</f>
        <v>WBP1</v>
      </c>
      <c r="B1522" s="6">
        <v>7.9920079920079903E-3</v>
      </c>
      <c r="C1522" s="6">
        <v>9.1854411489114496E-2</v>
      </c>
    </row>
    <row r="1523" spans="1:3" s="8" customFormat="1" x14ac:dyDescent="0.2">
      <c r="A1523" s="6" t="str">
        <f>"ARL8A"</f>
        <v>ARL8A</v>
      </c>
      <c r="B1523" s="6">
        <v>7.9920079920079903E-3</v>
      </c>
      <c r="C1523" s="6">
        <v>9.1854411489114496E-2</v>
      </c>
    </row>
    <row r="1524" spans="1:3" s="8" customFormat="1" x14ac:dyDescent="0.2">
      <c r="A1524" s="6" t="str">
        <f>"SNU13"</f>
        <v>SNU13</v>
      </c>
      <c r="B1524" s="6">
        <v>7.9920079920079903E-3</v>
      </c>
      <c r="C1524" s="6">
        <v>9.1854411489114496E-2</v>
      </c>
    </row>
    <row r="1525" spans="1:3" s="8" customFormat="1" x14ac:dyDescent="0.2">
      <c r="A1525" s="6" t="str">
        <f>"SLC12A6"</f>
        <v>SLC12A6</v>
      </c>
      <c r="B1525" s="6">
        <v>7.9920079920079903E-3</v>
      </c>
      <c r="C1525" s="6">
        <v>9.1854411489114496E-2</v>
      </c>
    </row>
    <row r="1526" spans="1:3" s="8" customFormat="1" x14ac:dyDescent="0.2">
      <c r="A1526" s="6" t="str">
        <f>"ATP1B3"</f>
        <v>ATP1B3</v>
      </c>
      <c r="B1526" s="6">
        <v>7.9920079920079903E-3</v>
      </c>
      <c r="C1526" s="6">
        <v>9.1854411489114496E-2</v>
      </c>
    </row>
    <row r="1527" spans="1:3" s="8" customFormat="1" x14ac:dyDescent="0.2">
      <c r="A1527" s="6" t="str">
        <f>"ATF6B"</f>
        <v>ATF6B</v>
      </c>
      <c r="B1527" s="6">
        <v>7.9920079920079903E-3</v>
      </c>
      <c r="C1527" s="6">
        <v>9.1854411489114496E-2</v>
      </c>
    </row>
    <row r="1528" spans="1:3" s="8" customFormat="1" x14ac:dyDescent="0.2">
      <c r="A1528" s="6" t="str">
        <f>"AP1G1"</f>
        <v>AP1G1</v>
      </c>
      <c r="B1528" s="6">
        <v>7.9920079920079903E-3</v>
      </c>
      <c r="C1528" s="6">
        <v>9.1854411489114496E-2</v>
      </c>
    </row>
    <row r="1529" spans="1:3" s="8" customFormat="1" x14ac:dyDescent="0.2">
      <c r="A1529" s="6" t="str">
        <f>"DCAF7"</f>
        <v>DCAF7</v>
      </c>
      <c r="B1529" s="6">
        <v>7.9920079920079903E-3</v>
      </c>
      <c r="C1529" s="6">
        <v>9.1854411489114496E-2</v>
      </c>
    </row>
    <row r="1530" spans="1:3" s="8" customFormat="1" x14ac:dyDescent="0.2">
      <c r="A1530" s="6" t="str">
        <f>"CHCHD2"</f>
        <v>CHCHD2</v>
      </c>
      <c r="B1530" s="6">
        <v>8.0000000000000002E-3</v>
      </c>
      <c r="C1530" s="6">
        <v>9.1854411489114496E-2</v>
      </c>
    </row>
    <row r="1531" spans="1:3" s="8" customFormat="1" x14ac:dyDescent="0.2">
      <c r="A1531" s="6" t="str">
        <f>"KDELR1"</f>
        <v>KDELR1</v>
      </c>
      <c r="B1531" s="6">
        <v>7.9920079920079903E-3</v>
      </c>
      <c r="C1531" s="6">
        <v>9.1854411489114496E-2</v>
      </c>
    </row>
    <row r="1532" spans="1:3" s="8" customFormat="1" x14ac:dyDescent="0.2">
      <c r="A1532" s="6" t="str">
        <f>"TRIP12"</f>
        <v>TRIP12</v>
      </c>
      <c r="B1532" s="6">
        <v>7.9920079920079903E-3</v>
      </c>
      <c r="C1532" s="6">
        <v>9.1854411489114496E-2</v>
      </c>
    </row>
    <row r="1533" spans="1:3" s="8" customFormat="1" x14ac:dyDescent="0.2">
      <c r="A1533" s="6" t="str">
        <f>"PFN1"</f>
        <v>PFN1</v>
      </c>
      <c r="B1533" s="6">
        <v>7.9920079920079903E-3</v>
      </c>
      <c r="C1533" s="6">
        <v>9.1854411489114496E-2</v>
      </c>
    </row>
    <row r="1534" spans="1:3" s="8" customFormat="1" x14ac:dyDescent="0.2">
      <c r="A1534" s="6" t="str">
        <f>"MT-RNR1"</f>
        <v>MT-RNR1</v>
      </c>
      <c r="B1534" s="6">
        <v>7.9920079920079903E-3</v>
      </c>
      <c r="C1534" s="6">
        <v>9.1854411489114496E-2</v>
      </c>
    </row>
    <row r="1535" spans="1:3" s="8" customFormat="1" x14ac:dyDescent="0.2">
      <c r="A1535" s="6" t="str">
        <f>"ADGRF5P1"</f>
        <v>ADGRF5P1</v>
      </c>
      <c r="B1535" s="6">
        <v>8.0240722166499499E-3</v>
      </c>
      <c r="C1535" s="6">
        <v>9.1978673961911797E-2</v>
      </c>
    </row>
    <row r="1536" spans="1:3" s="8" customFormat="1" x14ac:dyDescent="0.2">
      <c r="A1536" s="6" t="str">
        <f>"AC090517.2"</f>
        <v>AC090517.2</v>
      </c>
      <c r="B1536" s="6">
        <v>8.0971659919028306E-3</v>
      </c>
      <c r="C1536" s="6">
        <v>9.2756069577602199E-2</v>
      </c>
    </row>
    <row r="1537" spans="1:3" s="8" customFormat="1" x14ac:dyDescent="0.2">
      <c r="A1537" s="6" t="str">
        <f>"AC003991.1"</f>
        <v>AC003991.1</v>
      </c>
      <c r="B1537" s="6">
        <v>8.5470085470085392E-3</v>
      </c>
      <c r="C1537" s="6">
        <v>9.7845441595441507E-2</v>
      </c>
    </row>
    <row r="1538" spans="1:3" s="8" customFormat="1" x14ac:dyDescent="0.2">
      <c r="A1538" s="6" t="str">
        <f>"IGHV3-33"</f>
        <v>IGHV3-33</v>
      </c>
      <c r="B1538" s="6">
        <v>8.9910089910089901E-3</v>
      </c>
      <c r="C1538" s="6">
        <v>9.7930693069306907E-2</v>
      </c>
    </row>
    <row r="1539" spans="1:3" s="8" customFormat="1" x14ac:dyDescent="0.2">
      <c r="A1539" s="6" t="str">
        <f>"AC135048.3"</f>
        <v>AC135048.3</v>
      </c>
      <c r="B1539" s="6">
        <v>8.9910089910089901E-3</v>
      </c>
      <c r="C1539" s="6">
        <v>9.7930693069306907E-2</v>
      </c>
    </row>
    <row r="1540" spans="1:3" s="8" customFormat="1" x14ac:dyDescent="0.2">
      <c r="A1540" s="6" t="str">
        <f>"HPD"</f>
        <v>HPD</v>
      </c>
      <c r="B1540" s="6">
        <v>8.9910089910089901E-3</v>
      </c>
      <c r="C1540" s="6">
        <v>9.7930693069306907E-2</v>
      </c>
    </row>
    <row r="1541" spans="1:3" s="8" customFormat="1" x14ac:dyDescent="0.2">
      <c r="A1541" s="6" t="str">
        <f>"PPP1R14BP3"</f>
        <v>PPP1R14BP3</v>
      </c>
      <c r="B1541" s="6">
        <v>8.9910089910089901E-3</v>
      </c>
      <c r="C1541" s="6">
        <v>9.7930693069306907E-2</v>
      </c>
    </row>
    <row r="1542" spans="1:3" s="8" customFormat="1" x14ac:dyDescent="0.2">
      <c r="A1542" s="6" t="str">
        <f>"AL391056.2"</f>
        <v>AL391056.2</v>
      </c>
      <c r="B1542" s="6">
        <v>8.9910089910089901E-3</v>
      </c>
      <c r="C1542" s="6">
        <v>9.7930693069306907E-2</v>
      </c>
    </row>
    <row r="1543" spans="1:3" s="8" customFormat="1" x14ac:dyDescent="0.2">
      <c r="A1543" s="6" t="str">
        <f>"AC002064.1"</f>
        <v>AC002064.1</v>
      </c>
      <c r="B1543" s="6">
        <v>8.9910089910089901E-3</v>
      </c>
      <c r="C1543" s="6">
        <v>9.7930693069306907E-2</v>
      </c>
    </row>
    <row r="1544" spans="1:3" s="8" customFormat="1" x14ac:dyDescent="0.2">
      <c r="A1544" s="6" t="str">
        <f>"AC011676.5"</f>
        <v>AC011676.5</v>
      </c>
      <c r="B1544" s="6">
        <v>8.9910089910089901E-3</v>
      </c>
      <c r="C1544" s="6">
        <v>9.7930693069306907E-2</v>
      </c>
    </row>
    <row r="1545" spans="1:3" s="8" customFormat="1" x14ac:dyDescent="0.2">
      <c r="A1545" s="6" t="str">
        <f>"AC002472.2"</f>
        <v>AC002472.2</v>
      </c>
      <c r="B1545" s="6">
        <v>8.9910089910089901E-3</v>
      </c>
      <c r="C1545" s="6">
        <v>9.7930693069306907E-2</v>
      </c>
    </row>
    <row r="1546" spans="1:3" s="8" customFormat="1" x14ac:dyDescent="0.2">
      <c r="A1546" s="6" t="str">
        <f>"C8orf89"</f>
        <v>C8orf89</v>
      </c>
      <c r="B1546" s="6">
        <v>8.9910089910089901E-3</v>
      </c>
      <c r="C1546" s="6">
        <v>9.7930693069306907E-2</v>
      </c>
    </row>
    <row r="1547" spans="1:3" s="8" customFormat="1" x14ac:dyDescent="0.2">
      <c r="A1547" s="6" t="str">
        <f>"FAM228A"</f>
        <v>FAM228A</v>
      </c>
      <c r="B1547" s="6">
        <v>8.9910089910089901E-3</v>
      </c>
      <c r="C1547" s="6">
        <v>9.7930693069306907E-2</v>
      </c>
    </row>
    <row r="1548" spans="1:3" s="8" customFormat="1" x14ac:dyDescent="0.2">
      <c r="A1548" s="6" t="str">
        <f>"NRGN"</f>
        <v>NRGN</v>
      </c>
      <c r="B1548" s="6">
        <v>8.9910089910089901E-3</v>
      </c>
      <c r="C1548" s="6">
        <v>9.7930693069306907E-2</v>
      </c>
    </row>
    <row r="1549" spans="1:3" s="8" customFormat="1" x14ac:dyDescent="0.2">
      <c r="A1549" s="6" t="str">
        <f>"Z97653.2"</f>
        <v>Z97653.2</v>
      </c>
      <c r="B1549" s="6">
        <v>8.9999999999999993E-3</v>
      </c>
      <c r="C1549" s="6">
        <v>9.7930693069306907E-2</v>
      </c>
    </row>
    <row r="1550" spans="1:3" s="8" customFormat="1" x14ac:dyDescent="0.2">
      <c r="A1550" s="6" t="str">
        <f>"UPB1"</f>
        <v>UPB1</v>
      </c>
      <c r="B1550" s="6">
        <v>8.9910089910089901E-3</v>
      </c>
      <c r="C1550" s="6">
        <v>9.7930693069306907E-2</v>
      </c>
    </row>
    <row r="1551" spans="1:3" s="8" customFormat="1" x14ac:dyDescent="0.2">
      <c r="A1551" s="6" t="str">
        <f>"KRT6C"</f>
        <v>KRT6C</v>
      </c>
      <c r="B1551" s="6">
        <v>8.9910089910089901E-3</v>
      </c>
      <c r="C1551" s="6">
        <v>9.7930693069306907E-2</v>
      </c>
    </row>
    <row r="1552" spans="1:3" s="8" customFormat="1" x14ac:dyDescent="0.2">
      <c r="A1552" s="6" t="str">
        <f>"RNF225"</f>
        <v>RNF225</v>
      </c>
      <c r="B1552" s="6">
        <v>8.9910089910089901E-3</v>
      </c>
      <c r="C1552" s="6">
        <v>9.7930693069306907E-2</v>
      </c>
    </row>
    <row r="1553" spans="1:3" s="8" customFormat="1" x14ac:dyDescent="0.2">
      <c r="A1553" s="6" t="str">
        <f>"AC008438.1"</f>
        <v>AC008438.1</v>
      </c>
      <c r="B1553" s="6">
        <v>8.9999999999999993E-3</v>
      </c>
      <c r="C1553" s="6">
        <v>9.7930693069306907E-2</v>
      </c>
    </row>
    <row r="1554" spans="1:3" s="8" customFormat="1" x14ac:dyDescent="0.2">
      <c r="A1554" s="6" t="str">
        <f>"AL731769.2"</f>
        <v>AL731769.2</v>
      </c>
      <c r="B1554" s="6">
        <v>8.9910089910089901E-3</v>
      </c>
      <c r="C1554" s="6">
        <v>9.7930693069306907E-2</v>
      </c>
    </row>
    <row r="1555" spans="1:3" s="8" customFormat="1" x14ac:dyDescent="0.2">
      <c r="A1555" s="6" t="str">
        <f>"CDH12"</f>
        <v>CDH12</v>
      </c>
      <c r="B1555" s="6">
        <v>8.9910089910089901E-3</v>
      </c>
      <c r="C1555" s="6">
        <v>9.7930693069306907E-2</v>
      </c>
    </row>
    <row r="1556" spans="1:3" s="8" customFormat="1" x14ac:dyDescent="0.2">
      <c r="A1556" s="6" t="str">
        <f>"AC105460.1"</f>
        <v>AC105460.1</v>
      </c>
      <c r="B1556" s="6">
        <v>8.9910089910089901E-3</v>
      </c>
      <c r="C1556" s="6">
        <v>9.7930693069306907E-2</v>
      </c>
    </row>
    <row r="1557" spans="1:3" s="8" customFormat="1" x14ac:dyDescent="0.2">
      <c r="A1557" s="6" t="str">
        <f>"NAPA-AS1"</f>
        <v>NAPA-AS1</v>
      </c>
      <c r="B1557" s="6">
        <v>8.9910089910089901E-3</v>
      </c>
      <c r="C1557" s="6">
        <v>9.7930693069306907E-2</v>
      </c>
    </row>
    <row r="1558" spans="1:3" s="8" customFormat="1" x14ac:dyDescent="0.2">
      <c r="A1558" s="6" t="str">
        <f>"AC104530.1"</f>
        <v>AC104530.1</v>
      </c>
      <c r="B1558" s="6">
        <v>8.9910089910089901E-3</v>
      </c>
      <c r="C1558" s="6">
        <v>9.7930693069306907E-2</v>
      </c>
    </row>
    <row r="1559" spans="1:3" s="8" customFormat="1" x14ac:dyDescent="0.2">
      <c r="A1559" s="6" t="str">
        <f>"KCNS1"</f>
        <v>KCNS1</v>
      </c>
      <c r="B1559" s="6">
        <v>8.9910089910089901E-3</v>
      </c>
      <c r="C1559" s="6">
        <v>9.7930693069306907E-2</v>
      </c>
    </row>
    <row r="1560" spans="1:3" s="8" customFormat="1" x14ac:dyDescent="0.2">
      <c r="A1560" s="6" t="str">
        <f>"RP1L1"</f>
        <v>RP1L1</v>
      </c>
      <c r="B1560" s="6">
        <v>8.9910089910089901E-3</v>
      </c>
      <c r="C1560" s="6">
        <v>9.7930693069306907E-2</v>
      </c>
    </row>
    <row r="1561" spans="1:3" s="8" customFormat="1" x14ac:dyDescent="0.2">
      <c r="A1561" s="6" t="str">
        <f>"IQGAP3"</f>
        <v>IQGAP3</v>
      </c>
      <c r="B1561" s="6">
        <v>8.9910089910089901E-3</v>
      </c>
      <c r="C1561" s="6">
        <v>9.7930693069306907E-2</v>
      </c>
    </row>
    <row r="1562" spans="1:3" s="8" customFormat="1" x14ac:dyDescent="0.2">
      <c r="A1562" s="6" t="str">
        <f>"LINC02449"</f>
        <v>LINC02449</v>
      </c>
      <c r="B1562" s="6">
        <v>8.9910089910089901E-3</v>
      </c>
      <c r="C1562" s="6">
        <v>9.7930693069306907E-2</v>
      </c>
    </row>
    <row r="1563" spans="1:3" s="8" customFormat="1" x14ac:dyDescent="0.2">
      <c r="A1563" s="6" t="str">
        <f>"NLRP12"</f>
        <v>NLRP12</v>
      </c>
      <c r="B1563" s="6">
        <v>8.9910089910089901E-3</v>
      </c>
      <c r="C1563" s="6">
        <v>9.7930693069306907E-2</v>
      </c>
    </row>
    <row r="1564" spans="1:3" s="8" customFormat="1" x14ac:dyDescent="0.2">
      <c r="A1564" s="6" t="str">
        <f>"AC026704.1"</f>
        <v>AC026704.1</v>
      </c>
      <c r="B1564" s="6">
        <v>8.9910089910089901E-3</v>
      </c>
      <c r="C1564" s="6">
        <v>9.7930693069306907E-2</v>
      </c>
    </row>
    <row r="1565" spans="1:3" s="8" customFormat="1" x14ac:dyDescent="0.2">
      <c r="A1565" s="6" t="str">
        <f>"FBXW10"</f>
        <v>FBXW10</v>
      </c>
      <c r="B1565" s="6">
        <v>8.9910089910089901E-3</v>
      </c>
      <c r="C1565" s="6">
        <v>9.7930693069306907E-2</v>
      </c>
    </row>
    <row r="1566" spans="1:3" s="8" customFormat="1" x14ac:dyDescent="0.2">
      <c r="A1566" s="6" t="str">
        <f>"GCNT4"</f>
        <v>GCNT4</v>
      </c>
      <c r="B1566" s="6">
        <v>8.9910089910089901E-3</v>
      </c>
      <c r="C1566" s="6">
        <v>9.7930693069306907E-2</v>
      </c>
    </row>
    <row r="1567" spans="1:3" s="8" customFormat="1" x14ac:dyDescent="0.2">
      <c r="A1567" s="6" t="str">
        <f>"CSF3"</f>
        <v>CSF3</v>
      </c>
      <c r="B1567" s="6">
        <v>8.9910089910089901E-3</v>
      </c>
      <c r="C1567" s="6">
        <v>9.7930693069306907E-2</v>
      </c>
    </row>
    <row r="1568" spans="1:3" s="8" customFormat="1" x14ac:dyDescent="0.2">
      <c r="A1568" s="6" t="str">
        <f>"ZNF230"</f>
        <v>ZNF230</v>
      </c>
      <c r="B1568" s="6">
        <v>8.9910089910089901E-3</v>
      </c>
      <c r="C1568" s="6">
        <v>9.7930693069306907E-2</v>
      </c>
    </row>
    <row r="1569" spans="1:3" s="8" customFormat="1" x14ac:dyDescent="0.2">
      <c r="A1569" s="6" t="str">
        <f>"FUT8-AS1"</f>
        <v>FUT8-AS1</v>
      </c>
      <c r="B1569" s="6">
        <v>8.9910089910089901E-3</v>
      </c>
      <c r="C1569" s="6">
        <v>9.7930693069306907E-2</v>
      </c>
    </row>
    <row r="1570" spans="1:3" s="8" customFormat="1" x14ac:dyDescent="0.2">
      <c r="A1570" s="6" t="str">
        <f>"B3GALNT1"</f>
        <v>B3GALNT1</v>
      </c>
      <c r="B1570" s="6">
        <v>8.9910089910089901E-3</v>
      </c>
      <c r="C1570" s="6">
        <v>9.7930693069306907E-2</v>
      </c>
    </row>
    <row r="1571" spans="1:3" s="8" customFormat="1" x14ac:dyDescent="0.2">
      <c r="A1571" s="6" t="str">
        <f>"ZMYM1"</f>
        <v>ZMYM1</v>
      </c>
      <c r="B1571" s="6">
        <v>8.9910089910089901E-3</v>
      </c>
      <c r="C1571" s="6">
        <v>9.7930693069306907E-2</v>
      </c>
    </row>
    <row r="1572" spans="1:3" s="8" customFormat="1" x14ac:dyDescent="0.2">
      <c r="A1572" s="6" t="str">
        <f>"AC026464.6"</f>
        <v>AC026464.6</v>
      </c>
      <c r="B1572" s="6">
        <v>8.9910089910089901E-3</v>
      </c>
      <c r="C1572" s="6">
        <v>9.7930693069306907E-2</v>
      </c>
    </row>
    <row r="1573" spans="1:3" s="8" customFormat="1" x14ac:dyDescent="0.2">
      <c r="A1573" s="6" t="str">
        <f>"RECQL4"</f>
        <v>RECQL4</v>
      </c>
      <c r="B1573" s="6">
        <v>8.9910089910089901E-3</v>
      </c>
      <c r="C1573" s="6">
        <v>9.7930693069306907E-2</v>
      </c>
    </row>
    <row r="1574" spans="1:3" s="8" customFormat="1" x14ac:dyDescent="0.2">
      <c r="A1574" s="6" t="str">
        <f>"TK1"</f>
        <v>TK1</v>
      </c>
      <c r="B1574" s="6">
        <v>8.9910089910089901E-3</v>
      </c>
      <c r="C1574" s="6">
        <v>9.7930693069306907E-2</v>
      </c>
    </row>
    <row r="1575" spans="1:3" s="8" customFormat="1" x14ac:dyDescent="0.2">
      <c r="A1575" s="6" t="str">
        <f>"MT1F"</f>
        <v>MT1F</v>
      </c>
      <c r="B1575" s="6">
        <v>8.9910089910089901E-3</v>
      </c>
      <c r="C1575" s="6">
        <v>9.7930693069306907E-2</v>
      </c>
    </row>
    <row r="1576" spans="1:3" s="8" customFormat="1" x14ac:dyDescent="0.2">
      <c r="A1576" s="6" t="str">
        <f>"FOXI1"</f>
        <v>FOXI1</v>
      </c>
      <c r="B1576" s="6">
        <v>8.9910089910089901E-3</v>
      </c>
      <c r="C1576" s="6">
        <v>9.7930693069306907E-2</v>
      </c>
    </row>
    <row r="1577" spans="1:3" s="8" customFormat="1" x14ac:dyDescent="0.2">
      <c r="A1577" s="6" t="str">
        <f>"ITGA1"</f>
        <v>ITGA1</v>
      </c>
      <c r="B1577" s="6">
        <v>8.9910089910089901E-3</v>
      </c>
      <c r="C1577" s="6">
        <v>9.7930693069306907E-2</v>
      </c>
    </row>
    <row r="1578" spans="1:3" s="8" customFormat="1" x14ac:dyDescent="0.2">
      <c r="A1578" s="6" t="str">
        <f>"WDFY4"</f>
        <v>WDFY4</v>
      </c>
      <c r="B1578" s="6">
        <v>8.9910089910089901E-3</v>
      </c>
      <c r="C1578" s="6">
        <v>9.7930693069306907E-2</v>
      </c>
    </row>
    <row r="1579" spans="1:3" s="8" customFormat="1" x14ac:dyDescent="0.2">
      <c r="A1579" s="6" t="str">
        <f>"RRM2"</f>
        <v>RRM2</v>
      </c>
      <c r="B1579" s="6">
        <v>8.9910089910089901E-3</v>
      </c>
      <c r="C1579" s="6">
        <v>9.7930693069306907E-2</v>
      </c>
    </row>
    <row r="1580" spans="1:3" s="8" customFormat="1" x14ac:dyDescent="0.2">
      <c r="A1580" s="6" t="str">
        <f>"PRDM8"</f>
        <v>PRDM8</v>
      </c>
      <c r="B1580" s="6">
        <v>8.9910089910089901E-3</v>
      </c>
      <c r="C1580" s="6">
        <v>9.7930693069306907E-2</v>
      </c>
    </row>
    <row r="1581" spans="1:3" s="8" customFormat="1" x14ac:dyDescent="0.2">
      <c r="A1581" s="6" t="str">
        <f>"PPP1R16B"</f>
        <v>PPP1R16B</v>
      </c>
      <c r="B1581" s="6">
        <v>8.9910089910089901E-3</v>
      </c>
      <c r="C1581" s="6">
        <v>9.7930693069306907E-2</v>
      </c>
    </row>
    <row r="1582" spans="1:3" s="8" customFormat="1" x14ac:dyDescent="0.2">
      <c r="A1582" s="6" t="str">
        <f>"C1orf141"</f>
        <v>C1orf141</v>
      </c>
      <c r="B1582" s="6">
        <v>8.9910089910089901E-3</v>
      </c>
      <c r="C1582" s="6">
        <v>9.7930693069306907E-2</v>
      </c>
    </row>
    <row r="1583" spans="1:3" s="8" customFormat="1" x14ac:dyDescent="0.2">
      <c r="A1583" s="6" t="str">
        <f>"FP565260.6"</f>
        <v>FP565260.6</v>
      </c>
      <c r="B1583" s="6">
        <v>8.9910089910089901E-3</v>
      </c>
      <c r="C1583" s="6">
        <v>9.7930693069306907E-2</v>
      </c>
    </row>
    <row r="1584" spans="1:3" s="8" customFormat="1" x14ac:dyDescent="0.2">
      <c r="A1584" s="6" t="str">
        <f>"ACBD3-AS1"</f>
        <v>ACBD3-AS1</v>
      </c>
      <c r="B1584" s="6">
        <v>8.9910089910089901E-3</v>
      </c>
      <c r="C1584" s="6">
        <v>9.7930693069306907E-2</v>
      </c>
    </row>
    <row r="1585" spans="1:3" s="8" customFormat="1" x14ac:dyDescent="0.2">
      <c r="A1585" s="6" t="str">
        <f>"STK3"</f>
        <v>STK3</v>
      </c>
      <c r="B1585" s="6">
        <v>8.9910089910089901E-3</v>
      </c>
      <c r="C1585" s="6">
        <v>9.7930693069306907E-2</v>
      </c>
    </row>
    <row r="1586" spans="1:3" s="8" customFormat="1" x14ac:dyDescent="0.2">
      <c r="A1586" s="6" t="str">
        <f>"KRT78"</f>
        <v>KRT78</v>
      </c>
      <c r="B1586" s="6">
        <v>8.9910089910089901E-3</v>
      </c>
      <c r="C1586" s="6">
        <v>9.7930693069306907E-2</v>
      </c>
    </row>
    <row r="1587" spans="1:3" s="8" customFormat="1" x14ac:dyDescent="0.2">
      <c r="A1587" s="6" t="str">
        <f>"RPAIN"</f>
        <v>RPAIN</v>
      </c>
      <c r="B1587" s="6">
        <v>8.9910089910089901E-3</v>
      </c>
      <c r="C1587" s="6">
        <v>9.7930693069306907E-2</v>
      </c>
    </row>
    <row r="1588" spans="1:3" s="8" customFormat="1" x14ac:dyDescent="0.2">
      <c r="A1588" s="6" t="str">
        <f>"TMEM71"</f>
        <v>TMEM71</v>
      </c>
      <c r="B1588" s="6">
        <v>8.9910089910089901E-3</v>
      </c>
      <c r="C1588" s="6">
        <v>9.7930693069306907E-2</v>
      </c>
    </row>
    <row r="1589" spans="1:3" s="8" customFormat="1" x14ac:dyDescent="0.2">
      <c r="A1589" s="6" t="str">
        <f>"STRA6"</f>
        <v>STRA6</v>
      </c>
      <c r="B1589" s="6">
        <v>8.9910089910089901E-3</v>
      </c>
      <c r="C1589" s="6">
        <v>9.7930693069306907E-2</v>
      </c>
    </row>
    <row r="1590" spans="1:3" s="8" customFormat="1" x14ac:dyDescent="0.2">
      <c r="A1590" s="6" t="str">
        <f>"BIN2"</f>
        <v>BIN2</v>
      </c>
      <c r="B1590" s="6">
        <v>8.9910089910089901E-3</v>
      </c>
      <c r="C1590" s="6">
        <v>9.7930693069306907E-2</v>
      </c>
    </row>
    <row r="1591" spans="1:3" s="8" customFormat="1" x14ac:dyDescent="0.2">
      <c r="A1591" s="6" t="str">
        <f>"C11orf54"</f>
        <v>C11orf54</v>
      </c>
      <c r="B1591" s="6">
        <v>8.9910089910089901E-3</v>
      </c>
      <c r="C1591" s="6">
        <v>9.7930693069306907E-2</v>
      </c>
    </row>
    <row r="1592" spans="1:3" s="8" customFormat="1" x14ac:dyDescent="0.2">
      <c r="A1592" s="6" t="str">
        <f>"EPHA1"</f>
        <v>EPHA1</v>
      </c>
      <c r="B1592" s="6">
        <v>8.9910089910089901E-3</v>
      </c>
      <c r="C1592" s="6">
        <v>9.7930693069306907E-2</v>
      </c>
    </row>
    <row r="1593" spans="1:3" s="8" customFormat="1" x14ac:dyDescent="0.2">
      <c r="A1593" s="6" t="str">
        <f>"NRBF2"</f>
        <v>NRBF2</v>
      </c>
      <c r="B1593" s="6">
        <v>8.9910089910089901E-3</v>
      </c>
      <c r="C1593" s="6">
        <v>9.7930693069306907E-2</v>
      </c>
    </row>
    <row r="1594" spans="1:3" s="8" customFormat="1" x14ac:dyDescent="0.2">
      <c r="A1594" s="6" t="str">
        <f>"NABP1"</f>
        <v>NABP1</v>
      </c>
      <c r="B1594" s="6">
        <v>8.9910089910089901E-3</v>
      </c>
      <c r="C1594" s="6">
        <v>9.7930693069306907E-2</v>
      </c>
    </row>
    <row r="1595" spans="1:3" s="8" customFormat="1" x14ac:dyDescent="0.2">
      <c r="A1595" s="6" t="str">
        <f>"UBE2Q2"</f>
        <v>UBE2Q2</v>
      </c>
      <c r="B1595" s="6">
        <v>8.9910089910089901E-3</v>
      </c>
      <c r="C1595" s="6">
        <v>9.7930693069306907E-2</v>
      </c>
    </row>
    <row r="1596" spans="1:3" s="8" customFormat="1" x14ac:dyDescent="0.2">
      <c r="A1596" s="6" t="str">
        <f>"GOLGA8B"</f>
        <v>GOLGA8B</v>
      </c>
      <c r="B1596" s="6">
        <v>8.9910089910089901E-3</v>
      </c>
      <c r="C1596" s="6">
        <v>9.7930693069306907E-2</v>
      </c>
    </row>
    <row r="1597" spans="1:3" s="8" customFormat="1" x14ac:dyDescent="0.2">
      <c r="A1597" s="6" t="str">
        <f>"C16orf54"</f>
        <v>C16orf54</v>
      </c>
      <c r="B1597" s="6">
        <v>8.9910089910089901E-3</v>
      </c>
      <c r="C1597" s="6">
        <v>9.7930693069306907E-2</v>
      </c>
    </row>
    <row r="1598" spans="1:3" s="8" customFormat="1" x14ac:dyDescent="0.2">
      <c r="A1598" s="6" t="str">
        <f>"PYROXD1"</f>
        <v>PYROXD1</v>
      </c>
      <c r="B1598" s="6">
        <v>8.9910089910089901E-3</v>
      </c>
      <c r="C1598" s="6">
        <v>9.7930693069306907E-2</v>
      </c>
    </row>
    <row r="1599" spans="1:3" s="8" customFormat="1" x14ac:dyDescent="0.2">
      <c r="A1599" s="6" t="str">
        <f>"ISG15"</f>
        <v>ISG15</v>
      </c>
      <c r="B1599" s="6">
        <v>8.9910089910089901E-3</v>
      </c>
      <c r="C1599" s="6">
        <v>9.7930693069306907E-2</v>
      </c>
    </row>
    <row r="1600" spans="1:3" s="8" customFormat="1" x14ac:dyDescent="0.2">
      <c r="A1600" s="6" t="str">
        <f>"SP2"</f>
        <v>SP2</v>
      </c>
      <c r="B1600" s="6">
        <v>8.9910089910089901E-3</v>
      </c>
      <c r="C1600" s="6">
        <v>9.7930693069306907E-2</v>
      </c>
    </row>
    <row r="1601" spans="1:3" s="8" customFormat="1" x14ac:dyDescent="0.2">
      <c r="A1601" s="6" t="str">
        <f>"CKMT1A"</f>
        <v>CKMT1A</v>
      </c>
      <c r="B1601" s="6">
        <v>8.9910089910089901E-3</v>
      </c>
      <c r="C1601" s="6">
        <v>9.7930693069306907E-2</v>
      </c>
    </row>
    <row r="1602" spans="1:3" s="8" customFormat="1" x14ac:dyDescent="0.2">
      <c r="A1602" s="6" t="str">
        <f>"IL20RA"</f>
        <v>IL20RA</v>
      </c>
      <c r="B1602" s="6">
        <v>8.9910089910089901E-3</v>
      </c>
      <c r="C1602" s="6">
        <v>9.7930693069306907E-2</v>
      </c>
    </row>
    <row r="1603" spans="1:3" s="8" customFormat="1" x14ac:dyDescent="0.2">
      <c r="A1603" s="6" t="str">
        <f>"STAT5B"</f>
        <v>STAT5B</v>
      </c>
      <c r="B1603" s="6">
        <v>8.9910089910089901E-3</v>
      </c>
      <c r="C1603" s="6">
        <v>9.7930693069306907E-2</v>
      </c>
    </row>
    <row r="1604" spans="1:3" s="8" customFormat="1" x14ac:dyDescent="0.2">
      <c r="A1604" s="6" t="str">
        <f>"ROGDI"</f>
        <v>ROGDI</v>
      </c>
      <c r="B1604" s="6">
        <v>8.9910089910089901E-3</v>
      </c>
      <c r="C1604" s="6">
        <v>9.7930693069306907E-2</v>
      </c>
    </row>
    <row r="1605" spans="1:3" s="8" customFormat="1" x14ac:dyDescent="0.2">
      <c r="A1605" s="6" t="str">
        <f>"RBP1"</f>
        <v>RBP1</v>
      </c>
      <c r="B1605" s="6">
        <v>8.9910089910089901E-3</v>
      </c>
      <c r="C1605" s="6">
        <v>9.7930693069306907E-2</v>
      </c>
    </row>
    <row r="1606" spans="1:3" s="8" customFormat="1" x14ac:dyDescent="0.2">
      <c r="A1606" s="6" t="str">
        <f>"STK11"</f>
        <v>STK11</v>
      </c>
      <c r="B1606" s="6">
        <v>8.9910089910089901E-3</v>
      </c>
      <c r="C1606" s="6">
        <v>9.7930693069306907E-2</v>
      </c>
    </row>
    <row r="1607" spans="1:3" s="8" customFormat="1" x14ac:dyDescent="0.2">
      <c r="A1607" s="6" t="str">
        <f>"RELA"</f>
        <v>RELA</v>
      </c>
      <c r="B1607" s="6">
        <v>8.9910089910089901E-3</v>
      </c>
      <c r="C1607" s="6">
        <v>9.7930693069306907E-2</v>
      </c>
    </row>
    <row r="1608" spans="1:3" s="8" customFormat="1" x14ac:dyDescent="0.2">
      <c r="A1608" s="6" t="str">
        <f>"SYPL1"</f>
        <v>SYPL1</v>
      </c>
      <c r="B1608" s="6">
        <v>8.9910089910089901E-3</v>
      </c>
      <c r="C1608" s="6">
        <v>9.7930693069306907E-2</v>
      </c>
    </row>
    <row r="1609" spans="1:3" s="8" customFormat="1" x14ac:dyDescent="0.2">
      <c r="A1609" s="6" t="str">
        <f>"RBMX"</f>
        <v>RBMX</v>
      </c>
      <c r="B1609" s="6">
        <v>8.9910089910089901E-3</v>
      </c>
      <c r="C1609" s="6">
        <v>9.7930693069306907E-2</v>
      </c>
    </row>
    <row r="1610" spans="1:3" s="8" customFormat="1" x14ac:dyDescent="0.2">
      <c r="A1610" s="6" t="str">
        <f>"ACSL1"</f>
        <v>ACSL1</v>
      </c>
      <c r="B1610" s="6">
        <v>8.9910089910089901E-3</v>
      </c>
      <c r="C1610" s="6">
        <v>9.7930693069306907E-2</v>
      </c>
    </row>
    <row r="1611" spans="1:3" s="8" customFormat="1" x14ac:dyDescent="0.2">
      <c r="A1611" s="6" t="str">
        <f>"NDRG1"</f>
        <v>NDRG1</v>
      </c>
      <c r="B1611" s="6">
        <v>8.9910089910089901E-3</v>
      </c>
      <c r="C1611" s="6">
        <v>9.7930693069306907E-2</v>
      </c>
    </row>
    <row r="1612" spans="1:3" s="8" customFormat="1" x14ac:dyDescent="0.2">
      <c r="A1612" s="6" t="str">
        <f>"QARS1"</f>
        <v>QARS1</v>
      </c>
      <c r="B1612" s="6">
        <v>8.9910089910089901E-3</v>
      </c>
      <c r="C1612" s="6">
        <v>9.7930693069306907E-2</v>
      </c>
    </row>
    <row r="1613" spans="1:3" s="8" customFormat="1" x14ac:dyDescent="0.2">
      <c r="A1613" s="6" t="str">
        <f>"GSTA2"</f>
        <v>GSTA2</v>
      </c>
      <c r="B1613" s="6">
        <v>8.9910089910089901E-3</v>
      </c>
      <c r="C1613" s="6">
        <v>9.7930693069306907E-2</v>
      </c>
    </row>
    <row r="1614" spans="1:3" s="8" customFormat="1" x14ac:dyDescent="0.2">
      <c r="A1614" s="6" t="str">
        <f>"ARPC2"</f>
        <v>ARPC2</v>
      </c>
      <c r="B1614" s="6">
        <v>8.9910089910089901E-3</v>
      </c>
      <c r="C1614" s="6">
        <v>9.7930693069306907E-2</v>
      </c>
    </row>
    <row r="1615" spans="1:3" s="8" customFormat="1" x14ac:dyDescent="0.2">
      <c r="A1615" s="6" t="str">
        <f>"CMPK1"</f>
        <v>CMPK1</v>
      </c>
      <c r="B1615" s="6">
        <v>8.9910089910089901E-3</v>
      </c>
      <c r="C1615" s="6">
        <v>9.7930693069306907E-2</v>
      </c>
    </row>
    <row r="1616" spans="1:3" s="8" customFormat="1" x14ac:dyDescent="0.2">
      <c r="A1616" s="6" t="str">
        <f>"EIF1"</f>
        <v>EIF1</v>
      </c>
      <c r="B1616" s="6">
        <v>8.9910089910089901E-3</v>
      </c>
      <c r="C1616" s="6">
        <v>9.7930693069306907E-2</v>
      </c>
    </row>
    <row r="1617" spans="1:3" s="8" customFormat="1" x14ac:dyDescent="0.2">
      <c r="A1617" s="6" t="str">
        <f>"CD164"</f>
        <v>CD164</v>
      </c>
      <c r="B1617" s="6">
        <v>8.9910089910089901E-3</v>
      </c>
      <c r="C1617" s="6">
        <v>9.7930693069306907E-2</v>
      </c>
    </row>
    <row r="1618" spans="1:3" s="8" customFormat="1" x14ac:dyDescent="0.2">
      <c r="A1618" s="6" t="str">
        <f>"DSC1"</f>
        <v>DSC1</v>
      </c>
      <c r="B1618" s="6">
        <v>9.0090090090090003E-3</v>
      </c>
      <c r="C1618" s="6">
        <v>9.79680979680978E-2</v>
      </c>
    </row>
    <row r="1619" spans="1:3" s="8" customFormat="1" x14ac:dyDescent="0.2">
      <c r="A1619" s="6" t="str">
        <f>"Z69733.1"</f>
        <v>Z69733.1</v>
      </c>
      <c r="B1619" s="6">
        <v>9.0180360721442802E-3</v>
      </c>
      <c r="C1619" s="6">
        <v>9.8005652838433197E-2</v>
      </c>
    </row>
    <row r="1620" spans="1:3" s="8" customFormat="1" x14ac:dyDescent="0.2">
      <c r="A1620" s="6" t="str">
        <f>"AC009133.2"</f>
        <v>AC009133.2</v>
      </c>
      <c r="B1620" s="6">
        <v>9.0361445783132491E-3</v>
      </c>
      <c r="C1620" s="6">
        <v>9.8141795098863602E-2</v>
      </c>
    </row>
    <row r="1621" spans="1:3" s="8" customFormat="1" x14ac:dyDescent="0.2">
      <c r="A1621" s="6" t="str">
        <f>"Z69720.2"</f>
        <v>Z69720.2</v>
      </c>
      <c r="B1621" s="6">
        <v>9.0452261306532607E-3</v>
      </c>
      <c r="C1621" s="6">
        <v>9.81797878280289E-2</v>
      </c>
    </row>
    <row r="1622" spans="1:3" s="8" customFormat="1" x14ac:dyDescent="0.2">
      <c r="A1622" s="6" t="str">
        <f>"AC004066.1"</f>
        <v>AC004066.1</v>
      </c>
      <c r="B1622" s="6">
        <v>9.0634441087613302E-3</v>
      </c>
      <c r="C1622" s="6">
        <v>9.8316842201393695E-2</v>
      </c>
    </row>
    <row r="1623" spans="1:3" s="8" customFormat="1" x14ac:dyDescent="0.2">
      <c r="A1623" s="6" t="str">
        <f>"AL035461.2"</f>
        <v>AL035461.2</v>
      </c>
      <c r="B1623" s="6">
        <v>9.0909090909090905E-3</v>
      </c>
      <c r="C1623" s="6">
        <v>9.8553973769756706E-2</v>
      </c>
    </row>
    <row r="1624" spans="1:3" s="8" customFormat="1" x14ac:dyDescent="0.2">
      <c r="A1624" s="6" t="str">
        <f>"AC011479.4"</f>
        <v>AC011479.4</v>
      </c>
      <c r="B1624" s="6">
        <v>9.1093117408906805E-3</v>
      </c>
      <c r="C1624" s="6">
        <v>9.8692629483562305E-2</v>
      </c>
    </row>
    <row r="1625" spans="1:3" s="8" customFormat="1" x14ac:dyDescent="0.2">
      <c r="A1625" s="6" t="str">
        <f>"PTPRVP"</f>
        <v>PTPRVP</v>
      </c>
      <c r="B1625" s="6">
        <v>9.99000999000999E-3</v>
      </c>
      <c r="C1625" s="6">
        <v>0.104604402141582</v>
      </c>
    </row>
    <row r="1626" spans="1:3" s="8" customFormat="1" x14ac:dyDescent="0.2">
      <c r="A1626" s="6" t="str">
        <f>"AC123595.1"</f>
        <v>AC123595.1</v>
      </c>
      <c r="B1626" s="6">
        <v>9.99000999000999E-3</v>
      </c>
      <c r="C1626" s="6">
        <v>0.104604402141582</v>
      </c>
    </row>
    <row r="1627" spans="1:3" s="8" customFormat="1" x14ac:dyDescent="0.2">
      <c r="A1627" s="6" t="str">
        <f>"MYBPH"</f>
        <v>MYBPH</v>
      </c>
      <c r="B1627" s="6">
        <v>9.99000999000999E-3</v>
      </c>
      <c r="C1627" s="6">
        <v>0.104604402141582</v>
      </c>
    </row>
    <row r="1628" spans="1:3" s="8" customFormat="1" x14ac:dyDescent="0.2">
      <c r="A1628" s="6" t="str">
        <f>"IL23R"</f>
        <v>IL23R</v>
      </c>
      <c r="B1628" s="6">
        <v>0.01</v>
      </c>
      <c r="C1628" s="6">
        <v>0.104604402141582</v>
      </c>
    </row>
    <row r="1629" spans="1:3" s="8" customFormat="1" x14ac:dyDescent="0.2">
      <c r="A1629" s="6" t="str">
        <f>"AC148477.2"</f>
        <v>AC148477.2</v>
      </c>
      <c r="B1629" s="6">
        <v>9.99000999000999E-3</v>
      </c>
      <c r="C1629" s="6">
        <v>0.104604402141582</v>
      </c>
    </row>
    <row r="1630" spans="1:3" s="8" customFormat="1" x14ac:dyDescent="0.2">
      <c r="A1630" s="6" t="str">
        <f>"FCRL2"</f>
        <v>FCRL2</v>
      </c>
      <c r="B1630" s="6">
        <v>0.01</v>
      </c>
      <c r="C1630" s="6">
        <v>0.104604402141582</v>
      </c>
    </row>
    <row r="1631" spans="1:3" s="8" customFormat="1" x14ac:dyDescent="0.2">
      <c r="A1631" s="6" t="str">
        <f>"RPE65"</f>
        <v>RPE65</v>
      </c>
      <c r="B1631" s="6">
        <v>9.99000999000999E-3</v>
      </c>
      <c r="C1631" s="6">
        <v>0.104604402141582</v>
      </c>
    </row>
    <row r="1632" spans="1:3" s="8" customFormat="1" x14ac:dyDescent="0.2">
      <c r="A1632" s="6" t="str">
        <f>"AC020904.2"</f>
        <v>AC020904.2</v>
      </c>
      <c r="B1632" s="6">
        <v>9.99000999000999E-3</v>
      </c>
      <c r="C1632" s="6">
        <v>0.104604402141582</v>
      </c>
    </row>
    <row r="1633" spans="1:3" s="8" customFormat="1" x14ac:dyDescent="0.2">
      <c r="A1633" s="6" t="str">
        <f>"AC005697.2"</f>
        <v>AC005697.2</v>
      </c>
      <c r="B1633" s="6">
        <v>9.99000999000999E-3</v>
      </c>
      <c r="C1633" s="6">
        <v>0.104604402141582</v>
      </c>
    </row>
    <row r="1634" spans="1:3" s="8" customFormat="1" x14ac:dyDescent="0.2">
      <c r="A1634" s="6" t="str">
        <f>"RNASE2"</f>
        <v>RNASE2</v>
      </c>
      <c r="B1634" s="6">
        <v>9.99000999000999E-3</v>
      </c>
      <c r="C1634" s="6">
        <v>0.104604402141582</v>
      </c>
    </row>
    <row r="1635" spans="1:3" s="8" customFormat="1" x14ac:dyDescent="0.2">
      <c r="A1635" s="6" t="str">
        <f>"CCL25"</f>
        <v>CCL25</v>
      </c>
      <c r="B1635" s="6">
        <v>9.99000999000999E-3</v>
      </c>
      <c r="C1635" s="6">
        <v>0.104604402141582</v>
      </c>
    </row>
    <row r="1636" spans="1:3" s="8" customFormat="1" x14ac:dyDescent="0.2">
      <c r="A1636" s="6" t="str">
        <f>"TEKT5"</f>
        <v>TEKT5</v>
      </c>
      <c r="B1636" s="6">
        <v>9.99000999000999E-3</v>
      </c>
      <c r="C1636" s="6">
        <v>0.104604402141582</v>
      </c>
    </row>
    <row r="1637" spans="1:3" s="8" customFormat="1" x14ac:dyDescent="0.2">
      <c r="A1637" s="6" t="str">
        <f>"SPRED3"</f>
        <v>SPRED3</v>
      </c>
      <c r="B1637" s="6">
        <v>9.99000999000999E-3</v>
      </c>
      <c r="C1637" s="6">
        <v>0.104604402141582</v>
      </c>
    </row>
    <row r="1638" spans="1:3" s="8" customFormat="1" x14ac:dyDescent="0.2">
      <c r="A1638" s="6" t="str">
        <f>"GSDMA"</f>
        <v>GSDMA</v>
      </c>
      <c r="B1638" s="6">
        <v>9.99000999000999E-3</v>
      </c>
      <c r="C1638" s="6">
        <v>0.104604402141582</v>
      </c>
    </row>
    <row r="1639" spans="1:3" s="8" customFormat="1" x14ac:dyDescent="0.2">
      <c r="A1639" s="6" t="str">
        <f>"AL021707.6"</f>
        <v>AL021707.6</v>
      </c>
      <c r="B1639" s="6">
        <v>9.99000999000999E-3</v>
      </c>
      <c r="C1639" s="6">
        <v>0.104604402141582</v>
      </c>
    </row>
    <row r="1640" spans="1:3" s="8" customFormat="1" x14ac:dyDescent="0.2">
      <c r="A1640" s="6" t="str">
        <f>"CLCA4-AS1"</f>
        <v>CLCA4-AS1</v>
      </c>
      <c r="B1640" s="6">
        <v>9.99000999000999E-3</v>
      </c>
      <c r="C1640" s="6">
        <v>0.104604402141582</v>
      </c>
    </row>
    <row r="1641" spans="1:3" s="8" customFormat="1" x14ac:dyDescent="0.2">
      <c r="A1641" s="6" t="str">
        <f>"AC011498.4"</f>
        <v>AC011498.4</v>
      </c>
      <c r="B1641" s="6">
        <v>9.99000999000999E-3</v>
      </c>
      <c r="C1641" s="6">
        <v>0.104604402141582</v>
      </c>
    </row>
    <row r="1642" spans="1:3" s="8" customFormat="1" x14ac:dyDescent="0.2">
      <c r="A1642" s="6" t="str">
        <f>"RGL3"</f>
        <v>RGL3</v>
      </c>
      <c r="B1642" s="6">
        <v>9.99000999000999E-3</v>
      </c>
      <c r="C1642" s="6">
        <v>0.104604402141582</v>
      </c>
    </row>
    <row r="1643" spans="1:3" s="8" customFormat="1" x14ac:dyDescent="0.2">
      <c r="A1643" s="6" t="str">
        <f>"BCYRN1"</f>
        <v>BCYRN1</v>
      </c>
      <c r="B1643" s="6">
        <v>9.99000999000999E-3</v>
      </c>
      <c r="C1643" s="6">
        <v>0.104604402141582</v>
      </c>
    </row>
    <row r="1644" spans="1:3" s="8" customFormat="1" x14ac:dyDescent="0.2">
      <c r="A1644" s="6" t="str">
        <f>"C8orf34"</f>
        <v>C8orf34</v>
      </c>
      <c r="B1644" s="6">
        <v>9.99000999000999E-3</v>
      </c>
      <c r="C1644" s="6">
        <v>0.104604402141582</v>
      </c>
    </row>
    <row r="1645" spans="1:3" s="8" customFormat="1" x14ac:dyDescent="0.2">
      <c r="A1645" s="6" t="str">
        <f>"MT1G"</f>
        <v>MT1G</v>
      </c>
      <c r="B1645" s="6">
        <v>9.99000999000999E-3</v>
      </c>
      <c r="C1645" s="6">
        <v>0.104604402141582</v>
      </c>
    </row>
    <row r="1646" spans="1:3" s="8" customFormat="1" x14ac:dyDescent="0.2">
      <c r="A1646" s="6" t="str">
        <f>"RHOF"</f>
        <v>RHOF</v>
      </c>
      <c r="B1646" s="6">
        <v>9.99000999000999E-3</v>
      </c>
      <c r="C1646" s="6">
        <v>0.104604402141582</v>
      </c>
    </row>
    <row r="1647" spans="1:3" s="8" customFormat="1" x14ac:dyDescent="0.2">
      <c r="A1647" s="6" t="str">
        <f>"ZNF841"</f>
        <v>ZNF841</v>
      </c>
      <c r="B1647" s="6">
        <v>9.99000999000999E-3</v>
      </c>
      <c r="C1647" s="6">
        <v>0.104604402141582</v>
      </c>
    </row>
    <row r="1648" spans="1:3" s="8" customFormat="1" x14ac:dyDescent="0.2">
      <c r="A1648" s="6" t="str">
        <f>"RMND1"</f>
        <v>RMND1</v>
      </c>
      <c r="B1648" s="6">
        <v>9.99000999000999E-3</v>
      </c>
      <c r="C1648" s="6">
        <v>0.104604402141582</v>
      </c>
    </row>
    <row r="1649" spans="1:3" s="8" customFormat="1" x14ac:dyDescent="0.2">
      <c r="A1649" s="6" t="str">
        <f>"NAMPTP1"</f>
        <v>NAMPTP1</v>
      </c>
      <c r="B1649" s="6">
        <v>9.99000999000999E-3</v>
      </c>
      <c r="C1649" s="6">
        <v>0.104604402141582</v>
      </c>
    </row>
    <row r="1650" spans="1:3" s="8" customFormat="1" x14ac:dyDescent="0.2">
      <c r="A1650" s="6" t="str">
        <f>"C11orf1"</f>
        <v>C11orf1</v>
      </c>
      <c r="B1650" s="6">
        <v>9.99000999000999E-3</v>
      </c>
      <c r="C1650" s="6">
        <v>0.104604402141582</v>
      </c>
    </row>
    <row r="1651" spans="1:3" s="8" customFormat="1" x14ac:dyDescent="0.2">
      <c r="A1651" s="6" t="str">
        <f>"FGFBP1"</f>
        <v>FGFBP1</v>
      </c>
      <c r="B1651" s="6">
        <v>9.99000999000999E-3</v>
      </c>
      <c r="C1651" s="6">
        <v>0.104604402141582</v>
      </c>
    </row>
    <row r="1652" spans="1:3" s="8" customFormat="1" x14ac:dyDescent="0.2">
      <c r="A1652" s="6" t="str">
        <f>"AL033397.1"</f>
        <v>AL033397.1</v>
      </c>
      <c r="B1652" s="6">
        <v>9.99000999000999E-3</v>
      </c>
      <c r="C1652" s="6">
        <v>0.104604402141582</v>
      </c>
    </row>
    <row r="1653" spans="1:3" s="8" customFormat="1" x14ac:dyDescent="0.2">
      <c r="A1653" s="6" t="str">
        <f>"THBD"</f>
        <v>THBD</v>
      </c>
      <c r="B1653" s="6">
        <v>9.99000999000999E-3</v>
      </c>
      <c r="C1653" s="6">
        <v>0.104604402141582</v>
      </c>
    </row>
    <row r="1654" spans="1:3" s="8" customFormat="1" x14ac:dyDescent="0.2">
      <c r="A1654" s="6" t="str">
        <f>"SLC2A13"</f>
        <v>SLC2A13</v>
      </c>
      <c r="B1654" s="6">
        <v>9.99000999000999E-3</v>
      </c>
      <c r="C1654" s="6">
        <v>0.104604402141582</v>
      </c>
    </row>
    <row r="1655" spans="1:3" s="8" customFormat="1" x14ac:dyDescent="0.2">
      <c r="A1655" s="6" t="str">
        <f>"HIBCH"</f>
        <v>HIBCH</v>
      </c>
      <c r="B1655" s="6">
        <v>9.99000999000999E-3</v>
      </c>
      <c r="C1655" s="6">
        <v>0.104604402141582</v>
      </c>
    </row>
    <row r="1656" spans="1:3" s="8" customFormat="1" x14ac:dyDescent="0.2">
      <c r="A1656" s="6" t="str">
        <f>"ITGAL"</f>
        <v>ITGAL</v>
      </c>
      <c r="B1656" s="6">
        <v>9.99000999000999E-3</v>
      </c>
      <c r="C1656" s="6">
        <v>0.104604402141582</v>
      </c>
    </row>
    <row r="1657" spans="1:3" s="8" customFormat="1" x14ac:dyDescent="0.2">
      <c r="A1657" s="6" t="str">
        <f>"CHCHD5"</f>
        <v>CHCHD5</v>
      </c>
      <c r="B1657" s="6">
        <v>9.99000999000999E-3</v>
      </c>
      <c r="C1657" s="6">
        <v>0.104604402141582</v>
      </c>
    </row>
    <row r="1658" spans="1:3" s="8" customFormat="1" x14ac:dyDescent="0.2">
      <c r="A1658" s="6" t="str">
        <f>"PRR14"</f>
        <v>PRR14</v>
      </c>
      <c r="B1658" s="6">
        <v>9.99000999000999E-3</v>
      </c>
      <c r="C1658" s="6">
        <v>0.104604402141582</v>
      </c>
    </row>
    <row r="1659" spans="1:3" s="8" customFormat="1" x14ac:dyDescent="0.2">
      <c r="A1659" s="6" t="str">
        <f>"HSPB8"</f>
        <v>HSPB8</v>
      </c>
      <c r="B1659" s="6">
        <v>9.99000999000999E-3</v>
      </c>
      <c r="C1659" s="6">
        <v>0.104604402141582</v>
      </c>
    </row>
    <row r="1660" spans="1:3" s="8" customFormat="1" x14ac:dyDescent="0.2">
      <c r="A1660" s="6" t="str">
        <f>"METRN"</f>
        <v>METRN</v>
      </c>
      <c r="B1660" s="6">
        <v>9.99000999000999E-3</v>
      </c>
      <c r="C1660" s="6">
        <v>0.104604402141582</v>
      </c>
    </row>
    <row r="1661" spans="1:3" s="8" customFormat="1" x14ac:dyDescent="0.2">
      <c r="A1661" s="6" t="str">
        <f>"PTPRT"</f>
        <v>PTPRT</v>
      </c>
      <c r="B1661" s="6">
        <v>9.99000999000999E-3</v>
      </c>
      <c r="C1661" s="6">
        <v>0.104604402141582</v>
      </c>
    </row>
    <row r="1662" spans="1:3" s="8" customFormat="1" x14ac:dyDescent="0.2">
      <c r="A1662" s="6" t="str">
        <f>"ABCA1"</f>
        <v>ABCA1</v>
      </c>
      <c r="B1662" s="6">
        <v>9.99000999000999E-3</v>
      </c>
      <c r="C1662" s="6">
        <v>0.104604402141582</v>
      </c>
    </row>
    <row r="1663" spans="1:3" s="8" customFormat="1" x14ac:dyDescent="0.2">
      <c r="A1663" s="6" t="str">
        <f>"MTND1P23"</f>
        <v>MTND1P23</v>
      </c>
      <c r="B1663" s="6">
        <v>9.99000999000999E-3</v>
      </c>
      <c r="C1663" s="6">
        <v>0.104604402141582</v>
      </c>
    </row>
    <row r="1664" spans="1:3" s="8" customFormat="1" x14ac:dyDescent="0.2">
      <c r="A1664" s="6" t="str">
        <f>"CCZ1"</f>
        <v>CCZ1</v>
      </c>
      <c r="B1664" s="6">
        <v>9.99000999000999E-3</v>
      </c>
      <c r="C1664" s="6">
        <v>0.104604402141582</v>
      </c>
    </row>
    <row r="1665" spans="1:3" s="8" customFormat="1" x14ac:dyDescent="0.2">
      <c r="A1665" s="6" t="str">
        <f>"TRANK1"</f>
        <v>TRANK1</v>
      </c>
      <c r="B1665" s="6">
        <v>9.99000999000999E-3</v>
      </c>
      <c r="C1665" s="6">
        <v>0.104604402141582</v>
      </c>
    </row>
    <row r="1666" spans="1:3" s="8" customFormat="1" x14ac:dyDescent="0.2">
      <c r="A1666" s="6" t="str">
        <f>"ATL3"</f>
        <v>ATL3</v>
      </c>
      <c r="B1666" s="6">
        <v>9.99000999000999E-3</v>
      </c>
      <c r="C1666" s="6">
        <v>0.104604402141582</v>
      </c>
    </row>
    <row r="1667" spans="1:3" s="8" customFormat="1" x14ac:dyDescent="0.2">
      <c r="A1667" s="6" t="str">
        <f>"CDC42EP3"</f>
        <v>CDC42EP3</v>
      </c>
      <c r="B1667" s="6">
        <v>9.99000999000999E-3</v>
      </c>
      <c r="C1667" s="6">
        <v>0.104604402141582</v>
      </c>
    </row>
    <row r="1668" spans="1:3" s="8" customFormat="1" x14ac:dyDescent="0.2">
      <c r="A1668" s="6" t="str">
        <f>"NFKBIZ"</f>
        <v>NFKBIZ</v>
      </c>
      <c r="B1668" s="6">
        <v>9.99000999000999E-3</v>
      </c>
      <c r="C1668" s="6">
        <v>0.104604402141582</v>
      </c>
    </row>
    <row r="1669" spans="1:3" s="8" customFormat="1" x14ac:dyDescent="0.2">
      <c r="A1669" s="6" t="str">
        <f>"MARCKSL1"</f>
        <v>MARCKSL1</v>
      </c>
      <c r="B1669" s="6">
        <v>9.99000999000999E-3</v>
      </c>
      <c r="C1669" s="6">
        <v>0.104604402141582</v>
      </c>
    </row>
    <row r="1670" spans="1:3" s="8" customFormat="1" x14ac:dyDescent="0.2">
      <c r="A1670" s="6" t="str">
        <f>"UBAP1"</f>
        <v>UBAP1</v>
      </c>
      <c r="B1670" s="6">
        <v>9.99000999000999E-3</v>
      </c>
      <c r="C1670" s="6">
        <v>0.104604402141582</v>
      </c>
    </row>
    <row r="1671" spans="1:3" s="8" customFormat="1" x14ac:dyDescent="0.2">
      <c r="A1671" s="6" t="str">
        <f>"SNX17"</f>
        <v>SNX17</v>
      </c>
      <c r="B1671" s="6">
        <v>9.99000999000999E-3</v>
      </c>
      <c r="C1671" s="6">
        <v>0.104604402141582</v>
      </c>
    </row>
    <row r="1672" spans="1:3" s="8" customFormat="1" x14ac:dyDescent="0.2">
      <c r="A1672" s="6" t="str">
        <f>"PPIG"</f>
        <v>PPIG</v>
      </c>
      <c r="B1672" s="6">
        <v>9.99000999000999E-3</v>
      </c>
      <c r="C1672" s="6">
        <v>0.104604402141582</v>
      </c>
    </row>
    <row r="1673" spans="1:3" s="8" customFormat="1" x14ac:dyDescent="0.2">
      <c r="A1673" s="6" t="str">
        <f>"ID1"</f>
        <v>ID1</v>
      </c>
      <c r="B1673" s="6">
        <v>9.99000999000999E-3</v>
      </c>
      <c r="C1673" s="6">
        <v>0.104604402141582</v>
      </c>
    </row>
    <row r="1674" spans="1:3" s="8" customFormat="1" x14ac:dyDescent="0.2">
      <c r="A1674" s="6" t="str">
        <f>"RAD23A"</f>
        <v>RAD23A</v>
      </c>
      <c r="B1674" s="6">
        <v>9.99000999000999E-3</v>
      </c>
      <c r="C1674" s="6">
        <v>0.104604402141582</v>
      </c>
    </row>
    <row r="1675" spans="1:3" s="8" customFormat="1" x14ac:dyDescent="0.2">
      <c r="A1675" s="6" t="str">
        <f>"KIAA1191"</f>
        <v>KIAA1191</v>
      </c>
      <c r="B1675" s="6">
        <v>9.99000999000999E-3</v>
      </c>
      <c r="C1675" s="6">
        <v>0.104604402141582</v>
      </c>
    </row>
    <row r="1676" spans="1:3" s="8" customFormat="1" x14ac:dyDescent="0.2">
      <c r="A1676" s="6" t="str">
        <f>"FUT3"</f>
        <v>FUT3</v>
      </c>
      <c r="B1676" s="6">
        <v>9.99000999000999E-3</v>
      </c>
      <c r="C1676" s="6">
        <v>0.104604402141582</v>
      </c>
    </row>
    <row r="1677" spans="1:3" s="8" customFormat="1" x14ac:dyDescent="0.2">
      <c r="A1677" s="6" t="str">
        <f>"EPS8L1"</f>
        <v>EPS8L1</v>
      </c>
      <c r="B1677" s="6">
        <v>9.99000999000999E-3</v>
      </c>
      <c r="C1677" s="6">
        <v>0.104604402141582</v>
      </c>
    </row>
    <row r="1678" spans="1:3" s="8" customFormat="1" x14ac:dyDescent="0.2">
      <c r="A1678" s="6" t="str">
        <f>"PYGB"</f>
        <v>PYGB</v>
      </c>
      <c r="B1678" s="6">
        <v>9.99000999000999E-3</v>
      </c>
      <c r="C1678" s="6">
        <v>0.104604402141582</v>
      </c>
    </row>
    <row r="1679" spans="1:3" s="8" customFormat="1" x14ac:dyDescent="0.2">
      <c r="A1679" s="6" t="str">
        <f>"SKP1"</f>
        <v>SKP1</v>
      </c>
      <c r="B1679" s="6">
        <v>9.99000999000999E-3</v>
      </c>
      <c r="C1679" s="6">
        <v>0.104604402141582</v>
      </c>
    </row>
    <row r="1680" spans="1:3" s="8" customFormat="1" x14ac:dyDescent="0.2">
      <c r="A1680" s="6" t="str">
        <f>"TJP2"</f>
        <v>TJP2</v>
      </c>
      <c r="B1680" s="6">
        <v>9.99000999000999E-3</v>
      </c>
      <c r="C1680" s="6">
        <v>0.104604402141582</v>
      </c>
    </row>
    <row r="1681" spans="1:3" s="8" customFormat="1" x14ac:dyDescent="0.2">
      <c r="A1681" s="6" t="str">
        <f>"KIF1C"</f>
        <v>KIF1C</v>
      </c>
      <c r="B1681" s="6">
        <v>0.01</v>
      </c>
      <c r="C1681" s="6">
        <v>0.104604402141582</v>
      </c>
    </row>
    <row r="1682" spans="1:3" s="8" customFormat="1" x14ac:dyDescent="0.2">
      <c r="A1682" s="6" t="str">
        <f>"GAPDH"</f>
        <v>GAPDH</v>
      </c>
      <c r="B1682" s="6">
        <v>9.99000999000999E-3</v>
      </c>
      <c r="C1682" s="6">
        <v>0.104604402141582</v>
      </c>
    </row>
    <row r="1683" spans="1:3" s="8" customFormat="1" x14ac:dyDescent="0.2">
      <c r="A1683" s="6" t="str">
        <f>"TNRC18P1"</f>
        <v>TNRC18P1</v>
      </c>
      <c r="B1683" s="6">
        <v>1.0012515644555599E-2</v>
      </c>
      <c r="C1683" s="6">
        <v>0.104673052969005</v>
      </c>
    </row>
    <row r="1684" spans="1:3" s="8" customFormat="1" x14ac:dyDescent="0.2">
      <c r="A1684" s="6" t="str">
        <f>"AL078595.1"</f>
        <v>AL078595.1</v>
      </c>
      <c r="B1684" s="6">
        <v>1.0020040080160299E-2</v>
      </c>
      <c r="C1684" s="6">
        <v>0.104689474016363</v>
      </c>
    </row>
    <row r="1685" spans="1:3" s="8" customFormat="1" x14ac:dyDescent="0.2">
      <c r="A1685" s="6" t="str">
        <f>"AC024941.2"</f>
        <v>AC024941.2</v>
      </c>
      <c r="B1685" s="6">
        <v>1.01522842639593E-2</v>
      </c>
      <c r="C1685" s="6">
        <v>0.106008174879727</v>
      </c>
    </row>
    <row r="1686" spans="1:3" s="8" customFormat="1" x14ac:dyDescent="0.2">
      <c r="A1686" s="6" t="str">
        <f>"KIF1A"</f>
        <v>KIF1A</v>
      </c>
      <c r="B1686" s="6">
        <v>1.09890109890109E-2</v>
      </c>
      <c r="C1686" s="6">
        <v>0.11008764940239001</v>
      </c>
    </row>
    <row r="1687" spans="1:3" s="8" customFormat="1" x14ac:dyDescent="0.2">
      <c r="A1687" s="6" t="str">
        <f>"ROCR"</f>
        <v>ROCR</v>
      </c>
      <c r="B1687" s="6">
        <v>1.09890109890109E-2</v>
      </c>
      <c r="C1687" s="6">
        <v>0.11008764940239001</v>
      </c>
    </row>
    <row r="1688" spans="1:3" s="8" customFormat="1" x14ac:dyDescent="0.2">
      <c r="A1688" s="6" t="str">
        <f>"SLED1"</f>
        <v>SLED1</v>
      </c>
      <c r="B1688" s="6">
        <v>1.09890109890109E-2</v>
      </c>
      <c r="C1688" s="6">
        <v>0.11008764940239001</v>
      </c>
    </row>
    <row r="1689" spans="1:3" s="8" customFormat="1" x14ac:dyDescent="0.2">
      <c r="A1689" s="6" t="str">
        <f>"AL078604.2"</f>
        <v>AL078604.2</v>
      </c>
      <c r="B1689" s="6">
        <v>1.09890109890109E-2</v>
      </c>
      <c r="C1689" s="6">
        <v>0.11008764940239001</v>
      </c>
    </row>
    <row r="1690" spans="1:3" s="8" customFormat="1" x14ac:dyDescent="0.2">
      <c r="A1690" s="6" t="str">
        <f>"AC099524.1"</f>
        <v>AC099524.1</v>
      </c>
      <c r="B1690" s="6">
        <v>1.09890109890109E-2</v>
      </c>
      <c r="C1690" s="6">
        <v>0.11008764940239001</v>
      </c>
    </row>
    <row r="1691" spans="1:3" s="8" customFormat="1" x14ac:dyDescent="0.2">
      <c r="A1691" s="6" t="str">
        <f>"AC234781.5"</f>
        <v>AC234781.5</v>
      </c>
      <c r="B1691" s="6">
        <v>1.09890109890109E-2</v>
      </c>
      <c r="C1691" s="6">
        <v>0.11008764940239001</v>
      </c>
    </row>
    <row r="1692" spans="1:3" s="8" customFormat="1" x14ac:dyDescent="0.2">
      <c r="A1692" s="6" t="str">
        <f>"YPEL4"</f>
        <v>YPEL4</v>
      </c>
      <c r="B1692" s="6">
        <v>1.09890109890109E-2</v>
      </c>
      <c r="C1692" s="6">
        <v>0.11008764940239001</v>
      </c>
    </row>
    <row r="1693" spans="1:3" s="8" customFormat="1" x14ac:dyDescent="0.2">
      <c r="A1693" s="6" t="str">
        <f>"PPP1R26P1"</f>
        <v>PPP1R26P1</v>
      </c>
      <c r="B1693" s="6">
        <v>1.09890109890109E-2</v>
      </c>
      <c r="C1693" s="6">
        <v>0.11008764940239001</v>
      </c>
    </row>
    <row r="1694" spans="1:3" s="8" customFormat="1" x14ac:dyDescent="0.2">
      <c r="A1694" s="6" t="str">
        <f>"AL731571.1"</f>
        <v>AL731571.1</v>
      </c>
      <c r="B1694" s="6">
        <v>1.09890109890109E-2</v>
      </c>
      <c r="C1694" s="6">
        <v>0.11008764940239001</v>
      </c>
    </row>
    <row r="1695" spans="1:3" s="8" customFormat="1" x14ac:dyDescent="0.2">
      <c r="A1695" s="6" t="str">
        <f>"PNLIPRP3"</f>
        <v>PNLIPRP3</v>
      </c>
      <c r="B1695" s="6">
        <v>1.09890109890109E-2</v>
      </c>
      <c r="C1695" s="6">
        <v>0.11008764940239001</v>
      </c>
    </row>
    <row r="1696" spans="1:3" s="8" customFormat="1" x14ac:dyDescent="0.2">
      <c r="A1696" s="6" t="str">
        <f>"PSORS1C2"</f>
        <v>PSORS1C2</v>
      </c>
      <c r="B1696" s="6">
        <v>1.09890109890109E-2</v>
      </c>
      <c r="C1696" s="6">
        <v>0.11008764940239001</v>
      </c>
    </row>
    <row r="1697" spans="1:3" s="8" customFormat="1" x14ac:dyDescent="0.2">
      <c r="A1697" s="6" t="str">
        <f>"AC008532.1"</f>
        <v>AC008532.1</v>
      </c>
      <c r="B1697" s="6">
        <v>1.09890109890109E-2</v>
      </c>
      <c r="C1697" s="6">
        <v>0.11008764940239001</v>
      </c>
    </row>
    <row r="1698" spans="1:3" s="8" customFormat="1" x14ac:dyDescent="0.2">
      <c r="A1698" s="6" t="str">
        <f>"RPL34-DT"</f>
        <v>RPL34-DT</v>
      </c>
      <c r="B1698" s="6">
        <v>1.09890109890109E-2</v>
      </c>
      <c r="C1698" s="6">
        <v>0.11008764940239001</v>
      </c>
    </row>
    <row r="1699" spans="1:3" s="8" customFormat="1" x14ac:dyDescent="0.2">
      <c r="A1699" s="6" t="str">
        <f>"PRICKLE4"</f>
        <v>PRICKLE4</v>
      </c>
      <c r="B1699" s="6">
        <v>1.09890109890109E-2</v>
      </c>
      <c r="C1699" s="6">
        <v>0.11008764940239001</v>
      </c>
    </row>
    <row r="1700" spans="1:3" s="8" customFormat="1" x14ac:dyDescent="0.2">
      <c r="A1700" s="6" t="str">
        <f>"FRMD6-AS1"</f>
        <v>FRMD6-AS1</v>
      </c>
      <c r="B1700" s="6">
        <v>1.09890109890109E-2</v>
      </c>
      <c r="C1700" s="6">
        <v>0.11008764940239001</v>
      </c>
    </row>
    <row r="1701" spans="1:3" s="8" customFormat="1" x14ac:dyDescent="0.2">
      <c r="A1701" s="6" t="str">
        <f>"MFAP4"</f>
        <v>MFAP4</v>
      </c>
      <c r="B1701" s="6">
        <v>1.09890109890109E-2</v>
      </c>
      <c r="C1701" s="6">
        <v>0.11008764940239001</v>
      </c>
    </row>
    <row r="1702" spans="1:3" s="8" customFormat="1" x14ac:dyDescent="0.2">
      <c r="A1702" s="6" t="str">
        <f>"LINC02453"</f>
        <v>LINC02453</v>
      </c>
      <c r="B1702" s="6">
        <v>1.09890109890109E-2</v>
      </c>
      <c r="C1702" s="6">
        <v>0.11008764940239001</v>
      </c>
    </row>
    <row r="1703" spans="1:3" s="8" customFormat="1" x14ac:dyDescent="0.2">
      <c r="A1703" s="6" t="str">
        <f>"PPP2R2C"</f>
        <v>PPP2R2C</v>
      </c>
      <c r="B1703" s="6">
        <v>1.09890109890109E-2</v>
      </c>
      <c r="C1703" s="6">
        <v>0.11008764940239001</v>
      </c>
    </row>
    <row r="1704" spans="1:3" s="8" customFormat="1" x14ac:dyDescent="0.2">
      <c r="A1704" s="6" t="str">
        <f>"DAAM2"</f>
        <v>DAAM2</v>
      </c>
      <c r="B1704" s="6">
        <v>1.09890109890109E-2</v>
      </c>
      <c r="C1704" s="6">
        <v>0.11008764940239001</v>
      </c>
    </row>
    <row r="1705" spans="1:3" s="8" customFormat="1" x14ac:dyDescent="0.2">
      <c r="A1705" s="6" t="str">
        <f>"RPL10P9"</f>
        <v>RPL10P9</v>
      </c>
      <c r="B1705" s="6">
        <v>1.09890109890109E-2</v>
      </c>
      <c r="C1705" s="6">
        <v>0.11008764940239001</v>
      </c>
    </row>
    <row r="1706" spans="1:3" s="8" customFormat="1" x14ac:dyDescent="0.2">
      <c r="A1706" s="6" t="str">
        <f>"OLFML3"</f>
        <v>OLFML3</v>
      </c>
      <c r="B1706" s="6">
        <v>1.09890109890109E-2</v>
      </c>
      <c r="C1706" s="6">
        <v>0.11008764940239001</v>
      </c>
    </row>
    <row r="1707" spans="1:3" s="8" customFormat="1" x14ac:dyDescent="0.2">
      <c r="A1707" s="6" t="str">
        <f>"NDC80"</f>
        <v>NDC80</v>
      </c>
      <c r="B1707" s="6">
        <v>1.09890109890109E-2</v>
      </c>
      <c r="C1707" s="6">
        <v>0.11008764940239001</v>
      </c>
    </row>
    <row r="1708" spans="1:3" s="8" customFormat="1" x14ac:dyDescent="0.2">
      <c r="A1708" s="6" t="str">
        <f>"DGKI"</f>
        <v>DGKI</v>
      </c>
      <c r="B1708" s="6">
        <v>1.09890109890109E-2</v>
      </c>
      <c r="C1708" s="6">
        <v>0.11008764940239001</v>
      </c>
    </row>
    <row r="1709" spans="1:3" s="8" customFormat="1" x14ac:dyDescent="0.2">
      <c r="A1709" s="6" t="str">
        <f>"TOX"</f>
        <v>TOX</v>
      </c>
      <c r="B1709" s="6">
        <v>1.09890109890109E-2</v>
      </c>
      <c r="C1709" s="6">
        <v>0.11008764940239001</v>
      </c>
    </row>
    <row r="1710" spans="1:3" s="8" customFormat="1" x14ac:dyDescent="0.2">
      <c r="A1710" s="6" t="str">
        <f>"MTCL1"</f>
        <v>MTCL1</v>
      </c>
      <c r="B1710" s="6">
        <v>1.09890109890109E-2</v>
      </c>
      <c r="C1710" s="6">
        <v>0.11008764940239001</v>
      </c>
    </row>
    <row r="1711" spans="1:3" s="8" customFormat="1" x14ac:dyDescent="0.2">
      <c r="A1711" s="6" t="str">
        <f>"C15orf65"</f>
        <v>C15orf65</v>
      </c>
      <c r="B1711" s="6">
        <v>1.09890109890109E-2</v>
      </c>
      <c r="C1711" s="6">
        <v>0.11008764940239001</v>
      </c>
    </row>
    <row r="1712" spans="1:3" s="8" customFormat="1" x14ac:dyDescent="0.2">
      <c r="A1712" s="6" t="str">
        <f>"ZNF365"</f>
        <v>ZNF365</v>
      </c>
      <c r="B1712" s="6">
        <v>1.09890109890109E-2</v>
      </c>
      <c r="C1712" s="6">
        <v>0.11008764940239001</v>
      </c>
    </row>
    <row r="1713" spans="1:3" s="8" customFormat="1" x14ac:dyDescent="0.2">
      <c r="A1713" s="6" t="str">
        <f>"C5orf63"</f>
        <v>C5orf63</v>
      </c>
      <c r="B1713" s="6">
        <v>1.09890109890109E-2</v>
      </c>
      <c r="C1713" s="6">
        <v>0.11008764940239001</v>
      </c>
    </row>
    <row r="1714" spans="1:3" s="8" customFormat="1" x14ac:dyDescent="0.2">
      <c r="A1714" s="6" t="str">
        <f>"BCRP2"</f>
        <v>BCRP2</v>
      </c>
      <c r="B1714" s="6">
        <v>1.09890109890109E-2</v>
      </c>
      <c r="C1714" s="6">
        <v>0.11008764940239001</v>
      </c>
    </row>
    <row r="1715" spans="1:3" s="8" customFormat="1" x14ac:dyDescent="0.2">
      <c r="A1715" s="6" t="str">
        <f>"ZNF567"</f>
        <v>ZNF567</v>
      </c>
      <c r="B1715" s="6">
        <v>1.09890109890109E-2</v>
      </c>
      <c r="C1715" s="6">
        <v>0.11008764940239001</v>
      </c>
    </row>
    <row r="1716" spans="1:3" s="8" customFormat="1" x14ac:dyDescent="0.2">
      <c r="A1716" s="6" t="str">
        <f>"TRAF1"</f>
        <v>TRAF1</v>
      </c>
      <c r="B1716" s="6">
        <v>1.09890109890109E-2</v>
      </c>
      <c r="C1716" s="6">
        <v>0.11008764940239001</v>
      </c>
    </row>
    <row r="1717" spans="1:3" s="8" customFormat="1" x14ac:dyDescent="0.2">
      <c r="A1717" s="6" t="str">
        <f>"TRIM36"</f>
        <v>TRIM36</v>
      </c>
      <c r="B1717" s="6">
        <v>1.09890109890109E-2</v>
      </c>
      <c r="C1717" s="6">
        <v>0.11008764940239001</v>
      </c>
    </row>
    <row r="1718" spans="1:3" s="8" customFormat="1" x14ac:dyDescent="0.2">
      <c r="A1718" s="6" t="str">
        <f>"PMEL"</f>
        <v>PMEL</v>
      </c>
      <c r="B1718" s="6">
        <v>1.09890109890109E-2</v>
      </c>
      <c r="C1718" s="6">
        <v>0.11008764940239001</v>
      </c>
    </row>
    <row r="1719" spans="1:3" s="8" customFormat="1" x14ac:dyDescent="0.2">
      <c r="A1719" s="6" t="str">
        <f>"ROPN1B"</f>
        <v>ROPN1B</v>
      </c>
      <c r="B1719" s="6">
        <v>1.09890109890109E-2</v>
      </c>
      <c r="C1719" s="6">
        <v>0.11008764940239001</v>
      </c>
    </row>
    <row r="1720" spans="1:3" s="8" customFormat="1" x14ac:dyDescent="0.2">
      <c r="A1720" s="6" t="str">
        <f>"AC069281.2"</f>
        <v>AC069281.2</v>
      </c>
      <c r="B1720" s="6">
        <v>1.09890109890109E-2</v>
      </c>
      <c r="C1720" s="6">
        <v>0.11008764940239001</v>
      </c>
    </row>
    <row r="1721" spans="1:3" s="8" customFormat="1" x14ac:dyDescent="0.2">
      <c r="A1721" s="6" t="str">
        <f>"CBWD6"</f>
        <v>CBWD6</v>
      </c>
      <c r="B1721" s="6">
        <v>1.09890109890109E-2</v>
      </c>
      <c r="C1721" s="6">
        <v>0.11008764940239001</v>
      </c>
    </row>
    <row r="1722" spans="1:3" s="8" customFormat="1" x14ac:dyDescent="0.2">
      <c r="A1722" s="6" t="str">
        <f>"RWDD3"</f>
        <v>RWDD3</v>
      </c>
      <c r="B1722" s="6">
        <v>1.09890109890109E-2</v>
      </c>
      <c r="C1722" s="6">
        <v>0.11008764940239001</v>
      </c>
    </row>
    <row r="1723" spans="1:3" s="8" customFormat="1" x14ac:dyDescent="0.2">
      <c r="A1723" s="6" t="str">
        <f>"BLACAT1"</f>
        <v>BLACAT1</v>
      </c>
      <c r="B1723" s="6">
        <v>1.09890109890109E-2</v>
      </c>
      <c r="C1723" s="6">
        <v>0.11008764940239001</v>
      </c>
    </row>
    <row r="1724" spans="1:3" s="8" customFormat="1" x14ac:dyDescent="0.2">
      <c r="A1724" s="6" t="str">
        <f>"DUSP2"</f>
        <v>DUSP2</v>
      </c>
      <c r="B1724" s="6">
        <v>1.09890109890109E-2</v>
      </c>
      <c r="C1724" s="6">
        <v>0.11008764940239001</v>
      </c>
    </row>
    <row r="1725" spans="1:3" s="8" customFormat="1" x14ac:dyDescent="0.2">
      <c r="A1725" s="6" t="str">
        <f>"LINC00865"</f>
        <v>LINC00865</v>
      </c>
      <c r="B1725" s="6">
        <v>1.09890109890109E-2</v>
      </c>
      <c r="C1725" s="6">
        <v>0.11008764940239001</v>
      </c>
    </row>
    <row r="1726" spans="1:3" s="8" customFormat="1" x14ac:dyDescent="0.2">
      <c r="A1726" s="6" t="str">
        <f>"SMIM29"</f>
        <v>SMIM29</v>
      </c>
      <c r="B1726" s="6">
        <v>1.09890109890109E-2</v>
      </c>
      <c r="C1726" s="6">
        <v>0.11008764940239001</v>
      </c>
    </row>
    <row r="1727" spans="1:3" s="8" customFormat="1" x14ac:dyDescent="0.2">
      <c r="A1727" s="6" t="str">
        <f>"ST3GAL2"</f>
        <v>ST3GAL2</v>
      </c>
      <c r="B1727" s="6">
        <v>1.09890109890109E-2</v>
      </c>
      <c r="C1727" s="6">
        <v>0.11008764940239001</v>
      </c>
    </row>
    <row r="1728" spans="1:3" s="8" customFormat="1" x14ac:dyDescent="0.2">
      <c r="A1728" s="6" t="str">
        <f>"CD8A"</f>
        <v>CD8A</v>
      </c>
      <c r="B1728" s="6">
        <v>1.09890109890109E-2</v>
      </c>
      <c r="C1728" s="6">
        <v>0.11008764940239001</v>
      </c>
    </row>
    <row r="1729" spans="1:3" s="8" customFormat="1" x14ac:dyDescent="0.2">
      <c r="A1729" s="6" t="str">
        <f>"AC091959.1"</f>
        <v>AC091959.1</v>
      </c>
      <c r="B1729" s="6">
        <v>1.09890109890109E-2</v>
      </c>
      <c r="C1729" s="6">
        <v>0.11008764940239001</v>
      </c>
    </row>
    <row r="1730" spans="1:3" s="8" customFormat="1" x14ac:dyDescent="0.2">
      <c r="A1730" s="6" t="str">
        <f>"AC009133.1"</f>
        <v>AC009133.1</v>
      </c>
      <c r="B1730" s="6">
        <v>1.09890109890109E-2</v>
      </c>
      <c r="C1730" s="6">
        <v>0.11008764940239001</v>
      </c>
    </row>
    <row r="1731" spans="1:3" s="8" customFormat="1" x14ac:dyDescent="0.2">
      <c r="A1731" s="6" t="str">
        <f>"PILRB"</f>
        <v>PILRB</v>
      </c>
      <c r="B1731" s="6">
        <v>1.09890109890109E-2</v>
      </c>
      <c r="C1731" s="6">
        <v>0.11008764940239001</v>
      </c>
    </row>
    <row r="1732" spans="1:3" s="8" customFormat="1" x14ac:dyDescent="0.2">
      <c r="A1732" s="6" t="str">
        <f>"POLK"</f>
        <v>POLK</v>
      </c>
      <c r="B1732" s="6">
        <v>1.09890109890109E-2</v>
      </c>
      <c r="C1732" s="6">
        <v>0.11008764940239001</v>
      </c>
    </row>
    <row r="1733" spans="1:3" s="8" customFormat="1" x14ac:dyDescent="0.2">
      <c r="A1733" s="6" t="str">
        <f>"H2BC12"</f>
        <v>H2BC12</v>
      </c>
      <c r="B1733" s="6">
        <v>1.09890109890109E-2</v>
      </c>
      <c r="C1733" s="6">
        <v>0.11008764940239001</v>
      </c>
    </row>
    <row r="1734" spans="1:3" s="8" customFormat="1" x14ac:dyDescent="0.2">
      <c r="A1734" s="6" t="str">
        <f>"GNPDA2"</f>
        <v>GNPDA2</v>
      </c>
      <c r="B1734" s="6">
        <v>1.09890109890109E-2</v>
      </c>
      <c r="C1734" s="6">
        <v>0.11008764940239001</v>
      </c>
    </row>
    <row r="1735" spans="1:3" s="8" customFormat="1" x14ac:dyDescent="0.2">
      <c r="A1735" s="6" t="str">
        <f>"LTBP1"</f>
        <v>LTBP1</v>
      </c>
      <c r="B1735" s="6">
        <v>1.09890109890109E-2</v>
      </c>
      <c r="C1735" s="6">
        <v>0.11008764940239001</v>
      </c>
    </row>
    <row r="1736" spans="1:3" s="8" customFormat="1" x14ac:dyDescent="0.2">
      <c r="A1736" s="6" t="str">
        <f>"TSPAN12"</f>
        <v>TSPAN12</v>
      </c>
      <c r="B1736" s="6">
        <v>1.09890109890109E-2</v>
      </c>
      <c r="C1736" s="6">
        <v>0.11008764940239001</v>
      </c>
    </row>
    <row r="1737" spans="1:3" s="8" customFormat="1" x14ac:dyDescent="0.2">
      <c r="A1737" s="6" t="str">
        <f>"RNF2"</f>
        <v>RNF2</v>
      </c>
      <c r="B1737" s="6">
        <v>1.09890109890109E-2</v>
      </c>
      <c r="C1737" s="6">
        <v>0.11008764940239001</v>
      </c>
    </row>
    <row r="1738" spans="1:3" s="8" customFormat="1" x14ac:dyDescent="0.2">
      <c r="A1738" s="6" t="str">
        <f>"BNIP3"</f>
        <v>BNIP3</v>
      </c>
      <c r="B1738" s="6">
        <v>1.0999999999999999E-2</v>
      </c>
      <c r="C1738" s="6">
        <v>0.11008764940239001</v>
      </c>
    </row>
    <row r="1739" spans="1:3" s="8" customFormat="1" x14ac:dyDescent="0.2">
      <c r="A1739" s="6" t="str">
        <f>"NUDT12"</f>
        <v>NUDT12</v>
      </c>
      <c r="B1739" s="6">
        <v>1.09890109890109E-2</v>
      </c>
      <c r="C1739" s="6">
        <v>0.11008764940239001</v>
      </c>
    </row>
    <row r="1740" spans="1:3" s="8" customFormat="1" x14ac:dyDescent="0.2">
      <c r="A1740" s="6" t="str">
        <f>"HOMER3"</f>
        <v>HOMER3</v>
      </c>
      <c r="B1740" s="6">
        <v>1.09890109890109E-2</v>
      </c>
      <c r="C1740" s="6">
        <v>0.11008764940239001</v>
      </c>
    </row>
    <row r="1741" spans="1:3" s="8" customFormat="1" x14ac:dyDescent="0.2">
      <c r="A1741" s="6" t="str">
        <f>"GBP5"</f>
        <v>GBP5</v>
      </c>
      <c r="B1741" s="6">
        <v>1.09890109890109E-2</v>
      </c>
      <c r="C1741" s="6">
        <v>0.11008764940239001</v>
      </c>
    </row>
    <row r="1742" spans="1:3" s="8" customFormat="1" x14ac:dyDescent="0.2">
      <c r="A1742" s="6" t="str">
        <f>"KRT24"</f>
        <v>KRT24</v>
      </c>
      <c r="B1742" s="6">
        <v>1.0999999999999999E-2</v>
      </c>
      <c r="C1742" s="6">
        <v>0.11008764940239001</v>
      </c>
    </row>
    <row r="1743" spans="1:3" s="8" customFormat="1" x14ac:dyDescent="0.2">
      <c r="A1743" s="6" t="str">
        <f>"PGGT1B"</f>
        <v>PGGT1B</v>
      </c>
      <c r="B1743" s="6">
        <v>1.09890109890109E-2</v>
      </c>
      <c r="C1743" s="6">
        <v>0.11008764940239001</v>
      </c>
    </row>
    <row r="1744" spans="1:3" s="8" customFormat="1" x14ac:dyDescent="0.2">
      <c r="A1744" s="6" t="str">
        <f>"EPS15L1"</f>
        <v>EPS15L1</v>
      </c>
      <c r="B1744" s="6">
        <v>1.09890109890109E-2</v>
      </c>
      <c r="C1744" s="6">
        <v>0.11008764940239001</v>
      </c>
    </row>
    <row r="1745" spans="1:3" s="8" customFormat="1" x14ac:dyDescent="0.2">
      <c r="A1745" s="6" t="str">
        <f>"AP5B1"</f>
        <v>AP5B1</v>
      </c>
      <c r="B1745" s="6">
        <v>1.09890109890109E-2</v>
      </c>
      <c r="C1745" s="6">
        <v>0.11008764940239001</v>
      </c>
    </row>
    <row r="1746" spans="1:3" s="8" customFormat="1" x14ac:dyDescent="0.2">
      <c r="A1746" s="6" t="str">
        <f>"MRPL28"</f>
        <v>MRPL28</v>
      </c>
      <c r="B1746" s="6">
        <v>1.09890109890109E-2</v>
      </c>
      <c r="C1746" s="6">
        <v>0.11008764940239001</v>
      </c>
    </row>
    <row r="1747" spans="1:3" s="8" customFormat="1" x14ac:dyDescent="0.2">
      <c r="A1747" s="6" t="str">
        <f>"CNIH1"</f>
        <v>CNIH1</v>
      </c>
      <c r="B1747" s="6">
        <v>1.09890109890109E-2</v>
      </c>
      <c r="C1747" s="6">
        <v>0.11008764940239001</v>
      </c>
    </row>
    <row r="1748" spans="1:3" s="8" customFormat="1" x14ac:dyDescent="0.2">
      <c r="A1748" s="6" t="str">
        <f>"MIB1"</f>
        <v>MIB1</v>
      </c>
      <c r="B1748" s="6">
        <v>1.09890109890109E-2</v>
      </c>
      <c r="C1748" s="6">
        <v>0.11008764940239001</v>
      </c>
    </row>
    <row r="1749" spans="1:3" s="8" customFormat="1" x14ac:dyDescent="0.2">
      <c r="A1749" s="6" t="str">
        <f>"RNF7"</f>
        <v>RNF7</v>
      </c>
      <c r="B1749" s="6">
        <v>1.09890109890109E-2</v>
      </c>
      <c r="C1749" s="6">
        <v>0.11008764940239001</v>
      </c>
    </row>
    <row r="1750" spans="1:3" s="8" customFormat="1" x14ac:dyDescent="0.2">
      <c r="A1750" s="6" t="str">
        <f>"SIX1"</f>
        <v>SIX1</v>
      </c>
      <c r="B1750" s="6">
        <v>1.09890109890109E-2</v>
      </c>
      <c r="C1750" s="6">
        <v>0.11008764940239001</v>
      </c>
    </row>
    <row r="1751" spans="1:3" s="8" customFormat="1" x14ac:dyDescent="0.2">
      <c r="A1751" s="6" t="str">
        <f>"R3HDM4"</f>
        <v>R3HDM4</v>
      </c>
      <c r="B1751" s="6">
        <v>1.09890109890109E-2</v>
      </c>
      <c r="C1751" s="6">
        <v>0.11008764940239001</v>
      </c>
    </row>
    <row r="1752" spans="1:3" s="8" customFormat="1" x14ac:dyDescent="0.2">
      <c r="A1752" s="6" t="str">
        <f>"SMG7"</f>
        <v>SMG7</v>
      </c>
      <c r="B1752" s="6">
        <v>1.0999999999999999E-2</v>
      </c>
      <c r="C1752" s="6">
        <v>0.11008764940239001</v>
      </c>
    </row>
    <row r="1753" spans="1:3" s="8" customFormat="1" x14ac:dyDescent="0.2">
      <c r="A1753" s="6" t="str">
        <f>"UBQLN1"</f>
        <v>UBQLN1</v>
      </c>
      <c r="B1753" s="6">
        <v>1.09890109890109E-2</v>
      </c>
      <c r="C1753" s="6">
        <v>0.11008764940239001</v>
      </c>
    </row>
    <row r="1754" spans="1:3" s="8" customFormat="1" x14ac:dyDescent="0.2">
      <c r="A1754" s="6" t="str">
        <f>"MFSD4A"</f>
        <v>MFSD4A</v>
      </c>
      <c r="B1754" s="6">
        <v>1.09890109890109E-2</v>
      </c>
      <c r="C1754" s="6">
        <v>0.11008764940239001</v>
      </c>
    </row>
    <row r="1755" spans="1:3" s="8" customFormat="1" x14ac:dyDescent="0.2">
      <c r="A1755" s="6" t="str">
        <f>"CCT5"</f>
        <v>CCT5</v>
      </c>
      <c r="B1755" s="6">
        <v>1.09890109890109E-2</v>
      </c>
      <c r="C1755" s="6">
        <v>0.11008764940239001</v>
      </c>
    </row>
    <row r="1756" spans="1:3" s="8" customFormat="1" x14ac:dyDescent="0.2">
      <c r="A1756" s="6" t="str">
        <f>"CNN2"</f>
        <v>CNN2</v>
      </c>
      <c r="B1756" s="6">
        <v>1.09890109890109E-2</v>
      </c>
      <c r="C1756" s="6">
        <v>0.11008764940239001</v>
      </c>
    </row>
    <row r="1757" spans="1:3" s="8" customFormat="1" x14ac:dyDescent="0.2">
      <c r="A1757" s="6" t="str">
        <f>"PSMD2"</f>
        <v>PSMD2</v>
      </c>
      <c r="B1757" s="6">
        <v>1.09890109890109E-2</v>
      </c>
      <c r="C1757" s="6">
        <v>0.11008764940239001</v>
      </c>
    </row>
    <row r="1758" spans="1:3" s="8" customFormat="1" x14ac:dyDescent="0.2">
      <c r="A1758" s="6" t="str">
        <f>"MT-ND1"</f>
        <v>MT-ND1</v>
      </c>
      <c r="B1758" s="6">
        <v>1.09890109890109E-2</v>
      </c>
      <c r="C1758" s="6">
        <v>0.11008764940239001</v>
      </c>
    </row>
    <row r="1759" spans="1:3" s="8" customFormat="1" x14ac:dyDescent="0.2">
      <c r="A1759" s="6" t="str">
        <f>"AL049777.1"</f>
        <v>AL049777.1</v>
      </c>
      <c r="B1759" s="6">
        <v>1.1011011011011001E-2</v>
      </c>
      <c r="C1759" s="6">
        <v>0.110135163605015</v>
      </c>
    </row>
    <row r="1760" spans="1:3" s="8" customFormat="1" x14ac:dyDescent="0.2">
      <c r="A1760" s="6" t="str">
        <f>"RCN1P2"</f>
        <v>RCN1P2</v>
      </c>
      <c r="B1760" s="6">
        <v>1.10330992978936E-2</v>
      </c>
      <c r="C1760" s="6">
        <v>0.11029335875734</v>
      </c>
    </row>
    <row r="1761" spans="1:3" s="8" customFormat="1" x14ac:dyDescent="0.2">
      <c r="A1761" s="6" t="str">
        <f>"TCF4-AS1"</f>
        <v>TCF4-AS1</v>
      </c>
      <c r="B1761" s="6">
        <v>1.19880119880119E-2</v>
      </c>
      <c r="C1761" s="6">
        <v>0.11356727664155</v>
      </c>
    </row>
    <row r="1762" spans="1:3" s="8" customFormat="1" x14ac:dyDescent="0.2">
      <c r="A1762" s="6" t="str">
        <f>"POU4F3"</f>
        <v>POU4F3</v>
      </c>
      <c r="B1762" s="6">
        <v>1.19880119880119E-2</v>
      </c>
      <c r="C1762" s="6">
        <v>0.11356727664155</v>
      </c>
    </row>
    <row r="1763" spans="1:3" s="8" customFormat="1" x14ac:dyDescent="0.2">
      <c r="A1763" s="6" t="str">
        <f>"AC005077.2"</f>
        <v>AC005077.2</v>
      </c>
      <c r="B1763" s="6">
        <v>1.19880119880119E-2</v>
      </c>
      <c r="C1763" s="6">
        <v>0.11356727664155</v>
      </c>
    </row>
    <row r="1764" spans="1:3" s="8" customFormat="1" x14ac:dyDescent="0.2">
      <c r="A1764" s="6" t="str">
        <f>"ITGB1-DT"</f>
        <v>ITGB1-DT</v>
      </c>
      <c r="B1764" s="6">
        <v>1.2E-2</v>
      </c>
      <c r="C1764" s="6">
        <v>0.11356727664155</v>
      </c>
    </row>
    <row r="1765" spans="1:3" s="8" customFormat="1" x14ac:dyDescent="0.2">
      <c r="A1765" s="6" t="str">
        <f>"SLC6A11"</f>
        <v>SLC6A11</v>
      </c>
      <c r="B1765" s="6">
        <v>1.19880119880119E-2</v>
      </c>
      <c r="C1765" s="6">
        <v>0.11356727664155</v>
      </c>
    </row>
    <row r="1766" spans="1:3" s="8" customFormat="1" x14ac:dyDescent="0.2">
      <c r="A1766" s="6" t="str">
        <f>"AC024592.2"</f>
        <v>AC024592.2</v>
      </c>
      <c r="B1766" s="6">
        <v>1.19880119880119E-2</v>
      </c>
      <c r="C1766" s="6">
        <v>0.11356727664155</v>
      </c>
    </row>
    <row r="1767" spans="1:3" s="8" customFormat="1" x14ac:dyDescent="0.2">
      <c r="A1767" s="6" t="str">
        <f>"GPBAR1"</f>
        <v>GPBAR1</v>
      </c>
      <c r="B1767" s="6">
        <v>1.19880119880119E-2</v>
      </c>
      <c r="C1767" s="6">
        <v>0.11356727664155</v>
      </c>
    </row>
    <row r="1768" spans="1:3" s="8" customFormat="1" x14ac:dyDescent="0.2">
      <c r="A1768" s="6" t="str">
        <f>"H1-4"</f>
        <v>H1-4</v>
      </c>
      <c r="B1768" s="6">
        <v>1.19880119880119E-2</v>
      </c>
      <c r="C1768" s="6">
        <v>0.11356727664155</v>
      </c>
    </row>
    <row r="1769" spans="1:3" s="8" customFormat="1" x14ac:dyDescent="0.2">
      <c r="A1769" s="6" t="str">
        <f>"Z98886.1"</f>
        <v>Z98886.1</v>
      </c>
      <c r="B1769" s="6">
        <v>1.2E-2</v>
      </c>
      <c r="C1769" s="6">
        <v>0.11356727664155</v>
      </c>
    </row>
    <row r="1770" spans="1:3" s="8" customFormat="1" x14ac:dyDescent="0.2">
      <c r="A1770" s="6" t="str">
        <f>"AC090152.1"</f>
        <v>AC090152.1</v>
      </c>
      <c r="B1770" s="6">
        <v>1.19880119880119E-2</v>
      </c>
      <c r="C1770" s="6">
        <v>0.11356727664155</v>
      </c>
    </row>
    <row r="1771" spans="1:3" s="8" customFormat="1" x14ac:dyDescent="0.2">
      <c r="A1771" s="6" t="str">
        <f>"AL391903.1"</f>
        <v>AL391903.1</v>
      </c>
      <c r="B1771" s="6">
        <v>1.19880119880119E-2</v>
      </c>
      <c r="C1771" s="6">
        <v>0.11356727664155</v>
      </c>
    </row>
    <row r="1772" spans="1:3" s="8" customFormat="1" x14ac:dyDescent="0.2">
      <c r="A1772" s="6" t="str">
        <f>"AP003733.3"</f>
        <v>AP003733.3</v>
      </c>
      <c r="B1772" s="6">
        <v>1.19880119880119E-2</v>
      </c>
      <c r="C1772" s="6">
        <v>0.11356727664155</v>
      </c>
    </row>
    <row r="1773" spans="1:3" s="8" customFormat="1" x14ac:dyDescent="0.2">
      <c r="A1773" s="6" t="str">
        <f>"ILDR2"</f>
        <v>ILDR2</v>
      </c>
      <c r="B1773" s="6">
        <v>1.2E-2</v>
      </c>
      <c r="C1773" s="6">
        <v>0.11356727664155</v>
      </c>
    </row>
    <row r="1774" spans="1:3" s="8" customFormat="1" x14ac:dyDescent="0.2">
      <c r="A1774" s="6" t="str">
        <f>"AC008894.3"</f>
        <v>AC008894.3</v>
      </c>
      <c r="B1774" s="6">
        <v>1.19880119880119E-2</v>
      </c>
      <c r="C1774" s="6">
        <v>0.11356727664155</v>
      </c>
    </row>
    <row r="1775" spans="1:3" s="8" customFormat="1" x14ac:dyDescent="0.2">
      <c r="A1775" s="6" t="str">
        <f>"CTRL"</f>
        <v>CTRL</v>
      </c>
      <c r="B1775" s="6">
        <v>1.19880119880119E-2</v>
      </c>
      <c r="C1775" s="6">
        <v>0.11356727664155</v>
      </c>
    </row>
    <row r="1776" spans="1:3" s="8" customFormat="1" x14ac:dyDescent="0.2">
      <c r="A1776" s="6" t="str">
        <f>"SLFN14"</f>
        <v>SLFN14</v>
      </c>
      <c r="B1776" s="6">
        <v>1.19880119880119E-2</v>
      </c>
      <c r="C1776" s="6">
        <v>0.11356727664155</v>
      </c>
    </row>
    <row r="1777" spans="1:3" s="8" customFormat="1" x14ac:dyDescent="0.2">
      <c r="A1777" s="6" t="str">
        <f>"SPC25"</f>
        <v>SPC25</v>
      </c>
      <c r="B1777" s="6">
        <v>1.19880119880119E-2</v>
      </c>
      <c r="C1777" s="6">
        <v>0.11356727664155</v>
      </c>
    </row>
    <row r="1778" spans="1:3" s="8" customFormat="1" x14ac:dyDescent="0.2">
      <c r="A1778" s="6" t="str">
        <f>"AC239799.2"</f>
        <v>AC239799.2</v>
      </c>
      <c r="B1778" s="6">
        <v>1.1853448275862001E-2</v>
      </c>
      <c r="C1778" s="6">
        <v>0.11356727664155</v>
      </c>
    </row>
    <row r="1779" spans="1:3" s="8" customFormat="1" x14ac:dyDescent="0.2">
      <c r="A1779" s="6" t="str">
        <f>"ERVH-1"</f>
        <v>ERVH-1</v>
      </c>
      <c r="B1779" s="6">
        <v>1.19880119880119E-2</v>
      </c>
      <c r="C1779" s="6">
        <v>0.11356727664155</v>
      </c>
    </row>
    <row r="1780" spans="1:3" s="8" customFormat="1" x14ac:dyDescent="0.2">
      <c r="A1780" s="6" t="str">
        <f>"AC069224.1"</f>
        <v>AC069224.1</v>
      </c>
      <c r="B1780" s="6">
        <v>1.2E-2</v>
      </c>
      <c r="C1780" s="6">
        <v>0.11356727664155</v>
      </c>
    </row>
    <row r="1781" spans="1:3" s="8" customFormat="1" x14ac:dyDescent="0.2">
      <c r="A1781" s="6" t="str">
        <f>"PCDHGA11"</f>
        <v>PCDHGA11</v>
      </c>
      <c r="B1781" s="6">
        <v>1.19880119880119E-2</v>
      </c>
      <c r="C1781" s="6">
        <v>0.11356727664155</v>
      </c>
    </row>
    <row r="1782" spans="1:3" s="8" customFormat="1" x14ac:dyDescent="0.2">
      <c r="A1782" s="6" t="str">
        <f>"MT1M"</f>
        <v>MT1M</v>
      </c>
      <c r="B1782" s="6">
        <v>1.19880119880119E-2</v>
      </c>
      <c r="C1782" s="6">
        <v>0.11356727664155</v>
      </c>
    </row>
    <row r="1783" spans="1:3" s="8" customFormat="1" x14ac:dyDescent="0.2">
      <c r="A1783" s="6" t="str">
        <f>"MUC3A"</f>
        <v>MUC3A</v>
      </c>
      <c r="B1783" s="6">
        <v>1.19880119880119E-2</v>
      </c>
      <c r="C1783" s="6">
        <v>0.11356727664155</v>
      </c>
    </row>
    <row r="1784" spans="1:3" s="8" customFormat="1" x14ac:dyDescent="0.2">
      <c r="A1784" s="6" t="str">
        <f>"CD200R1L"</f>
        <v>CD200R1L</v>
      </c>
      <c r="B1784" s="6">
        <v>1.19880119880119E-2</v>
      </c>
      <c r="C1784" s="6">
        <v>0.11356727664155</v>
      </c>
    </row>
    <row r="1785" spans="1:3" s="8" customFormat="1" x14ac:dyDescent="0.2">
      <c r="A1785" s="6" t="str">
        <f>"HCST"</f>
        <v>HCST</v>
      </c>
      <c r="B1785" s="6">
        <v>1.19880119880119E-2</v>
      </c>
      <c r="C1785" s="6">
        <v>0.11356727664155</v>
      </c>
    </row>
    <row r="1786" spans="1:3" s="8" customFormat="1" x14ac:dyDescent="0.2">
      <c r="A1786" s="6" t="str">
        <f>"CACNA1F"</f>
        <v>CACNA1F</v>
      </c>
      <c r="B1786" s="6">
        <v>1.19880119880119E-2</v>
      </c>
      <c r="C1786" s="6">
        <v>0.11356727664155</v>
      </c>
    </row>
    <row r="1787" spans="1:3" s="8" customFormat="1" x14ac:dyDescent="0.2">
      <c r="A1787" s="6" t="str">
        <f>"TLR10"</f>
        <v>TLR10</v>
      </c>
      <c r="B1787" s="6">
        <v>1.19880119880119E-2</v>
      </c>
      <c r="C1787" s="6">
        <v>0.11356727664155</v>
      </c>
    </row>
    <row r="1788" spans="1:3" s="8" customFormat="1" x14ac:dyDescent="0.2">
      <c r="A1788" s="6" t="str">
        <f>"AC134669.1"</f>
        <v>AC134669.1</v>
      </c>
      <c r="B1788" s="6">
        <v>1.19880119880119E-2</v>
      </c>
      <c r="C1788" s="6">
        <v>0.11356727664155</v>
      </c>
    </row>
    <row r="1789" spans="1:3" s="8" customFormat="1" x14ac:dyDescent="0.2">
      <c r="A1789" s="6" t="str">
        <f>"LINC00461"</f>
        <v>LINC00461</v>
      </c>
      <c r="B1789" s="6">
        <v>1.19880119880119E-2</v>
      </c>
      <c r="C1789" s="6">
        <v>0.11356727664155</v>
      </c>
    </row>
    <row r="1790" spans="1:3" s="8" customFormat="1" x14ac:dyDescent="0.2">
      <c r="A1790" s="6" t="str">
        <f>"BEND5"</f>
        <v>BEND5</v>
      </c>
      <c r="B1790" s="6">
        <v>1.19880119880119E-2</v>
      </c>
      <c r="C1790" s="6">
        <v>0.11356727664155</v>
      </c>
    </row>
    <row r="1791" spans="1:3" s="8" customFormat="1" x14ac:dyDescent="0.2">
      <c r="A1791" s="6" t="str">
        <f>"EPOR"</f>
        <v>EPOR</v>
      </c>
      <c r="B1791" s="6">
        <v>1.19880119880119E-2</v>
      </c>
      <c r="C1791" s="6">
        <v>0.11356727664155</v>
      </c>
    </row>
    <row r="1792" spans="1:3" s="8" customFormat="1" x14ac:dyDescent="0.2">
      <c r="A1792" s="6" t="str">
        <f>"AC090398.2"</f>
        <v>AC090398.2</v>
      </c>
      <c r="B1792" s="6">
        <v>1.19880119880119E-2</v>
      </c>
      <c r="C1792" s="6">
        <v>0.11356727664155</v>
      </c>
    </row>
    <row r="1793" spans="1:3" s="8" customFormat="1" x14ac:dyDescent="0.2">
      <c r="A1793" s="6" t="str">
        <f>"SLC51B"</f>
        <v>SLC51B</v>
      </c>
      <c r="B1793" s="6">
        <v>1.19880119880119E-2</v>
      </c>
      <c r="C1793" s="6">
        <v>0.11356727664155</v>
      </c>
    </row>
    <row r="1794" spans="1:3" s="8" customFormat="1" x14ac:dyDescent="0.2">
      <c r="A1794" s="6" t="str">
        <f>"AC097359.2"</f>
        <v>AC097359.2</v>
      </c>
      <c r="B1794" s="6">
        <v>1.19880119880119E-2</v>
      </c>
      <c r="C1794" s="6">
        <v>0.11356727664155</v>
      </c>
    </row>
    <row r="1795" spans="1:3" s="8" customFormat="1" x14ac:dyDescent="0.2">
      <c r="A1795" s="6" t="str">
        <f>"AP002748.4"</f>
        <v>AP002748.4</v>
      </c>
      <c r="B1795" s="6">
        <v>1.19880119880119E-2</v>
      </c>
      <c r="C1795" s="6">
        <v>0.11356727664155</v>
      </c>
    </row>
    <row r="1796" spans="1:3" s="8" customFormat="1" x14ac:dyDescent="0.2">
      <c r="A1796" s="6" t="str">
        <f>"PRSS3"</f>
        <v>PRSS3</v>
      </c>
      <c r="B1796" s="6">
        <v>1.19880119880119E-2</v>
      </c>
      <c r="C1796" s="6">
        <v>0.11356727664155</v>
      </c>
    </row>
    <row r="1797" spans="1:3" s="8" customFormat="1" x14ac:dyDescent="0.2">
      <c r="A1797" s="6" t="str">
        <f>"PDPN"</f>
        <v>PDPN</v>
      </c>
      <c r="B1797" s="6">
        <v>1.19880119880119E-2</v>
      </c>
      <c r="C1797" s="6">
        <v>0.11356727664155</v>
      </c>
    </row>
    <row r="1798" spans="1:3" s="8" customFormat="1" x14ac:dyDescent="0.2">
      <c r="A1798" s="6" t="str">
        <f>"AL049840.5"</f>
        <v>AL049840.5</v>
      </c>
      <c r="B1798" s="6">
        <v>1.19880119880119E-2</v>
      </c>
      <c r="C1798" s="6">
        <v>0.11356727664155</v>
      </c>
    </row>
    <row r="1799" spans="1:3" s="8" customFormat="1" x14ac:dyDescent="0.2">
      <c r="A1799" s="6" t="str">
        <f>"DIO1"</f>
        <v>DIO1</v>
      </c>
      <c r="B1799" s="6">
        <v>1.19880119880119E-2</v>
      </c>
      <c r="C1799" s="6">
        <v>0.11356727664155</v>
      </c>
    </row>
    <row r="1800" spans="1:3" s="8" customFormat="1" x14ac:dyDescent="0.2">
      <c r="A1800" s="6" t="str">
        <f>"FCHO1"</f>
        <v>FCHO1</v>
      </c>
      <c r="B1800" s="6">
        <v>1.19880119880119E-2</v>
      </c>
      <c r="C1800" s="6">
        <v>0.11356727664155</v>
      </c>
    </row>
    <row r="1801" spans="1:3" s="8" customFormat="1" x14ac:dyDescent="0.2">
      <c r="A1801" s="6" t="str">
        <f>"ABLIM2"</f>
        <v>ABLIM2</v>
      </c>
      <c r="B1801" s="6">
        <v>1.19880119880119E-2</v>
      </c>
      <c r="C1801" s="6">
        <v>0.11356727664155</v>
      </c>
    </row>
    <row r="1802" spans="1:3" s="8" customFormat="1" x14ac:dyDescent="0.2">
      <c r="A1802" s="6" t="str">
        <f>"LINC01504"</f>
        <v>LINC01504</v>
      </c>
      <c r="B1802" s="6">
        <v>1.19880119880119E-2</v>
      </c>
      <c r="C1802" s="6">
        <v>0.11356727664155</v>
      </c>
    </row>
    <row r="1803" spans="1:3" s="8" customFormat="1" x14ac:dyDescent="0.2">
      <c r="A1803" s="6" t="str">
        <f>"PCAT6"</f>
        <v>PCAT6</v>
      </c>
      <c r="B1803" s="6">
        <v>1.19880119880119E-2</v>
      </c>
      <c r="C1803" s="6">
        <v>0.11356727664155</v>
      </c>
    </row>
    <row r="1804" spans="1:3" s="8" customFormat="1" x14ac:dyDescent="0.2">
      <c r="A1804" s="6" t="str">
        <f>"PSTPIP1"</f>
        <v>PSTPIP1</v>
      </c>
      <c r="B1804" s="6">
        <v>1.19880119880119E-2</v>
      </c>
      <c r="C1804" s="6">
        <v>0.11356727664155</v>
      </c>
    </row>
    <row r="1805" spans="1:3" s="8" customFormat="1" x14ac:dyDescent="0.2">
      <c r="A1805" s="6" t="str">
        <f>"AC092299.1"</f>
        <v>AC092299.1</v>
      </c>
      <c r="B1805" s="6">
        <v>1.19880119880119E-2</v>
      </c>
      <c r="C1805" s="6">
        <v>0.11356727664155</v>
      </c>
    </row>
    <row r="1806" spans="1:3" s="8" customFormat="1" x14ac:dyDescent="0.2">
      <c r="A1806" s="6" t="str">
        <f>"AL356737.1"</f>
        <v>AL356737.1</v>
      </c>
      <c r="B1806" s="6">
        <v>1.19880119880119E-2</v>
      </c>
      <c r="C1806" s="6">
        <v>0.11356727664155</v>
      </c>
    </row>
    <row r="1807" spans="1:3" s="8" customFormat="1" x14ac:dyDescent="0.2">
      <c r="A1807" s="6" t="str">
        <f>"C1orf74"</f>
        <v>C1orf74</v>
      </c>
      <c r="B1807" s="6">
        <v>1.19880119880119E-2</v>
      </c>
      <c r="C1807" s="6">
        <v>0.11356727664155</v>
      </c>
    </row>
    <row r="1808" spans="1:3" s="8" customFormat="1" x14ac:dyDescent="0.2">
      <c r="A1808" s="6" t="str">
        <f>"RGMA"</f>
        <v>RGMA</v>
      </c>
      <c r="B1808" s="6">
        <v>1.19880119880119E-2</v>
      </c>
      <c r="C1808" s="6">
        <v>0.11356727664155</v>
      </c>
    </row>
    <row r="1809" spans="1:3" s="8" customFormat="1" x14ac:dyDescent="0.2">
      <c r="A1809" s="6" t="str">
        <f>"SLC39A4"</f>
        <v>SLC39A4</v>
      </c>
      <c r="B1809" s="6">
        <v>1.19880119880119E-2</v>
      </c>
      <c r="C1809" s="6">
        <v>0.11356727664155</v>
      </c>
    </row>
    <row r="1810" spans="1:3" s="8" customFormat="1" x14ac:dyDescent="0.2">
      <c r="A1810" s="6" t="str">
        <f>"AC079804.3"</f>
        <v>AC079804.3</v>
      </c>
      <c r="B1810" s="6">
        <v>1.19880119880119E-2</v>
      </c>
      <c r="C1810" s="6">
        <v>0.11356727664155</v>
      </c>
    </row>
    <row r="1811" spans="1:3" s="8" customFormat="1" x14ac:dyDescent="0.2">
      <c r="A1811" s="6" t="str">
        <f>"ZNF484"</f>
        <v>ZNF484</v>
      </c>
      <c r="B1811" s="6">
        <v>1.19880119880119E-2</v>
      </c>
      <c r="C1811" s="6">
        <v>0.11356727664155</v>
      </c>
    </row>
    <row r="1812" spans="1:3" s="8" customFormat="1" x14ac:dyDescent="0.2">
      <c r="A1812" s="6" t="str">
        <f>"RAD18"</f>
        <v>RAD18</v>
      </c>
      <c r="B1812" s="6">
        <v>1.19880119880119E-2</v>
      </c>
      <c r="C1812" s="6">
        <v>0.11356727664155</v>
      </c>
    </row>
    <row r="1813" spans="1:3" s="8" customFormat="1" x14ac:dyDescent="0.2">
      <c r="A1813" s="6" t="str">
        <f>"SLC9A4"</f>
        <v>SLC9A4</v>
      </c>
      <c r="B1813" s="6">
        <v>1.19880119880119E-2</v>
      </c>
      <c r="C1813" s="6">
        <v>0.11356727664155</v>
      </c>
    </row>
    <row r="1814" spans="1:3" s="8" customFormat="1" x14ac:dyDescent="0.2">
      <c r="A1814" s="6" t="str">
        <f>"GUSBP11"</f>
        <v>GUSBP11</v>
      </c>
      <c r="B1814" s="6">
        <v>1.19880119880119E-2</v>
      </c>
      <c r="C1814" s="6">
        <v>0.11356727664155</v>
      </c>
    </row>
    <row r="1815" spans="1:3" s="8" customFormat="1" x14ac:dyDescent="0.2">
      <c r="A1815" s="6" t="str">
        <f>"RNF213-AS1"</f>
        <v>RNF213-AS1</v>
      </c>
      <c r="B1815" s="6">
        <v>1.19880119880119E-2</v>
      </c>
      <c r="C1815" s="6">
        <v>0.11356727664155</v>
      </c>
    </row>
    <row r="1816" spans="1:3" s="8" customFormat="1" x14ac:dyDescent="0.2">
      <c r="A1816" s="6" t="str">
        <f>"CYSRT1"</f>
        <v>CYSRT1</v>
      </c>
      <c r="B1816" s="6">
        <v>1.19880119880119E-2</v>
      </c>
      <c r="C1816" s="6">
        <v>0.11356727664155</v>
      </c>
    </row>
    <row r="1817" spans="1:3" s="8" customFormat="1" x14ac:dyDescent="0.2">
      <c r="A1817" s="6" t="str">
        <f>"NUDCD1"</f>
        <v>NUDCD1</v>
      </c>
      <c r="B1817" s="6">
        <v>1.19880119880119E-2</v>
      </c>
      <c r="C1817" s="6">
        <v>0.11356727664155</v>
      </c>
    </row>
    <row r="1818" spans="1:3" s="8" customFormat="1" x14ac:dyDescent="0.2">
      <c r="A1818" s="6" t="str">
        <f>"PAQR3"</f>
        <v>PAQR3</v>
      </c>
      <c r="B1818" s="6">
        <v>1.19880119880119E-2</v>
      </c>
      <c r="C1818" s="6">
        <v>0.11356727664155</v>
      </c>
    </row>
    <row r="1819" spans="1:3" s="8" customFormat="1" x14ac:dyDescent="0.2">
      <c r="A1819" s="6" t="str">
        <f>"DTWD1"</f>
        <v>DTWD1</v>
      </c>
      <c r="B1819" s="6">
        <v>1.19880119880119E-2</v>
      </c>
      <c r="C1819" s="6">
        <v>0.11356727664155</v>
      </c>
    </row>
    <row r="1820" spans="1:3" s="8" customFormat="1" x14ac:dyDescent="0.2">
      <c r="A1820" s="6" t="str">
        <f>"CFP"</f>
        <v>CFP</v>
      </c>
      <c r="B1820" s="6">
        <v>1.19880119880119E-2</v>
      </c>
      <c r="C1820" s="6">
        <v>0.11356727664155</v>
      </c>
    </row>
    <row r="1821" spans="1:3" s="8" customFormat="1" x14ac:dyDescent="0.2">
      <c r="A1821" s="6" t="str">
        <f>"DPH5"</f>
        <v>DPH5</v>
      </c>
      <c r="B1821" s="6">
        <v>1.19880119880119E-2</v>
      </c>
      <c r="C1821" s="6">
        <v>0.11356727664155</v>
      </c>
    </row>
    <row r="1822" spans="1:3" s="8" customFormat="1" x14ac:dyDescent="0.2">
      <c r="A1822" s="6" t="str">
        <f>"NCAPG2"</f>
        <v>NCAPG2</v>
      </c>
      <c r="B1822" s="6">
        <v>1.19880119880119E-2</v>
      </c>
      <c r="C1822" s="6">
        <v>0.11356727664155</v>
      </c>
    </row>
    <row r="1823" spans="1:3" s="8" customFormat="1" x14ac:dyDescent="0.2">
      <c r="A1823" s="6" t="str">
        <f>"ANKRD44"</f>
        <v>ANKRD44</v>
      </c>
      <c r="B1823" s="6">
        <v>1.19880119880119E-2</v>
      </c>
      <c r="C1823" s="6">
        <v>0.11356727664155</v>
      </c>
    </row>
    <row r="1824" spans="1:3" s="8" customFormat="1" x14ac:dyDescent="0.2">
      <c r="A1824" s="6" t="str">
        <f>"UBE2E2"</f>
        <v>UBE2E2</v>
      </c>
      <c r="B1824" s="6">
        <v>1.19880119880119E-2</v>
      </c>
      <c r="C1824" s="6">
        <v>0.11356727664155</v>
      </c>
    </row>
    <row r="1825" spans="1:3" s="8" customFormat="1" x14ac:dyDescent="0.2">
      <c r="A1825" s="6" t="str">
        <f>"PCBP1-AS1"</f>
        <v>PCBP1-AS1</v>
      </c>
      <c r="B1825" s="6">
        <v>1.19880119880119E-2</v>
      </c>
      <c r="C1825" s="6">
        <v>0.11356727664155</v>
      </c>
    </row>
    <row r="1826" spans="1:3" s="8" customFormat="1" x14ac:dyDescent="0.2">
      <c r="A1826" s="6" t="str">
        <f>"VPS50"</f>
        <v>VPS50</v>
      </c>
      <c r="B1826" s="6">
        <v>1.19880119880119E-2</v>
      </c>
      <c r="C1826" s="6">
        <v>0.11356727664155</v>
      </c>
    </row>
    <row r="1827" spans="1:3" s="8" customFormat="1" x14ac:dyDescent="0.2">
      <c r="A1827" s="6" t="str">
        <f>"TCF7"</f>
        <v>TCF7</v>
      </c>
      <c r="B1827" s="6">
        <v>1.19880119880119E-2</v>
      </c>
      <c r="C1827" s="6">
        <v>0.11356727664155</v>
      </c>
    </row>
    <row r="1828" spans="1:3" s="8" customFormat="1" x14ac:dyDescent="0.2">
      <c r="A1828" s="6" t="str">
        <f>"DCP1A"</f>
        <v>DCP1A</v>
      </c>
      <c r="B1828" s="6">
        <v>1.19880119880119E-2</v>
      </c>
      <c r="C1828" s="6">
        <v>0.11356727664155</v>
      </c>
    </row>
    <row r="1829" spans="1:3" s="8" customFormat="1" x14ac:dyDescent="0.2">
      <c r="A1829" s="6" t="str">
        <f>"PDE7A"</f>
        <v>PDE7A</v>
      </c>
      <c r="B1829" s="6">
        <v>1.19880119880119E-2</v>
      </c>
      <c r="C1829" s="6">
        <v>0.11356727664155</v>
      </c>
    </row>
    <row r="1830" spans="1:3" s="8" customFormat="1" x14ac:dyDescent="0.2">
      <c r="A1830" s="6" t="str">
        <f>"RNF38"</f>
        <v>RNF38</v>
      </c>
      <c r="B1830" s="6">
        <v>1.19880119880119E-2</v>
      </c>
      <c r="C1830" s="6">
        <v>0.11356727664155</v>
      </c>
    </row>
    <row r="1831" spans="1:3" s="8" customFormat="1" x14ac:dyDescent="0.2">
      <c r="A1831" s="6" t="str">
        <f>"TWSG1"</f>
        <v>TWSG1</v>
      </c>
      <c r="B1831" s="6">
        <v>1.19880119880119E-2</v>
      </c>
      <c r="C1831" s="6">
        <v>0.11356727664155</v>
      </c>
    </row>
    <row r="1832" spans="1:3" s="8" customFormat="1" x14ac:dyDescent="0.2">
      <c r="A1832" s="6" t="str">
        <f>"C1QB"</f>
        <v>C1QB</v>
      </c>
      <c r="B1832" s="6">
        <v>1.19880119880119E-2</v>
      </c>
      <c r="C1832" s="6">
        <v>0.11356727664155</v>
      </c>
    </row>
    <row r="1833" spans="1:3" s="8" customFormat="1" x14ac:dyDescent="0.2">
      <c r="A1833" s="6" t="str">
        <f>"BDH2"</f>
        <v>BDH2</v>
      </c>
      <c r="B1833" s="6">
        <v>1.19880119880119E-2</v>
      </c>
      <c r="C1833" s="6">
        <v>0.11356727664155</v>
      </c>
    </row>
    <row r="1834" spans="1:3" s="8" customFormat="1" x14ac:dyDescent="0.2">
      <c r="A1834" s="6" t="str">
        <f>"LBR"</f>
        <v>LBR</v>
      </c>
      <c r="B1834" s="6">
        <v>1.19880119880119E-2</v>
      </c>
      <c r="C1834" s="6">
        <v>0.11356727664155</v>
      </c>
    </row>
    <row r="1835" spans="1:3" s="8" customFormat="1" x14ac:dyDescent="0.2">
      <c r="A1835" s="6" t="str">
        <f>"SNHG8"</f>
        <v>SNHG8</v>
      </c>
      <c r="B1835" s="6">
        <v>1.19880119880119E-2</v>
      </c>
      <c r="C1835" s="6">
        <v>0.11356727664155</v>
      </c>
    </row>
    <row r="1836" spans="1:3" s="8" customFormat="1" x14ac:dyDescent="0.2">
      <c r="A1836" s="6" t="str">
        <f>"WDR5"</f>
        <v>WDR5</v>
      </c>
      <c r="B1836" s="6">
        <v>1.19880119880119E-2</v>
      </c>
      <c r="C1836" s="6">
        <v>0.11356727664155</v>
      </c>
    </row>
    <row r="1837" spans="1:3" s="8" customFormat="1" x14ac:dyDescent="0.2">
      <c r="A1837" s="6" t="str">
        <f>"NFE2L3"</f>
        <v>NFE2L3</v>
      </c>
      <c r="B1837" s="6">
        <v>1.19880119880119E-2</v>
      </c>
      <c r="C1837" s="6">
        <v>0.11356727664155</v>
      </c>
    </row>
    <row r="1838" spans="1:3" s="8" customFormat="1" x14ac:dyDescent="0.2">
      <c r="A1838" s="6" t="str">
        <f>"SMC4"</f>
        <v>SMC4</v>
      </c>
      <c r="B1838" s="6">
        <v>1.19880119880119E-2</v>
      </c>
      <c r="C1838" s="6">
        <v>0.11356727664155</v>
      </c>
    </row>
    <row r="1839" spans="1:3" s="8" customFormat="1" x14ac:dyDescent="0.2">
      <c r="A1839" s="6" t="str">
        <f>"GGPS1"</f>
        <v>GGPS1</v>
      </c>
      <c r="B1839" s="6">
        <v>1.19880119880119E-2</v>
      </c>
      <c r="C1839" s="6">
        <v>0.11356727664155</v>
      </c>
    </row>
    <row r="1840" spans="1:3" s="8" customFormat="1" x14ac:dyDescent="0.2">
      <c r="A1840" s="6" t="str">
        <f>"LBH"</f>
        <v>LBH</v>
      </c>
      <c r="B1840" s="6">
        <v>1.19880119880119E-2</v>
      </c>
      <c r="C1840" s="6">
        <v>0.11356727664155</v>
      </c>
    </row>
    <row r="1841" spans="1:3" s="8" customFormat="1" x14ac:dyDescent="0.2">
      <c r="A1841" s="6" t="str">
        <f>"DCTN4"</f>
        <v>DCTN4</v>
      </c>
      <c r="B1841" s="6">
        <v>1.19880119880119E-2</v>
      </c>
      <c r="C1841" s="6">
        <v>0.11356727664155</v>
      </c>
    </row>
    <row r="1842" spans="1:3" s="8" customFormat="1" x14ac:dyDescent="0.2">
      <c r="A1842" s="6" t="str">
        <f>"HPGD"</f>
        <v>HPGD</v>
      </c>
      <c r="B1842" s="6">
        <v>1.19880119880119E-2</v>
      </c>
      <c r="C1842" s="6">
        <v>0.11356727664155</v>
      </c>
    </row>
    <row r="1843" spans="1:3" s="8" customFormat="1" x14ac:dyDescent="0.2">
      <c r="A1843" s="6" t="str">
        <f>"CHD1"</f>
        <v>CHD1</v>
      </c>
      <c r="B1843" s="6">
        <v>1.19880119880119E-2</v>
      </c>
      <c r="C1843" s="6">
        <v>0.11356727664155</v>
      </c>
    </row>
    <row r="1844" spans="1:3" s="8" customFormat="1" x14ac:dyDescent="0.2">
      <c r="A1844" s="6" t="str">
        <f>"AMZ2"</f>
        <v>AMZ2</v>
      </c>
      <c r="B1844" s="6">
        <v>1.19880119880119E-2</v>
      </c>
      <c r="C1844" s="6">
        <v>0.11356727664155</v>
      </c>
    </row>
    <row r="1845" spans="1:3" s="8" customFormat="1" x14ac:dyDescent="0.2">
      <c r="A1845" s="6" t="str">
        <f>"FTO"</f>
        <v>FTO</v>
      </c>
      <c r="B1845" s="6">
        <v>1.19880119880119E-2</v>
      </c>
      <c r="C1845" s="6">
        <v>0.11356727664155</v>
      </c>
    </row>
    <row r="1846" spans="1:3" s="8" customFormat="1" x14ac:dyDescent="0.2">
      <c r="A1846" s="6" t="str">
        <f>"LSM4"</f>
        <v>LSM4</v>
      </c>
      <c r="B1846" s="6">
        <v>1.19880119880119E-2</v>
      </c>
      <c r="C1846" s="6">
        <v>0.11356727664155</v>
      </c>
    </row>
    <row r="1847" spans="1:3" s="8" customFormat="1" x14ac:dyDescent="0.2">
      <c r="A1847" s="6" t="str">
        <f>"TSG101"</f>
        <v>TSG101</v>
      </c>
      <c r="B1847" s="6">
        <v>1.19880119880119E-2</v>
      </c>
      <c r="C1847" s="6">
        <v>0.11356727664155</v>
      </c>
    </row>
    <row r="1848" spans="1:3" s="8" customFormat="1" x14ac:dyDescent="0.2">
      <c r="A1848" s="6" t="str">
        <f>"RHOV"</f>
        <v>RHOV</v>
      </c>
      <c r="B1848" s="6">
        <v>1.19880119880119E-2</v>
      </c>
      <c r="C1848" s="6">
        <v>0.11356727664155</v>
      </c>
    </row>
    <row r="1849" spans="1:3" s="8" customFormat="1" x14ac:dyDescent="0.2">
      <c r="A1849" s="6" t="str">
        <f>"BLOC1S6"</f>
        <v>BLOC1S6</v>
      </c>
      <c r="B1849" s="6">
        <v>1.19880119880119E-2</v>
      </c>
      <c r="C1849" s="6">
        <v>0.11356727664155</v>
      </c>
    </row>
    <row r="1850" spans="1:3" s="8" customFormat="1" x14ac:dyDescent="0.2">
      <c r="A1850" s="6" t="str">
        <f>"CDKN1A"</f>
        <v>CDKN1A</v>
      </c>
      <c r="B1850" s="6">
        <v>1.19880119880119E-2</v>
      </c>
      <c r="C1850" s="6">
        <v>0.11356727664155</v>
      </c>
    </row>
    <row r="1851" spans="1:3" s="8" customFormat="1" x14ac:dyDescent="0.2">
      <c r="A1851" s="6" t="str">
        <f>"KRT13"</f>
        <v>KRT13</v>
      </c>
      <c r="B1851" s="6">
        <v>1.19880119880119E-2</v>
      </c>
      <c r="C1851" s="6">
        <v>0.11356727664155</v>
      </c>
    </row>
    <row r="1852" spans="1:3" s="8" customFormat="1" x14ac:dyDescent="0.2">
      <c r="A1852" s="6" t="str">
        <f>"CHD2"</f>
        <v>CHD2</v>
      </c>
      <c r="B1852" s="6">
        <v>1.19880119880119E-2</v>
      </c>
      <c r="C1852" s="6">
        <v>0.11356727664155</v>
      </c>
    </row>
    <row r="1853" spans="1:3" s="8" customFormat="1" x14ac:dyDescent="0.2">
      <c r="A1853" s="6" t="str">
        <f>"ATP5IF1"</f>
        <v>ATP5IF1</v>
      </c>
      <c r="B1853" s="6">
        <v>1.19880119880119E-2</v>
      </c>
      <c r="C1853" s="6">
        <v>0.11356727664155</v>
      </c>
    </row>
    <row r="1854" spans="1:3" s="8" customFormat="1" x14ac:dyDescent="0.2">
      <c r="A1854" s="6" t="str">
        <f>"A4GALT"</f>
        <v>A4GALT</v>
      </c>
      <c r="B1854" s="6">
        <v>1.19880119880119E-2</v>
      </c>
      <c r="C1854" s="6">
        <v>0.11356727664155</v>
      </c>
    </row>
    <row r="1855" spans="1:3" s="8" customFormat="1" x14ac:dyDescent="0.2">
      <c r="A1855" s="6" t="str">
        <f>"TPM3"</f>
        <v>TPM3</v>
      </c>
      <c r="B1855" s="6">
        <v>1.19880119880119E-2</v>
      </c>
      <c r="C1855" s="6">
        <v>0.11356727664155</v>
      </c>
    </row>
    <row r="1856" spans="1:3" s="8" customFormat="1" x14ac:dyDescent="0.2">
      <c r="A1856" s="6" t="str">
        <f>"YWHAB"</f>
        <v>YWHAB</v>
      </c>
      <c r="B1856" s="6">
        <v>1.19880119880119E-2</v>
      </c>
      <c r="C1856" s="6">
        <v>0.11356727664155</v>
      </c>
    </row>
    <row r="1857" spans="1:3" s="8" customFormat="1" x14ac:dyDescent="0.2">
      <c r="A1857" s="6" t="str">
        <f>"EPHX1"</f>
        <v>EPHX1</v>
      </c>
      <c r="B1857" s="6">
        <v>1.19880119880119E-2</v>
      </c>
      <c r="C1857" s="6">
        <v>0.11356727664155</v>
      </c>
    </row>
    <row r="1858" spans="1:3" s="8" customFormat="1" x14ac:dyDescent="0.2">
      <c r="A1858" s="6" t="str">
        <f>"MUC20"</f>
        <v>MUC20</v>
      </c>
      <c r="B1858" s="6">
        <v>1.19880119880119E-2</v>
      </c>
      <c r="C1858" s="6">
        <v>0.11356727664155</v>
      </c>
    </row>
    <row r="1859" spans="1:3" s="8" customFormat="1" x14ac:dyDescent="0.2">
      <c r="A1859" s="6" t="str">
        <f>"ELF3"</f>
        <v>ELF3</v>
      </c>
      <c r="B1859" s="6">
        <v>1.19880119880119E-2</v>
      </c>
      <c r="C1859" s="6">
        <v>0.11356727664155</v>
      </c>
    </row>
    <row r="1860" spans="1:3" s="8" customFormat="1" x14ac:dyDescent="0.2">
      <c r="A1860" s="6" t="str">
        <f>"AL162376.1"</f>
        <v>AL162376.1</v>
      </c>
      <c r="B1860" s="6">
        <v>1.20240480961923E-2</v>
      </c>
      <c r="C1860" s="6">
        <v>0.11373365342842701</v>
      </c>
    </row>
    <row r="1861" spans="1:3" s="8" customFormat="1" x14ac:dyDescent="0.2">
      <c r="A1861" s="6" t="str">
        <f>"LINC01786"</f>
        <v>LINC01786</v>
      </c>
      <c r="B1861" s="6">
        <v>1.20320855614973E-2</v>
      </c>
      <c r="C1861" s="6">
        <v>0.11374849059858499</v>
      </c>
    </row>
    <row r="1862" spans="1:3" s="8" customFormat="1" x14ac:dyDescent="0.2">
      <c r="A1862" s="6" t="str">
        <f>"CACNA1C-AS1"</f>
        <v>CACNA1C-AS1</v>
      </c>
      <c r="B1862" s="6">
        <v>1.20481927710843E-2</v>
      </c>
      <c r="C1862" s="6">
        <v>0.113839560283045</v>
      </c>
    </row>
    <row r="1863" spans="1:3" s="8" customFormat="1" x14ac:dyDescent="0.2">
      <c r="A1863" s="6" t="str">
        <f>"AC104971.1"</f>
        <v>AC104971.1</v>
      </c>
      <c r="B1863" s="6">
        <v>1.2182741116751199E-2</v>
      </c>
      <c r="C1863" s="6">
        <v>0.11504904392962</v>
      </c>
    </row>
    <row r="1864" spans="1:3" s="8" customFormat="1" x14ac:dyDescent="0.2">
      <c r="A1864" s="6" t="str">
        <f>"CTBP2P10"</f>
        <v>CTBP2P10</v>
      </c>
      <c r="B1864" s="6">
        <v>1.2711864406779599E-2</v>
      </c>
      <c r="C1864" s="6">
        <v>0.116628571428571</v>
      </c>
    </row>
    <row r="1865" spans="1:3" s="8" customFormat="1" x14ac:dyDescent="0.2">
      <c r="A1865" s="6" t="str">
        <f>"LINC02471"</f>
        <v>LINC02471</v>
      </c>
      <c r="B1865" s="6">
        <v>1.2987012987012899E-2</v>
      </c>
      <c r="C1865" s="6">
        <v>0.116628571428571</v>
      </c>
    </row>
    <row r="1866" spans="1:3" s="8" customFormat="1" x14ac:dyDescent="0.2">
      <c r="A1866" s="6" t="str">
        <f>"OLFM3"</f>
        <v>OLFM3</v>
      </c>
      <c r="B1866" s="6">
        <v>1.2987012987012899E-2</v>
      </c>
      <c r="C1866" s="6">
        <v>0.116628571428571</v>
      </c>
    </row>
    <row r="1867" spans="1:3" s="8" customFormat="1" x14ac:dyDescent="0.2">
      <c r="A1867" s="6" t="str">
        <f>"AL109806.1"</f>
        <v>AL109806.1</v>
      </c>
      <c r="B1867" s="6">
        <v>1.2987012987012899E-2</v>
      </c>
      <c r="C1867" s="6">
        <v>0.116628571428571</v>
      </c>
    </row>
    <row r="1868" spans="1:3" s="8" customFormat="1" x14ac:dyDescent="0.2">
      <c r="A1868" s="6" t="str">
        <f>"FCER2"</f>
        <v>FCER2</v>
      </c>
      <c r="B1868" s="6">
        <v>1.2987012987012899E-2</v>
      </c>
      <c r="C1868" s="6">
        <v>0.116628571428571</v>
      </c>
    </row>
    <row r="1869" spans="1:3" s="8" customFormat="1" x14ac:dyDescent="0.2">
      <c r="A1869" s="6" t="str">
        <f>"MT-TM"</f>
        <v>MT-TM</v>
      </c>
      <c r="B1869" s="6">
        <v>1.2987012987012899E-2</v>
      </c>
      <c r="C1869" s="6">
        <v>0.116628571428571</v>
      </c>
    </row>
    <row r="1870" spans="1:3" s="8" customFormat="1" x14ac:dyDescent="0.2">
      <c r="A1870" s="6" t="str">
        <f>"PRSS54"</f>
        <v>PRSS54</v>
      </c>
      <c r="B1870" s="6">
        <v>1.2987012987012899E-2</v>
      </c>
      <c r="C1870" s="6">
        <v>0.116628571428571</v>
      </c>
    </row>
    <row r="1871" spans="1:3" s="8" customFormat="1" x14ac:dyDescent="0.2">
      <c r="A1871" s="6" t="str">
        <f>"OLA1P2"</f>
        <v>OLA1P2</v>
      </c>
      <c r="B1871" s="6">
        <v>1.2987012987012899E-2</v>
      </c>
      <c r="C1871" s="6">
        <v>0.116628571428571</v>
      </c>
    </row>
    <row r="1872" spans="1:3" s="8" customFormat="1" x14ac:dyDescent="0.2">
      <c r="A1872" s="6" t="str">
        <f>"AP001992.1"</f>
        <v>AP001992.1</v>
      </c>
      <c r="B1872" s="6">
        <v>1.2987012987012899E-2</v>
      </c>
      <c r="C1872" s="6">
        <v>0.116628571428571</v>
      </c>
    </row>
    <row r="1873" spans="1:3" s="8" customFormat="1" x14ac:dyDescent="0.2">
      <c r="A1873" s="6" t="str">
        <f>"HTN1"</f>
        <v>HTN1</v>
      </c>
      <c r="B1873" s="6">
        <v>1.2987012987012899E-2</v>
      </c>
      <c r="C1873" s="6">
        <v>0.116628571428571</v>
      </c>
    </row>
    <row r="1874" spans="1:3" s="8" customFormat="1" x14ac:dyDescent="0.2">
      <c r="A1874" s="6" t="str">
        <f>"AC010641.2"</f>
        <v>AC010641.2</v>
      </c>
      <c r="B1874" s="6">
        <v>1.27020785219399E-2</v>
      </c>
      <c r="C1874" s="6">
        <v>0.116628571428571</v>
      </c>
    </row>
    <row r="1875" spans="1:3" s="8" customFormat="1" x14ac:dyDescent="0.2">
      <c r="A1875" s="6" t="str">
        <f>"LINC02838"</f>
        <v>LINC02838</v>
      </c>
      <c r="B1875" s="6">
        <v>1.2987012987012899E-2</v>
      </c>
      <c r="C1875" s="6">
        <v>0.116628571428571</v>
      </c>
    </row>
    <row r="1876" spans="1:3" s="8" customFormat="1" x14ac:dyDescent="0.2">
      <c r="A1876" s="6" t="str">
        <f>"FAM3D-AS1"</f>
        <v>FAM3D-AS1</v>
      </c>
      <c r="B1876" s="6">
        <v>1.2987012987012899E-2</v>
      </c>
      <c r="C1876" s="6">
        <v>0.116628571428571</v>
      </c>
    </row>
    <row r="1877" spans="1:3" s="8" customFormat="1" x14ac:dyDescent="0.2">
      <c r="A1877" s="6" t="str">
        <f>"AC006504.7"</f>
        <v>AC006504.7</v>
      </c>
      <c r="B1877" s="6">
        <v>1.2999999999999999E-2</v>
      </c>
      <c r="C1877" s="6">
        <v>0.116628571428571</v>
      </c>
    </row>
    <row r="1878" spans="1:3" s="8" customFormat="1" x14ac:dyDescent="0.2">
      <c r="A1878" s="6" t="str">
        <f>"XG"</f>
        <v>XG</v>
      </c>
      <c r="B1878" s="6">
        <v>1.2987012987012899E-2</v>
      </c>
      <c r="C1878" s="6">
        <v>0.116628571428571</v>
      </c>
    </row>
    <row r="1879" spans="1:3" s="8" customFormat="1" x14ac:dyDescent="0.2">
      <c r="A1879" s="6" t="str">
        <f>"CLSTN2"</f>
        <v>CLSTN2</v>
      </c>
      <c r="B1879" s="6">
        <v>1.2987012987012899E-2</v>
      </c>
      <c r="C1879" s="6">
        <v>0.116628571428571</v>
      </c>
    </row>
    <row r="1880" spans="1:3" s="8" customFormat="1" x14ac:dyDescent="0.2">
      <c r="A1880" s="6" t="str">
        <f>"Z94277.1"</f>
        <v>Z94277.1</v>
      </c>
      <c r="B1880" s="6">
        <v>1.26715945089757E-2</v>
      </c>
      <c r="C1880" s="6">
        <v>0.116628571428571</v>
      </c>
    </row>
    <row r="1881" spans="1:3" s="8" customFormat="1" x14ac:dyDescent="0.2">
      <c r="A1881" s="6" t="str">
        <f>"SFTPD"</f>
        <v>SFTPD</v>
      </c>
      <c r="B1881" s="6">
        <v>1.2987012987012899E-2</v>
      </c>
      <c r="C1881" s="6">
        <v>0.116628571428571</v>
      </c>
    </row>
    <row r="1882" spans="1:3" s="8" customFormat="1" x14ac:dyDescent="0.2">
      <c r="A1882" s="6" t="str">
        <f>"AL691432.4"</f>
        <v>AL691432.4</v>
      </c>
      <c r="B1882" s="6">
        <v>1.2987012987012899E-2</v>
      </c>
      <c r="C1882" s="6">
        <v>0.116628571428571</v>
      </c>
    </row>
    <row r="1883" spans="1:3" s="8" customFormat="1" x14ac:dyDescent="0.2">
      <c r="A1883" s="6" t="str">
        <f>"AC018645.3"</f>
        <v>AC018645.3</v>
      </c>
      <c r="B1883" s="6">
        <v>1.2999999999999999E-2</v>
      </c>
      <c r="C1883" s="6">
        <v>0.116628571428571</v>
      </c>
    </row>
    <row r="1884" spans="1:3" s="8" customFormat="1" x14ac:dyDescent="0.2">
      <c r="A1884" s="6" t="str">
        <f>"SLC14A1"</f>
        <v>SLC14A1</v>
      </c>
      <c r="B1884" s="6">
        <v>1.2987012987012899E-2</v>
      </c>
      <c r="C1884" s="6">
        <v>0.116628571428571</v>
      </c>
    </row>
    <row r="1885" spans="1:3" s="8" customFormat="1" x14ac:dyDescent="0.2">
      <c r="A1885" s="6" t="str">
        <f>"AC142086.6"</f>
        <v>AC142086.6</v>
      </c>
      <c r="B1885" s="6">
        <v>1.2987012987012899E-2</v>
      </c>
      <c r="C1885" s="6">
        <v>0.116628571428571</v>
      </c>
    </row>
    <row r="1886" spans="1:3" s="8" customFormat="1" x14ac:dyDescent="0.2">
      <c r="A1886" s="6" t="str">
        <f>"IL12A"</f>
        <v>IL12A</v>
      </c>
      <c r="B1886" s="6">
        <v>1.2987012987012899E-2</v>
      </c>
      <c r="C1886" s="6">
        <v>0.116628571428571</v>
      </c>
    </row>
    <row r="1887" spans="1:3" s="8" customFormat="1" x14ac:dyDescent="0.2">
      <c r="A1887" s="6" t="str">
        <f>"OR10K1"</f>
        <v>OR10K1</v>
      </c>
      <c r="B1887" s="6">
        <v>1.2987012987012899E-2</v>
      </c>
      <c r="C1887" s="6">
        <v>0.116628571428571</v>
      </c>
    </row>
    <row r="1888" spans="1:3" s="8" customFormat="1" x14ac:dyDescent="0.2">
      <c r="A1888" s="6" t="str">
        <f>"LINC00479"</f>
        <v>LINC00479</v>
      </c>
      <c r="B1888" s="6">
        <v>1.2987012987012899E-2</v>
      </c>
      <c r="C1888" s="6">
        <v>0.116628571428571</v>
      </c>
    </row>
    <row r="1889" spans="1:3" s="8" customFormat="1" x14ac:dyDescent="0.2">
      <c r="A1889" s="6" t="str">
        <f>"LINC01908"</f>
        <v>LINC01908</v>
      </c>
      <c r="B1889" s="6">
        <v>1.2987012987012899E-2</v>
      </c>
      <c r="C1889" s="6">
        <v>0.116628571428571</v>
      </c>
    </row>
    <row r="1890" spans="1:3" s="8" customFormat="1" x14ac:dyDescent="0.2">
      <c r="A1890" s="6" t="str">
        <f>"MTCO3P12"</f>
        <v>MTCO3P12</v>
      </c>
      <c r="B1890" s="6">
        <v>1.2987012987012899E-2</v>
      </c>
      <c r="C1890" s="6">
        <v>0.116628571428571</v>
      </c>
    </row>
    <row r="1891" spans="1:3" s="8" customFormat="1" x14ac:dyDescent="0.2">
      <c r="A1891" s="6" t="str">
        <f>"LRRC29"</f>
        <v>LRRC29</v>
      </c>
      <c r="B1891" s="6">
        <v>1.2987012987012899E-2</v>
      </c>
      <c r="C1891" s="6">
        <v>0.116628571428571</v>
      </c>
    </row>
    <row r="1892" spans="1:3" s="8" customFormat="1" x14ac:dyDescent="0.2">
      <c r="A1892" s="6" t="str">
        <f>"TEDC2"</f>
        <v>TEDC2</v>
      </c>
      <c r="B1892" s="6">
        <v>1.2987012987012899E-2</v>
      </c>
      <c r="C1892" s="6">
        <v>0.116628571428571</v>
      </c>
    </row>
    <row r="1893" spans="1:3" s="8" customFormat="1" x14ac:dyDescent="0.2">
      <c r="A1893" s="6" t="str">
        <f>"ZPLD2P"</f>
        <v>ZPLD2P</v>
      </c>
      <c r="B1893" s="6">
        <v>1.2987012987012899E-2</v>
      </c>
      <c r="C1893" s="6">
        <v>0.116628571428571</v>
      </c>
    </row>
    <row r="1894" spans="1:3" s="8" customFormat="1" x14ac:dyDescent="0.2">
      <c r="A1894" s="6" t="str">
        <f>"LINC00893"</f>
        <v>LINC00893</v>
      </c>
      <c r="B1894" s="6">
        <v>1.2987012987012899E-2</v>
      </c>
      <c r="C1894" s="6">
        <v>0.116628571428571</v>
      </c>
    </row>
    <row r="1895" spans="1:3" s="8" customFormat="1" x14ac:dyDescent="0.2">
      <c r="A1895" s="6" t="str">
        <f>"LYNX1-SLURP2"</f>
        <v>LYNX1-SLURP2</v>
      </c>
      <c r="B1895" s="6">
        <v>1.2987012987012899E-2</v>
      </c>
      <c r="C1895" s="6">
        <v>0.116628571428571</v>
      </c>
    </row>
    <row r="1896" spans="1:3" s="8" customFormat="1" x14ac:dyDescent="0.2">
      <c r="A1896" s="6" t="str">
        <f>"IL23A"</f>
        <v>IL23A</v>
      </c>
      <c r="B1896" s="6">
        <v>1.2987012987012899E-2</v>
      </c>
      <c r="C1896" s="6">
        <v>0.116628571428571</v>
      </c>
    </row>
    <row r="1897" spans="1:3" s="8" customFormat="1" x14ac:dyDescent="0.2">
      <c r="A1897" s="6" t="str">
        <f>"ZNF382"</f>
        <v>ZNF382</v>
      </c>
      <c r="B1897" s="6">
        <v>1.2987012987012899E-2</v>
      </c>
      <c r="C1897" s="6">
        <v>0.116628571428571</v>
      </c>
    </row>
    <row r="1898" spans="1:3" s="8" customFormat="1" x14ac:dyDescent="0.2">
      <c r="A1898" s="6" t="str">
        <f>"VSIG4"</f>
        <v>VSIG4</v>
      </c>
      <c r="B1898" s="6">
        <v>1.2987012987012899E-2</v>
      </c>
      <c r="C1898" s="6">
        <v>0.116628571428571</v>
      </c>
    </row>
    <row r="1899" spans="1:3" s="8" customFormat="1" x14ac:dyDescent="0.2">
      <c r="A1899" s="6" t="str">
        <f>"LINC00663"</f>
        <v>LINC00663</v>
      </c>
      <c r="B1899" s="6">
        <v>1.2987012987012899E-2</v>
      </c>
      <c r="C1899" s="6">
        <v>0.116628571428571</v>
      </c>
    </row>
    <row r="1900" spans="1:3" s="8" customFormat="1" x14ac:dyDescent="0.2">
      <c r="A1900" s="6" t="str">
        <f>"AC005392.2"</f>
        <v>AC005392.2</v>
      </c>
      <c r="B1900" s="6">
        <v>1.2987012987012899E-2</v>
      </c>
      <c r="C1900" s="6">
        <v>0.116628571428571</v>
      </c>
    </row>
    <row r="1901" spans="1:3" s="8" customFormat="1" x14ac:dyDescent="0.2">
      <c r="A1901" s="6" t="str">
        <f>"AC099568.2"</f>
        <v>AC099568.2</v>
      </c>
      <c r="B1901" s="6">
        <v>1.2987012987012899E-2</v>
      </c>
      <c r="C1901" s="6">
        <v>0.116628571428571</v>
      </c>
    </row>
    <row r="1902" spans="1:3" s="8" customFormat="1" x14ac:dyDescent="0.2">
      <c r="A1902" s="6" t="str">
        <f>"PARTICL"</f>
        <v>PARTICL</v>
      </c>
      <c r="B1902" s="6">
        <v>1.2987012987012899E-2</v>
      </c>
      <c r="C1902" s="6">
        <v>0.116628571428571</v>
      </c>
    </row>
    <row r="1903" spans="1:3" s="8" customFormat="1" x14ac:dyDescent="0.2">
      <c r="A1903" s="6" t="str">
        <f>"CEP55"</f>
        <v>CEP55</v>
      </c>
      <c r="B1903" s="6">
        <v>1.2987012987012899E-2</v>
      </c>
      <c r="C1903" s="6">
        <v>0.116628571428571</v>
      </c>
    </row>
    <row r="1904" spans="1:3" s="8" customFormat="1" x14ac:dyDescent="0.2">
      <c r="A1904" s="6" t="str">
        <f>"SPNS3"</f>
        <v>SPNS3</v>
      </c>
      <c r="B1904" s="6">
        <v>1.2987012987012899E-2</v>
      </c>
      <c r="C1904" s="6">
        <v>0.116628571428571</v>
      </c>
    </row>
    <row r="1905" spans="1:3" s="8" customFormat="1" x14ac:dyDescent="0.2">
      <c r="A1905" s="6" t="str">
        <f>"ITPKA"</f>
        <v>ITPKA</v>
      </c>
      <c r="B1905" s="6">
        <v>1.2999999999999999E-2</v>
      </c>
      <c r="C1905" s="6">
        <v>0.116628571428571</v>
      </c>
    </row>
    <row r="1906" spans="1:3" s="8" customFormat="1" x14ac:dyDescent="0.2">
      <c r="A1906" s="6" t="str">
        <f>"CAPN14"</f>
        <v>CAPN14</v>
      </c>
      <c r="B1906" s="6">
        <v>1.2987012987012899E-2</v>
      </c>
      <c r="C1906" s="6">
        <v>0.116628571428571</v>
      </c>
    </row>
    <row r="1907" spans="1:3" s="8" customFormat="1" x14ac:dyDescent="0.2">
      <c r="A1907" s="6" t="str">
        <f>"AC011815.1"</f>
        <v>AC011815.1</v>
      </c>
      <c r="B1907" s="6">
        <v>1.2987012987012899E-2</v>
      </c>
      <c r="C1907" s="6">
        <v>0.116628571428571</v>
      </c>
    </row>
    <row r="1908" spans="1:3" s="8" customFormat="1" x14ac:dyDescent="0.2">
      <c r="A1908" s="6" t="str">
        <f>"AC122719.3"</f>
        <v>AC122719.3</v>
      </c>
      <c r="B1908" s="6">
        <v>1.2999999999999999E-2</v>
      </c>
      <c r="C1908" s="6">
        <v>0.116628571428571</v>
      </c>
    </row>
    <row r="1909" spans="1:3" s="8" customFormat="1" x14ac:dyDescent="0.2">
      <c r="A1909" s="6" t="str">
        <f>"ARHGEF10"</f>
        <v>ARHGEF10</v>
      </c>
      <c r="B1909" s="6">
        <v>1.2987012987012899E-2</v>
      </c>
      <c r="C1909" s="6">
        <v>0.116628571428571</v>
      </c>
    </row>
    <row r="1910" spans="1:3" s="8" customFormat="1" x14ac:dyDescent="0.2">
      <c r="A1910" s="6" t="str">
        <f>"ADGRF5"</f>
        <v>ADGRF5</v>
      </c>
      <c r="B1910" s="6">
        <v>1.2987012987012899E-2</v>
      </c>
      <c r="C1910" s="6">
        <v>0.116628571428571</v>
      </c>
    </row>
    <row r="1911" spans="1:3" s="8" customFormat="1" x14ac:dyDescent="0.2">
      <c r="A1911" s="6" t="str">
        <f>"SFMBT2"</f>
        <v>SFMBT2</v>
      </c>
      <c r="B1911" s="6">
        <v>1.2987012987012899E-2</v>
      </c>
      <c r="C1911" s="6">
        <v>0.116628571428571</v>
      </c>
    </row>
    <row r="1912" spans="1:3" s="8" customFormat="1" x14ac:dyDescent="0.2">
      <c r="A1912" s="6" t="str">
        <f>"PIP4P2"</f>
        <v>PIP4P2</v>
      </c>
      <c r="B1912" s="6">
        <v>1.2987012987012899E-2</v>
      </c>
      <c r="C1912" s="6">
        <v>0.116628571428571</v>
      </c>
    </row>
    <row r="1913" spans="1:3" s="8" customFormat="1" x14ac:dyDescent="0.2">
      <c r="A1913" s="6" t="str">
        <f>"LINC02541"</f>
        <v>LINC02541</v>
      </c>
      <c r="B1913" s="6">
        <v>1.2999999999999999E-2</v>
      </c>
      <c r="C1913" s="6">
        <v>0.116628571428571</v>
      </c>
    </row>
    <row r="1914" spans="1:3" s="8" customFormat="1" x14ac:dyDescent="0.2">
      <c r="A1914" s="6" t="str">
        <f>"KIF20A"</f>
        <v>KIF20A</v>
      </c>
      <c r="B1914" s="6">
        <v>1.2987012987012899E-2</v>
      </c>
      <c r="C1914" s="6">
        <v>0.116628571428571</v>
      </c>
    </row>
    <row r="1915" spans="1:3" s="8" customFormat="1" x14ac:dyDescent="0.2">
      <c r="A1915" s="6" t="str">
        <f>"HPDL"</f>
        <v>HPDL</v>
      </c>
      <c r="B1915" s="6">
        <v>1.2987012987012899E-2</v>
      </c>
      <c r="C1915" s="6">
        <v>0.116628571428571</v>
      </c>
    </row>
    <row r="1916" spans="1:3" s="8" customFormat="1" x14ac:dyDescent="0.2">
      <c r="A1916" s="6" t="str">
        <f>"CLIC3"</f>
        <v>CLIC3</v>
      </c>
      <c r="B1916" s="6">
        <v>1.2987012987012899E-2</v>
      </c>
      <c r="C1916" s="6">
        <v>0.116628571428571</v>
      </c>
    </row>
    <row r="1917" spans="1:3" s="8" customFormat="1" x14ac:dyDescent="0.2">
      <c r="A1917" s="6" t="str">
        <f>"TTC13"</f>
        <v>TTC13</v>
      </c>
      <c r="B1917" s="6">
        <v>1.2987012987012899E-2</v>
      </c>
      <c r="C1917" s="6">
        <v>0.116628571428571</v>
      </c>
    </row>
    <row r="1918" spans="1:3" s="8" customFormat="1" x14ac:dyDescent="0.2">
      <c r="A1918" s="6" t="str">
        <f>"HHLA3"</f>
        <v>HHLA3</v>
      </c>
      <c r="B1918" s="6">
        <v>1.2987012987012899E-2</v>
      </c>
      <c r="C1918" s="6">
        <v>0.116628571428571</v>
      </c>
    </row>
    <row r="1919" spans="1:3" s="8" customFormat="1" x14ac:dyDescent="0.2">
      <c r="A1919" s="6" t="str">
        <f>"KRBA2"</f>
        <v>KRBA2</v>
      </c>
      <c r="B1919" s="6">
        <v>1.2987012987012899E-2</v>
      </c>
      <c r="C1919" s="6">
        <v>0.116628571428571</v>
      </c>
    </row>
    <row r="1920" spans="1:3" s="8" customFormat="1" x14ac:dyDescent="0.2">
      <c r="A1920" s="6" t="str">
        <f>"SDHAF3"</f>
        <v>SDHAF3</v>
      </c>
      <c r="B1920" s="6">
        <v>1.2987012987012899E-2</v>
      </c>
      <c r="C1920" s="6">
        <v>0.116628571428571</v>
      </c>
    </row>
    <row r="1921" spans="1:3" s="8" customFormat="1" x14ac:dyDescent="0.2">
      <c r="A1921" s="6" t="str">
        <f>"MAP3K14"</f>
        <v>MAP3K14</v>
      </c>
      <c r="B1921" s="6">
        <v>1.2987012987012899E-2</v>
      </c>
      <c r="C1921" s="6">
        <v>0.116628571428571</v>
      </c>
    </row>
    <row r="1922" spans="1:3" s="8" customFormat="1" x14ac:dyDescent="0.2">
      <c r="A1922" s="6" t="str">
        <f>"AIF1L"</f>
        <v>AIF1L</v>
      </c>
      <c r="B1922" s="6">
        <v>1.2987012987012899E-2</v>
      </c>
      <c r="C1922" s="6">
        <v>0.116628571428571</v>
      </c>
    </row>
    <row r="1923" spans="1:3" s="8" customFormat="1" x14ac:dyDescent="0.2">
      <c r="A1923" s="6" t="str">
        <f>"CALML5"</f>
        <v>CALML5</v>
      </c>
      <c r="B1923" s="6">
        <v>1.2987012987012899E-2</v>
      </c>
      <c r="C1923" s="6">
        <v>0.116628571428571</v>
      </c>
    </row>
    <row r="1924" spans="1:3" s="8" customFormat="1" x14ac:dyDescent="0.2">
      <c r="A1924" s="6" t="str">
        <f>"HECW2"</f>
        <v>HECW2</v>
      </c>
      <c r="B1924" s="6">
        <v>1.2987012987012899E-2</v>
      </c>
      <c r="C1924" s="6">
        <v>0.116628571428571</v>
      </c>
    </row>
    <row r="1925" spans="1:3" s="8" customFormat="1" x14ac:dyDescent="0.2">
      <c r="A1925" s="6" t="str">
        <f>"POSTN"</f>
        <v>POSTN</v>
      </c>
      <c r="B1925" s="6">
        <v>1.2987012987012899E-2</v>
      </c>
      <c r="C1925" s="6">
        <v>0.116628571428571</v>
      </c>
    </row>
    <row r="1926" spans="1:3" s="8" customFormat="1" x14ac:dyDescent="0.2">
      <c r="A1926" s="6" t="str">
        <f>"ALPK3"</f>
        <v>ALPK3</v>
      </c>
      <c r="B1926" s="6">
        <v>1.2987012987012899E-2</v>
      </c>
      <c r="C1926" s="6">
        <v>0.116628571428571</v>
      </c>
    </row>
    <row r="1927" spans="1:3" s="8" customFormat="1" x14ac:dyDescent="0.2">
      <c r="A1927" s="6" t="str">
        <f>"DCAF17"</f>
        <v>DCAF17</v>
      </c>
      <c r="B1927" s="6">
        <v>1.2987012987012899E-2</v>
      </c>
      <c r="C1927" s="6">
        <v>0.116628571428571</v>
      </c>
    </row>
    <row r="1928" spans="1:3" s="8" customFormat="1" x14ac:dyDescent="0.2">
      <c r="A1928" s="6" t="str">
        <f>"AC015922.3"</f>
        <v>AC015922.3</v>
      </c>
      <c r="B1928" s="6">
        <v>1.2987012987012899E-2</v>
      </c>
      <c r="C1928" s="6">
        <v>0.116628571428571</v>
      </c>
    </row>
    <row r="1929" spans="1:3" s="8" customFormat="1" x14ac:dyDescent="0.2">
      <c r="A1929" s="6" t="str">
        <f>"CHAMP1"</f>
        <v>CHAMP1</v>
      </c>
      <c r="B1929" s="6">
        <v>1.2987012987012899E-2</v>
      </c>
      <c r="C1929" s="6">
        <v>0.116628571428571</v>
      </c>
    </row>
    <row r="1930" spans="1:3" s="8" customFormat="1" x14ac:dyDescent="0.2">
      <c r="A1930" s="6" t="str">
        <f>"SCNN1G"</f>
        <v>SCNN1G</v>
      </c>
      <c r="B1930" s="6">
        <v>1.2987012987012899E-2</v>
      </c>
      <c r="C1930" s="6">
        <v>0.116628571428571</v>
      </c>
    </row>
    <row r="1931" spans="1:3" s="8" customFormat="1" x14ac:dyDescent="0.2">
      <c r="A1931" s="6" t="str">
        <f>"DHRSX"</f>
        <v>DHRSX</v>
      </c>
      <c r="B1931" s="6">
        <v>1.2987012987012899E-2</v>
      </c>
      <c r="C1931" s="6">
        <v>0.116628571428571</v>
      </c>
    </row>
    <row r="1932" spans="1:3" s="8" customFormat="1" x14ac:dyDescent="0.2">
      <c r="A1932" s="6" t="str">
        <f>"ACOT7"</f>
        <v>ACOT7</v>
      </c>
      <c r="B1932" s="6">
        <v>1.2987012987012899E-2</v>
      </c>
      <c r="C1932" s="6">
        <v>0.116628571428571</v>
      </c>
    </row>
    <row r="1933" spans="1:3" s="8" customFormat="1" x14ac:dyDescent="0.2">
      <c r="A1933" s="6" t="str">
        <f>"LINC01833"</f>
        <v>LINC01833</v>
      </c>
      <c r="B1933" s="6">
        <v>1.2987012987012899E-2</v>
      </c>
      <c r="C1933" s="6">
        <v>0.116628571428571</v>
      </c>
    </row>
    <row r="1934" spans="1:3" s="8" customFormat="1" x14ac:dyDescent="0.2">
      <c r="A1934" s="6" t="str">
        <f>"RHNO1"</f>
        <v>RHNO1</v>
      </c>
      <c r="B1934" s="6">
        <v>1.2987012987012899E-2</v>
      </c>
      <c r="C1934" s="6">
        <v>0.116628571428571</v>
      </c>
    </row>
    <row r="1935" spans="1:3" s="8" customFormat="1" x14ac:dyDescent="0.2">
      <c r="A1935" s="6" t="str">
        <f>"RBKS"</f>
        <v>RBKS</v>
      </c>
      <c r="B1935" s="6">
        <v>1.2999999999999999E-2</v>
      </c>
      <c r="C1935" s="6">
        <v>0.116628571428571</v>
      </c>
    </row>
    <row r="1936" spans="1:3" s="8" customFormat="1" x14ac:dyDescent="0.2">
      <c r="A1936" s="6" t="str">
        <f>"CBL"</f>
        <v>CBL</v>
      </c>
      <c r="B1936" s="6">
        <v>1.2987012987012899E-2</v>
      </c>
      <c r="C1936" s="6">
        <v>0.116628571428571</v>
      </c>
    </row>
    <row r="1937" spans="1:3" s="8" customFormat="1" x14ac:dyDescent="0.2">
      <c r="A1937" s="6" t="str">
        <f>"AC008124.1"</f>
        <v>AC008124.1</v>
      </c>
      <c r="B1937" s="6">
        <v>1.2987012987012899E-2</v>
      </c>
      <c r="C1937" s="6">
        <v>0.116628571428571</v>
      </c>
    </row>
    <row r="1938" spans="1:3" s="8" customFormat="1" x14ac:dyDescent="0.2">
      <c r="A1938" s="6" t="str">
        <f>"ACOT2"</f>
        <v>ACOT2</v>
      </c>
      <c r="B1938" s="6">
        <v>1.2987012987012899E-2</v>
      </c>
      <c r="C1938" s="6">
        <v>0.116628571428571</v>
      </c>
    </row>
    <row r="1939" spans="1:3" s="8" customFormat="1" x14ac:dyDescent="0.2">
      <c r="A1939" s="6" t="str">
        <f>"ANAPC11"</f>
        <v>ANAPC11</v>
      </c>
      <c r="B1939" s="6">
        <v>1.2987012987012899E-2</v>
      </c>
      <c r="C1939" s="6">
        <v>0.116628571428571</v>
      </c>
    </row>
    <row r="1940" spans="1:3" s="8" customFormat="1" x14ac:dyDescent="0.2">
      <c r="A1940" s="6" t="str">
        <f>"MTAP"</f>
        <v>MTAP</v>
      </c>
      <c r="B1940" s="6">
        <v>1.2987012987012899E-2</v>
      </c>
      <c r="C1940" s="6">
        <v>0.116628571428571</v>
      </c>
    </row>
    <row r="1941" spans="1:3" s="8" customFormat="1" x14ac:dyDescent="0.2">
      <c r="A1941" s="6" t="str">
        <f>"RRN3"</f>
        <v>RRN3</v>
      </c>
      <c r="B1941" s="6">
        <v>1.2987012987012899E-2</v>
      </c>
      <c r="C1941" s="6">
        <v>0.116628571428571</v>
      </c>
    </row>
    <row r="1942" spans="1:3" s="8" customFormat="1" x14ac:dyDescent="0.2">
      <c r="A1942" s="6" t="str">
        <f>"FNIP1"</f>
        <v>FNIP1</v>
      </c>
      <c r="B1942" s="6">
        <v>1.2987012987012899E-2</v>
      </c>
      <c r="C1942" s="6">
        <v>0.116628571428571</v>
      </c>
    </row>
    <row r="1943" spans="1:3" s="8" customFormat="1" x14ac:dyDescent="0.2">
      <c r="A1943" s="6" t="str">
        <f>"TUBA4A"</f>
        <v>TUBA4A</v>
      </c>
      <c r="B1943" s="6">
        <v>1.2987012987012899E-2</v>
      </c>
      <c r="C1943" s="6">
        <v>0.116628571428571</v>
      </c>
    </row>
    <row r="1944" spans="1:3" s="8" customFormat="1" x14ac:dyDescent="0.2">
      <c r="A1944" s="6" t="str">
        <f>"YTHDC2"</f>
        <v>YTHDC2</v>
      </c>
      <c r="B1944" s="6">
        <v>1.2987012987012899E-2</v>
      </c>
      <c r="C1944" s="6">
        <v>0.116628571428571</v>
      </c>
    </row>
    <row r="1945" spans="1:3" s="8" customFormat="1" x14ac:dyDescent="0.2">
      <c r="A1945" s="6" t="str">
        <f>"DHFR"</f>
        <v>DHFR</v>
      </c>
      <c r="B1945" s="6">
        <v>1.2987012987012899E-2</v>
      </c>
      <c r="C1945" s="6">
        <v>0.116628571428571</v>
      </c>
    </row>
    <row r="1946" spans="1:3" s="8" customFormat="1" x14ac:dyDescent="0.2">
      <c r="A1946" s="6" t="str">
        <f>"CAMTA2"</f>
        <v>CAMTA2</v>
      </c>
      <c r="B1946" s="6">
        <v>1.2987012987012899E-2</v>
      </c>
      <c r="C1946" s="6">
        <v>0.116628571428571</v>
      </c>
    </row>
    <row r="1947" spans="1:3" s="8" customFormat="1" x14ac:dyDescent="0.2">
      <c r="A1947" s="6" t="str">
        <f>"RORC"</f>
        <v>RORC</v>
      </c>
      <c r="B1947" s="6">
        <v>1.2987012987012899E-2</v>
      </c>
      <c r="C1947" s="6">
        <v>0.116628571428571</v>
      </c>
    </row>
    <row r="1948" spans="1:3" s="8" customFormat="1" x14ac:dyDescent="0.2">
      <c r="A1948" s="6" t="str">
        <f>"CDC20B"</f>
        <v>CDC20B</v>
      </c>
      <c r="B1948" s="6">
        <v>1.2987012987012899E-2</v>
      </c>
      <c r="C1948" s="6">
        <v>0.116628571428571</v>
      </c>
    </row>
    <row r="1949" spans="1:3" s="8" customFormat="1" x14ac:dyDescent="0.2">
      <c r="A1949" s="6" t="str">
        <f>"HYPK"</f>
        <v>HYPK</v>
      </c>
      <c r="B1949" s="6">
        <v>1.2987012987012899E-2</v>
      </c>
      <c r="C1949" s="6">
        <v>0.116628571428571</v>
      </c>
    </row>
    <row r="1950" spans="1:3" s="8" customFormat="1" x14ac:dyDescent="0.2">
      <c r="A1950" s="6" t="str">
        <f>"PIK3R1"</f>
        <v>PIK3R1</v>
      </c>
      <c r="B1950" s="6">
        <v>1.2987012987012899E-2</v>
      </c>
      <c r="C1950" s="6">
        <v>0.116628571428571</v>
      </c>
    </row>
    <row r="1951" spans="1:3" s="8" customFormat="1" x14ac:dyDescent="0.2">
      <c r="A1951" s="6" t="str">
        <f>"SCIN"</f>
        <v>SCIN</v>
      </c>
      <c r="B1951" s="6">
        <v>1.2987012987012899E-2</v>
      </c>
      <c r="C1951" s="6">
        <v>0.116628571428571</v>
      </c>
    </row>
    <row r="1952" spans="1:3" s="8" customFormat="1" x14ac:dyDescent="0.2">
      <c r="A1952" s="6" t="str">
        <f>"OTUB1"</f>
        <v>OTUB1</v>
      </c>
      <c r="B1952" s="6">
        <v>1.2987012987012899E-2</v>
      </c>
      <c r="C1952" s="6">
        <v>0.116628571428571</v>
      </c>
    </row>
    <row r="1953" spans="1:3" s="8" customFormat="1" x14ac:dyDescent="0.2">
      <c r="A1953" s="6" t="str">
        <f>"CSK"</f>
        <v>CSK</v>
      </c>
      <c r="B1953" s="6">
        <v>1.2987012987012899E-2</v>
      </c>
      <c r="C1953" s="6">
        <v>0.116628571428571</v>
      </c>
    </row>
    <row r="1954" spans="1:3" s="8" customFormat="1" x14ac:dyDescent="0.2">
      <c r="A1954" s="6" t="str">
        <f>"ATXN2L"</f>
        <v>ATXN2L</v>
      </c>
      <c r="B1954" s="6">
        <v>1.2987012987012899E-2</v>
      </c>
      <c r="C1954" s="6">
        <v>0.116628571428571</v>
      </c>
    </row>
    <row r="1955" spans="1:3" s="8" customFormat="1" x14ac:dyDescent="0.2">
      <c r="A1955" s="6" t="str">
        <f>"TCN1"</f>
        <v>TCN1</v>
      </c>
      <c r="B1955" s="6">
        <v>1.2987012987012899E-2</v>
      </c>
      <c r="C1955" s="6">
        <v>0.116628571428571</v>
      </c>
    </row>
    <row r="1956" spans="1:3" s="8" customFormat="1" x14ac:dyDescent="0.2">
      <c r="A1956" s="6" t="str">
        <f>"HERPUD1"</f>
        <v>HERPUD1</v>
      </c>
      <c r="B1956" s="6">
        <v>1.2987012987012899E-2</v>
      </c>
      <c r="C1956" s="6">
        <v>0.116628571428571</v>
      </c>
    </row>
    <row r="1957" spans="1:3" s="8" customFormat="1" x14ac:dyDescent="0.2">
      <c r="A1957" s="6" t="str">
        <f>"COX5B"</f>
        <v>COX5B</v>
      </c>
      <c r="B1957" s="6">
        <v>1.2987012987012899E-2</v>
      </c>
      <c r="C1957" s="6">
        <v>0.116628571428571</v>
      </c>
    </row>
    <row r="1958" spans="1:3" s="8" customFormat="1" x14ac:dyDescent="0.2">
      <c r="A1958" s="6" t="str">
        <f>"NACC1"</f>
        <v>NACC1</v>
      </c>
      <c r="B1958" s="6">
        <v>1.2987012987012899E-2</v>
      </c>
      <c r="C1958" s="6">
        <v>0.116628571428571</v>
      </c>
    </row>
    <row r="1959" spans="1:3" s="8" customFormat="1" x14ac:dyDescent="0.2">
      <c r="A1959" s="6" t="str">
        <f>"SPTAN1"</f>
        <v>SPTAN1</v>
      </c>
      <c r="B1959" s="6">
        <v>1.2987012987012899E-2</v>
      </c>
      <c r="C1959" s="6">
        <v>0.116628571428571</v>
      </c>
    </row>
    <row r="1960" spans="1:3" s="8" customFormat="1" x14ac:dyDescent="0.2">
      <c r="A1960" s="6" t="str">
        <f>"RPS3A"</f>
        <v>RPS3A</v>
      </c>
      <c r="B1960" s="6">
        <v>1.2987012987012899E-2</v>
      </c>
      <c r="C1960" s="6">
        <v>0.116628571428571</v>
      </c>
    </row>
    <row r="1961" spans="1:3" s="8" customFormat="1" x14ac:dyDescent="0.2">
      <c r="A1961" s="6" t="str">
        <f>"EIF4G2"</f>
        <v>EIF4G2</v>
      </c>
      <c r="B1961" s="6">
        <v>1.2987012987012899E-2</v>
      </c>
      <c r="C1961" s="6">
        <v>0.116628571428571</v>
      </c>
    </row>
    <row r="1962" spans="1:3" s="8" customFormat="1" x14ac:dyDescent="0.2">
      <c r="A1962" s="6" t="str">
        <f>"AL606760.3"</f>
        <v>AL606760.3</v>
      </c>
      <c r="B1962" s="6">
        <v>1.3013013013013001E-2</v>
      </c>
      <c r="C1962" s="6">
        <v>0.116685783182468</v>
      </c>
    </row>
    <row r="1963" spans="1:3" s="8" customFormat="1" x14ac:dyDescent="0.2">
      <c r="A1963" s="6" t="str">
        <f>"AC017074.1"</f>
        <v>AC017074.1</v>
      </c>
      <c r="B1963" s="6">
        <v>1.30260521042084E-2</v>
      </c>
      <c r="C1963" s="6">
        <v>0.116743170336595</v>
      </c>
    </row>
    <row r="1964" spans="1:3" s="8" customFormat="1" x14ac:dyDescent="0.2">
      <c r="A1964" s="6" t="str">
        <f>"AC026471.2"</f>
        <v>AC026471.2</v>
      </c>
      <c r="B1964" s="6">
        <v>1.3104838709677401E-2</v>
      </c>
      <c r="C1964" s="6">
        <v>0.117389446699423</v>
      </c>
    </row>
    <row r="1965" spans="1:3" s="8" customFormat="1" x14ac:dyDescent="0.2">
      <c r="A1965" s="6" t="str">
        <f>"AC123768.3"</f>
        <v>AC123768.3</v>
      </c>
      <c r="B1965" s="6">
        <v>1.3118062563067599E-2</v>
      </c>
      <c r="C1965" s="6">
        <v>0.117448071338584</v>
      </c>
    </row>
    <row r="1966" spans="1:3" s="8" customFormat="1" x14ac:dyDescent="0.2">
      <c r="A1966" s="6" t="str">
        <f>"AC006486.2"</f>
        <v>AC006486.2</v>
      </c>
      <c r="B1966" s="6">
        <v>1.3157894736842099E-2</v>
      </c>
      <c r="C1966" s="6">
        <v>0.117744743538234</v>
      </c>
    </row>
    <row r="1967" spans="1:3" s="8" customFormat="1" x14ac:dyDescent="0.2">
      <c r="A1967" s="6" t="str">
        <f>"LINC02359"</f>
        <v>LINC02359</v>
      </c>
      <c r="B1967" s="6">
        <v>1.3184584178498901E-2</v>
      </c>
      <c r="C1967" s="6">
        <v>0.117923564697215</v>
      </c>
    </row>
    <row r="1968" spans="1:3" s="8" customFormat="1" x14ac:dyDescent="0.2">
      <c r="A1968" s="6" t="str">
        <f>"AL118508.2"</f>
        <v>AL118508.2</v>
      </c>
      <c r="B1968" s="6">
        <v>1.3986013986013899E-2</v>
      </c>
      <c r="C1968" s="6">
        <v>0.11985199610515999</v>
      </c>
    </row>
    <row r="1969" spans="1:3" s="8" customFormat="1" x14ac:dyDescent="0.2">
      <c r="A1969" s="6" t="str">
        <f>"IGKV1-33"</f>
        <v>IGKV1-33</v>
      </c>
      <c r="B1969" s="6">
        <v>1.3986013986013899E-2</v>
      </c>
      <c r="C1969" s="6">
        <v>0.11985199610515999</v>
      </c>
    </row>
    <row r="1970" spans="1:3" s="8" customFormat="1" x14ac:dyDescent="0.2">
      <c r="A1970" s="6" t="str">
        <f>"HGFAC"</f>
        <v>HGFAC</v>
      </c>
      <c r="B1970" s="6">
        <v>1.4E-2</v>
      </c>
      <c r="C1970" s="6">
        <v>0.11985199610515999</v>
      </c>
    </row>
    <row r="1971" spans="1:3" s="8" customFormat="1" x14ac:dyDescent="0.2">
      <c r="A1971" s="6" t="str">
        <f>"ARGFX"</f>
        <v>ARGFX</v>
      </c>
      <c r="B1971" s="6">
        <v>1.4E-2</v>
      </c>
      <c r="C1971" s="6">
        <v>0.11985199610515999</v>
      </c>
    </row>
    <row r="1972" spans="1:3" s="8" customFormat="1" x14ac:dyDescent="0.2">
      <c r="A1972" s="6" t="str">
        <f>"DPH6-DT"</f>
        <v>DPH6-DT</v>
      </c>
      <c r="B1972" s="6">
        <v>1.4E-2</v>
      </c>
      <c r="C1972" s="6">
        <v>0.11985199610515999</v>
      </c>
    </row>
    <row r="1973" spans="1:3" s="8" customFormat="1" x14ac:dyDescent="0.2">
      <c r="A1973" s="6" t="str">
        <f>"AL137786.1"</f>
        <v>AL137786.1</v>
      </c>
      <c r="B1973" s="6">
        <v>1.3986013986013899E-2</v>
      </c>
      <c r="C1973" s="6">
        <v>0.11985199610515999</v>
      </c>
    </row>
    <row r="1974" spans="1:3" s="8" customFormat="1" x14ac:dyDescent="0.2">
      <c r="A1974" s="6" t="str">
        <f>"AC010735.2"</f>
        <v>AC010735.2</v>
      </c>
      <c r="B1974" s="6">
        <v>1.3986013986013899E-2</v>
      </c>
      <c r="C1974" s="6">
        <v>0.11985199610515999</v>
      </c>
    </row>
    <row r="1975" spans="1:3" s="8" customFormat="1" x14ac:dyDescent="0.2">
      <c r="A1975" s="6" t="str">
        <f>"UPF3AP2"</f>
        <v>UPF3AP2</v>
      </c>
      <c r="B1975" s="6">
        <v>1.36842105263157E-2</v>
      </c>
      <c r="C1975" s="6">
        <v>0.11985199610515999</v>
      </c>
    </row>
    <row r="1976" spans="1:3" s="8" customFormat="1" x14ac:dyDescent="0.2">
      <c r="A1976" s="6" t="str">
        <f>"CERS6-AS1"</f>
        <v>CERS6-AS1</v>
      </c>
      <c r="B1976" s="6">
        <v>1.3986013986013899E-2</v>
      </c>
      <c r="C1976" s="6">
        <v>0.11985199610515999</v>
      </c>
    </row>
    <row r="1977" spans="1:3" s="8" customFormat="1" x14ac:dyDescent="0.2">
      <c r="A1977" s="6" t="str">
        <f>"AL158071.2"</f>
        <v>AL158071.2</v>
      </c>
      <c r="B1977" s="6">
        <v>1.3986013986013899E-2</v>
      </c>
      <c r="C1977" s="6">
        <v>0.11985199610515999</v>
      </c>
    </row>
    <row r="1978" spans="1:3" s="8" customFormat="1" x14ac:dyDescent="0.2">
      <c r="A1978" s="6" t="str">
        <f>"AC055714.1"</f>
        <v>AC055714.1</v>
      </c>
      <c r="B1978" s="6">
        <v>1.3986013986013899E-2</v>
      </c>
      <c r="C1978" s="6">
        <v>0.11985199610515999</v>
      </c>
    </row>
    <row r="1979" spans="1:3" s="8" customFormat="1" x14ac:dyDescent="0.2">
      <c r="A1979" s="6" t="str">
        <f>"LINC02826"</f>
        <v>LINC02826</v>
      </c>
      <c r="B1979" s="6">
        <v>1.3986013986013899E-2</v>
      </c>
      <c r="C1979" s="6">
        <v>0.11985199610515999</v>
      </c>
    </row>
    <row r="1980" spans="1:3" s="8" customFormat="1" x14ac:dyDescent="0.2">
      <c r="A1980" s="6" t="str">
        <f>"LINC02474"</f>
        <v>LINC02474</v>
      </c>
      <c r="B1980" s="6">
        <v>1.3986013986013899E-2</v>
      </c>
      <c r="C1980" s="6">
        <v>0.11985199610515999</v>
      </c>
    </row>
    <row r="1981" spans="1:3" s="8" customFormat="1" x14ac:dyDescent="0.2">
      <c r="A1981" s="6" t="str">
        <f>"AC105052.2"</f>
        <v>AC105052.2</v>
      </c>
      <c r="B1981" s="6">
        <v>1.3986013986013899E-2</v>
      </c>
      <c r="C1981" s="6">
        <v>0.11985199610515999</v>
      </c>
    </row>
    <row r="1982" spans="1:3" s="8" customFormat="1" x14ac:dyDescent="0.2">
      <c r="A1982" s="6" t="str">
        <f>"ST6GALNAC5"</f>
        <v>ST6GALNAC5</v>
      </c>
      <c r="B1982" s="6">
        <v>1.3986013986013899E-2</v>
      </c>
      <c r="C1982" s="6">
        <v>0.11985199610515999</v>
      </c>
    </row>
    <row r="1983" spans="1:3" s="8" customFormat="1" x14ac:dyDescent="0.2">
      <c r="A1983" s="6" t="str">
        <f>"SPRR2C"</f>
        <v>SPRR2C</v>
      </c>
      <c r="B1983" s="6">
        <v>1.3986013986013899E-2</v>
      </c>
      <c r="C1983" s="6">
        <v>0.11985199610515999</v>
      </c>
    </row>
    <row r="1984" spans="1:3" s="8" customFormat="1" x14ac:dyDescent="0.2">
      <c r="A1984" s="6" t="str">
        <f>"TAFA2"</f>
        <v>TAFA2</v>
      </c>
      <c r="B1984" s="6">
        <v>1.3986013986013899E-2</v>
      </c>
      <c r="C1984" s="6">
        <v>0.11985199610515999</v>
      </c>
    </row>
    <row r="1985" spans="1:3" s="8" customFormat="1" x14ac:dyDescent="0.2">
      <c r="A1985" s="6" t="str">
        <f>"AP002851.1"</f>
        <v>AP002851.1</v>
      </c>
      <c r="B1985" s="6">
        <v>1.3986013986013899E-2</v>
      </c>
      <c r="C1985" s="6">
        <v>0.11985199610515999</v>
      </c>
    </row>
    <row r="1986" spans="1:3" s="8" customFormat="1" x14ac:dyDescent="0.2">
      <c r="A1986" s="6" t="str">
        <f>"AC092902.6"</f>
        <v>AC092902.6</v>
      </c>
      <c r="B1986" s="6">
        <v>1.3986013986013899E-2</v>
      </c>
      <c r="C1986" s="6">
        <v>0.11985199610515999</v>
      </c>
    </row>
    <row r="1987" spans="1:3" s="8" customFormat="1" x14ac:dyDescent="0.2">
      <c r="A1987" s="6" t="str">
        <f>"AC010538.1"</f>
        <v>AC010538.1</v>
      </c>
      <c r="B1987" s="6">
        <v>1.3457556935817801E-2</v>
      </c>
      <c r="C1987" s="6">
        <v>0.11985199610515999</v>
      </c>
    </row>
    <row r="1988" spans="1:3" s="8" customFormat="1" x14ac:dyDescent="0.2">
      <c r="A1988" s="6" t="str">
        <f>"AC004241.1"</f>
        <v>AC004241.1</v>
      </c>
      <c r="B1988" s="6">
        <v>1.3986013986013899E-2</v>
      </c>
      <c r="C1988" s="6">
        <v>0.11985199610515999</v>
      </c>
    </row>
    <row r="1989" spans="1:3" s="8" customFormat="1" x14ac:dyDescent="0.2">
      <c r="A1989" s="6" t="str">
        <f>"BX284613.2"</f>
        <v>BX284613.2</v>
      </c>
      <c r="B1989" s="6">
        <v>1.3986013986013899E-2</v>
      </c>
      <c r="C1989" s="6">
        <v>0.11985199610515999</v>
      </c>
    </row>
    <row r="1990" spans="1:3" s="8" customFormat="1" x14ac:dyDescent="0.2">
      <c r="A1990" s="6" t="str">
        <f>"CLNK"</f>
        <v>CLNK</v>
      </c>
      <c r="B1990" s="6">
        <v>1.3986013986013899E-2</v>
      </c>
      <c r="C1990" s="6">
        <v>0.11985199610515999</v>
      </c>
    </row>
    <row r="1991" spans="1:3" s="8" customFormat="1" x14ac:dyDescent="0.2">
      <c r="A1991" s="6" t="str">
        <f>"AL121899.4"</f>
        <v>AL121899.4</v>
      </c>
      <c r="B1991" s="6">
        <v>1.3986013986013899E-2</v>
      </c>
      <c r="C1991" s="6">
        <v>0.11985199610515999</v>
      </c>
    </row>
    <row r="1992" spans="1:3" s="8" customFormat="1" x14ac:dyDescent="0.2">
      <c r="A1992" s="6" t="str">
        <f>"AIM2"</f>
        <v>AIM2</v>
      </c>
      <c r="B1992" s="6">
        <v>1.3986013986013899E-2</v>
      </c>
      <c r="C1992" s="6">
        <v>0.11985199610515999</v>
      </c>
    </row>
    <row r="1993" spans="1:3" s="8" customFormat="1" x14ac:dyDescent="0.2">
      <c r="A1993" s="6" t="str">
        <f>"SV2C"</f>
        <v>SV2C</v>
      </c>
      <c r="B1993" s="6">
        <v>1.3986013986013899E-2</v>
      </c>
      <c r="C1993" s="6">
        <v>0.11985199610515999</v>
      </c>
    </row>
    <row r="1994" spans="1:3" s="8" customFormat="1" x14ac:dyDescent="0.2">
      <c r="A1994" s="6" t="str">
        <f>"LINC01239"</f>
        <v>LINC01239</v>
      </c>
      <c r="B1994" s="6">
        <v>1.3986013986013899E-2</v>
      </c>
      <c r="C1994" s="6">
        <v>0.11985199610515999</v>
      </c>
    </row>
    <row r="1995" spans="1:3" s="8" customFormat="1" x14ac:dyDescent="0.2">
      <c r="A1995" s="6" t="str">
        <f>"EPPIN-WFDC6"</f>
        <v>EPPIN-WFDC6</v>
      </c>
      <c r="B1995" s="6">
        <v>1.3986013986013899E-2</v>
      </c>
      <c r="C1995" s="6">
        <v>0.11985199610515999</v>
      </c>
    </row>
    <row r="1996" spans="1:3" s="8" customFormat="1" x14ac:dyDescent="0.2">
      <c r="A1996" s="6" t="str">
        <f>"CLSPN"</f>
        <v>CLSPN</v>
      </c>
      <c r="B1996" s="6">
        <v>1.3986013986013899E-2</v>
      </c>
      <c r="C1996" s="6">
        <v>0.11985199610515999</v>
      </c>
    </row>
    <row r="1997" spans="1:3" s="8" customFormat="1" x14ac:dyDescent="0.2">
      <c r="A1997" s="6" t="str">
        <f>"DIO2"</f>
        <v>DIO2</v>
      </c>
      <c r="B1997" s="6">
        <v>1.3986013986013899E-2</v>
      </c>
      <c r="C1997" s="6">
        <v>0.11985199610515999</v>
      </c>
    </row>
    <row r="1998" spans="1:3" s="8" customFormat="1" x14ac:dyDescent="0.2">
      <c r="A1998" s="6" t="str">
        <f>"CD69"</f>
        <v>CD69</v>
      </c>
      <c r="B1998" s="6">
        <v>1.3986013986013899E-2</v>
      </c>
      <c r="C1998" s="6">
        <v>0.11985199610515999</v>
      </c>
    </row>
    <row r="1999" spans="1:3" s="8" customFormat="1" x14ac:dyDescent="0.2">
      <c r="A1999" s="6" t="str">
        <f>"IL36RN"</f>
        <v>IL36RN</v>
      </c>
      <c r="B1999" s="6">
        <v>1.3986013986013899E-2</v>
      </c>
      <c r="C1999" s="6">
        <v>0.11985199610515999</v>
      </c>
    </row>
    <row r="2000" spans="1:3" s="8" customFormat="1" x14ac:dyDescent="0.2">
      <c r="A2000" s="6" t="str">
        <f>"MICB"</f>
        <v>MICB</v>
      </c>
      <c r="B2000" s="6">
        <v>1.3986013986013899E-2</v>
      </c>
      <c r="C2000" s="6">
        <v>0.11985199610515999</v>
      </c>
    </row>
    <row r="2001" spans="1:3" s="8" customFormat="1" x14ac:dyDescent="0.2">
      <c r="A2001" s="6" t="str">
        <f>"PNLDC1"</f>
        <v>PNLDC1</v>
      </c>
      <c r="B2001" s="6">
        <v>1.3986013986013899E-2</v>
      </c>
      <c r="C2001" s="6">
        <v>0.11985199610515999</v>
      </c>
    </row>
    <row r="2002" spans="1:3" s="8" customFormat="1" x14ac:dyDescent="0.2">
      <c r="A2002" s="6" t="str">
        <f>"SP140"</f>
        <v>SP140</v>
      </c>
      <c r="B2002" s="6">
        <v>1.3986013986013899E-2</v>
      </c>
      <c r="C2002" s="6">
        <v>0.11985199610515999</v>
      </c>
    </row>
    <row r="2003" spans="1:3" s="8" customFormat="1" x14ac:dyDescent="0.2">
      <c r="A2003" s="6" t="str">
        <f>"CBFA2T3"</f>
        <v>CBFA2T3</v>
      </c>
      <c r="B2003" s="6">
        <v>1.3986013986013899E-2</v>
      </c>
      <c r="C2003" s="6">
        <v>0.11985199610515999</v>
      </c>
    </row>
    <row r="2004" spans="1:3" s="8" customFormat="1" x14ac:dyDescent="0.2">
      <c r="A2004" s="6" t="str">
        <f>"AL162377.1"</f>
        <v>AL162377.1</v>
      </c>
      <c r="B2004" s="6">
        <v>1.3986013986013899E-2</v>
      </c>
      <c r="C2004" s="6">
        <v>0.11985199610515999</v>
      </c>
    </row>
    <row r="2005" spans="1:3" s="8" customFormat="1" x14ac:dyDescent="0.2">
      <c r="A2005" s="6" t="str">
        <f>"AC104532.1"</f>
        <v>AC104532.1</v>
      </c>
      <c r="B2005" s="6">
        <v>1.3986013986013899E-2</v>
      </c>
      <c r="C2005" s="6">
        <v>0.11985199610515999</v>
      </c>
    </row>
    <row r="2006" spans="1:3" s="8" customFormat="1" x14ac:dyDescent="0.2">
      <c r="A2006" s="6" t="str">
        <f>"DLG4"</f>
        <v>DLG4</v>
      </c>
      <c r="B2006" s="6">
        <v>1.3986013986013899E-2</v>
      </c>
      <c r="C2006" s="6">
        <v>0.11985199610515999</v>
      </c>
    </row>
    <row r="2007" spans="1:3" s="8" customFormat="1" x14ac:dyDescent="0.2">
      <c r="A2007" s="6" t="str">
        <f>"EPHX3"</f>
        <v>EPHX3</v>
      </c>
      <c r="B2007" s="6">
        <v>1.3986013986013899E-2</v>
      </c>
      <c r="C2007" s="6">
        <v>0.11985199610515999</v>
      </c>
    </row>
    <row r="2008" spans="1:3" s="8" customFormat="1" x14ac:dyDescent="0.2">
      <c r="A2008" s="6" t="str">
        <f>"L3MBTL4"</f>
        <v>L3MBTL4</v>
      </c>
      <c r="B2008" s="6">
        <v>1.3986013986013899E-2</v>
      </c>
      <c r="C2008" s="6">
        <v>0.11985199610515999</v>
      </c>
    </row>
    <row r="2009" spans="1:3" s="8" customFormat="1" x14ac:dyDescent="0.2">
      <c r="A2009" s="6" t="str">
        <f>"ACE2"</f>
        <v>ACE2</v>
      </c>
      <c r="B2009" s="6">
        <v>1.3986013986013899E-2</v>
      </c>
      <c r="C2009" s="6">
        <v>0.11985199610515999</v>
      </c>
    </row>
    <row r="2010" spans="1:3" s="8" customFormat="1" x14ac:dyDescent="0.2">
      <c r="A2010" s="6" t="str">
        <f>"CMC4"</f>
        <v>CMC4</v>
      </c>
      <c r="B2010" s="6">
        <v>1.3986013986013899E-2</v>
      </c>
      <c r="C2010" s="6">
        <v>0.11985199610515999</v>
      </c>
    </row>
    <row r="2011" spans="1:3" s="8" customFormat="1" x14ac:dyDescent="0.2">
      <c r="A2011" s="6" t="str">
        <f>"CCDC159"</f>
        <v>CCDC159</v>
      </c>
      <c r="B2011" s="6">
        <v>1.3986013986013899E-2</v>
      </c>
      <c r="C2011" s="6">
        <v>0.11985199610515999</v>
      </c>
    </row>
    <row r="2012" spans="1:3" s="8" customFormat="1" x14ac:dyDescent="0.2">
      <c r="A2012" s="6" t="str">
        <f>"CORO2B"</f>
        <v>CORO2B</v>
      </c>
      <c r="B2012" s="6">
        <v>1.3986013986013899E-2</v>
      </c>
      <c r="C2012" s="6">
        <v>0.11985199610515999</v>
      </c>
    </row>
    <row r="2013" spans="1:3" s="8" customFormat="1" x14ac:dyDescent="0.2">
      <c r="A2013" s="6" t="str">
        <f>"IKZF1"</f>
        <v>IKZF1</v>
      </c>
      <c r="B2013" s="6">
        <v>1.3986013986013899E-2</v>
      </c>
      <c r="C2013" s="6">
        <v>0.11985199610515999</v>
      </c>
    </row>
    <row r="2014" spans="1:3" s="8" customFormat="1" x14ac:dyDescent="0.2">
      <c r="A2014" s="6" t="str">
        <f>"SLC10A7"</f>
        <v>SLC10A7</v>
      </c>
      <c r="B2014" s="6">
        <v>1.3986013986013899E-2</v>
      </c>
      <c r="C2014" s="6">
        <v>0.11985199610515999</v>
      </c>
    </row>
    <row r="2015" spans="1:3" s="8" customFormat="1" x14ac:dyDescent="0.2">
      <c r="A2015" s="6" t="str">
        <f>"TNS3"</f>
        <v>TNS3</v>
      </c>
      <c r="B2015" s="6">
        <v>1.3986013986013899E-2</v>
      </c>
      <c r="C2015" s="6">
        <v>0.11985199610515999</v>
      </c>
    </row>
    <row r="2016" spans="1:3" s="8" customFormat="1" x14ac:dyDescent="0.2">
      <c r="A2016" s="6" t="str">
        <f>"TBKBP1"</f>
        <v>TBKBP1</v>
      </c>
      <c r="B2016" s="6">
        <v>1.3986013986013899E-2</v>
      </c>
      <c r="C2016" s="6">
        <v>0.11985199610515999</v>
      </c>
    </row>
    <row r="2017" spans="1:3" s="8" customFormat="1" x14ac:dyDescent="0.2">
      <c r="A2017" s="6" t="str">
        <f>"IRAK2"</f>
        <v>IRAK2</v>
      </c>
      <c r="B2017" s="6">
        <v>1.3986013986013899E-2</v>
      </c>
      <c r="C2017" s="6">
        <v>0.11985199610515999</v>
      </c>
    </row>
    <row r="2018" spans="1:3" s="8" customFormat="1" x14ac:dyDescent="0.2">
      <c r="A2018" s="6" t="str">
        <f>"EID2"</f>
        <v>EID2</v>
      </c>
      <c r="B2018" s="6">
        <v>1.3986013986013899E-2</v>
      </c>
      <c r="C2018" s="6">
        <v>0.11985199610515999</v>
      </c>
    </row>
    <row r="2019" spans="1:3" s="8" customFormat="1" x14ac:dyDescent="0.2">
      <c r="A2019" s="6" t="str">
        <f>"MFSD6L"</f>
        <v>MFSD6L</v>
      </c>
      <c r="B2019" s="6">
        <v>1.3986013986013899E-2</v>
      </c>
      <c r="C2019" s="6">
        <v>0.11985199610515999</v>
      </c>
    </row>
    <row r="2020" spans="1:3" s="8" customFormat="1" x14ac:dyDescent="0.2">
      <c r="A2020" s="6" t="str">
        <f>"COL17A1"</f>
        <v>COL17A1</v>
      </c>
      <c r="B2020" s="6">
        <v>1.3986013986013899E-2</v>
      </c>
      <c r="C2020" s="6">
        <v>0.11985199610515999</v>
      </c>
    </row>
    <row r="2021" spans="1:3" s="8" customFormat="1" x14ac:dyDescent="0.2">
      <c r="A2021" s="6" t="str">
        <f>"STAB1"</f>
        <v>STAB1</v>
      </c>
      <c r="B2021" s="6">
        <v>1.3986013986013899E-2</v>
      </c>
      <c r="C2021" s="6">
        <v>0.11985199610515999</v>
      </c>
    </row>
    <row r="2022" spans="1:3" s="8" customFormat="1" x14ac:dyDescent="0.2">
      <c r="A2022" s="6" t="str">
        <f>"DPM3"</f>
        <v>DPM3</v>
      </c>
      <c r="B2022" s="6">
        <v>1.3986013986013899E-2</v>
      </c>
      <c r="C2022" s="6">
        <v>0.11985199610515999</v>
      </c>
    </row>
    <row r="2023" spans="1:3" s="8" customFormat="1" x14ac:dyDescent="0.2">
      <c r="A2023" s="6" t="str">
        <f>"PRADC1"</f>
        <v>PRADC1</v>
      </c>
      <c r="B2023" s="6">
        <v>1.3986013986013899E-2</v>
      </c>
      <c r="C2023" s="6">
        <v>0.11985199610515999</v>
      </c>
    </row>
    <row r="2024" spans="1:3" s="8" customFormat="1" x14ac:dyDescent="0.2">
      <c r="A2024" s="6" t="str">
        <f>"A2ML1"</f>
        <v>A2ML1</v>
      </c>
      <c r="B2024" s="6">
        <v>1.3986013986013899E-2</v>
      </c>
      <c r="C2024" s="6">
        <v>0.11985199610515999</v>
      </c>
    </row>
    <row r="2025" spans="1:3" s="8" customFormat="1" x14ac:dyDescent="0.2">
      <c r="A2025" s="6" t="str">
        <f>"LINC00467"</f>
        <v>LINC00467</v>
      </c>
      <c r="B2025" s="6">
        <v>1.3986013986013899E-2</v>
      </c>
      <c r="C2025" s="6">
        <v>0.11985199610515999</v>
      </c>
    </row>
    <row r="2026" spans="1:3" s="8" customFormat="1" x14ac:dyDescent="0.2">
      <c r="A2026" s="6" t="str">
        <f>"NSMCE3"</f>
        <v>NSMCE3</v>
      </c>
      <c r="B2026" s="6">
        <v>1.3986013986013899E-2</v>
      </c>
      <c r="C2026" s="6">
        <v>0.11985199610515999</v>
      </c>
    </row>
    <row r="2027" spans="1:3" s="8" customFormat="1" x14ac:dyDescent="0.2">
      <c r="A2027" s="6" t="str">
        <f>"SLC35A1"</f>
        <v>SLC35A1</v>
      </c>
      <c r="B2027" s="6">
        <v>1.3986013986013899E-2</v>
      </c>
      <c r="C2027" s="6">
        <v>0.11985199610515999</v>
      </c>
    </row>
    <row r="2028" spans="1:3" s="8" customFormat="1" x14ac:dyDescent="0.2">
      <c r="A2028" s="6" t="str">
        <f>"SLC23A1"</f>
        <v>SLC23A1</v>
      </c>
      <c r="B2028" s="6">
        <v>1.3986013986013899E-2</v>
      </c>
      <c r="C2028" s="6">
        <v>0.11985199610515999</v>
      </c>
    </row>
    <row r="2029" spans="1:3" s="8" customFormat="1" x14ac:dyDescent="0.2">
      <c r="A2029" s="6" t="str">
        <f>"PISD"</f>
        <v>PISD</v>
      </c>
      <c r="B2029" s="6">
        <v>1.3986013986013899E-2</v>
      </c>
      <c r="C2029" s="6">
        <v>0.11985199610515999</v>
      </c>
    </row>
    <row r="2030" spans="1:3" s="8" customFormat="1" x14ac:dyDescent="0.2">
      <c r="A2030" s="6" t="str">
        <f>"OSBPL1A"</f>
        <v>OSBPL1A</v>
      </c>
      <c r="B2030" s="6">
        <v>1.3986013986013899E-2</v>
      </c>
      <c r="C2030" s="6">
        <v>0.11985199610515999</v>
      </c>
    </row>
    <row r="2031" spans="1:3" s="8" customFormat="1" x14ac:dyDescent="0.2">
      <c r="A2031" s="6" t="str">
        <f>"CIAO2B"</f>
        <v>CIAO2B</v>
      </c>
      <c r="B2031" s="6">
        <v>1.3986013986013899E-2</v>
      </c>
      <c r="C2031" s="6">
        <v>0.11985199610515999</v>
      </c>
    </row>
    <row r="2032" spans="1:3" s="8" customFormat="1" x14ac:dyDescent="0.2">
      <c r="A2032" s="6" t="str">
        <f>"SIAH2"</f>
        <v>SIAH2</v>
      </c>
      <c r="B2032" s="6">
        <v>1.3986013986013899E-2</v>
      </c>
      <c r="C2032" s="6">
        <v>0.11985199610515999</v>
      </c>
    </row>
    <row r="2033" spans="1:3" s="8" customFormat="1" x14ac:dyDescent="0.2">
      <c r="A2033" s="6" t="str">
        <f>"SYNJ2"</f>
        <v>SYNJ2</v>
      </c>
      <c r="B2033" s="6">
        <v>1.3986013986013899E-2</v>
      </c>
      <c r="C2033" s="6">
        <v>0.11985199610515999</v>
      </c>
    </row>
    <row r="2034" spans="1:3" s="8" customFormat="1" x14ac:dyDescent="0.2">
      <c r="A2034" s="6" t="str">
        <f>"EIF2D"</f>
        <v>EIF2D</v>
      </c>
      <c r="B2034" s="6">
        <v>1.3986013986013899E-2</v>
      </c>
      <c r="C2034" s="6">
        <v>0.11985199610515999</v>
      </c>
    </row>
    <row r="2035" spans="1:3" s="8" customFormat="1" x14ac:dyDescent="0.2">
      <c r="A2035" s="6" t="str">
        <f>"SLC13A3"</f>
        <v>SLC13A3</v>
      </c>
      <c r="B2035" s="6">
        <v>1.3986013986013899E-2</v>
      </c>
      <c r="C2035" s="6">
        <v>0.11985199610515999</v>
      </c>
    </row>
    <row r="2036" spans="1:3" s="8" customFormat="1" x14ac:dyDescent="0.2">
      <c r="A2036" s="6" t="str">
        <f>"STARD3"</f>
        <v>STARD3</v>
      </c>
      <c r="B2036" s="6">
        <v>1.3986013986013899E-2</v>
      </c>
      <c r="C2036" s="6">
        <v>0.11985199610515999</v>
      </c>
    </row>
    <row r="2037" spans="1:3" s="8" customFormat="1" x14ac:dyDescent="0.2">
      <c r="A2037" s="6" t="str">
        <f>"PDS5B"</f>
        <v>PDS5B</v>
      </c>
      <c r="B2037" s="6">
        <v>1.3986013986013899E-2</v>
      </c>
      <c r="C2037" s="6">
        <v>0.11985199610515999</v>
      </c>
    </row>
    <row r="2038" spans="1:3" s="8" customFormat="1" x14ac:dyDescent="0.2">
      <c r="A2038" s="6" t="str">
        <f>"SEMA4D"</f>
        <v>SEMA4D</v>
      </c>
      <c r="B2038" s="6">
        <v>1.3986013986013899E-2</v>
      </c>
      <c r="C2038" s="6">
        <v>0.11985199610515999</v>
      </c>
    </row>
    <row r="2039" spans="1:3" s="8" customFormat="1" x14ac:dyDescent="0.2">
      <c r="A2039" s="6" t="str">
        <f>"C19orf53"</f>
        <v>C19orf53</v>
      </c>
      <c r="B2039" s="6">
        <v>1.3986013986013899E-2</v>
      </c>
      <c r="C2039" s="6">
        <v>0.11985199610515999</v>
      </c>
    </row>
    <row r="2040" spans="1:3" s="8" customFormat="1" x14ac:dyDescent="0.2">
      <c r="A2040" s="6" t="str">
        <f>"RAB4A"</f>
        <v>RAB4A</v>
      </c>
      <c r="B2040" s="6">
        <v>1.3986013986013899E-2</v>
      </c>
      <c r="C2040" s="6">
        <v>0.11985199610515999</v>
      </c>
    </row>
    <row r="2041" spans="1:3" s="8" customFormat="1" x14ac:dyDescent="0.2">
      <c r="A2041" s="6" t="str">
        <f>"MBD1"</f>
        <v>MBD1</v>
      </c>
      <c r="B2041" s="6">
        <v>1.3986013986013899E-2</v>
      </c>
      <c r="C2041" s="6">
        <v>0.11985199610515999</v>
      </c>
    </row>
    <row r="2042" spans="1:3" s="8" customFormat="1" x14ac:dyDescent="0.2">
      <c r="A2042" s="6" t="str">
        <f>"WDR11"</f>
        <v>WDR11</v>
      </c>
      <c r="B2042" s="6">
        <v>1.3986013986013899E-2</v>
      </c>
      <c r="C2042" s="6">
        <v>0.11985199610515999</v>
      </c>
    </row>
    <row r="2043" spans="1:3" s="8" customFormat="1" x14ac:dyDescent="0.2">
      <c r="A2043" s="6" t="str">
        <f>"SCAND1"</f>
        <v>SCAND1</v>
      </c>
      <c r="B2043" s="6">
        <v>1.3986013986013899E-2</v>
      </c>
      <c r="C2043" s="6">
        <v>0.11985199610515999</v>
      </c>
    </row>
    <row r="2044" spans="1:3" s="8" customFormat="1" x14ac:dyDescent="0.2">
      <c r="A2044" s="6" t="str">
        <f>"SYT7"</f>
        <v>SYT7</v>
      </c>
      <c r="B2044" s="6">
        <v>1.3986013986013899E-2</v>
      </c>
      <c r="C2044" s="6">
        <v>0.11985199610515999</v>
      </c>
    </row>
    <row r="2045" spans="1:3" s="8" customFormat="1" x14ac:dyDescent="0.2">
      <c r="A2045" s="6" t="str">
        <f>"QRICH1"</f>
        <v>QRICH1</v>
      </c>
      <c r="B2045" s="6">
        <v>1.3986013986013899E-2</v>
      </c>
      <c r="C2045" s="6">
        <v>0.11985199610515999</v>
      </c>
    </row>
    <row r="2046" spans="1:3" s="8" customFormat="1" x14ac:dyDescent="0.2">
      <c r="A2046" s="6" t="str">
        <f>"ISCU"</f>
        <v>ISCU</v>
      </c>
      <c r="B2046" s="6">
        <v>1.3986013986013899E-2</v>
      </c>
      <c r="C2046" s="6">
        <v>0.11985199610515999</v>
      </c>
    </row>
    <row r="2047" spans="1:3" s="8" customFormat="1" x14ac:dyDescent="0.2">
      <c r="A2047" s="6" t="str">
        <f>"RBM23"</f>
        <v>RBM23</v>
      </c>
      <c r="B2047" s="6">
        <v>1.3986013986013899E-2</v>
      </c>
      <c r="C2047" s="6">
        <v>0.11985199610515999</v>
      </c>
    </row>
    <row r="2048" spans="1:3" s="8" customFormat="1" x14ac:dyDescent="0.2">
      <c r="A2048" s="6" t="str">
        <f>"CABIN1"</f>
        <v>CABIN1</v>
      </c>
      <c r="B2048" s="6">
        <v>1.3986013986013899E-2</v>
      </c>
      <c r="C2048" s="6">
        <v>0.11985199610515999</v>
      </c>
    </row>
    <row r="2049" spans="1:3" s="8" customFormat="1" x14ac:dyDescent="0.2">
      <c r="A2049" s="6" t="str">
        <f>"ZMIZ2"</f>
        <v>ZMIZ2</v>
      </c>
      <c r="B2049" s="6">
        <v>1.3986013986013899E-2</v>
      </c>
      <c r="C2049" s="6">
        <v>0.11985199610515999</v>
      </c>
    </row>
    <row r="2050" spans="1:3" s="8" customFormat="1" x14ac:dyDescent="0.2">
      <c r="A2050" s="6" t="str">
        <f>"CTXN1"</f>
        <v>CTXN1</v>
      </c>
      <c r="B2050" s="6">
        <v>1.3986013986013899E-2</v>
      </c>
      <c r="C2050" s="6">
        <v>0.11985199610515999</v>
      </c>
    </row>
    <row r="2051" spans="1:3" s="8" customFormat="1" x14ac:dyDescent="0.2">
      <c r="A2051" s="6" t="str">
        <f>"PICALM"</f>
        <v>PICALM</v>
      </c>
      <c r="B2051" s="6">
        <v>1.3986013986013899E-2</v>
      </c>
      <c r="C2051" s="6">
        <v>0.11985199610515999</v>
      </c>
    </row>
    <row r="2052" spans="1:3" s="8" customFormat="1" x14ac:dyDescent="0.2">
      <c r="A2052" s="6" t="str">
        <f>"GBF1"</f>
        <v>GBF1</v>
      </c>
      <c r="B2052" s="6">
        <v>1.3986013986013899E-2</v>
      </c>
      <c r="C2052" s="6">
        <v>0.11985199610515999</v>
      </c>
    </row>
    <row r="2053" spans="1:3" s="8" customFormat="1" x14ac:dyDescent="0.2">
      <c r="A2053" s="6" t="str">
        <f>"EFHD2"</f>
        <v>EFHD2</v>
      </c>
      <c r="B2053" s="6">
        <v>1.3986013986013899E-2</v>
      </c>
      <c r="C2053" s="6">
        <v>0.11985199610515999</v>
      </c>
    </row>
    <row r="2054" spans="1:3" s="8" customFormat="1" x14ac:dyDescent="0.2">
      <c r="A2054" s="6" t="str">
        <f>"HSP90AA1"</f>
        <v>HSP90AA1</v>
      </c>
      <c r="B2054" s="6">
        <v>1.3986013986013899E-2</v>
      </c>
      <c r="C2054" s="6">
        <v>0.11985199610515999</v>
      </c>
    </row>
    <row r="2055" spans="1:3" s="8" customFormat="1" x14ac:dyDescent="0.2">
      <c r="A2055" s="6" t="str">
        <f>"TSPAN1"</f>
        <v>TSPAN1</v>
      </c>
      <c r="B2055" s="6">
        <v>1.3986013986013899E-2</v>
      </c>
      <c r="C2055" s="6">
        <v>0.11985199610515999</v>
      </c>
    </row>
    <row r="2056" spans="1:3" s="8" customFormat="1" x14ac:dyDescent="0.2">
      <c r="A2056" s="6" t="str">
        <f>"LINC02732"</f>
        <v>LINC02732</v>
      </c>
      <c r="B2056" s="6">
        <v>1.4014014014014E-2</v>
      </c>
      <c r="C2056" s="6">
        <v>0.11991358755349001</v>
      </c>
    </row>
    <row r="2057" spans="1:3" s="8" customFormat="1" x14ac:dyDescent="0.2">
      <c r="A2057" s="6" t="str">
        <f>"BTNL3"</f>
        <v>BTNL3</v>
      </c>
      <c r="B2057" s="6">
        <v>1.4056224899598299E-2</v>
      </c>
      <c r="C2057" s="6">
        <v>0.12021627365493</v>
      </c>
    </row>
    <row r="2058" spans="1:3" s="8" customFormat="1" x14ac:dyDescent="0.2">
      <c r="A2058" s="6" t="str">
        <f>"UNC93B6"</f>
        <v>UNC93B6</v>
      </c>
      <c r="B2058" s="6">
        <v>1.4098690835850899E-2</v>
      </c>
      <c r="C2058" s="6">
        <v>0.120520845725621</v>
      </c>
    </row>
    <row r="2059" spans="1:3" s="8" customFormat="1" x14ac:dyDescent="0.2">
      <c r="A2059" s="6" t="str">
        <f>"NAALAD2"</f>
        <v>NAALAD2</v>
      </c>
      <c r="B2059" s="6">
        <v>1.4112903225806399E-2</v>
      </c>
      <c r="C2059" s="6">
        <v>0.12058371735791</v>
      </c>
    </row>
    <row r="2060" spans="1:3" s="8" customFormat="1" x14ac:dyDescent="0.2">
      <c r="A2060" s="6" t="str">
        <f>"AC020765.2"</f>
        <v>AC020765.2</v>
      </c>
      <c r="B2060" s="6">
        <v>1.4141414141414101E-2</v>
      </c>
      <c r="C2060" s="6">
        <v>0.120768638301421</v>
      </c>
    </row>
    <row r="2061" spans="1:3" s="8" customFormat="1" x14ac:dyDescent="0.2">
      <c r="A2061" s="6" t="str">
        <f>"DPEP3"</f>
        <v>DPEP3</v>
      </c>
      <c r="B2061" s="6">
        <v>1.4985014985014899E-2</v>
      </c>
      <c r="C2061" s="6">
        <v>0.12313725490195999</v>
      </c>
    </row>
    <row r="2062" spans="1:3" s="8" customFormat="1" x14ac:dyDescent="0.2">
      <c r="A2062" s="6" t="str">
        <f>"ZNF781"</f>
        <v>ZNF781</v>
      </c>
      <c r="B2062" s="6">
        <v>1.4985014985014899E-2</v>
      </c>
      <c r="C2062" s="6">
        <v>0.12313725490195999</v>
      </c>
    </row>
    <row r="2063" spans="1:3" s="8" customFormat="1" x14ac:dyDescent="0.2">
      <c r="A2063" s="6" t="str">
        <f>"AC008687.8"</f>
        <v>AC008687.8</v>
      </c>
      <c r="B2063" s="6">
        <v>1.4985014985014899E-2</v>
      </c>
      <c r="C2063" s="6">
        <v>0.12313725490195999</v>
      </c>
    </row>
    <row r="2064" spans="1:3" s="8" customFormat="1" x14ac:dyDescent="0.2">
      <c r="A2064" s="6" t="str">
        <f>"OR8B9P"</f>
        <v>OR8B9P</v>
      </c>
      <c r="B2064" s="6">
        <v>1.46699266503667E-2</v>
      </c>
      <c r="C2064" s="6">
        <v>0.12313725490195999</v>
      </c>
    </row>
    <row r="2065" spans="1:3" s="8" customFormat="1" x14ac:dyDescent="0.2">
      <c r="A2065" s="6" t="str">
        <f>"DM1-AS"</f>
        <v>DM1-AS</v>
      </c>
      <c r="B2065" s="6">
        <v>1.4999999999999999E-2</v>
      </c>
      <c r="C2065" s="6">
        <v>0.12313725490195999</v>
      </c>
    </row>
    <row r="2066" spans="1:3" s="8" customFormat="1" x14ac:dyDescent="0.2">
      <c r="A2066" s="6" t="str">
        <f>"LRRC70"</f>
        <v>LRRC70</v>
      </c>
      <c r="B2066" s="6">
        <v>1.4985014985014899E-2</v>
      </c>
      <c r="C2066" s="6">
        <v>0.12313725490195999</v>
      </c>
    </row>
    <row r="2067" spans="1:3" s="8" customFormat="1" x14ac:dyDescent="0.2">
      <c r="A2067" s="6" t="str">
        <f>"AL391422.2"</f>
        <v>AL391422.2</v>
      </c>
      <c r="B2067" s="6">
        <v>1.4985014985014899E-2</v>
      </c>
      <c r="C2067" s="6">
        <v>0.12313725490195999</v>
      </c>
    </row>
    <row r="2068" spans="1:3" s="8" customFormat="1" x14ac:dyDescent="0.2">
      <c r="A2068" s="6" t="str">
        <f>"AL121933.2"</f>
        <v>AL121933.2</v>
      </c>
      <c r="B2068" s="6">
        <v>1.4999999999999999E-2</v>
      </c>
      <c r="C2068" s="6">
        <v>0.12313725490195999</v>
      </c>
    </row>
    <row r="2069" spans="1:3" s="8" customFormat="1" x14ac:dyDescent="0.2">
      <c r="A2069" s="6" t="str">
        <f>"ATP8B3"</f>
        <v>ATP8B3</v>
      </c>
      <c r="B2069" s="6">
        <v>1.4985014985014899E-2</v>
      </c>
      <c r="C2069" s="6">
        <v>0.12313725490195999</v>
      </c>
    </row>
    <row r="2070" spans="1:3" s="8" customFormat="1" x14ac:dyDescent="0.2">
      <c r="A2070" s="6" t="str">
        <f>"AC005306.1"</f>
        <v>AC005306.1</v>
      </c>
      <c r="B2070" s="6">
        <v>1.4985014985014899E-2</v>
      </c>
      <c r="C2070" s="6">
        <v>0.12313725490195999</v>
      </c>
    </row>
    <row r="2071" spans="1:3" s="8" customFormat="1" x14ac:dyDescent="0.2">
      <c r="A2071" s="6" t="str">
        <f>"PTGES3P1"</f>
        <v>PTGES3P1</v>
      </c>
      <c r="B2071" s="6">
        <v>1.4985014985014899E-2</v>
      </c>
      <c r="C2071" s="6">
        <v>0.12313725490195999</v>
      </c>
    </row>
    <row r="2072" spans="1:3" s="8" customFormat="1" x14ac:dyDescent="0.2">
      <c r="A2072" s="6" t="str">
        <f>"LRRC75A"</f>
        <v>LRRC75A</v>
      </c>
      <c r="B2072" s="6">
        <v>1.4985014985014899E-2</v>
      </c>
      <c r="C2072" s="6">
        <v>0.12313725490195999</v>
      </c>
    </row>
    <row r="2073" spans="1:3" s="8" customFormat="1" x14ac:dyDescent="0.2">
      <c r="A2073" s="6" t="str">
        <f>"AL035587.1"</f>
        <v>AL035587.1</v>
      </c>
      <c r="B2073" s="6">
        <v>1.44478844169246E-2</v>
      </c>
      <c r="C2073" s="6">
        <v>0.12313725490195999</v>
      </c>
    </row>
    <row r="2074" spans="1:3" s="8" customFormat="1" x14ac:dyDescent="0.2">
      <c r="A2074" s="6" t="str">
        <f>"ZNF788P"</f>
        <v>ZNF788P</v>
      </c>
      <c r="B2074" s="6">
        <v>1.4985014985014899E-2</v>
      </c>
      <c r="C2074" s="6">
        <v>0.12313725490195999</v>
      </c>
    </row>
    <row r="2075" spans="1:3" s="8" customFormat="1" x14ac:dyDescent="0.2">
      <c r="A2075" s="6" t="str">
        <f>"AL359258.3"</f>
        <v>AL359258.3</v>
      </c>
      <c r="B2075" s="6">
        <v>1.4985014985014899E-2</v>
      </c>
      <c r="C2075" s="6">
        <v>0.12313725490195999</v>
      </c>
    </row>
    <row r="2076" spans="1:3" s="8" customFormat="1" x14ac:dyDescent="0.2">
      <c r="A2076" s="6" t="str">
        <f>"MRPL20-DT"</f>
        <v>MRPL20-DT</v>
      </c>
      <c r="B2076" s="6">
        <v>1.4985014985014899E-2</v>
      </c>
      <c r="C2076" s="6">
        <v>0.12313725490195999</v>
      </c>
    </row>
    <row r="2077" spans="1:3" s="8" customFormat="1" x14ac:dyDescent="0.2">
      <c r="A2077" s="6" t="str">
        <f>"SLC47A2"</f>
        <v>SLC47A2</v>
      </c>
      <c r="B2077" s="6">
        <v>1.4985014985014899E-2</v>
      </c>
      <c r="C2077" s="6">
        <v>0.12313725490195999</v>
      </c>
    </row>
    <row r="2078" spans="1:3" s="8" customFormat="1" x14ac:dyDescent="0.2">
      <c r="A2078" s="6" t="str">
        <f>"MPL"</f>
        <v>MPL</v>
      </c>
      <c r="B2078" s="6">
        <v>1.4985014985014899E-2</v>
      </c>
      <c r="C2078" s="6">
        <v>0.12313725490195999</v>
      </c>
    </row>
    <row r="2079" spans="1:3" s="8" customFormat="1" x14ac:dyDescent="0.2">
      <c r="A2079" s="6" t="str">
        <f>"PARP15"</f>
        <v>PARP15</v>
      </c>
      <c r="B2079" s="6">
        <v>1.4985014985014899E-2</v>
      </c>
      <c r="C2079" s="6">
        <v>0.12313725490195999</v>
      </c>
    </row>
    <row r="2080" spans="1:3" s="8" customFormat="1" x14ac:dyDescent="0.2">
      <c r="A2080" s="6" t="str">
        <f>"LINC02469"</f>
        <v>LINC02469</v>
      </c>
      <c r="B2080" s="6">
        <v>1.4985014985014899E-2</v>
      </c>
      <c r="C2080" s="6">
        <v>0.12313725490195999</v>
      </c>
    </row>
    <row r="2081" spans="1:3" s="8" customFormat="1" x14ac:dyDescent="0.2">
      <c r="A2081" s="6" t="str">
        <f>"RPL13P5"</f>
        <v>RPL13P5</v>
      </c>
      <c r="B2081" s="6">
        <v>1.4985014985014899E-2</v>
      </c>
      <c r="C2081" s="6">
        <v>0.12313725490195999</v>
      </c>
    </row>
    <row r="2082" spans="1:3" s="8" customFormat="1" x14ac:dyDescent="0.2">
      <c r="A2082" s="6" t="str">
        <f>"SIAH3"</f>
        <v>SIAH3</v>
      </c>
      <c r="B2082" s="6">
        <v>1.4985014985014899E-2</v>
      </c>
      <c r="C2082" s="6">
        <v>0.12313725490195999</v>
      </c>
    </row>
    <row r="2083" spans="1:3" s="8" customFormat="1" x14ac:dyDescent="0.2">
      <c r="A2083" s="6" t="str">
        <f>"PTTG1"</f>
        <v>PTTG1</v>
      </c>
      <c r="B2083" s="6">
        <v>1.4985014985014899E-2</v>
      </c>
      <c r="C2083" s="6">
        <v>0.12313725490195999</v>
      </c>
    </row>
    <row r="2084" spans="1:3" s="8" customFormat="1" x14ac:dyDescent="0.2">
      <c r="A2084" s="6" t="str">
        <f>"GDA"</f>
        <v>GDA</v>
      </c>
      <c r="B2084" s="6">
        <v>1.4985014985014899E-2</v>
      </c>
      <c r="C2084" s="6">
        <v>0.12313725490195999</v>
      </c>
    </row>
    <row r="2085" spans="1:3" s="8" customFormat="1" x14ac:dyDescent="0.2">
      <c r="A2085" s="6" t="str">
        <f>"NFATC4"</f>
        <v>NFATC4</v>
      </c>
      <c r="B2085" s="6">
        <v>1.4985014985014899E-2</v>
      </c>
      <c r="C2085" s="6">
        <v>0.12313725490195999</v>
      </c>
    </row>
    <row r="2086" spans="1:3" s="8" customFormat="1" x14ac:dyDescent="0.2">
      <c r="A2086" s="6" t="str">
        <f>"L3MBTL1"</f>
        <v>L3MBTL1</v>
      </c>
      <c r="B2086" s="6">
        <v>1.4985014985014899E-2</v>
      </c>
      <c r="C2086" s="6">
        <v>0.12313725490195999</v>
      </c>
    </row>
    <row r="2087" spans="1:3" s="8" customFormat="1" x14ac:dyDescent="0.2">
      <c r="A2087" s="6" t="str">
        <f>"RCN3"</f>
        <v>RCN3</v>
      </c>
      <c r="B2087" s="6">
        <v>1.4985014985014899E-2</v>
      </c>
      <c r="C2087" s="6">
        <v>0.12313725490195999</v>
      </c>
    </row>
    <row r="2088" spans="1:3" s="8" customFormat="1" x14ac:dyDescent="0.2">
      <c r="A2088" s="6" t="str">
        <f>"ZNF717"</f>
        <v>ZNF717</v>
      </c>
      <c r="B2088" s="6">
        <v>1.4985014985014899E-2</v>
      </c>
      <c r="C2088" s="6">
        <v>0.12313725490195999</v>
      </c>
    </row>
    <row r="2089" spans="1:3" s="8" customFormat="1" x14ac:dyDescent="0.2">
      <c r="A2089" s="6" t="str">
        <f>"NSUN5P2"</f>
        <v>NSUN5P2</v>
      </c>
      <c r="B2089" s="6">
        <v>1.4985014985014899E-2</v>
      </c>
      <c r="C2089" s="6">
        <v>0.12313725490195999</v>
      </c>
    </row>
    <row r="2090" spans="1:3" s="8" customFormat="1" x14ac:dyDescent="0.2">
      <c r="A2090" s="6" t="str">
        <f>"AC016588.2"</f>
        <v>AC016588.2</v>
      </c>
      <c r="B2090" s="6">
        <v>1.4985014985014899E-2</v>
      </c>
      <c r="C2090" s="6">
        <v>0.12313725490195999</v>
      </c>
    </row>
    <row r="2091" spans="1:3" s="8" customFormat="1" x14ac:dyDescent="0.2">
      <c r="A2091" s="6" t="str">
        <f>"CPNE8"</f>
        <v>CPNE8</v>
      </c>
      <c r="B2091" s="6">
        <v>1.4985014985014899E-2</v>
      </c>
      <c r="C2091" s="6">
        <v>0.12313725490195999</v>
      </c>
    </row>
    <row r="2092" spans="1:3" s="8" customFormat="1" x14ac:dyDescent="0.2">
      <c r="A2092" s="6" t="str">
        <f>"MMS22L"</f>
        <v>MMS22L</v>
      </c>
      <c r="B2092" s="6">
        <v>1.4985014985014899E-2</v>
      </c>
      <c r="C2092" s="6">
        <v>0.12313725490195999</v>
      </c>
    </row>
    <row r="2093" spans="1:3" s="8" customFormat="1" x14ac:dyDescent="0.2">
      <c r="A2093" s="6" t="str">
        <f>"NUDT16P1"</f>
        <v>NUDT16P1</v>
      </c>
      <c r="B2093" s="6">
        <v>1.4985014985014899E-2</v>
      </c>
      <c r="C2093" s="6">
        <v>0.12313725490195999</v>
      </c>
    </row>
    <row r="2094" spans="1:3" s="8" customFormat="1" x14ac:dyDescent="0.2">
      <c r="A2094" s="6" t="str">
        <f>"METTL27"</f>
        <v>METTL27</v>
      </c>
      <c r="B2094" s="6">
        <v>1.4985014985014899E-2</v>
      </c>
      <c r="C2094" s="6">
        <v>0.12313725490195999</v>
      </c>
    </row>
    <row r="2095" spans="1:3" s="8" customFormat="1" x14ac:dyDescent="0.2">
      <c r="A2095" s="6" t="str">
        <f>"ARID3B"</f>
        <v>ARID3B</v>
      </c>
      <c r="B2095" s="6">
        <v>1.4985014985014899E-2</v>
      </c>
      <c r="C2095" s="6">
        <v>0.12313725490195999</v>
      </c>
    </row>
    <row r="2096" spans="1:3" s="8" customFormat="1" x14ac:dyDescent="0.2">
      <c r="A2096" s="6" t="str">
        <f>"GATB"</f>
        <v>GATB</v>
      </c>
      <c r="B2096" s="6">
        <v>1.4985014985014899E-2</v>
      </c>
      <c r="C2096" s="6">
        <v>0.12313725490195999</v>
      </c>
    </row>
    <row r="2097" spans="1:3" s="8" customFormat="1" x14ac:dyDescent="0.2">
      <c r="A2097" s="6" t="str">
        <f>"SLC37A2"</f>
        <v>SLC37A2</v>
      </c>
      <c r="B2097" s="6">
        <v>1.4999999999999999E-2</v>
      </c>
      <c r="C2097" s="6">
        <v>0.12313725490195999</v>
      </c>
    </row>
    <row r="2098" spans="1:3" s="8" customFormat="1" x14ac:dyDescent="0.2">
      <c r="A2098" s="6" t="str">
        <f>"HEBP1"</f>
        <v>HEBP1</v>
      </c>
      <c r="B2098" s="6">
        <v>1.4985014985014899E-2</v>
      </c>
      <c r="C2098" s="6">
        <v>0.12313725490195999</v>
      </c>
    </row>
    <row r="2099" spans="1:3" s="8" customFormat="1" x14ac:dyDescent="0.2">
      <c r="A2099" s="6" t="str">
        <f>"CDC25B"</f>
        <v>CDC25B</v>
      </c>
      <c r="B2099" s="6">
        <v>1.4985014985014899E-2</v>
      </c>
      <c r="C2099" s="6">
        <v>0.12313725490195999</v>
      </c>
    </row>
    <row r="2100" spans="1:3" s="8" customFormat="1" x14ac:dyDescent="0.2">
      <c r="A2100" s="6" t="str">
        <f>"ATL1"</f>
        <v>ATL1</v>
      </c>
      <c r="B2100" s="6">
        <v>1.4985014985014899E-2</v>
      </c>
      <c r="C2100" s="6">
        <v>0.12313725490195999</v>
      </c>
    </row>
    <row r="2101" spans="1:3" s="8" customFormat="1" x14ac:dyDescent="0.2">
      <c r="A2101" s="6" t="str">
        <f>"FAM200B"</f>
        <v>FAM200B</v>
      </c>
      <c r="B2101" s="6">
        <v>1.4985014985014899E-2</v>
      </c>
      <c r="C2101" s="6">
        <v>0.12313725490195999</v>
      </c>
    </row>
    <row r="2102" spans="1:3" s="8" customFormat="1" x14ac:dyDescent="0.2">
      <c r="A2102" s="6" t="str">
        <f>"RRP15"</f>
        <v>RRP15</v>
      </c>
      <c r="B2102" s="6">
        <v>1.4985014985014899E-2</v>
      </c>
      <c r="C2102" s="6">
        <v>0.12313725490195999</v>
      </c>
    </row>
    <row r="2103" spans="1:3" s="8" customFormat="1" x14ac:dyDescent="0.2">
      <c r="A2103" s="6" t="str">
        <f>"ZNF579"</f>
        <v>ZNF579</v>
      </c>
      <c r="B2103" s="6">
        <v>1.4985014985014899E-2</v>
      </c>
      <c r="C2103" s="6">
        <v>0.12313725490195999</v>
      </c>
    </row>
    <row r="2104" spans="1:3" s="8" customFormat="1" x14ac:dyDescent="0.2">
      <c r="A2104" s="6" t="str">
        <f>"FGD3"</f>
        <v>FGD3</v>
      </c>
      <c r="B2104" s="6">
        <v>1.4985014985014899E-2</v>
      </c>
      <c r="C2104" s="6">
        <v>0.12313725490195999</v>
      </c>
    </row>
    <row r="2105" spans="1:3" s="8" customFormat="1" x14ac:dyDescent="0.2">
      <c r="A2105" s="6" t="str">
        <f>"CCDC32"</f>
        <v>CCDC32</v>
      </c>
      <c r="B2105" s="6">
        <v>1.4985014985014899E-2</v>
      </c>
      <c r="C2105" s="6">
        <v>0.12313725490195999</v>
      </c>
    </row>
    <row r="2106" spans="1:3" s="8" customFormat="1" x14ac:dyDescent="0.2">
      <c r="A2106" s="6" t="str">
        <f>"AUH"</f>
        <v>AUH</v>
      </c>
      <c r="B2106" s="6">
        <v>1.4985014985014899E-2</v>
      </c>
      <c r="C2106" s="6">
        <v>0.12313725490195999</v>
      </c>
    </row>
    <row r="2107" spans="1:3" s="8" customFormat="1" x14ac:dyDescent="0.2">
      <c r="A2107" s="6" t="str">
        <f>"ZNF467"</f>
        <v>ZNF467</v>
      </c>
      <c r="B2107" s="6">
        <v>1.4985014985014899E-2</v>
      </c>
      <c r="C2107" s="6">
        <v>0.12313725490195999</v>
      </c>
    </row>
    <row r="2108" spans="1:3" s="8" customFormat="1" x14ac:dyDescent="0.2">
      <c r="A2108" s="6" t="str">
        <f>"RAVER2"</f>
        <v>RAVER2</v>
      </c>
      <c r="B2108" s="6">
        <v>1.4985014985014899E-2</v>
      </c>
      <c r="C2108" s="6">
        <v>0.12313725490195999</v>
      </c>
    </row>
    <row r="2109" spans="1:3" s="8" customFormat="1" x14ac:dyDescent="0.2">
      <c r="A2109" s="6" t="str">
        <f>"CWH43"</f>
        <v>CWH43</v>
      </c>
      <c r="B2109" s="6">
        <v>1.4985014985014899E-2</v>
      </c>
      <c r="C2109" s="6">
        <v>0.12313725490195999</v>
      </c>
    </row>
    <row r="2110" spans="1:3" s="8" customFormat="1" x14ac:dyDescent="0.2">
      <c r="A2110" s="6" t="str">
        <f>"ZNF518A"</f>
        <v>ZNF518A</v>
      </c>
      <c r="B2110" s="6">
        <v>1.4985014985014899E-2</v>
      </c>
      <c r="C2110" s="6">
        <v>0.12313725490195999</v>
      </c>
    </row>
    <row r="2111" spans="1:3" s="8" customFormat="1" x14ac:dyDescent="0.2">
      <c r="A2111" s="6" t="str">
        <f>"EIPR1"</f>
        <v>EIPR1</v>
      </c>
      <c r="B2111" s="6">
        <v>1.4985014985014899E-2</v>
      </c>
      <c r="C2111" s="6">
        <v>0.12313725490195999</v>
      </c>
    </row>
    <row r="2112" spans="1:3" s="8" customFormat="1" x14ac:dyDescent="0.2">
      <c r="A2112" s="6" t="str">
        <f>"AL591806.2"</f>
        <v>AL591806.2</v>
      </c>
      <c r="B2112" s="6">
        <v>1.4985014985014899E-2</v>
      </c>
      <c r="C2112" s="6">
        <v>0.12313725490195999</v>
      </c>
    </row>
    <row r="2113" spans="1:3" s="8" customFormat="1" x14ac:dyDescent="0.2">
      <c r="A2113" s="6" t="str">
        <f>"ARNTL2"</f>
        <v>ARNTL2</v>
      </c>
      <c r="B2113" s="6">
        <v>1.4985014985014899E-2</v>
      </c>
      <c r="C2113" s="6">
        <v>0.12313725490195999</v>
      </c>
    </row>
    <row r="2114" spans="1:3" s="8" customFormat="1" x14ac:dyDescent="0.2">
      <c r="A2114" s="6" t="str">
        <f>"EHHADH"</f>
        <v>EHHADH</v>
      </c>
      <c r="B2114" s="6">
        <v>1.4985014985014899E-2</v>
      </c>
      <c r="C2114" s="6">
        <v>0.12313725490195999</v>
      </c>
    </row>
    <row r="2115" spans="1:3" s="8" customFormat="1" x14ac:dyDescent="0.2">
      <c r="A2115" s="6" t="str">
        <f>"H2AX"</f>
        <v>H2AX</v>
      </c>
      <c r="B2115" s="6">
        <v>1.4985014985014899E-2</v>
      </c>
      <c r="C2115" s="6">
        <v>0.12313725490195999</v>
      </c>
    </row>
    <row r="2116" spans="1:3" s="8" customFormat="1" x14ac:dyDescent="0.2">
      <c r="A2116" s="6" t="str">
        <f>"FBXO25"</f>
        <v>FBXO25</v>
      </c>
      <c r="B2116" s="6">
        <v>1.4985014985014899E-2</v>
      </c>
      <c r="C2116" s="6">
        <v>0.12313725490195999</v>
      </c>
    </row>
    <row r="2117" spans="1:3" s="8" customFormat="1" x14ac:dyDescent="0.2">
      <c r="A2117" s="6" t="str">
        <f>"PPP1R12B"</f>
        <v>PPP1R12B</v>
      </c>
      <c r="B2117" s="6">
        <v>1.4985014985014899E-2</v>
      </c>
      <c r="C2117" s="6">
        <v>0.12313725490195999</v>
      </c>
    </row>
    <row r="2118" spans="1:3" s="8" customFormat="1" x14ac:dyDescent="0.2">
      <c r="A2118" s="6" t="str">
        <f>"CLK1"</f>
        <v>CLK1</v>
      </c>
      <c r="B2118" s="6">
        <v>1.4985014985014899E-2</v>
      </c>
      <c r="C2118" s="6">
        <v>0.12313725490195999</v>
      </c>
    </row>
    <row r="2119" spans="1:3" s="8" customFormat="1" x14ac:dyDescent="0.2">
      <c r="A2119" s="6" t="str">
        <f>"SAMD9L"</f>
        <v>SAMD9L</v>
      </c>
      <c r="B2119" s="6">
        <v>1.4985014985014899E-2</v>
      </c>
      <c r="C2119" s="6">
        <v>0.12313725490195999</v>
      </c>
    </row>
    <row r="2120" spans="1:3" s="8" customFormat="1" x14ac:dyDescent="0.2">
      <c r="A2120" s="6" t="str">
        <f>"DYRK1B"</f>
        <v>DYRK1B</v>
      </c>
      <c r="B2120" s="6">
        <v>1.4985014985014899E-2</v>
      </c>
      <c r="C2120" s="6">
        <v>0.12313725490195999</v>
      </c>
    </row>
    <row r="2121" spans="1:3" s="8" customFormat="1" x14ac:dyDescent="0.2">
      <c r="A2121" s="6" t="str">
        <f>"USP14"</f>
        <v>USP14</v>
      </c>
      <c r="B2121" s="6">
        <v>1.4985014985014899E-2</v>
      </c>
      <c r="C2121" s="6">
        <v>0.12313725490195999</v>
      </c>
    </row>
    <row r="2122" spans="1:3" s="8" customFormat="1" x14ac:dyDescent="0.2">
      <c r="A2122" s="6" t="str">
        <f>"FAM53C"</f>
        <v>FAM53C</v>
      </c>
      <c r="B2122" s="6">
        <v>1.4985014985014899E-2</v>
      </c>
      <c r="C2122" s="6">
        <v>0.12313725490195999</v>
      </c>
    </row>
    <row r="2123" spans="1:3" s="8" customFormat="1" x14ac:dyDescent="0.2">
      <c r="A2123" s="6" t="str">
        <f>"ABCF3"</f>
        <v>ABCF3</v>
      </c>
      <c r="B2123" s="6">
        <v>1.4985014985014899E-2</v>
      </c>
      <c r="C2123" s="6">
        <v>0.12313725490195999</v>
      </c>
    </row>
    <row r="2124" spans="1:3" s="8" customFormat="1" x14ac:dyDescent="0.2">
      <c r="A2124" s="6" t="str">
        <f>"MTA1"</f>
        <v>MTA1</v>
      </c>
      <c r="B2124" s="6">
        <v>1.4985014985014899E-2</v>
      </c>
      <c r="C2124" s="6">
        <v>0.12313725490195999</v>
      </c>
    </row>
    <row r="2125" spans="1:3" s="8" customFormat="1" x14ac:dyDescent="0.2">
      <c r="A2125" s="6" t="str">
        <f>"FOXJ3"</f>
        <v>FOXJ3</v>
      </c>
      <c r="B2125" s="6">
        <v>1.4985014985014899E-2</v>
      </c>
      <c r="C2125" s="6">
        <v>0.12313725490195999</v>
      </c>
    </row>
    <row r="2126" spans="1:3" s="8" customFormat="1" x14ac:dyDescent="0.2">
      <c r="A2126" s="6" t="str">
        <f>"LSG1"</f>
        <v>LSG1</v>
      </c>
      <c r="B2126" s="6">
        <v>1.4985014985014899E-2</v>
      </c>
      <c r="C2126" s="6">
        <v>0.12313725490195999</v>
      </c>
    </row>
    <row r="2127" spans="1:3" s="8" customFormat="1" x14ac:dyDescent="0.2">
      <c r="A2127" s="6" t="str">
        <f>"PTPRJ"</f>
        <v>PTPRJ</v>
      </c>
      <c r="B2127" s="6">
        <v>1.4985014985014899E-2</v>
      </c>
      <c r="C2127" s="6">
        <v>0.12313725490195999</v>
      </c>
    </row>
    <row r="2128" spans="1:3" s="8" customFormat="1" x14ac:dyDescent="0.2">
      <c r="A2128" s="6" t="str">
        <f>"SIK1B"</f>
        <v>SIK1B</v>
      </c>
      <c r="B2128" s="6">
        <v>1.4985014985014899E-2</v>
      </c>
      <c r="C2128" s="6">
        <v>0.12313725490195999</v>
      </c>
    </row>
    <row r="2129" spans="1:3" s="8" customFormat="1" x14ac:dyDescent="0.2">
      <c r="A2129" s="6" t="str">
        <f>"PPP1R2"</f>
        <v>PPP1R2</v>
      </c>
      <c r="B2129" s="6">
        <v>1.4985014985014899E-2</v>
      </c>
      <c r="C2129" s="6">
        <v>0.12313725490195999</v>
      </c>
    </row>
    <row r="2130" spans="1:3" s="8" customFormat="1" x14ac:dyDescent="0.2">
      <c r="A2130" s="6" t="str">
        <f>"MAP3K11"</f>
        <v>MAP3K11</v>
      </c>
      <c r="B2130" s="6">
        <v>1.4985014985014899E-2</v>
      </c>
      <c r="C2130" s="6">
        <v>0.12313725490195999</v>
      </c>
    </row>
    <row r="2131" spans="1:3" s="8" customFormat="1" x14ac:dyDescent="0.2">
      <c r="A2131" s="6" t="str">
        <f>"COPS6"</f>
        <v>COPS6</v>
      </c>
      <c r="B2131" s="6">
        <v>1.4985014985014899E-2</v>
      </c>
      <c r="C2131" s="6">
        <v>0.12313725490195999</v>
      </c>
    </row>
    <row r="2132" spans="1:3" s="8" customFormat="1" x14ac:dyDescent="0.2">
      <c r="A2132" s="6" t="str">
        <f>"SBNO1"</f>
        <v>SBNO1</v>
      </c>
      <c r="B2132" s="6">
        <v>1.4985014985014899E-2</v>
      </c>
      <c r="C2132" s="6">
        <v>0.12313725490195999</v>
      </c>
    </row>
    <row r="2133" spans="1:3" s="8" customFormat="1" x14ac:dyDescent="0.2">
      <c r="A2133" s="6" t="str">
        <f>"FAM166B"</f>
        <v>FAM166B</v>
      </c>
      <c r="B2133" s="6">
        <v>1.4985014985014899E-2</v>
      </c>
      <c r="C2133" s="6">
        <v>0.12313725490195999</v>
      </c>
    </row>
    <row r="2134" spans="1:3" s="8" customFormat="1" x14ac:dyDescent="0.2">
      <c r="A2134" s="6" t="str">
        <f>"LIPA"</f>
        <v>LIPA</v>
      </c>
      <c r="B2134" s="6">
        <v>1.4985014985014899E-2</v>
      </c>
      <c r="C2134" s="6">
        <v>0.12313725490195999</v>
      </c>
    </row>
    <row r="2135" spans="1:3" s="8" customFormat="1" x14ac:dyDescent="0.2">
      <c r="A2135" s="6" t="str">
        <f>"COX8A"</f>
        <v>COX8A</v>
      </c>
      <c r="B2135" s="6">
        <v>1.4985014985014899E-2</v>
      </c>
      <c r="C2135" s="6">
        <v>0.12313725490195999</v>
      </c>
    </row>
    <row r="2136" spans="1:3" s="8" customFormat="1" x14ac:dyDescent="0.2">
      <c r="A2136" s="6" t="str">
        <f>"LARS1"</f>
        <v>LARS1</v>
      </c>
      <c r="B2136" s="6">
        <v>1.4985014985014899E-2</v>
      </c>
      <c r="C2136" s="6">
        <v>0.12313725490195999</v>
      </c>
    </row>
    <row r="2137" spans="1:3" s="8" customFormat="1" x14ac:dyDescent="0.2">
      <c r="A2137" s="6" t="str">
        <f>"B3GNT5"</f>
        <v>B3GNT5</v>
      </c>
      <c r="B2137" s="6">
        <v>1.4999999999999999E-2</v>
      </c>
      <c r="C2137" s="6">
        <v>0.12313725490195999</v>
      </c>
    </row>
    <row r="2138" spans="1:3" s="8" customFormat="1" x14ac:dyDescent="0.2">
      <c r="A2138" s="6" t="str">
        <f>"SMARCE1"</f>
        <v>SMARCE1</v>
      </c>
      <c r="B2138" s="6">
        <v>1.4985014985014899E-2</v>
      </c>
      <c r="C2138" s="6">
        <v>0.12313725490195999</v>
      </c>
    </row>
    <row r="2139" spans="1:3" s="8" customFormat="1" x14ac:dyDescent="0.2">
      <c r="A2139" s="6" t="str">
        <f>"ACTN1"</f>
        <v>ACTN1</v>
      </c>
      <c r="B2139" s="6">
        <v>1.4985014985014899E-2</v>
      </c>
      <c r="C2139" s="6">
        <v>0.12313725490195999</v>
      </c>
    </row>
    <row r="2140" spans="1:3" s="8" customFormat="1" x14ac:dyDescent="0.2">
      <c r="A2140" s="6" t="str">
        <f>"ADGRE5"</f>
        <v>ADGRE5</v>
      </c>
      <c r="B2140" s="6">
        <v>1.4985014985014899E-2</v>
      </c>
      <c r="C2140" s="6">
        <v>0.12313725490195999</v>
      </c>
    </row>
    <row r="2141" spans="1:3" s="8" customFormat="1" x14ac:dyDescent="0.2">
      <c r="A2141" s="6" t="str">
        <f>"TMC5"</f>
        <v>TMC5</v>
      </c>
      <c r="B2141" s="6">
        <v>1.4999999999999999E-2</v>
      </c>
      <c r="C2141" s="6">
        <v>0.12313725490195999</v>
      </c>
    </row>
    <row r="2142" spans="1:3" s="8" customFormat="1" x14ac:dyDescent="0.2">
      <c r="A2142" s="6" t="str">
        <f>"CANX"</f>
        <v>CANX</v>
      </c>
      <c r="B2142" s="6">
        <v>1.4985014985014899E-2</v>
      </c>
      <c r="C2142" s="6">
        <v>0.12313725490195999</v>
      </c>
    </row>
    <row r="2143" spans="1:3" s="8" customFormat="1" x14ac:dyDescent="0.2">
      <c r="A2143" s="6" t="str">
        <f>"TACSTD2"</f>
        <v>TACSTD2</v>
      </c>
      <c r="B2143" s="6">
        <v>1.4999999999999999E-2</v>
      </c>
      <c r="C2143" s="6">
        <v>0.12313725490195999</v>
      </c>
    </row>
    <row r="2144" spans="1:3" s="8" customFormat="1" x14ac:dyDescent="0.2">
      <c r="A2144" s="6" t="str">
        <f>"AC011466.1"</f>
        <v>AC011466.1</v>
      </c>
      <c r="B2144" s="6">
        <v>1.5030060120240401E-2</v>
      </c>
      <c r="C2144" s="6">
        <v>0.123326447575505</v>
      </c>
    </row>
    <row r="2145" spans="1:3" s="8" customFormat="1" x14ac:dyDescent="0.2">
      <c r="A2145" s="6" t="str">
        <f>"AL589935.3"</f>
        <v>AL589935.3</v>
      </c>
      <c r="B2145" s="6">
        <v>1.51515151515151E-2</v>
      </c>
      <c r="C2145" s="6">
        <v>0.124265038444142</v>
      </c>
    </row>
    <row r="2146" spans="1:3" s="8" customFormat="1" x14ac:dyDescent="0.2">
      <c r="A2146" s="6" t="str">
        <f>"AP001021.3"</f>
        <v>AP001021.3</v>
      </c>
      <c r="B2146" s="6">
        <v>1.5984015984015901E-2</v>
      </c>
      <c r="C2146" s="6">
        <v>0.12633318365514101</v>
      </c>
    </row>
    <row r="2147" spans="1:3" s="8" customFormat="1" x14ac:dyDescent="0.2">
      <c r="A2147" s="6" t="str">
        <f>"THRSP"</f>
        <v>THRSP</v>
      </c>
      <c r="B2147" s="6">
        <v>1.5984015984015901E-2</v>
      </c>
      <c r="C2147" s="6">
        <v>0.12633318365514101</v>
      </c>
    </row>
    <row r="2148" spans="1:3" s="8" customFormat="1" x14ac:dyDescent="0.2">
      <c r="A2148" s="6" t="str">
        <f>"AC091057.5"</f>
        <v>AC091057.5</v>
      </c>
      <c r="B2148" s="6">
        <v>1.5984015984015901E-2</v>
      </c>
      <c r="C2148" s="6">
        <v>0.12633318365514101</v>
      </c>
    </row>
    <row r="2149" spans="1:3" s="8" customFormat="1" x14ac:dyDescent="0.2">
      <c r="A2149" s="6" t="str">
        <f>"SEMA3G"</f>
        <v>SEMA3G</v>
      </c>
      <c r="B2149" s="6">
        <v>1.5984015984015901E-2</v>
      </c>
      <c r="C2149" s="6">
        <v>0.12633318365514101</v>
      </c>
    </row>
    <row r="2150" spans="1:3" s="8" customFormat="1" x14ac:dyDescent="0.2">
      <c r="A2150" s="6" t="str">
        <f>"RN7SL811P"</f>
        <v>RN7SL811P</v>
      </c>
      <c r="B2150" s="6">
        <v>1.6E-2</v>
      </c>
      <c r="C2150" s="6">
        <v>0.12633318365514101</v>
      </c>
    </row>
    <row r="2151" spans="1:3" s="8" customFormat="1" x14ac:dyDescent="0.2">
      <c r="A2151" s="6" t="str">
        <f>"AC008691.1"</f>
        <v>AC008691.1</v>
      </c>
      <c r="B2151" s="6">
        <v>1.5984015984015901E-2</v>
      </c>
      <c r="C2151" s="6">
        <v>0.12633318365514101</v>
      </c>
    </row>
    <row r="2152" spans="1:3" s="8" customFormat="1" x14ac:dyDescent="0.2">
      <c r="A2152" s="6" t="str">
        <f>"C19orf71"</f>
        <v>C19orf71</v>
      </c>
      <c r="B2152" s="6">
        <v>1.5984015984015901E-2</v>
      </c>
      <c r="C2152" s="6">
        <v>0.12633318365514101</v>
      </c>
    </row>
    <row r="2153" spans="1:3" s="8" customFormat="1" x14ac:dyDescent="0.2">
      <c r="A2153" s="6" t="str">
        <f>"AC135977.1"</f>
        <v>AC135977.1</v>
      </c>
      <c r="B2153" s="6">
        <v>1.5984015984015901E-2</v>
      </c>
      <c r="C2153" s="6">
        <v>0.12633318365514101</v>
      </c>
    </row>
    <row r="2154" spans="1:3" s="8" customFormat="1" x14ac:dyDescent="0.2">
      <c r="A2154" s="6" t="str">
        <f>"AC091563.1"</f>
        <v>AC091563.1</v>
      </c>
      <c r="B2154" s="6">
        <v>1.5984015984015901E-2</v>
      </c>
      <c r="C2154" s="6">
        <v>0.12633318365514101</v>
      </c>
    </row>
    <row r="2155" spans="1:3" s="8" customFormat="1" x14ac:dyDescent="0.2">
      <c r="A2155" s="6" t="str">
        <f>"PROX1"</f>
        <v>PROX1</v>
      </c>
      <c r="B2155" s="6">
        <v>1.5984015984015901E-2</v>
      </c>
      <c r="C2155" s="6">
        <v>0.12633318365514101</v>
      </c>
    </row>
    <row r="2156" spans="1:3" s="8" customFormat="1" x14ac:dyDescent="0.2">
      <c r="A2156" s="6" t="str">
        <f>"DLG3-AS1"</f>
        <v>DLG3-AS1</v>
      </c>
      <c r="B2156" s="6">
        <v>1.5940488841657802E-2</v>
      </c>
      <c r="C2156" s="6">
        <v>0.12633318365514101</v>
      </c>
    </row>
    <row r="2157" spans="1:3" s="8" customFormat="1" x14ac:dyDescent="0.2">
      <c r="A2157" s="6" t="str">
        <f>"RFTN2"</f>
        <v>RFTN2</v>
      </c>
      <c r="B2157" s="6">
        <v>1.5984015984015901E-2</v>
      </c>
      <c r="C2157" s="6">
        <v>0.12633318365514101</v>
      </c>
    </row>
    <row r="2158" spans="1:3" s="8" customFormat="1" x14ac:dyDescent="0.2">
      <c r="A2158" s="6" t="str">
        <f>"NTF3"</f>
        <v>NTF3</v>
      </c>
      <c r="B2158" s="6">
        <v>1.5984015984015901E-2</v>
      </c>
      <c r="C2158" s="6">
        <v>0.12633318365514101</v>
      </c>
    </row>
    <row r="2159" spans="1:3" s="8" customFormat="1" x14ac:dyDescent="0.2">
      <c r="A2159" s="6" t="str">
        <f>"AC006064.4"</f>
        <v>AC006064.4</v>
      </c>
      <c r="B2159" s="6">
        <v>1.5984015984015901E-2</v>
      </c>
      <c r="C2159" s="6">
        <v>0.12633318365514101</v>
      </c>
    </row>
    <row r="2160" spans="1:3" s="8" customFormat="1" x14ac:dyDescent="0.2">
      <c r="A2160" s="6" t="str">
        <f>"CLCNKA"</f>
        <v>CLCNKA</v>
      </c>
      <c r="B2160" s="6">
        <v>1.5984015984015901E-2</v>
      </c>
      <c r="C2160" s="6">
        <v>0.12633318365514101</v>
      </c>
    </row>
    <row r="2161" spans="1:3" s="8" customFormat="1" x14ac:dyDescent="0.2">
      <c r="A2161" s="6" t="str">
        <f>"NCAM1"</f>
        <v>NCAM1</v>
      </c>
      <c r="B2161" s="6">
        <v>1.5984015984015901E-2</v>
      </c>
      <c r="C2161" s="6">
        <v>0.12633318365514101</v>
      </c>
    </row>
    <row r="2162" spans="1:3" s="8" customFormat="1" x14ac:dyDescent="0.2">
      <c r="A2162" s="6" t="str">
        <f>"THRB-AS1"</f>
        <v>THRB-AS1</v>
      </c>
      <c r="B2162" s="6">
        <v>1.6E-2</v>
      </c>
      <c r="C2162" s="6">
        <v>0.12633318365514101</v>
      </c>
    </row>
    <row r="2163" spans="1:3" s="8" customFormat="1" x14ac:dyDescent="0.2">
      <c r="A2163" s="6" t="str">
        <f>"COMP"</f>
        <v>COMP</v>
      </c>
      <c r="B2163" s="6">
        <v>1.5984015984015901E-2</v>
      </c>
      <c r="C2163" s="6">
        <v>0.12633318365514101</v>
      </c>
    </row>
    <row r="2164" spans="1:3" s="8" customFormat="1" x14ac:dyDescent="0.2">
      <c r="A2164" s="6" t="str">
        <f>"HEPHL1"</f>
        <v>HEPHL1</v>
      </c>
      <c r="B2164" s="6">
        <v>1.5984015984015901E-2</v>
      </c>
      <c r="C2164" s="6">
        <v>0.12633318365514101</v>
      </c>
    </row>
    <row r="2165" spans="1:3" s="8" customFormat="1" x14ac:dyDescent="0.2">
      <c r="A2165" s="6" t="str">
        <f>"RAB44"</f>
        <v>RAB44</v>
      </c>
      <c r="B2165" s="6">
        <v>1.5984015984015901E-2</v>
      </c>
      <c r="C2165" s="6">
        <v>0.12633318365514101</v>
      </c>
    </row>
    <row r="2166" spans="1:3" s="8" customFormat="1" x14ac:dyDescent="0.2">
      <c r="A2166" s="6" t="str">
        <f>"CD72"</f>
        <v>CD72</v>
      </c>
      <c r="B2166" s="6">
        <v>1.5984015984015901E-2</v>
      </c>
      <c r="C2166" s="6">
        <v>0.12633318365514101</v>
      </c>
    </row>
    <row r="2167" spans="1:3" s="8" customFormat="1" x14ac:dyDescent="0.2">
      <c r="A2167" s="6" t="str">
        <f>"CACNA1A"</f>
        <v>CACNA1A</v>
      </c>
      <c r="B2167" s="6">
        <v>1.5984015984015901E-2</v>
      </c>
      <c r="C2167" s="6">
        <v>0.12633318365514101</v>
      </c>
    </row>
    <row r="2168" spans="1:3" s="8" customFormat="1" x14ac:dyDescent="0.2">
      <c r="A2168" s="6" t="str">
        <f>"LINC01637"</f>
        <v>LINC01637</v>
      </c>
      <c r="B2168" s="6">
        <v>1.5984015984015901E-2</v>
      </c>
      <c r="C2168" s="6">
        <v>0.12633318365514101</v>
      </c>
    </row>
    <row r="2169" spans="1:3" s="8" customFormat="1" x14ac:dyDescent="0.2">
      <c r="A2169" s="6" t="str">
        <f>"ZNF699"</f>
        <v>ZNF699</v>
      </c>
      <c r="B2169" s="6">
        <v>1.6E-2</v>
      </c>
      <c r="C2169" s="6">
        <v>0.12633318365514101</v>
      </c>
    </row>
    <row r="2170" spans="1:3" s="8" customFormat="1" x14ac:dyDescent="0.2">
      <c r="A2170" s="6" t="str">
        <f>"CYTOR"</f>
        <v>CYTOR</v>
      </c>
      <c r="B2170" s="6">
        <v>1.5984015984015901E-2</v>
      </c>
      <c r="C2170" s="6">
        <v>0.12633318365514101</v>
      </c>
    </row>
    <row r="2171" spans="1:3" s="8" customFormat="1" x14ac:dyDescent="0.2">
      <c r="A2171" s="6" t="str">
        <f>"NEMP2"</f>
        <v>NEMP2</v>
      </c>
      <c r="B2171" s="6">
        <v>1.5984015984015901E-2</v>
      </c>
      <c r="C2171" s="6">
        <v>0.12633318365514101</v>
      </c>
    </row>
    <row r="2172" spans="1:3" s="8" customFormat="1" x14ac:dyDescent="0.2">
      <c r="A2172" s="6" t="str">
        <f>"AC141586.1"</f>
        <v>AC141586.1</v>
      </c>
      <c r="B2172" s="6">
        <v>1.5984015984015901E-2</v>
      </c>
      <c r="C2172" s="6">
        <v>0.12633318365514101</v>
      </c>
    </row>
    <row r="2173" spans="1:3" s="8" customFormat="1" x14ac:dyDescent="0.2">
      <c r="A2173" s="6" t="str">
        <f>"COLGALT2"</f>
        <v>COLGALT2</v>
      </c>
      <c r="B2173" s="6">
        <v>1.5984015984015901E-2</v>
      </c>
      <c r="C2173" s="6">
        <v>0.12633318365514101</v>
      </c>
    </row>
    <row r="2174" spans="1:3" s="8" customFormat="1" x14ac:dyDescent="0.2">
      <c r="A2174" s="6" t="str">
        <f>"MUCL1"</f>
        <v>MUCL1</v>
      </c>
      <c r="B2174" s="6">
        <v>1.5984015984015901E-2</v>
      </c>
      <c r="C2174" s="6">
        <v>0.12633318365514101</v>
      </c>
    </row>
    <row r="2175" spans="1:3" s="8" customFormat="1" x14ac:dyDescent="0.2">
      <c r="A2175" s="6" t="str">
        <f>"AC010329.1"</f>
        <v>AC010329.1</v>
      </c>
      <c r="B2175" s="6">
        <v>1.5984015984015901E-2</v>
      </c>
      <c r="C2175" s="6">
        <v>0.12633318365514101</v>
      </c>
    </row>
    <row r="2176" spans="1:3" s="8" customFormat="1" x14ac:dyDescent="0.2">
      <c r="A2176" s="6" t="str">
        <f>"POU2F3"</f>
        <v>POU2F3</v>
      </c>
      <c r="B2176" s="6">
        <v>1.5984015984015901E-2</v>
      </c>
      <c r="C2176" s="6">
        <v>0.12633318365514101</v>
      </c>
    </row>
    <row r="2177" spans="1:3" s="8" customFormat="1" x14ac:dyDescent="0.2">
      <c r="A2177" s="6" t="str">
        <f>"PRSS16"</f>
        <v>PRSS16</v>
      </c>
      <c r="B2177" s="6">
        <v>1.5984015984015901E-2</v>
      </c>
      <c r="C2177" s="6">
        <v>0.12633318365514101</v>
      </c>
    </row>
    <row r="2178" spans="1:3" s="8" customFormat="1" x14ac:dyDescent="0.2">
      <c r="A2178" s="6" t="str">
        <f>"DUS2"</f>
        <v>DUS2</v>
      </c>
      <c r="B2178" s="6">
        <v>1.5984015984015901E-2</v>
      </c>
      <c r="C2178" s="6">
        <v>0.12633318365514101</v>
      </c>
    </row>
    <row r="2179" spans="1:3" s="8" customFormat="1" x14ac:dyDescent="0.2">
      <c r="A2179" s="6" t="str">
        <f>"ZNF184"</f>
        <v>ZNF184</v>
      </c>
      <c r="B2179" s="6">
        <v>1.5984015984015901E-2</v>
      </c>
      <c r="C2179" s="6">
        <v>0.12633318365514101</v>
      </c>
    </row>
    <row r="2180" spans="1:3" s="8" customFormat="1" x14ac:dyDescent="0.2">
      <c r="A2180" s="6" t="str">
        <f>"ACAP1"</f>
        <v>ACAP1</v>
      </c>
      <c r="B2180" s="6">
        <v>1.5984015984015901E-2</v>
      </c>
      <c r="C2180" s="6">
        <v>0.12633318365514101</v>
      </c>
    </row>
    <row r="2181" spans="1:3" s="8" customFormat="1" x14ac:dyDescent="0.2">
      <c r="A2181" s="6" t="str">
        <f>"ZNF689"</f>
        <v>ZNF689</v>
      </c>
      <c r="B2181" s="6">
        <v>1.5984015984015901E-2</v>
      </c>
      <c r="C2181" s="6">
        <v>0.12633318365514101</v>
      </c>
    </row>
    <row r="2182" spans="1:3" s="8" customFormat="1" x14ac:dyDescent="0.2">
      <c r="A2182" s="6" t="str">
        <f>"MMP9"</f>
        <v>MMP9</v>
      </c>
      <c r="B2182" s="6">
        <v>1.5984015984015901E-2</v>
      </c>
      <c r="C2182" s="6">
        <v>0.12633318365514101</v>
      </c>
    </row>
    <row r="2183" spans="1:3" s="8" customFormat="1" x14ac:dyDescent="0.2">
      <c r="A2183" s="6" t="str">
        <f>"TATDN3"</f>
        <v>TATDN3</v>
      </c>
      <c r="B2183" s="6">
        <v>1.5984015984015901E-2</v>
      </c>
      <c r="C2183" s="6">
        <v>0.12633318365514101</v>
      </c>
    </row>
    <row r="2184" spans="1:3" s="8" customFormat="1" x14ac:dyDescent="0.2">
      <c r="A2184" s="6" t="str">
        <f>"SMNDC1"</f>
        <v>SMNDC1</v>
      </c>
      <c r="B2184" s="6">
        <v>1.5984015984015901E-2</v>
      </c>
      <c r="C2184" s="6">
        <v>0.12633318365514101</v>
      </c>
    </row>
    <row r="2185" spans="1:3" s="8" customFormat="1" x14ac:dyDescent="0.2">
      <c r="A2185" s="6" t="str">
        <f>"KCTD13"</f>
        <v>KCTD13</v>
      </c>
      <c r="B2185" s="6">
        <v>1.5984015984015901E-2</v>
      </c>
      <c r="C2185" s="6">
        <v>0.12633318365514101</v>
      </c>
    </row>
    <row r="2186" spans="1:3" s="8" customFormat="1" x14ac:dyDescent="0.2">
      <c r="A2186" s="6" t="str">
        <f>"ZNF680"</f>
        <v>ZNF680</v>
      </c>
      <c r="B2186" s="6">
        <v>1.5984015984015901E-2</v>
      </c>
      <c r="C2186" s="6">
        <v>0.12633318365514101</v>
      </c>
    </row>
    <row r="2187" spans="1:3" s="8" customFormat="1" x14ac:dyDescent="0.2">
      <c r="A2187" s="6" t="str">
        <f>"NMT2"</f>
        <v>NMT2</v>
      </c>
      <c r="B2187" s="6">
        <v>1.5984015984015901E-2</v>
      </c>
      <c r="C2187" s="6">
        <v>0.12633318365514101</v>
      </c>
    </row>
    <row r="2188" spans="1:3" s="8" customFormat="1" x14ac:dyDescent="0.2">
      <c r="A2188" s="6" t="str">
        <f>"PRPF39"</f>
        <v>PRPF39</v>
      </c>
      <c r="B2188" s="6">
        <v>1.5984015984015901E-2</v>
      </c>
      <c r="C2188" s="6">
        <v>0.12633318365514101</v>
      </c>
    </row>
    <row r="2189" spans="1:3" s="8" customFormat="1" x14ac:dyDescent="0.2">
      <c r="A2189" s="6" t="str">
        <f>"GPR137B"</f>
        <v>GPR137B</v>
      </c>
      <c r="B2189" s="6">
        <v>1.5984015984015901E-2</v>
      </c>
      <c r="C2189" s="6">
        <v>0.12633318365514101</v>
      </c>
    </row>
    <row r="2190" spans="1:3" s="8" customFormat="1" x14ac:dyDescent="0.2">
      <c r="A2190" s="6" t="str">
        <f>"ATF1"</f>
        <v>ATF1</v>
      </c>
      <c r="B2190" s="6">
        <v>1.5984015984015901E-2</v>
      </c>
      <c r="C2190" s="6">
        <v>0.12633318365514101</v>
      </c>
    </row>
    <row r="2191" spans="1:3" s="8" customFormat="1" x14ac:dyDescent="0.2">
      <c r="A2191" s="6" t="str">
        <f>"ZBTB45"</f>
        <v>ZBTB45</v>
      </c>
      <c r="B2191" s="6">
        <v>1.5984015984015901E-2</v>
      </c>
      <c r="C2191" s="6">
        <v>0.12633318365514101</v>
      </c>
    </row>
    <row r="2192" spans="1:3" s="8" customFormat="1" x14ac:dyDescent="0.2">
      <c r="A2192" s="6" t="str">
        <f>"MEIS3P1"</f>
        <v>MEIS3P1</v>
      </c>
      <c r="B2192" s="6">
        <v>1.5984015984015901E-2</v>
      </c>
      <c r="C2192" s="6">
        <v>0.12633318365514101</v>
      </c>
    </row>
    <row r="2193" spans="1:3" s="8" customFormat="1" x14ac:dyDescent="0.2">
      <c r="A2193" s="6" t="str">
        <f>"ABHD14A"</f>
        <v>ABHD14A</v>
      </c>
      <c r="B2193" s="6">
        <v>1.5984015984015901E-2</v>
      </c>
      <c r="C2193" s="6">
        <v>0.12633318365514101</v>
      </c>
    </row>
    <row r="2194" spans="1:3" s="8" customFormat="1" x14ac:dyDescent="0.2">
      <c r="A2194" s="6" t="str">
        <f>"CFTR"</f>
        <v>CFTR</v>
      </c>
      <c r="B2194" s="6">
        <v>1.5984015984015901E-2</v>
      </c>
      <c r="C2194" s="6">
        <v>0.12633318365514101</v>
      </c>
    </row>
    <row r="2195" spans="1:3" s="8" customFormat="1" x14ac:dyDescent="0.2">
      <c r="A2195" s="6" t="str">
        <f>"CCDC71L"</f>
        <v>CCDC71L</v>
      </c>
      <c r="B2195" s="6">
        <v>1.5984015984015901E-2</v>
      </c>
      <c r="C2195" s="6">
        <v>0.12633318365514101</v>
      </c>
    </row>
    <row r="2196" spans="1:3" s="8" customFormat="1" x14ac:dyDescent="0.2">
      <c r="A2196" s="6" t="str">
        <f>"TMEM256"</f>
        <v>TMEM256</v>
      </c>
      <c r="B2196" s="6">
        <v>1.5984015984015901E-2</v>
      </c>
      <c r="C2196" s="6">
        <v>0.12633318365514101</v>
      </c>
    </row>
    <row r="2197" spans="1:3" s="8" customFormat="1" x14ac:dyDescent="0.2">
      <c r="A2197" s="6" t="str">
        <f>"ACSS3"</f>
        <v>ACSS3</v>
      </c>
      <c r="B2197" s="6">
        <v>1.5984015984015901E-2</v>
      </c>
      <c r="C2197" s="6">
        <v>0.12633318365514101</v>
      </c>
    </row>
    <row r="2198" spans="1:3" s="8" customFormat="1" x14ac:dyDescent="0.2">
      <c r="A2198" s="6" t="str">
        <f>"SLC38A9"</f>
        <v>SLC38A9</v>
      </c>
      <c r="B2198" s="6">
        <v>1.5984015984015901E-2</v>
      </c>
      <c r="C2198" s="6">
        <v>0.12633318365514101</v>
      </c>
    </row>
    <row r="2199" spans="1:3" s="8" customFormat="1" x14ac:dyDescent="0.2">
      <c r="A2199" s="6" t="str">
        <f>"POLE"</f>
        <v>POLE</v>
      </c>
      <c r="B2199" s="6">
        <v>1.5984015984015901E-2</v>
      </c>
      <c r="C2199" s="6">
        <v>0.12633318365514101</v>
      </c>
    </row>
    <row r="2200" spans="1:3" s="8" customFormat="1" x14ac:dyDescent="0.2">
      <c r="A2200" s="6" t="str">
        <f>"ERMAP"</f>
        <v>ERMAP</v>
      </c>
      <c r="B2200" s="6">
        <v>1.5984015984015901E-2</v>
      </c>
      <c r="C2200" s="6">
        <v>0.12633318365514101</v>
      </c>
    </row>
    <row r="2201" spans="1:3" s="8" customFormat="1" x14ac:dyDescent="0.2">
      <c r="A2201" s="6" t="str">
        <f>"NLRP1"</f>
        <v>NLRP1</v>
      </c>
      <c r="B2201" s="6">
        <v>1.5984015984015901E-2</v>
      </c>
      <c r="C2201" s="6">
        <v>0.12633318365514101</v>
      </c>
    </row>
    <row r="2202" spans="1:3" s="8" customFormat="1" x14ac:dyDescent="0.2">
      <c r="A2202" s="6" t="str">
        <f>"PPM1F"</f>
        <v>PPM1F</v>
      </c>
      <c r="B2202" s="6">
        <v>1.5984015984015901E-2</v>
      </c>
      <c r="C2202" s="6">
        <v>0.12633318365514101</v>
      </c>
    </row>
    <row r="2203" spans="1:3" s="8" customFormat="1" x14ac:dyDescent="0.2">
      <c r="A2203" s="6" t="str">
        <f>"AC080112.1"</f>
        <v>AC080112.1</v>
      </c>
      <c r="B2203" s="6">
        <v>1.5984015984015901E-2</v>
      </c>
      <c r="C2203" s="6">
        <v>0.12633318365514101</v>
      </c>
    </row>
    <row r="2204" spans="1:3" s="8" customFormat="1" x14ac:dyDescent="0.2">
      <c r="A2204" s="6" t="str">
        <f>"UBALD1"</f>
        <v>UBALD1</v>
      </c>
      <c r="B2204" s="6">
        <v>1.5984015984015901E-2</v>
      </c>
      <c r="C2204" s="6">
        <v>0.12633318365514101</v>
      </c>
    </row>
    <row r="2205" spans="1:3" s="8" customFormat="1" x14ac:dyDescent="0.2">
      <c r="A2205" s="6" t="str">
        <f>"PIAS4"</f>
        <v>PIAS4</v>
      </c>
      <c r="B2205" s="6">
        <v>1.5984015984015901E-2</v>
      </c>
      <c r="C2205" s="6">
        <v>0.12633318365514101</v>
      </c>
    </row>
    <row r="2206" spans="1:3" s="8" customFormat="1" x14ac:dyDescent="0.2">
      <c r="A2206" s="6" t="str">
        <f>"ANTXR2"</f>
        <v>ANTXR2</v>
      </c>
      <c r="B2206" s="6">
        <v>1.5984015984015901E-2</v>
      </c>
      <c r="C2206" s="6">
        <v>0.12633318365514101</v>
      </c>
    </row>
    <row r="2207" spans="1:3" s="8" customFormat="1" x14ac:dyDescent="0.2">
      <c r="A2207" s="6" t="str">
        <f>"RASA1"</f>
        <v>RASA1</v>
      </c>
      <c r="B2207" s="6">
        <v>1.5984015984015901E-2</v>
      </c>
      <c r="C2207" s="6">
        <v>0.12633318365514101</v>
      </c>
    </row>
    <row r="2208" spans="1:3" s="8" customFormat="1" x14ac:dyDescent="0.2">
      <c r="A2208" s="6" t="str">
        <f>"MICU2"</f>
        <v>MICU2</v>
      </c>
      <c r="B2208" s="6">
        <v>1.5984015984015901E-2</v>
      </c>
      <c r="C2208" s="6">
        <v>0.12633318365514101</v>
      </c>
    </row>
    <row r="2209" spans="1:3" s="8" customFormat="1" x14ac:dyDescent="0.2">
      <c r="A2209" s="6" t="str">
        <f>"WEE1"</f>
        <v>WEE1</v>
      </c>
      <c r="B2209" s="6">
        <v>1.5984015984015901E-2</v>
      </c>
      <c r="C2209" s="6">
        <v>0.12633318365514101</v>
      </c>
    </row>
    <row r="2210" spans="1:3" s="8" customFormat="1" x14ac:dyDescent="0.2">
      <c r="A2210" s="6" t="str">
        <f>"SF3A2"</f>
        <v>SF3A2</v>
      </c>
      <c r="B2210" s="6">
        <v>1.5984015984015901E-2</v>
      </c>
      <c r="C2210" s="6">
        <v>0.12633318365514101</v>
      </c>
    </row>
    <row r="2211" spans="1:3" s="8" customFormat="1" x14ac:dyDescent="0.2">
      <c r="A2211" s="6" t="str">
        <f>"PDZD2"</f>
        <v>PDZD2</v>
      </c>
      <c r="B2211" s="6">
        <v>1.5984015984015901E-2</v>
      </c>
      <c r="C2211" s="6">
        <v>0.12633318365514101</v>
      </c>
    </row>
    <row r="2212" spans="1:3" s="8" customFormat="1" x14ac:dyDescent="0.2">
      <c r="A2212" s="6" t="str">
        <f>"KCNK6"</f>
        <v>KCNK6</v>
      </c>
      <c r="B2212" s="6">
        <v>1.5984015984015901E-2</v>
      </c>
      <c r="C2212" s="6">
        <v>0.12633318365514101</v>
      </c>
    </row>
    <row r="2213" spans="1:3" s="8" customFormat="1" x14ac:dyDescent="0.2">
      <c r="A2213" s="6" t="str">
        <f>"ATG2A"</f>
        <v>ATG2A</v>
      </c>
      <c r="B2213" s="6">
        <v>1.5984015984015901E-2</v>
      </c>
      <c r="C2213" s="6">
        <v>0.12633318365514101</v>
      </c>
    </row>
    <row r="2214" spans="1:3" s="8" customFormat="1" x14ac:dyDescent="0.2">
      <c r="A2214" s="6" t="str">
        <f>"VWA3A"</f>
        <v>VWA3A</v>
      </c>
      <c r="B2214" s="6">
        <v>1.5984015984015901E-2</v>
      </c>
      <c r="C2214" s="6">
        <v>0.12633318365514101</v>
      </c>
    </row>
    <row r="2215" spans="1:3" s="8" customFormat="1" x14ac:dyDescent="0.2">
      <c r="A2215" s="6" t="str">
        <f>"ABHD17A"</f>
        <v>ABHD17A</v>
      </c>
      <c r="B2215" s="6">
        <v>1.5984015984015901E-2</v>
      </c>
      <c r="C2215" s="6">
        <v>0.12633318365514101</v>
      </c>
    </row>
    <row r="2216" spans="1:3" s="8" customFormat="1" x14ac:dyDescent="0.2">
      <c r="A2216" s="6" t="str">
        <f>"TET2"</f>
        <v>TET2</v>
      </c>
      <c r="B2216" s="6">
        <v>1.5984015984015901E-2</v>
      </c>
      <c r="C2216" s="6">
        <v>0.12633318365514101</v>
      </c>
    </row>
    <row r="2217" spans="1:3" s="8" customFormat="1" x14ac:dyDescent="0.2">
      <c r="A2217" s="6" t="str">
        <f>"HELZ2"</f>
        <v>HELZ2</v>
      </c>
      <c r="B2217" s="6">
        <v>1.5984015984015901E-2</v>
      </c>
      <c r="C2217" s="6">
        <v>0.12633318365514101</v>
      </c>
    </row>
    <row r="2218" spans="1:3" s="8" customFormat="1" x14ac:dyDescent="0.2">
      <c r="A2218" s="6" t="str">
        <f>"RAB3GAP1"</f>
        <v>RAB3GAP1</v>
      </c>
      <c r="B2218" s="6">
        <v>1.5984015984015901E-2</v>
      </c>
      <c r="C2218" s="6">
        <v>0.12633318365514101</v>
      </c>
    </row>
    <row r="2219" spans="1:3" s="8" customFormat="1" x14ac:dyDescent="0.2">
      <c r="A2219" s="6" t="str">
        <f>"KPNA6"</f>
        <v>KPNA6</v>
      </c>
      <c r="B2219" s="6">
        <v>1.5984015984015901E-2</v>
      </c>
      <c r="C2219" s="6">
        <v>0.12633318365514101</v>
      </c>
    </row>
    <row r="2220" spans="1:3" s="8" customFormat="1" x14ac:dyDescent="0.2">
      <c r="A2220" s="6" t="str">
        <f>"CHD8"</f>
        <v>CHD8</v>
      </c>
      <c r="B2220" s="6">
        <v>1.5984015984015901E-2</v>
      </c>
      <c r="C2220" s="6">
        <v>0.12633318365514101</v>
      </c>
    </row>
    <row r="2221" spans="1:3" s="8" customFormat="1" x14ac:dyDescent="0.2">
      <c r="A2221" s="6" t="str">
        <f>"BCL9L"</f>
        <v>BCL9L</v>
      </c>
      <c r="B2221" s="6">
        <v>1.5984015984015901E-2</v>
      </c>
      <c r="C2221" s="6">
        <v>0.12633318365514101</v>
      </c>
    </row>
    <row r="2222" spans="1:3" s="8" customFormat="1" x14ac:dyDescent="0.2">
      <c r="A2222" s="6" t="str">
        <f>"ARID1A"</f>
        <v>ARID1A</v>
      </c>
      <c r="B2222" s="6">
        <v>1.5984015984015901E-2</v>
      </c>
      <c r="C2222" s="6">
        <v>0.12633318365514101</v>
      </c>
    </row>
    <row r="2223" spans="1:3" s="8" customFormat="1" x14ac:dyDescent="0.2">
      <c r="A2223" s="6" t="str">
        <f>"TMEM30B"</f>
        <v>TMEM30B</v>
      </c>
      <c r="B2223" s="6">
        <v>1.5984015984015901E-2</v>
      </c>
      <c r="C2223" s="6">
        <v>0.12633318365514101</v>
      </c>
    </row>
    <row r="2224" spans="1:3" s="8" customFormat="1" x14ac:dyDescent="0.2">
      <c r="A2224" s="6" t="str">
        <f>"RUNX1"</f>
        <v>RUNX1</v>
      </c>
      <c r="B2224" s="6">
        <v>1.5984015984015901E-2</v>
      </c>
      <c r="C2224" s="6">
        <v>0.12633318365514101</v>
      </c>
    </row>
    <row r="2225" spans="1:3" s="8" customFormat="1" x14ac:dyDescent="0.2">
      <c r="A2225" s="6" t="str">
        <f>"MGLL"</f>
        <v>MGLL</v>
      </c>
      <c r="B2225" s="6">
        <v>1.5984015984015901E-2</v>
      </c>
      <c r="C2225" s="6">
        <v>0.12633318365514101</v>
      </c>
    </row>
    <row r="2226" spans="1:3" s="8" customFormat="1" x14ac:dyDescent="0.2">
      <c r="A2226" s="6" t="str">
        <f>"SF3A1"</f>
        <v>SF3A1</v>
      </c>
      <c r="B2226" s="6">
        <v>1.5984015984015901E-2</v>
      </c>
      <c r="C2226" s="6">
        <v>0.12633318365514101</v>
      </c>
    </row>
    <row r="2227" spans="1:3" s="8" customFormat="1" x14ac:dyDescent="0.2">
      <c r="A2227" s="6" t="str">
        <f>"CALM3"</f>
        <v>CALM3</v>
      </c>
      <c r="B2227" s="6">
        <v>1.5984015984015901E-2</v>
      </c>
      <c r="C2227" s="6">
        <v>0.12633318365514101</v>
      </c>
    </row>
    <row r="2228" spans="1:3" s="8" customFormat="1" x14ac:dyDescent="0.2">
      <c r="A2228" s="6" t="str">
        <f>"CXCL17"</f>
        <v>CXCL17</v>
      </c>
      <c r="B2228" s="6">
        <v>1.5984015984015901E-2</v>
      </c>
      <c r="C2228" s="6">
        <v>0.12633318365514101</v>
      </c>
    </row>
    <row r="2229" spans="1:3" s="8" customFormat="1" x14ac:dyDescent="0.2">
      <c r="A2229" s="6" t="str">
        <f>"PICART1"</f>
        <v>PICART1</v>
      </c>
      <c r="B2229" s="6">
        <v>1.6016016016015999E-2</v>
      </c>
      <c r="C2229" s="6">
        <v>0.126402884033045</v>
      </c>
    </row>
    <row r="2230" spans="1:3" s="8" customFormat="1" x14ac:dyDescent="0.2">
      <c r="A2230" s="6" t="str">
        <f>"ARL9"</f>
        <v>ARL9</v>
      </c>
      <c r="B2230" s="6">
        <v>1.6025641025641E-2</v>
      </c>
      <c r="C2230" s="6">
        <v>0.12642210488778399</v>
      </c>
    </row>
    <row r="2231" spans="1:3" s="8" customFormat="1" x14ac:dyDescent="0.2">
      <c r="A2231" s="6" t="str">
        <f>"AC135012.1"</f>
        <v>AC135012.1</v>
      </c>
      <c r="B2231" s="6">
        <v>1.60481444332999E-2</v>
      </c>
      <c r="C2231" s="6">
        <v>0.12654285727136499</v>
      </c>
    </row>
    <row r="2232" spans="1:3" s="8" customFormat="1" x14ac:dyDescent="0.2">
      <c r="A2232" s="6" t="str">
        <f>"RPS3AP26"</f>
        <v>RPS3AP26</v>
      </c>
      <c r="B2232" s="6">
        <v>1.6163793103448201E-2</v>
      </c>
      <c r="C2232" s="6">
        <v>0.12739764138549201</v>
      </c>
    </row>
    <row r="2233" spans="1:3" s="8" customFormat="1" x14ac:dyDescent="0.2">
      <c r="A2233" s="6" t="str">
        <f>"UNC5D"</f>
        <v>UNC5D</v>
      </c>
      <c r="B2233" s="6">
        <v>1.6983016983016901E-2</v>
      </c>
      <c r="C2233" s="6">
        <v>0.127401608630277</v>
      </c>
    </row>
    <row r="2234" spans="1:3" s="8" customFormat="1" x14ac:dyDescent="0.2">
      <c r="A2234" s="6" t="str">
        <f>"SSTR1"</f>
        <v>SSTR1</v>
      </c>
      <c r="B2234" s="6">
        <v>1.6983016983016901E-2</v>
      </c>
      <c r="C2234" s="6">
        <v>0.127401608630277</v>
      </c>
    </row>
    <row r="2235" spans="1:3" s="8" customFormat="1" x14ac:dyDescent="0.2">
      <c r="A2235" s="6" t="str">
        <f>"KISS1R"</f>
        <v>KISS1R</v>
      </c>
      <c r="B2235" s="6">
        <v>1.6983016983016901E-2</v>
      </c>
      <c r="C2235" s="6">
        <v>0.127401608630277</v>
      </c>
    </row>
    <row r="2236" spans="1:3" s="8" customFormat="1" x14ac:dyDescent="0.2">
      <c r="A2236" s="6" t="str">
        <f>"AC012178.1"</f>
        <v>AC012178.1</v>
      </c>
      <c r="B2236" s="6">
        <v>1.6983016983016901E-2</v>
      </c>
      <c r="C2236" s="6">
        <v>0.127401608630277</v>
      </c>
    </row>
    <row r="2237" spans="1:3" s="8" customFormat="1" x14ac:dyDescent="0.2">
      <c r="A2237" s="6" t="str">
        <f>"HHIPL2"</f>
        <v>HHIPL2</v>
      </c>
      <c r="B2237" s="6">
        <v>1.6983016983016901E-2</v>
      </c>
      <c r="C2237" s="6">
        <v>0.127401608630277</v>
      </c>
    </row>
    <row r="2238" spans="1:3" s="8" customFormat="1" x14ac:dyDescent="0.2">
      <c r="A2238" s="6" t="str">
        <f>"C10orf99"</f>
        <v>C10orf99</v>
      </c>
      <c r="B2238" s="6">
        <v>1.6983016983016901E-2</v>
      </c>
      <c r="C2238" s="6">
        <v>0.127401608630277</v>
      </c>
    </row>
    <row r="2239" spans="1:3" s="8" customFormat="1" x14ac:dyDescent="0.2">
      <c r="A2239" s="6" t="str">
        <f>"HSP90AA2P"</f>
        <v>HSP90AA2P</v>
      </c>
      <c r="B2239" s="6">
        <v>1.6981132075471601E-2</v>
      </c>
      <c r="C2239" s="6">
        <v>0.127401608630277</v>
      </c>
    </row>
    <row r="2240" spans="1:3" s="8" customFormat="1" x14ac:dyDescent="0.2">
      <c r="A2240" s="6" t="str">
        <f>"Z82198.2"</f>
        <v>Z82198.2</v>
      </c>
      <c r="B2240" s="6">
        <v>1.6983016983016901E-2</v>
      </c>
      <c r="C2240" s="6">
        <v>0.127401608630277</v>
      </c>
    </row>
    <row r="2241" spans="1:3" s="8" customFormat="1" x14ac:dyDescent="0.2">
      <c r="A2241" s="6" t="str">
        <f>"LINC00211"</f>
        <v>LINC00211</v>
      </c>
      <c r="B2241" s="6">
        <v>1.6983016983016901E-2</v>
      </c>
      <c r="C2241" s="6">
        <v>0.127401608630277</v>
      </c>
    </row>
    <row r="2242" spans="1:3" s="8" customFormat="1" x14ac:dyDescent="0.2">
      <c r="A2242" s="6" t="str">
        <f>"AC016866.1"</f>
        <v>AC016866.1</v>
      </c>
      <c r="B2242" s="6">
        <v>1.6317016317016299E-2</v>
      </c>
      <c r="C2242" s="6">
        <v>0.127401608630277</v>
      </c>
    </row>
    <row r="2243" spans="1:3" s="8" customFormat="1" x14ac:dyDescent="0.2">
      <c r="A2243" s="6" t="str">
        <f>"AC091925.1"</f>
        <v>AC091925.1</v>
      </c>
      <c r="B2243" s="6">
        <v>1.6983016983016901E-2</v>
      </c>
      <c r="C2243" s="6">
        <v>0.127401608630277</v>
      </c>
    </row>
    <row r="2244" spans="1:3" s="8" customFormat="1" x14ac:dyDescent="0.2">
      <c r="A2244" s="6" t="str">
        <f>"SLC8A2"</f>
        <v>SLC8A2</v>
      </c>
      <c r="B2244" s="6">
        <v>1.6983016983016901E-2</v>
      </c>
      <c r="C2244" s="6">
        <v>0.127401608630277</v>
      </c>
    </row>
    <row r="2245" spans="1:3" s="8" customFormat="1" x14ac:dyDescent="0.2">
      <c r="A2245" s="6" t="str">
        <f>"FFAR3"</f>
        <v>FFAR3</v>
      </c>
      <c r="B2245" s="6">
        <v>1.6983016983016901E-2</v>
      </c>
      <c r="C2245" s="6">
        <v>0.127401608630277</v>
      </c>
    </row>
    <row r="2246" spans="1:3" s="8" customFormat="1" x14ac:dyDescent="0.2">
      <c r="A2246" s="6" t="str">
        <f>"FAM209B"</f>
        <v>FAM209B</v>
      </c>
      <c r="B2246" s="6">
        <v>1.6983016983016901E-2</v>
      </c>
      <c r="C2246" s="6">
        <v>0.127401608630277</v>
      </c>
    </row>
    <row r="2247" spans="1:3" s="8" customFormat="1" x14ac:dyDescent="0.2">
      <c r="A2247" s="6" t="str">
        <f>"AC011374.1"</f>
        <v>AC011374.1</v>
      </c>
      <c r="B2247" s="6">
        <v>1.6983016983016901E-2</v>
      </c>
      <c r="C2247" s="6">
        <v>0.127401608630277</v>
      </c>
    </row>
    <row r="2248" spans="1:3" s="8" customFormat="1" x14ac:dyDescent="0.2">
      <c r="A2248" s="6" t="str">
        <f>"LINC00115"</f>
        <v>LINC00115</v>
      </c>
      <c r="B2248" s="6">
        <v>1.6227180527383301E-2</v>
      </c>
      <c r="C2248" s="6">
        <v>0.127401608630277</v>
      </c>
    </row>
    <row r="2249" spans="1:3" s="8" customFormat="1" x14ac:dyDescent="0.2">
      <c r="A2249" s="6" t="str">
        <f>"AL390719.1"</f>
        <v>AL390719.1</v>
      </c>
      <c r="B2249" s="6">
        <v>1.6983016983016901E-2</v>
      </c>
      <c r="C2249" s="6">
        <v>0.127401608630277</v>
      </c>
    </row>
    <row r="2250" spans="1:3" s="8" customFormat="1" x14ac:dyDescent="0.2">
      <c r="A2250" s="6" t="str">
        <f>"AC016888.1"</f>
        <v>AC016888.1</v>
      </c>
      <c r="B2250" s="6">
        <v>1.6824395373291199E-2</v>
      </c>
      <c r="C2250" s="6">
        <v>0.127401608630277</v>
      </c>
    </row>
    <row r="2251" spans="1:3" s="8" customFormat="1" x14ac:dyDescent="0.2">
      <c r="A2251" s="6" t="str">
        <f>"SPRR2B"</f>
        <v>SPRR2B</v>
      </c>
      <c r="B2251" s="6">
        <v>1.6983016983016901E-2</v>
      </c>
      <c r="C2251" s="6">
        <v>0.127401608630277</v>
      </c>
    </row>
    <row r="2252" spans="1:3" s="8" customFormat="1" x14ac:dyDescent="0.2">
      <c r="A2252" s="6" t="str">
        <f>"AC005523.2"</f>
        <v>AC005523.2</v>
      </c>
      <c r="B2252" s="6">
        <v>1.6546018614270901E-2</v>
      </c>
      <c r="C2252" s="6">
        <v>0.127401608630277</v>
      </c>
    </row>
    <row r="2253" spans="1:3" s="8" customFormat="1" x14ac:dyDescent="0.2">
      <c r="A2253" s="6" t="str">
        <f>"DOK6"</f>
        <v>DOK6</v>
      </c>
      <c r="B2253" s="6">
        <v>1.6983016983016901E-2</v>
      </c>
      <c r="C2253" s="6">
        <v>0.127401608630277</v>
      </c>
    </row>
    <row r="2254" spans="1:3" s="8" customFormat="1" x14ac:dyDescent="0.2">
      <c r="A2254" s="6" t="str">
        <f>"AC134682.1"</f>
        <v>AC134682.1</v>
      </c>
      <c r="B2254" s="6">
        <v>1.6983016983016901E-2</v>
      </c>
      <c r="C2254" s="6">
        <v>0.127401608630277</v>
      </c>
    </row>
    <row r="2255" spans="1:3" s="8" customFormat="1" x14ac:dyDescent="0.2">
      <c r="A2255" s="6" t="str">
        <f>"AL627309.7"</f>
        <v>AL627309.7</v>
      </c>
      <c r="B2255" s="6">
        <v>1.6983016983016901E-2</v>
      </c>
      <c r="C2255" s="6">
        <v>0.127401608630277</v>
      </c>
    </row>
    <row r="2256" spans="1:3" s="8" customFormat="1" x14ac:dyDescent="0.2">
      <c r="A2256" s="6" t="str">
        <f>"AC010998.3"</f>
        <v>AC010998.3</v>
      </c>
      <c r="B2256" s="6">
        <v>1.6983016983016901E-2</v>
      </c>
      <c r="C2256" s="6">
        <v>0.127401608630277</v>
      </c>
    </row>
    <row r="2257" spans="1:3" s="8" customFormat="1" x14ac:dyDescent="0.2">
      <c r="A2257" s="6" t="str">
        <f>"AC008443.4"</f>
        <v>AC008443.4</v>
      </c>
      <c r="B2257" s="6">
        <v>1.6983016983016901E-2</v>
      </c>
      <c r="C2257" s="6">
        <v>0.127401608630277</v>
      </c>
    </row>
    <row r="2258" spans="1:3" s="8" customFormat="1" x14ac:dyDescent="0.2">
      <c r="A2258" s="6" t="str">
        <f>"AC016831.1"</f>
        <v>AC016831.1</v>
      </c>
      <c r="B2258" s="6">
        <v>1.6983016983016901E-2</v>
      </c>
      <c r="C2258" s="6">
        <v>0.127401608630277</v>
      </c>
    </row>
    <row r="2259" spans="1:3" s="8" customFormat="1" x14ac:dyDescent="0.2">
      <c r="A2259" s="6" t="str">
        <f>"CD244"</f>
        <v>CD244</v>
      </c>
      <c r="B2259" s="6">
        <v>1.6983016983016901E-2</v>
      </c>
      <c r="C2259" s="6">
        <v>0.127401608630277</v>
      </c>
    </row>
    <row r="2260" spans="1:3" s="8" customFormat="1" x14ac:dyDescent="0.2">
      <c r="A2260" s="6" t="str">
        <f>"AL121772.1"</f>
        <v>AL121772.1</v>
      </c>
      <c r="B2260" s="6">
        <v>1.6983016983016901E-2</v>
      </c>
      <c r="C2260" s="6">
        <v>0.127401608630277</v>
      </c>
    </row>
    <row r="2261" spans="1:3" s="8" customFormat="1" x14ac:dyDescent="0.2">
      <c r="A2261" s="6" t="str">
        <f>"DKK4"</f>
        <v>DKK4</v>
      </c>
      <c r="B2261" s="6">
        <v>1.6983016983016901E-2</v>
      </c>
      <c r="C2261" s="6">
        <v>0.127401608630277</v>
      </c>
    </row>
    <row r="2262" spans="1:3" s="8" customFormat="1" x14ac:dyDescent="0.2">
      <c r="A2262" s="6" t="str">
        <f>"OPRL1"</f>
        <v>OPRL1</v>
      </c>
      <c r="B2262" s="6">
        <v>1.6983016983016901E-2</v>
      </c>
      <c r="C2262" s="6">
        <v>0.127401608630277</v>
      </c>
    </row>
    <row r="2263" spans="1:3" s="8" customFormat="1" x14ac:dyDescent="0.2">
      <c r="A2263" s="6" t="str">
        <f>"STRIP2"</f>
        <v>STRIP2</v>
      </c>
      <c r="B2263" s="6">
        <v>1.6983016983016901E-2</v>
      </c>
      <c r="C2263" s="6">
        <v>0.127401608630277</v>
      </c>
    </row>
    <row r="2264" spans="1:3" s="8" customFormat="1" x14ac:dyDescent="0.2">
      <c r="A2264" s="6" t="str">
        <f>"ARHGEF39"</f>
        <v>ARHGEF39</v>
      </c>
      <c r="B2264" s="6">
        <v>1.6983016983016901E-2</v>
      </c>
      <c r="C2264" s="6">
        <v>0.127401608630277</v>
      </c>
    </row>
    <row r="2265" spans="1:3" s="8" customFormat="1" x14ac:dyDescent="0.2">
      <c r="A2265" s="6" t="str">
        <f>"BNC2"</f>
        <v>BNC2</v>
      </c>
      <c r="B2265" s="6">
        <v>1.6983016983016901E-2</v>
      </c>
      <c r="C2265" s="6">
        <v>0.127401608630277</v>
      </c>
    </row>
    <row r="2266" spans="1:3" s="8" customFormat="1" x14ac:dyDescent="0.2">
      <c r="A2266" s="6" t="str">
        <f>"AGER"</f>
        <v>AGER</v>
      </c>
      <c r="B2266" s="6">
        <v>1.6983016983016901E-2</v>
      </c>
      <c r="C2266" s="6">
        <v>0.127401608630277</v>
      </c>
    </row>
    <row r="2267" spans="1:3" s="8" customFormat="1" x14ac:dyDescent="0.2">
      <c r="A2267" s="6" t="str">
        <f>"AZU1"</f>
        <v>AZU1</v>
      </c>
      <c r="B2267" s="6">
        <v>1.6983016983016901E-2</v>
      </c>
      <c r="C2267" s="6">
        <v>0.127401608630277</v>
      </c>
    </row>
    <row r="2268" spans="1:3" s="8" customFormat="1" x14ac:dyDescent="0.2">
      <c r="A2268" s="6" t="str">
        <f>"CD86"</f>
        <v>CD86</v>
      </c>
      <c r="B2268" s="6">
        <v>1.6983016983016901E-2</v>
      </c>
      <c r="C2268" s="6">
        <v>0.127401608630277</v>
      </c>
    </row>
    <row r="2269" spans="1:3" s="8" customFormat="1" x14ac:dyDescent="0.2">
      <c r="A2269" s="6" t="str">
        <f>"ACSM1"</f>
        <v>ACSM1</v>
      </c>
      <c r="B2269" s="6">
        <v>1.6983016983016901E-2</v>
      </c>
      <c r="C2269" s="6">
        <v>0.127401608630277</v>
      </c>
    </row>
    <row r="2270" spans="1:3" s="8" customFormat="1" x14ac:dyDescent="0.2">
      <c r="A2270" s="6" t="str">
        <f>"PDGFD"</f>
        <v>PDGFD</v>
      </c>
      <c r="B2270" s="6">
        <v>1.6983016983016901E-2</v>
      </c>
      <c r="C2270" s="6">
        <v>0.127401608630277</v>
      </c>
    </row>
    <row r="2271" spans="1:3" s="8" customFormat="1" x14ac:dyDescent="0.2">
      <c r="A2271" s="6" t="str">
        <f>"RAB30-DT"</f>
        <v>RAB30-DT</v>
      </c>
      <c r="B2271" s="6">
        <v>1.6983016983016901E-2</v>
      </c>
      <c r="C2271" s="6">
        <v>0.127401608630277</v>
      </c>
    </row>
    <row r="2272" spans="1:3" s="8" customFormat="1" x14ac:dyDescent="0.2">
      <c r="A2272" s="6" t="str">
        <f>"RGS5"</f>
        <v>RGS5</v>
      </c>
      <c r="B2272" s="6">
        <v>1.6983016983016901E-2</v>
      </c>
      <c r="C2272" s="6">
        <v>0.127401608630277</v>
      </c>
    </row>
    <row r="2273" spans="1:3" s="8" customFormat="1" x14ac:dyDescent="0.2">
      <c r="A2273" s="6" t="str">
        <f>"MTERF1"</f>
        <v>MTERF1</v>
      </c>
      <c r="B2273" s="6">
        <v>1.6983016983016901E-2</v>
      </c>
      <c r="C2273" s="6">
        <v>0.127401608630277</v>
      </c>
    </row>
    <row r="2274" spans="1:3" s="8" customFormat="1" x14ac:dyDescent="0.2">
      <c r="A2274" s="6" t="str">
        <f>"AC016026.1"</f>
        <v>AC016026.1</v>
      </c>
      <c r="B2274" s="6">
        <v>1.6983016983016901E-2</v>
      </c>
      <c r="C2274" s="6">
        <v>0.127401608630277</v>
      </c>
    </row>
    <row r="2275" spans="1:3" s="8" customFormat="1" x14ac:dyDescent="0.2">
      <c r="A2275" s="6" t="str">
        <f>"RNF216P1"</f>
        <v>RNF216P1</v>
      </c>
      <c r="B2275" s="6">
        <v>1.6983016983016901E-2</v>
      </c>
      <c r="C2275" s="6">
        <v>0.127401608630277</v>
      </c>
    </row>
    <row r="2276" spans="1:3" s="8" customFormat="1" x14ac:dyDescent="0.2">
      <c r="A2276" s="6" t="str">
        <f>"PAMR1"</f>
        <v>PAMR1</v>
      </c>
      <c r="B2276" s="6">
        <v>1.6983016983016901E-2</v>
      </c>
      <c r="C2276" s="6">
        <v>0.127401608630277</v>
      </c>
    </row>
    <row r="2277" spans="1:3" s="8" customFormat="1" x14ac:dyDescent="0.2">
      <c r="A2277" s="6" t="str">
        <f>"FOXN4"</f>
        <v>FOXN4</v>
      </c>
      <c r="B2277" s="6">
        <v>1.6983016983016901E-2</v>
      </c>
      <c r="C2277" s="6">
        <v>0.127401608630277</v>
      </c>
    </row>
    <row r="2278" spans="1:3" s="8" customFormat="1" x14ac:dyDescent="0.2">
      <c r="A2278" s="6" t="str">
        <f>"URB2"</f>
        <v>URB2</v>
      </c>
      <c r="B2278" s="6">
        <v>1.6983016983016901E-2</v>
      </c>
      <c r="C2278" s="6">
        <v>0.127401608630277</v>
      </c>
    </row>
    <row r="2279" spans="1:3" s="8" customFormat="1" x14ac:dyDescent="0.2">
      <c r="A2279" s="6" t="str">
        <f>"ZNF570"</f>
        <v>ZNF570</v>
      </c>
      <c r="B2279" s="6">
        <v>1.6983016983016901E-2</v>
      </c>
      <c r="C2279" s="6">
        <v>0.127401608630277</v>
      </c>
    </row>
    <row r="2280" spans="1:3" s="8" customFormat="1" x14ac:dyDescent="0.2">
      <c r="A2280" s="6" t="str">
        <f>"AL121594.1"</f>
        <v>AL121594.1</v>
      </c>
      <c r="B2280" s="6">
        <v>1.6983016983016901E-2</v>
      </c>
      <c r="C2280" s="6">
        <v>0.127401608630277</v>
      </c>
    </row>
    <row r="2281" spans="1:3" s="8" customFormat="1" x14ac:dyDescent="0.2">
      <c r="A2281" s="6" t="str">
        <f>"ZDHHC17"</f>
        <v>ZDHHC17</v>
      </c>
      <c r="B2281" s="6">
        <v>1.6983016983016901E-2</v>
      </c>
      <c r="C2281" s="6">
        <v>0.127401608630277</v>
      </c>
    </row>
    <row r="2282" spans="1:3" s="8" customFormat="1" x14ac:dyDescent="0.2">
      <c r="A2282" s="6" t="str">
        <f>"TUBB6"</f>
        <v>TUBB6</v>
      </c>
      <c r="B2282" s="6">
        <v>1.6983016983016901E-2</v>
      </c>
      <c r="C2282" s="6">
        <v>0.127401608630277</v>
      </c>
    </row>
    <row r="2283" spans="1:3" s="8" customFormat="1" x14ac:dyDescent="0.2">
      <c r="A2283" s="6" t="str">
        <f>"PPIL3"</f>
        <v>PPIL3</v>
      </c>
      <c r="B2283" s="6">
        <v>1.6983016983016901E-2</v>
      </c>
      <c r="C2283" s="6">
        <v>0.127401608630277</v>
      </c>
    </row>
    <row r="2284" spans="1:3" s="8" customFormat="1" x14ac:dyDescent="0.2">
      <c r="A2284" s="6" t="str">
        <f>"TTC33"</f>
        <v>TTC33</v>
      </c>
      <c r="B2284" s="6">
        <v>1.6983016983016901E-2</v>
      </c>
      <c r="C2284" s="6">
        <v>0.127401608630277</v>
      </c>
    </row>
    <row r="2285" spans="1:3" s="8" customFormat="1" x14ac:dyDescent="0.2">
      <c r="A2285" s="6" t="str">
        <f>"SLCO1B3"</f>
        <v>SLCO1B3</v>
      </c>
      <c r="B2285" s="6">
        <v>1.6983016983016901E-2</v>
      </c>
      <c r="C2285" s="6">
        <v>0.127401608630277</v>
      </c>
    </row>
    <row r="2286" spans="1:3" s="8" customFormat="1" x14ac:dyDescent="0.2">
      <c r="A2286" s="6" t="str">
        <f>"AL691432.2"</f>
        <v>AL691432.2</v>
      </c>
      <c r="B2286" s="6">
        <v>1.6983016983016901E-2</v>
      </c>
      <c r="C2286" s="6">
        <v>0.127401608630277</v>
      </c>
    </row>
    <row r="2287" spans="1:3" s="8" customFormat="1" x14ac:dyDescent="0.2">
      <c r="A2287" s="6" t="str">
        <f>"RAB40B"</f>
        <v>RAB40B</v>
      </c>
      <c r="B2287" s="6">
        <v>1.6983016983016901E-2</v>
      </c>
      <c r="C2287" s="6">
        <v>0.127401608630277</v>
      </c>
    </row>
    <row r="2288" spans="1:3" s="8" customFormat="1" x14ac:dyDescent="0.2">
      <c r="A2288" s="6" t="str">
        <f>"ZNF720"</f>
        <v>ZNF720</v>
      </c>
      <c r="B2288" s="6">
        <v>1.6983016983016901E-2</v>
      </c>
      <c r="C2288" s="6">
        <v>0.127401608630277</v>
      </c>
    </row>
    <row r="2289" spans="1:3" s="8" customFormat="1" x14ac:dyDescent="0.2">
      <c r="A2289" s="6" t="str">
        <f>"C6orf136"</f>
        <v>C6orf136</v>
      </c>
      <c r="B2289" s="6">
        <v>1.6983016983016901E-2</v>
      </c>
      <c r="C2289" s="6">
        <v>0.127401608630277</v>
      </c>
    </row>
    <row r="2290" spans="1:3" s="8" customFormat="1" x14ac:dyDescent="0.2">
      <c r="A2290" s="6" t="str">
        <f>"PTGER4"</f>
        <v>PTGER4</v>
      </c>
      <c r="B2290" s="6">
        <v>1.6983016983016901E-2</v>
      </c>
      <c r="C2290" s="6">
        <v>0.127401608630277</v>
      </c>
    </row>
    <row r="2291" spans="1:3" s="8" customFormat="1" x14ac:dyDescent="0.2">
      <c r="A2291" s="6" t="str">
        <f>"SH3D21"</f>
        <v>SH3D21</v>
      </c>
      <c r="B2291" s="6">
        <v>1.6983016983016901E-2</v>
      </c>
      <c r="C2291" s="6">
        <v>0.127401608630277</v>
      </c>
    </row>
    <row r="2292" spans="1:3" s="8" customFormat="1" x14ac:dyDescent="0.2">
      <c r="A2292" s="6" t="str">
        <f>"WFDC6"</f>
        <v>WFDC6</v>
      </c>
      <c r="B2292" s="6">
        <v>1.6983016983016901E-2</v>
      </c>
      <c r="C2292" s="6">
        <v>0.127401608630277</v>
      </c>
    </row>
    <row r="2293" spans="1:3" s="8" customFormat="1" x14ac:dyDescent="0.2">
      <c r="A2293" s="6" t="str">
        <f>"RELB"</f>
        <v>RELB</v>
      </c>
      <c r="B2293" s="6">
        <v>1.6983016983016901E-2</v>
      </c>
      <c r="C2293" s="6">
        <v>0.127401608630277</v>
      </c>
    </row>
    <row r="2294" spans="1:3" s="8" customFormat="1" x14ac:dyDescent="0.2">
      <c r="A2294" s="6" t="str">
        <f>"OR7E47P"</f>
        <v>OR7E47P</v>
      </c>
      <c r="B2294" s="6">
        <v>1.6983016983016901E-2</v>
      </c>
      <c r="C2294" s="6">
        <v>0.127401608630277</v>
      </c>
    </row>
    <row r="2295" spans="1:3" s="8" customFormat="1" x14ac:dyDescent="0.2">
      <c r="A2295" s="6" t="str">
        <f>"NIF3L1"</f>
        <v>NIF3L1</v>
      </c>
      <c r="B2295" s="6">
        <v>1.6983016983016901E-2</v>
      </c>
      <c r="C2295" s="6">
        <v>0.127401608630277</v>
      </c>
    </row>
    <row r="2296" spans="1:3" s="8" customFormat="1" x14ac:dyDescent="0.2">
      <c r="A2296" s="6" t="str">
        <f>"PRDM1"</f>
        <v>PRDM1</v>
      </c>
      <c r="B2296" s="6">
        <v>1.6983016983016901E-2</v>
      </c>
      <c r="C2296" s="6">
        <v>0.127401608630277</v>
      </c>
    </row>
    <row r="2297" spans="1:3" s="8" customFormat="1" x14ac:dyDescent="0.2">
      <c r="A2297" s="6" t="str">
        <f>"TBX1"</f>
        <v>TBX1</v>
      </c>
      <c r="B2297" s="6">
        <v>1.6983016983016901E-2</v>
      </c>
      <c r="C2297" s="6">
        <v>0.127401608630277</v>
      </c>
    </row>
    <row r="2298" spans="1:3" s="8" customFormat="1" x14ac:dyDescent="0.2">
      <c r="A2298" s="6" t="str">
        <f>"MRPL16"</f>
        <v>MRPL16</v>
      </c>
      <c r="B2298" s="6">
        <v>1.6983016983016901E-2</v>
      </c>
      <c r="C2298" s="6">
        <v>0.127401608630277</v>
      </c>
    </row>
    <row r="2299" spans="1:3" s="8" customFormat="1" x14ac:dyDescent="0.2">
      <c r="A2299" s="6" t="str">
        <f>"LTN1"</f>
        <v>LTN1</v>
      </c>
      <c r="B2299" s="6">
        <v>1.6983016983016901E-2</v>
      </c>
      <c r="C2299" s="6">
        <v>0.127401608630277</v>
      </c>
    </row>
    <row r="2300" spans="1:3" s="8" customFormat="1" x14ac:dyDescent="0.2">
      <c r="A2300" s="6" t="str">
        <f>"PDZD11"</f>
        <v>PDZD11</v>
      </c>
      <c r="B2300" s="6">
        <v>1.6983016983016901E-2</v>
      </c>
      <c r="C2300" s="6">
        <v>0.127401608630277</v>
      </c>
    </row>
    <row r="2301" spans="1:3" s="8" customFormat="1" x14ac:dyDescent="0.2">
      <c r="A2301" s="6" t="str">
        <f>"AC026464.4"</f>
        <v>AC026464.4</v>
      </c>
      <c r="B2301" s="6">
        <v>1.6983016983016901E-2</v>
      </c>
      <c r="C2301" s="6">
        <v>0.127401608630277</v>
      </c>
    </row>
    <row r="2302" spans="1:3" s="8" customFormat="1" x14ac:dyDescent="0.2">
      <c r="A2302" s="6" t="str">
        <f>"DPM2"</f>
        <v>DPM2</v>
      </c>
      <c r="B2302" s="6">
        <v>1.6983016983016901E-2</v>
      </c>
      <c r="C2302" s="6">
        <v>0.127401608630277</v>
      </c>
    </row>
    <row r="2303" spans="1:3" s="8" customFormat="1" x14ac:dyDescent="0.2">
      <c r="A2303" s="6" t="str">
        <f>"HSPA2"</f>
        <v>HSPA2</v>
      </c>
      <c r="B2303" s="6">
        <v>1.6983016983016901E-2</v>
      </c>
      <c r="C2303" s="6">
        <v>0.127401608630277</v>
      </c>
    </row>
    <row r="2304" spans="1:3" s="8" customFormat="1" x14ac:dyDescent="0.2">
      <c r="A2304" s="6" t="str">
        <f>"USP12"</f>
        <v>USP12</v>
      </c>
      <c r="B2304" s="6">
        <v>1.6983016983016901E-2</v>
      </c>
      <c r="C2304" s="6">
        <v>0.127401608630277</v>
      </c>
    </row>
    <row r="2305" spans="1:3" s="8" customFormat="1" x14ac:dyDescent="0.2">
      <c r="A2305" s="6" t="str">
        <f>"NMD3"</f>
        <v>NMD3</v>
      </c>
      <c r="B2305" s="6">
        <v>1.6983016983016901E-2</v>
      </c>
      <c r="C2305" s="6">
        <v>0.127401608630277</v>
      </c>
    </row>
    <row r="2306" spans="1:3" s="8" customFormat="1" x14ac:dyDescent="0.2">
      <c r="A2306" s="6" t="str">
        <f>"FAM214B"</f>
        <v>FAM214B</v>
      </c>
      <c r="B2306" s="6">
        <v>1.6983016983016901E-2</v>
      </c>
      <c r="C2306" s="6">
        <v>0.127401608630277</v>
      </c>
    </row>
    <row r="2307" spans="1:3" s="8" customFormat="1" x14ac:dyDescent="0.2">
      <c r="A2307" s="6" t="str">
        <f>"SLC35A5"</f>
        <v>SLC35A5</v>
      </c>
      <c r="B2307" s="6">
        <v>1.6983016983016901E-2</v>
      </c>
      <c r="C2307" s="6">
        <v>0.127401608630277</v>
      </c>
    </row>
    <row r="2308" spans="1:3" s="8" customFormat="1" x14ac:dyDescent="0.2">
      <c r="A2308" s="6" t="str">
        <f>"SCEL"</f>
        <v>SCEL</v>
      </c>
      <c r="B2308" s="6">
        <v>1.6983016983016901E-2</v>
      </c>
      <c r="C2308" s="6">
        <v>0.127401608630277</v>
      </c>
    </row>
    <row r="2309" spans="1:3" s="8" customFormat="1" x14ac:dyDescent="0.2">
      <c r="A2309" s="6" t="str">
        <f>"WHRN"</f>
        <v>WHRN</v>
      </c>
      <c r="B2309" s="6">
        <v>1.6983016983016901E-2</v>
      </c>
      <c r="C2309" s="6">
        <v>0.127401608630277</v>
      </c>
    </row>
    <row r="2310" spans="1:3" s="8" customFormat="1" x14ac:dyDescent="0.2">
      <c r="A2310" s="6" t="str">
        <f>"ISG20L2"</f>
        <v>ISG20L2</v>
      </c>
      <c r="B2310" s="6">
        <v>1.6983016983016901E-2</v>
      </c>
      <c r="C2310" s="6">
        <v>0.127401608630277</v>
      </c>
    </row>
    <row r="2311" spans="1:3" s="8" customFormat="1" x14ac:dyDescent="0.2">
      <c r="A2311" s="6" t="str">
        <f>"U2AF1"</f>
        <v>U2AF1</v>
      </c>
      <c r="B2311" s="6">
        <v>1.6983016983016901E-2</v>
      </c>
      <c r="C2311" s="6">
        <v>0.127401608630277</v>
      </c>
    </row>
    <row r="2312" spans="1:3" s="8" customFormat="1" x14ac:dyDescent="0.2">
      <c r="A2312" s="6" t="str">
        <f>"NCCRP1"</f>
        <v>NCCRP1</v>
      </c>
      <c r="B2312" s="6">
        <v>1.6983016983016901E-2</v>
      </c>
      <c r="C2312" s="6">
        <v>0.127401608630277</v>
      </c>
    </row>
    <row r="2313" spans="1:3" s="8" customFormat="1" x14ac:dyDescent="0.2">
      <c r="A2313" s="6" t="str">
        <f>"SP110"</f>
        <v>SP110</v>
      </c>
      <c r="B2313" s="6">
        <v>1.6983016983016901E-2</v>
      </c>
      <c r="C2313" s="6">
        <v>0.127401608630277</v>
      </c>
    </row>
    <row r="2314" spans="1:3" s="8" customFormat="1" x14ac:dyDescent="0.2">
      <c r="A2314" s="6" t="str">
        <f>"SUPT20H"</f>
        <v>SUPT20H</v>
      </c>
      <c r="B2314" s="6">
        <v>1.6983016983016901E-2</v>
      </c>
      <c r="C2314" s="6">
        <v>0.127401608630277</v>
      </c>
    </row>
    <row r="2315" spans="1:3" s="8" customFormat="1" x14ac:dyDescent="0.2">
      <c r="A2315" s="6" t="str">
        <f>"FUNDC2"</f>
        <v>FUNDC2</v>
      </c>
      <c r="B2315" s="6">
        <v>1.6983016983016901E-2</v>
      </c>
      <c r="C2315" s="6">
        <v>0.127401608630277</v>
      </c>
    </row>
    <row r="2316" spans="1:3" s="8" customFormat="1" x14ac:dyDescent="0.2">
      <c r="A2316" s="6" t="str">
        <f>"DPAGT1"</f>
        <v>DPAGT1</v>
      </c>
      <c r="B2316" s="6">
        <v>1.6983016983016901E-2</v>
      </c>
      <c r="C2316" s="6">
        <v>0.127401608630277</v>
      </c>
    </row>
    <row r="2317" spans="1:3" s="8" customFormat="1" x14ac:dyDescent="0.2">
      <c r="A2317" s="6" t="str">
        <f>"FAM172A"</f>
        <v>FAM172A</v>
      </c>
      <c r="B2317" s="6">
        <v>1.6983016983016901E-2</v>
      </c>
      <c r="C2317" s="6">
        <v>0.127401608630277</v>
      </c>
    </row>
    <row r="2318" spans="1:3" s="8" customFormat="1" x14ac:dyDescent="0.2">
      <c r="A2318" s="6" t="str">
        <f>"LANCL1"</f>
        <v>LANCL1</v>
      </c>
      <c r="B2318" s="6">
        <v>1.6983016983016901E-2</v>
      </c>
      <c r="C2318" s="6">
        <v>0.127401608630277</v>
      </c>
    </row>
    <row r="2319" spans="1:3" s="8" customFormat="1" x14ac:dyDescent="0.2">
      <c r="A2319" s="6" t="str">
        <f>"PREP"</f>
        <v>PREP</v>
      </c>
      <c r="B2319" s="6">
        <v>1.6983016983016901E-2</v>
      </c>
      <c r="C2319" s="6">
        <v>0.127401608630277</v>
      </c>
    </row>
    <row r="2320" spans="1:3" s="8" customFormat="1" x14ac:dyDescent="0.2">
      <c r="A2320" s="6" t="str">
        <f>"SMIM15"</f>
        <v>SMIM15</v>
      </c>
      <c r="B2320" s="6">
        <v>1.6983016983016901E-2</v>
      </c>
      <c r="C2320" s="6">
        <v>0.127401608630277</v>
      </c>
    </row>
    <row r="2321" spans="1:3" s="8" customFormat="1" x14ac:dyDescent="0.2">
      <c r="A2321" s="6" t="str">
        <f>"FBXL3"</f>
        <v>FBXL3</v>
      </c>
      <c r="B2321" s="6">
        <v>1.6983016983016901E-2</v>
      </c>
      <c r="C2321" s="6">
        <v>0.127401608630277</v>
      </c>
    </row>
    <row r="2322" spans="1:3" s="8" customFormat="1" x14ac:dyDescent="0.2">
      <c r="A2322" s="6" t="str">
        <f>"GYS1"</f>
        <v>GYS1</v>
      </c>
      <c r="B2322" s="6">
        <v>1.6983016983016901E-2</v>
      </c>
      <c r="C2322" s="6">
        <v>0.127401608630277</v>
      </c>
    </row>
    <row r="2323" spans="1:3" s="8" customFormat="1" x14ac:dyDescent="0.2">
      <c r="A2323" s="6" t="str">
        <f>"RAP1GAP"</f>
        <v>RAP1GAP</v>
      </c>
      <c r="B2323" s="6">
        <v>1.6983016983016901E-2</v>
      </c>
      <c r="C2323" s="6">
        <v>0.127401608630277</v>
      </c>
    </row>
    <row r="2324" spans="1:3" s="8" customFormat="1" x14ac:dyDescent="0.2">
      <c r="A2324" s="6" t="str">
        <f>"AGL"</f>
        <v>AGL</v>
      </c>
      <c r="B2324" s="6">
        <v>1.6983016983016901E-2</v>
      </c>
      <c r="C2324" s="6">
        <v>0.127401608630277</v>
      </c>
    </row>
    <row r="2325" spans="1:3" s="8" customFormat="1" x14ac:dyDescent="0.2">
      <c r="A2325" s="6" t="str">
        <f>"USP32"</f>
        <v>USP32</v>
      </c>
      <c r="B2325" s="6">
        <v>1.6983016983016901E-2</v>
      </c>
      <c r="C2325" s="6">
        <v>0.127401608630277</v>
      </c>
    </row>
    <row r="2326" spans="1:3" s="8" customFormat="1" x14ac:dyDescent="0.2">
      <c r="A2326" s="6" t="str">
        <f>"PIEZO1"</f>
        <v>PIEZO1</v>
      </c>
      <c r="B2326" s="6">
        <v>1.6983016983016901E-2</v>
      </c>
      <c r="C2326" s="6">
        <v>0.127401608630277</v>
      </c>
    </row>
    <row r="2327" spans="1:3" s="8" customFormat="1" x14ac:dyDescent="0.2">
      <c r="A2327" s="6" t="str">
        <f>"NAA60"</f>
        <v>NAA60</v>
      </c>
      <c r="B2327" s="6">
        <v>1.6983016983016901E-2</v>
      </c>
      <c r="C2327" s="6">
        <v>0.127401608630277</v>
      </c>
    </row>
    <row r="2328" spans="1:3" s="8" customFormat="1" x14ac:dyDescent="0.2">
      <c r="A2328" s="6" t="str">
        <f>"TFE3"</f>
        <v>TFE3</v>
      </c>
      <c r="B2328" s="6">
        <v>1.6983016983016901E-2</v>
      </c>
      <c r="C2328" s="6">
        <v>0.127401608630277</v>
      </c>
    </row>
    <row r="2329" spans="1:3" s="8" customFormat="1" x14ac:dyDescent="0.2">
      <c r="A2329" s="6" t="str">
        <f>"METAP2"</f>
        <v>METAP2</v>
      </c>
      <c r="B2329" s="6">
        <v>1.6983016983016901E-2</v>
      </c>
      <c r="C2329" s="6">
        <v>0.127401608630277</v>
      </c>
    </row>
    <row r="2330" spans="1:3" s="8" customFormat="1" x14ac:dyDescent="0.2">
      <c r="A2330" s="6" t="str">
        <f>"RDX"</f>
        <v>RDX</v>
      </c>
      <c r="B2330" s="6">
        <v>1.6983016983016901E-2</v>
      </c>
      <c r="C2330" s="6">
        <v>0.127401608630277</v>
      </c>
    </row>
    <row r="2331" spans="1:3" s="8" customFormat="1" x14ac:dyDescent="0.2">
      <c r="A2331" s="6" t="str">
        <f>"POM121C"</f>
        <v>POM121C</v>
      </c>
      <c r="B2331" s="6">
        <v>1.6983016983016901E-2</v>
      </c>
      <c r="C2331" s="6">
        <v>0.127401608630277</v>
      </c>
    </row>
    <row r="2332" spans="1:3" s="8" customFormat="1" x14ac:dyDescent="0.2">
      <c r="A2332" s="6" t="str">
        <f>"ITGAV"</f>
        <v>ITGAV</v>
      </c>
      <c r="B2332" s="6">
        <v>1.6983016983016901E-2</v>
      </c>
      <c r="C2332" s="6">
        <v>0.127401608630277</v>
      </c>
    </row>
    <row r="2333" spans="1:3" s="8" customFormat="1" x14ac:dyDescent="0.2">
      <c r="A2333" s="6" t="str">
        <f>"IL33"</f>
        <v>IL33</v>
      </c>
      <c r="B2333" s="6">
        <v>1.6983016983016901E-2</v>
      </c>
      <c r="C2333" s="6">
        <v>0.127401608630277</v>
      </c>
    </row>
    <row r="2334" spans="1:3" s="8" customFormat="1" x14ac:dyDescent="0.2">
      <c r="A2334" s="6" t="str">
        <f>"MTSS1"</f>
        <v>MTSS1</v>
      </c>
      <c r="B2334" s="6">
        <v>1.6983016983016901E-2</v>
      </c>
      <c r="C2334" s="6">
        <v>0.127401608630277</v>
      </c>
    </row>
    <row r="2335" spans="1:3" s="8" customFormat="1" x14ac:dyDescent="0.2">
      <c r="A2335" s="6" t="str">
        <f>"RAB37"</f>
        <v>RAB37</v>
      </c>
      <c r="B2335" s="6">
        <v>1.6983016983016901E-2</v>
      </c>
      <c r="C2335" s="6">
        <v>0.127401608630277</v>
      </c>
    </row>
    <row r="2336" spans="1:3" s="8" customFormat="1" x14ac:dyDescent="0.2">
      <c r="A2336" s="6" t="str">
        <f>"HCLS1"</f>
        <v>HCLS1</v>
      </c>
      <c r="B2336" s="6">
        <v>1.6983016983016901E-2</v>
      </c>
      <c r="C2336" s="6">
        <v>0.127401608630277</v>
      </c>
    </row>
    <row r="2337" spans="1:3" s="8" customFormat="1" x14ac:dyDescent="0.2">
      <c r="A2337" s="6" t="str">
        <f>"C1orf194"</f>
        <v>C1orf194</v>
      </c>
      <c r="B2337" s="6">
        <v>1.6983016983016901E-2</v>
      </c>
      <c r="C2337" s="6">
        <v>0.127401608630277</v>
      </c>
    </row>
    <row r="2338" spans="1:3" s="8" customFormat="1" x14ac:dyDescent="0.2">
      <c r="A2338" s="6" t="str">
        <f>"MIF"</f>
        <v>MIF</v>
      </c>
      <c r="B2338" s="6">
        <v>1.6983016983016901E-2</v>
      </c>
      <c r="C2338" s="6">
        <v>0.127401608630277</v>
      </c>
    </row>
    <row r="2339" spans="1:3" s="8" customFormat="1" x14ac:dyDescent="0.2">
      <c r="A2339" s="6" t="str">
        <f>"MAPK8IP1"</f>
        <v>MAPK8IP1</v>
      </c>
      <c r="B2339" s="6">
        <v>1.6983016983016901E-2</v>
      </c>
      <c r="C2339" s="6">
        <v>0.127401608630277</v>
      </c>
    </row>
    <row r="2340" spans="1:3" s="8" customFormat="1" x14ac:dyDescent="0.2">
      <c r="A2340" s="6" t="str">
        <f>"ANXA5"</f>
        <v>ANXA5</v>
      </c>
      <c r="B2340" s="6">
        <v>1.6983016983016901E-2</v>
      </c>
      <c r="C2340" s="6">
        <v>0.127401608630277</v>
      </c>
    </row>
    <row r="2341" spans="1:3" s="8" customFormat="1" x14ac:dyDescent="0.2">
      <c r="A2341" s="6" t="str">
        <f>"COX6A1"</f>
        <v>COX6A1</v>
      </c>
      <c r="B2341" s="6">
        <v>1.6983016983016901E-2</v>
      </c>
      <c r="C2341" s="6">
        <v>0.127401608630277</v>
      </c>
    </row>
    <row r="2342" spans="1:3" s="8" customFormat="1" x14ac:dyDescent="0.2">
      <c r="A2342" s="6" t="str">
        <f>"ERBB3"</f>
        <v>ERBB3</v>
      </c>
      <c r="B2342" s="6">
        <v>1.6983016983016901E-2</v>
      </c>
      <c r="C2342" s="6">
        <v>0.127401608630277</v>
      </c>
    </row>
    <row r="2343" spans="1:3" s="8" customFormat="1" x14ac:dyDescent="0.2">
      <c r="A2343" s="6" t="str">
        <f>"TRIM8"</f>
        <v>TRIM8</v>
      </c>
      <c r="B2343" s="6">
        <v>1.6983016983016901E-2</v>
      </c>
      <c r="C2343" s="6">
        <v>0.127401608630277</v>
      </c>
    </row>
    <row r="2344" spans="1:3" s="8" customFormat="1" x14ac:dyDescent="0.2">
      <c r="A2344" s="6" t="str">
        <f>"DDX3X"</f>
        <v>DDX3X</v>
      </c>
      <c r="B2344" s="6">
        <v>1.6983016983016901E-2</v>
      </c>
      <c r="C2344" s="6">
        <v>0.127401608630277</v>
      </c>
    </row>
    <row r="2345" spans="1:3" s="8" customFormat="1" x14ac:dyDescent="0.2">
      <c r="A2345" s="6" t="str">
        <f>"GSTA1"</f>
        <v>GSTA1</v>
      </c>
      <c r="B2345" s="6">
        <v>1.6983016983016901E-2</v>
      </c>
      <c r="C2345" s="6">
        <v>0.127401608630277</v>
      </c>
    </row>
    <row r="2346" spans="1:3" s="8" customFormat="1" x14ac:dyDescent="0.2">
      <c r="A2346" s="6" t="str">
        <f>"PIK3R6"</f>
        <v>PIK3R6</v>
      </c>
      <c r="B2346" s="6">
        <v>1.7000000000000001E-2</v>
      </c>
      <c r="C2346" s="6">
        <v>0.12742028985507201</v>
      </c>
    </row>
    <row r="2347" spans="1:3" s="8" customFormat="1" x14ac:dyDescent="0.2">
      <c r="A2347" s="6" t="str">
        <f>"TTC39A-AS1"</f>
        <v>TTC39A-AS1</v>
      </c>
      <c r="B2347" s="6">
        <v>1.7000000000000001E-2</v>
      </c>
      <c r="C2347" s="6">
        <v>0.12742028985507201</v>
      </c>
    </row>
    <row r="2348" spans="1:3" s="8" customFormat="1" x14ac:dyDescent="0.2">
      <c r="A2348" s="6" t="str">
        <f>"IGKV1-16"</f>
        <v>IGKV1-16</v>
      </c>
      <c r="B2348" s="6">
        <v>1.7017017017017001E-2</v>
      </c>
      <c r="C2348" s="6">
        <v>0.12749349264048801</v>
      </c>
    </row>
    <row r="2349" spans="1:3" s="8" customFormat="1" x14ac:dyDescent="0.2">
      <c r="A2349" s="6" t="str">
        <f>"AC020656.1"</f>
        <v>AC020656.1</v>
      </c>
      <c r="B2349" s="6">
        <v>1.7068273092369399E-2</v>
      </c>
      <c r="C2349" s="6">
        <v>0.12782304687232701</v>
      </c>
    </row>
    <row r="2350" spans="1:3" s="8" customFormat="1" x14ac:dyDescent="0.2">
      <c r="A2350" s="6" t="str">
        <f>"RPS4XP22"</f>
        <v>RPS4XP22</v>
      </c>
      <c r="B2350" s="6">
        <v>1.7119838872104699E-2</v>
      </c>
      <c r="C2350" s="6">
        <v>0.128154638879135</v>
      </c>
    </row>
    <row r="2351" spans="1:3" s="8" customFormat="1" x14ac:dyDescent="0.2">
      <c r="A2351" s="6" t="str">
        <f>"AL033530.1"</f>
        <v>AL033530.1</v>
      </c>
      <c r="B2351" s="6">
        <v>1.72413793103448E-2</v>
      </c>
      <c r="C2351" s="6">
        <v>0.12900953778429899</v>
      </c>
    </row>
    <row r="2352" spans="1:3" s="8" customFormat="1" x14ac:dyDescent="0.2">
      <c r="A2352" s="6" t="str">
        <f>"AP003472.2"</f>
        <v>AP003472.2</v>
      </c>
      <c r="B2352" s="6">
        <v>1.7276422764227601E-2</v>
      </c>
      <c r="C2352" s="6">
        <v>0.12921676643393301</v>
      </c>
    </row>
    <row r="2353" spans="1:3" s="8" customFormat="1" x14ac:dyDescent="0.2">
      <c r="A2353" s="6" t="str">
        <f>"ALPK2"</f>
        <v>ALPK2</v>
      </c>
      <c r="B2353" s="6">
        <v>1.79820179820179E-2</v>
      </c>
      <c r="C2353" s="6">
        <v>0.12980123324950901</v>
      </c>
    </row>
    <row r="2354" spans="1:3" s="8" customFormat="1" x14ac:dyDescent="0.2">
      <c r="A2354" s="6" t="str">
        <f>"AC099811.1"</f>
        <v>AC099811.1</v>
      </c>
      <c r="B2354" s="6">
        <v>1.79820179820179E-2</v>
      </c>
      <c r="C2354" s="6">
        <v>0.12980123324950901</v>
      </c>
    </row>
    <row r="2355" spans="1:3" s="8" customFormat="1" x14ac:dyDescent="0.2">
      <c r="A2355" s="6" t="str">
        <f>"AC009226.1"</f>
        <v>AC009226.1</v>
      </c>
      <c r="B2355" s="6">
        <v>1.79820179820179E-2</v>
      </c>
      <c r="C2355" s="6">
        <v>0.12980123324950901</v>
      </c>
    </row>
    <row r="2356" spans="1:3" s="8" customFormat="1" x14ac:dyDescent="0.2">
      <c r="A2356" s="6" t="str">
        <f>"SEZ6L"</f>
        <v>SEZ6L</v>
      </c>
      <c r="B2356" s="6">
        <v>1.79820179820179E-2</v>
      </c>
      <c r="C2356" s="6">
        <v>0.12980123324950901</v>
      </c>
    </row>
    <row r="2357" spans="1:3" s="8" customFormat="1" x14ac:dyDescent="0.2">
      <c r="A2357" s="6" t="str">
        <f>"ACTG2"</f>
        <v>ACTG2</v>
      </c>
      <c r="B2357" s="6">
        <v>1.79820179820179E-2</v>
      </c>
      <c r="C2357" s="6">
        <v>0.12980123324950901</v>
      </c>
    </row>
    <row r="2358" spans="1:3" s="8" customFormat="1" x14ac:dyDescent="0.2">
      <c r="A2358" s="6" t="str">
        <f>"ZFP92"</f>
        <v>ZFP92</v>
      </c>
      <c r="B2358" s="6">
        <v>1.79820179820179E-2</v>
      </c>
      <c r="C2358" s="6">
        <v>0.12980123324950901</v>
      </c>
    </row>
    <row r="2359" spans="1:3" s="8" customFormat="1" x14ac:dyDescent="0.2">
      <c r="A2359" s="6" t="str">
        <f>"AP003059.1"</f>
        <v>AP003059.1</v>
      </c>
      <c r="B2359" s="6">
        <v>1.79820179820179E-2</v>
      </c>
      <c r="C2359" s="6">
        <v>0.12980123324950901</v>
      </c>
    </row>
    <row r="2360" spans="1:3" s="8" customFormat="1" x14ac:dyDescent="0.2">
      <c r="A2360" s="6" t="str">
        <f>"ZNF541"</f>
        <v>ZNF541</v>
      </c>
      <c r="B2360" s="6">
        <v>1.79820179820179E-2</v>
      </c>
      <c r="C2360" s="6">
        <v>0.12980123324950901</v>
      </c>
    </row>
    <row r="2361" spans="1:3" s="8" customFormat="1" x14ac:dyDescent="0.2">
      <c r="A2361" s="6" t="str">
        <f>"AL359762.1"</f>
        <v>AL359762.1</v>
      </c>
      <c r="B2361" s="6">
        <v>1.79820179820179E-2</v>
      </c>
      <c r="C2361" s="6">
        <v>0.12980123324950901</v>
      </c>
    </row>
    <row r="2362" spans="1:3" s="8" customFormat="1" x14ac:dyDescent="0.2">
      <c r="A2362" s="6" t="str">
        <f>"NTRK3"</f>
        <v>NTRK3</v>
      </c>
      <c r="B2362" s="6">
        <v>1.79820179820179E-2</v>
      </c>
      <c r="C2362" s="6">
        <v>0.12980123324950901</v>
      </c>
    </row>
    <row r="2363" spans="1:3" s="8" customFormat="1" x14ac:dyDescent="0.2">
      <c r="A2363" s="6" t="str">
        <f>"IQCJ-SCHIP1"</f>
        <v>IQCJ-SCHIP1</v>
      </c>
      <c r="B2363" s="6">
        <v>1.79820179820179E-2</v>
      </c>
      <c r="C2363" s="6">
        <v>0.12980123324950901</v>
      </c>
    </row>
    <row r="2364" spans="1:3" s="8" customFormat="1" x14ac:dyDescent="0.2">
      <c r="A2364" s="6" t="str">
        <f>"ANGPTL5"</f>
        <v>ANGPTL5</v>
      </c>
      <c r="B2364" s="6">
        <v>1.79820179820179E-2</v>
      </c>
      <c r="C2364" s="6">
        <v>0.12980123324950901</v>
      </c>
    </row>
    <row r="2365" spans="1:3" s="8" customFormat="1" x14ac:dyDescent="0.2">
      <c r="A2365" s="6" t="str">
        <f>"AC124067.2"</f>
        <v>AC124067.2</v>
      </c>
      <c r="B2365" s="6">
        <v>1.79820179820179E-2</v>
      </c>
      <c r="C2365" s="6">
        <v>0.12980123324950901</v>
      </c>
    </row>
    <row r="2366" spans="1:3" s="8" customFormat="1" x14ac:dyDescent="0.2">
      <c r="A2366" s="6" t="str">
        <f>"RUNDC3A"</f>
        <v>RUNDC3A</v>
      </c>
      <c r="B2366" s="6">
        <v>1.79820179820179E-2</v>
      </c>
      <c r="C2366" s="6">
        <v>0.12980123324950901</v>
      </c>
    </row>
    <row r="2367" spans="1:3" s="8" customFormat="1" x14ac:dyDescent="0.2">
      <c r="A2367" s="6" t="str">
        <f>"TRPC1"</f>
        <v>TRPC1</v>
      </c>
      <c r="B2367" s="6">
        <v>1.79820179820179E-2</v>
      </c>
      <c r="C2367" s="6">
        <v>0.12980123324950901</v>
      </c>
    </row>
    <row r="2368" spans="1:3" s="8" customFormat="1" x14ac:dyDescent="0.2">
      <c r="A2368" s="6" t="str">
        <f>"SLAIN1"</f>
        <v>SLAIN1</v>
      </c>
      <c r="B2368" s="6">
        <v>1.79820179820179E-2</v>
      </c>
      <c r="C2368" s="6">
        <v>0.12980123324950901</v>
      </c>
    </row>
    <row r="2369" spans="1:3" s="8" customFormat="1" x14ac:dyDescent="0.2">
      <c r="A2369" s="6" t="str">
        <f>"EGF"</f>
        <v>EGF</v>
      </c>
      <c r="B2369" s="6">
        <v>1.79820179820179E-2</v>
      </c>
      <c r="C2369" s="6">
        <v>0.12980123324950901</v>
      </c>
    </row>
    <row r="2370" spans="1:3" s="8" customFormat="1" x14ac:dyDescent="0.2">
      <c r="A2370" s="6" t="str">
        <f>"LINC00343"</f>
        <v>LINC00343</v>
      </c>
      <c r="B2370" s="6">
        <v>1.79820179820179E-2</v>
      </c>
      <c r="C2370" s="6">
        <v>0.12980123324950901</v>
      </c>
    </row>
    <row r="2371" spans="1:3" s="8" customFormat="1" x14ac:dyDescent="0.2">
      <c r="A2371" s="6" t="str">
        <f>"AC068896.1"</f>
        <v>AC068896.1</v>
      </c>
      <c r="B2371" s="6">
        <v>1.79820179820179E-2</v>
      </c>
      <c r="C2371" s="6">
        <v>0.12980123324950901</v>
      </c>
    </row>
    <row r="2372" spans="1:3" s="8" customFormat="1" x14ac:dyDescent="0.2">
      <c r="A2372" s="6" t="str">
        <f>"ATP6V1E2"</f>
        <v>ATP6V1E2</v>
      </c>
      <c r="B2372" s="6">
        <v>1.79820179820179E-2</v>
      </c>
      <c r="C2372" s="6">
        <v>0.12980123324950901</v>
      </c>
    </row>
    <row r="2373" spans="1:3" s="8" customFormat="1" x14ac:dyDescent="0.2">
      <c r="A2373" s="6" t="str">
        <f>"ZNF17"</f>
        <v>ZNF17</v>
      </c>
      <c r="B2373" s="6">
        <v>1.79820179820179E-2</v>
      </c>
      <c r="C2373" s="6">
        <v>0.12980123324950901</v>
      </c>
    </row>
    <row r="2374" spans="1:3" s="8" customFormat="1" x14ac:dyDescent="0.2">
      <c r="A2374" s="6" t="str">
        <f>"C8orf58"</f>
        <v>C8orf58</v>
      </c>
      <c r="B2374" s="6">
        <v>1.79820179820179E-2</v>
      </c>
      <c r="C2374" s="6">
        <v>0.12980123324950901</v>
      </c>
    </row>
    <row r="2375" spans="1:3" s="8" customFormat="1" x14ac:dyDescent="0.2">
      <c r="A2375" s="6" t="str">
        <f>"MAP10"</f>
        <v>MAP10</v>
      </c>
      <c r="B2375" s="6">
        <v>1.79820179820179E-2</v>
      </c>
      <c r="C2375" s="6">
        <v>0.12980123324950901</v>
      </c>
    </row>
    <row r="2376" spans="1:3" s="8" customFormat="1" x14ac:dyDescent="0.2">
      <c r="A2376" s="6" t="str">
        <f>"ITIH5"</f>
        <v>ITIH5</v>
      </c>
      <c r="B2376" s="6">
        <v>1.79820179820179E-2</v>
      </c>
      <c r="C2376" s="6">
        <v>0.12980123324950901</v>
      </c>
    </row>
    <row r="2377" spans="1:3" s="8" customFormat="1" x14ac:dyDescent="0.2">
      <c r="A2377" s="6" t="str">
        <f>"TDRKH"</f>
        <v>TDRKH</v>
      </c>
      <c r="B2377" s="6">
        <v>1.79820179820179E-2</v>
      </c>
      <c r="C2377" s="6">
        <v>0.12980123324950901</v>
      </c>
    </row>
    <row r="2378" spans="1:3" s="8" customFormat="1" x14ac:dyDescent="0.2">
      <c r="A2378" s="6" t="str">
        <f>"PELI3"</f>
        <v>PELI3</v>
      </c>
      <c r="B2378" s="6">
        <v>1.79820179820179E-2</v>
      </c>
      <c r="C2378" s="6">
        <v>0.12980123324950901</v>
      </c>
    </row>
    <row r="2379" spans="1:3" s="8" customFormat="1" x14ac:dyDescent="0.2">
      <c r="A2379" s="6" t="str">
        <f>"LRRC17"</f>
        <v>LRRC17</v>
      </c>
      <c r="B2379" s="6">
        <v>1.79820179820179E-2</v>
      </c>
      <c r="C2379" s="6">
        <v>0.12980123324950901</v>
      </c>
    </row>
    <row r="2380" spans="1:3" s="8" customFormat="1" x14ac:dyDescent="0.2">
      <c r="A2380" s="6" t="str">
        <f>"KIF20B"</f>
        <v>KIF20B</v>
      </c>
      <c r="B2380" s="6">
        <v>1.79820179820179E-2</v>
      </c>
      <c r="C2380" s="6">
        <v>0.12980123324950901</v>
      </c>
    </row>
    <row r="2381" spans="1:3" s="8" customFormat="1" x14ac:dyDescent="0.2">
      <c r="A2381" s="6" t="str">
        <f>"AC010323.1"</f>
        <v>AC010323.1</v>
      </c>
      <c r="B2381" s="6">
        <v>1.79820179820179E-2</v>
      </c>
      <c r="C2381" s="6">
        <v>0.12980123324950901</v>
      </c>
    </row>
    <row r="2382" spans="1:3" s="8" customFormat="1" x14ac:dyDescent="0.2">
      <c r="A2382" s="6" t="str">
        <f>"BX005040.1"</f>
        <v>BX005040.1</v>
      </c>
      <c r="B2382" s="6">
        <v>1.79820179820179E-2</v>
      </c>
      <c r="C2382" s="6">
        <v>0.12980123324950901</v>
      </c>
    </row>
    <row r="2383" spans="1:3" s="8" customFormat="1" x14ac:dyDescent="0.2">
      <c r="A2383" s="6" t="str">
        <f>"USP49"</f>
        <v>USP49</v>
      </c>
      <c r="B2383" s="6">
        <v>1.79820179820179E-2</v>
      </c>
      <c r="C2383" s="6">
        <v>0.12980123324950901</v>
      </c>
    </row>
    <row r="2384" spans="1:3" s="8" customFormat="1" x14ac:dyDescent="0.2">
      <c r="A2384" s="6" t="str">
        <f>"CTSV"</f>
        <v>CTSV</v>
      </c>
      <c r="B2384" s="6">
        <v>1.79820179820179E-2</v>
      </c>
      <c r="C2384" s="6">
        <v>0.12980123324950901</v>
      </c>
    </row>
    <row r="2385" spans="1:3" s="8" customFormat="1" x14ac:dyDescent="0.2">
      <c r="A2385" s="6" t="str">
        <f>"TXNRD3"</f>
        <v>TXNRD3</v>
      </c>
      <c r="B2385" s="6">
        <v>1.79820179820179E-2</v>
      </c>
      <c r="C2385" s="6">
        <v>0.12980123324950901</v>
      </c>
    </row>
    <row r="2386" spans="1:3" s="8" customFormat="1" x14ac:dyDescent="0.2">
      <c r="A2386" s="6" t="str">
        <f>"SYNM"</f>
        <v>SYNM</v>
      </c>
      <c r="B2386" s="6">
        <v>1.79820179820179E-2</v>
      </c>
      <c r="C2386" s="6">
        <v>0.12980123324950901</v>
      </c>
    </row>
    <row r="2387" spans="1:3" s="8" customFormat="1" x14ac:dyDescent="0.2">
      <c r="A2387" s="6" t="str">
        <f>"CXCL2"</f>
        <v>CXCL2</v>
      </c>
      <c r="B2387" s="6">
        <v>1.79820179820179E-2</v>
      </c>
      <c r="C2387" s="6">
        <v>0.12980123324950901</v>
      </c>
    </row>
    <row r="2388" spans="1:3" s="8" customFormat="1" x14ac:dyDescent="0.2">
      <c r="A2388" s="6" t="str">
        <f>"AL162258.1"</f>
        <v>AL162258.1</v>
      </c>
      <c r="B2388" s="6">
        <v>1.79820179820179E-2</v>
      </c>
      <c r="C2388" s="6">
        <v>0.12980123324950901</v>
      </c>
    </row>
    <row r="2389" spans="1:3" s="8" customFormat="1" x14ac:dyDescent="0.2">
      <c r="A2389" s="6" t="str">
        <f>"AC092368.3"</f>
        <v>AC092368.3</v>
      </c>
      <c r="B2389" s="6">
        <v>1.79820179820179E-2</v>
      </c>
      <c r="C2389" s="6">
        <v>0.12980123324950901</v>
      </c>
    </row>
    <row r="2390" spans="1:3" s="8" customFormat="1" x14ac:dyDescent="0.2">
      <c r="A2390" s="6" t="str">
        <f>"SBK1"</f>
        <v>SBK1</v>
      </c>
      <c r="B2390" s="6">
        <v>1.79820179820179E-2</v>
      </c>
      <c r="C2390" s="6">
        <v>0.12980123324950901</v>
      </c>
    </row>
    <row r="2391" spans="1:3" s="8" customFormat="1" x14ac:dyDescent="0.2">
      <c r="A2391" s="6" t="str">
        <f>"UPP1"</f>
        <v>UPP1</v>
      </c>
      <c r="B2391" s="6">
        <v>1.79820179820179E-2</v>
      </c>
      <c r="C2391" s="6">
        <v>0.12980123324950901</v>
      </c>
    </row>
    <row r="2392" spans="1:3" s="8" customFormat="1" x14ac:dyDescent="0.2">
      <c r="A2392" s="6" t="str">
        <f>"TBP"</f>
        <v>TBP</v>
      </c>
      <c r="B2392" s="6">
        <v>1.79820179820179E-2</v>
      </c>
      <c r="C2392" s="6">
        <v>0.12980123324950901</v>
      </c>
    </row>
    <row r="2393" spans="1:3" s="8" customFormat="1" x14ac:dyDescent="0.2">
      <c r="A2393" s="6" t="str">
        <f>"FES"</f>
        <v>FES</v>
      </c>
      <c r="B2393" s="6">
        <v>1.79820179820179E-2</v>
      </c>
      <c r="C2393" s="6">
        <v>0.12980123324950901</v>
      </c>
    </row>
    <row r="2394" spans="1:3" s="8" customFormat="1" x14ac:dyDescent="0.2">
      <c r="A2394" s="6" t="str">
        <f>"AP001453.3"</f>
        <v>AP001453.3</v>
      </c>
      <c r="B2394" s="6">
        <v>1.79820179820179E-2</v>
      </c>
      <c r="C2394" s="6">
        <v>0.12980123324950901</v>
      </c>
    </row>
    <row r="2395" spans="1:3" s="8" customFormat="1" x14ac:dyDescent="0.2">
      <c r="A2395" s="6" t="str">
        <f>"NPRL2"</f>
        <v>NPRL2</v>
      </c>
      <c r="B2395" s="6">
        <v>1.79820179820179E-2</v>
      </c>
      <c r="C2395" s="6">
        <v>0.12980123324950901</v>
      </c>
    </row>
    <row r="2396" spans="1:3" s="8" customFormat="1" x14ac:dyDescent="0.2">
      <c r="A2396" s="6" t="str">
        <f>"HFE"</f>
        <v>HFE</v>
      </c>
      <c r="B2396" s="6">
        <v>1.79820179820179E-2</v>
      </c>
      <c r="C2396" s="6">
        <v>0.12980123324950901</v>
      </c>
    </row>
    <row r="2397" spans="1:3" s="8" customFormat="1" x14ac:dyDescent="0.2">
      <c r="A2397" s="6" t="str">
        <f>"TIAM1"</f>
        <v>TIAM1</v>
      </c>
      <c r="B2397" s="6">
        <v>1.79820179820179E-2</v>
      </c>
      <c r="C2397" s="6">
        <v>0.12980123324950901</v>
      </c>
    </row>
    <row r="2398" spans="1:3" s="8" customFormat="1" x14ac:dyDescent="0.2">
      <c r="A2398" s="6" t="str">
        <f>"TRMT1"</f>
        <v>TRMT1</v>
      </c>
      <c r="B2398" s="6">
        <v>1.79820179820179E-2</v>
      </c>
      <c r="C2398" s="6">
        <v>0.12980123324950901</v>
      </c>
    </row>
    <row r="2399" spans="1:3" s="8" customFormat="1" x14ac:dyDescent="0.2">
      <c r="A2399" s="6" t="str">
        <f>"ETAA1"</f>
        <v>ETAA1</v>
      </c>
      <c r="B2399" s="6">
        <v>1.79820179820179E-2</v>
      </c>
      <c r="C2399" s="6">
        <v>0.12980123324950901</v>
      </c>
    </row>
    <row r="2400" spans="1:3" s="8" customFormat="1" x14ac:dyDescent="0.2">
      <c r="A2400" s="6" t="str">
        <f>"NAIP"</f>
        <v>NAIP</v>
      </c>
      <c r="B2400" s="6">
        <v>1.79820179820179E-2</v>
      </c>
      <c r="C2400" s="6">
        <v>0.12980123324950901</v>
      </c>
    </row>
    <row r="2401" spans="1:3" s="8" customFormat="1" x14ac:dyDescent="0.2">
      <c r="A2401" s="6" t="str">
        <f>"MATN2"</f>
        <v>MATN2</v>
      </c>
      <c r="B2401" s="6">
        <v>1.79820179820179E-2</v>
      </c>
      <c r="C2401" s="6">
        <v>0.12980123324950901</v>
      </c>
    </row>
    <row r="2402" spans="1:3" s="8" customFormat="1" x14ac:dyDescent="0.2">
      <c r="A2402" s="6" t="str">
        <f>"ERV3-1"</f>
        <v>ERV3-1</v>
      </c>
      <c r="B2402" s="6">
        <v>1.79820179820179E-2</v>
      </c>
      <c r="C2402" s="6">
        <v>0.12980123324950901</v>
      </c>
    </row>
    <row r="2403" spans="1:3" s="8" customFormat="1" x14ac:dyDescent="0.2">
      <c r="A2403" s="6" t="str">
        <f>"HDHD5"</f>
        <v>HDHD5</v>
      </c>
      <c r="B2403" s="6">
        <v>1.79820179820179E-2</v>
      </c>
      <c r="C2403" s="6">
        <v>0.12980123324950901</v>
      </c>
    </row>
    <row r="2404" spans="1:3" s="8" customFormat="1" x14ac:dyDescent="0.2">
      <c r="A2404" s="6" t="str">
        <f>"BIVM"</f>
        <v>BIVM</v>
      </c>
      <c r="B2404" s="6">
        <v>1.79820179820179E-2</v>
      </c>
      <c r="C2404" s="6">
        <v>0.12980123324950901</v>
      </c>
    </row>
    <row r="2405" spans="1:3" s="8" customFormat="1" x14ac:dyDescent="0.2">
      <c r="A2405" s="6" t="str">
        <f>"SCNM1"</f>
        <v>SCNM1</v>
      </c>
      <c r="B2405" s="6">
        <v>1.79820179820179E-2</v>
      </c>
      <c r="C2405" s="6">
        <v>0.12980123324950901</v>
      </c>
    </row>
    <row r="2406" spans="1:3" s="8" customFormat="1" x14ac:dyDescent="0.2">
      <c r="A2406" s="6" t="str">
        <f>"LRRC74B"</f>
        <v>LRRC74B</v>
      </c>
      <c r="B2406" s="6">
        <v>1.79820179820179E-2</v>
      </c>
      <c r="C2406" s="6">
        <v>0.12980123324950901</v>
      </c>
    </row>
    <row r="2407" spans="1:3" s="8" customFormat="1" x14ac:dyDescent="0.2">
      <c r="A2407" s="6" t="str">
        <f>"SOX21-AS1"</f>
        <v>SOX21-AS1</v>
      </c>
      <c r="B2407" s="6">
        <v>1.79820179820179E-2</v>
      </c>
      <c r="C2407" s="6">
        <v>0.12980123324950901</v>
      </c>
    </row>
    <row r="2408" spans="1:3" s="8" customFormat="1" x14ac:dyDescent="0.2">
      <c r="A2408" s="6" t="str">
        <f>"CZIB"</f>
        <v>CZIB</v>
      </c>
      <c r="B2408" s="6">
        <v>1.79820179820179E-2</v>
      </c>
      <c r="C2408" s="6">
        <v>0.12980123324950901</v>
      </c>
    </row>
    <row r="2409" spans="1:3" s="8" customFormat="1" x14ac:dyDescent="0.2">
      <c r="A2409" s="6" t="str">
        <f>"NAA30"</f>
        <v>NAA30</v>
      </c>
      <c r="B2409" s="6">
        <v>1.79820179820179E-2</v>
      </c>
      <c r="C2409" s="6">
        <v>0.12980123324950901</v>
      </c>
    </row>
    <row r="2410" spans="1:3" s="8" customFormat="1" x14ac:dyDescent="0.2">
      <c r="A2410" s="6" t="str">
        <f>"AC008771.1"</f>
        <v>AC008771.1</v>
      </c>
      <c r="B2410" s="6">
        <v>1.79820179820179E-2</v>
      </c>
      <c r="C2410" s="6">
        <v>0.12980123324950901</v>
      </c>
    </row>
    <row r="2411" spans="1:3" s="8" customFormat="1" x14ac:dyDescent="0.2">
      <c r="A2411" s="6" t="str">
        <f>"IRF7"</f>
        <v>IRF7</v>
      </c>
      <c r="B2411" s="6">
        <v>1.79820179820179E-2</v>
      </c>
      <c r="C2411" s="6">
        <v>0.12980123324950901</v>
      </c>
    </row>
    <row r="2412" spans="1:3" s="8" customFormat="1" x14ac:dyDescent="0.2">
      <c r="A2412" s="6" t="str">
        <f>"VPS37A"</f>
        <v>VPS37A</v>
      </c>
      <c r="B2412" s="6">
        <v>1.79820179820179E-2</v>
      </c>
      <c r="C2412" s="6">
        <v>0.12980123324950901</v>
      </c>
    </row>
    <row r="2413" spans="1:3" s="8" customFormat="1" x14ac:dyDescent="0.2">
      <c r="A2413" s="6" t="str">
        <f>"ATF2"</f>
        <v>ATF2</v>
      </c>
      <c r="B2413" s="6">
        <v>1.79820179820179E-2</v>
      </c>
      <c r="C2413" s="6">
        <v>0.12980123324950901</v>
      </c>
    </row>
    <row r="2414" spans="1:3" s="8" customFormat="1" x14ac:dyDescent="0.2">
      <c r="A2414" s="6" t="str">
        <f>"WDR70"</f>
        <v>WDR70</v>
      </c>
      <c r="B2414" s="6">
        <v>1.79820179820179E-2</v>
      </c>
      <c r="C2414" s="6">
        <v>0.12980123324950901</v>
      </c>
    </row>
    <row r="2415" spans="1:3" s="8" customFormat="1" x14ac:dyDescent="0.2">
      <c r="A2415" s="6" t="str">
        <f>"NFATC1"</f>
        <v>NFATC1</v>
      </c>
      <c r="B2415" s="6">
        <v>1.79820179820179E-2</v>
      </c>
      <c r="C2415" s="6">
        <v>0.12980123324950901</v>
      </c>
    </row>
    <row r="2416" spans="1:3" s="8" customFormat="1" x14ac:dyDescent="0.2">
      <c r="A2416" s="6" t="str">
        <f>"TP53RK"</f>
        <v>TP53RK</v>
      </c>
      <c r="B2416" s="6">
        <v>1.79820179820179E-2</v>
      </c>
      <c r="C2416" s="6">
        <v>0.12980123324950901</v>
      </c>
    </row>
    <row r="2417" spans="1:3" s="8" customFormat="1" x14ac:dyDescent="0.2">
      <c r="A2417" s="6" t="str">
        <f>"TMUB1"</f>
        <v>TMUB1</v>
      </c>
      <c r="B2417" s="6">
        <v>1.79820179820179E-2</v>
      </c>
      <c r="C2417" s="6">
        <v>0.12980123324950901</v>
      </c>
    </row>
    <row r="2418" spans="1:3" s="8" customFormat="1" x14ac:dyDescent="0.2">
      <c r="A2418" s="6" t="str">
        <f>"RGPD5"</f>
        <v>RGPD5</v>
      </c>
      <c r="B2418" s="6">
        <v>1.79820179820179E-2</v>
      </c>
      <c r="C2418" s="6">
        <v>0.12980123324950901</v>
      </c>
    </row>
    <row r="2419" spans="1:3" s="8" customFormat="1" x14ac:dyDescent="0.2">
      <c r="A2419" s="6" t="str">
        <f>"CAV2"</f>
        <v>CAV2</v>
      </c>
      <c r="B2419" s="6">
        <v>1.79820179820179E-2</v>
      </c>
      <c r="C2419" s="6">
        <v>0.12980123324950901</v>
      </c>
    </row>
    <row r="2420" spans="1:3" s="8" customFormat="1" x14ac:dyDescent="0.2">
      <c r="A2420" s="6" t="str">
        <f>"FAM199X"</f>
        <v>FAM199X</v>
      </c>
      <c r="B2420" s="6">
        <v>1.79820179820179E-2</v>
      </c>
      <c r="C2420" s="6">
        <v>0.12980123324950901</v>
      </c>
    </row>
    <row r="2421" spans="1:3" s="8" customFormat="1" x14ac:dyDescent="0.2">
      <c r="A2421" s="6" t="str">
        <f>"SNRPG"</f>
        <v>SNRPG</v>
      </c>
      <c r="B2421" s="6">
        <v>1.79820179820179E-2</v>
      </c>
      <c r="C2421" s="6">
        <v>0.12980123324950901</v>
      </c>
    </row>
    <row r="2422" spans="1:3" s="8" customFormat="1" x14ac:dyDescent="0.2">
      <c r="A2422" s="6" t="str">
        <f>"USP15"</f>
        <v>USP15</v>
      </c>
      <c r="B2422" s="6">
        <v>1.79820179820179E-2</v>
      </c>
      <c r="C2422" s="6">
        <v>0.12980123324950901</v>
      </c>
    </row>
    <row r="2423" spans="1:3" s="8" customFormat="1" x14ac:dyDescent="0.2">
      <c r="A2423" s="6" t="str">
        <f>"DLST"</f>
        <v>DLST</v>
      </c>
      <c r="B2423" s="6">
        <v>1.79820179820179E-2</v>
      </c>
      <c r="C2423" s="6">
        <v>0.12980123324950901</v>
      </c>
    </row>
    <row r="2424" spans="1:3" s="8" customFormat="1" x14ac:dyDescent="0.2">
      <c r="A2424" s="6" t="str">
        <f>"ATXN2"</f>
        <v>ATXN2</v>
      </c>
      <c r="B2424" s="6">
        <v>1.79820179820179E-2</v>
      </c>
      <c r="C2424" s="6">
        <v>0.12980123324950901</v>
      </c>
    </row>
    <row r="2425" spans="1:3" s="8" customFormat="1" x14ac:dyDescent="0.2">
      <c r="A2425" s="6" t="str">
        <f>"JOSD1"</f>
        <v>JOSD1</v>
      </c>
      <c r="B2425" s="6">
        <v>1.79820179820179E-2</v>
      </c>
      <c r="C2425" s="6">
        <v>0.12980123324950901</v>
      </c>
    </row>
    <row r="2426" spans="1:3" s="8" customFormat="1" x14ac:dyDescent="0.2">
      <c r="A2426" s="6" t="str">
        <f>"NDEL1"</f>
        <v>NDEL1</v>
      </c>
      <c r="B2426" s="6">
        <v>1.79820179820179E-2</v>
      </c>
      <c r="C2426" s="6">
        <v>0.12980123324950901</v>
      </c>
    </row>
    <row r="2427" spans="1:3" s="8" customFormat="1" x14ac:dyDescent="0.2">
      <c r="A2427" s="6" t="str">
        <f>"TOMM22"</f>
        <v>TOMM22</v>
      </c>
      <c r="B2427" s="6">
        <v>1.79820179820179E-2</v>
      </c>
      <c r="C2427" s="6">
        <v>0.12980123324950901</v>
      </c>
    </row>
    <row r="2428" spans="1:3" s="8" customFormat="1" x14ac:dyDescent="0.2">
      <c r="A2428" s="6" t="str">
        <f>"TAF10"</f>
        <v>TAF10</v>
      </c>
      <c r="B2428" s="6">
        <v>1.79820179820179E-2</v>
      </c>
      <c r="C2428" s="6">
        <v>0.12980123324950901</v>
      </c>
    </row>
    <row r="2429" spans="1:3" s="8" customFormat="1" x14ac:dyDescent="0.2">
      <c r="A2429" s="6" t="str">
        <f>"DRAP1"</f>
        <v>DRAP1</v>
      </c>
      <c r="B2429" s="6">
        <v>1.79820179820179E-2</v>
      </c>
      <c r="C2429" s="6">
        <v>0.12980123324950901</v>
      </c>
    </row>
    <row r="2430" spans="1:3" s="8" customFormat="1" x14ac:dyDescent="0.2">
      <c r="A2430" s="6" t="str">
        <f>"PLAT"</f>
        <v>PLAT</v>
      </c>
      <c r="B2430" s="6">
        <v>1.79820179820179E-2</v>
      </c>
      <c r="C2430" s="6">
        <v>0.12980123324950901</v>
      </c>
    </row>
    <row r="2431" spans="1:3" s="8" customFormat="1" x14ac:dyDescent="0.2">
      <c r="A2431" s="6" t="str">
        <f>"RNPS1"</f>
        <v>RNPS1</v>
      </c>
      <c r="B2431" s="6">
        <v>1.79820179820179E-2</v>
      </c>
      <c r="C2431" s="6">
        <v>0.12980123324950901</v>
      </c>
    </row>
    <row r="2432" spans="1:3" s="8" customFormat="1" x14ac:dyDescent="0.2">
      <c r="A2432" s="6" t="str">
        <f>"HTATSF1"</f>
        <v>HTATSF1</v>
      </c>
      <c r="B2432" s="6">
        <v>1.79820179820179E-2</v>
      </c>
      <c r="C2432" s="6">
        <v>0.12980123324950901</v>
      </c>
    </row>
    <row r="2433" spans="1:3" s="8" customFormat="1" x14ac:dyDescent="0.2">
      <c r="A2433" s="6" t="str">
        <f>"ABCA7"</f>
        <v>ABCA7</v>
      </c>
      <c r="B2433" s="6">
        <v>1.79820179820179E-2</v>
      </c>
      <c r="C2433" s="6">
        <v>0.12980123324950901</v>
      </c>
    </row>
    <row r="2434" spans="1:3" s="8" customFormat="1" x14ac:dyDescent="0.2">
      <c r="A2434" s="6" t="str">
        <f>"IQSEC1"</f>
        <v>IQSEC1</v>
      </c>
      <c r="B2434" s="6">
        <v>1.79820179820179E-2</v>
      </c>
      <c r="C2434" s="6">
        <v>0.12980123324950901</v>
      </c>
    </row>
    <row r="2435" spans="1:3" s="8" customFormat="1" x14ac:dyDescent="0.2">
      <c r="A2435" s="6" t="str">
        <f>"CFL1"</f>
        <v>CFL1</v>
      </c>
      <c r="B2435" s="6">
        <v>1.79820179820179E-2</v>
      </c>
      <c r="C2435" s="6">
        <v>0.12980123324950901</v>
      </c>
    </row>
    <row r="2436" spans="1:3" s="8" customFormat="1" x14ac:dyDescent="0.2">
      <c r="A2436" s="6" t="str">
        <f>"ATP1A1"</f>
        <v>ATP1A1</v>
      </c>
      <c r="B2436" s="6">
        <v>1.79820179820179E-2</v>
      </c>
      <c r="C2436" s="6">
        <v>0.12980123324950901</v>
      </c>
    </row>
    <row r="2437" spans="1:3" s="8" customFormat="1" x14ac:dyDescent="0.2">
      <c r="A2437" s="6" t="str">
        <f>"MT-CO3"</f>
        <v>MT-CO3</v>
      </c>
      <c r="B2437" s="6">
        <v>1.79820179820179E-2</v>
      </c>
      <c r="C2437" s="6">
        <v>0.12980123324950901</v>
      </c>
    </row>
    <row r="2438" spans="1:3" s="8" customFormat="1" x14ac:dyDescent="0.2">
      <c r="A2438" s="6" t="str">
        <f>"AC012123.1"</f>
        <v>AC012123.1</v>
      </c>
      <c r="B2438" s="6">
        <v>1.7999999999999999E-2</v>
      </c>
      <c r="C2438" s="6">
        <v>0.129824446267432</v>
      </c>
    </row>
    <row r="2439" spans="1:3" s="8" customFormat="1" x14ac:dyDescent="0.2">
      <c r="A2439" s="6" t="str">
        <f>"AC018557.3"</f>
        <v>AC018557.3</v>
      </c>
      <c r="B2439" s="6">
        <v>1.7999999999999999E-2</v>
      </c>
      <c r="C2439" s="6">
        <v>0.129824446267432</v>
      </c>
    </row>
    <row r="2440" spans="1:3" s="8" customFormat="1" x14ac:dyDescent="0.2">
      <c r="A2440" s="6" t="str">
        <f>"AL645929.1"</f>
        <v>AL645929.1</v>
      </c>
      <c r="B2440" s="6">
        <v>1.8255578093306201E-2</v>
      </c>
      <c r="C2440" s="6">
        <v>0.131613811067116</v>
      </c>
    </row>
    <row r="2441" spans="1:3" s="8" customFormat="1" x14ac:dyDescent="0.2">
      <c r="A2441" s="6" t="str">
        <f>"AL121956.5"</f>
        <v>AL121956.5</v>
      </c>
      <c r="B2441" s="6">
        <v>1.89810189810189E-2</v>
      </c>
      <c r="C2441" s="6">
        <v>0.13358496601359399</v>
      </c>
    </row>
    <row r="2442" spans="1:3" s="8" customFormat="1" x14ac:dyDescent="0.2">
      <c r="A2442" s="6" t="str">
        <f>"AC127024.8"</f>
        <v>AC127024.8</v>
      </c>
      <c r="B2442" s="6">
        <v>1.9E-2</v>
      </c>
      <c r="C2442" s="6">
        <v>0.13358496601359399</v>
      </c>
    </row>
    <row r="2443" spans="1:3" s="8" customFormat="1" x14ac:dyDescent="0.2">
      <c r="A2443" s="6" t="str">
        <f>"PRKCG"</f>
        <v>PRKCG</v>
      </c>
      <c r="B2443" s="6">
        <v>1.89810189810189E-2</v>
      </c>
      <c r="C2443" s="6">
        <v>0.13358496601359399</v>
      </c>
    </row>
    <row r="2444" spans="1:3" s="8" customFormat="1" x14ac:dyDescent="0.2">
      <c r="A2444" s="6" t="str">
        <f>"AL359532.1"</f>
        <v>AL359532.1</v>
      </c>
      <c r="B2444" s="6">
        <v>1.89810189810189E-2</v>
      </c>
      <c r="C2444" s="6">
        <v>0.13358496601359399</v>
      </c>
    </row>
    <row r="2445" spans="1:3" s="8" customFormat="1" x14ac:dyDescent="0.2">
      <c r="A2445" s="6" t="str">
        <f>"FTH1P11"</f>
        <v>FTH1P11</v>
      </c>
      <c r="B2445" s="6">
        <v>1.89810189810189E-2</v>
      </c>
      <c r="C2445" s="6">
        <v>0.13358496601359399</v>
      </c>
    </row>
    <row r="2446" spans="1:3" s="8" customFormat="1" x14ac:dyDescent="0.2">
      <c r="A2446" s="6" t="str">
        <f>"CDH2"</f>
        <v>CDH2</v>
      </c>
      <c r="B2446" s="6">
        <v>1.89810189810189E-2</v>
      </c>
      <c r="C2446" s="6">
        <v>0.13358496601359399</v>
      </c>
    </row>
    <row r="2447" spans="1:3" s="8" customFormat="1" x14ac:dyDescent="0.2">
      <c r="A2447" s="6" t="str">
        <f>"AC096711.2"</f>
        <v>AC096711.2</v>
      </c>
      <c r="B2447" s="6">
        <v>1.89810189810189E-2</v>
      </c>
      <c r="C2447" s="6">
        <v>0.13358496601359399</v>
      </c>
    </row>
    <row r="2448" spans="1:3" s="8" customFormat="1" x14ac:dyDescent="0.2">
      <c r="A2448" s="6" t="str">
        <f>"AC091390.3"</f>
        <v>AC091390.3</v>
      </c>
      <c r="B2448" s="6">
        <v>1.89810189810189E-2</v>
      </c>
      <c r="C2448" s="6">
        <v>0.13358496601359399</v>
      </c>
    </row>
    <row r="2449" spans="1:3" s="8" customFormat="1" x14ac:dyDescent="0.2">
      <c r="A2449" s="6" t="str">
        <f>"AC116407.1"</f>
        <v>AC116407.1</v>
      </c>
      <c r="B2449" s="6">
        <v>1.89810189810189E-2</v>
      </c>
      <c r="C2449" s="6">
        <v>0.13358496601359399</v>
      </c>
    </row>
    <row r="2450" spans="1:3" s="8" customFormat="1" x14ac:dyDescent="0.2">
      <c r="A2450" s="6" t="str">
        <f>"LINC00654"</f>
        <v>LINC00654</v>
      </c>
      <c r="B2450" s="6">
        <v>1.89810189810189E-2</v>
      </c>
      <c r="C2450" s="6">
        <v>0.13358496601359399</v>
      </c>
    </row>
    <row r="2451" spans="1:3" s="8" customFormat="1" x14ac:dyDescent="0.2">
      <c r="A2451" s="6" t="str">
        <f>"H19"</f>
        <v>H19</v>
      </c>
      <c r="B2451" s="6">
        <v>1.89810189810189E-2</v>
      </c>
      <c r="C2451" s="6">
        <v>0.13358496601359399</v>
      </c>
    </row>
    <row r="2452" spans="1:3" s="8" customFormat="1" x14ac:dyDescent="0.2">
      <c r="A2452" s="6" t="str">
        <f>"TEC"</f>
        <v>TEC</v>
      </c>
      <c r="B2452" s="6">
        <v>1.89810189810189E-2</v>
      </c>
      <c r="C2452" s="6">
        <v>0.13358496601359399</v>
      </c>
    </row>
    <row r="2453" spans="1:3" s="8" customFormat="1" x14ac:dyDescent="0.2">
      <c r="A2453" s="6" t="str">
        <f>"AC005100.1"</f>
        <v>AC005100.1</v>
      </c>
      <c r="B2453" s="6">
        <v>1.89810189810189E-2</v>
      </c>
      <c r="C2453" s="6">
        <v>0.13358496601359399</v>
      </c>
    </row>
    <row r="2454" spans="1:3" s="8" customFormat="1" x14ac:dyDescent="0.2">
      <c r="A2454" s="6" t="str">
        <f>"AC023824.6"</f>
        <v>AC023824.6</v>
      </c>
      <c r="B2454" s="6">
        <v>1.89810189810189E-2</v>
      </c>
      <c r="C2454" s="6">
        <v>0.13358496601359399</v>
      </c>
    </row>
    <row r="2455" spans="1:3" s="8" customFormat="1" x14ac:dyDescent="0.2">
      <c r="A2455" s="6" t="str">
        <f>"DLGAP5"</f>
        <v>DLGAP5</v>
      </c>
      <c r="B2455" s="6">
        <v>1.89810189810189E-2</v>
      </c>
      <c r="C2455" s="6">
        <v>0.13358496601359399</v>
      </c>
    </row>
    <row r="2456" spans="1:3" s="8" customFormat="1" x14ac:dyDescent="0.2">
      <c r="A2456" s="6" t="str">
        <f>"PAXBP1-AS1"</f>
        <v>PAXBP1-AS1</v>
      </c>
      <c r="B2456" s="6">
        <v>1.89810189810189E-2</v>
      </c>
      <c r="C2456" s="6">
        <v>0.13358496601359399</v>
      </c>
    </row>
    <row r="2457" spans="1:3" s="8" customFormat="1" x14ac:dyDescent="0.2">
      <c r="A2457" s="6" t="str">
        <f>"PGF"</f>
        <v>PGF</v>
      </c>
      <c r="B2457" s="6">
        <v>1.89810189810189E-2</v>
      </c>
      <c r="C2457" s="6">
        <v>0.13358496601359399</v>
      </c>
    </row>
    <row r="2458" spans="1:3" s="8" customFormat="1" x14ac:dyDescent="0.2">
      <c r="A2458" s="6" t="str">
        <f>"LSM11"</f>
        <v>LSM11</v>
      </c>
      <c r="B2458" s="6">
        <v>1.9E-2</v>
      </c>
      <c r="C2458" s="6">
        <v>0.13358496601359399</v>
      </c>
    </row>
    <row r="2459" spans="1:3" s="8" customFormat="1" x14ac:dyDescent="0.2">
      <c r="A2459" s="6" t="str">
        <f>"AURKA"</f>
        <v>AURKA</v>
      </c>
      <c r="B2459" s="6">
        <v>1.89810189810189E-2</v>
      </c>
      <c r="C2459" s="6">
        <v>0.13358496601359399</v>
      </c>
    </row>
    <row r="2460" spans="1:3" s="8" customFormat="1" x14ac:dyDescent="0.2">
      <c r="A2460" s="6" t="str">
        <f>"RASSF8-AS1"</f>
        <v>RASSF8-AS1</v>
      </c>
      <c r="B2460" s="6">
        <v>1.89810189810189E-2</v>
      </c>
      <c r="C2460" s="6">
        <v>0.13358496601359399</v>
      </c>
    </row>
    <row r="2461" spans="1:3" s="8" customFormat="1" x14ac:dyDescent="0.2">
      <c r="A2461" s="6" t="str">
        <f>"AC018755.2"</f>
        <v>AC018755.2</v>
      </c>
      <c r="B2461" s="6">
        <v>1.89810189810189E-2</v>
      </c>
      <c r="C2461" s="6">
        <v>0.13358496601359399</v>
      </c>
    </row>
    <row r="2462" spans="1:3" s="8" customFormat="1" x14ac:dyDescent="0.2">
      <c r="A2462" s="6" t="str">
        <f>"METTL25"</f>
        <v>METTL25</v>
      </c>
      <c r="B2462" s="6">
        <v>1.89810189810189E-2</v>
      </c>
      <c r="C2462" s="6">
        <v>0.13358496601359399</v>
      </c>
    </row>
    <row r="2463" spans="1:3" s="8" customFormat="1" x14ac:dyDescent="0.2">
      <c r="A2463" s="6" t="str">
        <f>"CKMT2-AS1"</f>
        <v>CKMT2-AS1</v>
      </c>
      <c r="B2463" s="6">
        <v>1.89810189810189E-2</v>
      </c>
      <c r="C2463" s="6">
        <v>0.13358496601359399</v>
      </c>
    </row>
    <row r="2464" spans="1:3" s="8" customFormat="1" x14ac:dyDescent="0.2">
      <c r="A2464" s="6" t="str">
        <f>"ZBTB26"</f>
        <v>ZBTB26</v>
      </c>
      <c r="B2464" s="6">
        <v>1.89810189810189E-2</v>
      </c>
      <c r="C2464" s="6">
        <v>0.13358496601359399</v>
      </c>
    </row>
    <row r="2465" spans="1:3" s="8" customFormat="1" x14ac:dyDescent="0.2">
      <c r="A2465" s="6" t="str">
        <f>"MEST"</f>
        <v>MEST</v>
      </c>
      <c r="B2465" s="6">
        <v>1.89810189810189E-2</v>
      </c>
      <c r="C2465" s="6">
        <v>0.13358496601359399</v>
      </c>
    </row>
    <row r="2466" spans="1:3" s="8" customFormat="1" x14ac:dyDescent="0.2">
      <c r="A2466" s="6" t="str">
        <f>"ZNF202"</f>
        <v>ZNF202</v>
      </c>
      <c r="B2466" s="6">
        <v>1.89810189810189E-2</v>
      </c>
      <c r="C2466" s="6">
        <v>0.13358496601359399</v>
      </c>
    </row>
    <row r="2467" spans="1:3" s="8" customFormat="1" x14ac:dyDescent="0.2">
      <c r="A2467" s="6" t="str">
        <f>"IL22RA1"</f>
        <v>IL22RA1</v>
      </c>
      <c r="B2467" s="6">
        <v>1.89810189810189E-2</v>
      </c>
      <c r="C2467" s="6">
        <v>0.13358496601359399</v>
      </c>
    </row>
    <row r="2468" spans="1:3" s="8" customFormat="1" x14ac:dyDescent="0.2">
      <c r="A2468" s="6" t="str">
        <f>"MTCO1P12"</f>
        <v>MTCO1P12</v>
      </c>
      <c r="B2468" s="6">
        <v>1.89810189810189E-2</v>
      </c>
      <c r="C2468" s="6">
        <v>0.13358496601359399</v>
      </c>
    </row>
    <row r="2469" spans="1:3" s="8" customFormat="1" x14ac:dyDescent="0.2">
      <c r="A2469" s="6" t="str">
        <f>"RASAL1"</f>
        <v>RASAL1</v>
      </c>
      <c r="B2469" s="6">
        <v>1.89810189810189E-2</v>
      </c>
      <c r="C2469" s="6">
        <v>0.13358496601359399</v>
      </c>
    </row>
    <row r="2470" spans="1:3" s="8" customFormat="1" x14ac:dyDescent="0.2">
      <c r="A2470" s="6" t="str">
        <f>"GDPD3"</f>
        <v>GDPD3</v>
      </c>
      <c r="B2470" s="6">
        <v>1.89810189810189E-2</v>
      </c>
      <c r="C2470" s="6">
        <v>0.13358496601359399</v>
      </c>
    </row>
    <row r="2471" spans="1:3" s="8" customFormat="1" x14ac:dyDescent="0.2">
      <c r="A2471" s="6" t="str">
        <f>"NAF1"</f>
        <v>NAF1</v>
      </c>
      <c r="B2471" s="6">
        <v>1.89810189810189E-2</v>
      </c>
      <c r="C2471" s="6">
        <v>0.13358496601359399</v>
      </c>
    </row>
    <row r="2472" spans="1:3" s="8" customFormat="1" x14ac:dyDescent="0.2">
      <c r="A2472" s="6" t="str">
        <f>"TCFL5"</f>
        <v>TCFL5</v>
      </c>
      <c r="B2472" s="6">
        <v>1.89810189810189E-2</v>
      </c>
      <c r="C2472" s="6">
        <v>0.13358496601359399</v>
      </c>
    </row>
    <row r="2473" spans="1:3" s="8" customFormat="1" x14ac:dyDescent="0.2">
      <c r="A2473" s="6" t="str">
        <f>"PLSCR4"</f>
        <v>PLSCR4</v>
      </c>
      <c r="B2473" s="6">
        <v>1.89810189810189E-2</v>
      </c>
      <c r="C2473" s="6">
        <v>0.13358496601359399</v>
      </c>
    </row>
    <row r="2474" spans="1:3" s="8" customFormat="1" x14ac:dyDescent="0.2">
      <c r="A2474" s="6" t="str">
        <f>"TMEM79"</f>
        <v>TMEM79</v>
      </c>
      <c r="B2474" s="6">
        <v>1.89810189810189E-2</v>
      </c>
      <c r="C2474" s="6">
        <v>0.13358496601359399</v>
      </c>
    </row>
    <row r="2475" spans="1:3" s="8" customFormat="1" x14ac:dyDescent="0.2">
      <c r="A2475" s="6" t="str">
        <f>"TSPAN2"</f>
        <v>TSPAN2</v>
      </c>
      <c r="B2475" s="6">
        <v>1.89810189810189E-2</v>
      </c>
      <c r="C2475" s="6">
        <v>0.13358496601359399</v>
      </c>
    </row>
    <row r="2476" spans="1:3" s="8" customFormat="1" x14ac:dyDescent="0.2">
      <c r="A2476" s="6" t="str">
        <f>"GPANK1"</f>
        <v>GPANK1</v>
      </c>
      <c r="B2476" s="6">
        <v>1.89810189810189E-2</v>
      </c>
      <c r="C2476" s="6">
        <v>0.13358496601359399</v>
      </c>
    </row>
    <row r="2477" spans="1:3" s="8" customFormat="1" x14ac:dyDescent="0.2">
      <c r="A2477" s="6" t="str">
        <f>"RPS6KC1"</f>
        <v>RPS6KC1</v>
      </c>
      <c r="B2477" s="6">
        <v>1.89810189810189E-2</v>
      </c>
      <c r="C2477" s="6">
        <v>0.13358496601359399</v>
      </c>
    </row>
    <row r="2478" spans="1:3" s="8" customFormat="1" x14ac:dyDescent="0.2">
      <c r="A2478" s="6" t="str">
        <f>"SH2B3"</f>
        <v>SH2B3</v>
      </c>
      <c r="B2478" s="6">
        <v>1.89810189810189E-2</v>
      </c>
      <c r="C2478" s="6">
        <v>0.13358496601359399</v>
      </c>
    </row>
    <row r="2479" spans="1:3" s="8" customFormat="1" x14ac:dyDescent="0.2">
      <c r="A2479" s="6" t="str">
        <f>"BICRA"</f>
        <v>BICRA</v>
      </c>
      <c r="B2479" s="6">
        <v>1.89810189810189E-2</v>
      </c>
      <c r="C2479" s="6">
        <v>0.13358496601359399</v>
      </c>
    </row>
    <row r="2480" spans="1:3" s="8" customFormat="1" x14ac:dyDescent="0.2">
      <c r="A2480" s="6" t="str">
        <f>"SLC25A12"</f>
        <v>SLC25A12</v>
      </c>
      <c r="B2480" s="6">
        <v>1.89810189810189E-2</v>
      </c>
      <c r="C2480" s="6">
        <v>0.13358496601359399</v>
      </c>
    </row>
    <row r="2481" spans="1:3" s="8" customFormat="1" x14ac:dyDescent="0.2">
      <c r="A2481" s="6" t="str">
        <f>"MIGA1"</f>
        <v>MIGA1</v>
      </c>
      <c r="B2481" s="6">
        <v>1.89810189810189E-2</v>
      </c>
      <c r="C2481" s="6">
        <v>0.13358496601359399</v>
      </c>
    </row>
    <row r="2482" spans="1:3" s="8" customFormat="1" x14ac:dyDescent="0.2">
      <c r="A2482" s="6" t="str">
        <f>"FRS2"</f>
        <v>FRS2</v>
      </c>
      <c r="B2482" s="6">
        <v>1.89810189810189E-2</v>
      </c>
      <c r="C2482" s="6">
        <v>0.13358496601359399</v>
      </c>
    </row>
    <row r="2483" spans="1:3" s="8" customFormat="1" x14ac:dyDescent="0.2">
      <c r="A2483" s="6" t="str">
        <f>"ADCK2"</f>
        <v>ADCK2</v>
      </c>
      <c r="B2483" s="6">
        <v>1.89810189810189E-2</v>
      </c>
      <c r="C2483" s="6">
        <v>0.13358496601359399</v>
      </c>
    </row>
    <row r="2484" spans="1:3" s="8" customFormat="1" x14ac:dyDescent="0.2">
      <c r="A2484" s="6" t="str">
        <f>"DMRT2"</f>
        <v>DMRT2</v>
      </c>
      <c r="B2484" s="6">
        <v>1.9E-2</v>
      </c>
      <c r="C2484" s="6">
        <v>0.13358496601359399</v>
      </c>
    </row>
    <row r="2485" spans="1:3" s="8" customFormat="1" x14ac:dyDescent="0.2">
      <c r="A2485" s="6" t="str">
        <f>"COMMD4"</f>
        <v>COMMD4</v>
      </c>
      <c r="B2485" s="6">
        <v>1.89810189810189E-2</v>
      </c>
      <c r="C2485" s="6">
        <v>0.13358496601359399</v>
      </c>
    </row>
    <row r="2486" spans="1:3" s="8" customFormat="1" x14ac:dyDescent="0.2">
      <c r="A2486" s="6" t="str">
        <f>"ZFYVE9"</f>
        <v>ZFYVE9</v>
      </c>
      <c r="B2486" s="6">
        <v>1.89810189810189E-2</v>
      </c>
      <c r="C2486" s="6">
        <v>0.13358496601359399</v>
      </c>
    </row>
    <row r="2487" spans="1:3" s="8" customFormat="1" x14ac:dyDescent="0.2">
      <c r="A2487" s="6" t="str">
        <f>"ZBED5"</f>
        <v>ZBED5</v>
      </c>
      <c r="B2487" s="6">
        <v>1.89810189810189E-2</v>
      </c>
      <c r="C2487" s="6">
        <v>0.13358496601359399</v>
      </c>
    </row>
    <row r="2488" spans="1:3" s="8" customFormat="1" x14ac:dyDescent="0.2">
      <c r="A2488" s="6" t="str">
        <f>"PFDN1"</f>
        <v>PFDN1</v>
      </c>
      <c r="B2488" s="6">
        <v>1.89810189810189E-2</v>
      </c>
      <c r="C2488" s="6">
        <v>0.13358496601359399</v>
      </c>
    </row>
    <row r="2489" spans="1:3" s="8" customFormat="1" x14ac:dyDescent="0.2">
      <c r="A2489" s="6" t="str">
        <f>"PLAGL2"</f>
        <v>PLAGL2</v>
      </c>
      <c r="B2489" s="6">
        <v>1.89810189810189E-2</v>
      </c>
      <c r="C2489" s="6">
        <v>0.13358496601359399</v>
      </c>
    </row>
    <row r="2490" spans="1:3" s="8" customFormat="1" x14ac:dyDescent="0.2">
      <c r="A2490" s="6" t="str">
        <f>"CDC42EP1"</f>
        <v>CDC42EP1</v>
      </c>
      <c r="B2490" s="6">
        <v>1.89810189810189E-2</v>
      </c>
      <c r="C2490" s="6">
        <v>0.13358496601359399</v>
      </c>
    </row>
    <row r="2491" spans="1:3" s="8" customFormat="1" x14ac:dyDescent="0.2">
      <c r="A2491" s="6" t="str">
        <f>"EIF4E"</f>
        <v>EIF4E</v>
      </c>
      <c r="B2491" s="6">
        <v>1.89810189810189E-2</v>
      </c>
      <c r="C2491" s="6">
        <v>0.13358496601359399</v>
      </c>
    </row>
    <row r="2492" spans="1:3" s="8" customFormat="1" x14ac:dyDescent="0.2">
      <c r="A2492" s="6" t="str">
        <f>"B3GALT5"</f>
        <v>B3GALT5</v>
      </c>
      <c r="B2492" s="6">
        <v>1.89810189810189E-2</v>
      </c>
      <c r="C2492" s="6">
        <v>0.13358496601359399</v>
      </c>
    </row>
    <row r="2493" spans="1:3" s="8" customFormat="1" x14ac:dyDescent="0.2">
      <c r="A2493" s="6" t="str">
        <f>"PKIG"</f>
        <v>PKIG</v>
      </c>
      <c r="B2493" s="6">
        <v>1.89810189810189E-2</v>
      </c>
      <c r="C2493" s="6">
        <v>0.13358496601359399</v>
      </c>
    </row>
    <row r="2494" spans="1:3" s="8" customFormat="1" x14ac:dyDescent="0.2">
      <c r="A2494" s="6" t="str">
        <f>"SLC35F5"</f>
        <v>SLC35F5</v>
      </c>
      <c r="B2494" s="6">
        <v>1.89810189810189E-2</v>
      </c>
      <c r="C2494" s="6">
        <v>0.13358496601359399</v>
      </c>
    </row>
    <row r="2495" spans="1:3" s="8" customFormat="1" x14ac:dyDescent="0.2">
      <c r="A2495" s="6" t="str">
        <f>"TPGS2"</f>
        <v>TPGS2</v>
      </c>
      <c r="B2495" s="6">
        <v>1.89810189810189E-2</v>
      </c>
      <c r="C2495" s="6">
        <v>0.13358496601359399</v>
      </c>
    </row>
    <row r="2496" spans="1:3" s="8" customFormat="1" x14ac:dyDescent="0.2">
      <c r="A2496" s="6" t="str">
        <f>"DDX23"</f>
        <v>DDX23</v>
      </c>
      <c r="B2496" s="6">
        <v>1.89810189810189E-2</v>
      </c>
      <c r="C2496" s="6">
        <v>0.13358496601359399</v>
      </c>
    </row>
    <row r="2497" spans="1:3" s="8" customFormat="1" x14ac:dyDescent="0.2">
      <c r="A2497" s="6" t="str">
        <f>"UHMK1"</f>
        <v>UHMK1</v>
      </c>
      <c r="B2497" s="6">
        <v>1.89810189810189E-2</v>
      </c>
      <c r="C2497" s="6">
        <v>0.13358496601359399</v>
      </c>
    </row>
    <row r="2498" spans="1:3" s="8" customFormat="1" x14ac:dyDescent="0.2">
      <c r="A2498" s="6" t="str">
        <f>"ADD1"</f>
        <v>ADD1</v>
      </c>
      <c r="B2498" s="6">
        <v>1.89810189810189E-2</v>
      </c>
      <c r="C2498" s="6">
        <v>0.13358496601359399</v>
      </c>
    </row>
    <row r="2499" spans="1:3" s="8" customFormat="1" x14ac:dyDescent="0.2">
      <c r="A2499" s="6" t="str">
        <f>"NUCB1"</f>
        <v>NUCB1</v>
      </c>
      <c r="B2499" s="6">
        <v>1.89810189810189E-2</v>
      </c>
      <c r="C2499" s="6">
        <v>0.13358496601359399</v>
      </c>
    </row>
    <row r="2500" spans="1:3" s="8" customFormat="1" x14ac:dyDescent="0.2">
      <c r="A2500" s="6" t="str">
        <f>"HIPK1"</f>
        <v>HIPK1</v>
      </c>
      <c r="B2500" s="6">
        <v>1.89810189810189E-2</v>
      </c>
      <c r="C2500" s="6">
        <v>0.13358496601359399</v>
      </c>
    </row>
    <row r="2501" spans="1:3" s="8" customFormat="1" x14ac:dyDescent="0.2">
      <c r="A2501" s="6" t="str">
        <f>"CCDC80"</f>
        <v>CCDC80</v>
      </c>
      <c r="B2501" s="6">
        <v>1.89810189810189E-2</v>
      </c>
      <c r="C2501" s="6">
        <v>0.13358496601359399</v>
      </c>
    </row>
    <row r="2502" spans="1:3" s="8" customFormat="1" x14ac:dyDescent="0.2">
      <c r="A2502" s="6" t="str">
        <f>"CSDE1"</f>
        <v>CSDE1</v>
      </c>
      <c r="B2502" s="6">
        <v>1.89810189810189E-2</v>
      </c>
      <c r="C2502" s="6">
        <v>0.13358496601359399</v>
      </c>
    </row>
    <row r="2503" spans="1:3" s="8" customFormat="1" x14ac:dyDescent="0.2">
      <c r="A2503" s="6" t="str">
        <f>"AC119403.1"</f>
        <v>AC119403.1</v>
      </c>
      <c r="B2503" s="6">
        <v>1.90380761523046E-2</v>
      </c>
      <c r="C2503" s="6">
        <v>0.13374571756377299</v>
      </c>
    </row>
    <row r="2504" spans="1:3" s="8" customFormat="1" x14ac:dyDescent="0.2">
      <c r="A2504" s="6" t="str">
        <f>"GALR2"</f>
        <v>GALR2</v>
      </c>
      <c r="B2504" s="6">
        <v>1.90380761523046E-2</v>
      </c>
      <c r="C2504" s="6">
        <v>0.13374571756377299</v>
      </c>
    </row>
    <row r="2505" spans="1:3" s="8" customFormat="1" x14ac:dyDescent="0.2">
      <c r="A2505" s="6" t="str">
        <f>"LINC00836"</f>
        <v>LINC00836</v>
      </c>
      <c r="B2505" s="6">
        <v>1.9088016967126101E-2</v>
      </c>
      <c r="C2505" s="6">
        <v>0.134043007328253</v>
      </c>
    </row>
    <row r="2506" spans="1:3" s="8" customFormat="1" x14ac:dyDescent="0.2">
      <c r="A2506" s="6" t="str">
        <f>"FCRL1"</f>
        <v>FCRL1</v>
      </c>
      <c r="B2506" s="6">
        <v>1.99800199800199E-2</v>
      </c>
      <c r="C2506" s="6">
        <v>0.13575296419191299</v>
      </c>
    </row>
    <row r="2507" spans="1:3" s="8" customFormat="1" x14ac:dyDescent="0.2">
      <c r="A2507" s="6" t="str">
        <f>"LINC02757"</f>
        <v>LINC02757</v>
      </c>
      <c r="B2507" s="6">
        <v>1.99800199800199E-2</v>
      </c>
      <c r="C2507" s="6">
        <v>0.13575296419191299</v>
      </c>
    </row>
    <row r="2508" spans="1:3" s="8" customFormat="1" x14ac:dyDescent="0.2">
      <c r="A2508" s="6" t="str">
        <f>"AP001527.1"</f>
        <v>AP001527.1</v>
      </c>
      <c r="B2508" s="6">
        <v>1.99800199800199E-2</v>
      </c>
      <c r="C2508" s="6">
        <v>0.13575296419191299</v>
      </c>
    </row>
    <row r="2509" spans="1:3" s="8" customFormat="1" x14ac:dyDescent="0.2">
      <c r="A2509" s="6" t="str">
        <f>"AC004012.1"</f>
        <v>AC004012.1</v>
      </c>
      <c r="B2509" s="6">
        <v>1.9823788546255501E-2</v>
      </c>
      <c r="C2509" s="6">
        <v>0.13575296419191299</v>
      </c>
    </row>
    <row r="2510" spans="1:3" s="8" customFormat="1" x14ac:dyDescent="0.2">
      <c r="A2510" s="6" t="str">
        <f>"FAM230E"</f>
        <v>FAM230E</v>
      </c>
      <c r="B2510" s="6">
        <v>1.99800199800199E-2</v>
      </c>
      <c r="C2510" s="6">
        <v>0.13575296419191299</v>
      </c>
    </row>
    <row r="2511" spans="1:3" s="8" customFormat="1" x14ac:dyDescent="0.2">
      <c r="A2511" s="6" t="str">
        <f>"OR7D2"</f>
        <v>OR7D2</v>
      </c>
      <c r="B2511" s="6">
        <v>1.97916666666666E-2</v>
      </c>
      <c r="C2511" s="6">
        <v>0.13575296419191299</v>
      </c>
    </row>
    <row r="2512" spans="1:3" s="8" customFormat="1" x14ac:dyDescent="0.2">
      <c r="A2512" s="6" t="str">
        <f>"SV2B"</f>
        <v>SV2B</v>
      </c>
      <c r="B2512" s="6">
        <v>1.99800199800199E-2</v>
      </c>
      <c r="C2512" s="6">
        <v>0.13575296419191299</v>
      </c>
    </row>
    <row r="2513" spans="1:3" s="8" customFormat="1" x14ac:dyDescent="0.2">
      <c r="A2513" s="6" t="str">
        <f>"PEX5L"</f>
        <v>PEX5L</v>
      </c>
      <c r="B2513" s="6">
        <v>1.99800199800199E-2</v>
      </c>
      <c r="C2513" s="6">
        <v>0.13575296419191299</v>
      </c>
    </row>
    <row r="2514" spans="1:3" s="8" customFormat="1" x14ac:dyDescent="0.2">
      <c r="A2514" s="6" t="str">
        <f>"VAX2"</f>
        <v>VAX2</v>
      </c>
      <c r="B2514" s="6">
        <v>1.99800199800199E-2</v>
      </c>
      <c r="C2514" s="6">
        <v>0.13575296419191299</v>
      </c>
    </row>
    <row r="2515" spans="1:3" s="8" customFormat="1" x14ac:dyDescent="0.2">
      <c r="A2515" s="6" t="str">
        <f>"AC099845.1"</f>
        <v>AC099845.1</v>
      </c>
      <c r="B2515" s="6">
        <v>1.99800199800199E-2</v>
      </c>
      <c r="C2515" s="6">
        <v>0.13575296419191299</v>
      </c>
    </row>
    <row r="2516" spans="1:3" s="8" customFormat="1" x14ac:dyDescent="0.2">
      <c r="A2516" s="6" t="str">
        <f>"FCGR1CP"</f>
        <v>FCGR1CP</v>
      </c>
      <c r="B2516" s="6">
        <v>1.99800199800199E-2</v>
      </c>
      <c r="C2516" s="6">
        <v>0.13575296419191299</v>
      </c>
    </row>
    <row r="2517" spans="1:3" s="8" customFormat="1" x14ac:dyDescent="0.2">
      <c r="A2517" s="6" t="str">
        <f>"TCEAL2"</f>
        <v>TCEAL2</v>
      </c>
      <c r="B2517" s="6">
        <v>1.99800199800199E-2</v>
      </c>
      <c r="C2517" s="6">
        <v>0.13575296419191299</v>
      </c>
    </row>
    <row r="2518" spans="1:3" s="8" customFormat="1" x14ac:dyDescent="0.2">
      <c r="A2518" s="6" t="str">
        <f>"IGHG4"</f>
        <v>IGHG4</v>
      </c>
      <c r="B2518" s="6">
        <v>1.99800199800199E-2</v>
      </c>
      <c r="C2518" s="6">
        <v>0.13575296419191299</v>
      </c>
    </row>
    <row r="2519" spans="1:3" s="8" customFormat="1" x14ac:dyDescent="0.2">
      <c r="A2519" s="6" t="str">
        <f>"TM4SF1-AS1"</f>
        <v>TM4SF1-AS1</v>
      </c>
      <c r="B2519" s="6">
        <v>1.99800199800199E-2</v>
      </c>
      <c r="C2519" s="6">
        <v>0.13575296419191299</v>
      </c>
    </row>
    <row r="2520" spans="1:3" s="8" customFormat="1" x14ac:dyDescent="0.2">
      <c r="A2520" s="6" t="str">
        <f>"ACTG1P1"</f>
        <v>ACTG1P1</v>
      </c>
      <c r="B2520" s="6">
        <v>1.99800199800199E-2</v>
      </c>
      <c r="C2520" s="6">
        <v>0.13575296419191299</v>
      </c>
    </row>
    <row r="2521" spans="1:3" s="8" customFormat="1" x14ac:dyDescent="0.2">
      <c r="A2521" s="6" t="str">
        <f>"AC097493.3"</f>
        <v>AC097493.3</v>
      </c>
      <c r="B2521" s="6">
        <v>1.99800199800199E-2</v>
      </c>
      <c r="C2521" s="6">
        <v>0.13575296419191299</v>
      </c>
    </row>
    <row r="2522" spans="1:3" s="8" customFormat="1" x14ac:dyDescent="0.2">
      <c r="A2522" s="6" t="str">
        <f>"DLX6-AS1"</f>
        <v>DLX6-AS1</v>
      </c>
      <c r="B2522" s="6">
        <v>1.99800199800199E-2</v>
      </c>
      <c r="C2522" s="6">
        <v>0.13575296419191299</v>
      </c>
    </row>
    <row r="2523" spans="1:3" s="8" customFormat="1" x14ac:dyDescent="0.2">
      <c r="A2523" s="6" t="str">
        <f>"CLTRN"</f>
        <v>CLTRN</v>
      </c>
      <c r="B2523" s="6">
        <v>1.99800199800199E-2</v>
      </c>
      <c r="C2523" s="6">
        <v>0.13575296419191299</v>
      </c>
    </row>
    <row r="2524" spans="1:3" s="8" customFormat="1" x14ac:dyDescent="0.2">
      <c r="A2524" s="6" t="str">
        <f>"UNC79"</f>
        <v>UNC79</v>
      </c>
      <c r="B2524" s="6">
        <v>1.99800199800199E-2</v>
      </c>
      <c r="C2524" s="6">
        <v>0.13575296419191299</v>
      </c>
    </row>
    <row r="2525" spans="1:3" s="8" customFormat="1" x14ac:dyDescent="0.2">
      <c r="A2525" s="6" t="str">
        <f>"ZSCAN1"</f>
        <v>ZSCAN1</v>
      </c>
      <c r="B2525" s="6">
        <v>1.99800199800199E-2</v>
      </c>
      <c r="C2525" s="6">
        <v>0.13575296419191299</v>
      </c>
    </row>
    <row r="2526" spans="1:3" s="8" customFormat="1" x14ac:dyDescent="0.2">
      <c r="A2526" s="6" t="str">
        <f>"SCML4"</f>
        <v>SCML4</v>
      </c>
      <c r="B2526" s="6">
        <v>1.99800199800199E-2</v>
      </c>
      <c r="C2526" s="6">
        <v>0.13575296419191299</v>
      </c>
    </row>
    <row r="2527" spans="1:3" s="8" customFormat="1" x14ac:dyDescent="0.2">
      <c r="A2527" s="6" t="str">
        <f>"KCNMB2"</f>
        <v>KCNMB2</v>
      </c>
      <c r="B2527" s="6">
        <v>1.99800199800199E-2</v>
      </c>
      <c r="C2527" s="6">
        <v>0.13575296419191299</v>
      </c>
    </row>
    <row r="2528" spans="1:3" s="8" customFormat="1" x14ac:dyDescent="0.2">
      <c r="A2528" s="6" t="str">
        <f>"C15orf56"</f>
        <v>C15orf56</v>
      </c>
      <c r="B2528" s="6">
        <v>1.99800199800199E-2</v>
      </c>
      <c r="C2528" s="6">
        <v>0.13575296419191299</v>
      </c>
    </row>
    <row r="2529" spans="1:3" s="8" customFormat="1" x14ac:dyDescent="0.2">
      <c r="A2529" s="6" t="str">
        <f>"COLEC12"</f>
        <v>COLEC12</v>
      </c>
      <c r="B2529" s="6">
        <v>1.99800199800199E-2</v>
      </c>
      <c r="C2529" s="6">
        <v>0.13575296419191299</v>
      </c>
    </row>
    <row r="2530" spans="1:3" s="8" customFormat="1" x14ac:dyDescent="0.2">
      <c r="A2530" s="6" t="str">
        <f>"DRAIC"</f>
        <v>DRAIC</v>
      </c>
      <c r="B2530" s="6">
        <v>1.99800199800199E-2</v>
      </c>
      <c r="C2530" s="6">
        <v>0.13575296419191299</v>
      </c>
    </row>
    <row r="2531" spans="1:3" s="8" customFormat="1" x14ac:dyDescent="0.2">
      <c r="A2531" s="6" t="str">
        <f>"USP30-AS1"</f>
        <v>USP30-AS1</v>
      </c>
      <c r="B2531" s="6">
        <v>1.99800199800199E-2</v>
      </c>
      <c r="C2531" s="6">
        <v>0.13575296419191299</v>
      </c>
    </row>
    <row r="2532" spans="1:3" s="8" customFormat="1" x14ac:dyDescent="0.2">
      <c r="A2532" s="6" t="str">
        <f>"LLPH-DT"</f>
        <v>LLPH-DT</v>
      </c>
      <c r="B2532" s="6">
        <v>1.99800199800199E-2</v>
      </c>
      <c r="C2532" s="6">
        <v>0.13575296419191299</v>
      </c>
    </row>
    <row r="2533" spans="1:3" s="8" customFormat="1" x14ac:dyDescent="0.2">
      <c r="A2533" s="6" t="str">
        <f>"AL845472.1"</f>
        <v>AL845472.1</v>
      </c>
      <c r="B2533" s="6">
        <v>1.99800199800199E-2</v>
      </c>
      <c r="C2533" s="6">
        <v>0.13575296419191299</v>
      </c>
    </row>
    <row r="2534" spans="1:3" s="8" customFormat="1" x14ac:dyDescent="0.2">
      <c r="A2534" s="6" t="str">
        <f>"AC020910.6"</f>
        <v>AC020910.6</v>
      </c>
      <c r="B2534" s="6">
        <v>1.99800199800199E-2</v>
      </c>
      <c r="C2534" s="6">
        <v>0.13575296419191299</v>
      </c>
    </row>
    <row r="2535" spans="1:3" s="8" customFormat="1" x14ac:dyDescent="0.2">
      <c r="A2535" s="6" t="str">
        <f>"ZNF879"</f>
        <v>ZNF879</v>
      </c>
      <c r="B2535" s="6">
        <v>1.99800199800199E-2</v>
      </c>
      <c r="C2535" s="6">
        <v>0.13575296419191299</v>
      </c>
    </row>
    <row r="2536" spans="1:3" s="8" customFormat="1" x14ac:dyDescent="0.2">
      <c r="A2536" s="6" t="str">
        <f>"FNDC10"</f>
        <v>FNDC10</v>
      </c>
      <c r="B2536" s="6">
        <v>1.99800199800199E-2</v>
      </c>
      <c r="C2536" s="6">
        <v>0.13575296419191299</v>
      </c>
    </row>
    <row r="2537" spans="1:3" s="8" customFormat="1" x14ac:dyDescent="0.2">
      <c r="A2537" s="6" t="str">
        <f>"AL355001.2"</f>
        <v>AL355001.2</v>
      </c>
      <c r="B2537" s="6">
        <v>1.99800199800199E-2</v>
      </c>
      <c r="C2537" s="6">
        <v>0.13575296419191299</v>
      </c>
    </row>
    <row r="2538" spans="1:3" s="8" customFormat="1" x14ac:dyDescent="0.2">
      <c r="A2538" s="6" t="str">
        <f>"TRAF5"</f>
        <v>TRAF5</v>
      </c>
      <c r="B2538" s="6">
        <v>1.99800199800199E-2</v>
      </c>
      <c r="C2538" s="6">
        <v>0.13575296419191299</v>
      </c>
    </row>
    <row r="2539" spans="1:3" s="8" customFormat="1" x14ac:dyDescent="0.2">
      <c r="A2539" s="6" t="str">
        <f>"FCMR"</f>
        <v>FCMR</v>
      </c>
      <c r="B2539" s="6">
        <v>1.99800199800199E-2</v>
      </c>
      <c r="C2539" s="6">
        <v>0.13575296419191299</v>
      </c>
    </row>
    <row r="2540" spans="1:3" s="8" customFormat="1" x14ac:dyDescent="0.2">
      <c r="A2540" s="6" t="str">
        <f>"FOXE1"</f>
        <v>FOXE1</v>
      </c>
      <c r="B2540" s="6">
        <v>1.99800199800199E-2</v>
      </c>
      <c r="C2540" s="6">
        <v>0.13575296419191299</v>
      </c>
    </row>
    <row r="2541" spans="1:3" s="8" customFormat="1" x14ac:dyDescent="0.2">
      <c r="A2541" s="6" t="str">
        <f>"PARP16"</f>
        <v>PARP16</v>
      </c>
      <c r="B2541" s="6">
        <v>1.99800199800199E-2</v>
      </c>
      <c r="C2541" s="6">
        <v>0.13575296419191299</v>
      </c>
    </row>
    <row r="2542" spans="1:3" s="8" customFormat="1" x14ac:dyDescent="0.2">
      <c r="A2542" s="6" t="str">
        <f>"SNHG4"</f>
        <v>SNHG4</v>
      </c>
      <c r="B2542" s="6">
        <v>1.99800199800199E-2</v>
      </c>
      <c r="C2542" s="6">
        <v>0.13575296419191299</v>
      </c>
    </row>
    <row r="2543" spans="1:3" s="8" customFormat="1" x14ac:dyDescent="0.2">
      <c r="A2543" s="6" t="str">
        <f>"DCUN1D3"</f>
        <v>DCUN1D3</v>
      </c>
      <c r="B2543" s="6">
        <v>1.99800199800199E-2</v>
      </c>
      <c r="C2543" s="6">
        <v>0.13575296419191299</v>
      </c>
    </row>
    <row r="2544" spans="1:3" s="8" customFormat="1" x14ac:dyDescent="0.2">
      <c r="A2544" s="6" t="str">
        <f>"ZMAT5"</f>
        <v>ZMAT5</v>
      </c>
      <c r="B2544" s="6">
        <v>1.99800199800199E-2</v>
      </c>
      <c r="C2544" s="6">
        <v>0.13575296419191299</v>
      </c>
    </row>
    <row r="2545" spans="1:3" s="8" customFormat="1" x14ac:dyDescent="0.2">
      <c r="A2545" s="6" t="str">
        <f>"ACKR3"</f>
        <v>ACKR3</v>
      </c>
      <c r="B2545" s="6">
        <v>1.99800199800199E-2</v>
      </c>
      <c r="C2545" s="6">
        <v>0.13575296419191299</v>
      </c>
    </row>
    <row r="2546" spans="1:3" s="8" customFormat="1" x14ac:dyDescent="0.2">
      <c r="A2546" s="6" t="str">
        <f>"SLC25A32"</f>
        <v>SLC25A32</v>
      </c>
      <c r="B2546" s="6">
        <v>1.99800199800199E-2</v>
      </c>
      <c r="C2546" s="6">
        <v>0.13575296419191299</v>
      </c>
    </row>
    <row r="2547" spans="1:3" s="8" customFormat="1" x14ac:dyDescent="0.2">
      <c r="A2547" s="6" t="str">
        <f>"SPINDOC"</f>
        <v>SPINDOC</v>
      </c>
      <c r="B2547" s="6">
        <v>1.99800199800199E-2</v>
      </c>
      <c r="C2547" s="6">
        <v>0.13575296419191299</v>
      </c>
    </row>
    <row r="2548" spans="1:3" s="8" customFormat="1" x14ac:dyDescent="0.2">
      <c r="A2548" s="6" t="str">
        <f>"PRKCB"</f>
        <v>PRKCB</v>
      </c>
      <c r="B2548" s="6">
        <v>1.99800199800199E-2</v>
      </c>
      <c r="C2548" s="6">
        <v>0.13575296419191299</v>
      </c>
    </row>
    <row r="2549" spans="1:3" s="8" customFormat="1" x14ac:dyDescent="0.2">
      <c r="A2549" s="6" t="str">
        <f>"JMJD6"</f>
        <v>JMJD6</v>
      </c>
      <c r="B2549" s="6">
        <v>1.99800199800199E-2</v>
      </c>
      <c r="C2549" s="6">
        <v>0.13575296419191299</v>
      </c>
    </row>
    <row r="2550" spans="1:3" s="8" customFormat="1" x14ac:dyDescent="0.2">
      <c r="A2550" s="6" t="str">
        <f>"NEURL3"</f>
        <v>NEURL3</v>
      </c>
      <c r="B2550" s="6">
        <v>1.99800199800199E-2</v>
      </c>
      <c r="C2550" s="6">
        <v>0.13575296419191299</v>
      </c>
    </row>
    <row r="2551" spans="1:3" s="8" customFormat="1" x14ac:dyDescent="0.2">
      <c r="A2551" s="6" t="str">
        <f>"METTL15"</f>
        <v>METTL15</v>
      </c>
      <c r="B2551" s="6">
        <v>1.99800199800199E-2</v>
      </c>
      <c r="C2551" s="6">
        <v>0.13575296419191299</v>
      </c>
    </row>
    <row r="2552" spans="1:3" s="8" customFormat="1" x14ac:dyDescent="0.2">
      <c r="A2552" s="6" t="str">
        <f>"TMEM53"</f>
        <v>TMEM53</v>
      </c>
      <c r="B2552" s="6">
        <v>1.99800199800199E-2</v>
      </c>
      <c r="C2552" s="6">
        <v>0.13575296419191299</v>
      </c>
    </row>
    <row r="2553" spans="1:3" s="8" customFormat="1" x14ac:dyDescent="0.2">
      <c r="A2553" s="6" t="str">
        <f>"AP4M1"</f>
        <v>AP4M1</v>
      </c>
      <c r="B2553" s="6">
        <v>1.99800199800199E-2</v>
      </c>
      <c r="C2553" s="6">
        <v>0.13575296419191299</v>
      </c>
    </row>
    <row r="2554" spans="1:3" s="8" customFormat="1" x14ac:dyDescent="0.2">
      <c r="A2554" s="6" t="str">
        <f>"ARL2"</f>
        <v>ARL2</v>
      </c>
      <c r="B2554" s="6">
        <v>1.99800199800199E-2</v>
      </c>
      <c r="C2554" s="6">
        <v>0.13575296419191299</v>
      </c>
    </row>
    <row r="2555" spans="1:3" s="8" customFormat="1" x14ac:dyDescent="0.2">
      <c r="A2555" s="6" t="str">
        <f>"DPYSL3"</f>
        <v>DPYSL3</v>
      </c>
      <c r="B2555" s="6">
        <v>1.99800199800199E-2</v>
      </c>
      <c r="C2555" s="6">
        <v>0.13575296419191299</v>
      </c>
    </row>
    <row r="2556" spans="1:3" s="8" customFormat="1" x14ac:dyDescent="0.2">
      <c r="A2556" s="6" t="str">
        <f>"YIF1B"</f>
        <v>YIF1B</v>
      </c>
      <c r="B2556" s="6">
        <v>1.99800199800199E-2</v>
      </c>
      <c r="C2556" s="6">
        <v>0.13575296419191299</v>
      </c>
    </row>
    <row r="2557" spans="1:3" s="8" customFormat="1" x14ac:dyDescent="0.2">
      <c r="A2557" s="6" t="str">
        <f>"MOSPD3"</f>
        <v>MOSPD3</v>
      </c>
      <c r="B2557" s="6">
        <v>1.99800199800199E-2</v>
      </c>
      <c r="C2557" s="6">
        <v>0.13575296419191299</v>
      </c>
    </row>
    <row r="2558" spans="1:3" s="8" customFormat="1" x14ac:dyDescent="0.2">
      <c r="A2558" s="6" t="str">
        <f>"ERN1"</f>
        <v>ERN1</v>
      </c>
      <c r="B2558" s="6">
        <v>1.99800199800199E-2</v>
      </c>
      <c r="C2558" s="6">
        <v>0.13575296419191299</v>
      </c>
    </row>
    <row r="2559" spans="1:3" s="8" customFormat="1" x14ac:dyDescent="0.2">
      <c r="A2559" s="6" t="str">
        <f>"C5orf24"</f>
        <v>C5orf24</v>
      </c>
      <c r="B2559" s="6">
        <v>1.99800199800199E-2</v>
      </c>
      <c r="C2559" s="6">
        <v>0.13575296419191299</v>
      </c>
    </row>
    <row r="2560" spans="1:3" s="8" customFormat="1" x14ac:dyDescent="0.2">
      <c r="A2560" s="6" t="str">
        <f>"MICOS13"</f>
        <v>MICOS13</v>
      </c>
      <c r="B2560" s="6">
        <v>1.99800199800199E-2</v>
      </c>
      <c r="C2560" s="6">
        <v>0.13575296419191299</v>
      </c>
    </row>
    <row r="2561" spans="1:3" s="8" customFormat="1" x14ac:dyDescent="0.2">
      <c r="A2561" s="6" t="str">
        <f>"ANKRD27"</f>
        <v>ANKRD27</v>
      </c>
      <c r="B2561" s="6">
        <v>1.99800199800199E-2</v>
      </c>
      <c r="C2561" s="6">
        <v>0.13575296419191299</v>
      </c>
    </row>
    <row r="2562" spans="1:3" s="8" customFormat="1" x14ac:dyDescent="0.2">
      <c r="A2562" s="6" t="str">
        <f>"MTA3"</f>
        <v>MTA3</v>
      </c>
      <c r="B2562" s="6">
        <v>1.99800199800199E-2</v>
      </c>
      <c r="C2562" s="6">
        <v>0.13575296419191299</v>
      </c>
    </row>
    <row r="2563" spans="1:3" s="8" customFormat="1" x14ac:dyDescent="0.2">
      <c r="A2563" s="6" t="str">
        <f>"USP1"</f>
        <v>USP1</v>
      </c>
      <c r="B2563" s="6">
        <v>1.99800199800199E-2</v>
      </c>
      <c r="C2563" s="6">
        <v>0.13575296419191299</v>
      </c>
    </row>
    <row r="2564" spans="1:3" s="8" customFormat="1" x14ac:dyDescent="0.2">
      <c r="A2564" s="6" t="str">
        <f>"XAF1"</f>
        <v>XAF1</v>
      </c>
      <c r="B2564" s="6">
        <v>1.99800199800199E-2</v>
      </c>
      <c r="C2564" s="6">
        <v>0.13575296419191299</v>
      </c>
    </row>
    <row r="2565" spans="1:3" s="8" customFormat="1" x14ac:dyDescent="0.2">
      <c r="A2565" s="6" t="str">
        <f>"PPIL4"</f>
        <v>PPIL4</v>
      </c>
      <c r="B2565" s="6">
        <v>1.99800199800199E-2</v>
      </c>
      <c r="C2565" s="6">
        <v>0.13575296419191299</v>
      </c>
    </row>
    <row r="2566" spans="1:3" s="8" customFormat="1" x14ac:dyDescent="0.2">
      <c r="A2566" s="6" t="str">
        <f>"DPP9"</f>
        <v>DPP9</v>
      </c>
      <c r="B2566" s="6">
        <v>1.99800199800199E-2</v>
      </c>
      <c r="C2566" s="6">
        <v>0.13575296419191299</v>
      </c>
    </row>
    <row r="2567" spans="1:3" s="8" customFormat="1" x14ac:dyDescent="0.2">
      <c r="A2567" s="6" t="str">
        <f>"METAP1"</f>
        <v>METAP1</v>
      </c>
      <c r="B2567" s="6">
        <v>1.99800199800199E-2</v>
      </c>
      <c r="C2567" s="6">
        <v>0.13575296419191299</v>
      </c>
    </row>
    <row r="2568" spans="1:3" s="8" customFormat="1" x14ac:dyDescent="0.2">
      <c r="A2568" s="6" t="str">
        <f>"BCL7B"</f>
        <v>BCL7B</v>
      </c>
      <c r="B2568" s="6">
        <v>1.99800199800199E-2</v>
      </c>
      <c r="C2568" s="6">
        <v>0.13575296419191299</v>
      </c>
    </row>
    <row r="2569" spans="1:3" s="8" customFormat="1" x14ac:dyDescent="0.2">
      <c r="A2569" s="6" t="str">
        <f>"SLC25A1"</f>
        <v>SLC25A1</v>
      </c>
      <c r="B2569" s="6">
        <v>1.99800199800199E-2</v>
      </c>
      <c r="C2569" s="6">
        <v>0.13575296419191299</v>
      </c>
    </row>
    <row r="2570" spans="1:3" s="8" customFormat="1" x14ac:dyDescent="0.2">
      <c r="A2570" s="6" t="str">
        <f>"PPP1R11"</f>
        <v>PPP1R11</v>
      </c>
      <c r="B2570" s="6">
        <v>1.99800199800199E-2</v>
      </c>
      <c r="C2570" s="6">
        <v>0.13575296419191299</v>
      </c>
    </row>
    <row r="2571" spans="1:3" s="8" customFormat="1" x14ac:dyDescent="0.2">
      <c r="A2571" s="6" t="str">
        <f>"KDM7A"</f>
        <v>KDM7A</v>
      </c>
      <c r="B2571" s="6">
        <v>1.99800199800199E-2</v>
      </c>
      <c r="C2571" s="6">
        <v>0.13575296419191299</v>
      </c>
    </row>
    <row r="2572" spans="1:3" s="8" customFormat="1" x14ac:dyDescent="0.2">
      <c r="A2572" s="6" t="str">
        <f>"GPCPD1"</f>
        <v>GPCPD1</v>
      </c>
      <c r="B2572" s="6">
        <v>1.99800199800199E-2</v>
      </c>
      <c r="C2572" s="6">
        <v>0.13575296419191299</v>
      </c>
    </row>
    <row r="2573" spans="1:3" s="8" customFormat="1" x14ac:dyDescent="0.2">
      <c r="A2573" s="6" t="str">
        <f>"PPP1R13L"</f>
        <v>PPP1R13L</v>
      </c>
      <c r="B2573" s="6">
        <v>1.99800199800199E-2</v>
      </c>
      <c r="C2573" s="6">
        <v>0.13575296419191299</v>
      </c>
    </row>
    <row r="2574" spans="1:3" s="8" customFormat="1" x14ac:dyDescent="0.2">
      <c r="A2574" s="6" t="str">
        <f>"KXD1"</f>
        <v>KXD1</v>
      </c>
      <c r="B2574" s="6">
        <v>1.99800199800199E-2</v>
      </c>
      <c r="C2574" s="6">
        <v>0.13575296419191299</v>
      </c>
    </row>
    <row r="2575" spans="1:3" s="8" customFormat="1" x14ac:dyDescent="0.2">
      <c r="A2575" s="6" t="str">
        <f>"NUDT21"</f>
        <v>NUDT21</v>
      </c>
      <c r="B2575" s="6">
        <v>1.99800199800199E-2</v>
      </c>
      <c r="C2575" s="6">
        <v>0.13575296419191299</v>
      </c>
    </row>
    <row r="2576" spans="1:3" s="8" customFormat="1" x14ac:dyDescent="0.2">
      <c r="A2576" s="6" t="str">
        <f>"TAOK2"</f>
        <v>TAOK2</v>
      </c>
      <c r="B2576" s="6">
        <v>1.99800199800199E-2</v>
      </c>
      <c r="C2576" s="6">
        <v>0.13575296419191299</v>
      </c>
    </row>
    <row r="2577" spans="1:3" s="8" customFormat="1" x14ac:dyDescent="0.2">
      <c r="A2577" s="6" t="str">
        <f>"DLGAP4"</f>
        <v>DLGAP4</v>
      </c>
      <c r="B2577" s="6">
        <v>1.99800199800199E-2</v>
      </c>
      <c r="C2577" s="6">
        <v>0.13575296419191299</v>
      </c>
    </row>
    <row r="2578" spans="1:3" s="8" customFormat="1" x14ac:dyDescent="0.2">
      <c r="A2578" s="6" t="str">
        <f>"KIDINS220"</f>
        <v>KIDINS220</v>
      </c>
      <c r="B2578" s="6">
        <v>1.99800199800199E-2</v>
      </c>
      <c r="C2578" s="6">
        <v>0.13575296419191299</v>
      </c>
    </row>
    <row r="2579" spans="1:3" s="8" customFormat="1" x14ac:dyDescent="0.2">
      <c r="A2579" s="6" t="str">
        <f>"CYB5R1"</f>
        <v>CYB5R1</v>
      </c>
      <c r="B2579" s="6">
        <v>1.99800199800199E-2</v>
      </c>
      <c r="C2579" s="6">
        <v>0.13575296419191299</v>
      </c>
    </row>
    <row r="2580" spans="1:3" s="8" customFormat="1" x14ac:dyDescent="0.2">
      <c r="A2580" s="6" t="str">
        <f>"PSD3"</f>
        <v>PSD3</v>
      </c>
      <c r="B2580" s="6">
        <v>1.99800199800199E-2</v>
      </c>
      <c r="C2580" s="6">
        <v>0.13575296419191299</v>
      </c>
    </row>
    <row r="2581" spans="1:3" s="8" customFormat="1" x14ac:dyDescent="0.2">
      <c r="A2581" s="6" t="str">
        <f>"BCAM"</f>
        <v>BCAM</v>
      </c>
      <c r="B2581" s="6">
        <v>1.99800199800199E-2</v>
      </c>
      <c r="C2581" s="6">
        <v>0.13575296419191299</v>
      </c>
    </row>
    <row r="2582" spans="1:3" s="8" customFormat="1" x14ac:dyDescent="0.2">
      <c r="A2582" s="6" t="str">
        <f>"SRSF9"</f>
        <v>SRSF9</v>
      </c>
      <c r="B2582" s="6">
        <v>1.99800199800199E-2</v>
      </c>
      <c r="C2582" s="6">
        <v>0.13575296419191299</v>
      </c>
    </row>
    <row r="2583" spans="1:3" s="8" customFormat="1" x14ac:dyDescent="0.2">
      <c r="A2583" s="6" t="str">
        <f>"SIN3A"</f>
        <v>SIN3A</v>
      </c>
      <c r="B2583" s="6">
        <v>1.99800199800199E-2</v>
      </c>
      <c r="C2583" s="6">
        <v>0.13575296419191299</v>
      </c>
    </row>
    <row r="2584" spans="1:3" s="8" customFormat="1" x14ac:dyDescent="0.2">
      <c r="A2584" s="6" t="str">
        <f>"S100A10"</f>
        <v>S100A10</v>
      </c>
      <c r="B2584" s="6">
        <v>1.99800199800199E-2</v>
      </c>
      <c r="C2584" s="6">
        <v>0.13575296419191299</v>
      </c>
    </row>
    <row r="2585" spans="1:3" s="8" customFormat="1" x14ac:dyDescent="0.2">
      <c r="A2585" s="6" t="str">
        <f>"HLA-DRB5"</f>
        <v>HLA-DRB5</v>
      </c>
      <c r="B2585" s="6">
        <v>1.99800199800199E-2</v>
      </c>
      <c r="C2585" s="6">
        <v>0.13575296419191299</v>
      </c>
    </row>
    <row r="2586" spans="1:3" s="8" customFormat="1" x14ac:dyDescent="0.2">
      <c r="A2586" s="6" t="str">
        <f>"STIM2"</f>
        <v>STIM2</v>
      </c>
      <c r="B2586" s="6">
        <v>1.99800199800199E-2</v>
      </c>
      <c r="C2586" s="6">
        <v>0.13575296419191299</v>
      </c>
    </row>
    <row r="2587" spans="1:3" s="8" customFormat="1" x14ac:dyDescent="0.2">
      <c r="A2587" s="6" t="str">
        <f>"LAP3"</f>
        <v>LAP3</v>
      </c>
      <c r="B2587" s="6">
        <v>1.99800199800199E-2</v>
      </c>
      <c r="C2587" s="6">
        <v>0.13575296419191299</v>
      </c>
    </row>
    <row r="2588" spans="1:3" s="8" customFormat="1" x14ac:dyDescent="0.2">
      <c r="A2588" s="6" t="str">
        <f>"UBAP2L"</f>
        <v>UBAP2L</v>
      </c>
      <c r="B2588" s="6">
        <v>1.99800199800199E-2</v>
      </c>
      <c r="C2588" s="6">
        <v>0.13575296419191299</v>
      </c>
    </row>
    <row r="2589" spans="1:3" s="8" customFormat="1" x14ac:dyDescent="0.2">
      <c r="A2589" s="6" t="str">
        <f>"ANXA11"</f>
        <v>ANXA11</v>
      </c>
      <c r="B2589" s="6">
        <v>1.99800199800199E-2</v>
      </c>
      <c r="C2589" s="6">
        <v>0.13575296419191299</v>
      </c>
    </row>
    <row r="2590" spans="1:3" s="8" customFormat="1" x14ac:dyDescent="0.2">
      <c r="A2590" s="6" t="str">
        <f>"LINC01836"</f>
        <v>LINC01836</v>
      </c>
      <c r="B2590" s="6">
        <v>0.02</v>
      </c>
      <c r="C2590" s="6">
        <v>0.135836230204712</v>
      </c>
    </row>
    <row r="2591" spans="1:3" s="8" customFormat="1" x14ac:dyDescent="0.2">
      <c r="A2591" s="6" t="str">
        <f>"LINC02517"</f>
        <v>LINC02517</v>
      </c>
      <c r="B2591" s="6">
        <v>2.0020020020019999E-2</v>
      </c>
      <c r="C2591" s="6">
        <v>0.135919703487271</v>
      </c>
    </row>
    <row r="2592" spans="1:3" s="8" customFormat="1" x14ac:dyDescent="0.2">
      <c r="A2592" s="6" t="str">
        <f>"CCDC177"</f>
        <v>CCDC177</v>
      </c>
      <c r="B2592" s="6">
        <v>2.0040080160320599E-2</v>
      </c>
      <c r="C2592" s="6">
        <v>0.136003384615622</v>
      </c>
    </row>
    <row r="2593" spans="1:3" s="8" customFormat="1" x14ac:dyDescent="0.2">
      <c r="A2593" s="6" t="str">
        <f>"DRD1"</f>
        <v>DRD1</v>
      </c>
      <c r="B2593" s="6">
        <v>2.1000000000000001E-2</v>
      </c>
      <c r="C2593" s="6">
        <v>0.13773368146214099</v>
      </c>
    </row>
    <row r="2594" spans="1:3" s="8" customFormat="1" x14ac:dyDescent="0.2">
      <c r="A2594" s="6" t="str">
        <f>"AC092145.1"</f>
        <v>AC092145.1</v>
      </c>
      <c r="B2594" s="6">
        <v>2.09790209790209E-2</v>
      </c>
      <c r="C2594" s="6">
        <v>0.13773368146214099</v>
      </c>
    </row>
    <row r="2595" spans="1:3" s="8" customFormat="1" x14ac:dyDescent="0.2">
      <c r="A2595" s="6" t="str">
        <f>"C8G"</f>
        <v>C8G</v>
      </c>
      <c r="B2595" s="6">
        <v>2.09790209790209E-2</v>
      </c>
      <c r="C2595" s="6">
        <v>0.13773368146214099</v>
      </c>
    </row>
    <row r="2596" spans="1:3" s="8" customFormat="1" x14ac:dyDescent="0.2">
      <c r="A2596" s="6" t="str">
        <f>"AC005586.1"</f>
        <v>AC005586.1</v>
      </c>
      <c r="B2596" s="6">
        <v>2.1000000000000001E-2</v>
      </c>
      <c r="C2596" s="6">
        <v>0.13773368146214099</v>
      </c>
    </row>
    <row r="2597" spans="1:3" s="8" customFormat="1" x14ac:dyDescent="0.2">
      <c r="A2597" s="6" t="str">
        <f>"ZNF208"</f>
        <v>ZNF208</v>
      </c>
      <c r="B2597" s="6">
        <v>2.09790209790209E-2</v>
      </c>
      <c r="C2597" s="6">
        <v>0.13773368146214099</v>
      </c>
    </row>
    <row r="2598" spans="1:3" s="8" customFormat="1" x14ac:dyDescent="0.2">
      <c r="A2598" s="6" t="str">
        <f>"AC139099.1"</f>
        <v>AC139099.1</v>
      </c>
      <c r="B2598" s="6">
        <v>2.09790209790209E-2</v>
      </c>
      <c r="C2598" s="6">
        <v>0.13773368146214099</v>
      </c>
    </row>
    <row r="2599" spans="1:3" s="8" customFormat="1" x14ac:dyDescent="0.2">
      <c r="A2599" s="6" t="str">
        <f>"TXK"</f>
        <v>TXK</v>
      </c>
      <c r="B2599" s="6">
        <v>2.09790209790209E-2</v>
      </c>
      <c r="C2599" s="6">
        <v>0.13773368146214099</v>
      </c>
    </row>
    <row r="2600" spans="1:3" s="8" customFormat="1" x14ac:dyDescent="0.2">
      <c r="A2600" s="6" t="str">
        <f>"AL355377.4"</f>
        <v>AL355377.4</v>
      </c>
      <c r="B2600" s="6">
        <v>2.09790209790209E-2</v>
      </c>
      <c r="C2600" s="6">
        <v>0.13773368146214099</v>
      </c>
    </row>
    <row r="2601" spans="1:3" s="8" customFormat="1" x14ac:dyDescent="0.2">
      <c r="A2601" s="6" t="str">
        <f>"AC136475.7"</f>
        <v>AC136475.7</v>
      </c>
      <c r="B2601" s="6">
        <v>2.09790209790209E-2</v>
      </c>
      <c r="C2601" s="6">
        <v>0.13773368146214099</v>
      </c>
    </row>
    <row r="2602" spans="1:3" s="8" customFormat="1" x14ac:dyDescent="0.2">
      <c r="A2602" s="6" t="str">
        <f>"AC006486.1"</f>
        <v>AC006486.1</v>
      </c>
      <c r="B2602" s="6">
        <v>2.09790209790209E-2</v>
      </c>
      <c r="C2602" s="6">
        <v>0.13773368146214099</v>
      </c>
    </row>
    <row r="2603" spans="1:3" s="8" customFormat="1" x14ac:dyDescent="0.2">
      <c r="A2603" s="6" t="str">
        <f>"ZNF84-DT"</f>
        <v>ZNF84-DT</v>
      </c>
      <c r="B2603" s="6">
        <v>2.1000000000000001E-2</v>
      </c>
      <c r="C2603" s="6">
        <v>0.13773368146214099</v>
      </c>
    </row>
    <row r="2604" spans="1:3" s="8" customFormat="1" x14ac:dyDescent="0.2">
      <c r="A2604" s="6" t="str">
        <f>"AC097532.3"</f>
        <v>AC097532.3</v>
      </c>
      <c r="B2604" s="6">
        <v>2.09790209790209E-2</v>
      </c>
      <c r="C2604" s="6">
        <v>0.13773368146214099</v>
      </c>
    </row>
    <row r="2605" spans="1:3" s="8" customFormat="1" x14ac:dyDescent="0.2">
      <c r="A2605" s="6" t="str">
        <f>"AP001107.1"</f>
        <v>AP001107.1</v>
      </c>
      <c r="B2605" s="6">
        <v>2.05850487540628E-2</v>
      </c>
      <c r="C2605" s="6">
        <v>0.13773368146214099</v>
      </c>
    </row>
    <row r="2606" spans="1:3" s="8" customFormat="1" x14ac:dyDescent="0.2">
      <c r="A2606" s="6" t="str">
        <f>"NLRP10"</f>
        <v>NLRP10</v>
      </c>
      <c r="B2606" s="6">
        <v>2.09790209790209E-2</v>
      </c>
      <c r="C2606" s="6">
        <v>0.13773368146214099</v>
      </c>
    </row>
    <row r="2607" spans="1:3" s="8" customFormat="1" x14ac:dyDescent="0.2">
      <c r="A2607" s="6" t="str">
        <f>"BLK"</f>
        <v>BLK</v>
      </c>
      <c r="B2607" s="6">
        <v>2.09790209790209E-2</v>
      </c>
      <c r="C2607" s="6">
        <v>0.13773368146214099</v>
      </c>
    </row>
    <row r="2608" spans="1:3" s="8" customFormat="1" x14ac:dyDescent="0.2">
      <c r="A2608" s="6" t="str">
        <f>"AC026191.1"</f>
        <v>AC026191.1</v>
      </c>
      <c r="B2608" s="6">
        <v>2.09790209790209E-2</v>
      </c>
      <c r="C2608" s="6">
        <v>0.13773368146214099</v>
      </c>
    </row>
    <row r="2609" spans="1:3" s="8" customFormat="1" x14ac:dyDescent="0.2">
      <c r="A2609" s="6" t="str">
        <f>"AC020917.4"</f>
        <v>AC020917.4</v>
      </c>
      <c r="B2609" s="6">
        <v>2.09790209790209E-2</v>
      </c>
      <c r="C2609" s="6">
        <v>0.13773368146214099</v>
      </c>
    </row>
    <row r="2610" spans="1:3" s="8" customFormat="1" x14ac:dyDescent="0.2">
      <c r="A2610" s="6" t="str">
        <f>"DDX4"</f>
        <v>DDX4</v>
      </c>
      <c r="B2610" s="6">
        <v>2.09790209790209E-2</v>
      </c>
      <c r="C2610" s="6">
        <v>0.13773368146214099</v>
      </c>
    </row>
    <row r="2611" spans="1:3" s="8" customFormat="1" x14ac:dyDescent="0.2">
      <c r="A2611" s="6" t="str">
        <f>"TNFSF9"</f>
        <v>TNFSF9</v>
      </c>
      <c r="B2611" s="6">
        <v>2.09790209790209E-2</v>
      </c>
      <c r="C2611" s="6">
        <v>0.13773368146214099</v>
      </c>
    </row>
    <row r="2612" spans="1:3" s="8" customFormat="1" x14ac:dyDescent="0.2">
      <c r="A2612" s="6" t="str">
        <f>"DCLK2"</f>
        <v>DCLK2</v>
      </c>
      <c r="B2612" s="6">
        <v>2.09790209790209E-2</v>
      </c>
      <c r="C2612" s="6">
        <v>0.13773368146214099</v>
      </c>
    </row>
    <row r="2613" spans="1:3" s="8" customFormat="1" x14ac:dyDescent="0.2">
      <c r="A2613" s="6" t="str">
        <f>"H2AC11"</f>
        <v>H2AC11</v>
      </c>
      <c r="B2613" s="6">
        <v>2.09790209790209E-2</v>
      </c>
      <c r="C2613" s="6">
        <v>0.13773368146214099</v>
      </c>
    </row>
    <row r="2614" spans="1:3" s="8" customFormat="1" x14ac:dyDescent="0.2">
      <c r="A2614" s="6" t="str">
        <f>"CD22"</f>
        <v>CD22</v>
      </c>
      <c r="B2614" s="6">
        <v>2.09790209790209E-2</v>
      </c>
      <c r="C2614" s="6">
        <v>0.13773368146214099</v>
      </c>
    </row>
    <row r="2615" spans="1:3" s="8" customFormat="1" x14ac:dyDescent="0.2">
      <c r="A2615" s="6" t="str">
        <f>"AC235565.2"</f>
        <v>AC235565.2</v>
      </c>
      <c r="B2615" s="6">
        <v>2.09790209790209E-2</v>
      </c>
      <c r="C2615" s="6">
        <v>0.13773368146214099</v>
      </c>
    </row>
    <row r="2616" spans="1:3" s="8" customFormat="1" x14ac:dyDescent="0.2">
      <c r="A2616" s="6" t="str">
        <f>"C9orf147"</f>
        <v>C9orf147</v>
      </c>
      <c r="B2616" s="6">
        <v>2.09790209790209E-2</v>
      </c>
      <c r="C2616" s="6">
        <v>0.13773368146214099</v>
      </c>
    </row>
    <row r="2617" spans="1:3" s="8" customFormat="1" x14ac:dyDescent="0.2">
      <c r="A2617" s="6" t="str">
        <f>"AC025449.2"</f>
        <v>AC025449.2</v>
      </c>
      <c r="B2617" s="6">
        <v>2.09790209790209E-2</v>
      </c>
      <c r="C2617" s="6">
        <v>0.13773368146214099</v>
      </c>
    </row>
    <row r="2618" spans="1:3" s="8" customFormat="1" x14ac:dyDescent="0.2">
      <c r="A2618" s="6" t="str">
        <f>"AL158211.5"</f>
        <v>AL158211.5</v>
      </c>
      <c r="B2618" s="6">
        <v>2.09790209790209E-2</v>
      </c>
      <c r="C2618" s="6">
        <v>0.13773368146214099</v>
      </c>
    </row>
    <row r="2619" spans="1:3" s="8" customFormat="1" x14ac:dyDescent="0.2">
      <c r="A2619" s="6" t="str">
        <f>"MEP1A"</f>
        <v>MEP1A</v>
      </c>
      <c r="B2619" s="6">
        <v>2.09790209790209E-2</v>
      </c>
      <c r="C2619" s="6">
        <v>0.13773368146214099</v>
      </c>
    </row>
    <row r="2620" spans="1:3" s="8" customFormat="1" x14ac:dyDescent="0.2">
      <c r="A2620" s="6" t="str">
        <f>"PSRC1"</f>
        <v>PSRC1</v>
      </c>
      <c r="B2620" s="6">
        <v>2.09790209790209E-2</v>
      </c>
      <c r="C2620" s="6">
        <v>0.13773368146214099</v>
      </c>
    </row>
    <row r="2621" spans="1:3" s="8" customFormat="1" x14ac:dyDescent="0.2">
      <c r="A2621" s="6" t="str">
        <f>"DDIAS"</f>
        <v>DDIAS</v>
      </c>
      <c r="B2621" s="6">
        <v>2.09790209790209E-2</v>
      </c>
      <c r="C2621" s="6">
        <v>0.13773368146214099</v>
      </c>
    </row>
    <row r="2622" spans="1:3" s="8" customFormat="1" x14ac:dyDescent="0.2">
      <c r="A2622" s="6" t="str">
        <f>"LY6K"</f>
        <v>LY6K</v>
      </c>
      <c r="B2622" s="6">
        <v>2.09790209790209E-2</v>
      </c>
      <c r="C2622" s="6">
        <v>0.13773368146214099</v>
      </c>
    </row>
    <row r="2623" spans="1:3" s="8" customFormat="1" x14ac:dyDescent="0.2">
      <c r="A2623" s="6" t="str">
        <f>"AC096647.1"</f>
        <v>AC096647.1</v>
      </c>
      <c r="B2623" s="6">
        <v>2.09790209790209E-2</v>
      </c>
      <c r="C2623" s="6">
        <v>0.13773368146214099</v>
      </c>
    </row>
    <row r="2624" spans="1:3" s="8" customFormat="1" x14ac:dyDescent="0.2">
      <c r="A2624" s="6" t="str">
        <f>"IGLC2"</f>
        <v>IGLC2</v>
      </c>
      <c r="B2624" s="6">
        <v>2.09790209790209E-2</v>
      </c>
      <c r="C2624" s="6">
        <v>0.13773368146214099</v>
      </c>
    </row>
    <row r="2625" spans="1:3" s="8" customFormat="1" x14ac:dyDescent="0.2">
      <c r="A2625" s="6" t="str">
        <f>"CHEK1"</f>
        <v>CHEK1</v>
      </c>
      <c r="B2625" s="6">
        <v>2.09790209790209E-2</v>
      </c>
      <c r="C2625" s="6">
        <v>0.13773368146214099</v>
      </c>
    </row>
    <row r="2626" spans="1:3" s="8" customFormat="1" x14ac:dyDescent="0.2">
      <c r="A2626" s="6" t="str">
        <f>"AC135048.1"</f>
        <v>AC135048.1</v>
      </c>
      <c r="B2626" s="6">
        <v>2.09790209790209E-2</v>
      </c>
      <c r="C2626" s="6">
        <v>0.13773368146214099</v>
      </c>
    </row>
    <row r="2627" spans="1:3" s="8" customFormat="1" x14ac:dyDescent="0.2">
      <c r="A2627" s="6" t="str">
        <f>"ADAMTSL4"</f>
        <v>ADAMTSL4</v>
      </c>
      <c r="B2627" s="6">
        <v>2.09790209790209E-2</v>
      </c>
      <c r="C2627" s="6">
        <v>0.13773368146214099</v>
      </c>
    </row>
    <row r="2628" spans="1:3" s="8" customFormat="1" x14ac:dyDescent="0.2">
      <c r="A2628" s="6" t="str">
        <f>"PTCH2"</f>
        <v>PTCH2</v>
      </c>
      <c r="B2628" s="6">
        <v>2.1000000000000001E-2</v>
      </c>
      <c r="C2628" s="6">
        <v>0.13773368146214099</v>
      </c>
    </row>
    <row r="2629" spans="1:3" s="8" customFormat="1" x14ac:dyDescent="0.2">
      <c r="A2629" s="6" t="str">
        <f>"SOSTDC1"</f>
        <v>SOSTDC1</v>
      </c>
      <c r="B2629" s="6">
        <v>2.09790209790209E-2</v>
      </c>
      <c r="C2629" s="6">
        <v>0.13773368146214099</v>
      </c>
    </row>
    <row r="2630" spans="1:3" s="8" customFormat="1" x14ac:dyDescent="0.2">
      <c r="A2630" s="6" t="str">
        <f>"TPTEP2"</f>
        <v>TPTEP2</v>
      </c>
      <c r="B2630" s="6">
        <v>2.09790209790209E-2</v>
      </c>
      <c r="C2630" s="6">
        <v>0.13773368146214099</v>
      </c>
    </row>
    <row r="2631" spans="1:3" s="8" customFormat="1" x14ac:dyDescent="0.2">
      <c r="A2631" s="6" t="str">
        <f>"LANCL3"</f>
        <v>LANCL3</v>
      </c>
      <c r="B2631" s="6">
        <v>2.09790209790209E-2</v>
      </c>
      <c r="C2631" s="6">
        <v>0.13773368146214099</v>
      </c>
    </row>
    <row r="2632" spans="1:3" s="8" customFormat="1" x14ac:dyDescent="0.2">
      <c r="A2632" s="6" t="str">
        <f>"RGPD1"</f>
        <v>RGPD1</v>
      </c>
      <c r="B2632" s="6">
        <v>2.09790209790209E-2</v>
      </c>
      <c r="C2632" s="6">
        <v>0.13773368146214099</v>
      </c>
    </row>
    <row r="2633" spans="1:3" s="8" customFormat="1" x14ac:dyDescent="0.2">
      <c r="A2633" s="6" t="str">
        <f>"C10orf143"</f>
        <v>C10orf143</v>
      </c>
      <c r="B2633" s="6">
        <v>2.09790209790209E-2</v>
      </c>
      <c r="C2633" s="6">
        <v>0.13773368146214099</v>
      </c>
    </row>
    <row r="2634" spans="1:3" s="8" customFormat="1" x14ac:dyDescent="0.2">
      <c r="A2634" s="6" t="str">
        <f>"SMIM6"</f>
        <v>SMIM6</v>
      </c>
      <c r="B2634" s="6">
        <v>2.09790209790209E-2</v>
      </c>
      <c r="C2634" s="6">
        <v>0.13773368146214099</v>
      </c>
    </row>
    <row r="2635" spans="1:3" s="8" customFormat="1" x14ac:dyDescent="0.2">
      <c r="A2635" s="6" t="str">
        <f>"ABI3"</f>
        <v>ABI3</v>
      </c>
      <c r="B2635" s="6">
        <v>2.09790209790209E-2</v>
      </c>
      <c r="C2635" s="6">
        <v>0.13773368146214099</v>
      </c>
    </row>
    <row r="2636" spans="1:3" s="8" customFormat="1" x14ac:dyDescent="0.2">
      <c r="A2636" s="6" t="str">
        <f>"B3GNT10"</f>
        <v>B3GNT10</v>
      </c>
      <c r="B2636" s="6">
        <v>2.09790209790209E-2</v>
      </c>
      <c r="C2636" s="6">
        <v>0.13773368146214099</v>
      </c>
    </row>
    <row r="2637" spans="1:3" s="8" customFormat="1" x14ac:dyDescent="0.2">
      <c r="A2637" s="6" t="str">
        <f>"EIF5AL1"</f>
        <v>EIF5AL1</v>
      </c>
      <c r="B2637" s="6">
        <v>2.09790209790209E-2</v>
      </c>
      <c r="C2637" s="6">
        <v>0.13773368146214099</v>
      </c>
    </row>
    <row r="2638" spans="1:3" s="8" customFormat="1" x14ac:dyDescent="0.2">
      <c r="A2638" s="6" t="str">
        <f>"ZFP1"</f>
        <v>ZFP1</v>
      </c>
      <c r="B2638" s="6">
        <v>2.09790209790209E-2</v>
      </c>
      <c r="C2638" s="6">
        <v>0.13773368146214099</v>
      </c>
    </row>
    <row r="2639" spans="1:3" s="8" customFormat="1" x14ac:dyDescent="0.2">
      <c r="A2639" s="6" t="str">
        <f>"CERS3"</f>
        <v>CERS3</v>
      </c>
      <c r="B2639" s="6">
        <v>2.09790209790209E-2</v>
      </c>
      <c r="C2639" s="6">
        <v>0.13773368146214099</v>
      </c>
    </row>
    <row r="2640" spans="1:3" s="8" customFormat="1" x14ac:dyDescent="0.2">
      <c r="A2640" s="6" t="str">
        <f>"ZNF341"</f>
        <v>ZNF341</v>
      </c>
      <c r="B2640" s="6">
        <v>2.1000000000000001E-2</v>
      </c>
      <c r="C2640" s="6">
        <v>0.13773368146214099</v>
      </c>
    </row>
    <row r="2641" spans="1:3" s="8" customFormat="1" x14ac:dyDescent="0.2">
      <c r="A2641" s="6" t="str">
        <f>"U2AF1L4"</f>
        <v>U2AF1L4</v>
      </c>
      <c r="B2641" s="6">
        <v>2.09790209790209E-2</v>
      </c>
      <c r="C2641" s="6">
        <v>0.13773368146214099</v>
      </c>
    </row>
    <row r="2642" spans="1:3" s="8" customFormat="1" x14ac:dyDescent="0.2">
      <c r="A2642" s="6" t="str">
        <f>"GSTA3"</f>
        <v>GSTA3</v>
      </c>
      <c r="B2642" s="6">
        <v>2.09790209790209E-2</v>
      </c>
      <c r="C2642" s="6">
        <v>0.13773368146214099</v>
      </c>
    </row>
    <row r="2643" spans="1:3" s="8" customFormat="1" x14ac:dyDescent="0.2">
      <c r="A2643" s="6" t="str">
        <f>"RTN4IP1"</f>
        <v>RTN4IP1</v>
      </c>
      <c r="B2643" s="6">
        <v>2.09790209790209E-2</v>
      </c>
      <c r="C2643" s="6">
        <v>0.13773368146214099</v>
      </c>
    </row>
    <row r="2644" spans="1:3" s="8" customFormat="1" x14ac:dyDescent="0.2">
      <c r="A2644" s="6" t="str">
        <f>"ST7L"</f>
        <v>ST7L</v>
      </c>
      <c r="B2644" s="6">
        <v>2.09790209790209E-2</v>
      </c>
      <c r="C2644" s="6">
        <v>0.13773368146214099</v>
      </c>
    </row>
    <row r="2645" spans="1:3" s="8" customFormat="1" x14ac:dyDescent="0.2">
      <c r="A2645" s="6" t="str">
        <f>"CIART"</f>
        <v>CIART</v>
      </c>
      <c r="B2645" s="6">
        <v>2.09790209790209E-2</v>
      </c>
      <c r="C2645" s="6">
        <v>0.13773368146214099</v>
      </c>
    </row>
    <row r="2646" spans="1:3" s="8" customFormat="1" x14ac:dyDescent="0.2">
      <c r="A2646" s="6" t="str">
        <f>"BOLA3"</f>
        <v>BOLA3</v>
      </c>
      <c r="B2646" s="6">
        <v>2.09790209790209E-2</v>
      </c>
      <c r="C2646" s="6">
        <v>0.13773368146214099</v>
      </c>
    </row>
    <row r="2647" spans="1:3" s="8" customFormat="1" x14ac:dyDescent="0.2">
      <c r="A2647" s="6" t="str">
        <f>"SERPINB13"</f>
        <v>SERPINB13</v>
      </c>
      <c r="B2647" s="6">
        <v>2.09790209790209E-2</v>
      </c>
      <c r="C2647" s="6">
        <v>0.13773368146214099</v>
      </c>
    </row>
    <row r="2648" spans="1:3" s="8" customFormat="1" x14ac:dyDescent="0.2">
      <c r="A2648" s="6" t="str">
        <f>"ZNF204P"</f>
        <v>ZNF204P</v>
      </c>
      <c r="B2648" s="6">
        <v>2.09790209790209E-2</v>
      </c>
      <c r="C2648" s="6">
        <v>0.13773368146214099</v>
      </c>
    </row>
    <row r="2649" spans="1:3" s="8" customFormat="1" x14ac:dyDescent="0.2">
      <c r="A2649" s="6" t="str">
        <f>"PIGH"</f>
        <v>PIGH</v>
      </c>
      <c r="B2649" s="6">
        <v>2.09790209790209E-2</v>
      </c>
      <c r="C2649" s="6">
        <v>0.13773368146214099</v>
      </c>
    </row>
    <row r="2650" spans="1:3" s="8" customFormat="1" x14ac:dyDescent="0.2">
      <c r="A2650" s="6" t="str">
        <f>"SLC66A3"</f>
        <v>SLC66A3</v>
      </c>
      <c r="B2650" s="6">
        <v>2.09790209790209E-2</v>
      </c>
      <c r="C2650" s="6">
        <v>0.13773368146214099</v>
      </c>
    </row>
    <row r="2651" spans="1:3" s="8" customFormat="1" x14ac:dyDescent="0.2">
      <c r="A2651" s="6" t="str">
        <f>"C17orf80"</f>
        <v>C17orf80</v>
      </c>
      <c r="B2651" s="6">
        <v>2.09790209790209E-2</v>
      </c>
      <c r="C2651" s="6">
        <v>0.13773368146214099</v>
      </c>
    </row>
    <row r="2652" spans="1:3" s="8" customFormat="1" x14ac:dyDescent="0.2">
      <c r="A2652" s="6" t="str">
        <f>"PDLIM2"</f>
        <v>PDLIM2</v>
      </c>
      <c r="B2652" s="6">
        <v>2.09790209790209E-2</v>
      </c>
      <c r="C2652" s="6">
        <v>0.13773368146214099</v>
      </c>
    </row>
    <row r="2653" spans="1:3" s="8" customFormat="1" x14ac:dyDescent="0.2">
      <c r="A2653" s="6" t="str">
        <f>"HIP1"</f>
        <v>HIP1</v>
      </c>
      <c r="B2653" s="6">
        <v>2.09790209790209E-2</v>
      </c>
      <c r="C2653" s="6">
        <v>0.13773368146214099</v>
      </c>
    </row>
    <row r="2654" spans="1:3" s="8" customFormat="1" x14ac:dyDescent="0.2">
      <c r="A2654" s="6" t="str">
        <f>"TIMELESS"</f>
        <v>TIMELESS</v>
      </c>
      <c r="B2654" s="6">
        <v>2.09790209790209E-2</v>
      </c>
      <c r="C2654" s="6">
        <v>0.13773368146214099</v>
      </c>
    </row>
    <row r="2655" spans="1:3" s="8" customFormat="1" x14ac:dyDescent="0.2">
      <c r="A2655" s="6" t="str">
        <f>"FOXP2"</f>
        <v>FOXP2</v>
      </c>
      <c r="B2655" s="6">
        <v>2.09790209790209E-2</v>
      </c>
      <c r="C2655" s="6">
        <v>0.13773368146214099</v>
      </c>
    </row>
    <row r="2656" spans="1:3" s="8" customFormat="1" x14ac:dyDescent="0.2">
      <c r="A2656" s="6" t="str">
        <f>"MPV17"</f>
        <v>MPV17</v>
      </c>
      <c r="B2656" s="6">
        <v>2.09790209790209E-2</v>
      </c>
      <c r="C2656" s="6">
        <v>0.13773368146214099</v>
      </c>
    </row>
    <row r="2657" spans="1:3" s="8" customFormat="1" x14ac:dyDescent="0.2">
      <c r="A2657" s="6" t="str">
        <f>"PLCG2"</f>
        <v>PLCG2</v>
      </c>
      <c r="B2657" s="6">
        <v>2.09790209790209E-2</v>
      </c>
      <c r="C2657" s="6">
        <v>0.13773368146214099</v>
      </c>
    </row>
    <row r="2658" spans="1:3" s="8" customFormat="1" x14ac:dyDescent="0.2">
      <c r="A2658" s="6" t="str">
        <f>"ZNF888"</f>
        <v>ZNF888</v>
      </c>
      <c r="B2658" s="6">
        <v>2.09790209790209E-2</v>
      </c>
      <c r="C2658" s="6">
        <v>0.13773368146214099</v>
      </c>
    </row>
    <row r="2659" spans="1:3" s="8" customFormat="1" x14ac:dyDescent="0.2">
      <c r="A2659" s="6" t="str">
        <f>"HSH2D"</f>
        <v>HSH2D</v>
      </c>
      <c r="B2659" s="6">
        <v>2.09790209790209E-2</v>
      </c>
      <c r="C2659" s="6">
        <v>0.13773368146214099</v>
      </c>
    </row>
    <row r="2660" spans="1:3" s="8" customFormat="1" x14ac:dyDescent="0.2">
      <c r="A2660" s="6" t="str">
        <f>"TMEM116"</f>
        <v>TMEM116</v>
      </c>
      <c r="B2660" s="6">
        <v>2.09790209790209E-2</v>
      </c>
      <c r="C2660" s="6">
        <v>0.13773368146214099</v>
      </c>
    </row>
    <row r="2661" spans="1:3" s="8" customFormat="1" x14ac:dyDescent="0.2">
      <c r="A2661" s="6" t="str">
        <f>"POLR3E"</f>
        <v>POLR3E</v>
      </c>
      <c r="B2661" s="6">
        <v>2.09790209790209E-2</v>
      </c>
      <c r="C2661" s="6">
        <v>0.13773368146214099</v>
      </c>
    </row>
    <row r="2662" spans="1:3" s="8" customFormat="1" x14ac:dyDescent="0.2">
      <c r="A2662" s="6" t="str">
        <f>"JARID2"</f>
        <v>JARID2</v>
      </c>
      <c r="B2662" s="6">
        <v>2.09790209790209E-2</v>
      </c>
      <c r="C2662" s="6">
        <v>0.13773368146214099</v>
      </c>
    </row>
    <row r="2663" spans="1:3" s="8" customFormat="1" x14ac:dyDescent="0.2">
      <c r="A2663" s="6" t="str">
        <f>"C1orf21"</f>
        <v>C1orf21</v>
      </c>
      <c r="B2663" s="6">
        <v>2.09790209790209E-2</v>
      </c>
      <c r="C2663" s="6">
        <v>0.13773368146214099</v>
      </c>
    </row>
    <row r="2664" spans="1:3" s="8" customFormat="1" x14ac:dyDescent="0.2">
      <c r="A2664" s="6" t="str">
        <f>"TOR4A"</f>
        <v>TOR4A</v>
      </c>
      <c r="B2664" s="6">
        <v>2.09790209790209E-2</v>
      </c>
      <c r="C2664" s="6">
        <v>0.13773368146214099</v>
      </c>
    </row>
    <row r="2665" spans="1:3" s="8" customFormat="1" x14ac:dyDescent="0.2">
      <c r="A2665" s="6" t="str">
        <f>"UQCR10"</f>
        <v>UQCR10</v>
      </c>
      <c r="B2665" s="6">
        <v>2.09790209790209E-2</v>
      </c>
      <c r="C2665" s="6">
        <v>0.13773368146214099</v>
      </c>
    </row>
    <row r="2666" spans="1:3" s="8" customFormat="1" x14ac:dyDescent="0.2">
      <c r="A2666" s="6" t="str">
        <f>"CSTA"</f>
        <v>CSTA</v>
      </c>
      <c r="B2666" s="6">
        <v>2.09790209790209E-2</v>
      </c>
      <c r="C2666" s="6">
        <v>0.13773368146214099</v>
      </c>
    </row>
    <row r="2667" spans="1:3" s="8" customFormat="1" x14ac:dyDescent="0.2">
      <c r="A2667" s="6" t="str">
        <f>"ADCY6"</f>
        <v>ADCY6</v>
      </c>
      <c r="B2667" s="6">
        <v>2.09790209790209E-2</v>
      </c>
      <c r="C2667" s="6">
        <v>0.13773368146214099</v>
      </c>
    </row>
    <row r="2668" spans="1:3" s="8" customFormat="1" x14ac:dyDescent="0.2">
      <c r="A2668" s="6" t="str">
        <f>"TAP2"</f>
        <v>TAP2</v>
      </c>
      <c r="B2668" s="6">
        <v>2.09790209790209E-2</v>
      </c>
      <c r="C2668" s="6">
        <v>0.13773368146214099</v>
      </c>
    </row>
    <row r="2669" spans="1:3" s="8" customFormat="1" x14ac:dyDescent="0.2">
      <c r="A2669" s="6" t="str">
        <f>"C15orf48"</f>
        <v>C15orf48</v>
      </c>
      <c r="B2669" s="6">
        <v>2.09790209790209E-2</v>
      </c>
      <c r="C2669" s="6">
        <v>0.13773368146214099</v>
      </c>
    </row>
    <row r="2670" spans="1:3" s="8" customFormat="1" x14ac:dyDescent="0.2">
      <c r="A2670" s="6" t="str">
        <f>"TBCD"</f>
        <v>TBCD</v>
      </c>
      <c r="B2670" s="6">
        <v>2.09790209790209E-2</v>
      </c>
      <c r="C2670" s="6">
        <v>0.13773368146214099</v>
      </c>
    </row>
    <row r="2671" spans="1:3" s="8" customFormat="1" x14ac:dyDescent="0.2">
      <c r="A2671" s="6" t="str">
        <f>"BCAR1"</f>
        <v>BCAR1</v>
      </c>
      <c r="B2671" s="6">
        <v>2.09790209790209E-2</v>
      </c>
      <c r="C2671" s="6">
        <v>0.13773368146214099</v>
      </c>
    </row>
    <row r="2672" spans="1:3" s="8" customFormat="1" x14ac:dyDescent="0.2">
      <c r="A2672" s="6" t="str">
        <f>"ZMIZ1"</f>
        <v>ZMIZ1</v>
      </c>
      <c r="B2672" s="6">
        <v>2.09790209790209E-2</v>
      </c>
      <c r="C2672" s="6">
        <v>0.13773368146214099</v>
      </c>
    </row>
    <row r="2673" spans="1:3" s="8" customFormat="1" x14ac:dyDescent="0.2">
      <c r="A2673" s="6" t="str">
        <f>"ATN1"</f>
        <v>ATN1</v>
      </c>
      <c r="B2673" s="6">
        <v>2.09790209790209E-2</v>
      </c>
      <c r="C2673" s="6">
        <v>0.13773368146214099</v>
      </c>
    </row>
    <row r="2674" spans="1:3" s="8" customFormat="1" x14ac:dyDescent="0.2">
      <c r="A2674" s="6" t="str">
        <f>"TP53INP2"</f>
        <v>TP53INP2</v>
      </c>
      <c r="B2674" s="6">
        <v>2.09790209790209E-2</v>
      </c>
      <c r="C2674" s="6">
        <v>0.13773368146214099</v>
      </c>
    </row>
    <row r="2675" spans="1:3" s="8" customFormat="1" x14ac:dyDescent="0.2">
      <c r="A2675" s="6" t="str">
        <f>"RAD23B"</f>
        <v>RAD23B</v>
      </c>
      <c r="B2675" s="6">
        <v>2.09790209790209E-2</v>
      </c>
      <c r="C2675" s="6">
        <v>0.13773368146214099</v>
      </c>
    </row>
    <row r="2676" spans="1:3" s="8" customFormat="1" x14ac:dyDescent="0.2">
      <c r="A2676" s="6" t="str">
        <f>"SERPINB1"</f>
        <v>SERPINB1</v>
      </c>
      <c r="B2676" s="6">
        <v>2.09790209790209E-2</v>
      </c>
      <c r="C2676" s="6">
        <v>0.13773368146214099</v>
      </c>
    </row>
    <row r="2677" spans="1:3" s="8" customFormat="1" x14ac:dyDescent="0.2">
      <c r="A2677" s="6" t="str">
        <f>"SUMO2"</f>
        <v>SUMO2</v>
      </c>
      <c r="B2677" s="6">
        <v>2.09790209790209E-2</v>
      </c>
      <c r="C2677" s="6">
        <v>0.13773368146214099</v>
      </c>
    </row>
    <row r="2678" spans="1:3" s="8" customFormat="1" x14ac:dyDescent="0.2">
      <c r="A2678" s="6" t="str">
        <f>"RPS27A"</f>
        <v>RPS27A</v>
      </c>
      <c r="B2678" s="6">
        <v>2.09790209790209E-2</v>
      </c>
      <c r="C2678" s="6">
        <v>0.13773368146214099</v>
      </c>
    </row>
    <row r="2679" spans="1:3" s="8" customFormat="1" x14ac:dyDescent="0.2">
      <c r="A2679" s="6" t="str">
        <f>"CALM1"</f>
        <v>CALM1</v>
      </c>
      <c r="B2679" s="6">
        <v>2.09790209790209E-2</v>
      </c>
      <c r="C2679" s="6">
        <v>0.13773368146214099</v>
      </c>
    </row>
    <row r="2680" spans="1:3" s="8" customFormat="1" x14ac:dyDescent="0.2">
      <c r="A2680" s="6" t="str">
        <f>"AHNAK"</f>
        <v>AHNAK</v>
      </c>
      <c r="B2680" s="6">
        <v>2.09790209790209E-2</v>
      </c>
      <c r="C2680" s="6">
        <v>0.13773368146214099</v>
      </c>
    </row>
    <row r="2681" spans="1:3" s="8" customFormat="1" x14ac:dyDescent="0.2">
      <c r="A2681" s="6" t="str">
        <f>"CD74"</f>
        <v>CD74</v>
      </c>
      <c r="B2681" s="6">
        <v>2.09790209790209E-2</v>
      </c>
      <c r="C2681" s="6">
        <v>0.13773368146214099</v>
      </c>
    </row>
    <row r="2682" spans="1:3" s="8" customFormat="1" x14ac:dyDescent="0.2">
      <c r="A2682" s="6" t="str">
        <f>"MT-CO1"</f>
        <v>MT-CO1</v>
      </c>
      <c r="B2682" s="6">
        <v>2.09790209790209E-2</v>
      </c>
      <c r="C2682" s="6">
        <v>0.13773368146214099</v>
      </c>
    </row>
    <row r="2683" spans="1:3" s="8" customFormat="1" x14ac:dyDescent="0.2">
      <c r="A2683" s="6" t="str">
        <f>"C4orf51"</f>
        <v>C4orf51</v>
      </c>
      <c r="B2683" s="6">
        <v>2.1021021021020998E-2</v>
      </c>
      <c r="C2683" s="6">
        <v>0.137820146768692</v>
      </c>
    </row>
    <row r="2684" spans="1:3" s="8" customFormat="1" x14ac:dyDescent="0.2">
      <c r="A2684" s="6" t="str">
        <f>"USHBP1"</f>
        <v>USHBP1</v>
      </c>
      <c r="B2684" s="6">
        <v>2.1063189568706099E-2</v>
      </c>
      <c r="C2684" s="6">
        <v>0.13804514549986099</v>
      </c>
    </row>
    <row r="2685" spans="1:3" s="8" customFormat="1" x14ac:dyDescent="0.2">
      <c r="A2685" s="6" t="str">
        <f>"AL118558.4"</f>
        <v>AL118558.4</v>
      </c>
      <c r="B2685" s="6">
        <v>2.1084337349397499E-2</v>
      </c>
      <c r="C2685" s="6">
        <v>0.13813226078681301</v>
      </c>
    </row>
    <row r="2686" spans="1:3" s="8" customFormat="1" x14ac:dyDescent="0.2">
      <c r="A2686" s="6" t="str">
        <f>"AC105020.6"</f>
        <v>AC105020.6</v>
      </c>
      <c r="B2686" s="6">
        <v>2.1176470588235199E-2</v>
      </c>
      <c r="C2686" s="6">
        <v>0.13868419323036399</v>
      </c>
    </row>
    <row r="2687" spans="1:3" s="8" customFormat="1" x14ac:dyDescent="0.2">
      <c r="A2687" s="6" t="str">
        <f>"AC106772.2"</f>
        <v>AC106772.2</v>
      </c>
      <c r="B2687" s="6">
        <v>2.19780219780219E-2</v>
      </c>
      <c r="C2687" s="6">
        <v>0.13961760782570001</v>
      </c>
    </row>
    <row r="2688" spans="1:3" s="8" customFormat="1" x14ac:dyDescent="0.2">
      <c r="A2688" s="6" t="str">
        <f>"DNAH17-AS1"</f>
        <v>DNAH17-AS1</v>
      </c>
      <c r="B2688" s="6">
        <v>2.19780219780219E-2</v>
      </c>
      <c r="C2688" s="6">
        <v>0.13961760782570001</v>
      </c>
    </row>
    <row r="2689" spans="1:3" s="8" customFormat="1" x14ac:dyDescent="0.2">
      <c r="A2689" s="6" t="str">
        <f>"AC039056.2"</f>
        <v>AC039056.2</v>
      </c>
      <c r="B2689" s="6">
        <v>2.19780219780219E-2</v>
      </c>
      <c r="C2689" s="6">
        <v>0.13961760782570001</v>
      </c>
    </row>
    <row r="2690" spans="1:3" s="8" customFormat="1" x14ac:dyDescent="0.2">
      <c r="A2690" s="6" t="str">
        <f>"LINC02595"</f>
        <v>LINC02595</v>
      </c>
      <c r="B2690" s="6">
        <v>2.19780219780219E-2</v>
      </c>
      <c r="C2690" s="6">
        <v>0.13961760782570001</v>
      </c>
    </row>
    <row r="2691" spans="1:3" s="8" customFormat="1" x14ac:dyDescent="0.2">
      <c r="A2691" s="6" t="str">
        <f>"CAMP"</f>
        <v>CAMP</v>
      </c>
      <c r="B2691" s="6">
        <v>2.19780219780219E-2</v>
      </c>
      <c r="C2691" s="6">
        <v>0.13961760782570001</v>
      </c>
    </row>
    <row r="2692" spans="1:3" s="8" customFormat="1" x14ac:dyDescent="0.2">
      <c r="A2692" s="6" t="str">
        <f>"TDO2"</f>
        <v>TDO2</v>
      </c>
      <c r="B2692" s="6">
        <v>2.19780219780219E-2</v>
      </c>
      <c r="C2692" s="6">
        <v>0.13961760782570001</v>
      </c>
    </row>
    <row r="2693" spans="1:3" s="8" customFormat="1" x14ac:dyDescent="0.2">
      <c r="A2693" s="6" t="str">
        <f>"WDR11-AS1"</f>
        <v>WDR11-AS1</v>
      </c>
      <c r="B2693" s="6">
        <v>2.19780219780219E-2</v>
      </c>
      <c r="C2693" s="6">
        <v>0.13961760782570001</v>
      </c>
    </row>
    <row r="2694" spans="1:3" s="8" customFormat="1" x14ac:dyDescent="0.2">
      <c r="A2694" s="6" t="str">
        <f>"LINC01816"</f>
        <v>LINC01816</v>
      </c>
      <c r="B2694" s="6">
        <v>2.1538461538461499E-2</v>
      </c>
      <c r="C2694" s="6">
        <v>0.13961760782570001</v>
      </c>
    </row>
    <row r="2695" spans="1:3" s="8" customFormat="1" x14ac:dyDescent="0.2">
      <c r="A2695" s="6" t="str">
        <f>"AL355334.2"</f>
        <v>AL355334.2</v>
      </c>
      <c r="B2695" s="6">
        <v>2.13849287169042E-2</v>
      </c>
      <c r="C2695" s="6">
        <v>0.13961760782570001</v>
      </c>
    </row>
    <row r="2696" spans="1:3" s="8" customFormat="1" x14ac:dyDescent="0.2">
      <c r="A2696" s="6" t="str">
        <f>"C11orf21"</f>
        <v>C11orf21</v>
      </c>
      <c r="B2696" s="6">
        <v>2.19780219780219E-2</v>
      </c>
      <c r="C2696" s="6">
        <v>0.13961760782570001</v>
      </c>
    </row>
    <row r="2697" spans="1:3" s="8" customFormat="1" x14ac:dyDescent="0.2">
      <c r="A2697" s="6" t="str">
        <f>"AC069185.1"</f>
        <v>AC069185.1</v>
      </c>
      <c r="B2697" s="6">
        <v>2.19780219780219E-2</v>
      </c>
      <c r="C2697" s="6">
        <v>0.13961760782570001</v>
      </c>
    </row>
    <row r="2698" spans="1:3" s="8" customFormat="1" x14ac:dyDescent="0.2">
      <c r="A2698" s="6" t="str">
        <f>"STRC"</f>
        <v>STRC</v>
      </c>
      <c r="B2698" s="6">
        <v>2.19780219780219E-2</v>
      </c>
      <c r="C2698" s="6">
        <v>0.13961760782570001</v>
      </c>
    </row>
    <row r="2699" spans="1:3" s="8" customFormat="1" x14ac:dyDescent="0.2">
      <c r="A2699" s="6" t="str">
        <f>"POU5F1B"</f>
        <v>POU5F1B</v>
      </c>
      <c r="B2699" s="6">
        <v>2.19780219780219E-2</v>
      </c>
      <c r="C2699" s="6">
        <v>0.13961760782570001</v>
      </c>
    </row>
    <row r="2700" spans="1:3" s="8" customFormat="1" x14ac:dyDescent="0.2">
      <c r="A2700" s="6" t="str">
        <f>"KIF15"</f>
        <v>KIF15</v>
      </c>
      <c r="B2700" s="6">
        <v>2.19780219780219E-2</v>
      </c>
      <c r="C2700" s="6">
        <v>0.13961760782570001</v>
      </c>
    </row>
    <row r="2701" spans="1:3" s="8" customFormat="1" x14ac:dyDescent="0.2">
      <c r="A2701" s="6" t="str">
        <f>"UBAC2-AS1"</f>
        <v>UBAC2-AS1</v>
      </c>
      <c r="B2701" s="6">
        <v>2.19780219780219E-2</v>
      </c>
      <c r="C2701" s="6">
        <v>0.13961760782570001</v>
      </c>
    </row>
    <row r="2702" spans="1:3" s="8" customFormat="1" x14ac:dyDescent="0.2">
      <c r="A2702" s="6" t="str">
        <f>"CD300E"</f>
        <v>CD300E</v>
      </c>
      <c r="B2702" s="6">
        <v>2.19780219780219E-2</v>
      </c>
      <c r="C2702" s="6">
        <v>0.13961760782570001</v>
      </c>
    </row>
    <row r="2703" spans="1:3" s="8" customFormat="1" x14ac:dyDescent="0.2">
      <c r="A2703" s="6" t="str">
        <f>"AC138150.2"</f>
        <v>AC138150.2</v>
      </c>
      <c r="B2703" s="6">
        <v>2.19780219780219E-2</v>
      </c>
      <c r="C2703" s="6">
        <v>0.13961760782570001</v>
      </c>
    </row>
    <row r="2704" spans="1:3" s="8" customFormat="1" x14ac:dyDescent="0.2">
      <c r="A2704" s="6" t="str">
        <f>"RHCE"</f>
        <v>RHCE</v>
      </c>
      <c r="B2704" s="6">
        <v>2.19780219780219E-2</v>
      </c>
      <c r="C2704" s="6">
        <v>0.13961760782570001</v>
      </c>
    </row>
    <row r="2705" spans="1:3" s="8" customFormat="1" x14ac:dyDescent="0.2">
      <c r="A2705" s="6" t="str">
        <f>"AC044893.1"</f>
        <v>AC044893.1</v>
      </c>
      <c r="B2705" s="6">
        <v>2.19780219780219E-2</v>
      </c>
      <c r="C2705" s="6">
        <v>0.13961760782570001</v>
      </c>
    </row>
    <row r="2706" spans="1:3" s="8" customFormat="1" x14ac:dyDescent="0.2">
      <c r="A2706" s="6" t="str">
        <f>"LINC00857"</f>
        <v>LINC00857</v>
      </c>
      <c r="B2706" s="6">
        <v>2.19780219780219E-2</v>
      </c>
      <c r="C2706" s="6">
        <v>0.13961760782570001</v>
      </c>
    </row>
    <row r="2707" spans="1:3" s="8" customFormat="1" x14ac:dyDescent="0.2">
      <c r="A2707" s="6" t="str">
        <f>"COX6B2"</f>
        <v>COX6B2</v>
      </c>
      <c r="B2707" s="6">
        <v>2.19780219780219E-2</v>
      </c>
      <c r="C2707" s="6">
        <v>0.13961760782570001</v>
      </c>
    </row>
    <row r="2708" spans="1:3" s="8" customFormat="1" x14ac:dyDescent="0.2">
      <c r="A2708" s="6" t="str">
        <f>"AC091182.1"</f>
        <v>AC091182.1</v>
      </c>
      <c r="B2708" s="6">
        <v>2.19780219780219E-2</v>
      </c>
      <c r="C2708" s="6">
        <v>0.13961760782570001</v>
      </c>
    </row>
    <row r="2709" spans="1:3" s="8" customFormat="1" x14ac:dyDescent="0.2">
      <c r="A2709" s="6" t="str">
        <f>"AP001160.3"</f>
        <v>AP001160.3</v>
      </c>
      <c r="B2709" s="6">
        <v>2.19780219780219E-2</v>
      </c>
      <c r="C2709" s="6">
        <v>0.13961760782570001</v>
      </c>
    </row>
    <row r="2710" spans="1:3" s="8" customFormat="1" x14ac:dyDescent="0.2">
      <c r="A2710" s="6" t="str">
        <f>"ZNF34"</f>
        <v>ZNF34</v>
      </c>
      <c r="B2710" s="6">
        <v>2.19780219780219E-2</v>
      </c>
      <c r="C2710" s="6">
        <v>0.13961760782570001</v>
      </c>
    </row>
    <row r="2711" spans="1:3" s="8" customFormat="1" x14ac:dyDescent="0.2">
      <c r="A2711" s="6" t="str">
        <f>"JCHAIN"</f>
        <v>JCHAIN</v>
      </c>
      <c r="B2711" s="6">
        <v>2.19780219780219E-2</v>
      </c>
      <c r="C2711" s="6">
        <v>0.13961760782570001</v>
      </c>
    </row>
    <row r="2712" spans="1:3" s="8" customFormat="1" x14ac:dyDescent="0.2">
      <c r="A2712" s="6" t="str">
        <f>"PDE3B"</f>
        <v>PDE3B</v>
      </c>
      <c r="B2712" s="6">
        <v>2.19780219780219E-2</v>
      </c>
      <c r="C2712" s="6">
        <v>0.13961760782570001</v>
      </c>
    </row>
    <row r="2713" spans="1:3" s="8" customFormat="1" x14ac:dyDescent="0.2">
      <c r="A2713" s="6" t="str">
        <f>"NRIP3"</f>
        <v>NRIP3</v>
      </c>
      <c r="B2713" s="6">
        <v>2.19780219780219E-2</v>
      </c>
      <c r="C2713" s="6">
        <v>0.13961760782570001</v>
      </c>
    </row>
    <row r="2714" spans="1:3" s="8" customFormat="1" x14ac:dyDescent="0.2">
      <c r="A2714" s="6" t="str">
        <f>"RTKN2"</f>
        <v>RTKN2</v>
      </c>
      <c r="B2714" s="6">
        <v>2.19780219780219E-2</v>
      </c>
      <c r="C2714" s="6">
        <v>0.13961760782570001</v>
      </c>
    </row>
    <row r="2715" spans="1:3" s="8" customFormat="1" x14ac:dyDescent="0.2">
      <c r="A2715" s="6" t="str">
        <f>"PHF19"</f>
        <v>PHF19</v>
      </c>
      <c r="B2715" s="6">
        <v>2.19780219780219E-2</v>
      </c>
      <c r="C2715" s="6">
        <v>0.13961760782570001</v>
      </c>
    </row>
    <row r="2716" spans="1:3" s="8" customFormat="1" x14ac:dyDescent="0.2">
      <c r="A2716" s="6" t="str">
        <f>"ZNF846"</f>
        <v>ZNF846</v>
      </c>
      <c r="B2716" s="6">
        <v>2.19780219780219E-2</v>
      </c>
      <c r="C2716" s="6">
        <v>0.13961760782570001</v>
      </c>
    </row>
    <row r="2717" spans="1:3" s="8" customFormat="1" x14ac:dyDescent="0.2">
      <c r="A2717" s="6" t="str">
        <f>"SEPTIN1"</f>
        <v>SEPTIN1</v>
      </c>
      <c r="B2717" s="6">
        <v>2.19780219780219E-2</v>
      </c>
      <c r="C2717" s="6">
        <v>0.13961760782570001</v>
      </c>
    </row>
    <row r="2718" spans="1:3" s="8" customFormat="1" x14ac:dyDescent="0.2">
      <c r="A2718" s="6" t="str">
        <f>"ZNF502"</f>
        <v>ZNF502</v>
      </c>
      <c r="B2718" s="6">
        <v>2.19780219780219E-2</v>
      </c>
      <c r="C2718" s="6">
        <v>0.13961760782570001</v>
      </c>
    </row>
    <row r="2719" spans="1:3" s="8" customFormat="1" x14ac:dyDescent="0.2">
      <c r="A2719" s="6" t="str">
        <f>"AC016629.3"</f>
        <v>AC016629.3</v>
      </c>
      <c r="B2719" s="6">
        <v>2.19780219780219E-2</v>
      </c>
      <c r="C2719" s="6">
        <v>0.13961760782570001</v>
      </c>
    </row>
    <row r="2720" spans="1:3" s="8" customFormat="1" x14ac:dyDescent="0.2">
      <c r="A2720" s="6" t="str">
        <f>"LINC01806"</f>
        <v>LINC01806</v>
      </c>
      <c r="B2720" s="6">
        <v>2.19780219780219E-2</v>
      </c>
      <c r="C2720" s="6">
        <v>0.13961760782570001</v>
      </c>
    </row>
    <row r="2721" spans="1:3" s="8" customFormat="1" x14ac:dyDescent="0.2">
      <c r="A2721" s="6" t="str">
        <f>"ZNF69"</f>
        <v>ZNF69</v>
      </c>
      <c r="B2721" s="6">
        <v>2.19780219780219E-2</v>
      </c>
      <c r="C2721" s="6">
        <v>0.13961760782570001</v>
      </c>
    </row>
    <row r="2722" spans="1:3" s="8" customFormat="1" x14ac:dyDescent="0.2">
      <c r="A2722" s="6" t="str">
        <f>"TMEM99"</f>
        <v>TMEM99</v>
      </c>
      <c r="B2722" s="6">
        <v>2.19780219780219E-2</v>
      </c>
      <c r="C2722" s="6">
        <v>0.13961760782570001</v>
      </c>
    </row>
    <row r="2723" spans="1:3" s="8" customFormat="1" x14ac:dyDescent="0.2">
      <c r="A2723" s="6" t="str">
        <f>"IGKC"</f>
        <v>IGKC</v>
      </c>
      <c r="B2723" s="6">
        <v>2.19780219780219E-2</v>
      </c>
      <c r="C2723" s="6">
        <v>0.13961760782570001</v>
      </c>
    </row>
    <row r="2724" spans="1:3" s="8" customFormat="1" x14ac:dyDescent="0.2">
      <c r="A2724" s="6" t="str">
        <f>"CYP7B1"</f>
        <v>CYP7B1</v>
      </c>
      <c r="B2724" s="6">
        <v>2.19780219780219E-2</v>
      </c>
      <c r="C2724" s="6">
        <v>0.13961760782570001</v>
      </c>
    </row>
    <row r="2725" spans="1:3" s="8" customFormat="1" x14ac:dyDescent="0.2">
      <c r="A2725" s="6" t="str">
        <f>"MMP28"</f>
        <v>MMP28</v>
      </c>
      <c r="B2725" s="6">
        <v>2.19780219780219E-2</v>
      </c>
      <c r="C2725" s="6">
        <v>0.13961760782570001</v>
      </c>
    </row>
    <row r="2726" spans="1:3" s="8" customFormat="1" x14ac:dyDescent="0.2">
      <c r="A2726" s="6" t="str">
        <f>"PDE7B"</f>
        <v>PDE7B</v>
      </c>
      <c r="B2726" s="6">
        <v>2.19780219780219E-2</v>
      </c>
      <c r="C2726" s="6">
        <v>0.13961760782570001</v>
      </c>
    </row>
    <row r="2727" spans="1:3" s="8" customFormat="1" x14ac:dyDescent="0.2">
      <c r="A2727" s="6" t="str">
        <f>"ESRRG"</f>
        <v>ESRRG</v>
      </c>
      <c r="B2727" s="6">
        <v>2.19780219780219E-2</v>
      </c>
      <c r="C2727" s="6">
        <v>0.13961760782570001</v>
      </c>
    </row>
    <row r="2728" spans="1:3" s="8" customFormat="1" x14ac:dyDescent="0.2">
      <c r="A2728" s="6" t="str">
        <f>"SLC31A2"</f>
        <v>SLC31A2</v>
      </c>
      <c r="B2728" s="6">
        <v>2.19780219780219E-2</v>
      </c>
      <c r="C2728" s="6">
        <v>0.13961760782570001</v>
      </c>
    </row>
    <row r="2729" spans="1:3" s="8" customFormat="1" x14ac:dyDescent="0.2">
      <c r="A2729" s="6" t="str">
        <f>"CSF1R"</f>
        <v>CSF1R</v>
      </c>
      <c r="B2729" s="6">
        <v>2.19780219780219E-2</v>
      </c>
      <c r="C2729" s="6">
        <v>0.13961760782570001</v>
      </c>
    </row>
    <row r="2730" spans="1:3" s="8" customFormat="1" x14ac:dyDescent="0.2">
      <c r="A2730" s="6" t="str">
        <f>"GSTM2"</f>
        <v>GSTM2</v>
      </c>
      <c r="B2730" s="6">
        <v>2.19780219780219E-2</v>
      </c>
      <c r="C2730" s="6">
        <v>0.13961760782570001</v>
      </c>
    </row>
    <row r="2731" spans="1:3" s="8" customFormat="1" x14ac:dyDescent="0.2">
      <c r="A2731" s="6" t="str">
        <f>"TMEM218"</f>
        <v>TMEM218</v>
      </c>
      <c r="B2731" s="6">
        <v>2.19780219780219E-2</v>
      </c>
      <c r="C2731" s="6">
        <v>0.13961760782570001</v>
      </c>
    </row>
    <row r="2732" spans="1:3" s="8" customFormat="1" x14ac:dyDescent="0.2">
      <c r="A2732" s="6" t="str">
        <f>"NIPSNAP3A"</f>
        <v>NIPSNAP3A</v>
      </c>
      <c r="B2732" s="6">
        <v>2.19780219780219E-2</v>
      </c>
      <c r="C2732" s="6">
        <v>0.13961760782570001</v>
      </c>
    </row>
    <row r="2733" spans="1:3" s="8" customFormat="1" x14ac:dyDescent="0.2">
      <c r="A2733" s="6" t="str">
        <f>"GEMIN4"</f>
        <v>GEMIN4</v>
      </c>
      <c r="B2733" s="6">
        <v>2.19780219780219E-2</v>
      </c>
      <c r="C2733" s="6">
        <v>0.13961760782570001</v>
      </c>
    </row>
    <row r="2734" spans="1:3" s="8" customFormat="1" x14ac:dyDescent="0.2">
      <c r="A2734" s="6" t="str">
        <f>"PRKCH"</f>
        <v>PRKCH</v>
      </c>
      <c r="B2734" s="6">
        <v>2.19780219780219E-2</v>
      </c>
      <c r="C2734" s="6">
        <v>0.13961760782570001</v>
      </c>
    </row>
    <row r="2735" spans="1:3" s="8" customFormat="1" x14ac:dyDescent="0.2">
      <c r="A2735" s="6" t="str">
        <f>"RYR1"</f>
        <v>RYR1</v>
      </c>
      <c r="B2735" s="6">
        <v>2.19780219780219E-2</v>
      </c>
      <c r="C2735" s="6">
        <v>0.13961760782570001</v>
      </c>
    </row>
    <row r="2736" spans="1:3" s="8" customFormat="1" x14ac:dyDescent="0.2">
      <c r="A2736" s="6" t="str">
        <f>"RABL3"</f>
        <v>RABL3</v>
      </c>
      <c r="B2736" s="6">
        <v>2.19780219780219E-2</v>
      </c>
      <c r="C2736" s="6">
        <v>0.13961760782570001</v>
      </c>
    </row>
    <row r="2737" spans="1:3" s="8" customFormat="1" x14ac:dyDescent="0.2">
      <c r="A2737" s="6" t="str">
        <f>"PTER"</f>
        <v>PTER</v>
      </c>
      <c r="B2737" s="6">
        <v>2.19780219780219E-2</v>
      </c>
      <c r="C2737" s="6">
        <v>0.13961760782570001</v>
      </c>
    </row>
    <row r="2738" spans="1:3" s="8" customFormat="1" x14ac:dyDescent="0.2">
      <c r="A2738" s="6" t="str">
        <f>"ABHD15"</f>
        <v>ABHD15</v>
      </c>
      <c r="B2738" s="6">
        <v>2.19780219780219E-2</v>
      </c>
      <c r="C2738" s="6">
        <v>0.13961760782570001</v>
      </c>
    </row>
    <row r="2739" spans="1:3" s="8" customFormat="1" x14ac:dyDescent="0.2">
      <c r="A2739" s="6" t="str">
        <f>"RHBDF1"</f>
        <v>RHBDF1</v>
      </c>
      <c r="B2739" s="6">
        <v>2.19780219780219E-2</v>
      </c>
      <c r="C2739" s="6">
        <v>0.13961760782570001</v>
      </c>
    </row>
    <row r="2740" spans="1:3" s="8" customFormat="1" x14ac:dyDescent="0.2">
      <c r="A2740" s="6" t="str">
        <f>"RAB24"</f>
        <v>RAB24</v>
      </c>
      <c r="B2740" s="6">
        <v>2.19780219780219E-2</v>
      </c>
      <c r="C2740" s="6">
        <v>0.13961760782570001</v>
      </c>
    </row>
    <row r="2741" spans="1:3" s="8" customFormat="1" x14ac:dyDescent="0.2">
      <c r="A2741" s="6" t="str">
        <f>"PGS1"</f>
        <v>PGS1</v>
      </c>
      <c r="B2741" s="6">
        <v>2.19780219780219E-2</v>
      </c>
      <c r="C2741" s="6">
        <v>0.13961760782570001</v>
      </c>
    </row>
    <row r="2742" spans="1:3" s="8" customFormat="1" x14ac:dyDescent="0.2">
      <c r="A2742" s="6" t="str">
        <f>"CCDC91"</f>
        <v>CCDC91</v>
      </c>
      <c r="B2742" s="6">
        <v>2.19780219780219E-2</v>
      </c>
      <c r="C2742" s="6">
        <v>0.13961760782570001</v>
      </c>
    </row>
    <row r="2743" spans="1:3" s="8" customFormat="1" x14ac:dyDescent="0.2">
      <c r="A2743" s="6" t="str">
        <f>"CCDC92"</f>
        <v>CCDC92</v>
      </c>
      <c r="B2743" s="6">
        <v>2.19780219780219E-2</v>
      </c>
      <c r="C2743" s="6">
        <v>0.13961760782570001</v>
      </c>
    </row>
    <row r="2744" spans="1:3" s="8" customFormat="1" x14ac:dyDescent="0.2">
      <c r="A2744" s="6" t="str">
        <f>"DCAF10"</f>
        <v>DCAF10</v>
      </c>
      <c r="B2744" s="6">
        <v>2.19780219780219E-2</v>
      </c>
      <c r="C2744" s="6">
        <v>0.13961760782570001</v>
      </c>
    </row>
    <row r="2745" spans="1:3" s="8" customFormat="1" x14ac:dyDescent="0.2">
      <c r="A2745" s="6" t="str">
        <f>"RAB11FIP5"</f>
        <v>RAB11FIP5</v>
      </c>
      <c r="B2745" s="6">
        <v>2.19780219780219E-2</v>
      </c>
      <c r="C2745" s="6">
        <v>0.13961760782570001</v>
      </c>
    </row>
    <row r="2746" spans="1:3" s="8" customFormat="1" x14ac:dyDescent="0.2">
      <c r="A2746" s="6" t="str">
        <f>"SIPA1L2"</f>
        <v>SIPA1L2</v>
      </c>
      <c r="B2746" s="6">
        <v>2.19780219780219E-2</v>
      </c>
      <c r="C2746" s="6">
        <v>0.13961760782570001</v>
      </c>
    </row>
    <row r="2747" spans="1:3" s="8" customFormat="1" x14ac:dyDescent="0.2">
      <c r="A2747" s="6" t="str">
        <f>"CBX4"</f>
        <v>CBX4</v>
      </c>
      <c r="B2747" s="6">
        <v>2.19780219780219E-2</v>
      </c>
      <c r="C2747" s="6">
        <v>0.13961760782570001</v>
      </c>
    </row>
    <row r="2748" spans="1:3" s="8" customFormat="1" x14ac:dyDescent="0.2">
      <c r="A2748" s="6" t="str">
        <f>"POU2F1"</f>
        <v>POU2F1</v>
      </c>
      <c r="B2748" s="6">
        <v>2.19780219780219E-2</v>
      </c>
      <c r="C2748" s="6">
        <v>0.13961760782570001</v>
      </c>
    </row>
    <row r="2749" spans="1:3" s="8" customFormat="1" x14ac:dyDescent="0.2">
      <c r="A2749" s="6" t="str">
        <f>"FAM222B"</f>
        <v>FAM222B</v>
      </c>
      <c r="B2749" s="6">
        <v>2.19780219780219E-2</v>
      </c>
      <c r="C2749" s="6">
        <v>0.13961760782570001</v>
      </c>
    </row>
    <row r="2750" spans="1:3" s="8" customFormat="1" x14ac:dyDescent="0.2">
      <c r="A2750" s="6" t="str">
        <f>"RPL22P1"</f>
        <v>RPL22P1</v>
      </c>
      <c r="B2750" s="6">
        <v>2.19780219780219E-2</v>
      </c>
      <c r="C2750" s="6">
        <v>0.13961760782570001</v>
      </c>
    </row>
    <row r="2751" spans="1:3" s="8" customFormat="1" x14ac:dyDescent="0.2">
      <c r="A2751" s="6" t="str">
        <f>"SFI1"</f>
        <v>SFI1</v>
      </c>
      <c r="B2751" s="6">
        <v>2.19780219780219E-2</v>
      </c>
      <c r="C2751" s="6">
        <v>0.13961760782570001</v>
      </c>
    </row>
    <row r="2752" spans="1:3" s="8" customFormat="1" x14ac:dyDescent="0.2">
      <c r="A2752" s="6" t="str">
        <f>"ATP11A"</f>
        <v>ATP11A</v>
      </c>
      <c r="B2752" s="6">
        <v>2.19780219780219E-2</v>
      </c>
      <c r="C2752" s="6">
        <v>0.13961760782570001</v>
      </c>
    </row>
    <row r="2753" spans="1:3" s="8" customFormat="1" x14ac:dyDescent="0.2">
      <c r="A2753" s="6" t="str">
        <f>"DIABLO"</f>
        <v>DIABLO</v>
      </c>
      <c r="B2753" s="6">
        <v>2.19780219780219E-2</v>
      </c>
      <c r="C2753" s="6">
        <v>0.13961760782570001</v>
      </c>
    </row>
    <row r="2754" spans="1:3" s="8" customFormat="1" x14ac:dyDescent="0.2">
      <c r="A2754" s="6" t="str">
        <f>"PDE8B"</f>
        <v>PDE8B</v>
      </c>
      <c r="B2754" s="6">
        <v>2.19780219780219E-2</v>
      </c>
      <c r="C2754" s="6">
        <v>0.13961760782570001</v>
      </c>
    </row>
    <row r="2755" spans="1:3" s="8" customFormat="1" x14ac:dyDescent="0.2">
      <c r="A2755" s="6" t="str">
        <f>"DRAM2"</f>
        <v>DRAM2</v>
      </c>
      <c r="B2755" s="6">
        <v>2.19780219780219E-2</v>
      </c>
      <c r="C2755" s="6">
        <v>0.13961760782570001</v>
      </c>
    </row>
    <row r="2756" spans="1:3" s="8" customFormat="1" x14ac:dyDescent="0.2">
      <c r="A2756" s="6" t="str">
        <f>"TNKS"</f>
        <v>TNKS</v>
      </c>
      <c r="B2756" s="6">
        <v>2.19780219780219E-2</v>
      </c>
      <c r="C2756" s="6">
        <v>0.13961760782570001</v>
      </c>
    </row>
    <row r="2757" spans="1:3" s="8" customFormat="1" x14ac:dyDescent="0.2">
      <c r="A2757" s="6" t="str">
        <f>"SIRT2"</f>
        <v>SIRT2</v>
      </c>
      <c r="B2757" s="6">
        <v>2.19780219780219E-2</v>
      </c>
      <c r="C2757" s="6">
        <v>0.13961760782570001</v>
      </c>
    </row>
    <row r="2758" spans="1:3" s="8" customFormat="1" x14ac:dyDescent="0.2">
      <c r="A2758" s="6" t="str">
        <f>"SIGIRR"</f>
        <v>SIGIRR</v>
      </c>
      <c r="B2758" s="6">
        <v>2.19780219780219E-2</v>
      </c>
      <c r="C2758" s="6">
        <v>0.13961760782570001</v>
      </c>
    </row>
    <row r="2759" spans="1:3" s="8" customFormat="1" x14ac:dyDescent="0.2">
      <c r="A2759" s="6" t="str">
        <f>"CFDP1"</f>
        <v>CFDP1</v>
      </c>
      <c r="B2759" s="6">
        <v>2.19780219780219E-2</v>
      </c>
      <c r="C2759" s="6">
        <v>0.13961760782570001</v>
      </c>
    </row>
    <row r="2760" spans="1:3" s="8" customFormat="1" x14ac:dyDescent="0.2">
      <c r="A2760" s="6" t="str">
        <f>"DYDC2"</f>
        <v>DYDC2</v>
      </c>
      <c r="B2760" s="6">
        <v>2.19780219780219E-2</v>
      </c>
      <c r="C2760" s="6">
        <v>0.13961760782570001</v>
      </c>
    </row>
    <row r="2761" spans="1:3" s="8" customFormat="1" x14ac:dyDescent="0.2">
      <c r="A2761" s="6" t="str">
        <f>"HIGD2A"</f>
        <v>HIGD2A</v>
      </c>
      <c r="B2761" s="6">
        <v>2.19780219780219E-2</v>
      </c>
      <c r="C2761" s="6">
        <v>0.13961760782570001</v>
      </c>
    </row>
    <row r="2762" spans="1:3" s="8" customFormat="1" x14ac:dyDescent="0.2">
      <c r="A2762" s="6" t="str">
        <f>"CPPED1"</f>
        <v>CPPED1</v>
      </c>
      <c r="B2762" s="6">
        <v>2.19780219780219E-2</v>
      </c>
      <c r="C2762" s="6">
        <v>0.13961760782570001</v>
      </c>
    </row>
    <row r="2763" spans="1:3" s="8" customFormat="1" x14ac:dyDescent="0.2">
      <c r="A2763" s="6" t="str">
        <f>"RABL2A"</f>
        <v>RABL2A</v>
      </c>
      <c r="B2763" s="6">
        <v>2.19780219780219E-2</v>
      </c>
      <c r="C2763" s="6">
        <v>0.13961760782570001</v>
      </c>
    </row>
    <row r="2764" spans="1:3" s="8" customFormat="1" x14ac:dyDescent="0.2">
      <c r="A2764" s="6" t="str">
        <f>"YPEL3"</f>
        <v>YPEL3</v>
      </c>
      <c r="B2764" s="6">
        <v>2.19780219780219E-2</v>
      </c>
      <c r="C2764" s="6">
        <v>0.13961760782570001</v>
      </c>
    </row>
    <row r="2765" spans="1:3" s="8" customFormat="1" x14ac:dyDescent="0.2">
      <c r="A2765" s="6" t="str">
        <f>"ANKRD52"</f>
        <v>ANKRD52</v>
      </c>
      <c r="B2765" s="6">
        <v>2.19780219780219E-2</v>
      </c>
      <c r="C2765" s="6">
        <v>0.13961760782570001</v>
      </c>
    </row>
    <row r="2766" spans="1:3" s="8" customFormat="1" x14ac:dyDescent="0.2">
      <c r="A2766" s="6" t="str">
        <f>"TSPAN15"</f>
        <v>TSPAN15</v>
      </c>
      <c r="B2766" s="6">
        <v>2.19780219780219E-2</v>
      </c>
      <c r="C2766" s="6">
        <v>0.13961760782570001</v>
      </c>
    </row>
    <row r="2767" spans="1:3" s="8" customFormat="1" x14ac:dyDescent="0.2">
      <c r="A2767" s="6" t="str">
        <f>"ICMT"</f>
        <v>ICMT</v>
      </c>
      <c r="B2767" s="6">
        <v>2.19780219780219E-2</v>
      </c>
      <c r="C2767" s="6">
        <v>0.13961760782570001</v>
      </c>
    </row>
    <row r="2768" spans="1:3" s="8" customFormat="1" x14ac:dyDescent="0.2">
      <c r="A2768" s="6" t="str">
        <f>"LAPTM4A"</f>
        <v>LAPTM4A</v>
      </c>
      <c r="B2768" s="6">
        <v>2.19780219780219E-2</v>
      </c>
      <c r="C2768" s="6">
        <v>0.13961760782570001</v>
      </c>
    </row>
    <row r="2769" spans="1:3" s="8" customFormat="1" x14ac:dyDescent="0.2">
      <c r="A2769" s="6" t="str">
        <f>"TMEM123"</f>
        <v>TMEM123</v>
      </c>
      <c r="B2769" s="6">
        <v>2.19780219780219E-2</v>
      </c>
      <c r="C2769" s="6">
        <v>0.13961760782570001</v>
      </c>
    </row>
    <row r="2770" spans="1:3" s="8" customFormat="1" x14ac:dyDescent="0.2">
      <c r="A2770" s="6" t="str">
        <f>"AC016026.2"</f>
        <v>AC016026.2</v>
      </c>
      <c r="B2770" s="6">
        <v>2.2022022022022001E-2</v>
      </c>
      <c r="C2770" s="6">
        <v>0.13979611380333301</v>
      </c>
    </row>
    <row r="2771" spans="1:3" s="8" customFormat="1" x14ac:dyDescent="0.2">
      <c r="A2771" s="6" t="str">
        <f>"FAM30A"</f>
        <v>FAM30A</v>
      </c>
      <c r="B2771" s="6">
        <v>2.2022022022022001E-2</v>
      </c>
      <c r="C2771" s="6">
        <v>0.13979611380333301</v>
      </c>
    </row>
    <row r="2772" spans="1:3" s="8" customFormat="1" x14ac:dyDescent="0.2">
      <c r="A2772" s="6" t="str">
        <f>"LINC02664"</f>
        <v>LINC02664</v>
      </c>
      <c r="B2772" s="6">
        <v>2.20440881763527E-2</v>
      </c>
      <c r="C2772" s="6">
        <v>0.13988568982063701</v>
      </c>
    </row>
    <row r="2773" spans="1:3" s="8" customFormat="1" x14ac:dyDescent="0.2">
      <c r="A2773" s="6" t="str">
        <f>"RYR3"</f>
        <v>RYR3</v>
      </c>
      <c r="B2773" s="6">
        <v>2.20661985957873E-2</v>
      </c>
      <c r="C2773" s="6">
        <v>0.13997548200155999</v>
      </c>
    </row>
    <row r="2774" spans="1:3" s="8" customFormat="1" x14ac:dyDescent="0.2">
      <c r="A2774" s="6" t="str">
        <f>"LINC01715"</f>
        <v>LINC01715</v>
      </c>
      <c r="B2774" s="6">
        <v>2.2164276401564501E-2</v>
      </c>
      <c r="C2774" s="6">
        <v>0.14054692976743899</v>
      </c>
    </row>
    <row r="2775" spans="1:3" s="8" customFormat="1" x14ac:dyDescent="0.2">
      <c r="A2775" s="6" t="str">
        <f>"AC124068.2"</f>
        <v>AC124068.2</v>
      </c>
      <c r="B2775" s="6">
        <v>2.21774193548387E-2</v>
      </c>
      <c r="C2775" s="6">
        <v>0.14057957531920801</v>
      </c>
    </row>
    <row r="2776" spans="1:3" s="8" customFormat="1" x14ac:dyDescent="0.2">
      <c r="A2776" s="6" t="str">
        <f>"AC005785.2"</f>
        <v>AC005785.2</v>
      </c>
      <c r="B2776" s="6">
        <v>2.2267206477732698E-2</v>
      </c>
      <c r="C2776" s="6">
        <v>0.141097858992595</v>
      </c>
    </row>
    <row r="2777" spans="1:3" s="8" customFormat="1" x14ac:dyDescent="0.2">
      <c r="A2777" s="6" t="str">
        <f>"CSMD3"</f>
        <v>CSMD3</v>
      </c>
      <c r="B2777" s="6">
        <v>2.2633744855966999E-2</v>
      </c>
      <c r="C2777" s="6">
        <v>0.14181395999577801</v>
      </c>
    </row>
    <row r="2778" spans="1:3" s="8" customFormat="1" x14ac:dyDescent="0.2">
      <c r="A2778" s="6" t="str">
        <f>"AC138035.2"</f>
        <v>AC138035.2</v>
      </c>
      <c r="B2778" s="6">
        <v>2.29770229770229E-2</v>
      </c>
      <c r="C2778" s="6">
        <v>0.14181395999577801</v>
      </c>
    </row>
    <row r="2779" spans="1:3" s="8" customFormat="1" x14ac:dyDescent="0.2">
      <c r="A2779" s="6" t="str">
        <f>"SFTPA2"</f>
        <v>SFTPA2</v>
      </c>
      <c r="B2779" s="6">
        <v>2.2403258655804399E-2</v>
      </c>
      <c r="C2779" s="6">
        <v>0.14181395999577801</v>
      </c>
    </row>
    <row r="2780" spans="1:3" s="8" customFormat="1" x14ac:dyDescent="0.2">
      <c r="A2780" s="6" t="str">
        <f>"CAMK2A"</f>
        <v>CAMK2A</v>
      </c>
      <c r="B2780" s="6">
        <v>2.29770229770229E-2</v>
      </c>
      <c r="C2780" s="6">
        <v>0.14181395999577801</v>
      </c>
    </row>
    <row r="2781" spans="1:3" s="8" customFormat="1" x14ac:dyDescent="0.2">
      <c r="A2781" s="6" t="str">
        <f>"AL021707.1"</f>
        <v>AL021707.1</v>
      </c>
      <c r="B2781" s="6">
        <v>2.29770229770229E-2</v>
      </c>
      <c r="C2781" s="6">
        <v>0.14181395999577801</v>
      </c>
    </row>
    <row r="2782" spans="1:3" s="8" customFormat="1" x14ac:dyDescent="0.2">
      <c r="A2782" s="6" t="str">
        <f>"ANKRD20A19P"</f>
        <v>ANKRD20A19P</v>
      </c>
      <c r="B2782" s="6">
        <v>2.29770229770229E-2</v>
      </c>
      <c r="C2782" s="6">
        <v>0.14181395999577801</v>
      </c>
    </row>
    <row r="2783" spans="1:3" s="8" customFormat="1" x14ac:dyDescent="0.2">
      <c r="A2783" s="6" t="str">
        <f>"LINC01353"</f>
        <v>LINC01353</v>
      </c>
      <c r="B2783" s="6">
        <v>2.29770229770229E-2</v>
      </c>
      <c r="C2783" s="6">
        <v>0.14181395999577801</v>
      </c>
    </row>
    <row r="2784" spans="1:3" s="8" customFormat="1" x14ac:dyDescent="0.2">
      <c r="A2784" s="6" t="str">
        <f>"CPB2"</f>
        <v>CPB2</v>
      </c>
      <c r="B2784" s="6">
        <v>2.29770229770229E-2</v>
      </c>
      <c r="C2784" s="6">
        <v>0.14181395999577801</v>
      </c>
    </row>
    <row r="2785" spans="1:3" s="8" customFormat="1" x14ac:dyDescent="0.2">
      <c r="A2785" s="6" t="str">
        <f>"IL17REL"</f>
        <v>IL17REL</v>
      </c>
      <c r="B2785" s="6">
        <v>2.29770229770229E-2</v>
      </c>
      <c r="C2785" s="6">
        <v>0.14181395999577801</v>
      </c>
    </row>
    <row r="2786" spans="1:3" s="8" customFormat="1" x14ac:dyDescent="0.2">
      <c r="A2786" s="6" t="str">
        <f>"LINC02607"</f>
        <v>LINC02607</v>
      </c>
      <c r="B2786" s="6">
        <v>2.29770229770229E-2</v>
      </c>
      <c r="C2786" s="6">
        <v>0.14181395999577801</v>
      </c>
    </row>
    <row r="2787" spans="1:3" s="8" customFormat="1" x14ac:dyDescent="0.2">
      <c r="A2787" s="6" t="str">
        <f>"AL606834.1"</f>
        <v>AL606834.1</v>
      </c>
      <c r="B2787" s="6">
        <v>2.2486772486772399E-2</v>
      </c>
      <c r="C2787" s="6">
        <v>0.14181395999577801</v>
      </c>
    </row>
    <row r="2788" spans="1:3" s="8" customFormat="1" x14ac:dyDescent="0.2">
      <c r="A2788" s="6" t="str">
        <f>"CDH7"</f>
        <v>CDH7</v>
      </c>
      <c r="B2788" s="6">
        <v>2.29770229770229E-2</v>
      </c>
      <c r="C2788" s="6">
        <v>0.14181395999577801</v>
      </c>
    </row>
    <row r="2789" spans="1:3" s="8" customFormat="1" x14ac:dyDescent="0.2">
      <c r="A2789" s="6" t="str">
        <f>"PGLYRP3"</f>
        <v>PGLYRP3</v>
      </c>
      <c r="B2789" s="6">
        <v>2.29770229770229E-2</v>
      </c>
      <c r="C2789" s="6">
        <v>0.14181395999577801</v>
      </c>
    </row>
    <row r="2790" spans="1:3" s="8" customFormat="1" x14ac:dyDescent="0.2">
      <c r="A2790" s="6" t="str">
        <f>"HIF3A"</f>
        <v>HIF3A</v>
      </c>
      <c r="B2790" s="6">
        <v>2.29770229770229E-2</v>
      </c>
      <c r="C2790" s="6">
        <v>0.14181395999577801</v>
      </c>
    </row>
    <row r="2791" spans="1:3" s="8" customFormat="1" x14ac:dyDescent="0.2">
      <c r="A2791" s="6" t="str">
        <f>"AC090617.10"</f>
        <v>AC090617.10</v>
      </c>
      <c r="B2791" s="6">
        <v>2.29770229770229E-2</v>
      </c>
      <c r="C2791" s="6">
        <v>0.14181395999577801</v>
      </c>
    </row>
    <row r="2792" spans="1:3" s="8" customFormat="1" x14ac:dyDescent="0.2">
      <c r="A2792" s="6" t="str">
        <f>"KIAA1614"</f>
        <v>KIAA1614</v>
      </c>
      <c r="B2792" s="6">
        <v>2.29770229770229E-2</v>
      </c>
      <c r="C2792" s="6">
        <v>0.14181395999577801</v>
      </c>
    </row>
    <row r="2793" spans="1:3" s="8" customFormat="1" x14ac:dyDescent="0.2">
      <c r="A2793" s="6" t="str">
        <f>"RAD51"</f>
        <v>RAD51</v>
      </c>
      <c r="B2793" s="6">
        <v>2.29770229770229E-2</v>
      </c>
      <c r="C2793" s="6">
        <v>0.14181395999577801</v>
      </c>
    </row>
    <row r="2794" spans="1:3" s="8" customFormat="1" x14ac:dyDescent="0.2">
      <c r="A2794" s="6" t="str">
        <f>"GEM"</f>
        <v>GEM</v>
      </c>
      <c r="B2794" s="6">
        <v>2.29770229770229E-2</v>
      </c>
      <c r="C2794" s="6">
        <v>0.14181395999577801</v>
      </c>
    </row>
    <row r="2795" spans="1:3" s="8" customFormat="1" x14ac:dyDescent="0.2">
      <c r="A2795" s="6" t="str">
        <f>"AL359258.2"</f>
        <v>AL359258.2</v>
      </c>
      <c r="B2795" s="6">
        <v>2.29770229770229E-2</v>
      </c>
      <c r="C2795" s="6">
        <v>0.14181395999577801</v>
      </c>
    </row>
    <row r="2796" spans="1:3" s="8" customFormat="1" x14ac:dyDescent="0.2">
      <c r="A2796" s="6" t="str">
        <f>"KIF2C"</f>
        <v>KIF2C</v>
      </c>
      <c r="B2796" s="6">
        <v>2.29770229770229E-2</v>
      </c>
      <c r="C2796" s="6">
        <v>0.14181395999577801</v>
      </c>
    </row>
    <row r="2797" spans="1:3" s="8" customFormat="1" x14ac:dyDescent="0.2">
      <c r="A2797" s="6" t="str">
        <f>"SLC16A12"</f>
        <v>SLC16A12</v>
      </c>
      <c r="B2797" s="6">
        <v>2.29770229770229E-2</v>
      </c>
      <c r="C2797" s="6">
        <v>0.14181395999577801</v>
      </c>
    </row>
    <row r="2798" spans="1:3" s="8" customFormat="1" x14ac:dyDescent="0.2">
      <c r="A2798" s="6" t="str">
        <f>"AL118516.1"</f>
        <v>AL118516.1</v>
      </c>
      <c r="B2798" s="6">
        <v>2.29770229770229E-2</v>
      </c>
      <c r="C2798" s="6">
        <v>0.14181395999577801</v>
      </c>
    </row>
    <row r="2799" spans="1:3" s="8" customFormat="1" x14ac:dyDescent="0.2">
      <c r="A2799" s="6" t="str">
        <f>"FMOD"</f>
        <v>FMOD</v>
      </c>
      <c r="B2799" s="6">
        <v>2.29770229770229E-2</v>
      </c>
      <c r="C2799" s="6">
        <v>0.14181395999577801</v>
      </c>
    </row>
    <row r="2800" spans="1:3" s="8" customFormat="1" x14ac:dyDescent="0.2">
      <c r="A2800" s="6" t="str">
        <f>"CEP152"</f>
        <v>CEP152</v>
      </c>
      <c r="B2800" s="6">
        <v>2.29770229770229E-2</v>
      </c>
      <c r="C2800" s="6">
        <v>0.14181395999577801</v>
      </c>
    </row>
    <row r="2801" spans="1:3" s="8" customFormat="1" x14ac:dyDescent="0.2">
      <c r="A2801" s="6" t="str">
        <f>"CKS2"</f>
        <v>CKS2</v>
      </c>
      <c r="B2801" s="6">
        <v>2.29770229770229E-2</v>
      </c>
      <c r="C2801" s="6">
        <v>0.14181395999577801</v>
      </c>
    </row>
    <row r="2802" spans="1:3" s="8" customFormat="1" x14ac:dyDescent="0.2">
      <c r="A2802" s="6" t="str">
        <f>"PFKFB4"</f>
        <v>PFKFB4</v>
      </c>
      <c r="B2802" s="6">
        <v>2.29770229770229E-2</v>
      </c>
      <c r="C2802" s="6">
        <v>0.14181395999577801</v>
      </c>
    </row>
    <row r="2803" spans="1:3" s="8" customFormat="1" x14ac:dyDescent="0.2">
      <c r="A2803" s="6" t="str">
        <f>"RNA5-8SN2"</f>
        <v>RNA5-8SN2</v>
      </c>
      <c r="B2803" s="6">
        <v>2.29770229770229E-2</v>
      </c>
      <c r="C2803" s="6">
        <v>0.14181395999577801</v>
      </c>
    </row>
    <row r="2804" spans="1:3" s="8" customFormat="1" x14ac:dyDescent="0.2">
      <c r="A2804" s="6" t="str">
        <f>"TLR6"</f>
        <v>TLR6</v>
      </c>
      <c r="B2804" s="6">
        <v>2.29770229770229E-2</v>
      </c>
      <c r="C2804" s="6">
        <v>0.14181395999577801</v>
      </c>
    </row>
    <row r="2805" spans="1:3" s="8" customFormat="1" x14ac:dyDescent="0.2">
      <c r="A2805" s="6" t="str">
        <f>"LRRIQ3"</f>
        <v>LRRIQ3</v>
      </c>
      <c r="B2805" s="6">
        <v>2.29770229770229E-2</v>
      </c>
      <c r="C2805" s="6">
        <v>0.14181395999577801</v>
      </c>
    </row>
    <row r="2806" spans="1:3" s="8" customFormat="1" x14ac:dyDescent="0.2">
      <c r="A2806" s="6" t="str">
        <f>"WDHD1"</f>
        <v>WDHD1</v>
      </c>
      <c r="B2806" s="6">
        <v>2.29770229770229E-2</v>
      </c>
      <c r="C2806" s="6">
        <v>0.14181395999577801</v>
      </c>
    </row>
    <row r="2807" spans="1:3" s="8" customFormat="1" x14ac:dyDescent="0.2">
      <c r="A2807" s="6" t="str">
        <f>"MBIP"</f>
        <v>MBIP</v>
      </c>
      <c r="B2807" s="6">
        <v>2.29770229770229E-2</v>
      </c>
      <c r="C2807" s="6">
        <v>0.14181395999577801</v>
      </c>
    </row>
    <row r="2808" spans="1:3" s="8" customFormat="1" x14ac:dyDescent="0.2">
      <c r="A2808" s="6" t="str">
        <f>"SEC14L5"</f>
        <v>SEC14L5</v>
      </c>
      <c r="B2808" s="6">
        <v>2.29770229770229E-2</v>
      </c>
      <c r="C2808" s="6">
        <v>0.14181395999577801</v>
      </c>
    </row>
    <row r="2809" spans="1:3" s="8" customFormat="1" x14ac:dyDescent="0.2">
      <c r="A2809" s="6" t="str">
        <f>"CD58"</f>
        <v>CD58</v>
      </c>
      <c r="B2809" s="6">
        <v>2.29770229770229E-2</v>
      </c>
      <c r="C2809" s="6">
        <v>0.14181395999577801</v>
      </c>
    </row>
    <row r="2810" spans="1:3" s="8" customFormat="1" x14ac:dyDescent="0.2">
      <c r="A2810" s="6" t="str">
        <f>"SENP7"</f>
        <v>SENP7</v>
      </c>
      <c r="B2810" s="6">
        <v>2.29770229770229E-2</v>
      </c>
      <c r="C2810" s="6">
        <v>0.14181395999577801</v>
      </c>
    </row>
    <row r="2811" spans="1:3" s="8" customFormat="1" x14ac:dyDescent="0.2">
      <c r="A2811" s="6" t="str">
        <f>"WASH9P"</f>
        <v>WASH9P</v>
      </c>
      <c r="B2811" s="6">
        <v>2.29770229770229E-2</v>
      </c>
      <c r="C2811" s="6">
        <v>0.14181395999577801</v>
      </c>
    </row>
    <row r="2812" spans="1:3" s="8" customFormat="1" x14ac:dyDescent="0.2">
      <c r="A2812" s="6" t="str">
        <f>"MBTPS2"</f>
        <v>MBTPS2</v>
      </c>
      <c r="B2812" s="6">
        <v>2.29770229770229E-2</v>
      </c>
      <c r="C2812" s="6">
        <v>0.14181395999577801</v>
      </c>
    </row>
    <row r="2813" spans="1:3" s="8" customFormat="1" x14ac:dyDescent="0.2">
      <c r="A2813" s="6" t="str">
        <f>"AL009031.1"</f>
        <v>AL009031.1</v>
      </c>
      <c r="B2813" s="6">
        <v>2.29770229770229E-2</v>
      </c>
      <c r="C2813" s="6">
        <v>0.14181395999577801</v>
      </c>
    </row>
    <row r="2814" spans="1:3" s="8" customFormat="1" x14ac:dyDescent="0.2">
      <c r="A2814" s="6" t="str">
        <f>"ABCA12"</f>
        <v>ABCA12</v>
      </c>
      <c r="B2814" s="6">
        <v>2.29770229770229E-2</v>
      </c>
      <c r="C2814" s="6">
        <v>0.14181395999577801</v>
      </c>
    </row>
    <row r="2815" spans="1:3" s="8" customFormat="1" x14ac:dyDescent="0.2">
      <c r="A2815" s="6" t="str">
        <f>"H2AC6"</f>
        <v>H2AC6</v>
      </c>
      <c r="B2815" s="6">
        <v>2.29770229770229E-2</v>
      </c>
      <c r="C2815" s="6">
        <v>0.14181395999577801</v>
      </c>
    </row>
    <row r="2816" spans="1:3" s="8" customFormat="1" x14ac:dyDescent="0.2">
      <c r="A2816" s="6" t="str">
        <f>"SLC44A3-AS1"</f>
        <v>SLC44A3-AS1</v>
      </c>
      <c r="B2816" s="6">
        <v>2.29770229770229E-2</v>
      </c>
      <c r="C2816" s="6">
        <v>0.14181395999577801</v>
      </c>
    </row>
    <row r="2817" spans="1:3" s="8" customFormat="1" x14ac:dyDescent="0.2">
      <c r="A2817" s="6" t="str">
        <f>"APEX2"</f>
        <v>APEX2</v>
      </c>
      <c r="B2817" s="6">
        <v>2.29770229770229E-2</v>
      </c>
      <c r="C2817" s="6">
        <v>0.14181395999577801</v>
      </c>
    </row>
    <row r="2818" spans="1:3" s="8" customFormat="1" x14ac:dyDescent="0.2">
      <c r="A2818" s="6" t="str">
        <f>"MRPL32"</f>
        <v>MRPL32</v>
      </c>
      <c r="B2818" s="6">
        <v>2.29770229770229E-2</v>
      </c>
      <c r="C2818" s="6">
        <v>0.14181395999577801</v>
      </c>
    </row>
    <row r="2819" spans="1:3" s="8" customFormat="1" x14ac:dyDescent="0.2">
      <c r="A2819" s="6" t="str">
        <f>"UTP18"</f>
        <v>UTP18</v>
      </c>
      <c r="B2819" s="6">
        <v>2.29770229770229E-2</v>
      </c>
      <c r="C2819" s="6">
        <v>0.14181395999577801</v>
      </c>
    </row>
    <row r="2820" spans="1:3" s="8" customFormat="1" x14ac:dyDescent="0.2">
      <c r="A2820" s="6" t="str">
        <f>"SLC25A38"</f>
        <v>SLC25A38</v>
      </c>
      <c r="B2820" s="6">
        <v>2.29770229770229E-2</v>
      </c>
      <c r="C2820" s="6">
        <v>0.14181395999577801</v>
      </c>
    </row>
    <row r="2821" spans="1:3" s="8" customFormat="1" x14ac:dyDescent="0.2">
      <c r="A2821" s="6" t="str">
        <f>"NQO2"</f>
        <v>NQO2</v>
      </c>
      <c r="B2821" s="6">
        <v>2.29770229770229E-2</v>
      </c>
      <c r="C2821" s="6">
        <v>0.14181395999577801</v>
      </c>
    </row>
    <row r="2822" spans="1:3" s="8" customFormat="1" x14ac:dyDescent="0.2">
      <c r="A2822" s="6" t="str">
        <f>"DHX35"</f>
        <v>DHX35</v>
      </c>
      <c r="B2822" s="6">
        <v>2.29770229770229E-2</v>
      </c>
      <c r="C2822" s="6">
        <v>0.14181395999577801</v>
      </c>
    </row>
    <row r="2823" spans="1:3" s="8" customFormat="1" x14ac:dyDescent="0.2">
      <c r="A2823" s="6" t="str">
        <f>"ATL2"</f>
        <v>ATL2</v>
      </c>
      <c r="B2823" s="6">
        <v>2.29770229770229E-2</v>
      </c>
      <c r="C2823" s="6">
        <v>0.14181395999577801</v>
      </c>
    </row>
    <row r="2824" spans="1:3" s="8" customFormat="1" x14ac:dyDescent="0.2">
      <c r="A2824" s="6" t="str">
        <f>"THYN1"</f>
        <v>THYN1</v>
      </c>
      <c r="B2824" s="6">
        <v>2.29770229770229E-2</v>
      </c>
      <c r="C2824" s="6">
        <v>0.14181395999577801</v>
      </c>
    </row>
    <row r="2825" spans="1:3" s="8" customFormat="1" x14ac:dyDescent="0.2">
      <c r="A2825" s="6" t="str">
        <f>"ABHD10"</f>
        <v>ABHD10</v>
      </c>
      <c r="B2825" s="6">
        <v>2.29770229770229E-2</v>
      </c>
      <c r="C2825" s="6">
        <v>0.14181395999577801</v>
      </c>
    </row>
    <row r="2826" spans="1:3" s="8" customFormat="1" x14ac:dyDescent="0.2">
      <c r="A2826" s="6" t="str">
        <f>"ANKMY2"</f>
        <v>ANKMY2</v>
      </c>
      <c r="B2826" s="6">
        <v>2.29770229770229E-2</v>
      </c>
      <c r="C2826" s="6">
        <v>0.14181395999577801</v>
      </c>
    </row>
    <row r="2827" spans="1:3" s="8" customFormat="1" x14ac:dyDescent="0.2">
      <c r="A2827" s="6" t="str">
        <f>"ICE2"</f>
        <v>ICE2</v>
      </c>
      <c r="B2827" s="6">
        <v>2.29770229770229E-2</v>
      </c>
      <c r="C2827" s="6">
        <v>0.14181395999577801</v>
      </c>
    </row>
    <row r="2828" spans="1:3" s="8" customFormat="1" x14ac:dyDescent="0.2">
      <c r="A2828" s="6" t="str">
        <f>"MEIS3P2"</f>
        <v>MEIS3P2</v>
      </c>
      <c r="B2828" s="6">
        <v>2.29770229770229E-2</v>
      </c>
      <c r="C2828" s="6">
        <v>0.14181395999577801</v>
      </c>
    </row>
    <row r="2829" spans="1:3" s="8" customFormat="1" x14ac:dyDescent="0.2">
      <c r="A2829" s="6" t="str">
        <f>"GOPC"</f>
        <v>GOPC</v>
      </c>
      <c r="B2829" s="6">
        <v>2.29770229770229E-2</v>
      </c>
      <c r="C2829" s="6">
        <v>0.14181395999577801</v>
      </c>
    </row>
    <row r="2830" spans="1:3" s="8" customFormat="1" x14ac:dyDescent="0.2">
      <c r="A2830" s="6" t="str">
        <f>"ERAP2"</f>
        <v>ERAP2</v>
      </c>
      <c r="B2830" s="6">
        <v>2.29770229770229E-2</v>
      </c>
      <c r="C2830" s="6">
        <v>0.14181395999577801</v>
      </c>
    </row>
    <row r="2831" spans="1:3" s="8" customFormat="1" x14ac:dyDescent="0.2">
      <c r="A2831" s="6" t="str">
        <f>"COPS2"</f>
        <v>COPS2</v>
      </c>
      <c r="B2831" s="6">
        <v>2.29770229770229E-2</v>
      </c>
      <c r="C2831" s="6">
        <v>0.14181395999577801</v>
      </c>
    </row>
    <row r="2832" spans="1:3" s="8" customFormat="1" x14ac:dyDescent="0.2">
      <c r="A2832" s="6" t="str">
        <f>"PCBD1"</f>
        <v>PCBD1</v>
      </c>
      <c r="B2832" s="6">
        <v>2.29770229770229E-2</v>
      </c>
      <c r="C2832" s="6">
        <v>0.14181395999577801</v>
      </c>
    </row>
    <row r="2833" spans="1:3" s="8" customFormat="1" x14ac:dyDescent="0.2">
      <c r="A2833" s="6" t="str">
        <f>"KRT14"</f>
        <v>KRT14</v>
      </c>
      <c r="B2833" s="6">
        <v>2.29770229770229E-2</v>
      </c>
      <c r="C2833" s="6">
        <v>0.14181395999577801</v>
      </c>
    </row>
    <row r="2834" spans="1:3" s="8" customFormat="1" x14ac:dyDescent="0.2">
      <c r="A2834" s="6" t="str">
        <f>"TMEM179B"</f>
        <v>TMEM179B</v>
      </c>
      <c r="B2834" s="6">
        <v>2.29770229770229E-2</v>
      </c>
      <c r="C2834" s="6">
        <v>0.14181395999577801</v>
      </c>
    </row>
    <row r="2835" spans="1:3" s="8" customFormat="1" x14ac:dyDescent="0.2">
      <c r="A2835" s="6" t="str">
        <f>"WWTR1"</f>
        <v>WWTR1</v>
      </c>
      <c r="B2835" s="6">
        <v>2.29770229770229E-2</v>
      </c>
      <c r="C2835" s="6">
        <v>0.14181395999577801</v>
      </c>
    </row>
    <row r="2836" spans="1:3" s="8" customFormat="1" x14ac:dyDescent="0.2">
      <c r="A2836" s="6" t="str">
        <f>"CPA4"</f>
        <v>CPA4</v>
      </c>
      <c r="B2836" s="6">
        <v>2.29770229770229E-2</v>
      </c>
      <c r="C2836" s="6">
        <v>0.14181395999577801</v>
      </c>
    </row>
    <row r="2837" spans="1:3" s="8" customFormat="1" x14ac:dyDescent="0.2">
      <c r="A2837" s="6" t="str">
        <f>"TCEA1"</f>
        <v>TCEA1</v>
      </c>
      <c r="B2837" s="6">
        <v>2.29770229770229E-2</v>
      </c>
      <c r="C2837" s="6">
        <v>0.14181395999577801</v>
      </c>
    </row>
    <row r="2838" spans="1:3" s="8" customFormat="1" x14ac:dyDescent="0.2">
      <c r="A2838" s="6" t="str">
        <f>"OST4"</f>
        <v>OST4</v>
      </c>
      <c r="B2838" s="6">
        <v>2.29770229770229E-2</v>
      </c>
      <c r="C2838" s="6">
        <v>0.14181395999577801</v>
      </c>
    </row>
    <row r="2839" spans="1:3" s="8" customFormat="1" x14ac:dyDescent="0.2">
      <c r="A2839" s="6" t="str">
        <f>"GPNMB"</f>
        <v>GPNMB</v>
      </c>
      <c r="B2839" s="6">
        <v>2.29770229770229E-2</v>
      </c>
      <c r="C2839" s="6">
        <v>0.14181395999577801</v>
      </c>
    </row>
    <row r="2840" spans="1:3" s="8" customFormat="1" x14ac:dyDescent="0.2">
      <c r="A2840" s="6" t="str">
        <f>"PRDM2"</f>
        <v>PRDM2</v>
      </c>
      <c r="B2840" s="6">
        <v>2.29770229770229E-2</v>
      </c>
      <c r="C2840" s="6">
        <v>0.14181395999577801</v>
      </c>
    </row>
    <row r="2841" spans="1:3" s="8" customFormat="1" x14ac:dyDescent="0.2">
      <c r="A2841" s="6" t="str">
        <f>"PDLIM4"</f>
        <v>PDLIM4</v>
      </c>
      <c r="B2841" s="6">
        <v>2.29770229770229E-2</v>
      </c>
      <c r="C2841" s="6">
        <v>0.14181395999577801</v>
      </c>
    </row>
    <row r="2842" spans="1:3" s="8" customFormat="1" x14ac:dyDescent="0.2">
      <c r="A2842" s="6" t="str">
        <f>"CSNK2B"</f>
        <v>CSNK2B</v>
      </c>
      <c r="B2842" s="6">
        <v>2.29770229770229E-2</v>
      </c>
      <c r="C2842" s="6">
        <v>0.14181395999577801</v>
      </c>
    </row>
    <row r="2843" spans="1:3" s="8" customFormat="1" x14ac:dyDescent="0.2">
      <c r="A2843" s="6" t="str">
        <f>"SLC35E2B"</f>
        <v>SLC35E2B</v>
      </c>
      <c r="B2843" s="6">
        <v>2.29770229770229E-2</v>
      </c>
      <c r="C2843" s="6">
        <v>0.14181395999577801</v>
      </c>
    </row>
    <row r="2844" spans="1:3" s="8" customFormat="1" x14ac:dyDescent="0.2">
      <c r="A2844" s="6" t="str">
        <f>"TSPAN8"</f>
        <v>TSPAN8</v>
      </c>
      <c r="B2844" s="6">
        <v>2.29770229770229E-2</v>
      </c>
      <c r="C2844" s="6">
        <v>0.14181395999577801</v>
      </c>
    </row>
    <row r="2845" spans="1:3" s="8" customFormat="1" x14ac:dyDescent="0.2">
      <c r="A2845" s="6" t="str">
        <f>"ARPC1A"</f>
        <v>ARPC1A</v>
      </c>
      <c r="B2845" s="6">
        <v>2.29770229770229E-2</v>
      </c>
      <c r="C2845" s="6">
        <v>0.14181395999577801</v>
      </c>
    </row>
    <row r="2846" spans="1:3" s="8" customFormat="1" x14ac:dyDescent="0.2">
      <c r="A2846" s="6" t="str">
        <f>"SAP18"</f>
        <v>SAP18</v>
      </c>
      <c r="B2846" s="6">
        <v>2.29770229770229E-2</v>
      </c>
      <c r="C2846" s="6">
        <v>0.14181395999577801</v>
      </c>
    </row>
    <row r="2847" spans="1:3" s="8" customFormat="1" x14ac:dyDescent="0.2">
      <c r="A2847" s="6" t="str">
        <f>"CCDC69"</f>
        <v>CCDC69</v>
      </c>
      <c r="B2847" s="6">
        <v>2.29770229770229E-2</v>
      </c>
      <c r="C2847" s="6">
        <v>0.14181395999577801</v>
      </c>
    </row>
    <row r="2848" spans="1:3" s="8" customFormat="1" x14ac:dyDescent="0.2">
      <c r="A2848" s="6" t="str">
        <f>"TM9SF2"</f>
        <v>TM9SF2</v>
      </c>
      <c r="B2848" s="6">
        <v>2.29770229770229E-2</v>
      </c>
      <c r="C2848" s="6">
        <v>0.14181395999577801</v>
      </c>
    </row>
    <row r="2849" spans="1:3" s="8" customFormat="1" x14ac:dyDescent="0.2">
      <c r="A2849" s="6" t="str">
        <f>"CP"</f>
        <v>CP</v>
      </c>
      <c r="B2849" s="6">
        <v>2.29770229770229E-2</v>
      </c>
      <c r="C2849" s="6">
        <v>0.14181395999577801</v>
      </c>
    </row>
    <row r="2850" spans="1:3" s="8" customFormat="1" x14ac:dyDescent="0.2">
      <c r="A2850" s="6" t="str">
        <f>"MT-CO2"</f>
        <v>MT-CO2</v>
      </c>
      <c r="B2850" s="6">
        <v>2.29770229770229E-2</v>
      </c>
      <c r="C2850" s="6">
        <v>0.14181395999577801</v>
      </c>
    </row>
    <row r="2851" spans="1:3" s="8" customFormat="1" x14ac:dyDescent="0.2">
      <c r="A2851" s="6" t="str">
        <f>"MTCYBP23"</f>
        <v>MTCYBP23</v>
      </c>
      <c r="B2851" s="6">
        <v>2.3E-2</v>
      </c>
      <c r="C2851" s="6">
        <v>0.14185619081024201</v>
      </c>
    </row>
    <row r="2852" spans="1:3" s="8" customFormat="1" x14ac:dyDescent="0.2">
      <c r="A2852" s="6" t="str">
        <f>"AL117339.4"</f>
        <v>AL117339.4</v>
      </c>
      <c r="B2852" s="6">
        <v>2.3E-2</v>
      </c>
      <c r="C2852" s="6">
        <v>0.14185619081024201</v>
      </c>
    </row>
    <row r="2853" spans="1:3" s="8" customFormat="1" x14ac:dyDescent="0.2">
      <c r="A2853" s="6" t="str">
        <f>"AL121601.1"</f>
        <v>AL121601.1</v>
      </c>
      <c r="B2853" s="6">
        <v>2.3023023023023E-2</v>
      </c>
      <c r="C2853" s="6">
        <v>0.141948400012916</v>
      </c>
    </row>
    <row r="2854" spans="1:3" s="8" customFormat="1" x14ac:dyDescent="0.2">
      <c r="A2854" s="6" t="str">
        <f>"AC092117.2"</f>
        <v>AC092117.2</v>
      </c>
      <c r="B2854" s="6">
        <v>2.31578947368421E-2</v>
      </c>
      <c r="C2854" s="6">
        <v>0.142729905731732</v>
      </c>
    </row>
    <row r="2855" spans="1:3" s="8" customFormat="1" x14ac:dyDescent="0.2">
      <c r="A2855" s="6" t="str">
        <f>"AC005899.7"</f>
        <v>AC005899.7</v>
      </c>
      <c r="B2855" s="6">
        <v>2.4E-2</v>
      </c>
      <c r="C2855" s="6">
        <v>0.14487332646755899</v>
      </c>
    </row>
    <row r="2856" spans="1:3" s="8" customFormat="1" x14ac:dyDescent="0.2">
      <c r="A2856" s="6" t="str">
        <f>"FCRLA"</f>
        <v>FCRLA</v>
      </c>
      <c r="B2856" s="6">
        <v>2.4E-2</v>
      </c>
      <c r="C2856" s="6">
        <v>0.14487332646755899</v>
      </c>
    </row>
    <row r="2857" spans="1:3" s="8" customFormat="1" x14ac:dyDescent="0.2">
      <c r="A2857" s="6" t="str">
        <f>"AL109809.1"</f>
        <v>AL109809.1</v>
      </c>
      <c r="B2857" s="6">
        <v>2.39760239760239E-2</v>
      </c>
      <c r="C2857" s="6">
        <v>0.14487332646755899</v>
      </c>
    </row>
    <row r="2858" spans="1:3" s="8" customFormat="1" x14ac:dyDescent="0.2">
      <c r="A2858" s="6" t="str">
        <f>"H2AC20"</f>
        <v>H2AC20</v>
      </c>
      <c r="B2858" s="6">
        <v>2.39760239760239E-2</v>
      </c>
      <c r="C2858" s="6">
        <v>0.14487332646755899</v>
      </c>
    </row>
    <row r="2859" spans="1:3" s="8" customFormat="1" x14ac:dyDescent="0.2">
      <c r="A2859" s="6" t="str">
        <f>"AC011479.1"</f>
        <v>AC011479.1</v>
      </c>
      <c r="B2859" s="6">
        <v>2.39760239760239E-2</v>
      </c>
      <c r="C2859" s="6">
        <v>0.14487332646755899</v>
      </c>
    </row>
    <row r="2860" spans="1:3" s="8" customFormat="1" x14ac:dyDescent="0.2">
      <c r="A2860" s="6" t="str">
        <f>"SPRR2G"</f>
        <v>SPRR2G</v>
      </c>
      <c r="B2860" s="6">
        <v>2.39760239760239E-2</v>
      </c>
      <c r="C2860" s="6">
        <v>0.14487332646755899</v>
      </c>
    </row>
    <row r="2861" spans="1:3" s="8" customFormat="1" x14ac:dyDescent="0.2">
      <c r="A2861" s="6" t="str">
        <f>"PAQR5"</f>
        <v>PAQR5</v>
      </c>
      <c r="B2861" s="6">
        <v>2.39760239760239E-2</v>
      </c>
      <c r="C2861" s="6">
        <v>0.14487332646755899</v>
      </c>
    </row>
    <row r="2862" spans="1:3" s="8" customFormat="1" x14ac:dyDescent="0.2">
      <c r="A2862" s="6" t="str">
        <f>"AC079834.1"</f>
        <v>AC079834.1</v>
      </c>
      <c r="B2862" s="6">
        <v>2.4E-2</v>
      </c>
      <c r="C2862" s="6">
        <v>0.14487332646755899</v>
      </c>
    </row>
    <row r="2863" spans="1:3" s="8" customFormat="1" x14ac:dyDescent="0.2">
      <c r="A2863" s="6" t="str">
        <f>"CACNA1B"</f>
        <v>CACNA1B</v>
      </c>
      <c r="B2863" s="6">
        <v>2.39760239760239E-2</v>
      </c>
      <c r="C2863" s="6">
        <v>0.14487332646755899</v>
      </c>
    </row>
    <row r="2864" spans="1:3" s="8" customFormat="1" x14ac:dyDescent="0.2">
      <c r="A2864" s="6" t="str">
        <f>"PODNL1"</f>
        <v>PODNL1</v>
      </c>
      <c r="B2864" s="6">
        <v>2.39760239760239E-2</v>
      </c>
      <c r="C2864" s="6">
        <v>0.14487332646755899</v>
      </c>
    </row>
    <row r="2865" spans="1:3" s="8" customFormat="1" x14ac:dyDescent="0.2">
      <c r="A2865" s="6" t="str">
        <f>"SPAG4"</f>
        <v>SPAG4</v>
      </c>
      <c r="B2865" s="6">
        <v>2.39760239760239E-2</v>
      </c>
      <c r="C2865" s="6">
        <v>0.14487332646755899</v>
      </c>
    </row>
    <row r="2866" spans="1:3" s="8" customFormat="1" x14ac:dyDescent="0.2">
      <c r="A2866" s="6" t="str">
        <f>"DSTNP2"</f>
        <v>DSTNP2</v>
      </c>
      <c r="B2866" s="6">
        <v>2.39760239760239E-2</v>
      </c>
      <c r="C2866" s="6">
        <v>0.14487332646755899</v>
      </c>
    </row>
    <row r="2867" spans="1:3" s="8" customFormat="1" x14ac:dyDescent="0.2">
      <c r="A2867" s="6" t="str">
        <f>"AC092329.4"</f>
        <v>AC092329.4</v>
      </c>
      <c r="B2867" s="6">
        <v>2.39760239760239E-2</v>
      </c>
      <c r="C2867" s="6">
        <v>0.14487332646755899</v>
      </c>
    </row>
    <row r="2868" spans="1:3" s="8" customFormat="1" x14ac:dyDescent="0.2">
      <c r="A2868" s="6" t="str">
        <f>"NEU4"</f>
        <v>NEU4</v>
      </c>
      <c r="B2868" s="6">
        <v>2.39760239760239E-2</v>
      </c>
      <c r="C2868" s="6">
        <v>0.14487332646755899</v>
      </c>
    </row>
    <row r="2869" spans="1:3" s="8" customFormat="1" x14ac:dyDescent="0.2">
      <c r="A2869" s="6" t="str">
        <f>"AC092747.4"</f>
        <v>AC092747.4</v>
      </c>
      <c r="B2869" s="6">
        <v>2.39760239760239E-2</v>
      </c>
      <c r="C2869" s="6">
        <v>0.14487332646755899</v>
      </c>
    </row>
    <row r="2870" spans="1:3" s="8" customFormat="1" x14ac:dyDescent="0.2">
      <c r="A2870" s="6" t="str">
        <f>"GSTM3"</f>
        <v>GSTM3</v>
      </c>
      <c r="B2870" s="6">
        <v>2.39760239760239E-2</v>
      </c>
      <c r="C2870" s="6">
        <v>0.14487332646755899</v>
      </c>
    </row>
    <row r="2871" spans="1:3" s="8" customFormat="1" x14ac:dyDescent="0.2">
      <c r="A2871" s="6" t="str">
        <f>"SEMA4F"</f>
        <v>SEMA4F</v>
      </c>
      <c r="B2871" s="6">
        <v>2.39760239760239E-2</v>
      </c>
      <c r="C2871" s="6">
        <v>0.14487332646755899</v>
      </c>
    </row>
    <row r="2872" spans="1:3" s="8" customFormat="1" x14ac:dyDescent="0.2">
      <c r="A2872" s="6" t="str">
        <f>"PRRX2"</f>
        <v>PRRX2</v>
      </c>
      <c r="B2872" s="6">
        <v>2.39760239760239E-2</v>
      </c>
      <c r="C2872" s="6">
        <v>0.14487332646755899</v>
      </c>
    </row>
    <row r="2873" spans="1:3" s="8" customFormat="1" x14ac:dyDescent="0.2">
      <c r="A2873" s="6" t="str">
        <f>"BUB1"</f>
        <v>BUB1</v>
      </c>
      <c r="B2873" s="6">
        <v>2.39760239760239E-2</v>
      </c>
      <c r="C2873" s="6">
        <v>0.14487332646755899</v>
      </c>
    </row>
    <row r="2874" spans="1:3" s="8" customFormat="1" x14ac:dyDescent="0.2">
      <c r="A2874" s="6" t="str">
        <f>"ZNF439"</f>
        <v>ZNF439</v>
      </c>
      <c r="B2874" s="6">
        <v>2.39760239760239E-2</v>
      </c>
      <c r="C2874" s="6">
        <v>0.14487332646755899</v>
      </c>
    </row>
    <row r="2875" spans="1:3" s="8" customFormat="1" x14ac:dyDescent="0.2">
      <c r="A2875" s="6" t="str">
        <f>"NANP"</f>
        <v>NANP</v>
      </c>
      <c r="B2875" s="6">
        <v>2.39760239760239E-2</v>
      </c>
      <c r="C2875" s="6">
        <v>0.14487332646755899</v>
      </c>
    </row>
    <row r="2876" spans="1:3" s="8" customFormat="1" x14ac:dyDescent="0.2">
      <c r="A2876" s="6" t="str">
        <f>"AL359715.1"</f>
        <v>AL359715.1</v>
      </c>
      <c r="B2876" s="6">
        <v>2.39760239760239E-2</v>
      </c>
      <c r="C2876" s="6">
        <v>0.14487332646755899</v>
      </c>
    </row>
    <row r="2877" spans="1:3" s="8" customFormat="1" x14ac:dyDescent="0.2">
      <c r="A2877" s="6" t="str">
        <f>"ZNF112"</f>
        <v>ZNF112</v>
      </c>
      <c r="B2877" s="6">
        <v>2.39760239760239E-2</v>
      </c>
      <c r="C2877" s="6">
        <v>0.14487332646755899</v>
      </c>
    </row>
    <row r="2878" spans="1:3" s="8" customFormat="1" x14ac:dyDescent="0.2">
      <c r="A2878" s="6" t="str">
        <f>"CCDC9B"</f>
        <v>CCDC9B</v>
      </c>
      <c r="B2878" s="6">
        <v>2.39760239760239E-2</v>
      </c>
      <c r="C2878" s="6">
        <v>0.14487332646755899</v>
      </c>
    </row>
    <row r="2879" spans="1:3" s="8" customFormat="1" x14ac:dyDescent="0.2">
      <c r="A2879" s="6" t="str">
        <f>"SLC19A1"</f>
        <v>SLC19A1</v>
      </c>
      <c r="B2879" s="6">
        <v>2.39760239760239E-2</v>
      </c>
      <c r="C2879" s="6">
        <v>0.14487332646755899</v>
      </c>
    </row>
    <row r="2880" spans="1:3" s="8" customFormat="1" x14ac:dyDescent="0.2">
      <c r="A2880" s="6" t="str">
        <f>"CBX8"</f>
        <v>CBX8</v>
      </c>
      <c r="B2880" s="6">
        <v>2.39760239760239E-2</v>
      </c>
      <c r="C2880" s="6">
        <v>0.14487332646755899</v>
      </c>
    </row>
    <row r="2881" spans="1:3" s="8" customFormat="1" x14ac:dyDescent="0.2">
      <c r="A2881" s="6" t="str">
        <f>"BET1"</f>
        <v>BET1</v>
      </c>
      <c r="B2881" s="6">
        <v>2.39760239760239E-2</v>
      </c>
      <c r="C2881" s="6">
        <v>0.14487332646755899</v>
      </c>
    </row>
    <row r="2882" spans="1:3" s="8" customFormat="1" x14ac:dyDescent="0.2">
      <c r="A2882" s="6" t="str">
        <f>"SLC25A26"</f>
        <v>SLC25A26</v>
      </c>
      <c r="B2882" s="6">
        <v>2.39760239760239E-2</v>
      </c>
      <c r="C2882" s="6">
        <v>0.14487332646755899</v>
      </c>
    </row>
    <row r="2883" spans="1:3" s="8" customFormat="1" x14ac:dyDescent="0.2">
      <c r="A2883" s="6" t="str">
        <f>"PUS7"</f>
        <v>PUS7</v>
      </c>
      <c r="B2883" s="6">
        <v>2.39760239760239E-2</v>
      </c>
      <c r="C2883" s="6">
        <v>0.14487332646755899</v>
      </c>
    </row>
    <row r="2884" spans="1:3" s="8" customFormat="1" x14ac:dyDescent="0.2">
      <c r="A2884" s="6" t="str">
        <f>"TMEM216"</f>
        <v>TMEM216</v>
      </c>
      <c r="B2884" s="6">
        <v>2.39760239760239E-2</v>
      </c>
      <c r="C2884" s="6">
        <v>0.14487332646755899</v>
      </c>
    </row>
    <row r="2885" spans="1:3" s="8" customFormat="1" x14ac:dyDescent="0.2">
      <c r="A2885" s="6" t="str">
        <f>"TMEM223"</f>
        <v>TMEM223</v>
      </c>
      <c r="B2885" s="6">
        <v>2.39760239760239E-2</v>
      </c>
      <c r="C2885" s="6">
        <v>0.14487332646755899</v>
      </c>
    </row>
    <row r="2886" spans="1:3" s="8" customFormat="1" x14ac:dyDescent="0.2">
      <c r="A2886" s="6" t="str">
        <f>"SESN2"</f>
        <v>SESN2</v>
      </c>
      <c r="B2886" s="6">
        <v>2.39760239760239E-2</v>
      </c>
      <c r="C2886" s="6">
        <v>0.14487332646755899</v>
      </c>
    </row>
    <row r="2887" spans="1:3" s="8" customFormat="1" x14ac:dyDescent="0.2">
      <c r="A2887" s="6" t="str">
        <f>"DTNBP1"</f>
        <v>DTNBP1</v>
      </c>
      <c r="B2887" s="6">
        <v>2.39760239760239E-2</v>
      </c>
      <c r="C2887" s="6">
        <v>0.14487332646755899</v>
      </c>
    </row>
    <row r="2888" spans="1:3" s="8" customFormat="1" x14ac:dyDescent="0.2">
      <c r="A2888" s="6" t="str">
        <f>"FAM189B"</f>
        <v>FAM189B</v>
      </c>
      <c r="B2888" s="6">
        <v>2.39760239760239E-2</v>
      </c>
      <c r="C2888" s="6">
        <v>0.14487332646755899</v>
      </c>
    </row>
    <row r="2889" spans="1:3" s="8" customFormat="1" x14ac:dyDescent="0.2">
      <c r="A2889" s="6" t="str">
        <f>"PRPSAP2"</f>
        <v>PRPSAP2</v>
      </c>
      <c r="B2889" s="6">
        <v>2.39760239760239E-2</v>
      </c>
      <c r="C2889" s="6">
        <v>0.14487332646755899</v>
      </c>
    </row>
    <row r="2890" spans="1:3" s="8" customFormat="1" x14ac:dyDescent="0.2">
      <c r="A2890" s="6" t="str">
        <f>"ERVW-1"</f>
        <v>ERVW-1</v>
      </c>
      <c r="B2890" s="6">
        <v>2.39760239760239E-2</v>
      </c>
      <c r="C2890" s="6">
        <v>0.14487332646755899</v>
      </c>
    </row>
    <row r="2891" spans="1:3" s="8" customFormat="1" x14ac:dyDescent="0.2">
      <c r="A2891" s="6" t="str">
        <f>"ANO8"</f>
        <v>ANO8</v>
      </c>
      <c r="B2891" s="6">
        <v>2.39760239760239E-2</v>
      </c>
      <c r="C2891" s="6">
        <v>0.14487332646755899</v>
      </c>
    </row>
    <row r="2892" spans="1:3" s="8" customFormat="1" x14ac:dyDescent="0.2">
      <c r="A2892" s="6" t="str">
        <f>"CD302"</f>
        <v>CD302</v>
      </c>
      <c r="B2892" s="6">
        <v>2.39760239760239E-2</v>
      </c>
      <c r="C2892" s="6">
        <v>0.14487332646755899</v>
      </c>
    </row>
    <row r="2893" spans="1:3" s="8" customFormat="1" x14ac:dyDescent="0.2">
      <c r="A2893" s="6" t="str">
        <f>"CWC22"</f>
        <v>CWC22</v>
      </c>
      <c r="B2893" s="6">
        <v>2.39760239760239E-2</v>
      </c>
      <c r="C2893" s="6">
        <v>0.14487332646755899</v>
      </c>
    </row>
    <row r="2894" spans="1:3" s="8" customFormat="1" x14ac:dyDescent="0.2">
      <c r="A2894" s="6" t="str">
        <f>"RTL8A"</f>
        <v>RTL8A</v>
      </c>
      <c r="B2894" s="6">
        <v>2.39760239760239E-2</v>
      </c>
      <c r="C2894" s="6">
        <v>0.14487332646755899</v>
      </c>
    </row>
    <row r="2895" spans="1:3" s="8" customFormat="1" x14ac:dyDescent="0.2">
      <c r="A2895" s="6" t="str">
        <f>"ABCC4"</f>
        <v>ABCC4</v>
      </c>
      <c r="B2895" s="6">
        <v>2.39760239760239E-2</v>
      </c>
      <c r="C2895" s="6">
        <v>0.14487332646755899</v>
      </c>
    </row>
    <row r="2896" spans="1:3" s="8" customFormat="1" x14ac:dyDescent="0.2">
      <c r="A2896" s="6" t="str">
        <f>"LTF"</f>
        <v>LTF</v>
      </c>
      <c r="B2896" s="6">
        <v>2.39760239760239E-2</v>
      </c>
      <c r="C2896" s="6">
        <v>0.14487332646755899</v>
      </c>
    </row>
    <row r="2897" spans="1:3" s="8" customFormat="1" x14ac:dyDescent="0.2">
      <c r="A2897" s="6" t="str">
        <f>"SLC46A1"</f>
        <v>SLC46A1</v>
      </c>
      <c r="B2897" s="6">
        <v>2.39760239760239E-2</v>
      </c>
      <c r="C2897" s="6">
        <v>0.14487332646755899</v>
      </c>
    </row>
    <row r="2898" spans="1:3" s="8" customFormat="1" x14ac:dyDescent="0.2">
      <c r="A2898" s="6" t="str">
        <f>"GTF2A1"</f>
        <v>GTF2A1</v>
      </c>
      <c r="B2898" s="6">
        <v>2.39760239760239E-2</v>
      </c>
      <c r="C2898" s="6">
        <v>0.14487332646755899</v>
      </c>
    </row>
    <row r="2899" spans="1:3" s="8" customFormat="1" x14ac:dyDescent="0.2">
      <c r="A2899" s="6" t="str">
        <f>"EPN2"</f>
        <v>EPN2</v>
      </c>
      <c r="B2899" s="6">
        <v>2.39760239760239E-2</v>
      </c>
      <c r="C2899" s="6">
        <v>0.14487332646755899</v>
      </c>
    </row>
    <row r="2900" spans="1:3" s="8" customFormat="1" x14ac:dyDescent="0.2">
      <c r="A2900" s="6" t="str">
        <f>"KMT5A"</f>
        <v>KMT5A</v>
      </c>
      <c r="B2900" s="6">
        <v>2.39760239760239E-2</v>
      </c>
      <c r="C2900" s="6">
        <v>0.14487332646755899</v>
      </c>
    </row>
    <row r="2901" spans="1:3" s="8" customFormat="1" x14ac:dyDescent="0.2">
      <c r="A2901" s="6" t="str">
        <f>"SASH1"</f>
        <v>SASH1</v>
      </c>
      <c r="B2901" s="6">
        <v>2.39760239760239E-2</v>
      </c>
      <c r="C2901" s="6">
        <v>0.14487332646755899</v>
      </c>
    </row>
    <row r="2902" spans="1:3" s="8" customFormat="1" x14ac:dyDescent="0.2">
      <c r="A2902" s="6" t="str">
        <f>"HLA-H"</f>
        <v>HLA-H</v>
      </c>
      <c r="B2902" s="6">
        <v>2.39760239760239E-2</v>
      </c>
      <c r="C2902" s="6">
        <v>0.14487332646755899</v>
      </c>
    </row>
    <row r="2903" spans="1:3" s="8" customFormat="1" x14ac:dyDescent="0.2">
      <c r="A2903" s="6" t="str">
        <f>"REL"</f>
        <v>REL</v>
      </c>
      <c r="B2903" s="6">
        <v>2.39760239760239E-2</v>
      </c>
      <c r="C2903" s="6">
        <v>0.14487332646755899</v>
      </c>
    </row>
    <row r="2904" spans="1:3" s="8" customFormat="1" x14ac:dyDescent="0.2">
      <c r="A2904" s="6" t="str">
        <f>"MGAM"</f>
        <v>MGAM</v>
      </c>
      <c r="B2904" s="6">
        <v>2.39760239760239E-2</v>
      </c>
      <c r="C2904" s="6">
        <v>0.14487332646755899</v>
      </c>
    </row>
    <row r="2905" spans="1:3" s="8" customFormat="1" x14ac:dyDescent="0.2">
      <c r="A2905" s="6" t="str">
        <f>"ALS2CL"</f>
        <v>ALS2CL</v>
      </c>
      <c r="B2905" s="6">
        <v>2.4E-2</v>
      </c>
      <c r="C2905" s="6">
        <v>0.14487332646755899</v>
      </c>
    </row>
    <row r="2906" spans="1:3" s="8" customFormat="1" x14ac:dyDescent="0.2">
      <c r="A2906" s="6" t="str">
        <f>"TBC1D9"</f>
        <v>TBC1D9</v>
      </c>
      <c r="B2906" s="6">
        <v>2.39760239760239E-2</v>
      </c>
      <c r="C2906" s="6">
        <v>0.14487332646755899</v>
      </c>
    </row>
    <row r="2907" spans="1:3" s="8" customFormat="1" x14ac:dyDescent="0.2">
      <c r="A2907" s="6" t="str">
        <f>"RBM38"</f>
        <v>RBM38</v>
      </c>
      <c r="B2907" s="6">
        <v>2.39760239760239E-2</v>
      </c>
      <c r="C2907" s="6">
        <v>0.14487332646755899</v>
      </c>
    </row>
    <row r="2908" spans="1:3" s="8" customFormat="1" x14ac:dyDescent="0.2">
      <c r="A2908" s="6" t="str">
        <f>"RAPGEFL1"</f>
        <v>RAPGEFL1</v>
      </c>
      <c r="B2908" s="6">
        <v>2.39760239760239E-2</v>
      </c>
      <c r="C2908" s="6">
        <v>0.14487332646755899</v>
      </c>
    </row>
    <row r="2909" spans="1:3" s="8" customFormat="1" x14ac:dyDescent="0.2">
      <c r="A2909" s="6" t="str">
        <f>"EFEMP1"</f>
        <v>EFEMP1</v>
      </c>
      <c r="B2909" s="6">
        <v>2.39760239760239E-2</v>
      </c>
      <c r="C2909" s="6">
        <v>0.14487332646755899</v>
      </c>
    </row>
    <row r="2910" spans="1:3" s="8" customFormat="1" x14ac:dyDescent="0.2">
      <c r="A2910" s="6" t="str">
        <f>"SF3B4"</f>
        <v>SF3B4</v>
      </c>
      <c r="B2910" s="6">
        <v>2.39760239760239E-2</v>
      </c>
      <c r="C2910" s="6">
        <v>0.14487332646755899</v>
      </c>
    </row>
    <row r="2911" spans="1:3" s="8" customFormat="1" x14ac:dyDescent="0.2">
      <c r="A2911" s="6" t="str">
        <f>"LRP5"</f>
        <v>LRP5</v>
      </c>
      <c r="B2911" s="6">
        <v>2.39760239760239E-2</v>
      </c>
      <c r="C2911" s="6">
        <v>0.14487332646755899</v>
      </c>
    </row>
    <row r="2912" spans="1:3" s="8" customFormat="1" x14ac:dyDescent="0.2">
      <c r="A2912" s="6" t="str">
        <f>"ATP5MG"</f>
        <v>ATP5MG</v>
      </c>
      <c r="B2912" s="6">
        <v>2.39760239760239E-2</v>
      </c>
      <c r="C2912" s="6">
        <v>0.14487332646755899</v>
      </c>
    </row>
    <row r="2913" spans="1:3" s="8" customFormat="1" x14ac:dyDescent="0.2">
      <c r="A2913" s="6" t="str">
        <f>"WDTC1"</f>
        <v>WDTC1</v>
      </c>
      <c r="B2913" s="6">
        <v>2.39760239760239E-2</v>
      </c>
      <c r="C2913" s="6">
        <v>0.14487332646755899</v>
      </c>
    </row>
    <row r="2914" spans="1:3" s="8" customFormat="1" x14ac:dyDescent="0.2">
      <c r="A2914" s="6" t="str">
        <f>"HLA-B"</f>
        <v>HLA-B</v>
      </c>
      <c r="B2914" s="6">
        <v>2.39760239760239E-2</v>
      </c>
      <c r="C2914" s="6">
        <v>0.14487332646755899</v>
      </c>
    </row>
    <row r="2915" spans="1:3" s="8" customFormat="1" x14ac:dyDescent="0.2">
      <c r="A2915" s="6" t="str">
        <f>"AC007686.4"</f>
        <v>AC007686.4</v>
      </c>
      <c r="B2915" s="6">
        <v>2.4024024024024E-2</v>
      </c>
      <c r="C2915" s="6">
        <v>0.14496857873659499</v>
      </c>
    </row>
    <row r="2916" spans="1:3" s="8" customFormat="1" x14ac:dyDescent="0.2">
      <c r="A2916" s="6" t="str">
        <f>"PLA2G1B"</f>
        <v>PLA2G1B</v>
      </c>
      <c r="B2916" s="6">
        <v>2.40480961923847E-2</v>
      </c>
      <c r="C2916" s="6">
        <v>0.145064056070975</v>
      </c>
    </row>
    <row r="2917" spans="1:3" s="8" customFormat="1" x14ac:dyDescent="0.2">
      <c r="A2917" s="6" t="str">
        <f>"AC018557.1"</f>
        <v>AC018557.1</v>
      </c>
      <c r="B2917" s="6">
        <v>2.4072216649949799E-2</v>
      </c>
      <c r="C2917" s="6">
        <v>0.14510999573970401</v>
      </c>
    </row>
    <row r="2918" spans="1:3" s="8" customFormat="1" x14ac:dyDescent="0.2">
      <c r="A2918" s="6" t="str">
        <f>"TYRP1"</f>
        <v>TYRP1</v>
      </c>
      <c r="B2918" s="6">
        <v>2.4072216649949799E-2</v>
      </c>
      <c r="C2918" s="6">
        <v>0.14510999573970401</v>
      </c>
    </row>
    <row r="2919" spans="1:3" s="8" customFormat="1" x14ac:dyDescent="0.2">
      <c r="A2919" s="6" t="str">
        <f>"AC112777.1"</f>
        <v>AC112777.1</v>
      </c>
      <c r="B2919" s="6">
        <v>2.4242424242424201E-2</v>
      </c>
      <c r="C2919" s="6">
        <v>0.14608594512638301</v>
      </c>
    </row>
    <row r="2920" spans="1:3" s="8" customFormat="1" x14ac:dyDescent="0.2">
      <c r="A2920" s="6" t="str">
        <f>"AC007728.3"</f>
        <v>AC007728.3</v>
      </c>
      <c r="B2920" s="6">
        <v>2.49750249750249E-2</v>
      </c>
      <c r="C2920" s="6">
        <v>0.14761584956346499</v>
      </c>
    </row>
    <row r="2921" spans="1:3" s="8" customFormat="1" x14ac:dyDescent="0.2">
      <c r="A2921" s="6" t="str">
        <f>"AP004247.2"</f>
        <v>AP004247.2</v>
      </c>
      <c r="B2921" s="6">
        <v>2.45398773006134E-2</v>
      </c>
      <c r="C2921" s="6">
        <v>0.14761584956346499</v>
      </c>
    </row>
    <row r="2922" spans="1:3" s="8" customFormat="1" x14ac:dyDescent="0.2">
      <c r="A2922" s="6" t="str">
        <f>"AC011558.1"</f>
        <v>AC011558.1</v>
      </c>
      <c r="B2922" s="6">
        <v>2.5000000000000001E-2</v>
      </c>
      <c r="C2922" s="6">
        <v>0.14761584956346499</v>
      </c>
    </row>
    <row r="2923" spans="1:3" s="8" customFormat="1" x14ac:dyDescent="0.2">
      <c r="A2923" s="6" t="str">
        <f>"AC021752.1"</f>
        <v>AC021752.1</v>
      </c>
      <c r="B2923" s="6">
        <v>2.5000000000000001E-2</v>
      </c>
      <c r="C2923" s="6">
        <v>0.14761584956346499</v>
      </c>
    </row>
    <row r="2924" spans="1:3" s="8" customFormat="1" x14ac:dyDescent="0.2">
      <c r="A2924" s="6" t="str">
        <f>"CFHR3"</f>
        <v>CFHR3</v>
      </c>
      <c r="B2924" s="6">
        <v>2.49750249750249E-2</v>
      </c>
      <c r="C2924" s="6">
        <v>0.14761584956346499</v>
      </c>
    </row>
    <row r="2925" spans="1:3" s="8" customFormat="1" x14ac:dyDescent="0.2">
      <c r="A2925" s="6" t="str">
        <f>"AC007879.3"</f>
        <v>AC007879.3</v>
      </c>
      <c r="B2925" s="6">
        <v>2.49750249750249E-2</v>
      </c>
      <c r="C2925" s="6">
        <v>0.14761584956346499</v>
      </c>
    </row>
    <row r="2926" spans="1:3" s="8" customFormat="1" x14ac:dyDescent="0.2">
      <c r="A2926" s="6" t="str">
        <f>"LINC02487"</f>
        <v>LINC02487</v>
      </c>
      <c r="B2926" s="6">
        <v>2.49750249750249E-2</v>
      </c>
      <c r="C2926" s="6">
        <v>0.14761584956346499</v>
      </c>
    </row>
    <row r="2927" spans="1:3" s="8" customFormat="1" x14ac:dyDescent="0.2">
      <c r="A2927" s="6" t="str">
        <f>"AL021707.3"</f>
        <v>AL021707.3</v>
      </c>
      <c r="B2927" s="6">
        <v>2.49750249750249E-2</v>
      </c>
      <c r="C2927" s="6">
        <v>0.14761584956346499</v>
      </c>
    </row>
    <row r="2928" spans="1:3" s="8" customFormat="1" x14ac:dyDescent="0.2">
      <c r="A2928" s="6" t="str">
        <f>"LINC02765"</f>
        <v>LINC02765</v>
      </c>
      <c r="B2928" s="6">
        <v>2.5000000000000001E-2</v>
      </c>
      <c r="C2928" s="6">
        <v>0.14761584956346499</v>
      </c>
    </row>
    <row r="2929" spans="1:3" s="8" customFormat="1" x14ac:dyDescent="0.2">
      <c r="A2929" s="6" t="str">
        <f>"AL158168.1"</f>
        <v>AL158168.1</v>
      </c>
      <c r="B2929" s="6">
        <v>2.49750249750249E-2</v>
      </c>
      <c r="C2929" s="6">
        <v>0.14761584956346499</v>
      </c>
    </row>
    <row r="2930" spans="1:3" s="8" customFormat="1" x14ac:dyDescent="0.2">
      <c r="A2930" s="6" t="str">
        <f>"FP236315.1"</f>
        <v>FP236315.1</v>
      </c>
      <c r="B2930" s="6">
        <v>2.49750249750249E-2</v>
      </c>
      <c r="C2930" s="6">
        <v>0.14761584956346499</v>
      </c>
    </row>
    <row r="2931" spans="1:3" s="8" customFormat="1" x14ac:dyDescent="0.2">
      <c r="A2931" s="6" t="str">
        <f>"TIAF1"</f>
        <v>TIAF1</v>
      </c>
      <c r="B2931" s="6">
        <v>2.49750249750249E-2</v>
      </c>
      <c r="C2931" s="6">
        <v>0.14761584956346499</v>
      </c>
    </row>
    <row r="2932" spans="1:3" s="8" customFormat="1" x14ac:dyDescent="0.2">
      <c r="A2932" s="6" t="str">
        <f>"CYS1"</f>
        <v>CYS1</v>
      </c>
      <c r="B2932" s="6">
        <v>2.49750249750249E-2</v>
      </c>
      <c r="C2932" s="6">
        <v>0.14761584956346499</v>
      </c>
    </row>
    <row r="2933" spans="1:3" s="8" customFormat="1" x14ac:dyDescent="0.2">
      <c r="A2933" s="6" t="str">
        <f>"RNASEH2B-AS1"</f>
        <v>RNASEH2B-AS1</v>
      </c>
      <c r="B2933" s="6">
        <v>2.49750249750249E-2</v>
      </c>
      <c r="C2933" s="6">
        <v>0.14761584956346499</v>
      </c>
    </row>
    <row r="2934" spans="1:3" s="8" customFormat="1" x14ac:dyDescent="0.2">
      <c r="A2934" s="6" t="str">
        <f>"ATP6V0D2"</f>
        <v>ATP6V0D2</v>
      </c>
      <c r="B2934" s="6">
        <v>2.49750249750249E-2</v>
      </c>
      <c r="C2934" s="6">
        <v>0.14761584956346499</v>
      </c>
    </row>
    <row r="2935" spans="1:3" s="8" customFormat="1" x14ac:dyDescent="0.2">
      <c r="A2935" s="6" t="str">
        <f>"AC007009.1"</f>
        <v>AC007009.1</v>
      </c>
      <c r="B2935" s="6">
        <v>2.49750249750249E-2</v>
      </c>
      <c r="C2935" s="6">
        <v>0.14761584956346499</v>
      </c>
    </row>
    <row r="2936" spans="1:3" s="8" customFormat="1" x14ac:dyDescent="0.2">
      <c r="A2936" s="6" t="str">
        <f>"OR7E36P"</f>
        <v>OR7E36P</v>
      </c>
      <c r="B2936" s="6">
        <v>2.49750249750249E-2</v>
      </c>
      <c r="C2936" s="6">
        <v>0.14761584956346499</v>
      </c>
    </row>
    <row r="2937" spans="1:3" s="8" customFormat="1" x14ac:dyDescent="0.2">
      <c r="A2937" s="6" t="str">
        <f>"GNRHR2"</f>
        <v>GNRHR2</v>
      </c>
      <c r="B2937" s="6">
        <v>2.49750249750249E-2</v>
      </c>
      <c r="C2937" s="6">
        <v>0.14761584956346499</v>
      </c>
    </row>
    <row r="2938" spans="1:3" s="8" customFormat="1" x14ac:dyDescent="0.2">
      <c r="A2938" s="6" t="str">
        <f>"TPTEP1"</f>
        <v>TPTEP1</v>
      </c>
      <c r="B2938" s="6">
        <v>2.49750249750249E-2</v>
      </c>
      <c r="C2938" s="6">
        <v>0.14761584956346499</v>
      </c>
    </row>
    <row r="2939" spans="1:3" s="8" customFormat="1" x14ac:dyDescent="0.2">
      <c r="A2939" s="6" t="str">
        <f>"LINC00882"</f>
        <v>LINC00882</v>
      </c>
      <c r="B2939" s="6">
        <v>2.49750249750249E-2</v>
      </c>
      <c r="C2939" s="6">
        <v>0.14761584956346499</v>
      </c>
    </row>
    <row r="2940" spans="1:3" s="8" customFormat="1" x14ac:dyDescent="0.2">
      <c r="A2940" s="6" t="str">
        <f>"FCGR2B"</f>
        <v>FCGR2B</v>
      </c>
      <c r="B2940" s="6">
        <v>2.49750249750249E-2</v>
      </c>
      <c r="C2940" s="6">
        <v>0.14761584956346499</v>
      </c>
    </row>
    <row r="2941" spans="1:3" s="8" customFormat="1" x14ac:dyDescent="0.2">
      <c r="A2941" s="6" t="str">
        <f>"CLGN"</f>
        <v>CLGN</v>
      </c>
      <c r="B2941" s="6">
        <v>2.49750249750249E-2</v>
      </c>
      <c r="C2941" s="6">
        <v>0.14761584956346499</v>
      </c>
    </row>
    <row r="2942" spans="1:3" s="8" customFormat="1" x14ac:dyDescent="0.2">
      <c r="A2942" s="6" t="str">
        <f>"AC008763.3"</f>
        <v>AC008763.3</v>
      </c>
      <c r="B2942" s="6">
        <v>2.49750249750249E-2</v>
      </c>
      <c r="C2942" s="6">
        <v>0.14761584956346499</v>
      </c>
    </row>
    <row r="2943" spans="1:3" s="8" customFormat="1" x14ac:dyDescent="0.2">
      <c r="A2943" s="6" t="str">
        <f>"ZNF551"</f>
        <v>ZNF551</v>
      </c>
      <c r="B2943" s="6">
        <v>2.49750249750249E-2</v>
      </c>
      <c r="C2943" s="6">
        <v>0.14761584956346499</v>
      </c>
    </row>
    <row r="2944" spans="1:3" s="8" customFormat="1" x14ac:dyDescent="0.2">
      <c r="A2944" s="6" t="str">
        <f>"SLC39A10"</f>
        <v>SLC39A10</v>
      </c>
      <c r="B2944" s="6">
        <v>2.49750249750249E-2</v>
      </c>
      <c r="C2944" s="6">
        <v>0.14761584956346499</v>
      </c>
    </row>
    <row r="2945" spans="1:3" s="8" customFormat="1" x14ac:dyDescent="0.2">
      <c r="A2945" s="6" t="str">
        <f>"SLCO2B1"</f>
        <v>SLCO2B1</v>
      </c>
      <c r="B2945" s="6">
        <v>2.49750249750249E-2</v>
      </c>
      <c r="C2945" s="6">
        <v>0.14761584956346499</v>
      </c>
    </row>
    <row r="2946" spans="1:3" s="8" customFormat="1" x14ac:dyDescent="0.2">
      <c r="A2946" s="6" t="str">
        <f>"PRDM10"</f>
        <v>PRDM10</v>
      </c>
      <c r="B2946" s="6">
        <v>2.49750249750249E-2</v>
      </c>
      <c r="C2946" s="6">
        <v>0.14761584956346499</v>
      </c>
    </row>
    <row r="2947" spans="1:3" s="8" customFormat="1" x14ac:dyDescent="0.2">
      <c r="A2947" s="6" t="str">
        <f>"BBS10"</f>
        <v>BBS10</v>
      </c>
      <c r="B2947" s="6">
        <v>2.49750249750249E-2</v>
      </c>
      <c r="C2947" s="6">
        <v>0.14761584956346499</v>
      </c>
    </row>
    <row r="2948" spans="1:3" s="8" customFormat="1" x14ac:dyDescent="0.2">
      <c r="A2948" s="6" t="str">
        <f>"DAPK2"</f>
        <v>DAPK2</v>
      </c>
      <c r="B2948" s="6">
        <v>2.49750249750249E-2</v>
      </c>
      <c r="C2948" s="6">
        <v>0.14761584956346499</v>
      </c>
    </row>
    <row r="2949" spans="1:3" s="8" customFormat="1" x14ac:dyDescent="0.2">
      <c r="A2949" s="6" t="str">
        <f>"TIMM21"</f>
        <v>TIMM21</v>
      </c>
      <c r="B2949" s="6">
        <v>2.49750249750249E-2</v>
      </c>
      <c r="C2949" s="6">
        <v>0.14761584956346499</v>
      </c>
    </row>
    <row r="2950" spans="1:3" s="8" customFormat="1" x14ac:dyDescent="0.2">
      <c r="A2950" s="6" t="str">
        <f>"FAM160B1"</f>
        <v>FAM160B1</v>
      </c>
      <c r="B2950" s="6">
        <v>2.49750249750249E-2</v>
      </c>
      <c r="C2950" s="6">
        <v>0.14761584956346499</v>
      </c>
    </row>
    <row r="2951" spans="1:3" s="8" customFormat="1" x14ac:dyDescent="0.2">
      <c r="A2951" s="6" t="str">
        <f>"CPE"</f>
        <v>CPE</v>
      </c>
      <c r="B2951" s="6">
        <v>2.49750249750249E-2</v>
      </c>
      <c r="C2951" s="6">
        <v>0.14761584956346499</v>
      </c>
    </row>
    <row r="2952" spans="1:3" s="8" customFormat="1" x14ac:dyDescent="0.2">
      <c r="A2952" s="6" t="str">
        <f>"SLCO3A1"</f>
        <v>SLCO3A1</v>
      </c>
      <c r="B2952" s="6">
        <v>2.49750249750249E-2</v>
      </c>
      <c r="C2952" s="6">
        <v>0.14761584956346499</v>
      </c>
    </row>
    <row r="2953" spans="1:3" s="8" customFormat="1" x14ac:dyDescent="0.2">
      <c r="A2953" s="6" t="str">
        <f>"SHQ1"</f>
        <v>SHQ1</v>
      </c>
      <c r="B2953" s="6">
        <v>2.49750249750249E-2</v>
      </c>
      <c r="C2953" s="6">
        <v>0.14761584956346499</v>
      </c>
    </row>
    <row r="2954" spans="1:3" s="8" customFormat="1" x14ac:dyDescent="0.2">
      <c r="A2954" s="6" t="str">
        <f>"TENT4A"</f>
        <v>TENT4A</v>
      </c>
      <c r="B2954" s="6">
        <v>2.49750249750249E-2</v>
      </c>
      <c r="C2954" s="6">
        <v>0.14761584956346499</v>
      </c>
    </row>
    <row r="2955" spans="1:3" s="8" customFormat="1" x14ac:dyDescent="0.2">
      <c r="A2955" s="6" t="str">
        <f>"AC009093.3"</f>
        <v>AC009093.3</v>
      </c>
      <c r="B2955" s="6">
        <v>2.49750249750249E-2</v>
      </c>
      <c r="C2955" s="6">
        <v>0.14761584956346499</v>
      </c>
    </row>
    <row r="2956" spans="1:3" s="8" customFormat="1" x14ac:dyDescent="0.2">
      <c r="A2956" s="6" t="str">
        <f>"C1orf189"</f>
        <v>C1orf189</v>
      </c>
      <c r="B2956" s="6">
        <v>2.49750249750249E-2</v>
      </c>
      <c r="C2956" s="6">
        <v>0.14761584956346499</v>
      </c>
    </row>
    <row r="2957" spans="1:3" s="8" customFormat="1" x14ac:dyDescent="0.2">
      <c r="A2957" s="6" t="str">
        <f>"OPHN1"</f>
        <v>OPHN1</v>
      </c>
      <c r="B2957" s="6">
        <v>2.49750249750249E-2</v>
      </c>
      <c r="C2957" s="6">
        <v>0.14761584956346499</v>
      </c>
    </row>
    <row r="2958" spans="1:3" s="8" customFormat="1" x14ac:dyDescent="0.2">
      <c r="A2958" s="6" t="str">
        <f>"TACO1"</f>
        <v>TACO1</v>
      </c>
      <c r="B2958" s="6">
        <v>2.49750249750249E-2</v>
      </c>
      <c r="C2958" s="6">
        <v>0.14761584956346499</v>
      </c>
    </row>
    <row r="2959" spans="1:3" s="8" customFormat="1" x14ac:dyDescent="0.2">
      <c r="A2959" s="6" t="str">
        <f>"SLF2"</f>
        <v>SLF2</v>
      </c>
      <c r="B2959" s="6">
        <v>2.49750249750249E-2</v>
      </c>
      <c r="C2959" s="6">
        <v>0.14761584956346499</v>
      </c>
    </row>
    <row r="2960" spans="1:3" s="8" customFormat="1" x14ac:dyDescent="0.2">
      <c r="A2960" s="6" t="str">
        <f>"ZNF746"</f>
        <v>ZNF746</v>
      </c>
      <c r="B2960" s="6">
        <v>2.49750249750249E-2</v>
      </c>
      <c r="C2960" s="6">
        <v>0.14761584956346499</v>
      </c>
    </row>
    <row r="2961" spans="1:3" s="8" customFormat="1" x14ac:dyDescent="0.2">
      <c r="A2961" s="6" t="str">
        <f>"CLEC2B"</f>
        <v>CLEC2B</v>
      </c>
      <c r="B2961" s="6">
        <v>2.49750249750249E-2</v>
      </c>
      <c r="C2961" s="6">
        <v>0.14761584956346499</v>
      </c>
    </row>
    <row r="2962" spans="1:3" s="8" customFormat="1" x14ac:dyDescent="0.2">
      <c r="A2962" s="6" t="str">
        <f>"MTX3"</f>
        <v>MTX3</v>
      </c>
      <c r="B2962" s="6">
        <v>2.49750249750249E-2</v>
      </c>
      <c r="C2962" s="6">
        <v>0.14761584956346499</v>
      </c>
    </row>
    <row r="2963" spans="1:3" s="8" customFormat="1" x14ac:dyDescent="0.2">
      <c r="A2963" s="6" t="str">
        <f>"NTPCR"</f>
        <v>NTPCR</v>
      </c>
      <c r="B2963" s="6">
        <v>2.49750249750249E-2</v>
      </c>
      <c r="C2963" s="6">
        <v>0.14761584956346499</v>
      </c>
    </row>
    <row r="2964" spans="1:3" s="8" customFormat="1" x14ac:dyDescent="0.2">
      <c r="A2964" s="6" t="str">
        <f>"NME1"</f>
        <v>NME1</v>
      </c>
      <c r="B2964" s="6">
        <v>2.49750249750249E-2</v>
      </c>
      <c r="C2964" s="6">
        <v>0.14761584956346499</v>
      </c>
    </row>
    <row r="2965" spans="1:3" s="8" customFormat="1" x14ac:dyDescent="0.2">
      <c r="A2965" s="6" t="str">
        <f>"DANCR"</f>
        <v>DANCR</v>
      </c>
      <c r="B2965" s="6">
        <v>2.49750249750249E-2</v>
      </c>
      <c r="C2965" s="6">
        <v>0.14761584956346499</v>
      </c>
    </row>
    <row r="2966" spans="1:3" s="8" customFormat="1" x14ac:dyDescent="0.2">
      <c r="A2966" s="6" t="str">
        <f>"TET3"</f>
        <v>TET3</v>
      </c>
      <c r="B2966" s="6">
        <v>2.49750249750249E-2</v>
      </c>
      <c r="C2966" s="6">
        <v>0.14761584956346499</v>
      </c>
    </row>
    <row r="2967" spans="1:3" s="8" customFormat="1" x14ac:dyDescent="0.2">
      <c r="A2967" s="6" t="str">
        <f>"TRPM7"</f>
        <v>TRPM7</v>
      </c>
      <c r="B2967" s="6">
        <v>2.49750249750249E-2</v>
      </c>
      <c r="C2967" s="6">
        <v>0.14761584956346499</v>
      </c>
    </row>
    <row r="2968" spans="1:3" s="8" customFormat="1" x14ac:dyDescent="0.2">
      <c r="A2968" s="6" t="str">
        <f>"PLCB4"</f>
        <v>PLCB4</v>
      </c>
      <c r="B2968" s="6">
        <v>2.49750249750249E-2</v>
      </c>
      <c r="C2968" s="6">
        <v>0.14761584956346499</v>
      </c>
    </row>
    <row r="2969" spans="1:3" s="8" customFormat="1" x14ac:dyDescent="0.2">
      <c r="A2969" s="6" t="str">
        <f>"ARHGEF16"</f>
        <v>ARHGEF16</v>
      </c>
      <c r="B2969" s="6">
        <v>2.49750249750249E-2</v>
      </c>
      <c r="C2969" s="6">
        <v>0.14761584956346499</v>
      </c>
    </row>
    <row r="2970" spans="1:3" s="8" customFormat="1" x14ac:dyDescent="0.2">
      <c r="A2970" s="6" t="str">
        <f>"PNRC2"</f>
        <v>PNRC2</v>
      </c>
      <c r="B2970" s="6">
        <v>2.49750249750249E-2</v>
      </c>
      <c r="C2970" s="6">
        <v>0.14761584956346499</v>
      </c>
    </row>
    <row r="2971" spans="1:3" s="8" customFormat="1" x14ac:dyDescent="0.2">
      <c r="A2971" s="6" t="str">
        <f>"CPSF7"</f>
        <v>CPSF7</v>
      </c>
      <c r="B2971" s="6">
        <v>2.49750249750249E-2</v>
      </c>
      <c r="C2971" s="6">
        <v>0.14761584956346499</v>
      </c>
    </row>
    <row r="2972" spans="1:3" s="8" customFormat="1" x14ac:dyDescent="0.2">
      <c r="A2972" s="6" t="str">
        <f>"TNPO2"</f>
        <v>TNPO2</v>
      </c>
      <c r="B2972" s="6">
        <v>2.49750249750249E-2</v>
      </c>
      <c r="C2972" s="6">
        <v>0.14761584956346499</v>
      </c>
    </row>
    <row r="2973" spans="1:3" s="8" customFormat="1" x14ac:dyDescent="0.2">
      <c r="A2973" s="6" t="str">
        <f>"CXCL1"</f>
        <v>CXCL1</v>
      </c>
      <c r="B2973" s="6">
        <v>2.49750249750249E-2</v>
      </c>
      <c r="C2973" s="6">
        <v>0.14761584956346499</v>
      </c>
    </row>
    <row r="2974" spans="1:3" s="8" customFormat="1" x14ac:dyDescent="0.2">
      <c r="A2974" s="6" t="str">
        <f>"GTPBP1"</f>
        <v>GTPBP1</v>
      </c>
      <c r="B2974" s="6">
        <v>2.49750249750249E-2</v>
      </c>
      <c r="C2974" s="6">
        <v>0.14761584956346499</v>
      </c>
    </row>
    <row r="2975" spans="1:3" s="8" customFormat="1" x14ac:dyDescent="0.2">
      <c r="A2975" s="6" t="str">
        <f>"KRT23"</f>
        <v>KRT23</v>
      </c>
      <c r="B2975" s="6">
        <v>2.49750249750249E-2</v>
      </c>
      <c r="C2975" s="6">
        <v>0.14761584956346499</v>
      </c>
    </row>
    <row r="2976" spans="1:3" s="8" customFormat="1" x14ac:dyDescent="0.2">
      <c r="A2976" s="6" t="str">
        <f>"ARHGDIB"</f>
        <v>ARHGDIB</v>
      </c>
      <c r="B2976" s="6">
        <v>2.49750249750249E-2</v>
      </c>
      <c r="C2976" s="6">
        <v>0.14761584956346499</v>
      </c>
    </row>
    <row r="2977" spans="1:3" s="8" customFormat="1" x14ac:dyDescent="0.2">
      <c r="A2977" s="6" t="str">
        <f>"IRF1"</f>
        <v>IRF1</v>
      </c>
      <c r="B2977" s="6">
        <v>2.49750249750249E-2</v>
      </c>
      <c r="C2977" s="6">
        <v>0.14761584956346499</v>
      </c>
    </row>
    <row r="2978" spans="1:3" s="8" customFormat="1" x14ac:dyDescent="0.2">
      <c r="A2978" s="6" t="str">
        <f>"CCDC78"</f>
        <v>CCDC78</v>
      </c>
      <c r="B2978" s="6">
        <v>2.49750249750249E-2</v>
      </c>
      <c r="C2978" s="6">
        <v>0.14761584956346499</v>
      </c>
    </row>
    <row r="2979" spans="1:3" s="8" customFormat="1" x14ac:dyDescent="0.2">
      <c r="A2979" s="6" t="str">
        <f>"CLDN7"</f>
        <v>CLDN7</v>
      </c>
      <c r="B2979" s="6">
        <v>2.49750249750249E-2</v>
      </c>
      <c r="C2979" s="6">
        <v>0.14761584956346499</v>
      </c>
    </row>
    <row r="2980" spans="1:3" s="8" customFormat="1" x14ac:dyDescent="0.2">
      <c r="A2980" s="6" t="str">
        <f>"AC011611.4"</f>
        <v>AC011611.4</v>
      </c>
      <c r="B2980" s="6">
        <v>2.5050100200400799E-2</v>
      </c>
      <c r="C2980" s="6">
        <v>0.147862021458156</v>
      </c>
    </row>
    <row r="2981" spans="1:3" s="8" customFormat="1" x14ac:dyDescent="0.2">
      <c r="A2981" s="6" t="str">
        <f>"TCAP"</f>
        <v>TCAP</v>
      </c>
      <c r="B2981" s="6">
        <v>2.5125628140703501E-2</v>
      </c>
      <c r="C2981" s="6">
        <v>0.148258068867829</v>
      </c>
    </row>
    <row r="2982" spans="1:3" s="8" customFormat="1" x14ac:dyDescent="0.2">
      <c r="A2982" s="6" t="str">
        <f>"MATN1"</f>
        <v>MATN1</v>
      </c>
      <c r="B2982" s="6">
        <v>2.5974025974025899E-2</v>
      </c>
      <c r="C2982" s="6">
        <v>0.15143477212442699</v>
      </c>
    </row>
    <row r="2983" spans="1:3" s="8" customFormat="1" x14ac:dyDescent="0.2">
      <c r="A2983" s="6" t="str">
        <f>"KCTD16"</f>
        <v>KCTD16</v>
      </c>
      <c r="B2983" s="6">
        <v>2.5974025974025899E-2</v>
      </c>
      <c r="C2983" s="6">
        <v>0.15143477212442699</v>
      </c>
    </row>
    <row r="2984" spans="1:3" s="8" customFormat="1" x14ac:dyDescent="0.2">
      <c r="A2984" s="6" t="str">
        <f>"C6orf58"</f>
        <v>C6orf58</v>
      </c>
      <c r="B2984" s="6">
        <v>2.5974025974025899E-2</v>
      </c>
      <c r="C2984" s="6">
        <v>0.15143477212442699</v>
      </c>
    </row>
    <row r="2985" spans="1:3" s="8" customFormat="1" x14ac:dyDescent="0.2">
      <c r="A2985" s="6" t="str">
        <f>"FOLR3"</f>
        <v>FOLR3</v>
      </c>
      <c r="B2985" s="6">
        <v>2.5974025974025899E-2</v>
      </c>
      <c r="C2985" s="6">
        <v>0.15143477212442699</v>
      </c>
    </row>
    <row r="2986" spans="1:3" s="8" customFormat="1" x14ac:dyDescent="0.2">
      <c r="A2986" s="6" t="str">
        <f>"NIPAL4"</f>
        <v>NIPAL4</v>
      </c>
      <c r="B2986" s="6">
        <v>2.5974025974025899E-2</v>
      </c>
      <c r="C2986" s="6">
        <v>0.15143477212442699</v>
      </c>
    </row>
    <row r="2987" spans="1:3" s="8" customFormat="1" x14ac:dyDescent="0.2">
      <c r="A2987" s="6" t="str">
        <f>"SLC1A2"</f>
        <v>SLC1A2</v>
      </c>
      <c r="B2987" s="6">
        <v>2.5974025974025899E-2</v>
      </c>
      <c r="C2987" s="6">
        <v>0.15143477212442699</v>
      </c>
    </row>
    <row r="2988" spans="1:3" s="8" customFormat="1" x14ac:dyDescent="0.2">
      <c r="A2988" s="6" t="str">
        <f>"SYT11"</f>
        <v>SYT11</v>
      </c>
      <c r="B2988" s="6">
        <v>2.5974025974025899E-2</v>
      </c>
      <c r="C2988" s="6">
        <v>0.15143477212442699</v>
      </c>
    </row>
    <row r="2989" spans="1:3" s="8" customFormat="1" x14ac:dyDescent="0.2">
      <c r="A2989" s="6" t="str">
        <f>"ARMCX1"</f>
        <v>ARMCX1</v>
      </c>
      <c r="B2989" s="6">
        <v>2.5974025974025899E-2</v>
      </c>
      <c r="C2989" s="6">
        <v>0.15143477212442699</v>
      </c>
    </row>
    <row r="2990" spans="1:3" s="8" customFormat="1" x14ac:dyDescent="0.2">
      <c r="A2990" s="6" t="str">
        <f>"KMT2E-AS1"</f>
        <v>KMT2E-AS1</v>
      </c>
      <c r="B2990" s="6">
        <v>2.5974025974025899E-2</v>
      </c>
      <c r="C2990" s="6">
        <v>0.15143477212442699</v>
      </c>
    </row>
    <row r="2991" spans="1:3" s="8" customFormat="1" x14ac:dyDescent="0.2">
      <c r="A2991" s="6" t="str">
        <f>"CCBE1"</f>
        <v>CCBE1</v>
      </c>
      <c r="B2991" s="6">
        <v>2.5974025974025899E-2</v>
      </c>
      <c r="C2991" s="6">
        <v>0.15143477212442699</v>
      </c>
    </row>
    <row r="2992" spans="1:3" s="8" customFormat="1" x14ac:dyDescent="0.2">
      <c r="A2992" s="6" t="str">
        <f>"PRR36"</f>
        <v>PRR36</v>
      </c>
      <c r="B2992" s="6">
        <v>2.5974025974025899E-2</v>
      </c>
      <c r="C2992" s="6">
        <v>0.15143477212442699</v>
      </c>
    </row>
    <row r="2993" spans="1:3" s="8" customFormat="1" x14ac:dyDescent="0.2">
      <c r="A2993" s="6" t="str">
        <f>"ZNF497"</f>
        <v>ZNF497</v>
      </c>
      <c r="B2993" s="6">
        <v>2.5974025974025899E-2</v>
      </c>
      <c r="C2993" s="6">
        <v>0.15143477212442699</v>
      </c>
    </row>
    <row r="2994" spans="1:3" s="8" customFormat="1" x14ac:dyDescent="0.2">
      <c r="A2994" s="6" t="str">
        <f>"TINCR"</f>
        <v>TINCR</v>
      </c>
      <c r="B2994" s="6">
        <v>2.5974025974025899E-2</v>
      </c>
      <c r="C2994" s="6">
        <v>0.15143477212442699</v>
      </c>
    </row>
    <row r="2995" spans="1:3" s="8" customFormat="1" x14ac:dyDescent="0.2">
      <c r="A2995" s="6" t="str">
        <f>"AP002008.4"</f>
        <v>AP002008.4</v>
      </c>
      <c r="B2995" s="6">
        <v>2.5974025974025899E-2</v>
      </c>
      <c r="C2995" s="6">
        <v>0.15143477212442699</v>
      </c>
    </row>
    <row r="2996" spans="1:3" s="8" customFormat="1" x14ac:dyDescent="0.2">
      <c r="A2996" s="6" t="str">
        <f>"ZNF200"</f>
        <v>ZNF200</v>
      </c>
      <c r="B2996" s="6">
        <v>2.5974025974025899E-2</v>
      </c>
      <c r="C2996" s="6">
        <v>0.15143477212442699</v>
      </c>
    </row>
    <row r="2997" spans="1:3" s="8" customFormat="1" x14ac:dyDescent="0.2">
      <c r="A2997" s="6" t="str">
        <f>"TMC8"</f>
        <v>TMC8</v>
      </c>
      <c r="B2997" s="6">
        <v>2.5974025974025899E-2</v>
      </c>
      <c r="C2997" s="6">
        <v>0.15143477212442699</v>
      </c>
    </row>
    <row r="2998" spans="1:3" s="8" customFormat="1" x14ac:dyDescent="0.2">
      <c r="A2998" s="6" t="str">
        <f>"SMOX"</f>
        <v>SMOX</v>
      </c>
      <c r="B2998" s="6">
        <v>2.5974025974025899E-2</v>
      </c>
      <c r="C2998" s="6">
        <v>0.15143477212442699</v>
      </c>
    </row>
    <row r="2999" spans="1:3" s="8" customFormat="1" x14ac:dyDescent="0.2">
      <c r="A2999" s="6" t="str">
        <f>"SSPN"</f>
        <v>SSPN</v>
      </c>
      <c r="B2999" s="6">
        <v>2.5974025974025899E-2</v>
      </c>
      <c r="C2999" s="6">
        <v>0.15143477212442699</v>
      </c>
    </row>
    <row r="3000" spans="1:3" s="8" customFormat="1" x14ac:dyDescent="0.2">
      <c r="A3000" s="6" t="str">
        <f>"SPATA5"</f>
        <v>SPATA5</v>
      </c>
      <c r="B3000" s="6">
        <v>2.5974025974025899E-2</v>
      </c>
      <c r="C3000" s="6">
        <v>0.15143477212442699</v>
      </c>
    </row>
    <row r="3001" spans="1:3" s="8" customFormat="1" x14ac:dyDescent="0.2">
      <c r="A3001" s="6" t="str">
        <f>"RAB6B"</f>
        <v>RAB6B</v>
      </c>
      <c r="B3001" s="6">
        <v>2.5974025974025899E-2</v>
      </c>
      <c r="C3001" s="6">
        <v>0.15143477212442699</v>
      </c>
    </row>
    <row r="3002" spans="1:3" s="8" customFormat="1" x14ac:dyDescent="0.2">
      <c r="A3002" s="6" t="str">
        <f>"NFS1"</f>
        <v>NFS1</v>
      </c>
      <c r="B3002" s="6">
        <v>2.5974025974025899E-2</v>
      </c>
      <c r="C3002" s="6">
        <v>0.15143477212442699</v>
      </c>
    </row>
    <row r="3003" spans="1:3" s="8" customFormat="1" x14ac:dyDescent="0.2">
      <c r="A3003" s="6" t="str">
        <f>"TM2D3"</f>
        <v>TM2D3</v>
      </c>
      <c r="B3003" s="6">
        <v>2.5974025974025899E-2</v>
      </c>
      <c r="C3003" s="6">
        <v>0.15143477212442699</v>
      </c>
    </row>
    <row r="3004" spans="1:3" s="8" customFormat="1" x14ac:dyDescent="0.2">
      <c r="A3004" s="6" t="str">
        <f>"PNP"</f>
        <v>PNP</v>
      </c>
      <c r="B3004" s="6">
        <v>2.5974025974025899E-2</v>
      </c>
      <c r="C3004" s="6">
        <v>0.15143477212442699</v>
      </c>
    </row>
    <row r="3005" spans="1:3" s="8" customFormat="1" x14ac:dyDescent="0.2">
      <c r="A3005" s="6" t="str">
        <f>"POMK"</f>
        <v>POMK</v>
      </c>
      <c r="B3005" s="6">
        <v>2.5974025974025899E-2</v>
      </c>
      <c r="C3005" s="6">
        <v>0.15143477212442699</v>
      </c>
    </row>
    <row r="3006" spans="1:3" s="8" customFormat="1" x14ac:dyDescent="0.2">
      <c r="A3006" s="6" t="str">
        <f>"WDR48"</f>
        <v>WDR48</v>
      </c>
      <c r="B3006" s="6">
        <v>2.5974025974025899E-2</v>
      </c>
      <c r="C3006" s="6">
        <v>0.15143477212442699</v>
      </c>
    </row>
    <row r="3007" spans="1:3" s="8" customFormat="1" x14ac:dyDescent="0.2">
      <c r="A3007" s="6" t="str">
        <f>"BMI1"</f>
        <v>BMI1</v>
      </c>
      <c r="B3007" s="6">
        <v>2.5974025974025899E-2</v>
      </c>
      <c r="C3007" s="6">
        <v>0.15143477212442699</v>
      </c>
    </row>
    <row r="3008" spans="1:3" s="8" customFormat="1" x14ac:dyDescent="0.2">
      <c r="A3008" s="6" t="str">
        <f>"ZNF740"</f>
        <v>ZNF740</v>
      </c>
      <c r="B3008" s="6">
        <v>2.5974025974025899E-2</v>
      </c>
      <c r="C3008" s="6">
        <v>0.15143477212442699</v>
      </c>
    </row>
    <row r="3009" spans="1:3" s="8" customFormat="1" x14ac:dyDescent="0.2">
      <c r="A3009" s="6" t="str">
        <f>"ZHX1"</f>
        <v>ZHX1</v>
      </c>
      <c r="B3009" s="6">
        <v>2.5974025974025899E-2</v>
      </c>
      <c r="C3009" s="6">
        <v>0.15143477212442699</v>
      </c>
    </row>
    <row r="3010" spans="1:3" s="8" customFormat="1" x14ac:dyDescent="0.2">
      <c r="A3010" s="6" t="str">
        <f>"UBE2B"</f>
        <v>UBE2B</v>
      </c>
      <c r="B3010" s="6">
        <v>2.5974025974025899E-2</v>
      </c>
      <c r="C3010" s="6">
        <v>0.15143477212442699</v>
      </c>
    </row>
    <row r="3011" spans="1:3" s="8" customFormat="1" x14ac:dyDescent="0.2">
      <c r="A3011" s="6" t="str">
        <f>"DDA1"</f>
        <v>DDA1</v>
      </c>
      <c r="B3011" s="6">
        <v>2.5974025974025899E-2</v>
      </c>
      <c r="C3011" s="6">
        <v>0.15143477212442699</v>
      </c>
    </row>
    <row r="3012" spans="1:3" s="8" customFormat="1" x14ac:dyDescent="0.2">
      <c r="A3012" s="6" t="str">
        <f>"IL17RA"</f>
        <v>IL17RA</v>
      </c>
      <c r="B3012" s="6">
        <v>2.5974025974025899E-2</v>
      </c>
      <c r="C3012" s="6">
        <v>0.15143477212442699</v>
      </c>
    </row>
    <row r="3013" spans="1:3" s="8" customFormat="1" x14ac:dyDescent="0.2">
      <c r="A3013" s="6" t="str">
        <f>"CDC14A"</f>
        <v>CDC14A</v>
      </c>
      <c r="B3013" s="6">
        <v>2.5974025974025899E-2</v>
      </c>
      <c r="C3013" s="6">
        <v>0.15143477212442699</v>
      </c>
    </row>
    <row r="3014" spans="1:3" s="8" customFormat="1" x14ac:dyDescent="0.2">
      <c r="A3014" s="6" t="str">
        <f>"ZNF385A"</f>
        <v>ZNF385A</v>
      </c>
      <c r="B3014" s="6">
        <v>2.5974025974025899E-2</v>
      </c>
      <c r="C3014" s="6">
        <v>0.15143477212442699</v>
      </c>
    </row>
    <row r="3015" spans="1:3" s="8" customFormat="1" x14ac:dyDescent="0.2">
      <c r="A3015" s="6" t="str">
        <f>"DAD1"</f>
        <v>DAD1</v>
      </c>
      <c r="B3015" s="6">
        <v>2.5974025974025899E-2</v>
      </c>
      <c r="C3015" s="6">
        <v>0.15143477212442699</v>
      </c>
    </row>
    <row r="3016" spans="1:3" s="8" customFormat="1" x14ac:dyDescent="0.2">
      <c r="A3016" s="6" t="str">
        <f>"PRPF19"</f>
        <v>PRPF19</v>
      </c>
      <c r="B3016" s="6">
        <v>2.5974025974025899E-2</v>
      </c>
      <c r="C3016" s="6">
        <v>0.15143477212442699</v>
      </c>
    </row>
    <row r="3017" spans="1:3" s="8" customFormat="1" x14ac:dyDescent="0.2">
      <c r="A3017" s="6" t="str">
        <f>"SLC44A2"</f>
        <v>SLC44A2</v>
      </c>
      <c r="B3017" s="6">
        <v>2.5974025974025899E-2</v>
      </c>
      <c r="C3017" s="6">
        <v>0.15143477212442699</v>
      </c>
    </row>
    <row r="3018" spans="1:3" s="8" customFormat="1" x14ac:dyDescent="0.2">
      <c r="A3018" s="6" t="str">
        <f>"AC005537.1"</f>
        <v>AC005537.1</v>
      </c>
      <c r="B3018" s="6">
        <v>2.5999999999999999E-2</v>
      </c>
      <c r="C3018" s="6">
        <v>0.15153596287703</v>
      </c>
    </row>
    <row r="3019" spans="1:3" s="8" customFormat="1" x14ac:dyDescent="0.2">
      <c r="A3019" s="6" t="str">
        <f>"AC009086.2"</f>
        <v>AC009086.2</v>
      </c>
      <c r="B3019" s="6">
        <v>2.6052104208416801E-2</v>
      </c>
      <c r="C3019" s="6">
        <v>0.15173905279920499</v>
      </c>
    </row>
    <row r="3020" spans="1:3" s="8" customFormat="1" x14ac:dyDescent="0.2">
      <c r="A3020" s="6" t="str">
        <f>"FAM13C"</f>
        <v>FAM13C</v>
      </c>
      <c r="B3020" s="6">
        <v>2.6052104208416801E-2</v>
      </c>
      <c r="C3020" s="6">
        <v>0.15173905279920499</v>
      </c>
    </row>
    <row r="3021" spans="1:3" s="8" customFormat="1" x14ac:dyDescent="0.2">
      <c r="A3021" s="6" t="str">
        <f>"AL590302.1"</f>
        <v>AL590302.1</v>
      </c>
      <c r="B3021" s="6">
        <v>2.7E-2</v>
      </c>
      <c r="C3021" s="6">
        <v>0.154446324007807</v>
      </c>
    </row>
    <row r="3022" spans="1:3" s="8" customFormat="1" x14ac:dyDescent="0.2">
      <c r="A3022" s="6" t="str">
        <f>"AC125494.1"</f>
        <v>AC125494.1</v>
      </c>
      <c r="B3022" s="6">
        <v>2.6973026973026899E-2</v>
      </c>
      <c r="C3022" s="6">
        <v>0.154446324007807</v>
      </c>
    </row>
    <row r="3023" spans="1:3" s="8" customFormat="1" x14ac:dyDescent="0.2">
      <c r="A3023" s="6" t="str">
        <f>"AC239804.1"</f>
        <v>AC239804.1</v>
      </c>
      <c r="B3023" s="6">
        <v>2.6973026973026899E-2</v>
      </c>
      <c r="C3023" s="6">
        <v>0.154446324007807</v>
      </c>
    </row>
    <row r="3024" spans="1:3" s="8" customFormat="1" x14ac:dyDescent="0.2">
      <c r="A3024" s="6" t="str">
        <f>"SMIM15-AS1"</f>
        <v>SMIM15-AS1</v>
      </c>
      <c r="B3024" s="6">
        <v>2.7E-2</v>
      </c>
      <c r="C3024" s="6">
        <v>0.154446324007807</v>
      </c>
    </row>
    <row r="3025" spans="1:3" s="8" customFormat="1" x14ac:dyDescent="0.2">
      <c r="A3025" s="6" t="str">
        <f>"AC027644.4"</f>
        <v>AC027644.4</v>
      </c>
      <c r="B3025" s="6">
        <v>2.6973026973026899E-2</v>
      </c>
      <c r="C3025" s="6">
        <v>0.154446324007807</v>
      </c>
    </row>
    <row r="3026" spans="1:3" s="8" customFormat="1" x14ac:dyDescent="0.2">
      <c r="A3026" s="6" t="str">
        <f>"TICRR"</f>
        <v>TICRR</v>
      </c>
      <c r="B3026" s="6">
        <v>2.6973026973026899E-2</v>
      </c>
      <c r="C3026" s="6">
        <v>0.154446324007807</v>
      </c>
    </row>
    <row r="3027" spans="1:3" s="8" customFormat="1" x14ac:dyDescent="0.2">
      <c r="A3027" s="6" t="str">
        <f>"Z97633.1"</f>
        <v>Z97633.1</v>
      </c>
      <c r="B3027" s="6">
        <v>2.6973026973026899E-2</v>
      </c>
      <c r="C3027" s="6">
        <v>0.154446324007807</v>
      </c>
    </row>
    <row r="3028" spans="1:3" s="8" customFormat="1" x14ac:dyDescent="0.2">
      <c r="A3028" s="6" t="str">
        <f>"AC006064.2"</f>
        <v>AC006064.2</v>
      </c>
      <c r="B3028" s="6">
        <v>2.6973026973026899E-2</v>
      </c>
      <c r="C3028" s="6">
        <v>0.154446324007807</v>
      </c>
    </row>
    <row r="3029" spans="1:3" s="8" customFormat="1" x14ac:dyDescent="0.2">
      <c r="A3029" s="6" t="str">
        <f>"ESCO2"</f>
        <v>ESCO2</v>
      </c>
      <c r="B3029" s="6">
        <v>2.6973026973026899E-2</v>
      </c>
      <c r="C3029" s="6">
        <v>0.154446324007807</v>
      </c>
    </row>
    <row r="3030" spans="1:3" s="8" customFormat="1" x14ac:dyDescent="0.2">
      <c r="A3030" s="6" t="str">
        <f>"AL132799.1"</f>
        <v>AL132799.1</v>
      </c>
      <c r="B3030" s="6">
        <v>2.6973026973026899E-2</v>
      </c>
      <c r="C3030" s="6">
        <v>0.154446324007807</v>
      </c>
    </row>
    <row r="3031" spans="1:3" s="8" customFormat="1" x14ac:dyDescent="0.2">
      <c r="A3031" s="6" t="str">
        <f>"SKA1"</f>
        <v>SKA1</v>
      </c>
      <c r="B3031" s="6">
        <v>2.6973026973026899E-2</v>
      </c>
      <c r="C3031" s="6">
        <v>0.154446324007807</v>
      </c>
    </row>
    <row r="3032" spans="1:3" s="8" customFormat="1" x14ac:dyDescent="0.2">
      <c r="A3032" s="6" t="str">
        <f>"AC092692.1"</f>
        <v>AC092692.1</v>
      </c>
      <c r="B3032" s="6">
        <v>2.6973026973026899E-2</v>
      </c>
      <c r="C3032" s="6">
        <v>0.154446324007807</v>
      </c>
    </row>
    <row r="3033" spans="1:3" s="8" customFormat="1" x14ac:dyDescent="0.2">
      <c r="A3033" s="6" t="str">
        <f>"AL035071.1"</f>
        <v>AL035071.1</v>
      </c>
      <c r="B3033" s="6">
        <v>2.6973026973026899E-2</v>
      </c>
      <c r="C3033" s="6">
        <v>0.154446324007807</v>
      </c>
    </row>
    <row r="3034" spans="1:3" s="8" customFormat="1" x14ac:dyDescent="0.2">
      <c r="A3034" s="6" t="str">
        <f>"SAP30-DT"</f>
        <v>SAP30-DT</v>
      </c>
      <c r="B3034" s="6">
        <v>2.7E-2</v>
      </c>
      <c r="C3034" s="6">
        <v>0.154446324007807</v>
      </c>
    </row>
    <row r="3035" spans="1:3" s="8" customFormat="1" x14ac:dyDescent="0.2">
      <c r="A3035" s="6" t="str">
        <f>"SLC6A15"</f>
        <v>SLC6A15</v>
      </c>
      <c r="B3035" s="6">
        <v>2.6973026973026899E-2</v>
      </c>
      <c r="C3035" s="6">
        <v>0.154446324007807</v>
      </c>
    </row>
    <row r="3036" spans="1:3" s="8" customFormat="1" x14ac:dyDescent="0.2">
      <c r="A3036" s="6" t="str">
        <f>"ZFR2"</f>
        <v>ZFR2</v>
      </c>
      <c r="B3036" s="6">
        <v>2.6973026973026899E-2</v>
      </c>
      <c r="C3036" s="6">
        <v>0.154446324007807</v>
      </c>
    </row>
    <row r="3037" spans="1:3" s="8" customFormat="1" x14ac:dyDescent="0.2">
      <c r="A3037" s="6" t="str">
        <f>"ZNF483"</f>
        <v>ZNF483</v>
      </c>
      <c r="B3037" s="6">
        <v>2.6973026973026899E-2</v>
      </c>
      <c r="C3037" s="6">
        <v>0.154446324007807</v>
      </c>
    </row>
    <row r="3038" spans="1:3" s="8" customFormat="1" x14ac:dyDescent="0.2">
      <c r="A3038" s="6" t="str">
        <f>"HLA-J"</f>
        <v>HLA-J</v>
      </c>
      <c r="B3038" s="6">
        <v>2.6973026973026899E-2</v>
      </c>
      <c r="C3038" s="6">
        <v>0.154446324007807</v>
      </c>
    </row>
    <row r="3039" spans="1:3" s="8" customFormat="1" x14ac:dyDescent="0.2">
      <c r="A3039" s="6" t="str">
        <f>"HSD17B2"</f>
        <v>HSD17B2</v>
      </c>
      <c r="B3039" s="6">
        <v>2.6973026973026899E-2</v>
      </c>
      <c r="C3039" s="6">
        <v>0.154446324007807</v>
      </c>
    </row>
    <row r="3040" spans="1:3" s="8" customFormat="1" x14ac:dyDescent="0.2">
      <c r="A3040" s="6" t="str">
        <f>"UMAD1"</f>
        <v>UMAD1</v>
      </c>
      <c r="B3040" s="6">
        <v>2.6973026973026899E-2</v>
      </c>
      <c r="C3040" s="6">
        <v>0.154446324007807</v>
      </c>
    </row>
    <row r="3041" spans="1:3" s="8" customFormat="1" x14ac:dyDescent="0.2">
      <c r="A3041" s="6" t="str">
        <f>"FAM200A"</f>
        <v>FAM200A</v>
      </c>
      <c r="B3041" s="6">
        <v>2.6973026973026899E-2</v>
      </c>
      <c r="C3041" s="6">
        <v>0.154446324007807</v>
      </c>
    </row>
    <row r="3042" spans="1:3" s="8" customFormat="1" x14ac:dyDescent="0.2">
      <c r="A3042" s="6" t="str">
        <f>"HENMT1"</f>
        <v>HENMT1</v>
      </c>
      <c r="B3042" s="6">
        <v>2.6973026973026899E-2</v>
      </c>
      <c r="C3042" s="6">
        <v>0.154446324007807</v>
      </c>
    </row>
    <row r="3043" spans="1:3" s="8" customFormat="1" x14ac:dyDescent="0.2">
      <c r="A3043" s="6" t="str">
        <f>"SDC2"</f>
        <v>SDC2</v>
      </c>
      <c r="B3043" s="6">
        <v>2.6973026973026899E-2</v>
      </c>
      <c r="C3043" s="6">
        <v>0.154446324007807</v>
      </c>
    </row>
    <row r="3044" spans="1:3" s="8" customFormat="1" x14ac:dyDescent="0.2">
      <c r="A3044" s="6" t="str">
        <f>"LRRC20"</f>
        <v>LRRC20</v>
      </c>
      <c r="B3044" s="6">
        <v>2.6973026973026899E-2</v>
      </c>
      <c r="C3044" s="6">
        <v>0.154446324007807</v>
      </c>
    </row>
    <row r="3045" spans="1:3" s="8" customFormat="1" x14ac:dyDescent="0.2">
      <c r="A3045" s="6" t="str">
        <f>"FBXO30-DT"</f>
        <v>FBXO30-DT</v>
      </c>
      <c r="B3045" s="6">
        <v>2.6973026973026899E-2</v>
      </c>
      <c r="C3045" s="6">
        <v>0.154446324007807</v>
      </c>
    </row>
    <row r="3046" spans="1:3" s="8" customFormat="1" x14ac:dyDescent="0.2">
      <c r="A3046" s="6" t="str">
        <f>"TIMM29"</f>
        <v>TIMM29</v>
      </c>
      <c r="B3046" s="6">
        <v>2.6973026973026899E-2</v>
      </c>
      <c r="C3046" s="6">
        <v>0.154446324007807</v>
      </c>
    </row>
    <row r="3047" spans="1:3" s="8" customFormat="1" x14ac:dyDescent="0.2">
      <c r="A3047" s="6" t="str">
        <f>"TMEM65"</f>
        <v>TMEM65</v>
      </c>
      <c r="B3047" s="6">
        <v>2.6973026973026899E-2</v>
      </c>
      <c r="C3047" s="6">
        <v>0.154446324007807</v>
      </c>
    </row>
    <row r="3048" spans="1:3" s="8" customFormat="1" x14ac:dyDescent="0.2">
      <c r="A3048" s="6" t="str">
        <f>"ZNF304"</f>
        <v>ZNF304</v>
      </c>
      <c r="B3048" s="6">
        <v>2.6973026973026899E-2</v>
      </c>
      <c r="C3048" s="6">
        <v>0.154446324007807</v>
      </c>
    </row>
    <row r="3049" spans="1:3" s="8" customFormat="1" x14ac:dyDescent="0.2">
      <c r="A3049" s="6" t="str">
        <f>"PPP2R3A"</f>
        <v>PPP2R3A</v>
      </c>
      <c r="B3049" s="6">
        <v>2.6973026973026899E-2</v>
      </c>
      <c r="C3049" s="6">
        <v>0.154446324007807</v>
      </c>
    </row>
    <row r="3050" spans="1:3" s="8" customFormat="1" x14ac:dyDescent="0.2">
      <c r="A3050" s="6" t="str">
        <f>"ZNF580"</f>
        <v>ZNF580</v>
      </c>
      <c r="B3050" s="6">
        <v>2.6973026973026899E-2</v>
      </c>
      <c r="C3050" s="6">
        <v>0.154446324007807</v>
      </c>
    </row>
    <row r="3051" spans="1:3" s="8" customFormat="1" x14ac:dyDescent="0.2">
      <c r="A3051" s="6" t="str">
        <f>"BUD13"</f>
        <v>BUD13</v>
      </c>
      <c r="B3051" s="6">
        <v>2.6973026973026899E-2</v>
      </c>
      <c r="C3051" s="6">
        <v>0.154446324007807</v>
      </c>
    </row>
    <row r="3052" spans="1:3" s="8" customFormat="1" x14ac:dyDescent="0.2">
      <c r="A3052" s="6" t="str">
        <f>"WASHC3"</f>
        <v>WASHC3</v>
      </c>
      <c r="B3052" s="6">
        <v>2.6973026973026899E-2</v>
      </c>
      <c r="C3052" s="6">
        <v>0.154446324007807</v>
      </c>
    </row>
    <row r="3053" spans="1:3" s="8" customFormat="1" x14ac:dyDescent="0.2">
      <c r="A3053" s="6" t="str">
        <f>"RBX1"</f>
        <v>RBX1</v>
      </c>
      <c r="B3053" s="6">
        <v>2.7E-2</v>
      </c>
      <c r="C3053" s="6">
        <v>0.154446324007807</v>
      </c>
    </row>
    <row r="3054" spans="1:3" s="8" customFormat="1" x14ac:dyDescent="0.2">
      <c r="A3054" s="6" t="str">
        <f>"ISCA2"</f>
        <v>ISCA2</v>
      </c>
      <c r="B3054" s="6">
        <v>2.6973026973026899E-2</v>
      </c>
      <c r="C3054" s="6">
        <v>0.154446324007807</v>
      </c>
    </row>
    <row r="3055" spans="1:3" s="8" customFormat="1" x14ac:dyDescent="0.2">
      <c r="A3055" s="6" t="str">
        <f>"CDC26"</f>
        <v>CDC26</v>
      </c>
      <c r="B3055" s="6">
        <v>2.6973026973026899E-2</v>
      </c>
      <c r="C3055" s="6">
        <v>0.154446324007807</v>
      </c>
    </row>
    <row r="3056" spans="1:3" s="8" customFormat="1" x14ac:dyDescent="0.2">
      <c r="A3056" s="6" t="str">
        <f>"CEP192"</f>
        <v>CEP192</v>
      </c>
      <c r="B3056" s="6">
        <v>2.7E-2</v>
      </c>
      <c r="C3056" s="6">
        <v>0.154446324007807</v>
      </c>
    </row>
    <row r="3057" spans="1:3" s="8" customFormat="1" x14ac:dyDescent="0.2">
      <c r="A3057" s="6" t="str">
        <f>"ATPAF1"</f>
        <v>ATPAF1</v>
      </c>
      <c r="B3057" s="6">
        <v>2.6973026973026899E-2</v>
      </c>
      <c r="C3057" s="6">
        <v>0.154446324007807</v>
      </c>
    </row>
    <row r="3058" spans="1:3" s="8" customFormat="1" x14ac:dyDescent="0.2">
      <c r="A3058" s="6" t="str">
        <f>"ERBB4"</f>
        <v>ERBB4</v>
      </c>
      <c r="B3058" s="6">
        <v>2.6973026973026899E-2</v>
      </c>
      <c r="C3058" s="6">
        <v>0.154446324007807</v>
      </c>
    </row>
    <row r="3059" spans="1:3" s="8" customFormat="1" x14ac:dyDescent="0.2">
      <c r="A3059" s="6" t="str">
        <f>"ZRANB2"</f>
        <v>ZRANB2</v>
      </c>
      <c r="B3059" s="6">
        <v>2.6973026973026899E-2</v>
      </c>
      <c r="C3059" s="6">
        <v>0.154446324007807</v>
      </c>
    </row>
    <row r="3060" spans="1:3" s="8" customFormat="1" x14ac:dyDescent="0.2">
      <c r="A3060" s="6" t="str">
        <f>"PDK2"</f>
        <v>PDK2</v>
      </c>
      <c r="B3060" s="6">
        <v>2.6973026973026899E-2</v>
      </c>
      <c r="C3060" s="6">
        <v>0.154446324007807</v>
      </c>
    </row>
    <row r="3061" spans="1:3" s="8" customFormat="1" x14ac:dyDescent="0.2">
      <c r="A3061" s="6" t="str">
        <f>"SERPINB5"</f>
        <v>SERPINB5</v>
      </c>
      <c r="B3061" s="6">
        <v>2.6973026973026899E-2</v>
      </c>
      <c r="C3061" s="6">
        <v>0.154446324007807</v>
      </c>
    </row>
    <row r="3062" spans="1:3" s="8" customFormat="1" x14ac:dyDescent="0.2">
      <c r="A3062" s="6" t="str">
        <f>"DYM"</f>
        <v>DYM</v>
      </c>
      <c r="B3062" s="6">
        <v>2.6973026973026899E-2</v>
      </c>
      <c r="C3062" s="6">
        <v>0.154446324007807</v>
      </c>
    </row>
    <row r="3063" spans="1:3" s="8" customFormat="1" x14ac:dyDescent="0.2">
      <c r="A3063" s="6" t="str">
        <f>"PHF20L1"</f>
        <v>PHF20L1</v>
      </c>
      <c r="B3063" s="6">
        <v>2.6973026973026899E-2</v>
      </c>
      <c r="C3063" s="6">
        <v>0.154446324007807</v>
      </c>
    </row>
    <row r="3064" spans="1:3" s="8" customFormat="1" x14ac:dyDescent="0.2">
      <c r="A3064" s="6" t="str">
        <f>"URI1"</f>
        <v>URI1</v>
      </c>
      <c r="B3064" s="6">
        <v>2.6973026973026899E-2</v>
      </c>
      <c r="C3064" s="6">
        <v>0.154446324007807</v>
      </c>
    </row>
    <row r="3065" spans="1:3" s="8" customFormat="1" x14ac:dyDescent="0.2">
      <c r="A3065" s="6" t="str">
        <f>"COL9A2"</f>
        <v>COL9A2</v>
      </c>
      <c r="B3065" s="6">
        <v>2.6973026973026899E-2</v>
      </c>
      <c r="C3065" s="6">
        <v>0.154446324007807</v>
      </c>
    </row>
    <row r="3066" spans="1:3" s="8" customFormat="1" x14ac:dyDescent="0.2">
      <c r="A3066" s="6" t="str">
        <f>"TIMM23"</f>
        <v>TIMM23</v>
      </c>
      <c r="B3066" s="6">
        <v>2.6973026973026899E-2</v>
      </c>
      <c r="C3066" s="6">
        <v>0.154446324007807</v>
      </c>
    </row>
    <row r="3067" spans="1:3" s="8" customFormat="1" x14ac:dyDescent="0.2">
      <c r="A3067" s="6" t="str">
        <f>"AGAP3"</f>
        <v>AGAP3</v>
      </c>
      <c r="B3067" s="6">
        <v>2.6973026973026899E-2</v>
      </c>
      <c r="C3067" s="6">
        <v>0.154446324007807</v>
      </c>
    </row>
    <row r="3068" spans="1:3" s="8" customFormat="1" x14ac:dyDescent="0.2">
      <c r="A3068" s="6" t="str">
        <f>"CCDC124"</f>
        <v>CCDC124</v>
      </c>
      <c r="B3068" s="6">
        <v>2.6973026973026899E-2</v>
      </c>
      <c r="C3068" s="6">
        <v>0.154446324007807</v>
      </c>
    </row>
    <row r="3069" spans="1:3" s="8" customFormat="1" x14ac:dyDescent="0.2">
      <c r="A3069" s="6" t="str">
        <f>"POM121"</f>
        <v>POM121</v>
      </c>
      <c r="B3069" s="6">
        <v>2.6973026973026899E-2</v>
      </c>
      <c r="C3069" s="6">
        <v>0.154446324007807</v>
      </c>
    </row>
    <row r="3070" spans="1:3" s="8" customFormat="1" x14ac:dyDescent="0.2">
      <c r="A3070" s="6" t="str">
        <f>"MARK3"</f>
        <v>MARK3</v>
      </c>
      <c r="B3070" s="6">
        <v>2.6973026973026899E-2</v>
      </c>
      <c r="C3070" s="6">
        <v>0.154446324007807</v>
      </c>
    </row>
    <row r="3071" spans="1:3" s="8" customFormat="1" x14ac:dyDescent="0.2">
      <c r="A3071" s="6" t="str">
        <f>"CES4A"</f>
        <v>CES4A</v>
      </c>
      <c r="B3071" s="6">
        <v>2.6973026973026899E-2</v>
      </c>
      <c r="C3071" s="6">
        <v>0.154446324007807</v>
      </c>
    </row>
    <row r="3072" spans="1:3" s="8" customFormat="1" x14ac:dyDescent="0.2">
      <c r="A3072" s="6" t="str">
        <f>"SDCBP2"</f>
        <v>SDCBP2</v>
      </c>
      <c r="B3072" s="6">
        <v>2.6973026973026899E-2</v>
      </c>
      <c r="C3072" s="6">
        <v>0.154446324007807</v>
      </c>
    </row>
    <row r="3073" spans="1:3" s="8" customFormat="1" x14ac:dyDescent="0.2">
      <c r="A3073" s="6" t="str">
        <f>"MAPKAPK2"</f>
        <v>MAPKAPK2</v>
      </c>
      <c r="B3073" s="6">
        <v>2.6973026973026899E-2</v>
      </c>
      <c r="C3073" s="6">
        <v>0.154446324007807</v>
      </c>
    </row>
    <row r="3074" spans="1:3" s="8" customFormat="1" x14ac:dyDescent="0.2">
      <c r="A3074" s="6" t="str">
        <f>"SPTBN2"</f>
        <v>SPTBN2</v>
      </c>
      <c r="B3074" s="6">
        <v>2.6973026973026899E-2</v>
      </c>
      <c r="C3074" s="6">
        <v>0.154446324007807</v>
      </c>
    </row>
    <row r="3075" spans="1:3" s="8" customFormat="1" x14ac:dyDescent="0.2">
      <c r="A3075" s="6" t="str">
        <f>"UBC"</f>
        <v>UBC</v>
      </c>
      <c r="B3075" s="6">
        <v>2.6973026973026899E-2</v>
      </c>
      <c r="C3075" s="6">
        <v>0.154446324007807</v>
      </c>
    </row>
    <row r="3076" spans="1:3" s="8" customFormat="1" x14ac:dyDescent="0.2">
      <c r="A3076" s="6" t="str">
        <f>"SEPTIN12"</f>
        <v>SEPTIN12</v>
      </c>
      <c r="B3076" s="6">
        <v>2.7027027027027001E-2</v>
      </c>
      <c r="C3076" s="6">
        <v>0.154450192799234</v>
      </c>
    </row>
    <row r="3077" spans="1:3" s="8" customFormat="1" x14ac:dyDescent="0.2">
      <c r="A3077" s="6" t="str">
        <f>"TMEM252-DT"</f>
        <v>TMEM252-DT</v>
      </c>
      <c r="B3077" s="6">
        <v>2.7027027027027001E-2</v>
      </c>
      <c r="C3077" s="6">
        <v>0.154450192799234</v>
      </c>
    </row>
    <row r="3078" spans="1:3" s="8" customFormat="1" x14ac:dyDescent="0.2">
      <c r="A3078" s="6" t="str">
        <f>"SNRPN"</f>
        <v>SNRPN</v>
      </c>
      <c r="B3078" s="6">
        <v>2.7027027027027001E-2</v>
      </c>
      <c r="C3078" s="6">
        <v>0.154450192799234</v>
      </c>
    </row>
    <row r="3079" spans="1:3" s="8" customFormat="1" x14ac:dyDescent="0.2">
      <c r="A3079" s="6" t="str">
        <f>"ARSH"</f>
        <v>ARSH</v>
      </c>
      <c r="B3079" s="6">
        <v>2.7081243731193499E-2</v>
      </c>
      <c r="C3079" s="6">
        <v>0.15470974326488199</v>
      </c>
    </row>
    <row r="3080" spans="1:3" s="8" customFormat="1" x14ac:dyDescent="0.2">
      <c r="A3080" s="6" t="str">
        <f>"TEX45"</f>
        <v>TEX45</v>
      </c>
      <c r="B3080" s="6">
        <v>2.7108433734939701E-2</v>
      </c>
      <c r="C3080" s="6">
        <v>0.15476451259583701</v>
      </c>
    </row>
    <row r="3081" spans="1:3" s="8" customFormat="1" x14ac:dyDescent="0.2">
      <c r="A3081" s="6" t="str">
        <f>"AL357079.2"</f>
        <v>AL357079.2</v>
      </c>
      <c r="B3081" s="6">
        <v>2.7108433734939701E-2</v>
      </c>
      <c r="C3081" s="6">
        <v>0.15476451259583701</v>
      </c>
    </row>
    <row r="3082" spans="1:3" s="8" customFormat="1" x14ac:dyDescent="0.2">
      <c r="A3082" s="6" t="str">
        <f>"AC008739.6"</f>
        <v>AC008739.6</v>
      </c>
      <c r="B3082" s="6">
        <v>2.7272727272727199E-2</v>
      </c>
      <c r="C3082" s="6">
        <v>0.15565194299371499</v>
      </c>
    </row>
    <row r="3083" spans="1:3" s="8" customFormat="1" x14ac:dyDescent="0.2">
      <c r="A3083" s="6" t="str">
        <f>"CPSF4L"</f>
        <v>CPSF4L</v>
      </c>
      <c r="B3083" s="6">
        <v>2.7972027972027899E-2</v>
      </c>
      <c r="C3083" s="6">
        <v>0.15734489438904001</v>
      </c>
    </row>
    <row r="3084" spans="1:3" s="8" customFormat="1" x14ac:dyDescent="0.2">
      <c r="A3084" s="6" t="str">
        <f>"HDGFP1"</f>
        <v>HDGFP1</v>
      </c>
      <c r="B3084" s="6">
        <v>2.7808676307007701E-2</v>
      </c>
      <c r="C3084" s="6">
        <v>0.15734489438904001</v>
      </c>
    </row>
    <row r="3085" spans="1:3" s="8" customFormat="1" x14ac:dyDescent="0.2">
      <c r="A3085" s="6" t="str">
        <f>"AC079753.2"</f>
        <v>AC079753.2</v>
      </c>
      <c r="B3085" s="6">
        <v>2.7972027972027899E-2</v>
      </c>
      <c r="C3085" s="6">
        <v>0.15734489438904001</v>
      </c>
    </row>
    <row r="3086" spans="1:3" s="8" customFormat="1" x14ac:dyDescent="0.2">
      <c r="A3086" s="6" t="str">
        <f>"AC005944.1"</f>
        <v>AC005944.1</v>
      </c>
      <c r="B3086" s="6">
        <v>2.7972027972027899E-2</v>
      </c>
      <c r="C3086" s="6">
        <v>0.15734489438904001</v>
      </c>
    </row>
    <row r="3087" spans="1:3" s="8" customFormat="1" x14ac:dyDescent="0.2">
      <c r="A3087" s="6" t="str">
        <f>"AC124319.2"</f>
        <v>AC124319.2</v>
      </c>
      <c r="B3087" s="6">
        <v>2.7972027972027899E-2</v>
      </c>
      <c r="C3087" s="6">
        <v>0.15734489438904001</v>
      </c>
    </row>
    <row r="3088" spans="1:3" s="8" customFormat="1" x14ac:dyDescent="0.2">
      <c r="A3088" s="6" t="str">
        <f>"GPR141"</f>
        <v>GPR141</v>
      </c>
      <c r="B3088" s="6">
        <v>2.7972027972027899E-2</v>
      </c>
      <c r="C3088" s="6">
        <v>0.15734489438904001</v>
      </c>
    </row>
    <row r="3089" spans="1:3" s="8" customFormat="1" x14ac:dyDescent="0.2">
      <c r="A3089" s="6" t="str">
        <f>"BCAN"</f>
        <v>BCAN</v>
      </c>
      <c r="B3089" s="6">
        <v>2.7972027972027899E-2</v>
      </c>
      <c r="C3089" s="6">
        <v>0.15734489438904001</v>
      </c>
    </row>
    <row r="3090" spans="1:3" s="8" customFormat="1" x14ac:dyDescent="0.2">
      <c r="A3090" s="6" t="str">
        <f>"LINC00243"</f>
        <v>LINC00243</v>
      </c>
      <c r="B3090" s="6">
        <v>2.7972027972027899E-2</v>
      </c>
      <c r="C3090" s="6">
        <v>0.15734489438904001</v>
      </c>
    </row>
    <row r="3091" spans="1:3" s="8" customFormat="1" x14ac:dyDescent="0.2">
      <c r="A3091" s="6" t="str">
        <f>"RNU1-1"</f>
        <v>RNU1-1</v>
      </c>
      <c r="B3091" s="6">
        <v>2.7972027972027899E-2</v>
      </c>
      <c r="C3091" s="6">
        <v>0.15734489438904001</v>
      </c>
    </row>
    <row r="3092" spans="1:3" s="8" customFormat="1" x14ac:dyDescent="0.2">
      <c r="A3092" s="6" t="str">
        <f>"HSD52"</f>
        <v>HSD52</v>
      </c>
      <c r="B3092" s="6">
        <v>2.7972027972027899E-2</v>
      </c>
      <c r="C3092" s="6">
        <v>0.15734489438904001</v>
      </c>
    </row>
    <row r="3093" spans="1:3" s="8" customFormat="1" x14ac:dyDescent="0.2">
      <c r="A3093" s="6" t="str">
        <f>"SAMD5"</f>
        <v>SAMD5</v>
      </c>
      <c r="B3093" s="6">
        <v>2.7972027972027899E-2</v>
      </c>
      <c r="C3093" s="6">
        <v>0.15734489438904001</v>
      </c>
    </row>
    <row r="3094" spans="1:3" s="8" customFormat="1" x14ac:dyDescent="0.2">
      <c r="A3094" s="6" t="str">
        <f>"UVRAG-DT"</f>
        <v>UVRAG-DT</v>
      </c>
      <c r="B3094" s="6">
        <v>2.7972027972027899E-2</v>
      </c>
      <c r="C3094" s="6">
        <v>0.15734489438904001</v>
      </c>
    </row>
    <row r="3095" spans="1:3" s="8" customFormat="1" x14ac:dyDescent="0.2">
      <c r="A3095" s="6" t="str">
        <f>"RASAL2-AS1"</f>
        <v>RASAL2-AS1</v>
      </c>
      <c r="B3095" s="6">
        <v>2.7972027972027899E-2</v>
      </c>
      <c r="C3095" s="6">
        <v>0.15734489438904001</v>
      </c>
    </row>
    <row r="3096" spans="1:3" s="8" customFormat="1" x14ac:dyDescent="0.2">
      <c r="A3096" s="6" t="str">
        <f>"GHR"</f>
        <v>GHR</v>
      </c>
      <c r="B3096" s="6">
        <v>2.7972027972027899E-2</v>
      </c>
      <c r="C3096" s="6">
        <v>0.15734489438904001</v>
      </c>
    </row>
    <row r="3097" spans="1:3" s="8" customFormat="1" x14ac:dyDescent="0.2">
      <c r="A3097" s="6" t="str">
        <f>"GGT1"</f>
        <v>GGT1</v>
      </c>
      <c r="B3097" s="6">
        <v>2.7972027972027899E-2</v>
      </c>
      <c r="C3097" s="6">
        <v>0.15734489438904001</v>
      </c>
    </row>
    <row r="3098" spans="1:3" s="8" customFormat="1" x14ac:dyDescent="0.2">
      <c r="A3098" s="6" t="str">
        <f>"PMS2P4"</f>
        <v>PMS2P4</v>
      </c>
      <c r="B3098" s="6">
        <v>2.7972027972027899E-2</v>
      </c>
      <c r="C3098" s="6">
        <v>0.15734489438904001</v>
      </c>
    </row>
    <row r="3099" spans="1:3" s="8" customFormat="1" x14ac:dyDescent="0.2">
      <c r="A3099" s="6" t="str">
        <f>"CXCL5"</f>
        <v>CXCL5</v>
      </c>
      <c r="B3099" s="6">
        <v>2.7972027972027899E-2</v>
      </c>
      <c r="C3099" s="6">
        <v>0.15734489438904001</v>
      </c>
    </row>
    <row r="3100" spans="1:3" s="8" customFormat="1" x14ac:dyDescent="0.2">
      <c r="A3100" s="6" t="str">
        <f>"CDCA8"</f>
        <v>CDCA8</v>
      </c>
      <c r="B3100" s="6">
        <v>2.7972027972027899E-2</v>
      </c>
      <c r="C3100" s="6">
        <v>0.15734489438904001</v>
      </c>
    </row>
    <row r="3101" spans="1:3" s="8" customFormat="1" x14ac:dyDescent="0.2">
      <c r="A3101" s="6" t="str">
        <f>"IL34"</f>
        <v>IL34</v>
      </c>
      <c r="B3101" s="6">
        <v>2.7972027972027899E-2</v>
      </c>
      <c r="C3101" s="6">
        <v>0.15734489438904001</v>
      </c>
    </row>
    <row r="3102" spans="1:3" s="8" customFormat="1" x14ac:dyDescent="0.2">
      <c r="A3102" s="6" t="str">
        <f>"LILRB4"</f>
        <v>LILRB4</v>
      </c>
      <c r="B3102" s="6">
        <v>2.7972027972027899E-2</v>
      </c>
      <c r="C3102" s="6">
        <v>0.15734489438904001</v>
      </c>
    </row>
    <row r="3103" spans="1:3" s="8" customFormat="1" x14ac:dyDescent="0.2">
      <c r="A3103" s="6" t="str">
        <f>"ARX"</f>
        <v>ARX</v>
      </c>
      <c r="B3103" s="6">
        <v>2.7972027972027899E-2</v>
      </c>
      <c r="C3103" s="6">
        <v>0.15734489438904001</v>
      </c>
    </row>
    <row r="3104" spans="1:3" s="8" customFormat="1" x14ac:dyDescent="0.2">
      <c r="A3104" s="6" t="str">
        <f>"AP002360.1"</f>
        <v>AP002360.1</v>
      </c>
      <c r="B3104" s="6">
        <v>2.7972027972027899E-2</v>
      </c>
      <c r="C3104" s="6">
        <v>0.15734489438904001</v>
      </c>
    </row>
    <row r="3105" spans="1:3" s="8" customFormat="1" x14ac:dyDescent="0.2">
      <c r="A3105" s="6" t="str">
        <f>"TERF1"</f>
        <v>TERF1</v>
      </c>
      <c r="B3105" s="6">
        <v>2.7972027972027899E-2</v>
      </c>
      <c r="C3105" s="6">
        <v>0.15734489438904001</v>
      </c>
    </row>
    <row r="3106" spans="1:3" s="8" customFormat="1" x14ac:dyDescent="0.2">
      <c r="A3106" s="6" t="str">
        <f>"PFAS"</f>
        <v>PFAS</v>
      </c>
      <c r="B3106" s="6">
        <v>2.7972027972027899E-2</v>
      </c>
      <c r="C3106" s="6">
        <v>0.15734489438904001</v>
      </c>
    </row>
    <row r="3107" spans="1:3" s="8" customFormat="1" x14ac:dyDescent="0.2">
      <c r="A3107" s="6" t="str">
        <f>"PLCD1"</f>
        <v>PLCD1</v>
      </c>
      <c r="B3107" s="6">
        <v>2.7972027972027899E-2</v>
      </c>
      <c r="C3107" s="6">
        <v>0.15734489438904001</v>
      </c>
    </row>
    <row r="3108" spans="1:3" s="8" customFormat="1" x14ac:dyDescent="0.2">
      <c r="A3108" s="6" t="str">
        <f>"FAM117A"</f>
        <v>FAM117A</v>
      </c>
      <c r="B3108" s="6">
        <v>2.7972027972027899E-2</v>
      </c>
      <c r="C3108" s="6">
        <v>0.15734489438904001</v>
      </c>
    </row>
    <row r="3109" spans="1:3" s="8" customFormat="1" x14ac:dyDescent="0.2">
      <c r="A3109" s="6" t="str">
        <f>"ADAT1"</f>
        <v>ADAT1</v>
      </c>
      <c r="B3109" s="6">
        <v>2.7972027972027899E-2</v>
      </c>
      <c r="C3109" s="6">
        <v>0.15734489438904001</v>
      </c>
    </row>
    <row r="3110" spans="1:3" s="8" customFormat="1" x14ac:dyDescent="0.2">
      <c r="A3110" s="6" t="str">
        <f>"ARHGEF35"</f>
        <v>ARHGEF35</v>
      </c>
      <c r="B3110" s="6">
        <v>2.7972027972027899E-2</v>
      </c>
      <c r="C3110" s="6">
        <v>0.15734489438904001</v>
      </c>
    </row>
    <row r="3111" spans="1:3" s="8" customFormat="1" x14ac:dyDescent="0.2">
      <c r="A3111" s="6" t="str">
        <f>"NFU1"</f>
        <v>NFU1</v>
      </c>
      <c r="B3111" s="6">
        <v>2.7972027972027899E-2</v>
      </c>
      <c r="C3111" s="6">
        <v>0.15734489438904001</v>
      </c>
    </row>
    <row r="3112" spans="1:3" s="8" customFormat="1" x14ac:dyDescent="0.2">
      <c r="A3112" s="6" t="str">
        <f>"SAP130"</f>
        <v>SAP130</v>
      </c>
      <c r="B3112" s="6">
        <v>2.7972027972027899E-2</v>
      </c>
      <c r="C3112" s="6">
        <v>0.15734489438904001</v>
      </c>
    </row>
    <row r="3113" spans="1:3" s="8" customFormat="1" x14ac:dyDescent="0.2">
      <c r="A3113" s="6" t="str">
        <f>"METTL2B"</f>
        <v>METTL2B</v>
      </c>
      <c r="B3113" s="6">
        <v>2.7972027972027899E-2</v>
      </c>
      <c r="C3113" s="6">
        <v>0.15734489438904001</v>
      </c>
    </row>
    <row r="3114" spans="1:3" s="8" customFormat="1" x14ac:dyDescent="0.2">
      <c r="A3114" s="6" t="str">
        <f>"PARP6"</f>
        <v>PARP6</v>
      </c>
      <c r="B3114" s="6">
        <v>2.7972027972027899E-2</v>
      </c>
      <c r="C3114" s="6">
        <v>0.15734489438904001</v>
      </c>
    </row>
    <row r="3115" spans="1:3" s="8" customFormat="1" x14ac:dyDescent="0.2">
      <c r="A3115" s="6" t="str">
        <f>"CERS4"</f>
        <v>CERS4</v>
      </c>
      <c r="B3115" s="6">
        <v>2.7972027972027899E-2</v>
      </c>
      <c r="C3115" s="6">
        <v>0.15734489438904001</v>
      </c>
    </row>
    <row r="3116" spans="1:3" s="8" customFormat="1" x14ac:dyDescent="0.2">
      <c r="A3116" s="6" t="str">
        <f>"MRPL18"</f>
        <v>MRPL18</v>
      </c>
      <c r="B3116" s="6">
        <v>2.7972027972027899E-2</v>
      </c>
      <c r="C3116" s="6">
        <v>0.15734489438904001</v>
      </c>
    </row>
    <row r="3117" spans="1:3" s="8" customFormat="1" x14ac:dyDescent="0.2">
      <c r="A3117" s="6" t="str">
        <f>"SUMF1"</f>
        <v>SUMF1</v>
      </c>
      <c r="B3117" s="6">
        <v>2.7972027972027899E-2</v>
      </c>
      <c r="C3117" s="6">
        <v>0.15734489438904001</v>
      </c>
    </row>
    <row r="3118" spans="1:3" s="8" customFormat="1" x14ac:dyDescent="0.2">
      <c r="A3118" s="6" t="str">
        <f>"RAB15"</f>
        <v>RAB15</v>
      </c>
      <c r="B3118" s="6">
        <v>2.7972027972027899E-2</v>
      </c>
      <c r="C3118" s="6">
        <v>0.15734489438904001</v>
      </c>
    </row>
    <row r="3119" spans="1:3" s="8" customFormat="1" x14ac:dyDescent="0.2">
      <c r="A3119" s="6" t="str">
        <f>"GBP2"</f>
        <v>GBP2</v>
      </c>
      <c r="B3119" s="6">
        <v>2.7972027972027899E-2</v>
      </c>
      <c r="C3119" s="6">
        <v>0.15734489438904001</v>
      </c>
    </row>
    <row r="3120" spans="1:3" s="8" customFormat="1" x14ac:dyDescent="0.2">
      <c r="A3120" s="6" t="str">
        <f>"RSF1"</f>
        <v>RSF1</v>
      </c>
      <c r="B3120" s="6">
        <v>2.7972027972027899E-2</v>
      </c>
      <c r="C3120" s="6">
        <v>0.15734489438904001</v>
      </c>
    </row>
    <row r="3121" spans="1:3" s="8" customFormat="1" x14ac:dyDescent="0.2">
      <c r="A3121" s="6" t="str">
        <f>"SEPHS1"</f>
        <v>SEPHS1</v>
      </c>
      <c r="B3121" s="6">
        <v>2.7972027972027899E-2</v>
      </c>
      <c r="C3121" s="6">
        <v>0.15734489438904001</v>
      </c>
    </row>
    <row r="3122" spans="1:3" s="8" customFormat="1" x14ac:dyDescent="0.2">
      <c r="A3122" s="6" t="str">
        <f>"MT2A"</f>
        <v>MT2A</v>
      </c>
      <c r="B3122" s="6">
        <v>2.7972027972027899E-2</v>
      </c>
      <c r="C3122" s="6">
        <v>0.15734489438904001</v>
      </c>
    </row>
    <row r="3123" spans="1:3" s="8" customFormat="1" x14ac:dyDescent="0.2">
      <c r="A3123" s="6" t="str">
        <f>"COLCA1"</f>
        <v>COLCA1</v>
      </c>
      <c r="B3123" s="6">
        <v>2.7972027972027899E-2</v>
      </c>
      <c r="C3123" s="6">
        <v>0.15734489438904001</v>
      </c>
    </row>
    <row r="3124" spans="1:3" s="8" customFormat="1" x14ac:dyDescent="0.2">
      <c r="A3124" s="6" t="str">
        <f>"SUSD6"</f>
        <v>SUSD6</v>
      </c>
      <c r="B3124" s="6">
        <v>2.7972027972027899E-2</v>
      </c>
      <c r="C3124" s="6">
        <v>0.15734489438904001</v>
      </c>
    </row>
    <row r="3125" spans="1:3" s="8" customFormat="1" x14ac:dyDescent="0.2">
      <c r="A3125" s="6" t="str">
        <f>"ARHGAP23"</f>
        <v>ARHGAP23</v>
      </c>
      <c r="B3125" s="6">
        <v>2.7972027972027899E-2</v>
      </c>
      <c r="C3125" s="6">
        <v>0.15734489438904001</v>
      </c>
    </row>
    <row r="3126" spans="1:3" s="8" customFormat="1" x14ac:dyDescent="0.2">
      <c r="A3126" s="6" t="str">
        <f>"SNRNP70"</f>
        <v>SNRNP70</v>
      </c>
      <c r="B3126" s="6">
        <v>2.7972027972027899E-2</v>
      </c>
      <c r="C3126" s="6">
        <v>0.15734489438904001</v>
      </c>
    </row>
    <row r="3127" spans="1:3" s="8" customFormat="1" x14ac:dyDescent="0.2">
      <c r="A3127" s="6" t="str">
        <f>"STAT3"</f>
        <v>STAT3</v>
      </c>
      <c r="B3127" s="6">
        <v>2.7972027972027899E-2</v>
      </c>
      <c r="C3127" s="6">
        <v>0.15734489438904001</v>
      </c>
    </row>
    <row r="3128" spans="1:3" s="8" customFormat="1" x14ac:dyDescent="0.2">
      <c r="A3128" s="6" t="str">
        <f>"STARD9"</f>
        <v>STARD9</v>
      </c>
      <c r="B3128" s="6">
        <v>2.8000000000000001E-2</v>
      </c>
      <c r="C3128" s="6">
        <v>0.157351230425055</v>
      </c>
    </row>
    <row r="3129" spans="1:3" s="8" customFormat="1" x14ac:dyDescent="0.2">
      <c r="A3129" s="6" t="str">
        <f>"AC105916.1"</f>
        <v>AC105916.1</v>
      </c>
      <c r="B3129" s="6">
        <v>2.8000000000000001E-2</v>
      </c>
      <c r="C3129" s="6">
        <v>0.157351230425055</v>
      </c>
    </row>
    <row r="3130" spans="1:3" s="8" customFormat="1" x14ac:dyDescent="0.2">
      <c r="A3130" s="6" t="str">
        <f>"ARFIP1"</f>
        <v>ARFIP1</v>
      </c>
      <c r="B3130" s="6">
        <v>2.8000000000000001E-2</v>
      </c>
      <c r="C3130" s="6">
        <v>0.157351230425055</v>
      </c>
    </row>
    <row r="3131" spans="1:3" s="8" customFormat="1" x14ac:dyDescent="0.2">
      <c r="A3131" s="6" t="str">
        <f>"SLC13A1"</f>
        <v>SLC13A1</v>
      </c>
      <c r="B3131" s="6">
        <v>2.8056112224448801E-2</v>
      </c>
      <c r="C3131" s="6">
        <v>0.15761619084814901</v>
      </c>
    </row>
    <row r="3132" spans="1:3" s="8" customFormat="1" x14ac:dyDescent="0.2">
      <c r="A3132" s="6" t="str">
        <f>"LINC02388"</f>
        <v>LINC02388</v>
      </c>
      <c r="B3132" s="6">
        <v>2.8291621327529898E-2</v>
      </c>
      <c r="C3132" s="6">
        <v>0.15888849231021501</v>
      </c>
    </row>
    <row r="3133" spans="1:3" s="8" customFormat="1" x14ac:dyDescent="0.2">
      <c r="A3133" s="6" t="str">
        <f>"LINC01802"</f>
        <v>LINC01802</v>
      </c>
      <c r="B3133" s="6">
        <v>2.8971028971028899E-2</v>
      </c>
      <c r="C3133" s="6">
        <v>0.15914607104860101</v>
      </c>
    </row>
    <row r="3134" spans="1:3" s="8" customFormat="1" x14ac:dyDescent="0.2">
      <c r="A3134" s="6" t="str">
        <f>"KIR2DL3"</f>
        <v>KIR2DL3</v>
      </c>
      <c r="B3134" s="6">
        <v>2.8971028971028899E-2</v>
      </c>
      <c r="C3134" s="6">
        <v>0.15914607104860101</v>
      </c>
    </row>
    <row r="3135" spans="1:3" s="8" customFormat="1" x14ac:dyDescent="0.2">
      <c r="A3135" s="6" t="str">
        <f>"LINC00189"</f>
        <v>LINC00189</v>
      </c>
      <c r="B3135" s="6">
        <v>2.8971028971028899E-2</v>
      </c>
      <c r="C3135" s="6">
        <v>0.15914607104860101</v>
      </c>
    </row>
    <row r="3136" spans="1:3" s="8" customFormat="1" x14ac:dyDescent="0.2">
      <c r="A3136" s="6" t="str">
        <f>"ABCA17P"</f>
        <v>ABCA17P</v>
      </c>
      <c r="B3136" s="6">
        <v>2.8971028971028899E-2</v>
      </c>
      <c r="C3136" s="6">
        <v>0.15914607104860101</v>
      </c>
    </row>
    <row r="3137" spans="1:3" s="8" customFormat="1" x14ac:dyDescent="0.2">
      <c r="A3137" s="6" t="str">
        <f>"AC041005.1"</f>
        <v>AC041005.1</v>
      </c>
      <c r="B3137" s="6">
        <v>2.8971028971028899E-2</v>
      </c>
      <c r="C3137" s="6">
        <v>0.15914607104860101</v>
      </c>
    </row>
    <row r="3138" spans="1:3" s="8" customFormat="1" x14ac:dyDescent="0.2">
      <c r="A3138" s="6" t="str">
        <f>"AL357673.2"</f>
        <v>AL357673.2</v>
      </c>
      <c r="B3138" s="6">
        <v>2.8971028971028899E-2</v>
      </c>
      <c r="C3138" s="6">
        <v>0.15914607104860101</v>
      </c>
    </row>
    <row r="3139" spans="1:3" s="8" customFormat="1" x14ac:dyDescent="0.2">
      <c r="A3139" s="6" t="str">
        <f>"AC002451.1"</f>
        <v>AC002451.1</v>
      </c>
      <c r="B3139" s="6">
        <v>2.8971028971028899E-2</v>
      </c>
      <c r="C3139" s="6">
        <v>0.15914607104860101</v>
      </c>
    </row>
    <row r="3140" spans="1:3" s="8" customFormat="1" x14ac:dyDescent="0.2">
      <c r="A3140" s="6" t="str">
        <f>"AC090587.1"</f>
        <v>AC090587.1</v>
      </c>
      <c r="B3140" s="6">
        <v>2.8421052631578899E-2</v>
      </c>
      <c r="C3140" s="6">
        <v>0.15914607104860101</v>
      </c>
    </row>
    <row r="3141" spans="1:3" s="8" customFormat="1" x14ac:dyDescent="0.2">
      <c r="A3141" s="6" t="str">
        <f>"GDPD2"</f>
        <v>GDPD2</v>
      </c>
      <c r="B3141" s="6">
        <v>2.8971028971028899E-2</v>
      </c>
      <c r="C3141" s="6">
        <v>0.15914607104860101</v>
      </c>
    </row>
    <row r="3142" spans="1:3" s="8" customFormat="1" x14ac:dyDescent="0.2">
      <c r="A3142" s="6" t="str">
        <f>"C8orf34-AS1"</f>
        <v>C8orf34-AS1</v>
      </c>
      <c r="B3142" s="6">
        <v>2.8971028971028899E-2</v>
      </c>
      <c r="C3142" s="6">
        <v>0.15914607104860101</v>
      </c>
    </row>
    <row r="3143" spans="1:3" s="8" customFormat="1" x14ac:dyDescent="0.2">
      <c r="A3143" s="6" t="str">
        <f>"SNHG31"</f>
        <v>SNHG31</v>
      </c>
      <c r="B3143" s="6">
        <v>2.8971028971028899E-2</v>
      </c>
      <c r="C3143" s="6">
        <v>0.15914607104860101</v>
      </c>
    </row>
    <row r="3144" spans="1:3" s="8" customFormat="1" x14ac:dyDescent="0.2">
      <c r="A3144" s="6" t="str">
        <f>"TRPV3"</f>
        <v>TRPV3</v>
      </c>
      <c r="B3144" s="6">
        <v>2.8971028971028899E-2</v>
      </c>
      <c r="C3144" s="6">
        <v>0.15914607104860101</v>
      </c>
    </row>
    <row r="3145" spans="1:3" s="8" customFormat="1" x14ac:dyDescent="0.2">
      <c r="A3145" s="6" t="str">
        <f>"BX324167.1"</f>
        <v>BX324167.1</v>
      </c>
      <c r="B3145" s="6">
        <v>2.8971028971028899E-2</v>
      </c>
      <c r="C3145" s="6">
        <v>0.15914607104860101</v>
      </c>
    </row>
    <row r="3146" spans="1:3" s="8" customFormat="1" x14ac:dyDescent="0.2">
      <c r="A3146" s="6" t="str">
        <f>"CENPM"</f>
        <v>CENPM</v>
      </c>
      <c r="B3146" s="6">
        <v>2.8971028971028899E-2</v>
      </c>
      <c r="C3146" s="6">
        <v>0.15914607104860101</v>
      </c>
    </row>
    <row r="3147" spans="1:3" s="8" customFormat="1" x14ac:dyDescent="0.2">
      <c r="A3147" s="6" t="str">
        <f>"ZNF774"</f>
        <v>ZNF774</v>
      </c>
      <c r="B3147" s="6">
        <v>2.8971028971028899E-2</v>
      </c>
      <c r="C3147" s="6">
        <v>0.15914607104860101</v>
      </c>
    </row>
    <row r="3148" spans="1:3" s="8" customFormat="1" x14ac:dyDescent="0.2">
      <c r="A3148" s="6" t="str">
        <f>"ZFP82"</f>
        <v>ZFP82</v>
      </c>
      <c r="B3148" s="6">
        <v>2.8971028971028899E-2</v>
      </c>
      <c r="C3148" s="6">
        <v>0.15914607104860101</v>
      </c>
    </row>
    <row r="3149" spans="1:3" s="8" customFormat="1" x14ac:dyDescent="0.2">
      <c r="A3149" s="6" t="str">
        <f>"SLC4A5"</f>
        <v>SLC4A5</v>
      </c>
      <c r="B3149" s="6">
        <v>2.8971028971028899E-2</v>
      </c>
      <c r="C3149" s="6">
        <v>0.15914607104860101</v>
      </c>
    </row>
    <row r="3150" spans="1:3" s="8" customFormat="1" x14ac:dyDescent="0.2">
      <c r="A3150" s="6" t="str">
        <f>"AC241952.1"</f>
        <v>AC241952.1</v>
      </c>
      <c r="B3150" s="6">
        <v>2.8971028971028899E-2</v>
      </c>
      <c r="C3150" s="6">
        <v>0.15914607104860101</v>
      </c>
    </row>
    <row r="3151" spans="1:3" s="8" customFormat="1" x14ac:dyDescent="0.2">
      <c r="A3151" s="6" t="str">
        <f>"CD7"</f>
        <v>CD7</v>
      </c>
      <c r="B3151" s="6">
        <v>2.8971028971028899E-2</v>
      </c>
      <c r="C3151" s="6">
        <v>0.15914607104860101</v>
      </c>
    </row>
    <row r="3152" spans="1:3" s="8" customFormat="1" x14ac:dyDescent="0.2">
      <c r="A3152" s="6" t="str">
        <f>"AL357033.4"</f>
        <v>AL357033.4</v>
      </c>
      <c r="B3152" s="6">
        <v>2.8971028971028899E-2</v>
      </c>
      <c r="C3152" s="6">
        <v>0.15914607104860101</v>
      </c>
    </row>
    <row r="3153" spans="1:3" s="8" customFormat="1" x14ac:dyDescent="0.2">
      <c r="A3153" s="6" t="str">
        <f>"ACTR5"</f>
        <v>ACTR5</v>
      </c>
      <c r="B3153" s="6">
        <v>2.8971028971028899E-2</v>
      </c>
      <c r="C3153" s="6">
        <v>0.15914607104860101</v>
      </c>
    </row>
    <row r="3154" spans="1:3" s="8" customFormat="1" x14ac:dyDescent="0.2">
      <c r="A3154" s="6" t="str">
        <f>"RNLS"</f>
        <v>RNLS</v>
      </c>
      <c r="B3154" s="6">
        <v>2.8971028971028899E-2</v>
      </c>
      <c r="C3154" s="6">
        <v>0.15914607104860101</v>
      </c>
    </row>
    <row r="3155" spans="1:3" s="8" customFormat="1" x14ac:dyDescent="0.2">
      <c r="A3155" s="6" t="str">
        <f>"FAM210A"</f>
        <v>FAM210A</v>
      </c>
      <c r="B3155" s="6">
        <v>2.8971028971028899E-2</v>
      </c>
      <c r="C3155" s="6">
        <v>0.15914607104860101</v>
      </c>
    </row>
    <row r="3156" spans="1:3" s="8" customFormat="1" x14ac:dyDescent="0.2">
      <c r="A3156" s="6" t="str">
        <f>"SPRR2F"</f>
        <v>SPRR2F</v>
      </c>
      <c r="B3156" s="6">
        <v>2.8971028971028899E-2</v>
      </c>
      <c r="C3156" s="6">
        <v>0.15914607104860101</v>
      </c>
    </row>
    <row r="3157" spans="1:3" s="8" customFormat="1" x14ac:dyDescent="0.2">
      <c r="A3157" s="6" t="str">
        <f>"RTN4RL1"</f>
        <v>RTN4RL1</v>
      </c>
      <c r="B3157" s="6">
        <v>2.8971028971028899E-2</v>
      </c>
      <c r="C3157" s="6">
        <v>0.15914607104860101</v>
      </c>
    </row>
    <row r="3158" spans="1:3" s="8" customFormat="1" x14ac:dyDescent="0.2">
      <c r="A3158" s="6" t="str">
        <f>"ATPSCKMT"</f>
        <v>ATPSCKMT</v>
      </c>
      <c r="B3158" s="6">
        <v>2.8971028971028899E-2</v>
      </c>
      <c r="C3158" s="6">
        <v>0.15914607104860101</v>
      </c>
    </row>
    <row r="3159" spans="1:3" s="8" customFormat="1" x14ac:dyDescent="0.2">
      <c r="A3159" s="6" t="str">
        <f>"ZNF765"</f>
        <v>ZNF765</v>
      </c>
      <c r="B3159" s="6">
        <v>2.8971028971028899E-2</v>
      </c>
      <c r="C3159" s="6">
        <v>0.15914607104860101</v>
      </c>
    </row>
    <row r="3160" spans="1:3" s="8" customFormat="1" x14ac:dyDescent="0.2">
      <c r="A3160" s="6" t="str">
        <f>"DUS4L"</f>
        <v>DUS4L</v>
      </c>
      <c r="B3160" s="6">
        <v>2.8971028971028899E-2</v>
      </c>
      <c r="C3160" s="6">
        <v>0.15914607104860101</v>
      </c>
    </row>
    <row r="3161" spans="1:3" s="8" customFormat="1" x14ac:dyDescent="0.2">
      <c r="A3161" s="6" t="str">
        <f>"KIN"</f>
        <v>KIN</v>
      </c>
      <c r="B3161" s="6">
        <v>2.8971028971028899E-2</v>
      </c>
      <c r="C3161" s="6">
        <v>0.15914607104860101</v>
      </c>
    </row>
    <row r="3162" spans="1:3" s="8" customFormat="1" x14ac:dyDescent="0.2">
      <c r="A3162" s="6" t="str">
        <f>"GAS1"</f>
        <v>GAS1</v>
      </c>
      <c r="B3162" s="6">
        <v>2.8971028971028899E-2</v>
      </c>
      <c r="C3162" s="6">
        <v>0.15914607104860101</v>
      </c>
    </row>
    <row r="3163" spans="1:3" s="8" customFormat="1" x14ac:dyDescent="0.2">
      <c r="A3163" s="6" t="str">
        <f>"SVBP"</f>
        <v>SVBP</v>
      </c>
      <c r="B3163" s="6">
        <v>2.8971028971028899E-2</v>
      </c>
      <c r="C3163" s="6">
        <v>0.15914607104860101</v>
      </c>
    </row>
    <row r="3164" spans="1:3" s="8" customFormat="1" x14ac:dyDescent="0.2">
      <c r="A3164" s="6" t="str">
        <f>"AC010503.4"</f>
        <v>AC010503.4</v>
      </c>
      <c r="B3164" s="6">
        <v>2.8971028971028899E-2</v>
      </c>
      <c r="C3164" s="6">
        <v>0.15914607104860101</v>
      </c>
    </row>
    <row r="3165" spans="1:3" s="8" customFormat="1" x14ac:dyDescent="0.2">
      <c r="A3165" s="6" t="str">
        <f>"CCDC122"</f>
        <v>CCDC122</v>
      </c>
      <c r="B3165" s="6">
        <v>2.8971028971028899E-2</v>
      </c>
      <c r="C3165" s="6">
        <v>0.15914607104860101</v>
      </c>
    </row>
    <row r="3166" spans="1:3" s="8" customFormat="1" x14ac:dyDescent="0.2">
      <c r="A3166" s="6" t="str">
        <f>"AC005261.1"</f>
        <v>AC005261.1</v>
      </c>
      <c r="B3166" s="6">
        <v>2.8971028971028899E-2</v>
      </c>
      <c r="C3166" s="6">
        <v>0.15914607104860101</v>
      </c>
    </row>
    <row r="3167" spans="1:3" s="8" customFormat="1" x14ac:dyDescent="0.2">
      <c r="A3167" s="6" t="str">
        <f>"FP565260.1"</f>
        <v>FP565260.1</v>
      </c>
      <c r="B3167" s="6">
        <v>2.8971028971028899E-2</v>
      </c>
      <c r="C3167" s="6">
        <v>0.15914607104860101</v>
      </c>
    </row>
    <row r="3168" spans="1:3" s="8" customFormat="1" x14ac:dyDescent="0.2">
      <c r="A3168" s="6" t="str">
        <f>"RAB2B"</f>
        <v>RAB2B</v>
      </c>
      <c r="B3168" s="6">
        <v>2.8971028971028899E-2</v>
      </c>
      <c r="C3168" s="6">
        <v>0.15914607104860101</v>
      </c>
    </row>
    <row r="3169" spans="1:3" s="8" customFormat="1" x14ac:dyDescent="0.2">
      <c r="A3169" s="6" t="str">
        <f>"CYREN"</f>
        <v>CYREN</v>
      </c>
      <c r="B3169" s="6">
        <v>2.8971028971028899E-2</v>
      </c>
      <c r="C3169" s="6">
        <v>0.15914607104860101</v>
      </c>
    </row>
    <row r="3170" spans="1:3" s="8" customFormat="1" x14ac:dyDescent="0.2">
      <c r="A3170" s="6" t="str">
        <f>"NUDT4P2"</f>
        <v>NUDT4P2</v>
      </c>
      <c r="B3170" s="6">
        <v>2.8971028971028899E-2</v>
      </c>
      <c r="C3170" s="6">
        <v>0.15914607104860101</v>
      </c>
    </row>
    <row r="3171" spans="1:3" s="8" customFormat="1" x14ac:dyDescent="0.2">
      <c r="A3171" s="6" t="str">
        <f>"C4orf47"</f>
        <v>C4orf47</v>
      </c>
      <c r="B3171" s="6">
        <v>2.8971028971028899E-2</v>
      </c>
      <c r="C3171" s="6">
        <v>0.15914607104860101</v>
      </c>
    </row>
    <row r="3172" spans="1:3" s="8" customFormat="1" x14ac:dyDescent="0.2">
      <c r="A3172" s="6" t="str">
        <f>"PBLD"</f>
        <v>PBLD</v>
      </c>
      <c r="B3172" s="6">
        <v>2.8971028971028899E-2</v>
      </c>
      <c r="C3172" s="6">
        <v>0.15914607104860101</v>
      </c>
    </row>
    <row r="3173" spans="1:3" s="8" customFormat="1" x14ac:dyDescent="0.2">
      <c r="A3173" s="6" t="str">
        <f>"RNF39"</f>
        <v>RNF39</v>
      </c>
      <c r="B3173" s="6">
        <v>2.8971028971028899E-2</v>
      </c>
      <c r="C3173" s="6">
        <v>0.15914607104860101</v>
      </c>
    </row>
    <row r="3174" spans="1:3" s="8" customFormat="1" x14ac:dyDescent="0.2">
      <c r="A3174" s="6" t="str">
        <f>"TMEM185A"</f>
        <v>TMEM185A</v>
      </c>
      <c r="B3174" s="6">
        <v>2.8971028971028899E-2</v>
      </c>
      <c r="C3174" s="6">
        <v>0.15914607104860101</v>
      </c>
    </row>
    <row r="3175" spans="1:3" s="8" customFormat="1" x14ac:dyDescent="0.2">
      <c r="A3175" s="6" t="str">
        <f>"TEDC1"</f>
        <v>TEDC1</v>
      </c>
      <c r="B3175" s="6">
        <v>2.8971028971028899E-2</v>
      </c>
      <c r="C3175" s="6">
        <v>0.15914607104860101</v>
      </c>
    </row>
    <row r="3176" spans="1:3" s="8" customFormat="1" x14ac:dyDescent="0.2">
      <c r="A3176" s="6" t="str">
        <f>"CEPT1"</f>
        <v>CEPT1</v>
      </c>
      <c r="B3176" s="6">
        <v>2.8971028971028899E-2</v>
      </c>
      <c r="C3176" s="6">
        <v>0.15914607104860101</v>
      </c>
    </row>
    <row r="3177" spans="1:3" s="8" customFormat="1" x14ac:dyDescent="0.2">
      <c r="A3177" s="6" t="str">
        <f>"SH3BP1"</f>
        <v>SH3BP1</v>
      </c>
      <c r="B3177" s="6">
        <v>2.8971028971028899E-2</v>
      </c>
      <c r="C3177" s="6">
        <v>0.15914607104860101</v>
      </c>
    </row>
    <row r="3178" spans="1:3" s="8" customFormat="1" x14ac:dyDescent="0.2">
      <c r="A3178" s="6" t="str">
        <f>"TCEA2"</f>
        <v>TCEA2</v>
      </c>
      <c r="B3178" s="6">
        <v>2.8971028971028899E-2</v>
      </c>
      <c r="C3178" s="6">
        <v>0.15914607104860101</v>
      </c>
    </row>
    <row r="3179" spans="1:3" s="8" customFormat="1" x14ac:dyDescent="0.2">
      <c r="A3179" s="6" t="str">
        <f>"SNAPIN"</f>
        <v>SNAPIN</v>
      </c>
      <c r="B3179" s="6">
        <v>2.8971028971028899E-2</v>
      </c>
      <c r="C3179" s="6">
        <v>0.15914607104860101</v>
      </c>
    </row>
    <row r="3180" spans="1:3" s="8" customFormat="1" x14ac:dyDescent="0.2">
      <c r="A3180" s="6" t="str">
        <f>"SPOUT1"</f>
        <v>SPOUT1</v>
      </c>
      <c r="B3180" s="6">
        <v>2.8971028971028899E-2</v>
      </c>
      <c r="C3180" s="6">
        <v>0.15914607104860101</v>
      </c>
    </row>
    <row r="3181" spans="1:3" s="8" customFormat="1" x14ac:dyDescent="0.2">
      <c r="A3181" s="6" t="str">
        <f>"EHBP1"</f>
        <v>EHBP1</v>
      </c>
      <c r="B3181" s="6">
        <v>2.8971028971028899E-2</v>
      </c>
      <c r="C3181" s="6">
        <v>0.15914607104860101</v>
      </c>
    </row>
    <row r="3182" spans="1:3" s="8" customFormat="1" x14ac:dyDescent="0.2">
      <c r="A3182" s="6" t="str">
        <f>"CBLL1"</f>
        <v>CBLL1</v>
      </c>
      <c r="B3182" s="6">
        <v>2.8971028971028899E-2</v>
      </c>
      <c r="C3182" s="6">
        <v>0.15914607104860101</v>
      </c>
    </row>
    <row r="3183" spans="1:3" s="8" customFormat="1" x14ac:dyDescent="0.2">
      <c r="A3183" s="6" t="str">
        <f>"RHBDF2"</f>
        <v>RHBDF2</v>
      </c>
      <c r="B3183" s="6">
        <v>2.8971028971028899E-2</v>
      </c>
      <c r="C3183" s="6">
        <v>0.15914607104860101</v>
      </c>
    </row>
    <row r="3184" spans="1:3" s="8" customFormat="1" x14ac:dyDescent="0.2">
      <c r="A3184" s="6" t="str">
        <f>"ZNF704"</f>
        <v>ZNF704</v>
      </c>
      <c r="B3184" s="6">
        <v>2.8971028971028899E-2</v>
      </c>
      <c r="C3184" s="6">
        <v>0.15914607104860101</v>
      </c>
    </row>
    <row r="3185" spans="1:3" s="8" customFormat="1" x14ac:dyDescent="0.2">
      <c r="A3185" s="6" t="str">
        <f>"TMEM8B"</f>
        <v>TMEM8B</v>
      </c>
      <c r="B3185" s="6">
        <v>2.8971028971028899E-2</v>
      </c>
      <c r="C3185" s="6">
        <v>0.15914607104860101</v>
      </c>
    </row>
    <row r="3186" spans="1:3" s="8" customFormat="1" x14ac:dyDescent="0.2">
      <c r="A3186" s="6" t="str">
        <f>"DOT1L"</f>
        <v>DOT1L</v>
      </c>
      <c r="B3186" s="6">
        <v>2.8971028971028899E-2</v>
      </c>
      <c r="C3186" s="6">
        <v>0.15914607104860101</v>
      </c>
    </row>
    <row r="3187" spans="1:3" s="8" customFormat="1" x14ac:dyDescent="0.2">
      <c r="A3187" s="6" t="str">
        <f>"TCF7L2"</f>
        <v>TCF7L2</v>
      </c>
      <c r="B3187" s="6">
        <v>2.8971028971028899E-2</v>
      </c>
      <c r="C3187" s="6">
        <v>0.15914607104860101</v>
      </c>
    </row>
    <row r="3188" spans="1:3" s="8" customFormat="1" x14ac:dyDescent="0.2">
      <c r="A3188" s="6" t="str">
        <f>"FGD4"</f>
        <v>FGD4</v>
      </c>
      <c r="B3188" s="6">
        <v>2.8971028971028899E-2</v>
      </c>
      <c r="C3188" s="6">
        <v>0.15914607104860101</v>
      </c>
    </row>
    <row r="3189" spans="1:3" s="8" customFormat="1" x14ac:dyDescent="0.2">
      <c r="A3189" s="6" t="str">
        <f>"RNF41"</f>
        <v>RNF41</v>
      </c>
      <c r="B3189" s="6">
        <v>2.8971028971028899E-2</v>
      </c>
      <c r="C3189" s="6">
        <v>0.15914607104860101</v>
      </c>
    </row>
    <row r="3190" spans="1:3" s="8" customFormat="1" x14ac:dyDescent="0.2">
      <c r="A3190" s="6" t="str">
        <f>"PAWR"</f>
        <v>PAWR</v>
      </c>
      <c r="B3190" s="6">
        <v>2.8971028971028899E-2</v>
      </c>
      <c r="C3190" s="6">
        <v>0.15914607104860101</v>
      </c>
    </row>
    <row r="3191" spans="1:3" s="8" customFormat="1" x14ac:dyDescent="0.2">
      <c r="A3191" s="6" t="str">
        <f>"CCDC88B"</f>
        <v>CCDC88B</v>
      </c>
      <c r="B3191" s="6">
        <v>2.8971028971028899E-2</v>
      </c>
      <c r="C3191" s="6">
        <v>0.15914607104860101</v>
      </c>
    </row>
    <row r="3192" spans="1:3" s="8" customFormat="1" x14ac:dyDescent="0.2">
      <c r="A3192" s="6" t="str">
        <f>"FNBP1L"</f>
        <v>FNBP1L</v>
      </c>
      <c r="B3192" s="6">
        <v>2.8971028971028899E-2</v>
      </c>
      <c r="C3192" s="6">
        <v>0.15914607104860101</v>
      </c>
    </row>
    <row r="3193" spans="1:3" s="8" customFormat="1" x14ac:dyDescent="0.2">
      <c r="A3193" s="6" t="str">
        <f>"TRAPPC1"</f>
        <v>TRAPPC1</v>
      </c>
      <c r="B3193" s="6">
        <v>2.8971028971028899E-2</v>
      </c>
      <c r="C3193" s="6">
        <v>0.15914607104860101</v>
      </c>
    </row>
    <row r="3194" spans="1:3" s="8" customFormat="1" x14ac:dyDescent="0.2">
      <c r="A3194" s="6" t="str">
        <f>"SRSF8"</f>
        <v>SRSF8</v>
      </c>
      <c r="B3194" s="6">
        <v>2.8971028971028899E-2</v>
      </c>
      <c r="C3194" s="6">
        <v>0.15914607104860101</v>
      </c>
    </row>
    <row r="3195" spans="1:3" s="8" customFormat="1" x14ac:dyDescent="0.2">
      <c r="A3195" s="6" t="str">
        <f>"CTDSPL"</f>
        <v>CTDSPL</v>
      </c>
      <c r="B3195" s="6">
        <v>2.8971028971028899E-2</v>
      </c>
      <c r="C3195" s="6">
        <v>0.15914607104860101</v>
      </c>
    </row>
    <row r="3196" spans="1:3" s="8" customFormat="1" x14ac:dyDescent="0.2">
      <c r="A3196" s="6" t="str">
        <f>"PSMD6"</f>
        <v>PSMD6</v>
      </c>
      <c r="B3196" s="6">
        <v>2.8971028971028899E-2</v>
      </c>
      <c r="C3196" s="6">
        <v>0.15914607104860101</v>
      </c>
    </row>
    <row r="3197" spans="1:3" s="8" customFormat="1" x14ac:dyDescent="0.2">
      <c r="A3197" s="6" t="str">
        <f>"TM4SF1"</f>
        <v>TM4SF1</v>
      </c>
      <c r="B3197" s="6">
        <v>2.8971028971028899E-2</v>
      </c>
      <c r="C3197" s="6">
        <v>0.15914607104860101</v>
      </c>
    </row>
    <row r="3198" spans="1:3" s="8" customFormat="1" x14ac:dyDescent="0.2">
      <c r="A3198" s="6" t="str">
        <f>"GOT2"</f>
        <v>GOT2</v>
      </c>
      <c r="B3198" s="6">
        <v>2.8971028971028899E-2</v>
      </c>
      <c r="C3198" s="6">
        <v>0.15914607104860101</v>
      </c>
    </row>
    <row r="3199" spans="1:3" s="8" customFormat="1" x14ac:dyDescent="0.2">
      <c r="A3199" s="6" t="str">
        <f>"MPC2"</f>
        <v>MPC2</v>
      </c>
      <c r="B3199" s="6">
        <v>2.8971028971028899E-2</v>
      </c>
      <c r="C3199" s="6">
        <v>0.15914607104860101</v>
      </c>
    </row>
    <row r="3200" spans="1:3" s="8" customFormat="1" x14ac:dyDescent="0.2">
      <c r="A3200" s="6" t="str">
        <f>"AMFR"</f>
        <v>AMFR</v>
      </c>
      <c r="B3200" s="6">
        <v>2.8971028971028899E-2</v>
      </c>
      <c r="C3200" s="6">
        <v>0.15914607104860101</v>
      </c>
    </row>
    <row r="3201" spans="1:3" s="8" customFormat="1" x14ac:dyDescent="0.2">
      <c r="A3201" s="6" t="str">
        <f>"EIF3K"</f>
        <v>EIF3K</v>
      </c>
      <c r="B3201" s="6">
        <v>2.8971028971028899E-2</v>
      </c>
      <c r="C3201" s="6">
        <v>0.15914607104860101</v>
      </c>
    </row>
    <row r="3202" spans="1:3" s="8" customFormat="1" x14ac:dyDescent="0.2">
      <c r="A3202" s="6" t="str">
        <f>"PHB2"</f>
        <v>PHB2</v>
      </c>
      <c r="B3202" s="6">
        <v>2.8971028971028899E-2</v>
      </c>
      <c r="C3202" s="6">
        <v>0.15914607104860101</v>
      </c>
    </row>
    <row r="3203" spans="1:3" s="8" customFormat="1" x14ac:dyDescent="0.2">
      <c r="A3203" s="6" t="str">
        <f>"HTR2B"</f>
        <v>HTR2B</v>
      </c>
      <c r="B3203" s="6">
        <v>2.9000000000000001E-2</v>
      </c>
      <c r="C3203" s="6">
        <v>0.15925546533416601</v>
      </c>
    </row>
    <row r="3204" spans="1:3" s="8" customFormat="1" x14ac:dyDescent="0.2">
      <c r="A3204" s="6" t="str">
        <f>"IGHV1-69D"</f>
        <v>IGHV1-69D</v>
      </c>
      <c r="B3204" s="6">
        <v>2.9029029029028999E-2</v>
      </c>
      <c r="C3204" s="6">
        <v>0.159365109724148</v>
      </c>
    </row>
    <row r="3205" spans="1:3" s="8" customFormat="1" x14ac:dyDescent="0.2">
      <c r="A3205" s="6" t="str">
        <f>"PIPSL"</f>
        <v>PIPSL</v>
      </c>
      <c r="B3205" s="6">
        <v>2.9233870967741899E-2</v>
      </c>
      <c r="C3205" s="6">
        <v>0.16043957150336199</v>
      </c>
    </row>
    <row r="3206" spans="1:3" s="8" customFormat="1" x14ac:dyDescent="0.2">
      <c r="A3206" s="6" t="str">
        <f>"LINC02551"</f>
        <v>LINC02551</v>
      </c>
      <c r="B3206" s="6">
        <v>2.94117647058823E-2</v>
      </c>
      <c r="C3206" s="6">
        <v>0.16136551344406699</v>
      </c>
    </row>
    <row r="3207" spans="1:3" s="8" customFormat="1" x14ac:dyDescent="0.2">
      <c r="A3207" s="6" t="str">
        <f>"AL035685.1"</f>
        <v>AL035685.1</v>
      </c>
      <c r="B3207" s="6">
        <v>2.9970029970029899E-2</v>
      </c>
      <c r="C3207" s="6">
        <v>0.16140674027350899</v>
      </c>
    </row>
    <row r="3208" spans="1:3" s="8" customFormat="1" x14ac:dyDescent="0.2">
      <c r="A3208" s="6" t="str">
        <f>"AC009065.5"</f>
        <v>AC009065.5</v>
      </c>
      <c r="B3208" s="6">
        <v>2.9970029970029899E-2</v>
      </c>
      <c r="C3208" s="6">
        <v>0.16140674027350899</v>
      </c>
    </row>
    <row r="3209" spans="1:3" s="8" customFormat="1" x14ac:dyDescent="0.2">
      <c r="A3209" s="6" t="str">
        <f>"AC092745.3"</f>
        <v>AC092745.3</v>
      </c>
      <c r="B3209" s="6">
        <v>2.9970029970029899E-2</v>
      </c>
      <c r="C3209" s="6">
        <v>0.16140674027350899</v>
      </c>
    </row>
    <row r="3210" spans="1:3" s="8" customFormat="1" x14ac:dyDescent="0.2">
      <c r="A3210" s="6" t="str">
        <f>"AL137018.1"</f>
        <v>AL137018.1</v>
      </c>
      <c r="B3210" s="6">
        <v>2.9970029970029899E-2</v>
      </c>
      <c r="C3210" s="6">
        <v>0.16140674027350899</v>
      </c>
    </row>
    <row r="3211" spans="1:3" s="8" customFormat="1" x14ac:dyDescent="0.2">
      <c r="A3211" s="6" t="str">
        <f>"AC009084.3"</f>
        <v>AC009084.3</v>
      </c>
      <c r="B3211" s="6">
        <v>2.9591836734693799E-2</v>
      </c>
      <c r="C3211" s="6">
        <v>0.16140674027350899</v>
      </c>
    </row>
    <row r="3212" spans="1:3" s="8" customFormat="1" x14ac:dyDescent="0.2">
      <c r="A3212" s="6" t="str">
        <f>"AC099563.2"</f>
        <v>AC099563.2</v>
      </c>
      <c r="B3212" s="6">
        <v>2.9970029970029899E-2</v>
      </c>
      <c r="C3212" s="6">
        <v>0.16140674027350899</v>
      </c>
    </row>
    <row r="3213" spans="1:3" s="8" customFormat="1" x14ac:dyDescent="0.2">
      <c r="A3213" s="6" t="str">
        <f>"IGKV3-20"</f>
        <v>IGKV3-20</v>
      </c>
      <c r="B3213" s="6">
        <v>2.9970029970029899E-2</v>
      </c>
      <c r="C3213" s="6">
        <v>0.16140674027350899</v>
      </c>
    </row>
    <row r="3214" spans="1:3" s="8" customFormat="1" x14ac:dyDescent="0.2">
      <c r="A3214" s="6" t="str">
        <f>"AL132656.4"</f>
        <v>AL132656.4</v>
      </c>
      <c r="B3214" s="6">
        <v>2.9970029970029899E-2</v>
      </c>
      <c r="C3214" s="6">
        <v>0.16140674027350899</v>
      </c>
    </row>
    <row r="3215" spans="1:3" s="8" customFormat="1" x14ac:dyDescent="0.2">
      <c r="A3215" s="6" t="str">
        <f>"AC005262.2"</f>
        <v>AC005262.2</v>
      </c>
      <c r="B3215" s="6">
        <v>2.9970029970029899E-2</v>
      </c>
      <c r="C3215" s="6">
        <v>0.16140674027350899</v>
      </c>
    </row>
    <row r="3216" spans="1:3" s="8" customFormat="1" x14ac:dyDescent="0.2">
      <c r="A3216" s="6" t="str">
        <f>"LINC00852"</f>
        <v>LINC00852</v>
      </c>
      <c r="B3216" s="6">
        <v>2.9970029970029899E-2</v>
      </c>
      <c r="C3216" s="6">
        <v>0.16140674027350899</v>
      </c>
    </row>
    <row r="3217" spans="1:3" s="8" customFormat="1" x14ac:dyDescent="0.2">
      <c r="A3217" s="6" t="str">
        <f>"SAMD13"</f>
        <v>SAMD13</v>
      </c>
      <c r="B3217" s="6">
        <v>2.9970029970029899E-2</v>
      </c>
      <c r="C3217" s="6">
        <v>0.16140674027350899</v>
      </c>
    </row>
    <row r="3218" spans="1:3" s="8" customFormat="1" x14ac:dyDescent="0.2">
      <c r="A3218" s="6" t="str">
        <f>"AL590062.1"</f>
        <v>AL590062.1</v>
      </c>
      <c r="B3218" s="6">
        <v>2.9970029970029899E-2</v>
      </c>
      <c r="C3218" s="6">
        <v>0.16140674027350899</v>
      </c>
    </row>
    <row r="3219" spans="1:3" s="8" customFormat="1" x14ac:dyDescent="0.2">
      <c r="A3219" s="6" t="str">
        <f>"OR10H1"</f>
        <v>OR10H1</v>
      </c>
      <c r="B3219" s="6">
        <v>2.9970029970029899E-2</v>
      </c>
      <c r="C3219" s="6">
        <v>0.16140674027350899</v>
      </c>
    </row>
    <row r="3220" spans="1:3" s="8" customFormat="1" x14ac:dyDescent="0.2">
      <c r="A3220" s="6" t="str">
        <f>"SEMA7A"</f>
        <v>SEMA7A</v>
      </c>
      <c r="B3220" s="6">
        <v>2.9970029970029899E-2</v>
      </c>
      <c r="C3220" s="6">
        <v>0.16140674027350899</v>
      </c>
    </row>
    <row r="3221" spans="1:3" s="8" customFormat="1" x14ac:dyDescent="0.2">
      <c r="A3221" s="6" t="str">
        <f>"AC105233.2"</f>
        <v>AC105233.2</v>
      </c>
      <c r="B3221" s="6">
        <v>2.9970029970029899E-2</v>
      </c>
      <c r="C3221" s="6">
        <v>0.16140674027350899</v>
      </c>
    </row>
    <row r="3222" spans="1:3" s="8" customFormat="1" x14ac:dyDescent="0.2">
      <c r="A3222" s="6" t="str">
        <f>"C1orf112"</f>
        <v>C1orf112</v>
      </c>
      <c r="B3222" s="6">
        <v>2.9970029970029899E-2</v>
      </c>
      <c r="C3222" s="6">
        <v>0.16140674027350899</v>
      </c>
    </row>
    <row r="3223" spans="1:3" s="8" customFormat="1" x14ac:dyDescent="0.2">
      <c r="A3223" s="6" t="str">
        <f>"TIGD1"</f>
        <v>TIGD1</v>
      </c>
      <c r="B3223" s="6">
        <v>2.9970029970029899E-2</v>
      </c>
      <c r="C3223" s="6">
        <v>0.16140674027350899</v>
      </c>
    </row>
    <row r="3224" spans="1:3" s="8" customFormat="1" x14ac:dyDescent="0.2">
      <c r="A3224" s="6" t="str">
        <f>"POP1"</f>
        <v>POP1</v>
      </c>
      <c r="B3224" s="6">
        <v>2.9970029970029899E-2</v>
      </c>
      <c r="C3224" s="6">
        <v>0.16140674027350899</v>
      </c>
    </row>
    <row r="3225" spans="1:3" s="8" customFormat="1" x14ac:dyDescent="0.2">
      <c r="A3225" s="6" t="str">
        <f>"WDCP"</f>
        <v>WDCP</v>
      </c>
      <c r="B3225" s="6">
        <v>2.9970029970029899E-2</v>
      </c>
      <c r="C3225" s="6">
        <v>0.16140674027350899</v>
      </c>
    </row>
    <row r="3226" spans="1:3" s="8" customFormat="1" x14ac:dyDescent="0.2">
      <c r="A3226" s="6" t="str">
        <f>"FGFBP3"</f>
        <v>FGFBP3</v>
      </c>
      <c r="B3226" s="6">
        <v>2.9970029970029899E-2</v>
      </c>
      <c r="C3226" s="6">
        <v>0.16140674027350899</v>
      </c>
    </row>
    <row r="3227" spans="1:3" s="8" customFormat="1" x14ac:dyDescent="0.2">
      <c r="A3227" s="6" t="str">
        <f>"CH25H"</f>
        <v>CH25H</v>
      </c>
      <c r="B3227" s="6">
        <v>2.9970029970029899E-2</v>
      </c>
      <c r="C3227" s="6">
        <v>0.16140674027350899</v>
      </c>
    </row>
    <row r="3228" spans="1:3" s="8" customFormat="1" x14ac:dyDescent="0.2">
      <c r="A3228" s="6" t="str">
        <f>"PAXIP1-AS2"</f>
        <v>PAXIP1-AS2</v>
      </c>
      <c r="B3228" s="6">
        <v>2.9970029970029899E-2</v>
      </c>
      <c r="C3228" s="6">
        <v>0.16140674027350899</v>
      </c>
    </row>
    <row r="3229" spans="1:3" s="8" customFormat="1" x14ac:dyDescent="0.2">
      <c r="A3229" s="6" t="str">
        <f>"SVIL-AS1"</f>
        <v>SVIL-AS1</v>
      </c>
      <c r="B3229" s="6">
        <v>2.9970029970029899E-2</v>
      </c>
      <c r="C3229" s="6">
        <v>0.16140674027350899</v>
      </c>
    </row>
    <row r="3230" spans="1:3" s="8" customFormat="1" x14ac:dyDescent="0.2">
      <c r="A3230" s="6" t="str">
        <f>"HSD17B7"</f>
        <v>HSD17B7</v>
      </c>
      <c r="B3230" s="6">
        <v>2.9970029970029899E-2</v>
      </c>
      <c r="C3230" s="6">
        <v>0.16140674027350899</v>
      </c>
    </row>
    <row r="3231" spans="1:3" s="8" customFormat="1" x14ac:dyDescent="0.2">
      <c r="A3231" s="6" t="str">
        <f>"RASSF8"</f>
        <v>RASSF8</v>
      </c>
      <c r="B3231" s="6">
        <v>2.9970029970029899E-2</v>
      </c>
      <c r="C3231" s="6">
        <v>0.16140674027350899</v>
      </c>
    </row>
    <row r="3232" spans="1:3" s="8" customFormat="1" x14ac:dyDescent="0.2">
      <c r="A3232" s="6" t="str">
        <f>"PIGF"</f>
        <v>PIGF</v>
      </c>
      <c r="B3232" s="6">
        <v>2.9970029970029899E-2</v>
      </c>
      <c r="C3232" s="6">
        <v>0.16140674027350899</v>
      </c>
    </row>
    <row r="3233" spans="1:3" s="8" customFormat="1" x14ac:dyDescent="0.2">
      <c r="A3233" s="6" t="str">
        <f>"TRMO"</f>
        <v>TRMO</v>
      </c>
      <c r="B3233" s="6">
        <v>2.9970029970029899E-2</v>
      </c>
      <c r="C3233" s="6">
        <v>0.16140674027350899</v>
      </c>
    </row>
    <row r="3234" spans="1:3" s="8" customFormat="1" x14ac:dyDescent="0.2">
      <c r="A3234" s="6" t="str">
        <f>"ZNF195"</f>
        <v>ZNF195</v>
      </c>
      <c r="B3234" s="6">
        <v>2.9970029970029899E-2</v>
      </c>
      <c r="C3234" s="6">
        <v>0.16140674027350899</v>
      </c>
    </row>
    <row r="3235" spans="1:3" s="8" customFormat="1" x14ac:dyDescent="0.2">
      <c r="A3235" s="6" t="str">
        <f>"TMTC1"</f>
        <v>TMTC1</v>
      </c>
      <c r="B3235" s="6">
        <v>2.9970029970029899E-2</v>
      </c>
      <c r="C3235" s="6">
        <v>0.16140674027350899</v>
      </c>
    </row>
    <row r="3236" spans="1:3" s="8" customFormat="1" x14ac:dyDescent="0.2">
      <c r="A3236" s="6" t="str">
        <f>"ARMCX5"</f>
        <v>ARMCX5</v>
      </c>
      <c r="B3236" s="6">
        <v>2.9970029970029899E-2</v>
      </c>
      <c r="C3236" s="6">
        <v>0.16140674027350899</v>
      </c>
    </row>
    <row r="3237" spans="1:3" s="8" customFormat="1" x14ac:dyDescent="0.2">
      <c r="A3237" s="6" t="str">
        <f>"ERICH6-AS1"</f>
        <v>ERICH6-AS1</v>
      </c>
      <c r="B3237" s="6">
        <v>2.9970029970029899E-2</v>
      </c>
      <c r="C3237" s="6">
        <v>0.16140674027350899</v>
      </c>
    </row>
    <row r="3238" spans="1:3" s="8" customFormat="1" x14ac:dyDescent="0.2">
      <c r="A3238" s="6" t="str">
        <f>"CHAF1A"</f>
        <v>CHAF1A</v>
      </c>
      <c r="B3238" s="6">
        <v>2.9970029970029899E-2</v>
      </c>
      <c r="C3238" s="6">
        <v>0.16140674027350899</v>
      </c>
    </row>
    <row r="3239" spans="1:3" s="8" customFormat="1" x14ac:dyDescent="0.2">
      <c r="A3239" s="6" t="str">
        <f>"AKR1B10"</f>
        <v>AKR1B10</v>
      </c>
      <c r="B3239" s="6">
        <v>2.9970029970029899E-2</v>
      </c>
      <c r="C3239" s="6">
        <v>0.16140674027350899</v>
      </c>
    </row>
    <row r="3240" spans="1:3" s="8" customFormat="1" x14ac:dyDescent="0.2">
      <c r="A3240" s="6" t="str">
        <f>"TIMM17B"</f>
        <v>TIMM17B</v>
      </c>
      <c r="B3240" s="6">
        <v>2.9970029970029899E-2</v>
      </c>
      <c r="C3240" s="6">
        <v>0.16140674027350899</v>
      </c>
    </row>
    <row r="3241" spans="1:3" s="8" customFormat="1" x14ac:dyDescent="0.2">
      <c r="A3241" s="6" t="str">
        <f>"COL18A1"</f>
        <v>COL18A1</v>
      </c>
      <c r="B3241" s="6">
        <v>2.9970029970029899E-2</v>
      </c>
      <c r="C3241" s="6">
        <v>0.16140674027350899</v>
      </c>
    </row>
    <row r="3242" spans="1:3" s="8" customFormat="1" x14ac:dyDescent="0.2">
      <c r="A3242" s="6" t="str">
        <f>"DGKD"</f>
        <v>DGKD</v>
      </c>
      <c r="B3242" s="6">
        <v>2.9970029970029899E-2</v>
      </c>
      <c r="C3242" s="6">
        <v>0.16140674027350899</v>
      </c>
    </row>
    <row r="3243" spans="1:3" s="8" customFormat="1" x14ac:dyDescent="0.2">
      <c r="A3243" s="6" t="str">
        <f>"FAM174C"</f>
        <v>FAM174C</v>
      </c>
      <c r="B3243" s="6">
        <v>2.9970029970029899E-2</v>
      </c>
      <c r="C3243" s="6">
        <v>0.16140674027350899</v>
      </c>
    </row>
    <row r="3244" spans="1:3" s="8" customFormat="1" x14ac:dyDescent="0.2">
      <c r="A3244" s="6" t="str">
        <f>"PLEKHA1"</f>
        <v>PLEKHA1</v>
      </c>
      <c r="B3244" s="6">
        <v>2.9970029970029899E-2</v>
      </c>
      <c r="C3244" s="6">
        <v>0.16140674027350899</v>
      </c>
    </row>
    <row r="3245" spans="1:3" s="8" customFormat="1" x14ac:dyDescent="0.2">
      <c r="A3245" s="6" t="str">
        <f>"POLR2J"</f>
        <v>POLR2J</v>
      </c>
      <c r="B3245" s="6">
        <v>2.9970029970029899E-2</v>
      </c>
      <c r="C3245" s="6">
        <v>0.16140674027350899</v>
      </c>
    </row>
    <row r="3246" spans="1:3" s="8" customFormat="1" x14ac:dyDescent="0.2">
      <c r="A3246" s="6" t="str">
        <f>"ACAT1"</f>
        <v>ACAT1</v>
      </c>
      <c r="B3246" s="6">
        <v>2.9970029970029899E-2</v>
      </c>
      <c r="C3246" s="6">
        <v>0.16140674027350899</v>
      </c>
    </row>
    <row r="3247" spans="1:3" s="8" customFormat="1" x14ac:dyDescent="0.2">
      <c r="A3247" s="6" t="str">
        <f>"SEPTIN10"</f>
        <v>SEPTIN10</v>
      </c>
      <c r="B3247" s="6">
        <v>2.9970029970029899E-2</v>
      </c>
      <c r="C3247" s="6">
        <v>0.16140674027350899</v>
      </c>
    </row>
    <row r="3248" spans="1:3" s="8" customFormat="1" x14ac:dyDescent="0.2">
      <c r="A3248" s="6" t="str">
        <f>"NNT-AS1"</f>
        <v>NNT-AS1</v>
      </c>
      <c r="B3248" s="6">
        <v>2.9970029970029899E-2</v>
      </c>
      <c r="C3248" s="6">
        <v>0.16140674027350899</v>
      </c>
    </row>
    <row r="3249" spans="1:3" s="8" customFormat="1" x14ac:dyDescent="0.2">
      <c r="A3249" s="6" t="str">
        <f>"UNK"</f>
        <v>UNK</v>
      </c>
      <c r="B3249" s="6">
        <v>2.9970029970029899E-2</v>
      </c>
      <c r="C3249" s="6">
        <v>0.16140674027350899</v>
      </c>
    </row>
    <row r="3250" spans="1:3" s="8" customFormat="1" x14ac:dyDescent="0.2">
      <c r="A3250" s="6" t="str">
        <f>"ZNHIT6"</f>
        <v>ZNHIT6</v>
      </c>
      <c r="B3250" s="6">
        <v>2.9970029970029899E-2</v>
      </c>
      <c r="C3250" s="6">
        <v>0.16140674027350899</v>
      </c>
    </row>
    <row r="3251" spans="1:3" s="8" customFormat="1" x14ac:dyDescent="0.2">
      <c r="A3251" s="6" t="str">
        <f>"SEC24B"</f>
        <v>SEC24B</v>
      </c>
      <c r="B3251" s="6">
        <v>2.9970029970029899E-2</v>
      </c>
      <c r="C3251" s="6">
        <v>0.16140674027350899</v>
      </c>
    </row>
    <row r="3252" spans="1:3" s="8" customFormat="1" x14ac:dyDescent="0.2">
      <c r="A3252" s="6" t="str">
        <f>"SNTB1"</f>
        <v>SNTB1</v>
      </c>
      <c r="B3252" s="6">
        <v>2.9970029970029899E-2</v>
      </c>
      <c r="C3252" s="6">
        <v>0.16140674027350899</v>
      </c>
    </row>
    <row r="3253" spans="1:3" s="8" customFormat="1" x14ac:dyDescent="0.2">
      <c r="A3253" s="6" t="str">
        <f>"PIGS"</f>
        <v>PIGS</v>
      </c>
      <c r="B3253" s="6">
        <v>2.9970029970029899E-2</v>
      </c>
      <c r="C3253" s="6">
        <v>0.16140674027350899</v>
      </c>
    </row>
    <row r="3254" spans="1:3" s="8" customFormat="1" x14ac:dyDescent="0.2">
      <c r="A3254" s="6" t="str">
        <f>"H2BC21"</f>
        <v>H2BC21</v>
      </c>
      <c r="B3254" s="6">
        <v>2.9970029970029899E-2</v>
      </c>
      <c r="C3254" s="6">
        <v>0.16140674027350899</v>
      </c>
    </row>
    <row r="3255" spans="1:3" s="8" customFormat="1" x14ac:dyDescent="0.2">
      <c r="A3255" s="6" t="str">
        <f>"SINHCAF"</f>
        <v>SINHCAF</v>
      </c>
      <c r="B3255" s="6">
        <v>2.9970029970029899E-2</v>
      </c>
      <c r="C3255" s="6">
        <v>0.16140674027350899</v>
      </c>
    </row>
    <row r="3256" spans="1:3" s="8" customFormat="1" x14ac:dyDescent="0.2">
      <c r="A3256" s="6" t="str">
        <f>"ATP6V1B2"</f>
        <v>ATP6V1B2</v>
      </c>
      <c r="B3256" s="6">
        <v>2.9970029970029899E-2</v>
      </c>
      <c r="C3256" s="6">
        <v>0.16140674027350899</v>
      </c>
    </row>
    <row r="3257" spans="1:3" s="8" customFormat="1" x14ac:dyDescent="0.2">
      <c r="A3257" s="6" t="str">
        <f>"MEF2D"</f>
        <v>MEF2D</v>
      </c>
      <c r="B3257" s="6">
        <v>2.9970029970029899E-2</v>
      </c>
      <c r="C3257" s="6">
        <v>0.16140674027350899</v>
      </c>
    </row>
    <row r="3258" spans="1:3" s="8" customFormat="1" x14ac:dyDescent="0.2">
      <c r="A3258" s="6" t="str">
        <f>"PRDX2"</f>
        <v>PRDX2</v>
      </c>
      <c r="B3258" s="6">
        <v>2.9970029970029899E-2</v>
      </c>
      <c r="C3258" s="6">
        <v>0.16140674027350899</v>
      </c>
    </row>
    <row r="3259" spans="1:3" s="8" customFormat="1" x14ac:dyDescent="0.2">
      <c r="A3259" s="6" t="str">
        <f>"TYK2"</f>
        <v>TYK2</v>
      </c>
      <c r="B3259" s="6">
        <v>2.9970029970029899E-2</v>
      </c>
      <c r="C3259" s="6">
        <v>0.16140674027350899</v>
      </c>
    </row>
    <row r="3260" spans="1:3" s="8" customFormat="1" x14ac:dyDescent="0.2">
      <c r="A3260" s="6" t="str">
        <f>"PRSS8"</f>
        <v>PRSS8</v>
      </c>
      <c r="B3260" s="6">
        <v>2.9970029970029899E-2</v>
      </c>
      <c r="C3260" s="6">
        <v>0.16140674027350899</v>
      </c>
    </row>
    <row r="3261" spans="1:3" s="8" customFormat="1" x14ac:dyDescent="0.2">
      <c r="A3261" s="6" t="str">
        <f>"PSMB1"</f>
        <v>PSMB1</v>
      </c>
      <c r="B3261" s="6">
        <v>2.9970029970029899E-2</v>
      </c>
      <c r="C3261" s="6">
        <v>0.16140674027350899</v>
      </c>
    </row>
    <row r="3262" spans="1:3" s="8" customFormat="1" x14ac:dyDescent="0.2">
      <c r="A3262" s="6" t="str">
        <f>"POLR2A"</f>
        <v>POLR2A</v>
      </c>
      <c r="B3262" s="6">
        <v>2.9970029970029899E-2</v>
      </c>
      <c r="C3262" s="6">
        <v>0.16140674027350899</v>
      </c>
    </row>
    <row r="3263" spans="1:3" s="8" customFormat="1" x14ac:dyDescent="0.2">
      <c r="A3263" s="6" t="str">
        <f>"KRT7"</f>
        <v>KRT7</v>
      </c>
      <c r="B3263" s="6">
        <v>2.9970029970029899E-2</v>
      </c>
      <c r="C3263" s="6">
        <v>0.16140674027350899</v>
      </c>
    </row>
    <row r="3264" spans="1:3" s="8" customFormat="1" x14ac:dyDescent="0.2">
      <c r="A3264" s="6" t="str">
        <f>"RPL19"</f>
        <v>RPL19</v>
      </c>
      <c r="B3264" s="6">
        <v>2.9970029970029899E-2</v>
      </c>
      <c r="C3264" s="6">
        <v>0.16140674027350899</v>
      </c>
    </row>
    <row r="3265" spans="1:3" s="8" customFormat="1" x14ac:dyDescent="0.2">
      <c r="A3265" s="6" t="str">
        <f>"MT-CYB"</f>
        <v>MT-CYB</v>
      </c>
      <c r="B3265" s="6">
        <v>2.9970029970029899E-2</v>
      </c>
      <c r="C3265" s="6">
        <v>0.16140674027350899</v>
      </c>
    </row>
    <row r="3266" spans="1:3" s="8" customFormat="1" x14ac:dyDescent="0.2">
      <c r="A3266" s="6" t="str">
        <f>"MT-ND5"</f>
        <v>MT-ND5</v>
      </c>
      <c r="B3266" s="6">
        <v>2.9970029970029899E-2</v>
      </c>
      <c r="C3266" s="6">
        <v>0.16140674027350899</v>
      </c>
    </row>
    <row r="3267" spans="1:3" s="8" customFormat="1" x14ac:dyDescent="0.2">
      <c r="A3267" s="6" t="str">
        <f>"BX842570.1"</f>
        <v>BX842570.1</v>
      </c>
      <c r="B3267" s="6">
        <v>0.03</v>
      </c>
      <c r="C3267" s="6">
        <v>0.16141982864137</v>
      </c>
    </row>
    <row r="3268" spans="1:3" s="8" customFormat="1" x14ac:dyDescent="0.2">
      <c r="A3268" s="6" t="str">
        <f>"DCDC2B"</f>
        <v>DCDC2B</v>
      </c>
      <c r="B3268" s="6">
        <v>0.03</v>
      </c>
      <c r="C3268" s="6">
        <v>0.16141982864137</v>
      </c>
    </row>
    <row r="3269" spans="1:3" s="8" customFormat="1" x14ac:dyDescent="0.2">
      <c r="A3269" s="6" t="str">
        <f>"DGKA"</f>
        <v>DGKA</v>
      </c>
      <c r="B3269" s="6">
        <v>0.03</v>
      </c>
      <c r="C3269" s="6">
        <v>0.16141982864137</v>
      </c>
    </row>
    <row r="3270" spans="1:3" s="8" customFormat="1" x14ac:dyDescent="0.2">
      <c r="A3270" s="6" t="str">
        <f>"GOLGA8M"</f>
        <v>GOLGA8M</v>
      </c>
      <c r="B3270" s="6">
        <v>3.0120481927710802E-2</v>
      </c>
      <c r="C3270" s="6">
        <v>0.162018523773896</v>
      </c>
    </row>
    <row r="3271" spans="1:3" s="8" customFormat="1" x14ac:dyDescent="0.2">
      <c r="A3271" s="6" t="str">
        <f>"AL022157.1"</f>
        <v>AL022157.1</v>
      </c>
      <c r="B3271" s="6">
        <v>3.0395136778115499E-2</v>
      </c>
      <c r="C3271" s="6">
        <v>0.16344589758604899</v>
      </c>
    </row>
    <row r="3272" spans="1:3" s="8" customFormat="1" x14ac:dyDescent="0.2">
      <c r="A3272" s="6" t="str">
        <f>"TYR"</f>
        <v>TYR</v>
      </c>
      <c r="B3272" s="6">
        <v>3.0969030969030899E-2</v>
      </c>
      <c r="C3272" s="6">
        <v>0.16394105263157799</v>
      </c>
    </row>
    <row r="3273" spans="1:3" s="8" customFormat="1" x14ac:dyDescent="0.2">
      <c r="A3273" s="6" t="str">
        <f>"AC119396.1"</f>
        <v>AC119396.1</v>
      </c>
      <c r="B3273" s="6">
        <v>3.0969030969030899E-2</v>
      </c>
      <c r="C3273" s="6">
        <v>0.16394105263157799</v>
      </c>
    </row>
    <row r="3274" spans="1:3" s="8" customFormat="1" x14ac:dyDescent="0.2">
      <c r="A3274" s="6" t="str">
        <f>"LINC00106"</f>
        <v>LINC00106</v>
      </c>
      <c r="B3274" s="6">
        <v>3.0969030969030899E-2</v>
      </c>
      <c r="C3274" s="6">
        <v>0.16394105263157799</v>
      </c>
    </row>
    <row r="3275" spans="1:3" s="8" customFormat="1" x14ac:dyDescent="0.2">
      <c r="A3275" s="6" t="str">
        <f>"LINC02397"</f>
        <v>LINC02397</v>
      </c>
      <c r="B3275" s="6">
        <v>3.1E-2</v>
      </c>
      <c r="C3275" s="6">
        <v>0.16394105263157799</v>
      </c>
    </row>
    <row r="3276" spans="1:3" s="8" customFormat="1" x14ac:dyDescent="0.2">
      <c r="A3276" s="6" t="str">
        <f>"LINC02343"</f>
        <v>LINC02343</v>
      </c>
      <c r="B3276" s="6">
        <v>3.0969030969030899E-2</v>
      </c>
      <c r="C3276" s="6">
        <v>0.16394105263157799</v>
      </c>
    </row>
    <row r="3277" spans="1:3" s="8" customFormat="1" x14ac:dyDescent="0.2">
      <c r="A3277" s="6" t="str">
        <f>"NMBR"</f>
        <v>NMBR</v>
      </c>
      <c r="B3277" s="6">
        <v>3.0969030969030899E-2</v>
      </c>
      <c r="C3277" s="6">
        <v>0.16394105263157799</v>
      </c>
    </row>
    <row r="3278" spans="1:3" s="8" customFormat="1" x14ac:dyDescent="0.2">
      <c r="A3278" s="6" t="str">
        <f>"SLC45A1"</f>
        <v>SLC45A1</v>
      </c>
      <c r="B3278" s="6">
        <v>3.0969030969030899E-2</v>
      </c>
      <c r="C3278" s="6">
        <v>0.16394105263157799</v>
      </c>
    </row>
    <row r="3279" spans="1:3" s="8" customFormat="1" x14ac:dyDescent="0.2">
      <c r="A3279" s="6" t="str">
        <f>"AC009244.1"</f>
        <v>AC009244.1</v>
      </c>
      <c r="B3279" s="6">
        <v>3.0969030969030899E-2</v>
      </c>
      <c r="C3279" s="6">
        <v>0.16394105263157799</v>
      </c>
    </row>
    <row r="3280" spans="1:3" s="8" customFormat="1" x14ac:dyDescent="0.2">
      <c r="A3280" s="6" t="str">
        <f>"RIPPLY3"</f>
        <v>RIPPLY3</v>
      </c>
      <c r="B3280" s="6">
        <v>3.0969030969030899E-2</v>
      </c>
      <c r="C3280" s="6">
        <v>0.16394105263157799</v>
      </c>
    </row>
    <row r="3281" spans="1:3" s="8" customFormat="1" x14ac:dyDescent="0.2">
      <c r="A3281" s="6" t="str">
        <f>"AC069360.1"</f>
        <v>AC069360.1</v>
      </c>
      <c r="B3281" s="6">
        <v>3.0857142857142798E-2</v>
      </c>
      <c r="C3281" s="6">
        <v>0.16394105263157799</v>
      </c>
    </row>
    <row r="3282" spans="1:3" s="8" customFormat="1" x14ac:dyDescent="0.2">
      <c r="A3282" s="6" t="str">
        <f>"AC025580.1"</f>
        <v>AC025580.1</v>
      </c>
      <c r="B3282" s="6">
        <v>3.1E-2</v>
      </c>
      <c r="C3282" s="6">
        <v>0.16394105263157799</v>
      </c>
    </row>
    <row r="3283" spans="1:3" s="8" customFormat="1" x14ac:dyDescent="0.2">
      <c r="A3283" s="6" t="str">
        <f>"FAM21EP"</f>
        <v>FAM21EP</v>
      </c>
      <c r="B3283" s="6">
        <v>3.0969030969030899E-2</v>
      </c>
      <c r="C3283" s="6">
        <v>0.16394105263157799</v>
      </c>
    </row>
    <row r="3284" spans="1:3" s="8" customFormat="1" x14ac:dyDescent="0.2">
      <c r="A3284" s="6" t="str">
        <f>"LINC01535"</f>
        <v>LINC01535</v>
      </c>
      <c r="B3284" s="6">
        <v>3.0969030969030899E-2</v>
      </c>
      <c r="C3284" s="6">
        <v>0.16394105263157799</v>
      </c>
    </row>
    <row r="3285" spans="1:3" s="8" customFormat="1" x14ac:dyDescent="0.2">
      <c r="A3285" s="6" t="str">
        <f>"AMPD1"</f>
        <v>AMPD1</v>
      </c>
      <c r="B3285" s="6">
        <v>3.0969030969030899E-2</v>
      </c>
      <c r="C3285" s="6">
        <v>0.16394105263157799</v>
      </c>
    </row>
    <row r="3286" spans="1:3" s="8" customFormat="1" x14ac:dyDescent="0.2">
      <c r="A3286" s="6" t="str">
        <f>"TNNC2"</f>
        <v>TNNC2</v>
      </c>
      <c r="B3286" s="6">
        <v>3.0969030969030899E-2</v>
      </c>
      <c r="C3286" s="6">
        <v>0.16394105263157799</v>
      </c>
    </row>
    <row r="3287" spans="1:3" s="8" customFormat="1" x14ac:dyDescent="0.2">
      <c r="A3287" s="6" t="str">
        <f>"RPSAP58"</f>
        <v>RPSAP58</v>
      </c>
      <c r="B3287" s="6">
        <v>3.1E-2</v>
      </c>
      <c r="C3287" s="6">
        <v>0.16394105263157799</v>
      </c>
    </row>
    <row r="3288" spans="1:3" s="8" customFormat="1" x14ac:dyDescent="0.2">
      <c r="A3288" s="6" t="str">
        <f>"SMOC2"</f>
        <v>SMOC2</v>
      </c>
      <c r="B3288" s="6">
        <v>3.0969030969030899E-2</v>
      </c>
      <c r="C3288" s="6">
        <v>0.16394105263157799</v>
      </c>
    </row>
    <row r="3289" spans="1:3" s="8" customFormat="1" x14ac:dyDescent="0.2">
      <c r="A3289" s="6" t="str">
        <f>"TROAP"</f>
        <v>TROAP</v>
      </c>
      <c r="B3289" s="6">
        <v>3.1E-2</v>
      </c>
      <c r="C3289" s="6">
        <v>0.16394105263157799</v>
      </c>
    </row>
    <row r="3290" spans="1:3" s="8" customFormat="1" x14ac:dyDescent="0.2">
      <c r="A3290" s="6" t="str">
        <f>"IRAG1-AS1"</f>
        <v>IRAG1-AS1</v>
      </c>
      <c r="B3290" s="6">
        <v>3.0969030969030899E-2</v>
      </c>
      <c r="C3290" s="6">
        <v>0.16394105263157799</v>
      </c>
    </row>
    <row r="3291" spans="1:3" s="8" customFormat="1" x14ac:dyDescent="0.2">
      <c r="A3291" s="6" t="str">
        <f>"TRPV6"</f>
        <v>TRPV6</v>
      </c>
      <c r="B3291" s="6">
        <v>3.0969030969030899E-2</v>
      </c>
      <c r="C3291" s="6">
        <v>0.16394105263157799</v>
      </c>
    </row>
    <row r="3292" spans="1:3" s="8" customFormat="1" x14ac:dyDescent="0.2">
      <c r="A3292" s="6" t="str">
        <f>"PPP1R3C"</f>
        <v>PPP1R3C</v>
      </c>
      <c r="B3292" s="6">
        <v>3.0969030969030899E-2</v>
      </c>
      <c r="C3292" s="6">
        <v>0.16394105263157799</v>
      </c>
    </row>
    <row r="3293" spans="1:3" s="8" customFormat="1" x14ac:dyDescent="0.2">
      <c r="A3293" s="6" t="str">
        <f>"NSG1"</f>
        <v>NSG1</v>
      </c>
      <c r="B3293" s="6">
        <v>3.0969030969030899E-2</v>
      </c>
      <c r="C3293" s="6">
        <v>0.16394105263157799</v>
      </c>
    </row>
    <row r="3294" spans="1:3" s="8" customFormat="1" x14ac:dyDescent="0.2">
      <c r="A3294" s="6" t="str">
        <f>"FBXO48"</f>
        <v>FBXO48</v>
      </c>
      <c r="B3294" s="6">
        <v>3.0969030969030899E-2</v>
      </c>
      <c r="C3294" s="6">
        <v>0.16394105263157799</v>
      </c>
    </row>
    <row r="3295" spans="1:3" s="8" customFormat="1" x14ac:dyDescent="0.2">
      <c r="A3295" s="6" t="str">
        <f>"PLAGL1"</f>
        <v>PLAGL1</v>
      </c>
      <c r="B3295" s="6">
        <v>3.0969030969030899E-2</v>
      </c>
      <c r="C3295" s="6">
        <v>0.16394105263157799</v>
      </c>
    </row>
    <row r="3296" spans="1:3" s="8" customFormat="1" x14ac:dyDescent="0.2">
      <c r="A3296" s="6" t="str">
        <f>"NR2C2AP"</f>
        <v>NR2C2AP</v>
      </c>
      <c r="B3296" s="6">
        <v>3.0969030969030899E-2</v>
      </c>
      <c r="C3296" s="6">
        <v>0.16394105263157799</v>
      </c>
    </row>
    <row r="3297" spans="1:3" s="8" customFormat="1" x14ac:dyDescent="0.2">
      <c r="A3297" s="6" t="str">
        <f>"TEX10"</f>
        <v>TEX10</v>
      </c>
      <c r="B3297" s="6">
        <v>3.0969030969030899E-2</v>
      </c>
      <c r="C3297" s="6">
        <v>0.16394105263157799</v>
      </c>
    </row>
    <row r="3298" spans="1:3" s="8" customFormat="1" x14ac:dyDescent="0.2">
      <c r="A3298" s="6" t="str">
        <f>"ZNF337"</f>
        <v>ZNF337</v>
      </c>
      <c r="B3298" s="6">
        <v>3.0969030969030899E-2</v>
      </c>
      <c r="C3298" s="6">
        <v>0.16394105263157799</v>
      </c>
    </row>
    <row r="3299" spans="1:3" s="8" customFormat="1" x14ac:dyDescent="0.2">
      <c r="A3299" s="6" t="str">
        <f>"PRKAB2"</f>
        <v>PRKAB2</v>
      </c>
      <c r="B3299" s="6">
        <v>3.0969030969030899E-2</v>
      </c>
      <c r="C3299" s="6">
        <v>0.16394105263157799</v>
      </c>
    </row>
    <row r="3300" spans="1:3" s="8" customFormat="1" x14ac:dyDescent="0.2">
      <c r="A3300" s="6" t="str">
        <f>"MIIP"</f>
        <v>MIIP</v>
      </c>
      <c r="B3300" s="6">
        <v>3.0969030969030899E-2</v>
      </c>
      <c r="C3300" s="6">
        <v>0.16394105263157799</v>
      </c>
    </row>
    <row r="3301" spans="1:3" s="8" customFormat="1" x14ac:dyDescent="0.2">
      <c r="A3301" s="6" t="str">
        <f>"ZNF107"</f>
        <v>ZNF107</v>
      </c>
      <c r="B3301" s="6">
        <v>3.0969030969030899E-2</v>
      </c>
      <c r="C3301" s="6">
        <v>0.16394105263157799</v>
      </c>
    </row>
    <row r="3302" spans="1:3" s="8" customFormat="1" x14ac:dyDescent="0.2">
      <c r="A3302" s="6" t="str">
        <f>"SVOPL"</f>
        <v>SVOPL</v>
      </c>
      <c r="B3302" s="6">
        <v>3.0969030969030899E-2</v>
      </c>
      <c r="C3302" s="6">
        <v>0.16394105263157799</v>
      </c>
    </row>
    <row r="3303" spans="1:3" s="8" customFormat="1" x14ac:dyDescent="0.2">
      <c r="A3303" s="6" t="str">
        <f>"ZNF658"</f>
        <v>ZNF658</v>
      </c>
      <c r="B3303" s="6">
        <v>3.0969030969030899E-2</v>
      </c>
      <c r="C3303" s="6">
        <v>0.16394105263157799</v>
      </c>
    </row>
    <row r="3304" spans="1:3" s="8" customFormat="1" x14ac:dyDescent="0.2">
      <c r="A3304" s="6" t="str">
        <f>"ERICH1"</f>
        <v>ERICH1</v>
      </c>
      <c r="B3304" s="6">
        <v>3.0969030969030899E-2</v>
      </c>
      <c r="C3304" s="6">
        <v>0.16394105263157799</v>
      </c>
    </row>
    <row r="3305" spans="1:3" s="8" customFormat="1" x14ac:dyDescent="0.2">
      <c r="A3305" s="6" t="str">
        <f>"TMEM102"</f>
        <v>TMEM102</v>
      </c>
      <c r="B3305" s="6">
        <v>3.0969030969030899E-2</v>
      </c>
      <c r="C3305" s="6">
        <v>0.16394105263157799</v>
      </c>
    </row>
    <row r="3306" spans="1:3" s="8" customFormat="1" x14ac:dyDescent="0.2">
      <c r="A3306" s="6" t="str">
        <f>"GPATCH2"</f>
        <v>GPATCH2</v>
      </c>
      <c r="B3306" s="6">
        <v>3.0969030969030899E-2</v>
      </c>
      <c r="C3306" s="6">
        <v>0.16394105263157799</v>
      </c>
    </row>
    <row r="3307" spans="1:3" s="8" customFormat="1" x14ac:dyDescent="0.2">
      <c r="A3307" s="6" t="str">
        <f>"ARL14EP"</f>
        <v>ARL14EP</v>
      </c>
      <c r="B3307" s="6">
        <v>3.0969030969030899E-2</v>
      </c>
      <c r="C3307" s="6">
        <v>0.16394105263157799</v>
      </c>
    </row>
    <row r="3308" spans="1:3" s="8" customFormat="1" x14ac:dyDescent="0.2">
      <c r="A3308" s="6" t="str">
        <f>"SNIP1"</f>
        <v>SNIP1</v>
      </c>
      <c r="B3308" s="6">
        <v>3.0969030969030899E-2</v>
      </c>
      <c r="C3308" s="6">
        <v>0.16394105263157799</v>
      </c>
    </row>
    <row r="3309" spans="1:3" s="8" customFormat="1" x14ac:dyDescent="0.2">
      <c r="A3309" s="6" t="str">
        <f>"ZBTB10"</f>
        <v>ZBTB10</v>
      </c>
      <c r="B3309" s="6">
        <v>3.0969030969030899E-2</v>
      </c>
      <c r="C3309" s="6">
        <v>0.16394105263157799</v>
      </c>
    </row>
    <row r="3310" spans="1:3" s="8" customFormat="1" x14ac:dyDescent="0.2">
      <c r="A3310" s="6" t="str">
        <f>"ZBTB41"</f>
        <v>ZBTB41</v>
      </c>
      <c r="B3310" s="6">
        <v>3.0969030969030899E-2</v>
      </c>
      <c r="C3310" s="6">
        <v>0.16394105263157799</v>
      </c>
    </row>
    <row r="3311" spans="1:3" s="8" customFormat="1" x14ac:dyDescent="0.2">
      <c r="A3311" s="6" t="str">
        <f>"TRIQK"</f>
        <v>TRIQK</v>
      </c>
      <c r="B3311" s="6">
        <v>3.0969030969030899E-2</v>
      </c>
      <c r="C3311" s="6">
        <v>0.16394105263157799</v>
      </c>
    </row>
    <row r="3312" spans="1:3" s="8" customFormat="1" x14ac:dyDescent="0.2">
      <c r="A3312" s="6" t="str">
        <f>"SARNP"</f>
        <v>SARNP</v>
      </c>
      <c r="B3312" s="6">
        <v>3.0969030969030899E-2</v>
      </c>
      <c r="C3312" s="6">
        <v>0.16394105263157799</v>
      </c>
    </row>
    <row r="3313" spans="1:3" s="8" customFormat="1" x14ac:dyDescent="0.2">
      <c r="A3313" s="6" t="str">
        <f>"PIM1"</f>
        <v>PIM1</v>
      </c>
      <c r="B3313" s="6">
        <v>3.0969030969030899E-2</v>
      </c>
      <c r="C3313" s="6">
        <v>0.16394105263157799</v>
      </c>
    </row>
    <row r="3314" spans="1:3" s="8" customFormat="1" x14ac:dyDescent="0.2">
      <c r="A3314" s="6" t="str">
        <f>"SPAG8"</f>
        <v>SPAG8</v>
      </c>
      <c r="B3314" s="6">
        <v>3.0969030969030899E-2</v>
      </c>
      <c r="C3314" s="6">
        <v>0.16394105263157799</v>
      </c>
    </row>
    <row r="3315" spans="1:3" s="8" customFormat="1" x14ac:dyDescent="0.2">
      <c r="A3315" s="6" t="str">
        <f>"TSPAN31"</f>
        <v>TSPAN31</v>
      </c>
      <c r="B3315" s="6">
        <v>3.0969030969030899E-2</v>
      </c>
      <c r="C3315" s="6">
        <v>0.16394105263157799</v>
      </c>
    </row>
    <row r="3316" spans="1:3" s="8" customFormat="1" x14ac:dyDescent="0.2">
      <c r="A3316" s="6" t="str">
        <f>"GPR157"</f>
        <v>GPR157</v>
      </c>
      <c r="B3316" s="6">
        <v>3.0969030969030899E-2</v>
      </c>
      <c r="C3316" s="6">
        <v>0.16394105263157799</v>
      </c>
    </row>
    <row r="3317" spans="1:3" s="8" customFormat="1" x14ac:dyDescent="0.2">
      <c r="A3317" s="6" t="str">
        <f>"MBOAT1"</f>
        <v>MBOAT1</v>
      </c>
      <c r="B3317" s="6">
        <v>3.0969030969030899E-2</v>
      </c>
      <c r="C3317" s="6">
        <v>0.16394105263157799</v>
      </c>
    </row>
    <row r="3318" spans="1:3" s="8" customFormat="1" x14ac:dyDescent="0.2">
      <c r="A3318" s="6" t="str">
        <f>"PET100"</f>
        <v>PET100</v>
      </c>
      <c r="B3318" s="6">
        <v>3.0969030969030899E-2</v>
      </c>
      <c r="C3318" s="6">
        <v>0.16394105263157799</v>
      </c>
    </row>
    <row r="3319" spans="1:3" s="8" customFormat="1" x14ac:dyDescent="0.2">
      <c r="A3319" s="6" t="str">
        <f>"FBXW2"</f>
        <v>FBXW2</v>
      </c>
      <c r="B3319" s="6">
        <v>3.0969030969030899E-2</v>
      </c>
      <c r="C3319" s="6">
        <v>0.16394105263157799</v>
      </c>
    </row>
    <row r="3320" spans="1:3" s="8" customFormat="1" x14ac:dyDescent="0.2">
      <c r="A3320" s="6" t="str">
        <f>"ABHD11"</f>
        <v>ABHD11</v>
      </c>
      <c r="B3320" s="6">
        <v>3.0969030969030899E-2</v>
      </c>
      <c r="C3320" s="6">
        <v>0.16394105263157799</v>
      </c>
    </row>
    <row r="3321" spans="1:3" s="8" customFormat="1" x14ac:dyDescent="0.2">
      <c r="A3321" s="6" t="str">
        <f>"FAM183A"</f>
        <v>FAM183A</v>
      </c>
      <c r="B3321" s="6">
        <v>3.0969030969030899E-2</v>
      </c>
      <c r="C3321" s="6">
        <v>0.16394105263157799</v>
      </c>
    </row>
    <row r="3322" spans="1:3" s="8" customFormat="1" x14ac:dyDescent="0.2">
      <c r="A3322" s="6" t="str">
        <f>"GRN"</f>
        <v>GRN</v>
      </c>
      <c r="B3322" s="6">
        <v>3.0969030969030899E-2</v>
      </c>
      <c r="C3322" s="6">
        <v>0.16394105263157799</v>
      </c>
    </row>
    <row r="3323" spans="1:3" s="8" customFormat="1" x14ac:dyDescent="0.2">
      <c r="A3323" s="6" t="str">
        <f>"MUC4"</f>
        <v>MUC4</v>
      </c>
      <c r="B3323" s="6">
        <v>3.0969030969030899E-2</v>
      </c>
      <c r="C3323" s="6">
        <v>0.16394105263157799</v>
      </c>
    </row>
    <row r="3324" spans="1:3" s="8" customFormat="1" x14ac:dyDescent="0.2">
      <c r="A3324" s="6" t="str">
        <f>"ACTG1"</f>
        <v>ACTG1</v>
      </c>
      <c r="B3324" s="6">
        <v>3.0969030969030899E-2</v>
      </c>
      <c r="C3324" s="6">
        <v>0.16394105263157799</v>
      </c>
    </row>
    <row r="3325" spans="1:3" s="8" customFormat="1" x14ac:dyDescent="0.2">
      <c r="A3325" s="6" t="str">
        <f>"MT-ATP6"</f>
        <v>MT-ATP6</v>
      </c>
      <c r="B3325" s="6">
        <v>3.0969030969030899E-2</v>
      </c>
      <c r="C3325" s="6">
        <v>0.16394105263157799</v>
      </c>
    </row>
    <row r="3326" spans="1:3" s="8" customFormat="1" x14ac:dyDescent="0.2">
      <c r="A3326" s="6" t="str">
        <f>"MT-ND4"</f>
        <v>MT-ND4</v>
      </c>
      <c r="B3326" s="6">
        <v>3.0969030969030899E-2</v>
      </c>
      <c r="C3326" s="6">
        <v>0.16394105263157799</v>
      </c>
    </row>
    <row r="3327" spans="1:3" s="8" customFormat="1" x14ac:dyDescent="0.2">
      <c r="A3327" s="6" t="str">
        <f>"AC006160.1"</f>
        <v>AC006160.1</v>
      </c>
      <c r="B3327" s="6">
        <v>3.11557788944723E-2</v>
      </c>
      <c r="C3327" s="6">
        <v>0.164715338568972</v>
      </c>
    </row>
    <row r="3328" spans="1:3" s="8" customFormat="1" x14ac:dyDescent="0.2">
      <c r="A3328" s="6" t="str">
        <f>"MTND5P10"</f>
        <v>MTND5P10</v>
      </c>
      <c r="B3328" s="6">
        <v>3.1505250875145802E-2</v>
      </c>
      <c r="C3328" s="6">
        <v>0.166309430214755</v>
      </c>
    </row>
    <row r="3329" spans="1:3" s="8" customFormat="1" x14ac:dyDescent="0.2">
      <c r="A3329" s="6" t="str">
        <f>"PRKAR1B-AS1"</f>
        <v>PRKAR1B-AS1</v>
      </c>
      <c r="B3329" s="6">
        <v>3.1968031968031899E-2</v>
      </c>
      <c r="C3329" s="6">
        <v>0.166309430214755</v>
      </c>
    </row>
    <row r="3330" spans="1:3" s="8" customFormat="1" x14ac:dyDescent="0.2">
      <c r="A3330" s="6" t="str">
        <f>"EPHA6"</f>
        <v>EPHA6</v>
      </c>
      <c r="B3330" s="6">
        <v>3.1968031968031899E-2</v>
      </c>
      <c r="C3330" s="6">
        <v>0.166309430214755</v>
      </c>
    </row>
    <row r="3331" spans="1:3" s="8" customFormat="1" x14ac:dyDescent="0.2">
      <c r="A3331" s="6" t="str">
        <f>"FSD1"</f>
        <v>FSD1</v>
      </c>
      <c r="B3331" s="6">
        <v>3.1968031968031899E-2</v>
      </c>
      <c r="C3331" s="6">
        <v>0.166309430214755</v>
      </c>
    </row>
    <row r="3332" spans="1:3" s="8" customFormat="1" x14ac:dyDescent="0.2">
      <c r="A3332" s="6" t="str">
        <f>"AC097637.1"</f>
        <v>AC097637.1</v>
      </c>
      <c r="B3332" s="6">
        <v>3.1968031968031899E-2</v>
      </c>
      <c r="C3332" s="6">
        <v>0.166309430214755</v>
      </c>
    </row>
    <row r="3333" spans="1:3" s="8" customFormat="1" x14ac:dyDescent="0.2">
      <c r="A3333" s="6" t="str">
        <f>"CYP4F8"</f>
        <v>CYP4F8</v>
      </c>
      <c r="B3333" s="6">
        <v>3.1968031968031899E-2</v>
      </c>
      <c r="C3333" s="6">
        <v>0.166309430214755</v>
      </c>
    </row>
    <row r="3334" spans="1:3" s="8" customFormat="1" x14ac:dyDescent="0.2">
      <c r="A3334" s="6" t="str">
        <f>"AC007681.1"</f>
        <v>AC007681.1</v>
      </c>
      <c r="B3334" s="6">
        <v>3.1968031968031899E-2</v>
      </c>
      <c r="C3334" s="6">
        <v>0.166309430214755</v>
      </c>
    </row>
    <row r="3335" spans="1:3" s="8" customFormat="1" x14ac:dyDescent="0.2">
      <c r="A3335" s="6" t="str">
        <f>"FCN3"</f>
        <v>FCN3</v>
      </c>
      <c r="B3335" s="6">
        <v>3.1968031968031899E-2</v>
      </c>
      <c r="C3335" s="6">
        <v>0.166309430214755</v>
      </c>
    </row>
    <row r="3336" spans="1:3" s="8" customFormat="1" x14ac:dyDescent="0.2">
      <c r="A3336" s="6" t="str">
        <f>"RUNDC3B"</f>
        <v>RUNDC3B</v>
      </c>
      <c r="B3336" s="6">
        <v>3.1968031968031899E-2</v>
      </c>
      <c r="C3336" s="6">
        <v>0.166309430214755</v>
      </c>
    </row>
    <row r="3337" spans="1:3" s="8" customFormat="1" x14ac:dyDescent="0.2">
      <c r="A3337" s="6" t="str">
        <f>"FAM151B"</f>
        <v>FAM151B</v>
      </c>
      <c r="B3337" s="6">
        <v>3.1968031968031899E-2</v>
      </c>
      <c r="C3337" s="6">
        <v>0.166309430214755</v>
      </c>
    </row>
    <row r="3338" spans="1:3" s="8" customFormat="1" x14ac:dyDescent="0.2">
      <c r="A3338" s="6" t="str">
        <f>"OR7E158P"</f>
        <v>OR7E158P</v>
      </c>
      <c r="B3338" s="6">
        <v>3.1968031968031899E-2</v>
      </c>
      <c r="C3338" s="6">
        <v>0.166309430214755</v>
      </c>
    </row>
    <row r="3339" spans="1:3" s="8" customFormat="1" x14ac:dyDescent="0.2">
      <c r="A3339" s="6" t="str">
        <f>"NUDT17"</f>
        <v>NUDT17</v>
      </c>
      <c r="B3339" s="6">
        <v>3.1968031968031899E-2</v>
      </c>
      <c r="C3339" s="6">
        <v>0.166309430214755</v>
      </c>
    </row>
    <row r="3340" spans="1:3" s="8" customFormat="1" x14ac:dyDescent="0.2">
      <c r="A3340" s="6" t="str">
        <f>"CCDC26"</f>
        <v>CCDC26</v>
      </c>
      <c r="B3340" s="6">
        <v>3.1968031968031899E-2</v>
      </c>
      <c r="C3340" s="6">
        <v>0.166309430214755</v>
      </c>
    </row>
    <row r="3341" spans="1:3" s="8" customFormat="1" x14ac:dyDescent="0.2">
      <c r="A3341" s="6" t="str">
        <f>"AL391560.2"</f>
        <v>AL391560.2</v>
      </c>
      <c r="B3341" s="6">
        <v>3.1968031968031899E-2</v>
      </c>
      <c r="C3341" s="6">
        <v>0.166309430214755</v>
      </c>
    </row>
    <row r="3342" spans="1:3" s="8" customFormat="1" x14ac:dyDescent="0.2">
      <c r="A3342" s="6" t="str">
        <f>"PLAAT1"</f>
        <v>PLAAT1</v>
      </c>
      <c r="B3342" s="6">
        <v>3.1968031968031899E-2</v>
      </c>
      <c r="C3342" s="6">
        <v>0.166309430214755</v>
      </c>
    </row>
    <row r="3343" spans="1:3" s="8" customFormat="1" x14ac:dyDescent="0.2">
      <c r="A3343" s="6" t="str">
        <f>"C6orf99"</f>
        <v>C6orf99</v>
      </c>
      <c r="B3343" s="6">
        <v>3.1968031968031899E-2</v>
      </c>
      <c r="C3343" s="6">
        <v>0.166309430214755</v>
      </c>
    </row>
    <row r="3344" spans="1:3" s="8" customFormat="1" x14ac:dyDescent="0.2">
      <c r="A3344" s="6" t="str">
        <f>"TAF5"</f>
        <v>TAF5</v>
      </c>
      <c r="B3344" s="6">
        <v>3.1968031968031899E-2</v>
      </c>
      <c r="C3344" s="6">
        <v>0.166309430214755</v>
      </c>
    </row>
    <row r="3345" spans="1:3" s="8" customFormat="1" x14ac:dyDescent="0.2">
      <c r="A3345" s="6" t="str">
        <f>"DCST1-AS1"</f>
        <v>DCST1-AS1</v>
      </c>
      <c r="B3345" s="6">
        <v>3.1968031968031899E-2</v>
      </c>
      <c r="C3345" s="6">
        <v>0.166309430214755</v>
      </c>
    </row>
    <row r="3346" spans="1:3" s="8" customFormat="1" x14ac:dyDescent="0.2">
      <c r="A3346" s="6" t="str">
        <f>"LINC00598"</f>
        <v>LINC00598</v>
      </c>
      <c r="B3346" s="6">
        <v>3.1968031968031899E-2</v>
      </c>
      <c r="C3346" s="6">
        <v>0.166309430214755</v>
      </c>
    </row>
    <row r="3347" spans="1:3" s="8" customFormat="1" x14ac:dyDescent="0.2">
      <c r="A3347" s="6" t="str">
        <f>"PITPNA-AS1"</f>
        <v>PITPNA-AS1</v>
      </c>
      <c r="B3347" s="6">
        <v>3.1968031968031899E-2</v>
      </c>
      <c r="C3347" s="6">
        <v>0.166309430214755</v>
      </c>
    </row>
    <row r="3348" spans="1:3" s="8" customFormat="1" x14ac:dyDescent="0.2">
      <c r="A3348" s="6" t="str">
        <f>"AC025569.1"</f>
        <v>AC025569.1</v>
      </c>
      <c r="B3348" s="6">
        <v>3.1968031968031899E-2</v>
      </c>
      <c r="C3348" s="6">
        <v>0.166309430214755</v>
      </c>
    </row>
    <row r="3349" spans="1:3" s="8" customFormat="1" x14ac:dyDescent="0.2">
      <c r="A3349" s="6" t="str">
        <f>"SGTB"</f>
        <v>SGTB</v>
      </c>
      <c r="B3349" s="6">
        <v>3.1968031968031899E-2</v>
      </c>
      <c r="C3349" s="6">
        <v>0.166309430214755</v>
      </c>
    </row>
    <row r="3350" spans="1:3" s="8" customFormat="1" x14ac:dyDescent="0.2">
      <c r="A3350" s="6" t="str">
        <f>"AC073611.1"</f>
        <v>AC073611.1</v>
      </c>
      <c r="B3350" s="6">
        <v>3.1968031968031899E-2</v>
      </c>
      <c r="C3350" s="6">
        <v>0.166309430214755</v>
      </c>
    </row>
    <row r="3351" spans="1:3" s="8" customFormat="1" x14ac:dyDescent="0.2">
      <c r="A3351" s="6" t="str">
        <f>"AL513550.1"</f>
        <v>AL513550.1</v>
      </c>
      <c r="B3351" s="6">
        <v>3.1968031968031899E-2</v>
      </c>
      <c r="C3351" s="6">
        <v>0.166309430214755</v>
      </c>
    </row>
    <row r="3352" spans="1:3" s="8" customFormat="1" x14ac:dyDescent="0.2">
      <c r="A3352" s="6" t="str">
        <f>"WDR53"</f>
        <v>WDR53</v>
      </c>
      <c r="B3352" s="6">
        <v>3.1968031968031899E-2</v>
      </c>
      <c r="C3352" s="6">
        <v>0.166309430214755</v>
      </c>
    </row>
    <row r="3353" spans="1:3" s="8" customFormat="1" x14ac:dyDescent="0.2">
      <c r="A3353" s="6" t="str">
        <f>"NRXN3"</f>
        <v>NRXN3</v>
      </c>
      <c r="B3353" s="6">
        <v>3.1968031968031899E-2</v>
      </c>
      <c r="C3353" s="6">
        <v>0.166309430214755</v>
      </c>
    </row>
    <row r="3354" spans="1:3" s="8" customFormat="1" x14ac:dyDescent="0.2">
      <c r="A3354" s="6" t="str">
        <f>"FOXI2"</f>
        <v>FOXI2</v>
      </c>
      <c r="B3354" s="6">
        <v>3.1968031968031899E-2</v>
      </c>
      <c r="C3354" s="6">
        <v>0.166309430214755</v>
      </c>
    </row>
    <row r="3355" spans="1:3" s="8" customFormat="1" x14ac:dyDescent="0.2">
      <c r="A3355" s="6" t="str">
        <f>"UBE3D"</f>
        <v>UBE3D</v>
      </c>
      <c r="B3355" s="6">
        <v>3.1968031968031899E-2</v>
      </c>
      <c r="C3355" s="6">
        <v>0.166309430214755</v>
      </c>
    </row>
    <row r="3356" spans="1:3" s="8" customFormat="1" x14ac:dyDescent="0.2">
      <c r="A3356" s="6" t="str">
        <f>"DUS4L-BCAP29"</f>
        <v>DUS4L-BCAP29</v>
      </c>
      <c r="B3356" s="6">
        <v>3.1968031968031899E-2</v>
      </c>
      <c r="C3356" s="6">
        <v>0.166309430214755</v>
      </c>
    </row>
    <row r="3357" spans="1:3" s="8" customFormat="1" x14ac:dyDescent="0.2">
      <c r="A3357" s="6" t="str">
        <f>"TPT1-AS1"</f>
        <v>TPT1-AS1</v>
      </c>
      <c r="B3357" s="6">
        <v>3.1968031968031899E-2</v>
      </c>
      <c r="C3357" s="6">
        <v>0.166309430214755</v>
      </c>
    </row>
    <row r="3358" spans="1:3" s="8" customFormat="1" x14ac:dyDescent="0.2">
      <c r="A3358" s="6" t="str">
        <f>"SCAPER"</f>
        <v>SCAPER</v>
      </c>
      <c r="B3358" s="6">
        <v>3.1968031968031899E-2</v>
      </c>
      <c r="C3358" s="6">
        <v>0.166309430214755</v>
      </c>
    </row>
    <row r="3359" spans="1:3" s="8" customFormat="1" x14ac:dyDescent="0.2">
      <c r="A3359" s="6" t="str">
        <f>"COMMD1"</f>
        <v>COMMD1</v>
      </c>
      <c r="B3359" s="6">
        <v>3.1968031968031899E-2</v>
      </c>
      <c r="C3359" s="6">
        <v>0.166309430214755</v>
      </c>
    </row>
    <row r="3360" spans="1:3" s="8" customFormat="1" x14ac:dyDescent="0.2">
      <c r="A3360" s="6" t="str">
        <f>"TMCO6"</f>
        <v>TMCO6</v>
      </c>
      <c r="B3360" s="6">
        <v>3.1968031968031899E-2</v>
      </c>
      <c r="C3360" s="6">
        <v>0.166309430214755</v>
      </c>
    </row>
    <row r="3361" spans="1:3" s="8" customFormat="1" x14ac:dyDescent="0.2">
      <c r="A3361" s="6" t="str">
        <f>"SMYD5"</f>
        <v>SMYD5</v>
      </c>
      <c r="B3361" s="6">
        <v>3.1968031968031899E-2</v>
      </c>
      <c r="C3361" s="6">
        <v>0.166309430214755</v>
      </c>
    </row>
    <row r="3362" spans="1:3" s="8" customFormat="1" x14ac:dyDescent="0.2">
      <c r="A3362" s="6" t="str">
        <f>"MRC2"</f>
        <v>MRC2</v>
      </c>
      <c r="B3362" s="6">
        <v>3.1968031968031899E-2</v>
      </c>
      <c r="C3362" s="6">
        <v>0.166309430214755</v>
      </c>
    </row>
    <row r="3363" spans="1:3" s="8" customFormat="1" x14ac:dyDescent="0.2">
      <c r="A3363" s="6" t="str">
        <f>"NBDY"</f>
        <v>NBDY</v>
      </c>
      <c r="B3363" s="6">
        <v>3.1968031968031899E-2</v>
      </c>
      <c r="C3363" s="6">
        <v>0.166309430214755</v>
      </c>
    </row>
    <row r="3364" spans="1:3" s="8" customFormat="1" x14ac:dyDescent="0.2">
      <c r="A3364" s="6" t="str">
        <f>"ZNF121"</f>
        <v>ZNF121</v>
      </c>
      <c r="B3364" s="6">
        <v>3.1968031968031899E-2</v>
      </c>
      <c r="C3364" s="6">
        <v>0.166309430214755</v>
      </c>
    </row>
    <row r="3365" spans="1:3" s="8" customFormat="1" x14ac:dyDescent="0.2">
      <c r="A3365" s="6" t="str">
        <f>"AIG1"</f>
        <v>AIG1</v>
      </c>
      <c r="B3365" s="6">
        <v>3.1968031968031899E-2</v>
      </c>
      <c r="C3365" s="6">
        <v>0.166309430214755</v>
      </c>
    </row>
    <row r="3366" spans="1:3" s="8" customFormat="1" x14ac:dyDescent="0.2">
      <c r="A3366" s="6" t="str">
        <f>"SPATA2"</f>
        <v>SPATA2</v>
      </c>
      <c r="B3366" s="6">
        <v>3.1968031968031899E-2</v>
      </c>
      <c r="C3366" s="6">
        <v>0.166309430214755</v>
      </c>
    </row>
    <row r="3367" spans="1:3" s="8" customFormat="1" x14ac:dyDescent="0.2">
      <c r="A3367" s="6" t="str">
        <f>"DDB2"</f>
        <v>DDB2</v>
      </c>
      <c r="B3367" s="6">
        <v>3.1968031968031899E-2</v>
      </c>
      <c r="C3367" s="6">
        <v>0.166309430214755</v>
      </c>
    </row>
    <row r="3368" spans="1:3" s="8" customFormat="1" x14ac:dyDescent="0.2">
      <c r="A3368" s="6" t="str">
        <f>"RWDD1"</f>
        <v>RWDD1</v>
      </c>
      <c r="B3368" s="6">
        <v>3.1968031968031899E-2</v>
      </c>
      <c r="C3368" s="6">
        <v>0.166309430214755</v>
      </c>
    </row>
    <row r="3369" spans="1:3" s="8" customFormat="1" x14ac:dyDescent="0.2">
      <c r="A3369" s="6" t="str">
        <f>"LATS1"</f>
        <v>LATS1</v>
      </c>
      <c r="B3369" s="6">
        <v>3.1968031968031899E-2</v>
      </c>
      <c r="C3369" s="6">
        <v>0.166309430214755</v>
      </c>
    </row>
    <row r="3370" spans="1:3" s="8" customFormat="1" x14ac:dyDescent="0.2">
      <c r="A3370" s="6" t="str">
        <f>"ZNF444"</f>
        <v>ZNF444</v>
      </c>
      <c r="B3370" s="6">
        <v>3.1968031968031899E-2</v>
      </c>
      <c r="C3370" s="6">
        <v>0.166309430214755</v>
      </c>
    </row>
    <row r="3371" spans="1:3" s="8" customFormat="1" x14ac:dyDescent="0.2">
      <c r="A3371" s="6" t="str">
        <f>"TRUB2"</f>
        <v>TRUB2</v>
      </c>
      <c r="B3371" s="6">
        <v>3.1968031968031899E-2</v>
      </c>
      <c r="C3371" s="6">
        <v>0.166309430214755</v>
      </c>
    </row>
    <row r="3372" spans="1:3" s="8" customFormat="1" x14ac:dyDescent="0.2">
      <c r="A3372" s="6" t="str">
        <f>"RPS6KA4"</f>
        <v>RPS6KA4</v>
      </c>
      <c r="B3372" s="6">
        <v>3.1968031968031899E-2</v>
      </c>
      <c r="C3372" s="6">
        <v>0.166309430214755</v>
      </c>
    </row>
    <row r="3373" spans="1:3" s="8" customFormat="1" x14ac:dyDescent="0.2">
      <c r="A3373" s="6" t="str">
        <f>"PPME1"</f>
        <v>PPME1</v>
      </c>
      <c r="B3373" s="6">
        <v>3.1968031968031899E-2</v>
      </c>
      <c r="C3373" s="6">
        <v>0.166309430214755</v>
      </c>
    </row>
    <row r="3374" spans="1:3" s="8" customFormat="1" x14ac:dyDescent="0.2">
      <c r="A3374" s="6" t="str">
        <f>"SSNA1"</f>
        <v>SSNA1</v>
      </c>
      <c r="B3374" s="6">
        <v>3.1968031968031899E-2</v>
      </c>
      <c r="C3374" s="6">
        <v>0.166309430214755</v>
      </c>
    </row>
    <row r="3375" spans="1:3" s="8" customFormat="1" x14ac:dyDescent="0.2">
      <c r="A3375" s="6" t="str">
        <f>"SVIL"</f>
        <v>SVIL</v>
      </c>
      <c r="B3375" s="6">
        <v>3.1968031968031899E-2</v>
      </c>
      <c r="C3375" s="6">
        <v>0.166309430214755</v>
      </c>
    </row>
    <row r="3376" spans="1:3" s="8" customFormat="1" x14ac:dyDescent="0.2">
      <c r="A3376" s="6" t="str">
        <f>"TERF2IP"</f>
        <v>TERF2IP</v>
      </c>
      <c r="B3376" s="6">
        <v>3.1968031968031899E-2</v>
      </c>
      <c r="C3376" s="6">
        <v>0.166309430214755</v>
      </c>
    </row>
    <row r="3377" spans="1:3" s="8" customFormat="1" x14ac:dyDescent="0.2">
      <c r="A3377" s="6" t="str">
        <f>"CAPG"</f>
        <v>CAPG</v>
      </c>
      <c r="B3377" s="6">
        <v>3.1968031968031899E-2</v>
      </c>
      <c r="C3377" s="6">
        <v>0.166309430214755</v>
      </c>
    </row>
    <row r="3378" spans="1:3" s="8" customFormat="1" x14ac:dyDescent="0.2">
      <c r="A3378" s="6" t="str">
        <f>"ATP6V0B"</f>
        <v>ATP6V0B</v>
      </c>
      <c r="B3378" s="6">
        <v>3.1968031968031899E-2</v>
      </c>
      <c r="C3378" s="6">
        <v>0.166309430214755</v>
      </c>
    </row>
    <row r="3379" spans="1:3" s="8" customFormat="1" x14ac:dyDescent="0.2">
      <c r="A3379" s="6" t="str">
        <f>"ETF1"</f>
        <v>ETF1</v>
      </c>
      <c r="B3379" s="6">
        <v>3.1968031968031899E-2</v>
      </c>
      <c r="C3379" s="6">
        <v>0.166309430214755</v>
      </c>
    </row>
    <row r="3380" spans="1:3" s="8" customFormat="1" x14ac:dyDescent="0.2">
      <c r="A3380" s="6" t="str">
        <f>"ACADVL"</f>
        <v>ACADVL</v>
      </c>
      <c r="B3380" s="6">
        <v>3.1968031968031899E-2</v>
      </c>
      <c r="C3380" s="6">
        <v>0.166309430214755</v>
      </c>
    </row>
    <row r="3381" spans="1:3" s="8" customFormat="1" x14ac:dyDescent="0.2">
      <c r="A3381" s="6" t="str">
        <f>"MT-ND2"</f>
        <v>MT-ND2</v>
      </c>
      <c r="B3381" s="6">
        <v>3.1968031968031899E-2</v>
      </c>
      <c r="C3381" s="6">
        <v>0.166309430214755</v>
      </c>
    </row>
    <row r="3382" spans="1:3" s="8" customFormat="1" x14ac:dyDescent="0.2">
      <c r="A3382" s="6" t="str">
        <f>"RN7SL832P"</f>
        <v>RN7SL832P</v>
      </c>
      <c r="B3382" s="6">
        <v>3.2000000000000001E-2</v>
      </c>
      <c r="C3382" s="6">
        <v>0.16642650103519599</v>
      </c>
    </row>
    <row r="3383" spans="1:3" s="8" customFormat="1" x14ac:dyDescent="0.2">
      <c r="A3383" s="6" t="str">
        <f>"PPP2R5CP"</f>
        <v>PPP2R5CP</v>
      </c>
      <c r="B3383" s="6">
        <v>3.2032032032031997E-2</v>
      </c>
      <c r="C3383" s="6">
        <v>0.16654383537884401</v>
      </c>
    </row>
    <row r="3384" spans="1:3" s="8" customFormat="1" x14ac:dyDescent="0.2">
      <c r="A3384" s="6" t="str">
        <f>"LINC00571"</f>
        <v>LINC00571</v>
      </c>
      <c r="B3384" s="6">
        <v>3.2064128256513003E-2</v>
      </c>
      <c r="C3384" s="6">
        <v>0.166661434011979</v>
      </c>
    </row>
    <row r="3385" spans="1:3" s="8" customFormat="1" x14ac:dyDescent="0.2">
      <c r="A3385" s="6" t="str">
        <f>"AC092171.2"</f>
        <v>AC092171.2</v>
      </c>
      <c r="B3385" s="6">
        <v>3.2426778242677798E-2</v>
      </c>
      <c r="C3385" s="6">
        <v>0.168496592381574</v>
      </c>
    </row>
    <row r="3386" spans="1:3" s="8" customFormat="1" x14ac:dyDescent="0.2">
      <c r="A3386" s="6" t="str">
        <f>"AC018529.2"</f>
        <v>AC018529.2</v>
      </c>
      <c r="B3386" s="6">
        <v>3.2967032967032898E-2</v>
      </c>
      <c r="C3386" s="6">
        <v>0.16880964114510999</v>
      </c>
    </row>
    <row r="3387" spans="1:3" s="8" customFormat="1" x14ac:dyDescent="0.2">
      <c r="A3387" s="6" t="str">
        <f>"ZNF887P"</f>
        <v>ZNF887P</v>
      </c>
      <c r="B3387" s="6">
        <v>3.2967032967032898E-2</v>
      </c>
      <c r="C3387" s="6">
        <v>0.16880964114510999</v>
      </c>
    </row>
    <row r="3388" spans="1:3" s="8" customFormat="1" x14ac:dyDescent="0.2">
      <c r="A3388" s="6" t="str">
        <f>"AC118658.1"</f>
        <v>AC118658.1</v>
      </c>
      <c r="B3388" s="6">
        <v>3.2967032967032898E-2</v>
      </c>
      <c r="C3388" s="6">
        <v>0.16880964114510999</v>
      </c>
    </row>
    <row r="3389" spans="1:3" s="8" customFormat="1" x14ac:dyDescent="0.2">
      <c r="A3389" s="6" t="str">
        <f>"AC118754.2"</f>
        <v>AC118754.2</v>
      </c>
      <c r="B3389" s="6">
        <v>3.2967032967032898E-2</v>
      </c>
      <c r="C3389" s="6">
        <v>0.16880964114510999</v>
      </c>
    </row>
    <row r="3390" spans="1:3" s="8" customFormat="1" x14ac:dyDescent="0.2">
      <c r="A3390" s="6" t="str">
        <f>"AC005329.1"</f>
        <v>AC005329.1</v>
      </c>
      <c r="B3390" s="6">
        <v>3.2967032967032898E-2</v>
      </c>
      <c r="C3390" s="6">
        <v>0.16880964114510999</v>
      </c>
    </row>
    <row r="3391" spans="1:3" s="8" customFormat="1" x14ac:dyDescent="0.2">
      <c r="A3391" s="6" t="str">
        <f>"LINC02447"</f>
        <v>LINC02447</v>
      </c>
      <c r="B3391" s="6">
        <v>3.2967032967032898E-2</v>
      </c>
      <c r="C3391" s="6">
        <v>0.16880964114510999</v>
      </c>
    </row>
    <row r="3392" spans="1:3" s="8" customFormat="1" x14ac:dyDescent="0.2">
      <c r="A3392" s="6" t="str">
        <f>"LAMB2P1"</f>
        <v>LAMB2P1</v>
      </c>
      <c r="B3392" s="6">
        <v>3.2967032967032898E-2</v>
      </c>
      <c r="C3392" s="6">
        <v>0.16880964114510999</v>
      </c>
    </row>
    <row r="3393" spans="1:3" s="8" customFormat="1" x14ac:dyDescent="0.2">
      <c r="A3393" s="6" t="str">
        <f>"Z98885.3"</f>
        <v>Z98885.3</v>
      </c>
      <c r="B3393" s="6">
        <v>3.2894736842105199E-2</v>
      </c>
      <c r="C3393" s="6">
        <v>0.16880964114510999</v>
      </c>
    </row>
    <row r="3394" spans="1:3" s="8" customFormat="1" x14ac:dyDescent="0.2">
      <c r="A3394" s="6" t="str">
        <f>"LINC02731"</f>
        <v>LINC02731</v>
      </c>
      <c r="B3394" s="6">
        <v>3.2967032967032898E-2</v>
      </c>
      <c r="C3394" s="6">
        <v>0.16880964114510999</v>
      </c>
    </row>
    <row r="3395" spans="1:3" s="8" customFormat="1" x14ac:dyDescent="0.2">
      <c r="A3395" s="6" t="str">
        <f>"AL365272.1"</f>
        <v>AL365272.1</v>
      </c>
      <c r="B3395" s="6">
        <v>3.2544378698224803E-2</v>
      </c>
      <c r="C3395" s="6">
        <v>0.16880964114510999</v>
      </c>
    </row>
    <row r="3396" spans="1:3" s="8" customFormat="1" x14ac:dyDescent="0.2">
      <c r="A3396" s="6" t="str">
        <f>"AC103691.1"</f>
        <v>AC103691.1</v>
      </c>
      <c r="B3396" s="6">
        <v>3.25865580448065E-2</v>
      </c>
      <c r="C3396" s="6">
        <v>0.16880964114510999</v>
      </c>
    </row>
    <row r="3397" spans="1:3" s="8" customFormat="1" x14ac:dyDescent="0.2">
      <c r="A3397" s="6" t="str">
        <f>"AP001148.1"</f>
        <v>AP001148.1</v>
      </c>
      <c r="B3397" s="6">
        <v>3.2700421940928197E-2</v>
      </c>
      <c r="C3397" s="6">
        <v>0.16880964114510999</v>
      </c>
    </row>
    <row r="3398" spans="1:3" s="8" customFormat="1" x14ac:dyDescent="0.2">
      <c r="A3398" s="6" t="str">
        <f>"VSTM5"</f>
        <v>VSTM5</v>
      </c>
      <c r="B3398" s="6">
        <v>3.2967032967032898E-2</v>
      </c>
      <c r="C3398" s="6">
        <v>0.16880964114510999</v>
      </c>
    </row>
    <row r="3399" spans="1:3" s="8" customFormat="1" x14ac:dyDescent="0.2">
      <c r="A3399" s="6" t="str">
        <f>"AL683813.1"</f>
        <v>AL683813.1</v>
      </c>
      <c r="B3399" s="6">
        <v>3.2722513089005201E-2</v>
      </c>
      <c r="C3399" s="6">
        <v>0.16880964114510999</v>
      </c>
    </row>
    <row r="3400" spans="1:3" s="8" customFormat="1" x14ac:dyDescent="0.2">
      <c r="A3400" s="6" t="str">
        <f>"AC006213.2"</f>
        <v>AC006213.2</v>
      </c>
      <c r="B3400" s="6">
        <v>3.2967032967032898E-2</v>
      </c>
      <c r="C3400" s="6">
        <v>0.16880964114510999</v>
      </c>
    </row>
    <row r="3401" spans="1:3" s="8" customFormat="1" x14ac:dyDescent="0.2">
      <c r="A3401" s="6" t="str">
        <f>"UBE2QL1"</f>
        <v>UBE2QL1</v>
      </c>
      <c r="B3401" s="6">
        <v>3.2967032967032898E-2</v>
      </c>
      <c r="C3401" s="6">
        <v>0.16880964114510999</v>
      </c>
    </row>
    <row r="3402" spans="1:3" s="8" customFormat="1" x14ac:dyDescent="0.2">
      <c r="A3402" s="6" t="str">
        <f>"AKR1B15"</f>
        <v>AKR1B15</v>
      </c>
      <c r="B3402" s="6">
        <v>3.2967032967032898E-2</v>
      </c>
      <c r="C3402" s="6">
        <v>0.16880964114510999</v>
      </c>
    </row>
    <row r="3403" spans="1:3" s="8" customFormat="1" x14ac:dyDescent="0.2">
      <c r="A3403" s="6" t="str">
        <f>"AC108681.1"</f>
        <v>AC108681.1</v>
      </c>
      <c r="B3403" s="6">
        <v>3.2967032967032898E-2</v>
      </c>
      <c r="C3403" s="6">
        <v>0.16880964114510999</v>
      </c>
    </row>
    <row r="3404" spans="1:3" s="8" customFormat="1" x14ac:dyDescent="0.2">
      <c r="A3404" s="6" t="str">
        <f>"LINP1"</f>
        <v>LINP1</v>
      </c>
      <c r="B3404" s="6">
        <v>3.2967032967032898E-2</v>
      </c>
      <c r="C3404" s="6">
        <v>0.16880964114510999</v>
      </c>
    </row>
    <row r="3405" spans="1:3" s="8" customFormat="1" x14ac:dyDescent="0.2">
      <c r="A3405" s="6" t="str">
        <f>"AL355601.1"</f>
        <v>AL355601.1</v>
      </c>
      <c r="B3405" s="6">
        <v>3.2967032967032898E-2</v>
      </c>
      <c r="C3405" s="6">
        <v>0.16880964114510999</v>
      </c>
    </row>
    <row r="3406" spans="1:3" s="8" customFormat="1" x14ac:dyDescent="0.2">
      <c r="A3406" s="6" t="str">
        <f>"KRT16P6"</f>
        <v>KRT16P6</v>
      </c>
      <c r="B3406" s="6">
        <v>3.2967032967032898E-2</v>
      </c>
      <c r="C3406" s="6">
        <v>0.16880964114510999</v>
      </c>
    </row>
    <row r="3407" spans="1:3" s="8" customFormat="1" x14ac:dyDescent="0.2">
      <c r="A3407" s="6" t="str">
        <f>"AL512625.2"</f>
        <v>AL512625.2</v>
      </c>
      <c r="B3407" s="6">
        <v>3.2967032967032898E-2</v>
      </c>
      <c r="C3407" s="6">
        <v>0.16880964114510999</v>
      </c>
    </row>
    <row r="3408" spans="1:3" s="8" customFormat="1" x14ac:dyDescent="0.2">
      <c r="A3408" s="6" t="str">
        <f>"CNIH3"</f>
        <v>CNIH3</v>
      </c>
      <c r="B3408" s="6">
        <v>3.2967032967032898E-2</v>
      </c>
      <c r="C3408" s="6">
        <v>0.16880964114510999</v>
      </c>
    </row>
    <row r="3409" spans="1:3" s="8" customFormat="1" x14ac:dyDescent="0.2">
      <c r="A3409" s="6" t="str">
        <f>"ZNF561-AS1"</f>
        <v>ZNF561-AS1</v>
      </c>
      <c r="B3409" s="6">
        <v>3.2967032967032898E-2</v>
      </c>
      <c r="C3409" s="6">
        <v>0.16880964114510999</v>
      </c>
    </row>
    <row r="3410" spans="1:3" s="8" customFormat="1" x14ac:dyDescent="0.2">
      <c r="A3410" s="6" t="str">
        <f>"CD52"</f>
        <v>CD52</v>
      </c>
      <c r="B3410" s="6">
        <v>3.2967032967032898E-2</v>
      </c>
      <c r="C3410" s="6">
        <v>0.16880964114510999</v>
      </c>
    </row>
    <row r="3411" spans="1:3" s="8" customFormat="1" x14ac:dyDescent="0.2">
      <c r="A3411" s="6" t="str">
        <f>"LIFR-AS1"</f>
        <v>LIFR-AS1</v>
      </c>
      <c r="B3411" s="6">
        <v>3.2967032967032898E-2</v>
      </c>
      <c r="C3411" s="6">
        <v>0.16880964114510999</v>
      </c>
    </row>
    <row r="3412" spans="1:3" s="8" customFormat="1" x14ac:dyDescent="0.2">
      <c r="A3412" s="6" t="str">
        <f>"ZNF568"</f>
        <v>ZNF568</v>
      </c>
      <c r="B3412" s="6">
        <v>3.2967032967032898E-2</v>
      </c>
      <c r="C3412" s="6">
        <v>0.16880964114510999</v>
      </c>
    </row>
    <row r="3413" spans="1:3" s="8" customFormat="1" x14ac:dyDescent="0.2">
      <c r="A3413" s="6" t="str">
        <f>"ARHGEF26-AS1"</f>
        <v>ARHGEF26-AS1</v>
      </c>
      <c r="B3413" s="6">
        <v>3.2967032967032898E-2</v>
      </c>
      <c r="C3413" s="6">
        <v>0.16880964114510999</v>
      </c>
    </row>
    <row r="3414" spans="1:3" s="8" customFormat="1" x14ac:dyDescent="0.2">
      <c r="A3414" s="6" t="str">
        <f>"DDX31"</f>
        <v>DDX31</v>
      </c>
      <c r="B3414" s="6">
        <v>3.2967032967032898E-2</v>
      </c>
      <c r="C3414" s="6">
        <v>0.16880964114510999</v>
      </c>
    </row>
    <row r="3415" spans="1:3" s="8" customFormat="1" x14ac:dyDescent="0.2">
      <c r="A3415" s="6" t="str">
        <f>"DBNDD1"</f>
        <v>DBNDD1</v>
      </c>
      <c r="B3415" s="6">
        <v>3.2967032967032898E-2</v>
      </c>
      <c r="C3415" s="6">
        <v>0.16880964114510999</v>
      </c>
    </row>
    <row r="3416" spans="1:3" s="8" customFormat="1" x14ac:dyDescent="0.2">
      <c r="A3416" s="6" t="str">
        <f>"YEATS4"</f>
        <v>YEATS4</v>
      </c>
      <c r="B3416" s="6">
        <v>3.2967032967032898E-2</v>
      </c>
      <c r="C3416" s="6">
        <v>0.16880964114510999</v>
      </c>
    </row>
    <row r="3417" spans="1:3" s="8" customFormat="1" x14ac:dyDescent="0.2">
      <c r="A3417" s="6" t="str">
        <f>"C1QTNF5"</f>
        <v>C1QTNF5</v>
      </c>
      <c r="B3417" s="6">
        <v>3.2967032967032898E-2</v>
      </c>
      <c r="C3417" s="6">
        <v>0.16880964114510999</v>
      </c>
    </row>
    <row r="3418" spans="1:3" s="8" customFormat="1" x14ac:dyDescent="0.2">
      <c r="A3418" s="6" t="str">
        <f>"METTL23"</f>
        <v>METTL23</v>
      </c>
      <c r="B3418" s="6">
        <v>3.2967032967032898E-2</v>
      </c>
      <c r="C3418" s="6">
        <v>0.16880964114510999</v>
      </c>
    </row>
    <row r="3419" spans="1:3" s="8" customFormat="1" x14ac:dyDescent="0.2">
      <c r="A3419" s="6" t="str">
        <f>"RASA2"</f>
        <v>RASA2</v>
      </c>
      <c r="B3419" s="6">
        <v>3.2967032967032898E-2</v>
      </c>
      <c r="C3419" s="6">
        <v>0.16880964114510999</v>
      </c>
    </row>
    <row r="3420" spans="1:3" s="8" customFormat="1" x14ac:dyDescent="0.2">
      <c r="A3420" s="6" t="str">
        <f>"SNX24"</f>
        <v>SNX24</v>
      </c>
      <c r="B3420" s="6">
        <v>3.2967032967032898E-2</v>
      </c>
      <c r="C3420" s="6">
        <v>0.16880964114510999</v>
      </c>
    </row>
    <row r="3421" spans="1:3" s="8" customFormat="1" x14ac:dyDescent="0.2">
      <c r="A3421" s="6" t="str">
        <f>"ZFAND1"</f>
        <v>ZFAND1</v>
      </c>
      <c r="B3421" s="6">
        <v>3.2967032967032898E-2</v>
      </c>
      <c r="C3421" s="6">
        <v>0.16880964114510999</v>
      </c>
    </row>
    <row r="3422" spans="1:3" s="8" customFormat="1" x14ac:dyDescent="0.2">
      <c r="A3422" s="6" t="str">
        <f>"NBPF3"</f>
        <v>NBPF3</v>
      </c>
      <c r="B3422" s="6">
        <v>3.2967032967032898E-2</v>
      </c>
      <c r="C3422" s="6">
        <v>0.16880964114510999</v>
      </c>
    </row>
    <row r="3423" spans="1:3" s="8" customFormat="1" x14ac:dyDescent="0.2">
      <c r="A3423" s="6" t="str">
        <f>"VAMP7"</f>
        <v>VAMP7</v>
      </c>
      <c r="B3423" s="6">
        <v>3.2967032967032898E-2</v>
      </c>
      <c r="C3423" s="6">
        <v>0.16880964114510999</v>
      </c>
    </row>
    <row r="3424" spans="1:3" s="8" customFormat="1" x14ac:dyDescent="0.2">
      <c r="A3424" s="6" t="str">
        <f>"PLEKHA4"</f>
        <v>PLEKHA4</v>
      </c>
      <c r="B3424" s="6">
        <v>3.2967032967032898E-2</v>
      </c>
      <c r="C3424" s="6">
        <v>0.16880964114510999</v>
      </c>
    </row>
    <row r="3425" spans="1:3" s="8" customFormat="1" x14ac:dyDescent="0.2">
      <c r="A3425" s="6" t="str">
        <f>"BCAT1"</f>
        <v>BCAT1</v>
      </c>
      <c r="B3425" s="6">
        <v>3.2967032967032898E-2</v>
      </c>
      <c r="C3425" s="6">
        <v>0.16880964114510999</v>
      </c>
    </row>
    <row r="3426" spans="1:3" s="8" customFormat="1" x14ac:dyDescent="0.2">
      <c r="A3426" s="6" t="str">
        <f>"TRIM4"</f>
        <v>TRIM4</v>
      </c>
      <c r="B3426" s="6">
        <v>3.2967032967032898E-2</v>
      </c>
      <c r="C3426" s="6">
        <v>0.16880964114510999</v>
      </c>
    </row>
    <row r="3427" spans="1:3" s="8" customFormat="1" x14ac:dyDescent="0.2">
      <c r="A3427" s="6" t="str">
        <f>"GATAD2B"</f>
        <v>GATAD2B</v>
      </c>
      <c r="B3427" s="6">
        <v>3.2967032967032898E-2</v>
      </c>
      <c r="C3427" s="6">
        <v>0.16880964114510999</v>
      </c>
    </row>
    <row r="3428" spans="1:3" s="8" customFormat="1" x14ac:dyDescent="0.2">
      <c r="A3428" s="6" t="str">
        <f>"SLC4A8"</f>
        <v>SLC4A8</v>
      </c>
      <c r="B3428" s="6">
        <v>3.2967032967032898E-2</v>
      </c>
      <c r="C3428" s="6">
        <v>0.16880964114510999</v>
      </c>
    </row>
    <row r="3429" spans="1:3" s="8" customFormat="1" x14ac:dyDescent="0.2">
      <c r="A3429" s="6" t="str">
        <f>"PGM1"</f>
        <v>PGM1</v>
      </c>
      <c r="B3429" s="6">
        <v>3.2967032967032898E-2</v>
      </c>
      <c r="C3429" s="6">
        <v>0.16880964114510999</v>
      </c>
    </row>
    <row r="3430" spans="1:3" s="8" customFormat="1" x14ac:dyDescent="0.2">
      <c r="A3430" s="6" t="str">
        <f>"RAB31"</f>
        <v>RAB31</v>
      </c>
      <c r="B3430" s="6">
        <v>3.2967032967032898E-2</v>
      </c>
      <c r="C3430" s="6">
        <v>0.16880964114510999</v>
      </c>
    </row>
    <row r="3431" spans="1:3" s="8" customFormat="1" x14ac:dyDescent="0.2">
      <c r="A3431" s="6" t="str">
        <f>"TYMP"</f>
        <v>TYMP</v>
      </c>
      <c r="B3431" s="6">
        <v>3.2967032967032898E-2</v>
      </c>
      <c r="C3431" s="6">
        <v>0.16880964114510999</v>
      </c>
    </row>
    <row r="3432" spans="1:3" s="8" customFormat="1" x14ac:dyDescent="0.2">
      <c r="A3432" s="6" t="str">
        <f>"ARCN1"</f>
        <v>ARCN1</v>
      </c>
      <c r="B3432" s="6">
        <v>3.2967032967032898E-2</v>
      </c>
      <c r="C3432" s="6">
        <v>0.16880964114510999</v>
      </c>
    </row>
    <row r="3433" spans="1:3" s="8" customFormat="1" x14ac:dyDescent="0.2">
      <c r="A3433" s="6" t="str">
        <f>"XRCC6"</f>
        <v>XRCC6</v>
      </c>
      <c r="B3433" s="6">
        <v>3.2967032967032898E-2</v>
      </c>
      <c r="C3433" s="6">
        <v>0.16880964114510999</v>
      </c>
    </row>
    <row r="3434" spans="1:3" s="8" customFormat="1" x14ac:dyDescent="0.2">
      <c r="A3434" s="6" t="str">
        <f>"RAC1"</f>
        <v>RAC1</v>
      </c>
      <c r="B3434" s="6">
        <v>3.2967032967032898E-2</v>
      </c>
      <c r="C3434" s="6">
        <v>0.16880964114510999</v>
      </c>
    </row>
    <row r="3435" spans="1:3" s="8" customFormat="1" x14ac:dyDescent="0.2">
      <c r="A3435" s="6" t="str">
        <f>"KRT19"</f>
        <v>KRT19</v>
      </c>
      <c r="B3435" s="6">
        <v>3.2967032967032898E-2</v>
      </c>
      <c r="C3435" s="6">
        <v>0.16880964114510999</v>
      </c>
    </row>
    <row r="3436" spans="1:3" s="8" customFormat="1" x14ac:dyDescent="0.2">
      <c r="A3436" s="6" t="str">
        <f>"AC145207.3"</f>
        <v>AC145207.3</v>
      </c>
      <c r="B3436" s="6">
        <v>3.3000000000000002E-2</v>
      </c>
      <c r="C3436" s="6">
        <v>0.168880093131548</v>
      </c>
    </row>
    <row r="3437" spans="1:3" s="8" customFormat="1" x14ac:dyDescent="0.2">
      <c r="A3437" s="6" t="str">
        <f>"AL121790.2"</f>
        <v>AL121790.2</v>
      </c>
      <c r="B3437" s="6">
        <v>3.3000000000000002E-2</v>
      </c>
      <c r="C3437" s="6">
        <v>0.168880093131548</v>
      </c>
    </row>
    <row r="3438" spans="1:3" s="8" customFormat="1" x14ac:dyDescent="0.2">
      <c r="A3438" s="6" t="str">
        <f>"FAM167A-AS1"</f>
        <v>FAM167A-AS1</v>
      </c>
      <c r="B3438" s="6">
        <v>3.3066132264529001E-2</v>
      </c>
      <c r="C3438" s="6">
        <v>0.169169295821786</v>
      </c>
    </row>
    <row r="3439" spans="1:3" s="8" customFormat="1" x14ac:dyDescent="0.2">
      <c r="A3439" s="6" t="str">
        <f>"AC005911.1"</f>
        <v>AC005911.1</v>
      </c>
      <c r="B3439" s="6">
        <v>3.3536585365853598E-2</v>
      </c>
      <c r="C3439" s="6">
        <v>0.171526270236524</v>
      </c>
    </row>
    <row r="3440" spans="1:3" s="8" customFormat="1" x14ac:dyDescent="0.2">
      <c r="A3440" s="6" t="str">
        <f>"NLRP9P1"</f>
        <v>NLRP9P1</v>
      </c>
      <c r="B3440" s="6">
        <v>3.3966033966033898E-2</v>
      </c>
      <c r="C3440" s="6">
        <v>0.17160045924225001</v>
      </c>
    </row>
    <row r="3441" spans="1:3" s="8" customFormat="1" x14ac:dyDescent="0.2">
      <c r="A3441" s="6" t="str">
        <f>"AC106028.4"</f>
        <v>AC106028.4</v>
      </c>
      <c r="B3441" s="6">
        <v>3.3966033966033898E-2</v>
      </c>
      <c r="C3441" s="6">
        <v>0.17160045924225001</v>
      </c>
    </row>
    <row r="3442" spans="1:3" s="8" customFormat="1" x14ac:dyDescent="0.2">
      <c r="A3442" s="6" t="str">
        <f>"AP003680.1"</f>
        <v>AP003680.1</v>
      </c>
      <c r="B3442" s="6">
        <v>3.3966033966033898E-2</v>
      </c>
      <c r="C3442" s="6">
        <v>0.17160045924225001</v>
      </c>
    </row>
    <row r="3443" spans="1:3" s="8" customFormat="1" x14ac:dyDescent="0.2">
      <c r="A3443" s="6" t="str">
        <f>"SYT16"</f>
        <v>SYT16</v>
      </c>
      <c r="B3443" s="6">
        <v>3.3966033966033898E-2</v>
      </c>
      <c r="C3443" s="6">
        <v>0.17160045924225001</v>
      </c>
    </row>
    <row r="3444" spans="1:3" s="8" customFormat="1" x14ac:dyDescent="0.2">
      <c r="A3444" s="6" t="str">
        <f>"PEAR1"</f>
        <v>PEAR1</v>
      </c>
      <c r="B3444" s="6">
        <v>3.4000000000000002E-2</v>
      </c>
      <c r="C3444" s="6">
        <v>0.17160045924225001</v>
      </c>
    </row>
    <row r="3445" spans="1:3" s="8" customFormat="1" x14ac:dyDescent="0.2">
      <c r="A3445" s="6" t="str">
        <f>"PRRG3"</f>
        <v>PRRG3</v>
      </c>
      <c r="B3445" s="6">
        <v>3.3966033966033898E-2</v>
      </c>
      <c r="C3445" s="6">
        <v>0.17160045924225001</v>
      </c>
    </row>
    <row r="3446" spans="1:3" s="8" customFormat="1" x14ac:dyDescent="0.2">
      <c r="A3446" s="6" t="str">
        <f>"NRIR"</f>
        <v>NRIR</v>
      </c>
      <c r="B3446" s="6">
        <v>3.3966033966033898E-2</v>
      </c>
      <c r="C3446" s="6">
        <v>0.17160045924225001</v>
      </c>
    </row>
    <row r="3447" spans="1:3" s="8" customFormat="1" x14ac:dyDescent="0.2">
      <c r="A3447" s="6" t="str">
        <f>"LINC00235"</f>
        <v>LINC00235</v>
      </c>
      <c r="B3447" s="6">
        <v>3.4000000000000002E-2</v>
      </c>
      <c r="C3447" s="6">
        <v>0.17160045924225001</v>
      </c>
    </row>
    <row r="3448" spans="1:3" s="8" customFormat="1" x14ac:dyDescent="0.2">
      <c r="A3448" s="6" t="str">
        <f>"AL021707.2"</f>
        <v>AL021707.2</v>
      </c>
      <c r="B3448" s="6">
        <v>3.3966033966033898E-2</v>
      </c>
      <c r="C3448" s="6">
        <v>0.17160045924225001</v>
      </c>
    </row>
    <row r="3449" spans="1:3" s="8" customFormat="1" x14ac:dyDescent="0.2">
      <c r="A3449" s="6" t="str">
        <f>"AP001830.1"</f>
        <v>AP001830.1</v>
      </c>
      <c r="B3449" s="6">
        <v>3.4000000000000002E-2</v>
      </c>
      <c r="C3449" s="6">
        <v>0.17160045924225001</v>
      </c>
    </row>
    <row r="3450" spans="1:3" s="8" customFormat="1" x14ac:dyDescent="0.2">
      <c r="A3450" s="6" t="str">
        <f>"AC003102.1"</f>
        <v>AC003102.1</v>
      </c>
      <c r="B3450" s="6">
        <v>3.3966033966033898E-2</v>
      </c>
      <c r="C3450" s="6">
        <v>0.17160045924225001</v>
      </c>
    </row>
    <row r="3451" spans="1:3" s="8" customFormat="1" x14ac:dyDescent="0.2">
      <c r="A3451" s="6" t="str">
        <f>"PMP22"</f>
        <v>PMP22</v>
      </c>
      <c r="B3451" s="6">
        <v>3.3966033966033898E-2</v>
      </c>
      <c r="C3451" s="6">
        <v>0.17160045924225001</v>
      </c>
    </row>
    <row r="3452" spans="1:3" s="8" customFormat="1" x14ac:dyDescent="0.2">
      <c r="A3452" s="6" t="str">
        <f>"MT3"</f>
        <v>MT3</v>
      </c>
      <c r="B3452" s="6">
        <v>3.3966033966033898E-2</v>
      </c>
      <c r="C3452" s="6">
        <v>0.17160045924225001</v>
      </c>
    </row>
    <row r="3453" spans="1:3" s="8" customFormat="1" x14ac:dyDescent="0.2">
      <c r="A3453" s="6" t="str">
        <f>"ZNF578"</f>
        <v>ZNF578</v>
      </c>
      <c r="B3453" s="6">
        <v>3.3966033966033898E-2</v>
      </c>
      <c r="C3453" s="6">
        <v>0.17160045924225001</v>
      </c>
    </row>
    <row r="3454" spans="1:3" s="8" customFormat="1" x14ac:dyDescent="0.2">
      <c r="A3454" s="6" t="str">
        <f>"PRRG1"</f>
        <v>PRRG1</v>
      </c>
      <c r="B3454" s="6">
        <v>3.3966033966033898E-2</v>
      </c>
      <c r="C3454" s="6">
        <v>0.17160045924225001</v>
      </c>
    </row>
    <row r="3455" spans="1:3" s="8" customFormat="1" x14ac:dyDescent="0.2">
      <c r="A3455" s="6" t="str">
        <f>"TUBA5P"</f>
        <v>TUBA5P</v>
      </c>
      <c r="B3455" s="6">
        <v>3.3966033966033898E-2</v>
      </c>
      <c r="C3455" s="6">
        <v>0.17160045924225001</v>
      </c>
    </row>
    <row r="3456" spans="1:3" s="8" customFormat="1" x14ac:dyDescent="0.2">
      <c r="A3456" s="6" t="str">
        <f>"CCDC15"</f>
        <v>CCDC15</v>
      </c>
      <c r="B3456" s="6">
        <v>3.4000000000000002E-2</v>
      </c>
      <c r="C3456" s="6">
        <v>0.17160045924225001</v>
      </c>
    </row>
    <row r="3457" spans="1:3" s="8" customFormat="1" x14ac:dyDescent="0.2">
      <c r="A3457" s="6" t="str">
        <f>"GUCY1B1"</f>
        <v>GUCY1B1</v>
      </c>
      <c r="B3457" s="6">
        <v>3.3966033966033898E-2</v>
      </c>
      <c r="C3457" s="6">
        <v>0.17160045924225001</v>
      </c>
    </row>
    <row r="3458" spans="1:3" s="8" customFormat="1" x14ac:dyDescent="0.2">
      <c r="A3458" s="6" t="str">
        <f>"RND1"</f>
        <v>RND1</v>
      </c>
      <c r="B3458" s="6">
        <v>3.3966033966033898E-2</v>
      </c>
      <c r="C3458" s="6">
        <v>0.17160045924225001</v>
      </c>
    </row>
    <row r="3459" spans="1:3" s="8" customFormat="1" x14ac:dyDescent="0.2">
      <c r="A3459" s="6" t="str">
        <f>"LIN52"</f>
        <v>LIN52</v>
      </c>
      <c r="B3459" s="6">
        <v>3.3966033966033898E-2</v>
      </c>
      <c r="C3459" s="6">
        <v>0.17160045924225001</v>
      </c>
    </row>
    <row r="3460" spans="1:3" s="8" customFormat="1" x14ac:dyDescent="0.2">
      <c r="A3460" s="6" t="str">
        <f>"RCHY1"</f>
        <v>RCHY1</v>
      </c>
      <c r="B3460" s="6">
        <v>3.3966033966033898E-2</v>
      </c>
      <c r="C3460" s="6">
        <v>0.17160045924225001</v>
      </c>
    </row>
    <row r="3461" spans="1:3" s="8" customFormat="1" x14ac:dyDescent="0.2">
      <c r="A3461" s="6" t="str">
        <f>"SMCO4"</f>
        <v>SMCO4</v>
      </c>
      <c r="B3461" s="6">
        <v>3.3966033966033898E-2</v>
      </c>
      <c r="C3461" s="6">
        <v>0.17160045924225001</v>
      </c>
    </row>
    <row r="3462" spans="1:3" s="8" customFormat="1" x14ac:dyDescent="0.2">
      <c r="A3462" s="6" t="str">
        <f>"LINC00662"</f>
        <v>LINC00662</v>
      </c>
      <c r="B3462" s="6">
        <v>3.3966033966033898E-2</v>
      </c>
      <c r="C3462" s="6">
        <v>0.17160045924225001</v>
      </c>
    </row>
    <row r="3463" spans="1:3" s="8" customFormat="1" x14ac:dyDescent="0.2">
      <c r="A3463" s="6" t="str">
        <f>"NAA16"</f>
        <v>NAA16</v>
      </c>
      <c r="B3463" s="6">
        <v>3.3966033966033898E-2</v>
      </c>
      <c r="C3463" s="6">
        <v>0.17160045924225001</v>
      </c>
    </row>
    <row r="3464" spans="1:3" s="8" customFormat="1" x14ac:dyDescent="0.2">
      <c r="A3464" s="6" t="str">
        <f>"TRIM52-AS1"</f>
        <v>TRIM52-AS1</v>
      </c>
      <c r="B3464" s="6">
        <v>3.3966033966033898E-2</v>
      </c>
      <c r="C3464" s="6">
        <v>0.17160045924225001</v>
      </c>
    </row>
    <row r="3465" spans="1:3" s="8" customFormat="1" x14ac:dyDescent="0.2">
      <c r="A3465" s="6" t="str">
        <f>"TAF12"</f>
        <v>TAF12</v>
      </c>
      <c r="B3465" s="6">
        <v>3.3966033966033898E-2</v>
      </c>
      <c r="C3465" s="6">
        <v>0.17160045924225001</v>
      </c>
    </row>
    <row r="3466" spans="1:3" s="8" customFormat="1" x14ac:dyDescent="0.2">
      <c r="A3466" s="6" t="str">
        <f>"PEX11A"</f>
        <v>PEX11A</v>
      </c>
      <c r="B3466" s="6">
        <v>3.3966033966033898E-2</v>
      </c>
      <c r="C3466" s="6">
        <v>0.17160045924225001</v>
      </c>
    </row>
    <row r="3467" spans="1:3" s="8" customFormat="1" x14ac:dyDescent="0.2">
      <c r="A3467" s="6" t="str">
        <f>"BCL11A"</f>
        <v>BCL11A</v>
      </c>
      <c r="B3467" s="6">
        <v>3.3966033966033898E-2</v>
      </c>
      <c r="C3467" s="6">
        <v>0.17160045924225001</v>
      </c>
    </row>
    <row r="3468" spans="1:3" s="8" customFormat="1" x14ac:dyDescent="0.2">
      <c r="A3468" s="6" t="str">
        <f>"GTPBP10"</f>
        <v>GTPBP10</v>
      </c>
      <c r="B3468" s="6">
        <v>3.3966033966033898E-2</v>
      </c>
      <c r="C3468" s="6">
        <v>0.17160045924225001</v>
      </c>
    </row>
    <row r="3469" spans="1:3" s="8" customFormat="1" x14ac:dyDescent="0.2">
      <c r="A3469" s="6" t="str">
        <f>"CBR4"</f>
        <v>CBR4</v>
      </c>
      <c r="B3469" s="6">
        <v>3.3966033966033898E-2</v>
      </c>
      <c r="C3469" s="6">
        <v>0.17160045924225001</v>
      </c>
    </row>
    <row r="3470" spans="1:3" s="8" customFormat="1" x14ac:dyDescent="0.2">
      <c r="A3470" s="6" t="str">
        <f>"UBASH3B"</f>
        <v>UBASH3B</v>
      </c>
      <c r="B3470" s="6">
        <v>3.3966033966033898E-2</v>
      </c>
      <c r="C3470" s="6">
        <v>0.17160045924225001</v>
      </c>
    </row>
    <row r="3471" spans="1:3" s="8" customFormat="1" x14ac:dyDescent="0.2">
      <c r="A3471" s="6" t="str">
        <f>"PITPNC1"</f>
        <v>PITPNC1</v>
      </c>
      <c r="B3471" s="6">
        <v>3.3966033966033898E-2</v>
      </c>
      <c r="C3471" s="6">
        <v>0.17160045924225001</v>
      </c>
    </row>
    <row r="3472" spans="1:3" s="8" customFormat="1" x14ac:dyDescent="0.2">
      <c r="A3472" s="6" t="str">
        <f>"ELK1"</f>
        <v>ELK1</v>
      </c>
      <c r="B3472" s="6">
        <v>3.3966033966033898E-2</v>
      </c>
      <c r="C3472" s="6">
        <v>0.17160045924225001</v>
      </c>
    </row>
    <row r="3473" spans="1:3" s="8" customFormat="1" x14ac:dyDescent="0.2">
      <c r="A3473" s="6" t="str">
        <f>"WFS1"</f>
        <v>WFS1</v>
      </c>
      <c r="B3473" s="6">
        <v>3.3966033966033898E-2</v>
      </c>
      <c r="C3473" s="6">
        <v>0.17160045924225001</v>
      </c>
    </row>
    <row r="3474" spans="1:3" s="8" customFormat="1" x14ac:dyDescent="0.2">
      <c r="A3474" s="6" t="str">
        <f>"MAP3K8"</f>
        <v>MAP3K8</v>
      </c>
      <c r="B3474" s="6">
        <v>3.3966033966033898E-2</v>
      </c>
      <c r="C3474" s="6">
        <v>0.17160045924225001</v>
      </c>
    </row>
    <row r="3475" spans="1:3" s="8" customFormat="1" x14ac:dyDescent="0.2">
      <c r="A3475" s="6" t="str">
        <f>"PEX14"</f>
        <v>PEX14</v>
      </c>
      <c r="B3475" s="6">
        <v>3.3966033966033898E-2</v>
      </c>
      <c r="C3475" s="6">
        <v>0.17160045924225001</v>
      </c>
    </row>
    <row r="3476" spans="1:3" s="8" customFormat="1" x14ac:dyDescent="0.2">
      <c r="A3476" s="6" t="str">
        <f>"DPF2"</f>
        <v>DPF2</v>
      </c>
      <c r="B3476" s="6">
        <v>3.3966033966033898E-2</v>
      </c>
      <c r="C3476" s="6">
        <v>0.17160045924225001</v>
      </c>
    </row>
    <row r="3477" spans="1:3" s="8" customFormat="1" x14ac:dyDescent="0.2">
      <c r="A3477" s="6" t="str">
        <f>"BIRC2"</f>
        <v>BIRC2</v>
      </c>
      <c r="B3477" s="6">
        <v>3.3966033966033898E-2</v>
      </c>
      <c r="C3477" s="6">
        <v>0.17160045924225001</v>
      </c>
    </row>
    <row r="3478" spans="1:3" s="8" customFormat="1" x14ac:dyDescent="0.2">
      <c r="A3478" s="6" t="str">
        <f>"ZNF146"</f>
        <v>ZNF146</v>
      </c>
      <c r="B3478" s="6">
        <v>3.3966033966033898E-2</v>
      </c>
      <c r="C3478" s="6">
        <v>0.17160045924225001</v>
      </c>
    </row>
    <row r="3479" spans="1:3" s="8" customFormat="1" x14ac:dyDescent="0.2">
      <c r="A3479" s="6" t="str">
        <f>"UBA3"</f>
        <v>UBA3</v>
      </c>
      <c r="B3479" s="6">
        <v>3.3966033966033898E-2</v>
      </c>
      <c r="C3479" s="6">
        <v>0.17160045924225001</v>
      </c>
    </row>
    <row r="3480" spans="1:3" s="8" customFormat="1" x14ac:dyDescent="0.2">
      <c r="A3480" s="6" t="str">
        <f>"GNA13"</f>
        <v>GNA13</v>
      </c>
      <c r="B3480" s="6">
        <v>3.3966033966033898E-2</v>
      </c>
      <c r="C3480" s="6">
        <v>0.17160045924225001</v>
      </c>
    </row>
    <row r="3481" spans="1:3" s="8" customFormat="1" x14ac:dyDescent="0.2">
      <c r="A3481" s="6" t="str">
        <f>"BLVRB"</f>
        <v>BLVRB</v>
      </c>
      <c r="B3481" s="6">
        <v>3.3966033966033898E-2</v>
      </c>
      <c r="C3481" s="6">
        <v>0.17160045924225001</v>
      </c>
    </row>
    <row r="3482" spans="1:3" s="8" customFormat="1" x14ac:dyDescent="0.2">
      <c r="A3482" s="6" t="str">
        <f>"UBE2G1"</f>
        <v>UBE2G1</v>
      </c>
      <c r="B3482" s="6">
        <v>3.3966033966033898E-2</v>
      </c>
      <c r="C3482" s="6">
        <v>0.17160045924225001</v>
      </c>
    </row>
    <row r="3483" spans="1:3" s="8" customFormat="1" x14ac:dyDescent="0.2">
      <c r="A3483" s="6" t="str">
        <f>"MTOR"</f>
        <v>MTOR</v>
      </c>
      <c r="B3483" s="6">
        <v>3.3966033966033898E-2</v>
      </c>
      <c r="C3483" s="6">
        <v>0.17160045924225001</v>
      </c>
    </row>
    <row r="3484" spans="1:3" s="8" customFormat="1" x14ac:dyDescent="0.2">
      <c r="A3484" s="6" t="str">
        <f>"SLC1A5"</f>
        <v>SLC1A5</v>
      </c>
      <c r="B3484" s="6">
        <v>3.3966033966033898E-2</v>
      </c>
      <c r="C3484" s="6">
        <v>0.17160045924225001</v>
      </c>
    </row>
    <row r="3485" spans="1:3" s="8" customFormat="1" x14ac:dyDescent="0.2">
      <c r="A3485" s="6" t="str">
        <f>"EIF3C"</f>
        <v>EIF3C</v>
      </c>
      <c r="B3485" s="6">
        <v>3.3966033966033898E-2</v>
      </c>
      <c r="C3485" s="6">
        <v>0.17160045924225001</v>
      </c>
    </row>
    <row r="3486" spans="1:3" s="8" customFormat="1" x14ac:dyDescent="0.2">
      <c r="A3486" s="6" t="str">
        <f>"IRX3"</f>
        <v>IRX3</v>
      </c>
      <c r="B3486" s="6">
        <v>3.4034034034034003E-2</v>
      </c>
      <c r="C3486" s="6">
        <v>0.171722942454649</v>
      </c>
    </row>
    <row r="3487" spans="1:3" s="8" customFormat="1" x14ac:dyDescent="0.2">
      <c r="A3487" s="6" t="str">
        <f>"AC005618.4"</f>
        <v>AC005618.4</v>
      </c>
      <c r="B3487" s="6">
        <v>3.4068136272544999E-2</v>
      </c>
      <c r="C3487" s="6">
        <v>0.17184569943099001</v>
      </c>
    </row>
    <row r="3488" spans="1:3" s="8" customFormat="1" x14ac:dyDescent="0.2">
      <c r="A3488" s="6" t="str">
        <f>"AC002310.2"</f>
        <v>AC002310.2</v>
      </c>
      <c r="B3488" s="6">
        <v>3.4136546184738902E-2</v>
      </c>
      <c r="C3488" s="6">
        <v>0.172092037876275</v>
      </c>
    </row>
    <row r="3489" spans="1:3" s="8" customFormat="1" x14ac:dyDescent="0.2">
      <c r="A3489" s="6" t="str">
        <f>"AC008752.3"</f>
        <v>AC008752.3</v>
      </c>
      <c r="B3489" s="6">
        <v>3.4136546184738902E-2</v>
      </c>
      <c r="C3489" s="6">
        <v>0.172092037876275</v>
      </c>
    </row>
    <row r="3490" spans="1:3" s="8" customFormat="1" x14ac:dyDescent="0.2">
      <c r="A3490" s="6" t="str">
        <f>"PERCC1"</f>
        <v>PERCC1</v>
      </c>
      <c r="B3490" s="6">
        <v>3.4965034965034898E-2</v>
      </c>
      <c r="C3490" s="6">
        <v>0.17380401016661901</v>
      </c>
    </row>
    <row r="3491" spans="1:3" s="8" customFormat="1" x14ac:dyDescent="0.2">
      <c r="A3491" s="6" t="str">
        <f>"RDM1"</f>
        <v>RDM1</v>
      </c>
      <c r="B3491" s="6">
        <v>3.5000000000000003E-2</v>
      </c>
      <c r="C3491" s="6">
        <v>0.17380401016661901</v>
      </c>
    </row>
    <row r="3492" spans="1:3" s="8" customFormat="1" x14ac:dyDescent="0.2">
      <c r="A3492" s="6" t="str">
        <f>"SPINK6"</f>
        <v>SPINK6</v>
      </c>
      <c r="B3492" s="6">
        <v>3.4965034965034898E-2</v>
      </c>
      <c r="C3492" s="6">
        <v>0.17380401016661901</v>
      </c>
    </row>
    <row r="3493" spans="1:3" s="8" customFormat="1" x14ac:dyDescent="0.2">
      <c r="A3493" s="6" t="str">
        <f>"SNF8P1"</f>
        <v>SNF8P1</v>
      </c>
      <c r="B3493" s="6">
        <v>3.5000000000000003E-2</v>
      </c>
      <c r="C3493" s="6">
        <v>0.17380401016661901</v>
      </c>
    </row>
    <row r="3494" spans="1:3" s="8" customFormat="1" x14ac:dyDescent="0.2">
      <c r="A3494" s="6" t="str">
        <f>"APC2"</f>
        <v>APC2</v>
      </c>
      <c r="B3494" s="6">
        <v>3.4965034965034898E-2</v>
      </c>
      <c r="C3494" s="6">
        <v>0.17380401016661901</v>
      </c>
    </row>
    <row r="3495" spans="1:3" s="8" customFormat="1" x14ac:dyDescent="0.2">
      <c r="A3495" s="6" t="str">
        <f>"LINC00520"</f>
        <v>LINC00520</v>
      </c>
      <c r="B3495" s="6">
        <v>3.4965034965034898E-2</v>
      </c>
      <c r="C3495" s="6">
        <v>0.17380401016661901</v>
      </c>
    </row>
    <row r="3496" spans="1:3" s="8" customFormat="1" x14ac:dyDescent="0.2">
      <c r="A3496" s="6" t="str">
        <f>"C6orf15"</f>
        <v>C6orf15</v>
      </c>
      <c r="B3496" s="6">
        <v>3.4965034965034898E-2</v>
      </c>
      <c r="C3496" s="6">
        <v>0.17380401016661901</v>
      </c>
    </row>
    <row r="3497" spans="1:3" s="8" customFormat="1" x14ac:dyDescent="0.2">
      <c r="A3497" s="6" t="str">
        <f>"LINC00592"</f>
        <v>LINC00592</v>
      </c>
      <c r="B3497" s="6">
        <v>3.4965034965034898E-2</v>
      </c>
      <c r="C3497" s="6">
        <v>0.17380401016661901</v>
      </c>
    </row>
    <row r="3498" spans="1:3" s="8" customFormat="1" x14ac:dyDescent="0.2">
      <c r="A3498" s="6" t="str">
        <f>"DDIT4-AS1"</f>
        <v>DDIT4-AS1</v>
      </c>
      <c r="B3498" s="6">
        <v>3.4965034965034898E-2</v>
      </c>
      <c r="C3498" s="6">
        <v>0.17380401016661901</v>
      </c>
    </row>
    <row r="3499" spans="1:3" s="8" customFormat="1" x14ac:dyDescent="0.2">
      <c r="A3499" s="6" t="str">
        <f>"AL592546.2"</f>
        <v>AL592546.2</v>
      </c>
      <c r="B3499" s="6">
        <v>3.4965034965034898E-2</v>
      </c>
      <c r="C3499" s="6">
        <v>0.17380401016661901</v>
      </c>
    </row>
    <row r="3500" spans="1:3" s="8" customFormat="1" x14ac:dyDescent="0.2">
      <c r="A3500" s="6" t="str">
        <f>"AL591543.1"</f>
        <v>AL591543.1</v>
      </c>
      <c r="B3500" s="6">
        <v>3.4965034965034898E-2</v>
      </c>
      <c r="C3500" s="6">
        <v>0.17380401016661901</v>
      </c>
    </row>
    <row r="3501" spans="1:3" s="8" customFormat="1" x14ac:dyDescent="0.2">
      <c r="A3501" s="6" t="str">
        <f>"AL139246.3"</f>
        <v>AL139246.3</v>
      </c>
      <c r="B3501" s="6">
        <v>3.5000000000000003E-2</v>
      </c>
      <c r="C3501" s="6">
        <v>0.17380401016661901</v>
      </c>
    </row>
    <row r="3502" spans="1:3" s="8" customFormat="1" x14ac:dyDescent="0.2">
      <c r="A3502" s="6" t="str">
        <f>"DYNC1I1"</f>
        <v>DYNC1I1</v>
      </c>
      <c r="B3502" s="6">
        <v>3.4965034965034898E-2</v>
      </c>
      <c r="C3502" s="6">
        <v>0.17380401016661901</v>
      </c>
    </row>
    <row r="3503" spans="1:3" s="8" customFormat="1" x14ac:dyDescent="0.2">
      <c r="A3503" s="6" t="str">
        <f>"AL627309.1"</f>
        <v>AL627309.1</v>
      </c>
      <c r="B3503" s="6">
        <v>3.4965034965034898E-2</v>
      </c>
      <c r="C3503" s="6">
        <v>0.17380401016661901</v>
      </c>
    </row>
    <row r="3504" spans="1:3" s="8" customFormat="1" x14ac:dyDescent="0.2">
      <c r="A3504" s="6" t="str">
        <f>"TNNT3"</f>
        <v>TNNT3</v>
      </c>
      <c r="B3504" s="6">
        <v>3.4965034965034898E-2</v>
      </c>
      <c r="C3504" s="6">
        <v>0.17380401016661901</v>
      </c>
    </row>
    <row r="3505" spans="1:3" s="8" customFormat="1" x14ac:dyDescent="0.2">
      <c r="A3505" s="6" t="str">
        <f>"AC106795.2"</f>
        <v>AC106795.2</v>
      </c>
      <c r="B3505" s="6">
        <v>3.4965034965034898E-2</v>
      </c>
      <c r="C3505" s="6">
        <v>0.17380401016661901</v>
      </c>
    </row>
    <row r="3506" spans="1:3" s="8" customFormat="1" x14ac:dyDescent="0.2">
      <c r="A3506" s="6" t="str">
        <f>"NRAP"</f>
        <v>NRAP</v>
      </c>
      <c r="B3506" s="6">
        <v>3.4965034965034898E-2</v>
      </c>
      <c r="C3506" s="6">
        <v>0.17380401016661901</v>
      </c>
    </row>
    <row r="3507" spans="1:3" s="8" customFormat="1" x14ac:dyDescent="0.2">
      <c r="A3507" s="6" t="str">
        <f>"TMEM254-AS1"</f>
        <v>TMEM254-AS1</v>
      </c>
      <c r="B3507" s="6">
        <v>3.4965034965034898E-2</v>
      </c>
      <c r="C3507" s="6">
        <v>0.17380401016661901</v>
      </c>
    </row>
    <row r="3508" spans="1:3" s="8" customFormat="1" x14ac:dyDescent="0.2">
      <c r="A3508" s="6" t="str">
        <f>"STAG3L5P"</f>
        <v>STAG3L5P</v>
      </c>
      <c r="B3508" s="6">
        <v>3.4965034965034898E-2</v>
      </c>
      <c r="C3508" s="6">
        <v>0.17380401016661901</v>
      </c>
    </row>
    <row r="3509" spans="1:3" s="8" customFormat="1" x14ac:dyDescent="0.2">
      <c r="A3509" s="6" t="str">
        <f>"PANK1"</f>
        <v>PANK1</v>
      </c>
      <c r="B3509" s="6">
        <v>3.4965034965034898E-2</v>
      </c>
      <c r="C3509" s="6">
        <v>0.17380401016661901</v>
      </c>
    </row>
    <row r="3510" spans="1:3" s="8" customFormat="1" x14ac:dyDescent="0.2">
      <c r="A3510" s="6" t="str">
        <f>"ZNF543"</f>
        <v>ZNF543</v>
      </c>
      <c r="B3510" s="6">
        <v>3.4965034965034898E-2</v>
      </c>
      <c r="C3510" s="6">
        <v>0.17380401016661901</v>
      </c>
    </row>
    <row r="3511" spans="1:3" s="8" customFormat="1" x14ac:dyDescent="0.2">
      <c r="A3511" s="6" t="str">
        <f>"ADAT3"</f>
        <v>ADAT3</v>
      </c>
      <c r="B3511" s="6">
        <v>3.4965034965034898E-2</v>
      </c>
      <c r="C3511" s="6">
        <v>0.17380401016661901</v>
      </c>
    </row>
    <row r="3512" spans="1:3" s="8" customFormat="1" x14ac:dyDescent="0.2">
      <c r="A3512" s="6" t="str">
        <f>"AC009119.1"</f>
        <v>AC009119.1</v>
      </c>
      <c r="B3512" s="6">
        <v>3.4965034965034898E-2</v>
      </c>
      <c r="C3512" s="6">
        <v>0.17380401016661901</v>
      </c>
    </row>
    <row r="3513" spans="1:3" s="8" customFormat="1" x14ac:dyDescent="0.2">
      <c r="A3513" s="6" t="str">
        <f>"DDX28"</f>
        <v>DDX28</v>
      </c>
      <c r="B3513" s="6">
        <v>3.4965034965034898E-2</v>
      </c>
      <c r="C3513" s="6">
        <v>0.17380401016661901</v>
      </c>
    </row>
    <row r="3514" spans="1:3" s="8" customFormat="1" x14ac:dyDescent="0.2">
      <c r="A3514" s="6" t="str">
        <f>"NARS2"</f>
        <v>NARS2</v>
      </c>
      <c r="B3514" s="6">
        <v>3.4965034965034898E-2</v>
      </c>
      <c r="C3514" s="6">
        <v>0.17380401016661901</v>
      </c>
    </row>
    <row r="3515" spans="1:3" s="8" customFormat="1" x14ac:dyDescent="0.2">
      <c r="A3515" s="6" t="str">
        <f>"PLXNB3"</f>
        <v>PLXNB3</v>
      </c>
      <c r="B3515" s="6">
        <v>3.4965034965034898E-2</v>
      </c>
      <c r="C3515" s="6">
        <v>0.17380401016661901</v>
      </c>
    </row>
    <row r="3516" spans="1:3" s="8" customFormat="1" x14ac:dyDescent="0.2">
      <c r="A3516" s="6" t="str">
        <f>"TP73-AS1"</f>
        <v>TP73-AS1</v>
      </c>
      <c r="B3516" s="6">
        <v>3.4965034965034898E-2</v>
      </c>
      <c r="C3516" s="6">
        <v>0.17380401016661901</v>
      </c>
    </row>
    <row r="3517" spans="1:3" s="8" customFormat="1" x14ac:dyDescent="0.2">
      <c r="A3517" s="6" t="str">
        <f>"USP30"</f>
        <v>USP30</v>
      </c>
      <c r="B3517" s="6">
        <v>3.4965034965034898E-2</v>
      </c>
      <c r="C3517" s="6">
        <v>0.17380401016661901</v>
      </c>
    </row>
    <row r="3518" spans="1:3" s="8" customFormat="1" x14ac:dyDescent="0.2">
      <c r="A3518" s="6" t="str">
        <f>"UBE2D1"</f>
        <v>UBE2D1</v>
      </c>
      <c r="B3518" s="6">
        <v>3.4965034965034898E-2</v>
      </c>
      <c r="C3518" s="6">
        <v>0.17380401016661901</v>
      </c>
    </row>
    <row r="3519" spans="1:3" s="8" customFormat="1" x14ac:dyDescent="0.2">
      <c r="A3519" s="6" t="str">
        <f>"FBXO8"</f>
        <v>FBXO8</v>
      </c>
      <c r="B3519" s="6">
        <v>3.4965034965034898E-2</v>
      </c>
      <c r="C3519" s="6">
        <v>0.17380401016661901</v>
      </c>
    </row>
    <row r="3520" spans="1:3" s="8" customFormat="1" x14ac:dyDescent="0.2">
      <c r="A3520" s="6" t="str">
        <f>"RNASE1"</f>
        <v>RNASE1</v>
      </c>
      <c r="B3520" s="6">
        <v>3.4965034965034898E-2</v>
      </c>
      <c r="C3520" s="6">
        <v>0.17380401016661901</v>
      </c>
    </row>
    <row r="3521" spans="1:3" s="8" customFormat="1" x14ac:dyDescent="0.2">
      <c r="A3521" s="6" t="str">
        <f>"OSBPL7"</f>
        <v>OSBPL7</v>
      </c>
      <c r="B3521" s="6">
        <v>3.4965034965034898E-2</v>
      </c>
      <c r="C3521" s="6">
        <v>0.17380401016661901</v>
      </c>
    </row>
    <row r="3522" spans="1:3" s="8" customFormat="1" x14ac:dyDescent="0.2">
      <c r="A3522" s="6" t="str">
        <f>"GMPR"</f>
        <v>GMPR</v>
      </c>
      <c r="B3522" s="6">
        <v>3.4965034965034898E-2</v>
      </c>
      <c r="C3522" s="6">
        <v>0.17380401016661901</v>
      </c>
    </row>
    <row r="3523" spans="1:3" s="8" customFormat="1" x14ac:dyDescent="0.2">
      <c r="A3523" s="6" t="str">
        <f>"NUDT15"</f>
        <v>NUDT15</v>
      </c>
      <c r="B3523" s="6">
        <v>3.4965034965034898E-2</v>
      </c>
      <c r="C3523" s="6">
        <v>0.17380401016661901</v>
      </c>
    </row>
    <row r="3524" spans="1:3" s="8" customFormat="1" x14ac:dyDescent="0.2">
      <c r="A3524" s="6" t="str">
        <f>"PASK"</f>
        <v>PASK</v>
      </c>
      <c r="B3524" s="6">
        <v>3.4965034965034898E-2</v>
      </c>
      <c r="C3524" s="6">
        <v>0.17380401016661901</v>
      </c>
    </row>
    <row r="3525" spans="1:3" s="8" customFormat="1" x14ac:dyDescent="0.2">
      <c r="A3525" s="6" t="str">
        <f>"NENF"</f>
        <v>NENF</v>
      </c>
      <c r="B3525" s="6">
        <v>3.4965034965034898E-2</v>
      </c>
      <c r="C3525" s="6">
        <v>0.17380401016661901</v>
      </c>
    </row>
    <row r="3526" spans="1:3" s="8" customFormat="1" x14ac:dyDescent="0.2">
      <c r="A3526" s="6" t="str">
        <f>"MTRR"</f>
        <v>MTRR</v>
      </c>
      <c r="B3526" s="6">
        <v>3.4965034965034898E-2</v>
      </c>
      <c r="C3526" s="6">
        <v>0.17380401016661901</v>
      </c>
    </row>
    <row r="3527" spans="1:3" s="8" customFormat="1" x14ac:dyDescent="0.2">
      <c r="A3527" s="6" t="str">
        <f>"HEATR1"</f>
        <v>HEATR1</v>
      </c>
      <c r="B3527" s="6">
        <v>3.4965034965034898E-2</v>
      </c>
      <c r="C3527" s="6">
        <v>0.17380401016661901</v>
      </c>
    </row>
    <row r="3528" spans="1:3" s="8" customFormat="1" x14ac:dyDescent="0.2">
      <c r="A3528" s="6" t="str">
        <f>"MRPL17"</f>
        <v>MRPL17</v>
      </c>
      <c r="B3528" s="6">
        <v>3.4965034965034898E-2</v>
      </c>
      <c r="C3528" s="6">
        <v>0.17380401016661901</v>
      </c>
    </row>
    <row r="3529" spans="1:3" s="8" customFormat="1" x14ac:dyDescent="0.2">
      <c r="A3529" s="6" t="str">
        <f>"MAP2K7"</f>
        <v>MAP2K7</v>
      </c>
      <c r="B3529" s="6">
        <v>3.4965034965034898E-2</v>
      </c>
      <c r="C3529" s="6">
        <v>0.17380401016661901</v>
      </c>
    </row>
    <row r="3530" spans="1:3" s="8" customFormat="1" x14ac:dyDescent="0.2">
      <c r="A3530" s="6" t="str">
        <f>"COPS8"</f>
        <v>COPS8</v>
      </c>
      <c r="B3530" s="6">
        <v>3.4965034965034898E-2</v>
      </c>
      <c r="C3530" s="6">
        <v>0.17380401016661901</v>
      </c>
    </row>
    <row r="3531" spans="1:3" s="8" customFormat="1" x14ac:dyDescent="0.2">
      <c r="A3531" s="6" t="str">
        <f>"ABCE1"</f>
        <v>ABCE1</v>
      </c>
      <c r="B3531" s="6">
        <v>3.4965034965034898E-2</v>
      </c>
      <c r="C3531" s="6">
        <v>0.17380401016661901</v>
      </c>
    </row>
    <row r="3532" spans="1:3" s="8" customFormat="1" x14ac:dyDescent="0.2">
      <c r="A3532" s="6" t="str">
        <f>"RPA2"</f>
        <v>RPA2</v>
      </c>
      <c r="B3532" s="6">
        <v>3.4965034965034898E-2</v>
      </c>
      <c r="C3532" s="6">
        <v>0.17380401016661901</v>
      </c>
    </row>
    <row r="3533" spans="1:3" s="8" customFormat="1" x14ac:dyDescent="0.2">
      <c r="A3533" s="6" t="str">
        <f>"ZNF496"</f>
        <v>ZNF496</v>
      </c>
      <c r="B3533" s="6">
        <v>3.4965034965034898E-2</v>
      </c>
      <c r="C3533" s="6">
        <v>0.17380401016661901</v>
      </c>
    </row>
    <row r="3534" spans="1:3" s="8" customFormat="1" x14ac:dyDescent="0.2">
      <c r="A3534" s="6" t="str">
        <f>"COQ7"</f>
        <v>COQ7</v>
      </c>
      <c r="B3534" s="6">
        <v>3.4965034965034898E-2</v>
      </c>
      <c r="C3534" s="6">
        <v>0.17380401016661901</v>
      </c>
    </row>
    <row r="3535" spans="1:3" s="8" customFormat="1" x14ac:dyDescent="0.2">
      <c r="A3535" s="6" t="str">
        <f>"ABCA2"</f>
        <v>ABCA2</v>
      </c>
      <c r="B3535" s="6">
        <v>3.5000000000000003E-2</v>
      </c>
      <c r="C3535" s="6">
        <v>0.17380401016661901</v>
      </c>
    </row>
    <row r="3536" spans="1:3" s="8" customFormat="1" x14ac:dyDescent="0.2">
      <c r="A3536" s="6" t="str">
        <f>"SPAG9"</f>
        <v>SPAG9</v>
      </c>
      <c r="B3536" s="6">
        <v>3.4965034965034898E-2</v>
      </c>
      <c r="C3536" s="6">
        <v>0.17380401016661901</v>
      </c>
    </row>
    <row r="3537" spans="1:3" s="8" customFormat="1" x14ac:dyDescent="0.2">
      <c r="A3537" s="6" t="str">
        <f>"ST6GALNAC2"</f>
        <v>ST6GALNAC2</v>
      </c>
      <c r="B3537" s="6">
        <v>3.4965034965034898E-2</v>
      </c>
      <c r="C3537" s="6">
        <v>0.17380401016661901</v>
      </c>
    </row>
    <row r="3538" spans="1:3" s="8" customFormat="1" x14ac:dyDescent="0.2">
      <c r="A3538" s="6" t="str">
        <f>"SLAIN2"</f>
        <v>SLAIN2</v>
      </c>
      <c r="B3538" s="6">
        <v>3.4965034965034898E-2</v>
      </c>
      <c r="C3538" s="6">
        <v>0.17380401016661901</v>
      </c>
    </row>
    <row r="3539" spans="1:3" s="8" customFormat="1" x14ac:dyDescent="0.2">
      <c r="A3539" s="6" t="str">
        <f>"MTPN"</f>
        <v>MTPN</v>
      </c>
      <c r="B3539" s="6">
        <v>3.4965034965034898E-2</v>
      </c>
      <c r="C3539" s="6">
        <v>0.17380401016661901</v>
      </c>
    </row>
    <row r="3540" spans="1:3" s="8" customFormat="1" x14ac:dyDescent="0.2">
      <c r="A3540" s="6" t="str">
        <f>"ZNF638"</f>
        <v>ZNF638</v>
      </c>
      <c r="B3540" s="6">
        <v>3.4965034965034898E-2</v>
      </c>
      <c r="C3540" s="6">
        <v>0.17380401016661901</v>
      </c>
    </row>
    <row r="3541" spans="1:3" s="8" customFormat="1" x14ac:dyDescent="0.2">
      <c r="A3541" s="6" t="str">
        <f>"PHC2"</f>
        <v>PHC2</v>
      </c>
      <c r="B3541" s="6">
        <v>3.4965034965034898E-2</v>
      </c>
      <c r="C3541" s="6">
        <v>0.17380401016661901</v>
      </c>
    </row>
    <row r="3542" spans="1:3" s="8" customFormat="1" x14ac:dyDescent="0.2">
      <c r="A3542" s="6" t="str">
        <f>"EIF4G1"</f>
        <v>EIF4G1</v>
      </c>
      <c r="B3542" s="6">
        <v>3.4965034965034898E-2</v>
      </c>
      <c r="C3542" s="6">
        <v>0.17380401016661901</v>
      </c>
    </row>
    <row r="3543" spans="1:3" s="8" customFormat="1" x14ac:dyDescent="0.2">
      <c r="A3543" s="6" t="str">
        <f>"AC015969.1"</f>
        <v>AC015969.1</v>
      </c>
      <c r="B3543" s="6">
        <v>3.5035035035035002E-2</v>
      </c>
      <c r="C3543" s="6">
        <v>0.17387977873442101</v>
      </c>
    </row>
    <row r="3544" spans="1:3" s="8" customFormat="1" x14ac:dyDescent="0.2">
      <c r="A3544" s="6" t="str">
        <f>"SPART-AS1"</f>
        <v>SPART-AS1</v>
      </c>
      <c r="B3544" s="6">
        <v>3.5035035035035002E-2</v>
      </c>
      <c r="C3544" s="6">
        <v>0.17387977873442101</v>
      </c>
    </row>
    <row r="3545" spans="1:3" s="8" customFormat="1" x14ac:dyDescent="0.2">
      <c r="A3545" s="6" t="str">
        <f>"HSPD1P21"</f>
        <v>HSPD1P21</v>
      </c>
      <c r="B3545" s="6">
        <v>3.5070140280561102E-2</v>
      </c>
      <c r="C3545" s="6">
        <v>0.17400489466517599</v>
      </c>
    </row>
    <row r="3546" spans="1:3" s="8" customFormat="1" x14ac:dyDescent="0.2">
      <c r="A3546" s="6" t="str">
        <f>"MIF-AS1"</f>
        <v>MIF-AS1</v>
      </c>
      <c r="B3546" s="6">
        <v>3.5105315947843503E-2</v>
      </c>
      <c r="C3546" s="6">
        <v>0.17413028931646801</v>
      </c>
    </row>
    <row r="3547" spans="1:3" s="8" customFormat="1" x14ac:dyDescent="0.2">
      <c r="A3547" s="6" t="str">
        <f>"AC008626.1"</f>
        <v>AC008626.1</v>
      </c>
      <c r="B3547" s="6">
        <v>3.5175879396984903E-2</v>
      </c>
      <c r="C3547" s="6">
        <v>0.17443109512593899</v>
      </c>
    </row>
    <row r="3548" spans="1:3" s="8" customFormat="1" x14ac:dyDescent="0.2">
      <c r="A3548" s="6" t="str">
        <f>"EIF4BP6"</f>
        <v>EIF4BP6</v>
      </c>
      <c r="B3548" s="6">
        <v>3.5246727089627297E-2</v>
      </c>
      <c r="C3548" s="6">
        <v>0.17473314044093799</v>
      </c>
    </row>
    <row r="3549" spans="1:3" s="8" customFormat="1" x14ac:dyDescent="0.2">
      <c r="A3549" s="6" t="str">
        <f>"AL162171.1"</f>
        <v>AL162171.1</v>
      </c>
      <c r="B3549" s="6">
        <v>3.5294117647058802E-2</v>
      </c>
      <c r="C3549" s="6">
        <v>0.17491876119106001</v>
      </c>
    </row>
    <row r="3550" spans="1:3" s="8" customFormat="1" x14ac:dyDescent="0.2">
      <c r="A3550" s="6" t="str">
        <f>"AC010809.2"</f>
        <v>AC010809.2</v>
      </c>
      <c r="B3550" s="6">
        <v>3.5902851108764497E-2</v>
      </c>
      <c r="C3550" s="6">
        <v>0.17566433566433501</v>
      </c>
    </row>
    <row r="3551" spans="1:3" s="8" customFormat="1" x14ac:dyDescent="0.2">
      <c r="A3551" s="6" t="str">
        <f>"AC136475.9"</f>
        <v>AC136475.9</v>
      </c>
      <c r="B3551" s="6">
        <v>3.5964035964035898E-2</v>
      </c>
      <c r="C3551" s="6">
        <v>0.17566433566433501</v>
      </c>
    </row>
    <row r="3552" spans="1:3" s="8" customFormat="1" x14ac:dyDescent="0.2">
      <c r="A3552" s="6" t="str">
        <f>"AC090877.2"</f>
        <v>AC090877.2</v>
      </c>
      <c r="B3552" s="6">
        <v>3.5964035964035898E-2</v>
      </c>
      <c r="C3552" s="6">
        <v>0.17566433566433501</v>
      </c>
    </row>
    <row r="3553" spans="1:3" s="8" customFormat="1" x14ac:dyDescent="0.2">
      <c r="A3553" s="6" t="str">
        <f>"OPRPN"</f>
        <v>OPRPN</v>
      </c>
      <c r="B3553" s="6">
        <v>3.5964035964035898E-2</v>
      </c>
      <c r="C3553" s="6">
        <v>0.17566433566433501</v>
      </c>
    </row>
    <row r="3554" spans="1:3" s="8" customFormat="1" x14ac:dyDescent="0.2">
      <c r="A3554" s="6" t="str">
        <f>"PCDHA6"</f>
        <v>PCDHA6</v>
      </c>
      <c r="B3554" s="6">
        <v>3.5964035964035898E-2</v>
      </c>
      <c r="C3554" s="6">
        <v>0.17566433566433501</v>
      </c>
    </row>
    <row r="3555" spans="1:3" s="8" customFormat="1" x14ac:dyDescent="0.2">
      <c r="A3555" s="6" t="str">
        <f>"AP4B1-AS1"</f>
        <v>AP4B1-AS1</v>
      </c>
      <c r="B3555" s="6">
        <v>3.5714285714285698E-2</v>
      </c>
      <c r="C3555" s="6">
        <v>0.17566433566433501</v>
      </c>
    </row>
    <row r="3556" spans="1:3" s="8" customFormat="1" x14ac:dyDescent="0.2">
      <c r="A3556" s="6" t="str">
        <f>"AC008760.2"</f>
        <v>AC008760.2</v>
      </c>
      <c r="B3556" s="6">
        <v>3.5964035964035898E-2</v>
      </c>
      <c r="C3556" s="6">
        <v>0.17566433566433501</v>
      </c>
    </row>
    <row r="3557" spans="1:3" s="8" customFormat="1" x14ac:dyDescent="0.2">
      <c r="A3557" s="6" t="str">
        <f>"ATP1B2"</f>
        <v>ATP1B2</v>
      </c>
      <c r="B3557" s="6">
        <v>3.5964035964035898E-2</v>
      </c>
      <c r="C3557" s="6">
        <v>0.17566433566433501</v>
      </c>
    </row>
    <row r="3558" spans="1:3" s="8" customFormat="1" x14ac:dyDescent="0.2">
      <c r="A3558" s="6" t="str">
        <f>"AL117339.3"</f>
        <v>AL117339.3</v>
      </c>
      <c r="B3558" s="6">
        <v>3.5675675675675603E-2</v>
      </c>
      <c r="C3558" s="6">
        <v>0.17566433566433501</v>
      </c>
    </row>
    <row r="3559" spans="1:3" s="8" customFormat="1" x14ac:dyDescent="0.2">
      <c r="A3559" s="6" t="str">
        <f>"DIRAS3"</f>
        <v>DIRAS3</v>
      </c>
      <c r="B3559" s="6">
        <v>3.5964035964035898E-2</v>
      </c>
      <c r="C3559" s="6">
        <v>0.17566433566433501</v>
      </c>
    </row>
    <row r="3560" spans="1:3" s="8" customFormat="1" x14ac:dyDescent="0.2">
      <c r="A3560" s="6" t="str">
        <f>"STAC"</f>
        <v>STAC</v>
      </c>
      <c r="B3560" s="6">
        <v>3.5964035964035898E-2</v>
      </c>
      <c r="C3560" s="6">
        <v>0.17566433566433501</v>
      </c>
    </row>
    <row r="3561" spans="1:3" s="8" customFormat="1" x14ac:dyDescent="0.2">
      <c r="A3561" s="6" t="str">
        <f>"SV2A"</f>
        <v>SV2A</v>
      </c>
      <c r="B3561" s="6">
        <v>3.5964035964035898E-2</v>
      </c>
      <c r="C3561" s="6">
        <v>0.17566433566433501</v>
      </c>
    </row>
    <row r="3562" spans="1:3" s="8" customFormat="1" x14ac:dyDescent="0.2">
      <c r="A3562" s="6" t="str">
        <f>"LINC01732"</f>
        <v>LINC01732</v>
      </c>
      <c r="B3562" s="6">
        <v>3.5964035964035898E-2</v>
      </c>
      <c r="C3562" s="6">
        <v>0.17566433566433501</v>
      </c>
    </row>
    <row r="3563" spans="1:3" s="8" customFormat="1" x14ac:dyDescent="0.2">
      <c r="A3563" s="6" t="str">
        <f>"AC006435.2"</f>
        <v>AC006435.2</v>
      </c>
      <c r="B3563" s="6">
        <v>3.5823950870010203E-2</v>
      </c>
      <c r="C3563" s="6">
        <v>0.17566433566433501</v>
      </c>
    </row>
    <row r="3564" spans="1:3" s="8" customFormat="1" x14ac:dyDescent="0.2">
      <c r="A3564" s="6" t="str">
        <f>"IRF4"</f>
        <v>IRF4</v>
      </c>
      <c r="B3564" s="6">
        <v>3.5964035964035898E-2</v>
      </c>
      <c r="C3564" s="6">
        <v>0.17566433566433501</v>
      </c>
    </row>
    <row r="3565" spans="1:3" s="8" customFormat="1" x14ac:dyDescent="0.2">
      <c r="A3565" s="6" t="str">
        <f>"BTN2A3P"</f>
        <v>BTN2A3P</v>
      </c>
      <c r="B3565" s="6">
        <v>3.5964035964035898E-2</v>
      </c>
      <c r="C3565" s="6">
        <v>0.17566433566433501</v>
      </c>
    </row>
    <row r="3566" spans="1:3" s="8" customFormat="1" x14ac:dyDescent="0.2">
      <c r="A3566" s="6" t="str">
        <f>"B3GALT1"</f>
        <v>B3GALT1</v>
      </c>
      <c r="B3566" s="6">
        <v>3.5964035964035898E-2</v>
      </c>
      <c r="C3566" s="6">
        <v>0.17566433566433501</v>
      </c>
    </row>
    <row r="3567" spans="1:3" s="8" customFormat="1" x14ac:dyDescent="0.2">
      <c r="A3567" s="6" t="str">
        <f>"ZNF648"</f>
        <v>ZNF648</v>
      </c>
      <c r="B3567" s="6">
        <v>3.5964035964035898E-2</v>
      </c>
      <c r="C3567" s="6">
        <v>0.17566433566433501</v>
      </c>
    </row>
    <row r="3568" spans="1:3" s="8" customFormat="1" x14ac:dyDescent="0.2">
      <c r="A3568" s="6" t="str">
        <f>"ZNF670"</f>
        <v>ZNF670</v>
      </c>
      <c r="B3568" s="6">
        <v>3.5964035964035898E-2</v>
      </c>
      <c r="C3568" s="6">
        <v>0.17566433566433501</v>
      </c>
    </row>
    <row r="3569" spans="1:3" s="8" customFormat="1" x14ac:dyDescent="0.2">
      <c r="A3569" s="6" t="str">
        <f>"SKA3"</f>
        <v>SKA3</v>
      </c>
      <c r="B3569" s="6">
        <v>3.5964035964035898E-2</v>
      </c>
      <c r="C3569" s="6">
        <v>0.17566433566433501</v>
      </c>
    </row>
    <row r="3570" spans="1:3" s="8" customFormat="1" x14ac:dyDescent="0.2">
      <c r="A3570" s="6" t="str">
        <f>"AC096637.2"</f>
        <v>AC096637.2</v>
      </c>
      <c r="B3570" s="6">
        <v>3.5964035964035898E-2</v>
      </c>
      <c r="C3570" s="6">
        <v>0.17566433566433501</v>
      </c>
    </row>
    <row r="3571" spans="1:3" s="8" customFormat="1" x14ac:dyDescent="0.2">
      <c r="A3571" s="6" t="str">
        <f>"SYNC"</f>
        <v>SYNC</v>
      </c>
      <c r="B3571" s="6">
        <v>3.5964035964035898E-2</v>
      </c>
      <c r="C3571" s="6">
        <v>0.17566433566433501</v>
      </c>
    </row>
    <row r="3572" spans="1:3" s="8" customFormat="1" x14ac:dyDescent="0.2">
      <c r="A3572" s="6" t="str">
        <f>"MSR1"</f>
        <v>MSR1</v>
      </c>
      <c r="B3572" s="6">
        <v>3.5964035964035898E-2</v>
      </c>
      <c r="C3572" s="6">
        <v>0.17566433566433501</v>
      </c>
    </row>
    <row r="3573" spans="1:3" s="8" customFormat="1" x14ac:dyDescent="0.2">
      <c r="A3573" s="6" t="str">
        <f>"AL050341.2"</f>
        <v>AL050341.2</v>
      </c>
      <c r="B3573" s="6">
        <v>3.5964035964035898E-2</v>
      </c>
      <c r="C3573" s="6">
        <v>0.17566433566433501</v>
      </c>
    </row>
    <row r="3574" spans="1:3" s="8" customFormat="1" x14ac:dyDescent="0.2">
      <c r="A3574" s="6" t="str">
        <f>"ZNF79"</f>
        <v>ZNF79</v>
      </c>
      <c r="B3574" s="6">
        <v>3.5964035964035898E-2</v>
      </c>
      <c r="C3574" s="6">
        <v>0.17566433566433501</v>
      </c>
    </row>
    <row r="3575" spans="1:3" s="8" customFormat="1" x14ac:dyDescent="0.2">
      <c r="A3575" s="6" t="str">
        <f>"RWDD2A"</f>
        <v>RWDD2A</v>
      </c>
      <c r="B3575" s="6">
        <v>3.5964035964035898E-2</v>
      </c>
      <c r="C3575" s="6">
        <v>0.17566433566433501</v>
      </c>
    </row>
    <row r="3576" spans="1:3" s="8" customFormat="1" x14ac:dyDescent="0.2">
      <c r="A3576" s="6" t="str">
        <f>"SS18L2"</f>
        <v>SS18L2</v>
      </c>
      <c r="B3576" s="6">
        <v>3.5964035964035898E-2</v>
      </c>
      <c r="C3576" s="6">
        <v>0.17566433566433501</v>
      </c>
    </row>
    <row r="3577" spans="1:3" s="8" customFormat="1" x14ac:dyDescent="0.2">
      <c r="A3577" s="6" t="str">
        <f>"CLCN2"</f>
        <v>CLCN2</v>
      </c>
      <c r="B3577" s="6">
        <v>3.5964035964035898E-2</v>
      </c>
      <c r="C3577" s="6">
        <v>0.17566433566433501</v>
      </c>
    </row>
    <row r="3578" spans="1:3" s="8" customFormat="1" x14ac:dyDescent="0.2">
      <c r="A3578" s="6" t="str">
        <f>"ZNF19"</f>
        <v>ZNF19</v>
      </c>
      <c r="B3578" s="6">
        <v>3.5964035964035898E-2</v>
      </c>
      <c r="C3578" s="6">
        <v>0.17566433566433501</v>
      </c>
    </row>
    <row r="3579" spans="1:3" s="8" customFormat="1" x14ac:dyDescent="0.2">
      <c r="A3579" s="6" t="str">
        <f>"LINC01571"</f>
        <v>LINC01571</v>
      </c>
      <c r="B3579" s="6">
        <v>3.5964035964035898E-2</v>
      </c>
      <c r="C3579" s="6">
        <v>0.17566433566433501</v>
      </c>
    </row>
    <row r="3580" spans="1:3" s="8" customFormat="1" x14ac:dyDescent="0.2">
      <c r="A3580" s="6" t="str">
        <f>"PLK4"</f>
        <v>PLK4</v>
      </c>
      <c r="B3580" s="6">
        <v>3.5964035964035898E-2</v>
      </c>
      <c r="C3580" s="6">
        <v>0.17566433566433501</v>
      </c>
    </row>
    <row r="3581" spans="1:3" s="8" customFormat="1" x14ac:dyDescent="0.2">
      <c r="A3581" s="6" t="str">
        <f>"C1orf109"</f>
        <v>C1orf109</v>
      </c>
      <c r="B3581" s="6">
        <v>3.5964035964035898E-2</v>
      </c>
      <c r="C3581" s="6">
        <v>0.17566433566433501</v>
      </c>
    </row>
    <row r="3582" spans="1:3" s="8" customFormat="1" x14ac:dyDescent="0.2">
      <c r="A3582" s="6" t="str">
        <f>"CA8"</f>
        <v>CA8</v>
      </c>
      <c r="B3582" s="6">
        <v>3.5964035964035898E-2</v>
      </c>
      <c r="C3582" s="6">
        <v>0.17566433566433501</v>
      </c>
    </row>
    <row r="3583" spans="1:3" s="8" customFormat="1" x14ac:dyDescent="0.2">
      <c r="A3583" s="6" t="str">
        <f>"VASN"</f>
        <v>VASN</v>
      </c>
      <c r="B3583" s="6">
        <v>3.5964035964035898E-2</v>
      </c>
      <c r="C3583" s="6">
        <v>0.17566433566433501</v>
      </c>
    </row>
    <row r="3584" spans="1:3" s="8" customFormat="1" x14ac:dyDescent="0.2">
      <c r="A3584" s="6" t="str">
        <f>"TRIM31"</f>
        <v>TRIM31</v>
      </c>
      <c r="B3584" s="6">
        <v>3.5964035964035898E-2</v>
      </c>
      <c r="C3584" s="6">
        <v>0.17566433566433501</v>
      </c>
    </row>
    <row r="3585" spans="1:3" s="8" customFormat="1" x14ac:dyDescent="0.2">
      <c r="A3585" s="6" t="str">
        <f>"PPP1R35"</f>
        <v>PPP1R35</v>
      </c>
      <c r="B3585" s="6">
        <v>3.5964035964035898E-2</v>
      </c>
      <c r="C3585" s="6">
        <v>0.17566433566433501</v>
      </c>
    </row>
    <row r="3586" spans="1:3" s="8" customFormat="1" x14ac:dyDescent="0.2">
      <c r="A3586" s="6" t="str">
        <f>"ACD"</f>
        <v>ACD</v>
      </c>
      <c r="B3586" s="6">
        <v>3.5964035964035898E-2</v>
      </c>
      <c r="C3586" s="6">
        <v>0.17566433566433501</v>
      </c>
    </row>
    <row r="3587" spans="1:3" s="8" customFormat="1" x14ac:dyDescent="0.2">
      <c r="A3587" s="6" t="str">
        <f>"SLC25A40"</f>
        <v>SLC25A40</v>
      </c>
      <c r="B3587" s="6">
        <v>3.5964035964035898E-2</v>
      </c>
      <c r="C3587" s="6">
        <v>0.17566433566433501</v>
      </c>
    </row>
    <row r="3588" spans="1:3" s="8" customFormat="1" x14ac:dyDescent="0.2">
      <c r="A3588" s="6" t="str">
        <f>"BCKDHB"</f>
        <v>BCKDHB</v>
      </c>
      <c r="B3588" s="6">
        <v>3.5964035964035898E-2</v>
      </c>
      <c r="C3588" s="6">
        <v>0.17566433566433501</v>
      </c>
    </row>
    <row r="3589" spans="1:3" s="8" customFormat="1" x14ac:dyDescent="0.2">
      <c r="A3589" s="6" t="str">
        <f>"PCBD2"</f>
        <v>PCBD2</v>
      </c>
      <c r="B3589" s="6">
        <v>3.5964035964035898E-2</v>
      </c>
      <c r="C3589" s="6">
        <v>0.17566433566433501</v>
      </c>
    </row>
    <row r="3590" spans="1:3" s="8" customFormat="1" x14ac:dyDescent="0.2">
      <c r="A3590" s="6" t="str">
        <f>"RAP1GDS1"</f>
        <v>RAP1GDS1</v>
      </c>
      <c r="B3590" s="6">
        <v>3.5964035964035898E-2</v>
      </c>
      <c r="C3590" s="6">
        <v>0.17566433566433501</v>
      </c>
    </row>
    <row r="3591" spans="1:3" s="8" customFormat="1" x14ac:dyDescent="0.2">
      <c r="A3591" s="6" t="str">
        <f>"CPQ"</f>
        <v>CPQ</v>
      </c>
      <c r="B3591" s="6">
        <v>3.5964035964035898E-2</v>
      </c>
      <c r="C3591" s="6">
        <v>0.17566433566433501</v>
      </c>
    </row>
    <row r="3592" spans="1:3" s="8" customFormat="1" x14ac:dyDescent="0.2">
      <c r="A3592" s="6" t="str">
        <f>"KRTCAP3"</f>
        <v>KRTCAP3</v>
      </c>
      <c r="B3592" s="6">
        <v>3.5964035964035898E-2</v>
      </c>
      <c r="C3592" s="6">
        <v>0.17566433566433501</v>
      </c>
    </row>
    <row r="3593" spans="1:3" s="8" customFormat="1" x14ac:dyDescent="0.2">
      <c r="A3593" s="6" t="str">
        <f>"MINDY2"</f>
        <v>MINDY2</v>
      </c>
      <c r="B3593" s="6">
        <v>3.5964035964035898E-2</v>
      </c>
      <c r="C3593" s="6">
        <v>0.17566433566433501</v>
      </c>
    </row>
    <row r="3594" spans="1:3" s="8" customFormat="1" x14ac:dyDescent="0.2">
      <c r="A3594" s="6" t="str">
        <f>"NUDT16L1"</f>
        <v>NUDT16L1</v>
      </c>
      <c r="B3594" s="6">
        <v>3.5964035964035898E-2</v>
      </c>
      <c r="C3594" s="6">
        <v>0.17566433566433501</v>
      </c>
    </row>
    <row r="3595" spans="1:3" s="8" customFormat="1" x14ac:dyDescent="0.2">
      <c r="A3595" s="6" t="str">
        <f>"MTX1"</f>
        <v>MTX1</v>
      </c>
      <c r="B3595" s="6">
        <v>3.5964035964035898E-2</v>
      </c>
      <c r="C3595" s="6">
        <v>0.17566433566433501</v>
      </c>
    </row>
    <row r="3596" spans="1:3" s="8" customFormat="1" x14ac:dyDescent="0.2">
      <c r="A3596" s="6" t="str">
        <f>"ZNHIT1"</f>
        <v>ZNHIT1</v>
      </c>
      <c r="B3596" s="6">
        <v>3.5964035964035898E-2</v>
      </c>
      <c r="C3596" s="6">
        <v>0.17566433566433501</v>
      </c>
    </row>
    <row r="3597" spans="1:3" s="8" customFormat="1" x14ac:dyDescent="0.2">
      <c r="A3597" s="6" t="str">
        <f>"CHD9"</f>
        <v>CHD9</v>
      </c>
      <c r="B3597" s="6">
        <v>3.5964035964035898E-2</v>
      </c>
      <c r="C3597" s="6">
        <v>0.17566433566433501</v>
      </c>
    </row>
    <row r="3598" spans="1:3" s="8" customFormat="1" x14ac:dyDescent="0.2">
      <c r="A3598" s="6" t="str">
        <f>"MPP7"</f>
        <v>MPP7</v>
      </c>
      <c r="B3598" s="6">
        <v>3.5964035964035898E-2</v>
      </c>
      <c r="C3598" s="6">
        <v>0.17566433566433501</v>
      </c>
    </row>
    <row r="3599" spans="1:3" s="8" customFormat="1" x14ac:dyDescent="0.2">
      <c r="A3599" s="6" t="str">
        <f>"GRSF1"</f>
        <v>GRSF1</v>
      </c>
      <c r="B3599" s="6">
        <v>3.5964035964035898E-2</v>
      </c>
      <c r="C3599" s="6">
        <v>0.17566433566433501</v>
      </c>
    </row>
    <row r="3600" spans="1:3" s="8" customFormat="1" x14ac:dyDescent="0.2">
      <c r="A3600" s="6" t="str">
        <f>"ANPEP"</f>
        <v>ANPEP</v>
      </c>
      <c r="B3600" s="6">
        <v>3.5964035964035898E-2</v>
      </c>
      <c r="C3600" s="6">
        <v>0.17566433566433501</v>
      </c>
    </row>
    <row r="3601" spans="1:3" s="8" customFormat="1" x14ac:dyDescent="0.2">
      <c r="A3601" s="6" t="str">
        <f>"MMP14"</f>
        <v>MMP14</v>
      </c>
      <c r="B3601" s="6">
        <v>3.5964035964035898E-2</v>
      </c>
      <c r="C3601" s="6">
        <v>0.17566433566433501</v>
      </c>
    </row>
    <row r="3602" spans="1:3" s="8" customFormat="1" x14ac:dyDescent="0.2">
      <c r="A3602" s="6" t="str">
        <f>"JARID2-AS1"</f>
        <v>JARID2-AS1</v>
      </c>
      <c r="B3602" s="6">
        <v>3.5999999999999997E-2</v>
      </c>
      <c r="C3602" s="6">
        <v>0.17569358867610299</v>
      </c>
    </row>
    <row r="3603" spans="1:3" s="8" customFormat="1" x14ac:dyDescent="0.2">
      <c r="A3603" s="6" t="str">
        <f>"BCR"</f>
        <v>BCR</v>
      </c>
      <c r="B3603" s="6">
        <v>3.5999999999999997E-2</v>
      </c>
      <c r="C3603" s="6">
        <v>0.17569358867610299</v>
      </c>
    </row>
    <row r="3604" spans="1:3" s="8" customFormat="1" x14ac:dyDescent="0.2">
      <c r="A3604" s="6" t="str">
        <f>"SLC6A6"</f>
        <v>SLC6A6</v>
      </c>
      <c r="B3604" s="6">
        <v>3.5999999999999997E-2</v>
      </c>
      <c r="C3604" s="6">
        <v>0.17569358867610299</v>
      </c>
    </row>
    <row r="3605" spans="1:3" s="8" customFormat="1" x14ac:dyDescent="0.2">
      <c r="A3605" s="6" t="str">
        <f>"LINC00638"</f>
        <v>LINC00638</v>
      </c>
      <c r="B3605" s="6">
        <v>3.6036036036036001E-2</v>
      </c>
      <c r="C3605" s="6">
        <v>0.175820659727429</v>
      </c>
    </row>
    <row r="3606" spans="1:3" s="8" customFormat="1" x14ac:dyDescent="0.2">
      <c r="A3606" s="6" t="str">
        <f>"LINC02569"</f>
        <v>LINC02569</v>
      </c>
      <c r="B3606" s="6">
        <v>3.6101083032490898E-2</v>
      </c>
      <c r="C3606" s="6">
        <v>0.17608916617013001</v>
      </c>
    </row>
    <row r="3607" spans="1:3" s="8" customFormat="1" x14ac:dyDescent="0.2">
      <c r="A3607" s="6" t="str">
        <f>"RN7SL475P"</f>
        <v>RN7SL475P</v>
      </c>
      <c r="B3607" s="6">
        <v>3.6963036963036898E-2</v>
      </c>
      <c r="C3607" s="6">
        <v>0.177487176941027</v>
      </c>
    </row>
    <row r="3608" spans="1:3" s="8" customFormat="1" x14ac:dyDescent="0.2">
      <c r="A3608" s="6" t="str">
        <f>"AL591845.1"</f>
        <v>AL591845.1</v>
      </c>
      <c r="B3608" s="6">
        <v>3.6963036963036898E-2</v>
      </c>
      <c r="C3608" s="6">
        <v>0.177487176941027</v>
      </c>
    </row>
    <row r="3609" spans="1:3" s="8" customFormat="1" x14ac:dyDescent="0.2">
      <c r="A3609" s="6" t="str">
        <f>"AC105219.3"</f>
        <v>AC105219.3</v>
      </c>
      <c r="B3609" s="6">
        <v>3.6400404448938301E-2</v>
      </c>
      <c r="C3609" s="6">
        <v>0.177487176941027</v>
      </c>
    </row>
    <row r="3610" spans="1:3" s="8" customFormat="1" x14ac:dyDescent="0.2">
      <c r="A3610" s="6" t="str">
        <f>"OTOP2"</f>
        <v>OTOP2</v>
      </c>
      <c r="B3610" s="6">
        <v>3.6963036963036898E-2</v>
      </c>
      <c r="C3610" s="6">
        <v>0.177487176941027</v>
      </c>
    </row>
    <row r="3611" spans="1:3" s="8" customFormat="1" x14ac:dyDescent="0.2">
      <c r="A3611" s="6" t="str">
        <f>"CATIP-AS1"</f>
        <v>CATIP-AS1</v>
      </c>
      <c r="B3611" s="6">
        <v>3.6963036963036898E-2</v>
      </c>
      <c r="C3611" s="6">
        <v>0.177487176941027</v>
      </c>
    </row>
    <row r="3612" spans="1:3" s="8" customFormat="1" x14ac:dyDescent="0.2">
      <c r="A3612" s="6" t="str">
        <f>"AC133785.1"</f>
        <v>AC133785.1</v>
      </c>
      <c r="B3612" s="6">
        <v>3.6963036963036898E-2</v>
      </c>
      <c r="C3612" s="6">
        <v>0.177487176941027</v>
      </c>
    </row>
    <row r="3613" spans="1:3" s="8" customFormat="1" x14ac:dyDescent="0.2">
      <c r="A3613" s="6" t="str">
        <f>"CLEC1A"</f>
        <v>CLEC1A</v>
      </c>
      <c r="B3613" s="6">
        <v>3.6963036963036898E-2</v>
      </c>
      <c r="C3613" s="6">
        <v>0.177487176941027</v>
      </c>
    </row>
    <row r="3614" spans="1:3" s="8" customFormat="1" x14ac:dyDescent="0.2">
      <c r="A3614" s="6" t="str">
        <f>"LINC01829"</f>
        <v>LINC01829</v>
      </c>
      <c r="B3614" s="6">
        <v>3.6963036963036898E-2</v>
      </c>
      <c r="C3614" s="6">
        <v>0.177487176941027</v>
      </c>
    </row>
    <row r="3615" spans="1:3" s="8" customFormat="1" x14ac:dyDescent="0.2">
      <c r="A3615" s="6" t="str">
        <f>"AC091167.2"</f>
        <v>AC091167.2</v>
      </c>
      <c r="B3615" s="6">
        <v>3.6963036963036898E-2</v>
      </c>
      <c r="C3615" s="6">
        <v>0.177487176941027</v>
      </c>
    </row>
    <row r="3616" spans="1:3" s="8" customFormat="1" x14ac:dyDescent="0.2">
      <c r="A3616" s="6" t="str">
        <f>"IL10"</f>
        <v>IL10</v>
      </c>
      <c r="B3616" s="6">
        <v>3.6963036963036898E-2</v>
      </c>
      <c r="C3616" s="6">
        <v>0.177487176941027</v>
      </c>
    </row>
    <row r="3617" spans="1:3" s="8" customFormat="1" x14ac:dyDescent="0.2">
      <c r="A3617" s="6" t="str">
        <f>"GZMM"</f>
        <v>GZMM</v>
      </c>
      <c r="B3617" s="6">
        <v>3.6963036963036898E-2</v>
      </c>
      <c r="C3617" s="6">
        <v>0.177487176941027</v>
      </c>
    </row>
    <row r="3618" spans="1:3" s="8" customFormat="1" x14ac:dyDescent="0.2">
      <c r="A3618" s="6" t="str">
        <f>"LINC01558"</f>
        <v>LINC01558</v>
      </c>
      <c r="B3618" s="6">
        <v>3.6963036963036898E-2</v>
      </c>
      <c r="C3618" s="6">
        <v>0.177487176941027</v>
      </c>
    </row>
    <row r="3619" spans="1:3" s="8" customFormat="1" x14ac:dyDescent="0.2">
      <c r="A3619" s="6" t="str">
        <f>"MMP19"</f>
        <v>MMP19</v>
      </c>
      <c r="B3619" s="6">
        <v>3.6963036963036898E-2</v>
      </c>
      <c r="C3619" s="6">
        <v>0.177487176941027</v>
      </c>
    </row>
    <row r="3620" spans="1:3" s="8" customFormat="1" x14ac:dyDescent="0.2">
      <c r="A3620" s="6" t="str">
        <f>"SFRP2"</f>
        <v>SFRP2</v>
      </c>
      <c r="B3620" s="6">
        <v>3.6963036963036898E-2</v>
      </c>
      <c r="C3620" s="6">
        <v>0.177487176941027</v>
      </c>
    </row>
    <row r="3621" spans="1:3" s="8" customFormat="1" x14ac:dyDescent="0.2">
      <c r="A3621" s="6" t="str">
        <f>"TRIM55"</f>
        <v>TRIM55</v>
      </c>
      <c r="B3621" s="6">
        <v>3.6963036963036898E-2</v>
      </c>
      <c r="C3621" s="6">
        <v>0.177487176941027</v>
      </c>
    </row>
    <row r="3622" spans="1:3" s="8" customFormat="1" x14ac:dyDescent="0.2">
      <c r="A3622" s="6" t="str">
        <f>"TMEM220-AS1"</f>
        <v>TMEM220-AS1</v>
      </c>
      <c r="B3622" s="6">
        <v>3.6963036963036898E-2</v>
      </c>
      <c r="C3622" s="6">
        <v>0.177487176941027</v>
      </c>
    </row>
    <row r="3623" spans="1:3" s="8" customFormat="1" x14ac:dyDescent="0.2">
      <c r="A3623" s="6" t="str">
        <f>"SOX2-OT"</f>
        <v>SOX2-OT</v>
      </c>
      <c r="B3623" s="6">
        <v>3.6963036963036898E-2</v>
      </c>
      <c r="C3623" s="6">
        <v>0.177487176941027</v>
      </c>
    </row>
    <row r="3624" spans="1:3" s="8" customFormat="1" x14ac:dyDescent="0.2">
      <c r="A3624" s="6" t="str">
        <f>"ZNF671"</f>
        <v>ZNF671</v>
      </c>
      <c r="B3624" s="6">
        <v>3.6963036963036898E-2</v>
      </c>
      <c r="C3624" s="6">
        <v>0.177487176941027</v>
      </c>
    </row>
    <row r="3625" spans="1:3" s="8" customFormat="1" x14ac:dyDescent="0.2">
      <c r="A3625" s="6" t="str">
        <f>"LINC01547"</f>
        <v>LINC01547</v>
      </c>
      <c r="B3625" s="6">
        <v>3.6963036963036898E-2</v>
      </c>
      <c r="C3625" s="6">
        <v>0.177487176941027</v>
      </c>
    </row>
    <row r="3626" spans="1:3" s="8" customFormat="1" x14ac:dyDescent="0.2">
      <c r="A3626" s="6" t="str">
        <f>"ZNF334"</f>
        <v>ZNF334</v>
      </c>
      <c r="B3626" s="6">
        <v>3.6963036963036898E-2</v>
      </c>
      <c r="C3626" s="6">
        <v>0.177487176941027</v>
      </c>
    </row>
    <row r="3627" spans="1:3" s="8" customFormat="1" x14ac:dyDescent="0.2">
      <c r="A3627" s="6" t="str">
        <f>"AC234782.2"</f>
        <v>AC234782.2</v>
      </c>
      <c r="B3627" s="6">
        <v>3.6963036963036898E-2</v>
      </c>
      <c r="C3627" s="6">
        <v>0.177487176941027</v>
      </c>
    </row>
    <row r="3628" spans="1:3" s="8" customFormat="1" x14ac:dyDescent="0.2">
      <c r="A3628" s="6" t="str">
        <f>"AMN1"</f>
        <v>AMN1</v>
      </c>
      <c r="B3628" s="6">
        <v>3.6963036963036898E-2</v>
      </c>
      <c r="C3628" s="6">
        <v>0.177487176941027</v>
      </c>
    </row>
    <row r="3629" spans="1:3" s="8" customFormat="1" x14ac:dyDescent="0.2">
      <c r="A3629" s="6" t="str">
        <f>"BCO1"</f>
        <v>BCO1</v>
      </c>
      <c r="B3629" s="6">
        <v>3.6963036963036898E-2</v>
      </c>
      <c r="C3629" s="6">
        <v>0.177487176941027</v>
      </c>
    </row>
    <row r="3630" spans="1:3" s="8" customFormat="1" x14ac:dyDescent="0.2">
      <c r="A3630" s="6" t="str">
        <f>"MELTF"</f>
        <v>MELTF</v>
      </c>
      <c r="B3630" s="6">
        <v>3.6963036963036898E-2</v>
      </c>
      <c r="C3630" s="6">
        <v>0.177487176941027</v>
      </c>
    </row>
    <row r="3631" spans="1:3" s="8" customFormat="1" x14ac:dyDescent="0.2">
      <c r="A3631" s="6" t="str">
        <f>"ANKRD22"</f>
        <v>ANKRD22</v>
      </c>
      <c r="B3631" s="6">
        <v>3.6963036963036898E-2</v>
      </c>
      <c r="C3631" s="6">
        <v>0.177487176941027</v>
      </c>
    </row>
    <row r="3632" spans="1:3" s="8" customFormat="1" x14ac:dyDescent="0.2">
      <c r="A3632" s="6" t="str">
        <f>"MTFMT"</f>
        <v>MTFMT</v>
      </c>
      <c r="B3632" s="6">
        <v>3.6963036963036898E-2</v>
      </c>
      <c r="C3632" s="6">
        <v>0.177487176941027</v>
      </c>
    </row>
    <row r="3633" spans="1:3" s="8" customFormat="1" x14ac:dyDescent="0.2">
      <c r="A3633" s="6" t="str">
        <f>"ARHGEF38"</f>
        <v>ARHGEF38</v>
      </c>
      <c r="B3633" s="6">
        <v>3.6963036963036898E-2</v>
      </c>
      <c r="C3633" s="6">
        <v>0.177487176941027</v>
      </c>
    </row>
    <row r="3634" spans="1:3" s="8" customFormat="1" x14ac:dyDescent="0.2">
      <c r="A3634" s="6" t="str">
        <f>"LATS2"</f>
        <v>LATS2</v>
      </c>
      <c r="B3634" s="6">
        <v>3.6963036963036898E-2</v>
      </c>
      <c r="C3634" s="6">
        <v>0.177487176941027</v>
      </c>
    </row>
    <row r="3635" spans="1:3" s="8" customFormat="1" x14ac:dyDescent="0.2">
      <c r="A3635" s="6" t="str">
        <f>"SMIM4"</f>
        <v>SMIM4</v>
      </c>
      <c r="B3635" s="6">
        <v>3.6963036963036898E-2</v>
      </c>
      <c r="C3635" s="6">
        <v>0.177487176941027</v>
      </c>
    </row>
    <row r="3636" spans="1:3" s="8" customFormat="1" x14ac:dyDescent="0.2">
      <c r="A3636" s="6" t="str">
        <f>"ARMC5"</f>
        <v>ARMC5</v>
      </c>
      <c r="B3636" s="6">
        <v>3.6963036963036898E-2</v>
      </c>
      <c r="C3636" s="6">
        <v>0.177487176941027</v>
      </c>
    </row>
    <row r="3637" spans="1:3" s="8" customFormat="1" x14ac:dyDescent="0.2">
      <c r="A3637" s="6" t="str">
        <f>"SMYD4"</f>
        <v>SMYD4</v>
      </c>
      <c r="B3637" s="6">
        <v>3.6963036963036898E-2</v>
      </c>
      <c r="C3637" s="6">
        <v>0.177487176941027</v>
      </c>
    </row>
    <row r="3638" spans="1:3" s="8" customFormat="1" x14ac:dyDescent="0.2">
      <c r="A3638" s="6" t="str">
        <f>"FBXL4"</f>
        <v>FBXL4</v>
      </c>
      <c r="B3638" s="6">
        <v>3.6963036963036898E-2</v>
      </c>
      <c r="C3638" s="6">
        <v>0.177487176941027</v>
      </c>
    </row>
    <row r="3639" spans="1:3" s="8" customFormat="1" x14ac:dyDescent="0.2">
      <c r="A3639" s="6" t="str">
        <f>"PLXDC2"</f>
        <v>PLXDC2</v>
      </c>
      <c r="B3639" s="6">
        <v>3.6963036963036898E-2</v>
      </c>
      <c r="C3639" s="6">
        <v>0.177487176941027</v>
      </c>
    </row>
    <row r="3640" spans="1:3" s="8" customFormat="1" x14ac:dyDescent="0.2">
      <c r="A3640" s="6" t="str">
        <f>"GOLGA2P5"</f>
        <v>GOLGA2P5</v>
      </c>
      <c r="B3640" s="6">
        <v>3.6963036963036898E-2</v>
      </c>
      <c r="C3640" s="6">
        <v>0.177487176941027</v>
      </c>
    </row>
    <row r="3641" spans="1:3" s="8" customFormat="1" x14ac:dyDescent="0.2">
      <c r="A3641" s="6" t="str">
        <f>"IKBKE"</f>
        <v>IKBKE</v>
      </c>
      <c r="B3641" s="6">
        <v>3.6963036963036898E-2</v>
      </c>
      <c r="C3641" s="6">
        <v>0.177487176941027</v>
      </c>
    </row>
    <row r="3642" spans="1:3" s="8" customFormat="1" x14ac:dyDescent="0.2">
      <c r="A3642" s="6" t="str">
        <f>"TP53TG1"</f>
        <v>TP53TG1</v>
      </c>
      <c r="B3642" s="6">
        <v>3.6963036963036898E-2</v>
      </c>
      <c r="C3642" s="6">
        <v>0.177487176941027</v>
      </c>
    </row>
    <row r="3643" spans="1:3" s="8" customFormat="1" x14ac:dyDescent="0.2">
      <c r="A3643" s="6" t="str">
        <f>"CDC23"</f>
        <v>CDC23</v>
      </c>
      <c r="B3643" s="6">
        <v>3.6963036963036898E-2</v>
      </c>
      <c r="C3643" s="6">
        <v>0.177487176941027</v>
      </c>
    </row>
    <row r="3644" spans="1:3" s="8" customFormat="1" x14ac:dyDescent="0.2">
      <c r="A3644" s="6" t="str">
        <f>"MAPK8"</f>
        <v>MAPK8</v>
      </c>
      <c r="B3644" s="6">
        <v>3.6963036963036898E-2</v>
      </c>
      <c r="C3644" s="6">
        <v>0.177487176941027</v>
      </c>
    </row>
    <row r="3645" spans="1:3" s="8" customFormat="1" x14ac:dyDescent="0.2">
      <c r="A3645" s="6" t="str">
        <f>"NRSN2"</f>
        <v>NRSN2</v>
      </c>
      <c r="B3645" s="6">
        <v>3.6963036963036898E-2</v>
      </c>
      <c r="C3645" s="6">
        <v>0.177487176941027</v>
      </c>
    </row>
    <row r="3646" spans="1:3" s="8" customFormat="1" x14ac:dyDescent="0.2">
      <c r="A3646" s="6" t="str">
        <f>"DHPS"</f>
        <v>DHPS</v>
      </c>
      <c r="B3646" s="6">
        <v>3.6963036963036898E-2</v>
      </c>
      <c r="C3646" s="6">
        <v>0.177487176941027</v>
      </c>
    </row>
    <row r="3647" spans="1:3" s="8" customFormat="1" x14ac:dyDescent="0.2">
      <c r="A3647" s="6" t="str">
        <f>"TLR1"</f>
        <v>TLR1</v>
      </c>
      <c r="B3647" s="6">
        <v>3.6963036963036898E-2</v>
      </c>
      <c r="C3647" s="6">
        <v>0.177487176941027</v>
      </c>
    </row>
    <row r="3648" spans="1:3" s="8" customFormat="1" x14ac:dyDescent="0.2">
      <c r="A3648" s="6" t="str">
        <f>"SDCCAG8"</f>
        <v>SDCCAG8</v>
      </c>
      <c r="B3648" s="6">
        <v>3.6963036963036898E-2</v>
      </c>
      <c r="C3648" s="6">
        <v>0.177487176941027</v>
      </c>
    </row>
    <row r="3649" spans="1:3" s="8" customFormat="1" x14ac:dyDescent="0.2">
      <c r="A3649" s="6" t="str">
        <f>"POMT1"</f>
        <v>POMT1</v>
      </c>
      <c r="B3649" s="6">
        <v>3.6963036963036898E-2</v>
      </c>
      <c r="C3649" s="6">
        <v>0.177487176941027</v>
      </c>
    </row>
    <row r="3650" spans="1:3" s="8" customFormat="1" x14ac:dyDescent="0.2">
      <c r="A3650" s="6" t="str">
        <f>"ZBTB1"</f>
        <v>ZBTB1</v>
      </c>
      <c r="B3650" s="6">
        <v>3.6963036963036898E-2</v>
      </c>
      <c r="C3650" s="6">
        <v>0.177487176941027</v>
      </c>
    </row>
    <row r="3651" spans="1:3" s="8" customFormat="1" x14ac:dyDescent="0.2">
      <c r="A3651" s="6" t="str">
        <f>"RIT1"</f>
        <v>RIT1</v>
      </c>
      <c r="B3651" s="6">
        <v>3.6963036963036898E-2</v>
      </c>
      <c r="C3651" s="6">
        <v>0.177487176941027</v>
      </c>
    </row>
    <row r="3652" spans="1:3" s="8" customFormat="1" x14ac:dyDescent="0.2">
      <c r="A3652" s="6" t="str">
        <f>"NR4A2"</f>
        <v>NR4A2</v>
      </c>
      <c r="B3652" s="6">
        <v>3.6963036963036898E-2</v>
      </c>
      <c r="C3652" s="6">
        <v>0.177487176941027</v>
      </c>
    </row>
    <row r="3653" spans="1:3" s="8" customFormat="1" x14ac:dyDescent="0.2">
      <c r="A3653" s="6" t="str">
        <f>"CFAP46"</f>
        <v>CFAP46</v>
      </c>
      <c r="B3653" s="6">
        <v>3.6963036963036898E-2</v>
      </c>
      <c r="C3653" s="6">
        <v>0.177487176941027</v>
      </c>
    </row>
    <row r="3654" spans="1:3" s="8" customFormat="1" x14ac:dyDescent="0.2">
      <c r="A3654" s="6" t="str">
        <f>"PAX7"</f>
        <v>PAX7</v>
      </c>
      <c r="B3654" s="6">
        <v>3.6963036963036898E-2</v>
      </c>
      <c r="C3654" s="6">
        <v>0.177487176941027</v>
      </c>
    </row>
    <row r="3655" spans="1:3" s="8" customFormat="1" x14ac:dyDescent="0.2">
      <c r="A3655" s="6" t="str">
        <f>"EGR1"</f>
        <v>EGR1</v>
      </c>
      <c r="B3655" s="6">
        <v>3.6963036963036898E-2</v>
      </c>
      <c r="C3655" s="6">
        <v>0.177487176941027</v>
      </c>
    </row>
    <row r="3656" spans="1:3" s="8" customFormat="1" x14ac:dyDescent="0.2">
      <c r="A3656" s="6" t="str">
        <f>"RAB43"</f>
        <v>RAB43</v>
      </c>
      <c r="B3656" s="6">
        <v>3.6963036963036898E-2</v>
      </c>
      <c r="C3656" s="6">
        <v>0.177487176941027</v>
      </c>
    </row>
    <row r="3657" spans="1:3" s="8" customFormat="1" x14ac:dyDescent="0.2">
      <c r="A3657" s="6" t="str">
        <f>"WBP1L"</f>
        <v>WBP1L</v>
      </c>
      <c r="B3657" s="6">
        <v>3.6963036963036898E-2</v>
      </c>
      <c r="C3657" s="6">
        <v>0.177487176941027</v>
      </c>
    </row>
    <row r="3658" spans="1:3" s="8" customFormat="1" x14ac:dyDescent="0.2">
      <c r="A3658" s="6" t="str">
        <f>"KCTD12"</f>
        <v>KCTD12</v>
      </c>
      <c r="B3658" s="6">
        <v>3.6963036963036898E-2</v>
      </c>
      <c r="C3658" s="6">
        <v>0.177487176941027</v>
      </c>
    </row>
    <row r="3659" spans="1:3" s="8" customFormat="1" x14ac:dyDescent="0.2">
      <c r="A3659" s="6" t="str">
        <f>"VSIR"</f>
        <v>VSIR</v>
      </c>
      <c r="B3659" s="6">
        <v>3.6963036963036898E-2</v>
      </c>
      <c r="C3659" s="6">
        <v>0.177487176941027</v>
      </c>
    </row>
    <row r="3660" spans="1:3" s="8" customFormat="1" x14ac:dyDescent="0.2">
      <c r="A3660" s="6" t="str">
        <f>"TMEM59"</f>
        <v>TMEM59</v>
      </c>
      <c r="B3660" s="6">
        <v>3.6963036963036898E-2</v>
      </c>
      <c r="C3660" s="6">
        <v>0.177487176941027</v>
      </c>
    </row>
    <row r="3661" spans="1:3" s="8" customFormat="1" x14ac:dyDescent="0.2">
      <c r="A3661" s="6" t="str">
        <f>"CES1"</f>
        <v>CES1</v>
      </c>
      <c r="B3661" s="6">
        <v>3.6963036963036898E-2</v>
      </c>
      <c r="C3661" s="6">
        <v>0.177487176941027</v>
      </c>
    </row>
    <row r="3662" spans="1:3" s="8" customFormat="1" x14ac:dyDescent="0.2">
      <c r="A3662" s="6" t="str">
        <f>"HLA-E"</f>
        <v>HLA-E</v>
      </c>
      <c r="B3662" s="6">
        <v>3.6963036963036898E-2</v>
      </c>
      <c r="C3662" s="6">
        <v>0.177487176941027</v>
      </c>
    </row>
    <row r="3663" spans="1:3" s="8" customFormat="1" x14ac:dyDescent="0.2">
      <c r="A3663" s="6" t="str">
        <f>"ACTB"</f>
        <v>ACTB</v>
      </c>
      <c r="B3663" s="6">
        <v>3.6963036963036898E-2</v>
      </c>
      <c r="C3663" s="6">
        <v>0.177487176941027</v>
      </c>
    </row>
    <row r="3664" spans="1:3" s="8" customFormat="1" x14ac:dyDescent="0.2">
      <c r="A3664" s="6" t="str">
        <f>"C19orf67"</f>
        <v>C19orf67</v>
      </c>
      <c r="B3664" s="6">
        <v>3.6999999999999998E-2</v>
      </c>
      <c r="C3664" s="6">
        <v>0.17751923601637101</v>
      </c>
    </row>
    <row r="3665" spans="1:3" s="8" customFormat="1" x14ac:dyDescent="0.2">
      <c r="A3665" s="6" t="str">
        <f>"AC010327.5"</f>
        <v>AC010327.5</v>
      </c>
      <c r="B3665" s="6">
        <v>3.6999999999999998E-2</v>
      </c>
      <c r="C3665" s="6">
        <v>0.17751923601637101</v>
      </c>
    </row>
    <row r="3666" spans="1:3" s="8" customFormat="1" x14ac:dyDescent="0.2">
      <c r="A3666" s="6" t="str">
        <f>"LINC02777"</f>
        <v>LINC02777</v>
      </c>
      <c r="B3666" s="6">
        <v>3.6999999999999998E-2</v>
      </c>
      <c r="C3666" s="6">
        <v>0.17751923601637101</v>
      </c>
    </row>
    <row r="3667" spans="1:3" s="8" customFormat="1" x14ac:dyDescent="0.2">
      <c r="A3667" s="6" t="str">
        <f>"OGFOD1"</f>
        <v>OGFOD1</v>
      </c>
      <c r="B3667" s="6">
        <v>3.7037037037037E-2</v>
      </c>
      <c r="C3667" s="6">
        <v>0.177648461336404</v>
      </c>
    </row>
    <row r="3668" spans="1:3" s="8" customFormat="1" x14ac:dyDescent="0.2">
      <c r="A3668" s="6" t="str">
        <f>"AL590822.2"</f>
        <v>AL590822.2</v>
      </c>
      <c r="B3668" s="6">
        <v>3.7148594377510002E-2</v>
      </c>
      <c r="C3668" s="6">
        <v>0.178134955967858</v>
      </c>
    </row>
    <row r="3669" spans="1:3" s="8" customFormat="1" x14ac:dyDescent="0.2">
      <c r="A3669" s="6" t="str">
        <f>"CEP295NL"</f>
        <v>CEP295NL</v>
      </c>
      <c r="B3669" s="6">
        <v>3.7962037962037898E-2</v>
      </c>
      <c r="C3669" s="6">
        <v>0.17996014004847799</v>
      </c>
    </row>
    <row r="3670" spans="1:3" s="8" customFormat="1" x14ac:dyDescent="0.2">
      <c r="A3670" s="6" t="str">
        <f>"AC009245.1"</f>
        <v>AC009245.1</v>
      </c>
      <c r="B3670" s="6">
        <v>3.7999999999999999E-2</v>
      </c>
      <c r="C3670" s="6">
        <v>0.17996014004847799</v>
      </c>
    </row>
    <row r="3671" spans="1:3" s="8" customFormat="1" x14ac:dyDescent="0.2">
      <c r="A3671" s="6" t="str">
        <f>"PDE4C"</f>
        <v>PDE4C</v>
      </c>
      <c r="B3671" s="6">
        <v>3.7962037962037898E-2</v>
      </c>
      <c r="C3671" s="6">
        <v>0.17996014004847799</v>
      </c>
    </row>
    <row r="3672" spans="1:3" s="8" customFormat="1" x14ac:dyDescent="0.2">
      <c r="A3672" s="6" t="str">
        <f>"AL139384.2"</f>
        <v>AL139384.2</v>
      </c>
      <c r="B3672" s="6">
        <v>3.7716615698267002E-2</v>
      </c>
      <c r="C3672" s="6">
        <v>0.17996014004847799</v>
      </c>
    </row>
    <row r="3673" spans="1:3" s="8" customFormat="1" x14ac:dyDescent="0.2">
      <c r="A3673" s="6" t="str">
        <f>"GATA2-AS1"</f>
        <v>GATA2-AS1</v>
      </c>
      <c r="B3673" s="6">
        <v>3.7962037962037898E-2</v>
      </c>
      <c r="C3673" s="6">
        <v>0.17996014004847799</v>
      </c>
    </row>
    <row r="3674" spans="1:3" s="8" customFormat="1" x14ac:dyDescent="0.2">
      <c r="A3674" s="6" t="str">
        <f>"AC234775.2"</f>
        <v>AC234775.2</v>
      </c>
      <c r="B3674" s="6">
        <v>3.7634408602150497E-2</v>
      </c>
      <c r="C3674" s="6">
        <v>0.17996014004847799</v>
      </c>
    </row>
    <row r="3675" spans="1:3" s="8" customFormat="1" x14ac:dyDescent="0.2">
      <c r="A3675" s="6" t="str">
        <f>"PIGY-DT"</f>
        <v>PIGY-DT</v>
      </c>
      <c r="B3675" s="6">
        <v>3.79876796714579E-2</v>
      </c>
      <c r="C3675" s="6">
        <v>0.17996014004847799</v>
      </c>
    </row>
    <row r="3676" spans="1:3" s="8" customFormat="1" x14ac:dyDescent="0.2">
      <c r="A3676" s="6" t="str">
        <f>"SNTG2"</f>
        <v>SNTG2</v>
      </c>
      <c r="B3676" s="6">
        <v>3.7962037962037898E-2</v>
      </c>
      <c r="C3676" s="6">
        <v>0.17996014004847799</v>
      </c>
    </row>
    <row r="3677" spans="1:3" s="8" customFormat="1" x14ac:dyDescent="0.2">
      <c r="A3677" s="6" t="str">
        <f>"ADAM23"</f>
        <v>ADAM23</v>
      </c>
      <c r="B3677" s="6">
        <v>3.7962037962037898E-2</v>
      </c>
      <c r="C3677" s="6">
        <v>0.17996014004847799</v>
      </c>
    </row>
    <row r="3678" spans="1:3" s="8" customFormat="1" x14ac:dyDescent="0.2">
      <c r="A3678" s="6" t="str">
        <f>"HDC"</f>
        <v>HDC</v>
      </c>
      <c r="B3678" s="6">
        <v>3.7999999999999999E-2</v>
      </c>
      <c r="C3678" s="6">
        <v>0.17996014004847799</v>
      </c>
    </row>
    <row r="3679" spans="1:3" s="8" customFormat="1" x14ac:dyDescent="0.2">
      <c r="A3679" s="6" t="str">
        <f>"NTNG2"</f>
        <v>NTNG2</v>
      </c>
      <c r="B3679" s="6">
        <v>3.7962037962037898E-2</v>
      </c>
      <c r="C3679" s="6">
        <v>0.17996014004847799</v>
      </c>
    </row>
    <row r="3680" spans="1:3" s="8" customFormat="1" x14ac:dyDescent="0.2">
      <c r="A3680" s="6" t="str">
        <f>"PCDHB9"</f>
        <v>PCDHB9</v>
      </c>
      <c r="B3680" s="6">
        <v>3.7962037962037898E-2</v>
      </c>
      <c r="C3680" s="6">
        <v>0.17996014004847799</v>
      </c>
    </row>
    <row r="3681" spans="1:3" s="8" customFormat="1" x14ac:dyDescent="0.2">
      <c r="A3681" s="6" t="str">
        <f>"FRMD3"</f>
        <v>FRMD3</v>
      </c>
      <c r="B3681" s="6">
        <v>3.7962037962037898E-2</v>
      </c>
      <c r="C3681" s="6">
        <v>0.17996014004847799</v>
      </c>
    </row>
    <row r="3682" spans="1:3" s="8" customFormat="1" x14ac:dyDescent="0.2">
      <c r="A3682" s="6" t="str">
        <f>"MAP3K21"</f>
        <v>MAP3K21</v>
      </c>
      <c r="B3682" s="6">
        <v>3.7962037962037898E-2</v>
      </c>
      <c r="C3682" s="6">
        <v>0.17996014004847799</v>
      </c>
    </row>
    <row r="3683" spans="1:3" s="8" customFormat="1" x14ac:dyDescent="0.2">
      <c r="A3683" s="6" t="str">
        <f>"PRF1"</f>
        <v>PRF1</v>
      </c>
      <c r="B3683" s="6">
        <v>3.7962037962037898E-2</v>
      </c>
      <c r="C3683" s="6">
        <v>0.17996014004847799</v>
      </c>
    </row>
    <row r="3684" spans="1:3" s="8" customFormat="1" x14ac:dyDescent="0.2">
      <c r="A3684" s="6" t="str">
        <f>"RARA-AS1"</f>
        <v>RARA-AS1</v>
      </c>
      <c r="B3684" s="6">
        <v>3.7962037962037898E-2</v>
      </c>
      <c r="C3684" s="6">
        <v>0.17996014004847799</v>
      </c>
    </row>
    <row r="3685" spans="1:3" s="8" customFormat="1" x14ac:dyDescent="0.2">
      <c r="A3685" s="6" t="str">
        <f>"AVEN"</f>
        <v>AVEN</v>
      </c>
      <c r="B3685" s="6">
        <v>3.7962037962037898E-2</v>
      </c>
      <c r="C3685" s="6">
        <v>0.17996014004847799</v>
      </c>
    </row>
    <row r="3686" spans="1:3" s="8" customFormat="1" x14ac:dyDescent="0.2">
      <c r="A3686" s="6" t="str">
        <f>"SMTN"</f>
        <v>SMTN</v>
      </c>
      <c r="B3686" s="6">
        <v>3.7962037962037898E-2</v>
      </c>
      <c r="C3686" s="6">
        <v>0.17996014004847799</v>
      </c>
    </row>
    <row r="3687" spans="1:3" s="8" customFormat="1" x14ac:dyDescent="0.2">
      <c r="A3687" s="6" t="str">
        <f>"SBDSP1"</f>
        <v>SBDSP1</v>
      </c>
      <c r="B3687" s="6">
        <v>3.7962037962037898E-2</v>
      </c>
      <c r="C3687" s="6">
        <v>0.17996014004847799</v>
      </c>
    </row>
    <row r="3688" spans="1:3" s="8" customFormat="1" x14ac:dyDescent="0.2">
      <c r="A3688" s="6" t="str">
        <f>"RASIP1"</f>
        <v>RASIP1</v>
      </c>
      <c r="B3688" s="6">
        <v>3.7962037962037898E-2</v>
      </c>
      <c r="C3688" s="6">
        <v>0.17996014004847799</v>
      </c>
    </row>
    <row r="3689" spans="1:3" s="8" customFormat="1" x14ac:dyDescent="0.2">
      <c r="A3689" s="6" t="str">
        <f>"ZBTB25"</f>
        <v>ZBTB25</v>
      </c>
      <c r="B3689" s="6">
        <v>3.7962037962037898E-2</v>
      </c>
      <c r="C3689" s="6">
        <v>0.17996014004847799</v>
      </c>
    </row>
    <row r="3690" spans="1:3" s="8" customFormat="1" x14ac:dyDescent="0.2">
      <c r="A3690" s="6" t="str">
        <f>"MTF2"</f>
        <v>MTF2</v>
      </c>
      <c r="B3690" s="6">
        <v>3.7962037962037898E-2</v>
      </c>
      <c r="C3690" s="6">
        <v>0.17996014004847799</v>
      </c>
    </row>
    <row r="3691" spans="1:3" s="8" customFormat="1" x14ac:dyDescent="0.2">
      <c r="A3691" s="6" t="str">
        <f>"NIPBL-DT"</f>
        <v>NIPBL-DT</v>
      </c>
      <c r="B3691" s="6">
        <v>3.7962037962037898E-2</v>
      </c>
      <c r="C3691" s="6">
        <v>0.17996014004847799</v>
      </c>
    </row>
    <row r="3692" spans="1:3" s="8" customFormat="1" x14ac:dyDescent="0.2">
      <c r="A3692" s="6" t="str">
        <f>"CWF19L2"</f>
        <v>CWF19L2</v>
      </c>
      <c r="B3692" s="6">
        <v>3.7962037962037898E-2</v>
      </c>
      <c r="C3692" s="6">
        <v>0.17996014004847799</v>
      </c>
    </row>
    <row r="3693" spans="1:3" s="8" customFormat="1" x14ac:dyDescent="0.2">
      <c r="A3693" s="6" t="str">
        <f>"ETFRF1"</f>
        <v>ETFRF1</v>
      </c>
      <c r="B3693" s="6">
        <v>3.7962037962037898E-2</v>
      </c>
      <c r="C3693" s="6">
        <v>0.17996014004847799</v>
      </c>
    </row>
    <row r="3694" spans="1:3" s="8" customFormat="1" x14ac:dyDescent="0.2">
      <c r="A3694" s="6" t="str">
        <f>"HEMK1"</f>
        <v>HEMK1</v>
      </c>
      <c r="B3694" s="6">
        <v>3.7962037962037898E-2</v>
      </c>
      <c r="C3694" s="6">
        <v>0.17996014004847799</v>
      </c>
    </row>
    <row r="3695" spans="1:3" s="8" customFormat="1" x14ac:dyDescent="0.2">
      <c r="A3695" s="6" t="str">
        <f>"TRMT10C"</f>
        <v>TRMT10C</v>
      </c>
      <c r="B3695" s="6">
        <v>3.7962037962037898E-2</v>
      </c>
      <c r="C3695" s="6">
        <v>0.17996014004847799</v>
      </c>
    </row>
    <row r="3696" spans="1:3" s="8" customFormat="1" x14ac:dyDescent="0.2">
      <c r="A3696" s="6" t="str">
        <f>"DDX20"</f>
        <v>DDX20</v>
      </c>
      <c r="B3696" s="6">
        <v>3.7962037962037898E-2</v>
      </c>
      <c r="C3696" s="6">
        <v>0.17996014004847799</v>
      </c>
    </row>
    <row r="3697" spans="1:3" s="8" customFormat="1" x14ac:dyDescent="0.2">
      <c r="A3697" s="6" t="str">
        <f>"ABCB10"</f>
        <v>ABCB10</v>
      </c>
      <c r="B3697" s="6">
        <v>3.7962037962037898E-2</v>
      </c>
      <c r="C3697" s="6">
        <v>0.17996014004847799</v>
      </c>
    </row>
    <row r="3698" spans="1:3" s="8" customFormat="1" x14ac:dyDescent="0.2">
      <c r="A3698" s="6" t="str">
        <f>"ZNF791"</f>
        <v>ZNF791</v>
      </c>
      <c r="B3698" s="6">
        <v>3.7962037962037898E-2</v>
      </c>
      <c r="C3698" s="6">
        <v>0.17996014004847799</v>
      </c>
    </row>
    <row r="3699" spans="1:3" s="8" customFormat="1" x14ac:dyDescent="0.2">
      <c r="A3699" s="6" t="str">
        <f>"CYB5R4"</f>
        <v>CYB5R4</v>
      </c>
      <c r="B3699" s="6">
        <v>3.7962037962037898E-2</v>
      </c>
      <c r="C3699" s="6">
        <v>0.17996014004847799</v>
      </c>
    </row>
    <row r="3700" spans="1:3" s="8" customFormat="1" x14ac:dyDescent="0.2">
      <c r="A3700" s="6" t="str">
        <f>"CPSF3"</f>
        <v>CPSF3</v>
      </c>
      <c r="B3700" s="6">
        <v>3.7962037962037898E-2</v>
      </c>
      <c r="C3700" s="6">
        <v>0.17996014004847799</v>
      </c>
    </row>
    <row r="3701" spans="1:3" s="8" customFormat="1" x14ac:dyDescent="0.2">
      <c r="A3701" s="6" t="str">
        <f>"TIMP2"</f>
        <v>TIMP2</v>
      </c>
      <c r="B3701" s="6">
        <v>3.7962037962037898E-2</v>
      </c>
      <c r="C3701" s="6">
        <v>0.17996014004847799</v>
      </c>
    </row>
    <row r="3702" spans="1:3" s="8" customFormat="1" x14ac:dyDescent="0.2">
      <c r="A3702" s="6" t="str">
        <f>"MAN1A1"</f>
        <v>MAN1A1</v>
      </c>
      <c r="B3702" s="6">
        <v>3.7999999999999999E-2</v>
      </c>
      <c r="C3702" s="6">
        <v>0.17996014004847799</v>
      </c>
    </row>
    <row r="3703" spans="1:3" s="8" customFormat="1" x14ac:dyDescent="0.2">
      <c r="A3703" s="6" t="str">
        <f>"STK25"</f>
        <v>STK25</v>
      </c>
      <c r="B3703" s="6">
        <v>3.7962037962037898E-2</v>
      </c>
      <c r="C3703" s="6">
        <v>0.17996014004847799</v>
      </c>
    </row>
    <row r="3704" spans="1:3" s="8" customFormat="1" x14ac:dyDescent="0.2">
      <c r="A3704" s="6" t="str">
        <f>"RYBP"</f>
        <v>RYBP</v>
      </c>
      <c r="B3704" s="6">
        <v>3.7962037962037898E-2</v>
      </c>
      <c r="C3704" s="6">
        <v>0.17996014004847799</v>
      </c>
    </row>
    <row r="3705" spans="1:3" s="8" customFormat="1" x14ac:dyDescent="0.2">
      <c r="A3705" s="6" t="str">
        <f>"C9orf72"</f>
        <v>C9orf72</v>
      </c>
      <c r="B3705" s="6">
        <v>3.7962037962037898E-2</v>
      </c>
      <c r="C3705" s="6">
        <v>0.17996014004847799</v>
      </c>
    </row>
    <row r="3706" spans="1:3" s="8" customFormat="1" x14ac:dyDescent="0.2">
      <c r="A3706" s="6" t="str">
        <f>"PLBD2"</f>
        <v>PLBD2</v>
      </c>
      <c r="B3706" s="6">
        <v>3.7962037962037898E-2</v>
      </c>
      <c r="C3706" s="6">
        <v>0.17996014004847799</v>
      </c>
    </row>
    <row r="3707" spans="1:3" s="8" customFormat="1" x14ac:dyDescent="0.2">
      <c r="A3707" s="6" t="str">
        <f>"TIMM10B"</f>
        <v>TIMM10B</v>
      </c>
      <c r="B3707" s="6">
        <v>3.7962037962037898E-2</v>
      </c>
      <c r="C3707" s="6">
        <v>0.17996014004847799</v>
      </c>
    </row>
    <row r="3708" spans="1:3" s="8" customFormat="1" x14ac:dyDescent="0.2">
      <c r="A3708" s="6" t="str">
        <f>"UBE2G2"</f>
        <v>UBE2G2</v>
      </c>
      <c r="B3708" s="6">
        <v>3.7962037962037898E-2</v>
      </c>
      <c r="C3708" s="6">
        <v>0.17996014004847799</v>
      </c>
    </row>
    <row r="3709" spans="1:3" s="8" customFormat="1" x14ac:dyDescent="0.2">
      <c r="A3709" s="6" t="str">
        <f>"RAB13"</f>
        <v>RAB13</v>
      </c>
      <c r="B3709" s="6">
        <v>3.7962037962037898E-2</v>
      </c>
      <c r="C3709" s="6">
        <v>0.17996014004847799</v>
      </c>
    </row>
    <row r="3710" spans="1:3" s="8" customFormat="1" x14ac:dyDescent="0.2">
      <c r="A3710" s="6" t="str">
        <f>"NBPF14"</f>
        <v>NBPF14</v>
      </c>
      <c r="B3710" s="6">
        <v>3.7962037962037898E-2</v>
      </c>
      <c r="C3710" s="6">
        <v>0.17996014004847799</v>
      </c>
    </row>
    <row r="3711" spans="1:3" s="8" customFormat="1" x14ac:dyDescent="0.2">
      <c r="A3711" s="6" t="str">
        <f>"ZFR"</f>
        <v>ZFR</v>
      </c>
      <c r="B3711" s="6">
        <v>3.7962037962037898E-2</v>
      </c>
      <c r="C3711" s="6">
        <v>0.17996014004847799</v>
      </c>
    </row>
    <row r="3712" spans="1:3" s="8" customFormat="1" x14ac:dyDescent="0.2">
      <c r="A3712" s="6" t="str">
        <f>"TIMP1"</f>
        <v>TIMP1</v>
      </c>
      <c r="B3712" s="6">
        <v>3.7962037962037898E-2</v>
      </c>
      <c r="C3712" s="6">
        <v>0.17996014004847799</v>
      </c>
    </row>
    <row r="3713" spans="1:3" s="8" customFormat="1" x14ac:dyDescent="0.2">
      <c r="A3713" s="6" t="str">
        <f>"LIPH"</f>
        <v>LIPH</v>
      </c>
      <c r="B3713" s="6">
        <v>3.7962037962037898E-2</v>
      </c>
      <c r="C3713" s="6">
        <v>0.17996014004847799</v>
      </c>
    </row>
    <row r="3714" spans="1:3" s="8" customFormat="1" x14ac:dyDescent="0.2">
      <c r="A3714" s="6" t="str">
        <f>"ABCA13"</f>
        <v>ABCA13</v>
      </c>
      <c r="B3714" s="6">
        <v>3.7962037962037898E-2</v>
      </c>
      <c r="C3714" s="6">
        <v>0.17996014004847799</v>
      </c>
    </row>
    <row r="3715" spans="1:3" s="8" customFormat="1" x14ac:dyDescent="0.2">
      <c r="A3715" s="6" t="str">
        <f>"AC005041.4"</f>
        <v>AC005041.4</v>
      </c>
      <c r="B3715" s="6">
        <v>3.8038038038038E-2</v>
      </c>
      <c r="C3715" s="6">
        <v>0.18009177729156101</v>
      </c>
    </row>
    <row r="3716" spans="1:3" s="8" customFormat="1" x14ac:dyDescent="0.2">
      <c r="A3716" s="6" t="str">
        <f>"AFAP1-AS1"</f>
        <v>AFAP1-AS1</v>
      </c>
      <c r="B3716" s="6">
        <v>3.8223140495867697E-2</v>
      </c>
      <c r="C3716" s="6">
        <v>0.18091943539147701</v>
      </c>
    </row>
    <row r="3717" spans="1:3" s="8" customFormat="1" x14ac:dyDescent="0.2">
      <c r="A3717" s="6" t="str">
        <f>"LINC00862"</f>
        <v>LINC00862</v>
      </c>
      <c r="B3717" s="6">
        <v>3.8961038961038898E-2</v>
      </c>
      <c r="C3717" s="6">
        <v>0.18269090909090899</v>
      </c>
    </row>
    <row r="3718" spans="1:3" s="8" customFormat="1" x14ac:dyDescent="0.2">
      <c r="A3718" s="6" t="str">
        <f>"KU-MEL-3"</f>
        <v>KU-MEL-3</v>
      </c>
      <c r="B3718" s="6">
        <v>3.8961038961038898E-2</v>
      </c>
      <c r="C3718" s="6">
        <v>0.18269090909090899</v>
      </c>
    </row>
    <row r="3719" spans="1:3" s="8" customFormat="1" x14ac:dyDescent="0.2">
      <c r="A3719" s="6" t="str">
        <f>"AC016773.1"</f>
        <v>AC016773.1</v>
      </c>
      <c r="B3719" s="6">
        <v>3.8961038961038898E-2</v>
      </c>
      <c r="C3719" s="6">
        <v>0.18269090909090899</v>
      </c>
    </row>
    <row r="3720" spans="1:3" s="8" customFormat="1" x14ac:dyDescent="0.2">
      <c r="A3720" s="6" t="str">
        <f>"AC096772.1"</f>
        <v>AC096772.1</v>
      </c>
      <c r="B3720" s="6">
        <v>3.8961038961038898E-2</v>
      </c>
      <c r="C3720" s="6">
        <v>0.18269090909090899</v>
      </c>
    </row>
    <row r="3721" spans="1:3" s="8" customFormat="1" x14ac:dyDescent="0.2">
      <c r="A3721" s="6" t="str">
        <f>"AL160412.1"</f>
        <v>AL160412.1</v>
      </c>
      <c r="B3721" s="6">
        <v>3.8961038961038898E-2</v>
      </c>
      <c r="C3721" s="6">
        <v>0.18269090909090899</v>
      </c>
    </row>
    <row r="3722" spans="1:3" s="8" customFormat="1" x14ac:dyDescent="0.2">
      <c r="A3722" s="6" t="str">
        <f>"CACNA1C"</f>
        <v>CACNA1C</v>
      </c>
      <c r="B3722" s="6">
        <v>3.8961038961038898E-2</v>
      </c>
      <c r="C3722" s="6">
        <v>0.18269090909090899</v>
      </c>
    </row>
    <row r="3723" spans="1:3" s="8" customFormat="1" x14ac:dyDescent="0.2">
      <c r="A3723" s="6" t="str">
        <f>"MATN1-AS1"</f>
        <v>MATN1-AS1</v>
      </c>
      <c r="B3723" s="6">
        <v>3.8961038961038898E-2</v>
      </c>
      <c r="C3723" s="6">
        <v>0.18269090909090899</v>
      </c>
    </row>
    <row r="3724" spans="1:3" s="8" customFormat="1" x14ac:dyDescent="0.2">
      <c r="A3724" s="6" t="str">
        <f>"CDH22"</f>
        <v>CDH22</v>
      </c>
      <c r="B3724" s="6">
        <v>3.8961038961038898E-2</v>
      </c>
      <c r="C3724" s="6">
        <v>0.18269090909090899</v>
      </c>
    </row>
    <row r="3725" spans="1:3" s="8" customFormat="1" x14ac:dyDescent="0.2">
      <c r="A3725" s="6" t="str">
        <f>"GGTA1"</f>
        <v>GGTA1</v>
      </c>
      <c r="B3725" s="6">
        <v>3.8961038961038898E-2</v>
      </c>
      <c r="C3725" s="6">
        <v>0.18269090909090899</v>
      </c>
    </row>
    <row r="3726" spans="1:3" s="8" customFormat="1" x14ac:dyDescent="0.2">
      <c r="A3726" s="6" t="str">
        <f>"TMPRSS7"</f>
        <v>TMPRSS7</v>
      </c>
      <c r="B3726" s="6">
        <v>3.8961038961038898E-2</v>
      </c>
      <c r="C3726" s="6">
        <v>0.18269090909090899</v>
      </c>
    </row>
    <row r="3727" spans="1:3" s="8" customFormat="1" x14ac:dyDescent="0.2">
      <c r="A3727" s="6" t="str">
        <f>"LINC02481"</f>
        <v>LINC02481</v>
      </c>
      <c r="B3727" s="6">
        <v>3.8961038961038898E-2</v>
      </c>
      <c r="C3727" s="6">
        <v>0.18269090909090899</v>
      </c>
    </row>
    <row r="3728" spans="1:3" s="8" customFormat="1" x14ac:dyDescent="0.2">
      <c r="A3728" s="6" t="str">
        <f>"FAM181A"</f>
        <v>FAM181A</v>
      </c>
      <c r="B3728" s="6">
        <v>3.8961038961038898E-2</v>
      </c>
      <c r="C3728" s="6">
        <v>0.18269090909090899</v>
      </c>
    </row>
    <row r="3729" spans="1:3" s="8" customFormat="1" x14ac:dyDescent="0.2">
      <c r="A3729" s="6" t="str">
        <f>"FAM13A-AS1"</f>
        <v>FAM13A-AS1</v>
      </c>
      <c r="B3729" s="6">
        <v>3.8961038961038898E-2</v>
      </c>
      <c r="C3729" s="6">
        <v>0.18269090909090899</v>
      </c>
    </row>
    <row r="3730" spans="1:3" s="8" customFormat="1" x14ac:dyDescent="0.2">
      <c r="A3730" s="6" t="str">
        <f>"DOCK9-DT"</f>
        <v>DOCK9-DT</v>
      </c>
      <c r="B3730" s="6">
        <v>3.8961038961038898E-2</v>
      </c>
      <c r="C3730" s="6">
        <v>0.18269090909090899</v>
      </c>
    </row>
    <row r="3731" spans="1:3" s="8" customFormat="1" x14ac:dyDescent="0.2">
      <c r="A3731" s="6" t="str">
        <f>"AL022311.1"</f>
        <v>AL022311.1</v>
      </c>
      <c r="B3731" s="6">
        <v>3.8961038961038898E-2</v>
      </c>
      <c r="C3731" s="6">
        <v>0.18269090909090899</v>
      </c>
    </row>
    <row r="3732" spans="1:3" s="8" customFormat="1" x14ac:dyDescent="0.2">
      <c r="A3732" s="6" t="str">
        <f>"CISH"</f>
        <v>CISH</v>
      </c>
      <c r="B3732" s="6">
        <v>3.8961038961038898E-2</v>
      </c>
      <c r="C3732" s="6">
        <v>0.18269090909090899</v>
      </c>
    </row>
    <row r="3733" spans="1:3" s="8" customFormat="1" x14ac:dyDescent="0.2">
      <c r="A3733" s="6" t="str">
        <f>"POLE4"</f>
        <v>POLE4</v>
      </c>
      <c r="B3733" s="6">
        <v>3.8961038961038898E-2</v>
      </c>
      <c r="C3733" s="6">
        <v>0.18269090909090899</v>
      </c>
    </row>
    <row r="3734" spans="1:3" s="8" customFormat="1" x14ac:dyDescent="0.2">
      <c r="A3734" s="6" t="str">
        <f>"LINC00847"</f>
        <v>LINC00847</v>
      </c>
      <c r="B3734" s="6">
        <v>3.8961038961038898E-2</v>
      </c>
      <c r="C3734" s="6">
        <v>0.18269090909090899</v>
      </c>
    </row>
    <row r="3735" spans="1:3" s="8" customFormat="1" x14ac:dyDescent="0.2">
      <c r="A3735" s="6" t="str">
        <f>"RAB28"</f>
        <v>RAB28</v>
      </c>
      <c r="B3735" s="6">
        <v>3.8961038961038898E-2</v>
      </c>
      <c r="C3735" s="6">
        <v>0.18269090909090899</v>
      </c>
    </row>
    <row r="3736" spans="1:3" s="8" customFormat="1" x14ac:dyDescent="0.2">
      <c r="A3736" s="6" t="str">
        <f>"KIAA1958"</f>
        <v>KIAA1958</v>
      </c>
      <c r="B3736" s="6">
        <v>3.8961038961038898E-2</v>
      </c>
      <c r="C3736" s="6">
        <v>0.18269090909090899</v>
      </c>
    </row>
    <row r="3737" spans="1:3" s="8" customFormat="1" x14ac:dyDescent="0.2">
      <c r="A3737" s="6" t="str">
        <f>"ZNF576"</f>
        <v>ZNF576</v>
      </c>
      <c r="B3737" s="6">
        <v>3.8961038961038898E-2</v>
      </c>
      <c r="C3737" s="6">
        <v>0.18269090909090899</v>
      </c>
    </row>
    <row r="3738" spans="1:3" s="8" customFormat="1" x14ac:dyDescent="0.2">
      <c r="A3738" s="6" t="str">
        <f>"DHX37"</f>
        <v>DHX37</v>
      </c>
      <c r="B3738" s="6">
        <v>3.8961038961038898E-2</v>
      </c>
      <c r="C3738" s="6">
        <v>0.18269090909090899</v>
      </c>
    </row>
    <row r="3739" spans="1:3" s="8" customFormat="1" x14ac:dyDescent="0.2">
      <c r="A3739" s="6" t="str">
        <f>"LRP6"</f>
        <v>LRP6</v>
      </c>
      <c r="B3739" s="6">
        <v>3.8961038961038898E-2</v>
      </c>
      <c r="C3739" s="6">
        <v>0.18269090909090899</v>
      </c>
    </row>
    <row r="3740" spans="1:3" s="8" customFormat="1" x14ac:dyDescent="0.2">
      <c r="A3740" s="6" t="str">
        <f>"TBCB"</f>
        <v>TBCB</v>
      </c>
      <c r="B3740" s="6">
        <v>3.8961038961038898E-2</v>
      </c>
      <c r="C3740" s="6">
        <v>0.18269090909090899</v>
      </c>
    </row>
    <row r="3741" spans="1:3" s="8" customFormat="1" x14ac:dyDescent="0.2">
      <c r="A3741" s="6" t="str">
        <f>"TSR1"</f>
        <v>TSR1</v>
      </c>
      <c r="B3741" s="6">
        <v>3.8961038961038898E-2</v>
      </c>
      <c r="C3741" s="6">
        <v>0.18269090909090899</v>
      </c>
    </row>
    <row r="3742" spans="1:3" s="8" customFormat="1" x14ac:dyDescent="0.2">
      <c r="A3742" s="6" t="str">
        <f>"SLC16A9"</f>
        <v>SLC16A9</v>
      </c>
      <c r="B3742" s="6">
        <v>3.8961038961038898E-2</v>
      </c>
      <c r="C3742" s="6">
        <v>0.18269090909090899</v>
      </c>
    </row>
    <row r="3743" spans="1:3" s="8" customFormat="1" x14ac:dyDescent="0.2">
      <c r="A3743" s="6" t="str">
        <f>"NT5DC1"</f>
        <v>NT5DC1</v>
      </c>
      <c r="B3743" s="6">
        <v>3.8961038961038898E-2</v>
      </c>
      <c r="C3743" s="6">
        <v>0.18269090909090899</v>
      </c>
    </row>
    <row r="3744" spans="1:3" s="8" customFormat="1" x14ac:dyDescent="0.2">
      <c r="A3744" s="6" t="str">
        <f>"TSC22D4"</f>
        <v>TSC22D4</v>
      </c>
      <c r="B3744" s="6">
        <v>3.8961038961038898E-2</v>
      </c>
      <c r="C3744" s="6">
        <v>0.18269090909090899</v>
      </c>
    </row>
    <row r="3745" spans="1:3" s="8" customFormat="1" x14ac:dyDescent="0.2">
      <c r="A3745" s="6" t="str">
        <f>"NIPSNAP2"</f>
        <v>NIPSNAP2</v>
      </c>
      <c r="B3745" s="6">
        <v>3.8961038961038898E-2</v>
      </c>
      <c r="C3745" s="6">
        <v>0.18269090909090899</v>
      </c>
    </row>
    <row r="3746" spans="1:3" s="8" customFormat="1" x14ac:dyDescent="0.2">
      <c r="A3746" s="6" t="str">
        <f>"SLC25A29"</f>
        <v>SLC25A29</v>
      </c>
      <c r="B3746" s="6">
        <v>3.8961038961038898E-2</v>
      </c>
      <c r="C3746" s="6">
        <v>0.18269090909090899</v>
      </c>
    </row>
    <row r="3747" spans="1:3" s="8" customFormat="1" x14ac:dyDescent="0.2">
      <c r="A3747" s="6" t="str">
        <f>"DCAF5"</f>
        <v>DCAF5</v>
      </c>
      <c r="B3747" s="6">
        <v>3.8961038961038898E-2</v>
      </c>
      <c r="C3747" s="6">
        <v>0.18269090909090899</v>
      </c>
    </row>
    <row r="3748" spans="1:3" s="8" customFormat="1" x14ac:dyDescent="0.2">
      <c r="A3748" s="6" t="str">
        <f>"MUC13"</f>
        <v>MUC13</v>
      </c>
      <c r="B3748" s="6">
        <v>3.8961038961038898E-2</v>
      </c>
      <c r="C3748" s="6">
        <v>0.18269090909090899</v>
      </c>
    </row>
    <row r="3749" spans="1:3" s="8" customFormat="1" x14ac:dyDescent="0.2">
      <c r="A3749" s="6" t="str">
        <f>"KIF21A"</f>
        <v>KIF21A</v>
      </c>
      <c r="B3749" s="6">
        <v>3.8961038961038898E-2</v>
      </c>
      <c r="C3749" s="6">
        <v>0.18269090909090899</v>
      </c>
    </row>
    <row r="3750" spans="1:3" s="8" customFormat="1" x14ac:dyDescent="0.2">
      <c r="A3750" s="6" t="str">
        <f>"HLA-DRA"</f>
        <v>HLA-DRA</v>
      </c>
      <c r="B3750" s="6">
        <v>3.8961038961038898E-2</v>
      </c>
      <c r="C3750" s="6">
        <v>0.18269090909090899</v>
      </c>
    </row>
    <row r="3751" spans="1:3" s="8" customFormat="1" x14ac:dyDescent="0.2">
      <c r="A3751" s="6" t="str">
        <f>"DAZAP2"</f>
        <v>DAZAP2</v>
      </c>
      <c r="B3751" s="6">
        <v>3.8961038961038898E-2</v>
      </c>
      <c r="C3751" s="6">
        <v>0.18269090909090899</v>
      </c>
    </row>
    <row r="3752" spans="1:3" s="8" customFormat="1" x14ac:dyDescent="0.2">
      <c r="A3752" s="6" t="str">
        <f>"CFL1P5"</f>
        <v>CFL1P5</v>
      </c>
      <c r="B3752" s="6">
        <v>3.9E-2</v>
      </c>
      <c r="C3752" s="6">
        <v>0.18272741806554699</v>
      </c>
    </row>
    <row r="3753" spans="1:3" s="8" customFormat="1" x14ac:dyDescent="0.2">
      <c r="A3753" s="6" t="str">
        <f>"ARHGEF11"</f>
        <v>ARHGEF11</v>
      </c>
      <c r="B3753" s="6">
        <v>3.9E-2</v>
      </c>
      <c r="C3753" s="6">
        <v>0.18272741806554699</v>
      </c>
    </row>
    <row r="3754" spans="1:3" s="8" customFormat="1" x14ac:dyDescent="0.2">
      <c r="A3754" s="6" t="str">
        <f>"SDC1"</f>
        <v>SDC1</v>
      </c>
      <c r="B3754" s="6">
        <v>3.9E-2</v>
      </c>
      <c r="C3754" s="6">
        <v>0.18272741806554699</v>
      </c>
    </row>
    <row r="3755" spans="1:3" s="8" customFormat="1" x14ac:dyDescent="0.2">
      <c r="A3755" s="6" t="str">
        <f>"AC099850.1"</f>
        <v>AC099850.1</v>
      </c>
      <c r="B3755" s="6">
        <v>3.91752577319587E-2</v>
      </c>
      <c r="C3755" s="6">
        <v>0.183499662215973</v>
      </c>
    </row>
    <row r="3756" spans="1:3" s="8" customFormat="1" x14ac:dyDescent="0.2">
      <c r="A3756" s="6" t="str">
        <f>"PRR19"</f>
        <v>PRR19</v>
      </c>
      <c r="B3756" s="6">
        <v>3.9296794208893399E-2</v>
      </c>
      <c r="C3756" s="6">
        <v>0.184019927927878</v>
      </c>
    </row>
    <row r="3757" spans="1:3" s="8" customFormat="1" x14ac:dyDescent="0.2">
      <c r="A3757" s="6" t="str">
        <f>"NPY1R"</f>
        <v>NPY1R</v>
      </c>
      <c r="B3757" s="6">
        <v>3.9960039960039898E-2</v>
      </c>
      <c r="C3757" s="6">
        <v>0.18514345880494801</v>
      </c>
    </row>
    <row r="3758" spans="1:3" s="8" customFormat="1" x14ac:dyDescent="0.2">
      <c r="A3758" s="6" t="str">
        <f>"LIF-AS1"</f>
        <v>LIF-AS1</v>
      </c>
      <c r="B3758" s="6">
        <v>3.9960039960039898E-2</v>
      </c>
      <c r="C3758" s="6">
        <v>0.18514345880494801</v>
      </c>
    </row>
    <row r="3759" spans="1:3" s="8" customFormat="1" x14ac:dyDescent="0.2">
      <c r="A3759" s="6" t="str">
        <f>"AC092155.1"</f>
        <v>AC092155.1</v>
      </c>
      <c r="B3759" s="6">
        <v>0.04</v>
      </c>
      <c r="C3759" s="6">
        <v>0.18514345880494801</v>
      </c>
    </row>
    <row r="3760" spans="1:3" s="8" customFormat="1" x14ac:dyDescent="0.2">
      <c r="A3760" s="6" t="str">
        <f>"SYNPR-AS1"</f>
        <v>SYNPR-AS1</v>
      </c>
      <c r="B3760" s="6">
        <v>3.9960039960039898E-2</v>
      </c>
      <c r="C3760" s="6">
        <v>0.18514345880494801</v>
      </c>
    </row>
    <row r="3761" spans="1:3" s="8" customFormat="1" x14ac:dyDescent="0.2">
      <c r="A3761" s="6" t="str">
        <f>"IGLON5"</f>
        <v>IGLON5</v>
      </c>
      <c r="B3761" s="6">
        <v>3.9960039960039898E-2</v>
      </c>
      <c r="C3761" s="6">
        <v>0.18514345880494801</v>
      </c>
    </row>
    <row r="3762" spans="1:3" s="8" customFormat="1" x14ac:dyDescent="0.2">
      <c r="A3762" s="6" t="str">
        <f>"PRRT1B"</f>
        <v>PRRT1B</v>
      </c>
      <c r="B3762" s="6">
        <v>3.9960039960039898E-2</v>
      </c>
      <c r="C3762" s="6">
        <v>0.18514345880494801</v>
      </c>
    </row>
    <row r="3763" spans="1:3" s="8" customFormat="1" x14ac:dyDescent="0.2">
      <c r="A3763" s="6" t="str">
        <f>"TMEM121B"</f>
        <v>TMEM121B</v>
      </c>
      <c r="B3763" s="6">
        <v>3.9960039960039898E-2</v>
      </c>
      <c r="C3763" s="6">
        <v>0.18514345880494801</v>
      </c>
    </row>
    <row r="3764" spans="1:3" s="8" customFormat="1" x14ac:dyDescent="0.2">
      <c r="A3764" s="6" t="str">
        <f>"FGF7"</f>
        <v>FGF7</v>
      </c>
      <c r="B3764" s="6">
        <v>3.9960039960039898E-2</v>
      </c>
      <c r="C3764" s="6">
        <v>0.18514345880494801</v>
      </c>
    </row>
    <row r="3765" spans="1:3" s="8" customFormat="1" x14ac:dyDescent="0.2">
      <c r="A3765" s="6" t="str">
        <f>"AC097625.1"</f>
        <v>AC097625.1</v>
      </c>
      <c r="B3765" s="6">
        <v>0.04</v>
      </c>
      <c r="C3765" s="6">
        <v>0.18514345880494801</v>
      </c>
    </row>
    <row r="3766" spans="1:3" s="8" customFormat="1" x14ac:dyDescent="0.2">
      <c r="A3766" s="6" t="str">
        <f>"MTFR2"</f>
        <v>MTFR2</v>
      </c>
      <c r="B3766" s="6">
        <v>3.9960039960039898E-2</v>
      </c>
      <c r="C3766" s="6">
        <v>0.18514345880494801</v>
      </c>
    </row>
    <row r="3767" spans="1:3" s="8" customFormat="1" x14ac:dyDescent="0.2">
      <c r="A3767" s="6" t="str">
        <f>"EGR2"</f>
        <v>EGR2</v>
      </c>
      <c r="B3767" s="6">
        <v>3.9960039960039898E-2</v>
      </c>
      <c r="C3767" s="6">
        <v>0.18514345880494801</v>
      </c>
    </row>
    <row r="3768" spans="1:3" s="8" customFormat="1" x14ac:dyDescent="0.2">
      <c r="A3768" s="6" t="str">
        <f>"LINC01503"</f>
        <v>LINC01503</v>
      </c>
      <c r="B3768" s="6">
        <v>3.9960039960039898E-2</v>
      </c>
      <c r="C3768" s="6">
        <v>0.18514345880494801</v>
      </c>
    </row>
    <row r="3769" spans="1:3" s="8" customFormat="1" x14ac:dyDescent="0.2">
      <c r="A3769" s="6" t="str">
        <f>"ERVE-1"</f>
        <v>ERVE-1</v>
      </c>
      <c r="B3769" s="6">
        <v>3.9960039960039898E-2</v>
      </c>
      <c r="C3769" s="6">
        <v>0.18514345880494801</v>
      </c>
    </row>
    <row r="3770" spans="1:3" s="8" customFormat="1" x14ac:dyDescent="0.2">
      <c r="A3770" s="6" t="str">
        <f>"CTF1"</f>
        <v>CTF1</v>
      </c>
      <c r="B3770" s="6">
        <v>0.04</v>
      </c>
      <c r="C3770" s="6">
        <v>0.18514345880494801</v>
      </c>
    </row>
    <row r="3771" spans="1:3" s="8" customFormat="1" x14ac:dyDescent="0.2">
      <c r="A3771" s="6" t="str">
        <f>"RBBP8NL"</f>
        <v>RBBP8NL</v>
      </c>
      <c r="B3771" s="6">
        <v>3.9960039960039898E-2</v>
      </c>
      <c r="C3771" s="6">
        <v>0.18514345880494801</v>
      </c>
    </row>
    <row r="3772" spans="1:3" s="8" customFormat="1" x14ac:dyDescent="0.2">
      <c r="A3772" s="6" t="str">
        <f>"SLC7A7"</f>
        <v>SLC7A7</v>
      </c>
      <c r="B3772" s="6">
        <v>3.9960039960039898E-2</v>
      </c>
      <c r="C3772" s="6">
        <v>0.18514345880494801</v>
      </c>
    </row>
    <row r="3773" spans="1:3" s="8" customFormat="1" x14ac:dyDescent="0.2">
      <c r="A3773" s="6" t="str">
        <f>"CSMD1"</f>
        <v>CSMD1</v>
      </c>
      <c r="B3773" s="6">
        <v>3.9960039960039898E-2</v>
      </c>
      <c r="C3773" s="6">
        <v>0.18514345880494801</v>
      </c>
    </row>
    <row r="3774" spans="1:3" s="8" customFormat="1" x14ac:dyDescent="0.2">
      <c r="A3774" s="6" t="str">
        <f>"AARSD1"</f>
        <v>AARSD1</v>
      </c>
      <c r="B3774" s="6">
        <v>3.9960039960039898E-2</v>
      </c>
      <c r="C3774" s="6">
        <v>0.18514345880494801</v>
      </c>
    </row>
    <row r="3775" spans="1:3" s="8" customFormat="1" x14ac:dyDescent="0.2">
      <c r="A3775" s="6" t="str">
        <f>"RPS27L"</f>
        <v>RPS27L</v>
      </c>
      <c r="B3775" s="6">
        <v>3.9960039960039898E-2</v>
      </c>
      <c r="C3775" s="6">
        <v>0.18514345880494801</v>
      </c>
    </row>
    <row r="3776" spans="1:3" s="8" customFormat="1" x14ac:dyDescent="0.2">
      <c r="A3776" s="6" t="str">
        <f>"CHD1L"</f>
        <v>CHD1L</v>
      </c>
      <c r="B3776" s="6">
        <v>3.9960039960039898E-2</v>
      </c>
      <c r="C3776" s="6">
        <v>0.18514345880494801</v>
      </c>
    </row>
    <row r="3777" spans="1:3" s="8" customFormat="1" x14ac:dyDescent="0.2">
      <c r="A3777" s="6" t="str">
        <f>"TRIP13"</f>
        <v>TRIP13</v>
      </c>
      <c r="B3777" s="6">
        <v>3.9960039960039898E-2</v>
      </c>
      <c r="C3777" s="6">
        <v>0.18514345880494801</v>
      </c>
    </row>
    <row r="3778" spans="1:3" s="8" customFormat="1" x14ac:dyDescent="0.2">
      <c r="A3778" s="6" t="str">
        <f>"CHCHD6"</f>
        <v>CHCHD6</v>
      </c>
      <c r="B3778" s="6">
        <v>3.9960039960039898E-2</v>
      </c>
      <c r="C3778" s="6">
        <v>0.18514345880494801</v>
      </c>
    </row>
    <row r="3779" spans="1:3" s="8" customFormat="1" x14ac:dyDescent="0.2">
      <c r="A3779" s="6" t="str">
        <f>"FAM193B"</f>
        <v>FAM193B</v>
      </c>
      <c r="B3779" s="6">
        <v>3.9960039960039898E-2</v>
      </c>
      <c r="C3779" s="6">
        <v>0.18514345880494801</v>
      </c>
    </row>
    <row r="3780" spans="1:3" s="8" customFormat="1" x14ac:dyDescent="0.2">
      <c r="A3780" s="6" t="str">
        <f>"ZNF507"</f>
        <v>ZNF507</v>
      </c>
      <c r="B3780" s="6">
        <v>3.9960039960039898E-2</v>
      </c>
      <c r="C3780" s="6">
        <v>0.18514345880494801</v>
      </c>
    </row>
    <row r="3781" spans="1:3" s="8" customFormat="1" x14ac:dyDescent="0.2">
      <c r="A3781" s="6" t="str">
        <f>"TRMT9B"</f>
        <v>TRMT9B</v>
      </c>
      <c r="B3781" s="6">
        <v>3.9960039960039898E-2</v>
      </c>
      <c r="C3781" s="6">
        <v>0.18514345880494801</v>
      </c>
    </row>
    <row r="3782" spans="1:3" s="8" customFormat="1" x14ac:dyDescent="0.2">
      <c r="A3782" s="6" t="str">
        <f>"CMBL"</f>
        <v>CMBL</v>
      </c>
      <c r="B3782" s="6">
        <v>0.04</v>
      </c>
      <c r="C3782" s="6">
        <v>0.18514345880494801</v>
      </c>
    </row>
    <row r="3783" spans="1:3" s="8" customFormat="1" x14ac:dyDescent="0.2">
      <c r="A3783" s="6" t="str">
        <f>"SCO1"</f>
        <v>SCO1</v>
      </c>
      <c r="B3783" s="6">
        <v>3.9960039960039898E-2</v>
      </c>
      <c r="C3783" s="6">
        <v>0.18514345880494801</v>
      </c>
    </row>
    <row r="3784" spans="1:3" s="8" customFormat="1" x14ac:dyDescent="0.2">
      <c r="A3784" s="6" t="str">
        <f>"ACVR1"</f>
        <v>ACVR1</v>
      </c>
      <c r="B3784" s="6">
        <v>3.9960039960039898E-2</v>
      </c>
      <c r="C3784" s="6">
        <v>0.18514345880494801</v>
      </c>
    </row>
    <row r="3785" spans="1:3" s="8" customFormat="1" x14ac:dyDescent="0.2">
      <c r="A3785" s="6" t="str">
        <f>"SERPINA3"</f>
        <v>SERPINA3</v>
      </c>
      <c r="B3785" s="6">
        <v>3.9960039960039898E-2</v>
      </c>
      <c r="C3785" s="6">
        <v>0.18514345880494801</v>
      </c>
    </row>
    <row r="3786" spans="1:3" s="8" customFormat="1" x14ac:dyDescent="0.2">
      <c r="A3786" s="6" t="str">
        <f>"SEMA5A"</f>
        <v>SEMA5A</v>
      </c>
      <c r="B3786" s="6">
        <v>3.9960039960039898E-2</v>
      </c>
      <c r="C3786" s="6">
        <v>0.18514345880494801</v>
      </c>
    </row>
    <row r="3787" spans="1:3" s="8" customFormat="1" x14ac:dyDescent="0.2">
      <c r="A3787" s="6" t="str">
        <f>"SYT8"</f>
        <v>SYT8</v>
      </c>
      <c r="B3787" s="6">
        <v>3.9960039960039898E-2</v>
      </c>
      <c r="C3787" s="6">
        <v>0.18514345880494801</v>
      </c>
    </row>
    <row r="3788" spans="1:3" s="8" customFormat="1" x14ac:dyDescent="0.2">
      <c r="A3788" s="6" t="str">
        <f>"BCCIP"</f>
        <v>BCCIP</v>
      </c>
      <c r="B3788" s="6">
        <v>3.9960039960039898E-2</v>
      </c>
      <c r="C3788" s="6">
        <v>0.18514345880494801</v>
      </c>
    </row>
    <row r="3789" spans="1:3" s="8" customFormat="1" x14ac:dyDescent="0.2">
      <c r="A3789" s="6" t="str">
        <f>"DAPK1"</f>
        <v>DAPK1</v>
      </c>
      <c r="B3789" s="6">
        <v>3.9960039960039898E-2</v>
      </c>
      <c r="C3789" s="6">
        <v>0.18514345880494801</v>
      </c>
    </row>
    <row r="3790" spans="1:3" s="8" customFormat="1" x14ac:dyDescent="0.2">
      <c r="A3790" s="6" t="str">
        <f>"CLNS1A"</f>
        <v>CLNS1A</v>
      </c>
      <c r="B3790" s="6">
        <v>0.04</v>
      </c>
      <c r="C3790" s="6">
        <v>0.18514345880494801</v>
      </c>
    </row>
    <row r="3791" spans="1:3" s="8" customFormat="1" x14ac:dyDescent="0.2">
      <c r="A3791" s="6" t="str">
        <f>"SLC35C1"</f>
        <v>SLC35C1</v>
      </c>
      <c r="B3791" s="6">
        <v>3.9960039960039898E-2</v>
      </c>
      <c r="C3791" s="6">
        <v>0.18514345880494801</v>
      </c>
    </row>
    <row r="3792" spans="1:3" s="8" customFormat="1" x14ac:dyDescent="0.2">
      <c r="A3792" s="6" t="str">
        <f>"SCAP"</f>
        <v>SCAP</v>
      </c>
      <c r="B3792" s="6">
        <v>3.9960039960039898E-2</v>
      </c>
      <c r="C3792" s="6">
        <v>0.18514345880494801</v>
      </c>
    </row>
    <row r="3793" spans="1:3" s="8" customFormat="1" x14ac:dyDescent="0.2">
      <c r="A3793" s="6" t="str">
        <f>"CDK5RAP2"</f>
        <v>CDK5RAP2</v>
      </c>
      <c r="B3793" s="6">
        <v>3.9960039960039898E-2</v>
      </c>
      <c r="C3793" s="6">
        <v>0.18514345880494801</v>
      </c>
    </row>
    <row r="3794" spans="1:3" s="8" customFormat="1" x14ac:dyDescent="0.2">
      <c r="A3794" s="6" t="str">
        <f>"CYSTM1"</f>
        <v>CYSTM1</v>
      </c>
      <c r="B3794" s="6">
        <v>3.9960039960039898E-2</v>
      </c>
      <c r="C3794" s="6">
        <v>0.18514345880494801</v>
      </c>
    </row>
    <row r="3795" spans="1:3" s="8" customFormat="1" x14ac:dyDescent="0.2">
      <c r="A3795" s="6" t="str">
        <f>"SSU72"</f>
        <v>SSU72</v>
      </c>
      <c r="B3795" s="6">
        <v>3.9960039960039898E-2</v>
      </c>
      <c r="C3795" s="6">
        <v>0.18514345880494801</v>
      </c>
    </row>
    <row r="3796" spans="1:3" s="8" customFormat="1" x14ac:dyDescent="0.2">
      <c r="A3796" s="6" t="str">
        <f>"ARHGAP35"</f>
        <v>ARHGAP35</v>
      </c>
      <c r="B3796" s="6">
        <v>3.9960039960039898E-2</v>
      </c>
      <c r="C3796" s="6">
        <v>0.18514345880494801</v>
      </c>
    </row>
    <row r="3797" spans="1:3" s="8" customFormat="1" x14ac:dyDescent="0.2">
      <c r="A3797" s="6" t="str">
        <f>"CMIP"</f>
        <v>CMIP</v>
      </c>
      <c r="B3797" s="6">
        <v>3.9960039960039898E-2</v>
      </c>
      <c r="C3797" s="6">
        <v>0.18514345880494801</v>
      </c>
    </row>
    <row r="3798" spans="1:3" s="8" customFormat="1" x14ac:dyDescent="0.2">
      <c r="A3798" s="6" t="str">
        <f>"SCPEP1"</f>
        <v>SCPEP1</v>
      </c>
      <c r="B3798" s="6">
        <v>3.9960039960039898E-2</v>
      </c>
      <c r="C3798" s="6">
        <v>0.18514345880494801</v>
      </c>
    </row>
    <row r="3799" spans="1:3" s="8" customFormat="1" x14ac:dyDescent="0.2">
      <c r="A3799" s="6" t="str">
        <f>"TM9SF3"</f>
        <v>TM9SF3</v>
      </c>
      <c r="B3799" s="6">
        <v>0.04</v>
      </c>
      <c r="C3799" s="6">
        <v>0.18514345880494801</v>
      </c>
    </row>
    <row r="3800" spans="1:3" s="8" customFormat="1" x14ac:dyDescent="0.2">
      <c r="A3800" s="6" t="str">
        <f>"HLA-C"</f>
        <v>HLA-C</v>
      </c>
      <c r="B3800" s="6">
        <v>3.9960039960039898E-2</v>
      </c>
      <c r="C3800" s="6">
        <v>0.18514345880494801</v>
      </c>
    </row>
    <row r="3801" spans="1:3" s="8" customFormat="1" x14ac:dyDescent="0.2">
      <c r="A3801" s="6" t="str">
        <f>"FAM185BP"</f>
        <v>FAM185BP</v>
      </c>
      <c r="B3801" s="6">
        <v>4.0040040040039998E-2</v>
      </c>
      <c r="C3801" s="6">
        <v>0.185280016858964</v>
      </c>
    </row>
    <row r="3802" spans="1:3" s="8" customFormat="1" x14ac:dyDescent="0.2">
      <c r="A3802" s="6" t="str">
        <f>"C9orf163"</f>
        <v>C9orf163</v>
      </c>
      <c r="B3802" s="6">
        <v>4.0080160320641198E-2</v>
      </c>
      <c r="C3802" s="6">
        <v>0.18541687426418199</v>
      </c>
    </row>
    <row r="3803" spans="1:3" s="8" customFormat="1" x14ac:dyDescent="0.2">
      <c r="A3803" s="6" t="str">
        <f>"BX679664.3"</f>
        <v>BX679664.3</v>
      </c>
      <c r="B3803" s="6">
        <v>4.0238450074515597E-2</v>
      </c>
      <c r="C3803" s="6">
        <v>0.18610018572074699</v>
      </c>
    </row>
    <row r="3804" spans="1:3" s="8" customFormat="1" x14ac:dyDescent="0.2">
      <c r="A3804" s="6" t="str">
        <f>"AL138789.1"</f>
        <v>AL138789.1</v>
      </c>
      <c r="B3804" s="6">
        <v>4.0959040959040897E-2</v>
      </c>
      <c r="C3804" s="6">
        <v>0.187265672445079</v>
      </c>
    </row>
    <row r="3805" spans="1:3" s="8" customFormat="1" x14ac:dyDescent="0.2">
      <c r="A3805" s="6" t="str">
        <f>"IGLV2-8"</f>
        <v>IGLV2-8</v>
      </c>
      <c r="B3805" s="6">
        <v>4.0959040959040897E-2</v>
      </c>
      <c r="C3805" s="6">
        <v>0.187265672445079</v>
      </c>
    </row>
    <row r="3806" spans="1:3" s="8" customFormat="1" x14ac:dyDescent="0.2">
      <c r="A3806" s="6" t="str">
        <f>"ZNF385B"</f>
        <v>ZNF385B</v>
      </c>
      <c r="B3806" s="6">
        <v>4.0959040959040897E-2</v>
      </c>
      <c r="C3806" s="6">
        <v>0.187265672445079</v>
      </c>
    </row>
    <row r="3807" spans="1:3" s="8" customFormat="1" x14ac:dyDescent="0.2">
      <c r="A3807" s="6" t="str">
        <f>"AL731533.2"</f>
        <v>AL731533.2</v>
      </c>
      <c r="B3807" s="6">
        <v>4.0567951318458403E-2</v>
      </c>
      <c r="C3807" s="6">
        <v>0.187265672445079</v>
      </c>
    </row>
    <row r="3808" spans="1:3" s="8" customFormat="1" x14ac:dyDescent="0.2">
      <c r="A3808" s="6" t="str">
        <f>"PPP4R1-AS1"</f>
        <v>PPP4R1-AS1</v>
      </c>
      <c r="B3808" s="6">
        <v>4.0638606676342497E-2</v>
      </c>
      <c r="C3808" s="6">
        <v>0.187265672445079</v>
      </c>
    </row>
    <row r="3809" spans="1:3" s="8" customFormat="1" x14ac:dyDescent="0.2">
      <c r="A3809" s="6" t="str">
        <f>"AC005225.2"</f>
        <v>AC005225.2</v>
      </c>
      <c r="B3809" s="6">
        <v>4.0959040959040897E-2</v>
      </c>
      <c r="C3809" s="6">
        <v>0.187265672445079</v>
      </c>
    </row>
    <row r="3810" spans="1:3" s="8" customFormat="1" x14ac:dyDescent="0.2">
      <c r="A3810" s="6" t="str">
        <f>"PRRT2"</f>
        <v>PRRT2</v>
      </c>
      <c r="B3810" s="6">
        <v>4.0959040959040897E-2</v>
      </c>
      <c r="C3810" s="6">
        <v>0.187265672445079</v>
      </c>
    </row>
    <row r="3811" spans="1:3" s="8" customFormat="1" x14ac:dyDescent="0.2">
      <c r="A3811" s="6" t="str">
        <f>"THEMIS"</f>
        <v>THEMIS</v>
      </c>
      <c r="B3811" s="6">
        <v>4.0959040959040897E-2</v>
      </c>
      <c r="C3811" s="6">
        <v>0.187265672445079</v>
      </c>
    </row>
    <row r="3812" spans="1:3" s="8" customFormat="1" x14ac:dyDescent="0.2">
      <c r="A3812" s="6" t="str">
        <f>"CPNE4"</f>
        <v>CPNE4</v>
      </c>
      <c r="B3812" s="6">
        <v>4.0959040959040897E-2</v>
      </c>
      <c r="C3812" s="6">
        <v>0.187265672445079</v>
      </c>
    </row>
    <row r="3813" spans="1:3" s="8" customFormat="1" x14ac:dyDescent="0.2">
      <c r="A3813" s="6" t="str">
        <f>"TNNI3"</f>
        <v>TNNI3</v>
      </c>
      <c r="B3813" s="6">
        <v>4.0959040959040897E-2</v>
      </c>
      <c r="C3813" s="6">
        <v>0.187265672445079</v>
      </c>
    </row>
    <row r="3814" spans="1:3" s="8" customFormat="1" x14ac:dyDescent="0.2">
      <c r="A3814" s="6" t="str">
        <f>"SYP"</f>
        <v>SYP</v>
      </c>
      <c r="B3814" s="6">
        <v>4.0959040959040897E-2</v>
      </c>
      <c r="C3814" s="6">
        <v>0.187265672445079</v>
      </c>
    </row>
    <row r="3815" spans="1:3" s="8" customFormat="1" x14ac:dyDescent="0.2">
      <c r="A3815" s="6" t="str">
        <f>"SILC1"</f>
        <v>SILC1</v>
      </c>
      <c r="B3815" s="6">
        <v>4.0959040959040897E-2</v>
      </c>
      <c r="C3815" s="6">
        <v>0.187265672445079</v>
      </c>
    </row>
    <row r="3816" spans="1:3" s="8" customFormat="1" x14ac:dyDescent="0.2">
      <c r="A3816" s="6" t="str">
        <f>"Z99129.4"</f>
        <v>Z99129.4</v>
      </c>
      <c r="B3816" s="6">
        <v>4.0959040959040897E-2</v>
      </c>
      <c r="C3816" s="6">
        <v>0.187265672445079</v>
      </c>
    </row>
    <row r="3817" spans="1:3" s="8" customFormat="1" x14ac:dyDescent="0.2">
      <c r="A3817" s="6" t="str">
        <f>"TDRD1"</f>
        <v>TDRD1</v>
      </c>
      <c r="B3817" s="6">
        <v>4.0959040959040897E-2</v>
      </c>
      <c r="C3817" s="6">
        <v>0.187265672445079</v>
      </c>
    </row>
    <row r="3818" spans="1:3" s="8" customFormat="1" x14ac:dyDescent="0.2">
      <c r="A3818" s="6" t="str">
        <f>"DACT2"</f>
        <v>DACT2</v>
      </c>
      <c r="B3818" s="6">
        <v>4.0959040959040897E-2</v>
      </c>
      <c r="C3818" s="6">
        <v>0.187265672445079</v>
      </c>
    </row>
    <row r="3819" spans="1:3" s="8" customFormat="1" x14ac:dyDescent="0.2">
      <c r="A3819" s="6" t="str">
        <f>"ARHGAP5-AS1"</f>
        <v>ARHGAP5-AS1</v>
      </c>
      <c r="B3819" s="6">
        <v>4.0959040959040897E-2</v>
      </c>
      <c r="C3819" s="6">
        <v>0.187265672445079</v>
      </c>
    </row>
    <row r="3820" spans="1:3" s="8" customFormat="1" x14ac:dyDescent="0.2">
      <c r="A3820" s="6" t="str">
        <f>"TRIM6"</f>
        <v>TRIM6</v>
      </c>
      <c r="B3820" s="6">
        <v>4.0959040959040897E-2</v>
      </c>
      <c r="C3820" s="6">
        <v>0.187265672445079</v>
      </c>
    </row>
    <row r="3821" spans="1:3" s="8" customFormat="1" x14ac:dyDescent="0.2">
      <c r="A3821" s="6" t="str">
        <f>"LRRC37A"</f>
        <v>LRRC37A</v>
      </c>
      <c r="B3821" s="6">
        <v>4.0959040959040897E-2</v>
      </c>
      <c r="C3821" s="6">
        <v>0.187265672445079</v>
      </c>
    </row>
    <row r="3822" spans="1:3" s="8" customFormat="1" x14ac:dyDescent="0.2">
      <c r="A3822" s="6" t="str">
        <f>"PLXND1"</f>
        <v>PLXND1</v>
      </c>
      <c r="B3822" s="6">
        <v>4.0959040959040897E-2</v>
      </c>
      <c r="C3822" s="6">
        <v>0.187265672445079</v>
      </c>
    </row>
    <row r="3823" spans="1:3" s="8" customFormat="1" x14ac:dyDescent="0.2">
      <c r="A3823" s="6" t="str">
        <f>"TMEM251"</f>
        <v>TMEM251</v>
      </c>
      <c r="B3823" s="6">
        <v>4.0959040959040897E-2</v>
      </c>
      <c r="C3823" s="6">
        <v>0.187265672445079</v>
      </c>
    </row>
    <row r="3824" spans="1:3" s="8" customFormat="1" x14ac:dyDescent="0.2">
      <c r="A3824" s="6" t="str">
        <f>"CUTC"</f>
        <v>CUTC</v>
      </c>
      <c r="B3824" s="6">
        <v>4.0959040959040897E-2</v>
      </c>
      <c r="C3824" s="6">
        <v>0.187265672445079</v>
      </c>
    </row>
    <row r="3825" spans="1:3" s="8" customFormat="1" x14ac:dyDescent="0.2">
      <c r="A3825" s="6" t="str">
        <f>"ZNF816"</f>
        <v>ZNF816</v>
      </c>
      <c r="B3825" s="6">
        <v>4.0959040959040897E-2</v>
      </c>
      <c r="C3825" s="6">
        <v>0.187265672445079</v>
      </c>
    </row>
    <row r="3826" spans="1:3" s="8" customFormat="1" x14ac:dyDescent="0.2">
      <c r="A3826" s="6" t="str">
        <f>"SLC16A11"</f>
        <v>SLC16A11</v>
      </c>
      <c r="B3826" s="6">
        <v>4.0959040959040897E-2</v>
      </c>
      <c r="C3826" s="6">
        <v>0.187265672445079</v>
      </c>
    </row>
    <row r="3827" spans="1:3" s="8" customFormat="1" x14ac:dyDescent="0.2">
      <c r="A3827" s="6" t="str">
        <f>"FAM135A"</f>
        <v>FAM135A</v>
      </c>
      <c r="B3827" s="6">
        <v>4.0959040959040897E-2</v>
      </c>
      <c r="C3827" s="6">
        <v>0.187265672445079</v>
      </c>
    </row>
    <row r="3828" spans="1:3" s="8" customFormat="1" x14ac:dyDescent="0.2">
      <c r="A3828" s="6" t="str">
        <f>"WDR3"</f>
        <v>WDR3</v>
      </c>
      <c r="B3828" s="6">
        <v>4.0959040959040897E-2</v>
      </c>
      <c r="C3828" s="6">
        <v>0.187265672445079</v>
      </c>
    </row>
    <row r="3829" spans="1:3" s="8" customFormat="1" x14ac:dyDescent="0.2">
      <c r="A3829" s="6" t="str">
        <f>"DPY19L1"</f>
        <v>DPY19L1</v>
      </c>
      <c r="B3829" s="6">
        <v>4.0959040959040897E-2</v>
      </c>
      <c r="C3829" s="6">
        <v>0.187265672445079</v>
      </c>
    </row>
    <row r="3830" spans="1:3" s="8" customFormat="1" x14ac:dyDescent="0.2">
      <c r="A3830" s="6" t="str">
        <f>"KRIT1"</f>
        <v>KRIT1</v>
      </c>
      <c r="B3830" s="6">
        <v>4.0959040959040897E-2</v>
      </c>
      <c r="C3830" s="6">
        <v>0.187265672445079</v>
      </c>
    </row>
    <row r="3831" spans="1:3" s="8" customFormat="1" x14ac:dyDescent="0.2">
      <c r="A3831" s="6" t="str">
        <f>"RAB20"</f>
        <v>RAB20</v>
      </c>
      <c r="B3831" s="6">
        <v>4.0959040959040897E-2</v>
      </c>
      <c r="C3831" s="6">
        <v>0.187265672445079</v>
      </c>
    </row>
    <row r="3832" spans="1:3" s="8" customFormat="1" x14ac:dyDescent="0.2">
      <c r="A3832" s="6" t="str">
        <f>"DSE"</f>
        <v>DSE</v>
      </c>
      <c r="B3832" s="6">
        <v>4.0959040959040897E-2</v>
      </c>
      <c r="C3832" s="6">
        <v>0.187265672445079</v>
      </c>
    </row>
    <row r="3833" spans="1:3" s="8" customFormat="1" x14ac:dyDescent="0.2">
      <c r="A3833" s="6" t="str">
        <f>"SNRPF"</f>
        <v>SNRPF</v>
      </c>
      <c r="B3833" s="6">
        <v>4.0959040959040897E-2</v>
      </c>
      <c r="C3833" s="6">
        <v>0.187265672445079</v>
      </c>
    </row>
    <row r="3834" spans="1:3" s="8" customFormat="1" x14ac:dyDescent="0.2">
      <c r="A3834" s="6" t="str">
        <f>"PPP1R32"</f>
        <v>PPP1R32</v>
      </c>
      <c r="B3834" s="6">
        <v>4.0959040959040897E-2</v>
      </c>
      <c r="C3834" s="6">
        <v>0.187265672445079</v>
      </c>
    </row>
    <row r="3835" spans="1:3" s="8" customFormat="1" x14ac:dyDescent="0.2">
      <c r="A3835" s="6" t="str">
        <f>"PSMD10"</f>
        <v>PSMD10</v>
      </c>
      <c r="B3835" s="6">
        <v>4.0959040959040897E-2</v>
      </c>
      <c r="C3835" s="6">
        <v>0.187265672445079</v>
      </c>
    </row>
    <row r="3836" spans="1:3" s="8" customFormat="1" x14ac:dyDescent="0.2">
      <c r="A3836" s="6" t="str">
        <f>"HEIH"</f>
        <v>HEIH</v>
      </c>
      <c r="B3836" s="6">
        <v>4.0959040959040897E-2</v>
      </c>
      <c r="C3836" s="6">
        <v>0.187265672445079</v>
      </c>
    </row>
    <row r="3837" spans="1:3" s="8" customFormat="1" x14ac:dyDescent="0.2">
      <c r="A3837" s="6" t="str">
        <f>"TSNAX"</f>
        <v>TSNAX</v>
      </c>
      <c r="B3837" s="6">
        <v>4.0959040959040897E-2</v>
      </c>
      <c r="C3837" s="6">
        <v>0.187265672445079</v>
      </c>
    </row>
    <row r="3838" spans="1:3" s="8" customFormat="1" x14ac:dyDescent="0.2">
      <c r="A3838" s="6" t="str">
        <f>"XPNPEP3"</f>
        <v>XPNPEP3</v>
      </c>
      <c r="B3838" s="6">
        <v>4.0959040959040897E-2</v>
      </c>
      <c r="C3838" s="6">
        <v>0.187265672445079</v>
      </c>
    </row>
    <row r="3839" spans="1:3" s="8" customFormat="1" x14ac:dyDescent="0.2">
      <c r="A3839" s="6" t="str">
        <f>"POGZ"</f>
        <v>POGZ</v>
      </c>
      <c r="B3839" s="6">
        <v>4.0959040959040897E-2</v>
      </c>
      <c r="C3839" s="6">
        <v>0.187265672445079</v>
      </c>
    </row>
    <row r="3840" spans="1:3" s="8" customFormat="1" x14ac:dyDescent="0.2">
      <c r="A3840" s="6" t="str">
        <f>"EPHB4"</f>
        <v>EPHB4</v>
      </c>
      <c r="B3840" s="6">
        <v>4.0959040959040897E-2</v>
      </c>
      <c r="C3840" s="6">
        <v>0.187265672445079</v>
      </c>
    </row>
    <row r="3841" spans="1:3" s="8" customFormat="1" x14ac:dyDescent="0.2">
      <c r="A3841" s="6" t="str">
        <f>"SH3KBP1"</f>
        <v>SH3KBP1</v>
      </c>
      <c r="B3841" s="6">
        <v>4.0959040959040897E-2</v>
      </c>
      <c r="C3841" s="6">
        <v>0.187265672445079</v>
      </c>
    </row>
    <row r="3842" spans="1:3" s="8" customFormat="1" x14ac:dyDescent="0.2">
      <c r="A3842" s="6" t="str">
        <f>"ABCB11"</f>
        <v>ABCB11</v>
      </c>
      <c r="B3842" s="6">
        <v>4.0959040959040897E-2</v>
      </c>
      <c r="C3842" s="6">
        <v>0.187265672445079</v>
      </c>
    </row>
    <row r="3843" spans="1:3" s="8" customFormat="1" x14ac:dyDescent="0.2">
      <c r="A3843" s="6" t="str">
        <f>"SULF2"</f>
        <v>SULF2</v>
      </c>
      <c r="B3843" s="6">
        <v>4.0959040959040897E-2</v>
      </c>
      <c r="C3843" s="6">
        <v>0.187265672445079</v>
      </c>
    </row>
    <row r="3844" spans="1:3" s="8" customFormat="1" x14ac:dyDescent="0.2">
      <c r="A3844" s="6" t="str">
        <f>"FCGRT"</f>
        <v>FCGRT</v>
      </c>
      <c r="B3844" s="6">
        <v>4.0959040959040897E-2</v>
      </c>
      <c r="C3844" s="6">
        <v>0.187265672445079</v>
      </c>
    </row>
    <row r="3845" spans="1:3" s="8" customFormat="1" x14ac:dyDescent="0.2">
      <c r="A3845" s="6" t="str">
        <f>"TF"</f>
        <v>TF</v>
      </c>
      <c r="B3845" s="6">
        <v>4.0959040959040897E-2</v>
      </c>
      <c r="C3845" s="6">
        <v>0.187265672445079</v>
      </c>
    </row>
    <row r="3846" spans="1:3" s="8" customFormat="1" x14ac:dyDescent="0.2">
      <c r="A3846" s="6" t="str">
        <f>"CTSD"</f>
        <v>CTSD</v>
      </c>
      <c r="B3846" s="6">
        <v>4.0959040959040897E-2</v>
      </c>
      <c r="C3846" s="6">
        <v>0.187265672445079</v>
      </c>
    </row>
    <row r="3847" spans="1:3" s="8" customFormat="1" x14ac:dyDescent="0.2">
      <c r="A3847" s="6" t="str">
        <f>"B2M"</f>
        <v>B2M</v>
      </c>
      <c r="B3847" s="6">
        <v>4.0959040959040897E-2</v>
      </c>
      <c r="C3847" s="6">
        <v>0.187265672445079</v>
      </c>
    </row>
    <row r="3848" spans="1:3" s="8" customFormat="1" x14ac:dyDescent="0.2">
      <c r="A3848" s="6" t="str">
        <f>"AC021127.1"</f>
        <v>AC021127.1</v>
      </c>
      <c r="B3848" s="6">
        <v>4.1000000000000002E-2</v>
      </c>
      <c r="C3848" s="6">
        <v>0.18730683294362099</v>
      </c>
    </row>
    <row r="3849" spans="1:3" s="8" customFormat="1" x14ac:dyDescent="0.2">
      <c r="A3849" s="6" t="str">
        <f>"AP001547.1"</f>
        <v>AP001547.1</v>
      </c>
      <c r="B3849" s="6">
        <v>4.1000000000000002E-2</v>
      </c>
      <c r="C3849" s="6">
        <v>0.18730683294362099</v>
      </c>
    </row>
    <row r="3850" spans="1:3" s="8" customFormat="1" x14ac:dyDescent="0.2">
      <c r="A3850" s="6" t="str">
        <f>"AC135050.5"</f>
        <v>AC135050.5</v>
      </c>
      <c r="B3850" s="6">
        <v>4.0983606557376998E-2</v>
      </c>
      <c r="C3850" s="6">
        <v>0.18730683294362099</v>
      </c>
    </row>
    <row r="3851" spans="1:3" s="8" customFormat="1" x14ac:dyDescent="0.2">
      <c r="A3851" s="6" t="str">
        <f>"AKR1C8P"</f>
        <v>AKR1C8P</v>
      </c>
      <c r="B3851" s="6">
        <v>4.1365046535677297E-2</v>
      </c>
      <c r="C3851" s="6">
        <v>0.18892544890476601</v>
      </c>
    </row>
    <row r="3852" spans="1:3" s="8" customFormat="1" x14ac:dyDescent="0.2">
      <c r="A3852" s="6" t="str">
        <f>"AL596442.4"</f>
        <v>AL596442.4</v>
      </c>
      <c r="B3852" s="6">
        <v>4.2000000000000003E-2</v>
      </c>
      <c r="C3852" s="6">
        <v>0.18956057494866499</v>
      </c>
    </row>
    <row r="3853" spans="1:3" s="8" customFormat="1" x14ac:dyDescent="0.2">
      <c r="A3853" s="6" t="str">
        <f>"TRBV4-2"</f>
        <v>TRBV4-2</v>
      </c>
      <c r="B3853" s="6">
        <v>4.1958041958041897E-2</v>
      </c>
      <c r="C3853" s="6">
        <v>0.18956057494866499</v>
      </c>
    </row>
    <row r="3854" spans="1:3" s="8" customFormat="1" x14ac:dyDescent="0.2">
      <c r="A3854" s="6" t="str">
        <f>"TNNT2"</f>
        <v>TNNT2</v>
      </c>
      <c r="B3854" s="6">
        <v>4.2000000000000003E-2</v>
      </c>
      <c r="C3854" s="6">
        <v>0.18956057494866499</v>
      </c>
    </row>
    <row r="3855" spans="1:3" s="8" customFormat="1" x14ac:dyDescent="0.2">
      <c r="A3855" s="6" t="str">
        <f>"RN7SL524P"</f>
        <v>RN7SL524P</v>
      </c>
      <c r="B3855" s="6">
        <v>4.1958041958041897E-2</v>
      </c>
      <c r="C3855" s="6">
        <v>0.18956057494866499</v>
      </c>
    </row>
    <row r="3856" spans="1:3" s="8" customFormat="1" x14ac:dyDescent="0.2">
      <c r="A3856" s="6" t="str">
        <f>"RASL10B"</f>
        <v>RASL10B</v>
      </c>
      <c r="B3856" s="6">
        <v>4.2000000000000003E-2</v>
      </c>
      <c r="C3856" s="6">
        <v>0.18956057494866499</v>
      </c>
    </row>
    <row r="3857" spans="1:3" s="8" customFormat="1" x14ac:dyDescent="0.2">
      <c r="A3857" s="6" t="str">
        <f>"AC133555.3"</f>
        <v>AC133555.3</v>
      </c>
      <c r="B3857" s="6">
        <v>4.1958041958041897E-2</v>
      </c>
      <c r="C3857" s="6">
        <v>0.18956057494866499</v>
      </c>
    </row>
    <row r="3858" spans="1:3" s="8" customFormat="1" x14ac:dyDescent="0.2">
      <c r="A3858" s="6" t="str">
        <f>"ZFP37"</f>
        <v>ZFP37</v>
      </c>
      <c r="B3858" s="6">
        <v>4.1958041958041897E-2</v>
      </c>
      <c r="C3858" s="6">
        <v>0.18956057494866499</v>
      </c>
    </row>
    <row r="3859" spans="1:3" s="8" customFormat="1" x14ac:dyDescent="0.2">
      <c r="A3859" s="6" t="str">
        <f>"LINC01554"</f>
        <v>LINC01554</v>
      </c>
      <c r="B3859" s="6">
        <v>4.1958041958041897E-2</v>
      </c>
      <c r="C3859" s="6">
        <v>0.18956057494866499</v>
      </c>
    </row>
    <row r="3860" spans="1:3" s="8" customFormat="1" x14ac:dyDescent="0.2">
      <c r="A3860" s="6" t="str">
        <f>"AC026273.1"</f>
        <v>AC026273.1</v>
      </c>
      <c r="B3860" s="6">
        <v>4.1958041958041897E-2</v>
      </c>
      <c r="C3860" s="6">
        <v>0.18956057494866499</v>
      </c>
    </row>
    <row r="3861" spans="1:3" s="8" customFormat="1" x14ac:dyDescent="0.2">
      <c r="A3861" s="6" t="str">
        <f>"ANGPT1"</f>
        <v>ANGPT1</v>
      </c>
      <c r="B3861" s="6">
        <v>4.1958041958041897E-2</v>
      </c>
      <c r="C3861" s="6">
        <v>0.18956057494866499</v>
      </c>
    </row>
    <row r="3862" spans="1:3" s="8" customFormat="1" x14ac:dyDescent="0.2">
      <c r="A3862" s="6" t="str">
        <f>"SEC16B"</f>
        <v>SEC16B</v>
      </c>
      <c r="B3862" s="6">
        <v>4.1958041958041897E-2</v>
      </c>
      <c r="C3862" s="6">
        <v>0.18956057494866499</v>
      </c>
    </row>
    <row r="3863" spans="1:3" s="8" customFormat="1" x14ac:dyDescent="0.2">
      <c r="A3863" s="6" t="str">
        <f>"KRT42P"</f>
        <v>KRT42P</v>
      </c>
      <c r="B3863" s="6">
        <v>4.1958041958041897E-2</v>
      </c>
      <c r="C3863" s="6">
        <v>0.18956057494866499</v>
      </c>
    </row>
    <row r="3864" spans="1:3" s="8" customFormat="1" x14ac:dyDescent="0.2">
      <c r="A3864" s="6" t="str">
        <f>"TEKT3"</f>
        <v>TEKT3</v>
      </c>
      <c r="B3864" s="6">
        <v>4.2000000000000003E-2</v>
      </c>
      <c r="C3864" s="6">
        <v>0.18956057494866499</v>
      </c>
    </row>
    <row r="3865" spans="1:3" s="8" customFormat="1" x14ac:dyDescent="0.2">
      <c r="A3865" s="6" t="str">
        <f>"FAM185A"</f>
        <v>FAM185A</v>
      </c>
      <c r="B3865" s="6">
        <v>4.1958041958041897E-2</v>
      </c>
      <c r="C3865" s="6">
        <v>0.18956057494866499</v>
      </c>
    </row>
    <row r="3866" spans="1:3" s="8" customFormat="1" x14ac:dyDescent="0.2">
      <c r="A3866" s="6" t="str">
        <f>"FOSL1"</f>
        <v>FOSL1</v>
      </c>
      <c r="B3866" s="6">
        <v>4.1958041958041897E-2</v>
      </c>
      <c r="C3866" s="6">
        <v>0.18956057494866499</v>
      </c>
    </row>
    <row r="3867" spans="1:3" s="8" customFormat="1" x14ac:dyDescent="0.2">
      <c r="A3867" s="6" t="str">
        <f>"AC012368.1"</f>
        <v>AC012368.1</v>
      </c>
      <c r="B3867" s="6">
        <v>4.1958041958041897E-2</v>
      </c>
      <c r="C3867" s="6">
        <v>0.18956057494866499</v>
      </c>
    </row>
    <row r="3868" spans="1:3" s="8" customFormat="1" x14ac:dyDescent="0.2">
      <c r="A3868" s="6" t="str">
        <f>"XRCC4"</f>
        <v>XRCC4</v>
      </c>
      <c r="B3868" s="6">
        <v>4.2000000000000003E-2</v>
      </c>
      <c r="C3868" s="6">
        <v>0.18956057494866499</v>
      </c>
    </row>
    <row r="3869" spans="1:3" s="8" customFormat="1" x14ac:dyDescent="0.2">
      <c r="A3869" s="6" t="str">
        <f>"OR7E22P"</f>
        <v>OR7E22P</v>
      </c>
      <c r="B3869" s="6">
        <v>4.1958041958041897E-2</v>
      </c>
      <c r="C3869" s="6">
        <v>0.18956057494866499</v>
      </c>
    </row>
    <row r="3870" spans="1:3" s="8" customFormat="1" x14ac:dyDescent="0.2">
      <c r="A3870" s="6" t="str">
        <f>"GCOM1"</f>
        <v>GCOM1</v>
      </c>
      <c r="B3870" s="6">
        <v>4.1958041958041897E-2</v>
      </c>
      <c r="C3870" s="6">
        <v>0.18956057494866499</v>
      </c>
    </row>
    <row r="3871" spans="1:3" s="8" customFormat="1" x14ac:dyDescent="0.2">
      <c r="A3871" s="6" t="str">
        <f>"SAPCD2"</f>
        <v>SAPCD2</v>
      </c>
      <c r="B3871" s="6">
        <v>4.1958041958041897E-2</v>
      </c>
      <c r="C3871" s="6">
        <v>0.18956057494866499</v>
      </c>
    </row>
    <row r="3872" spans="1:3" s="8" customFormat="1" x14ac:dyDescent="0.2">
      <c r="A3872" s="6" t="str">
        <f>"EPS8L3"</f>
        <v>EPS8L3</v>
      </c>
      <c r="B3872" s="6">
        <v>4.1958041958041897E-2</v>
      </c>
      <c r="C3872" s="6">
        <v>0.18956057494866499</v>
      </c>
    </row>
    <row r="3873" spans="1:3" s="8" customFormat="1" x14ac:dyDescent="0.2">
      <c r="A3873" s="6" t="str">
        <f>"RNGTT"</f>
        <v>RNGTT</v>
      </c>
      <c r="B3873" s="6">
        <v>4.1958041958041897E-2</v>
      </c>
      <c r="C3873" s="6">
        <v>0.18956057494866499</v>
      </c>
    </row>
    <row r="3874" spans="1:3" s="8" customFormat="1" x14ac:dyDescent="0.2">
      <c r="A3874" s="6" t="str">
        <f>"NCKAP1L"</f>
        <v>NCKAP1L</v>
      </c>
      <c r="B3874" s="6">
        <v>4.1958041958041897E-2</v>
      </c>
      <c r="C3874" s="6">
        <v>0.18956057494866499</v>
      </c>
    </row>
    <row r="3875" spans="1:3" s="8" customFormat="1" x14ac:dyDescent="0.2">
      <c r="A3875" s="6" t="str">
        <f>"C14orf93"</f>
        <v>C14orf93</v>
      </c>
      <c r="B3875" s="6">
        <v>4.1958041958041897E-2</v>
      </c>
      <c r="C3875" s="6">
        <v>0.18956057494866499</v>
      </c>
    </row>
    <row r="3876" spans="1:3" s="8" customFormat="1" x14ac:dyDescent="0.2">
      <c r="A3876" s="6" t="str">
        <f>"IYD"</f>
        <v>IYD</v>
      </c>
      <c r="B3876" s="6">
        <v>4.1958041958041897E-2</v>
      </c>
      <c r="C3876" s="6">
        <v>0.18956057494866499</v>
      </c>
    </row>
    <row r="3877" spans="1:3" s="8" customFormat="1" x14ac:dyDescent="0.2">
      <c r="A3877" s="6" t="str">
        <f>"SLC25A17"</f>
        <v>SLC25A17</v>
      </c>
      <c r="B3877" s="6">
        <v>4.1958041958041897E-2</v>
      </c>
      <c r="C3877" s="6">
        <v>0.18956057494866499</v>
      </c>
    </row>
    <row r="3878" spans="1:3" s="8" customFormat="1" x14ac:dyDescent="0.2">
      <c r="A3878" s="6" t="str">
        <f>"ERI1"</f>
        <v>ERI1</v>
      </c>
      <c r="B3878" s="6">
        <v>4.1958041958041897E-2</v>
      </c>
      <c r="C3878" s="6">
        <v>0.18956057494866499</v>
      </c>
    </row>
    <row r="3879" spans="1:3" s="8" customFormat="1" x14ac:dyDescent="0.2">
      <c r="A3879" s="6" t="str">
        <f>"TRMT5"</f>
        <v>TRMT5</v>
      </c>
      <c r="B3879" s="6">
        <v>4.1958041958041897E-2</v>
      </c>
      <c r="C3879" s="6">
        <v>0.18956057494866499</v>
      </c>
    </row>
    <row r="3880" spans="1:3" s="8" customFormat="1" x14ac:dyDescent="0.2">
      <c r="A3880" s="6" t="str">
        <f>"ARV1"</f>
        <v>ARV1</v>
      </c>
      <c r="B3880" s="6">
        <v>4.1958041958041897E-2</v>
      </c>
      <c r="C3880" s="6">
        <v>0.18956057494866499</v>
      </c>
    </row>
    <row r="3881" spans="1:3" s="8" customFormat="1" x14ac:dyDescent="0.2">
      <c r="A3881" s="6" t="str">
        <f>"CHCHD1"</f>
        <v>CHCHD1</v>
      </c>
      <c r="B3881" s="6">
        <v>4.1958041958041897E-2</v>
      </c>
      <c r="C3881" s="6">
        <v>0.18956057494866499</v>
      </c>
    </row>
    <row r="3882" spans="1:3" s="8" customFormat="1" x14ac:dyDescent="0.2">
      <c r="A3882" s="6" t="str">
        <f>"SLC39A13"</f>
        <v>SLC39A13</v>
      </c>
      <c r="B3882" s="6">
        <v>4.1958041958041897E-2</v>
      </c>
      <c r="C3882" s="6">
        <v>0.18956057494866499</v>
      </c>
    </row>
    <row r="3883" spans="1:3" s="8" customFormat="1" x14ac:dyDescent="0.2">
      <c r="A3883" s="6" t="str">
        <f>"TSPYL2"</f>
        <v>TSPYL2</v>
      </c>
      <c r="B3883" s="6">
        <v>4.1958041958041897E-2</v>
      </c>
      <c r="C3883" s="6">
        <v>0.18956057494866499</v>
      </c>
    </row>
    <row r="3884" spans="1:3" s="8" customFormat="1" x14ac:dyDescent="0.2">
      <c r="A3884" s="6" t="str">
        <f>"USB1"</f>
        <v>USB1</v>
      </c>
      <c r="B3884" s="6">
        <v>4.1958041958041897E-2</v>
      </c>
      <c r="C3884" s="6">
        <v>0.18956057494866499</v>
      </c>
    </row>
    <row r="3885" spans="1:3" s="8" customFormat="1" x14ac:dyDescent="0.2">
      <c r="A3885" s="6" t="str">
        <f>"PHC1"</f>
        <v>PHC1</v>
      </c>
      <c r="B3885" s="6">
        <v>4.1958041958041897E-2</v>
      </c>
      <c r="C3885" s="6">
        <v>0.18956057494866499</v>
      </c>
    </row>
    <row r="3886" spans="1:3" s="8" customFormat="1" x14ac:dyDescent="0.2">
      <c r="A3886" s="6" t="str">
        <f>"URM1"</f>
        <v>URM1</v>
      </c>
      <c r="B3886" s="6">
        <v>4.1958041958041897E-2</v>
      </c>
      <c r="C3886" s="6">
        <v>0.18956057494866499</v>
      </c>
    </row>
    <row r="3887" spans="1:3" s="8" customFormat="1" x14ac:dyDescent="0.2">
      <c r="A3887" s="6" t="str">
        <f>"FRAT2"</f>
        <v>FRAT2</v>
      </c>
      <c r="B3887" s="6">
        <v>4.1958041958041897E-2</v>
      </c>
      <c r="C3887" s="6">
        <v>0.18956057494866499</v>
      </c>
    </row>
    <row r="3888" spans="1:3" s="8" customFormat="1" x14ac:dyDescent="0.2">
      <c r="A3888" s="6" t="str">
        <f>"RITA1"</f>
        <v>RITA1</v>
      </c>
      <c r="B3888" s="6">
        <v>4.1958041958041897E-2</v>
      </c>
      <c r="C3888" s="6">
        <v>0.18956057494866499</v>
      </c>
    </row>
    <row r="3889" spans="1:3" s="8" customFormat="1" x14ac:dyDescent="0.2">
      <c r="A3889" s="6" t="str">
        <f>"PSKH1"</f>
        <v>PSKH1</v>
      </c>
      <c r="B3889" s="6">
        <v>4.1958041958041897E-2</v>
      </c>
      <c r="C3889" s="6">
        <v>0.18956057494866499</v>
      </c>
    </row>
    <row r="3890" spans="1:3" s="8" customFormat="1" x14ac:dyDescent="0.2">
      <c r="A3890" s="6" t="str">
        <f>"DHCR7"</f>
        <v>DHCR7</v>
      </c>
      <c r="B3890" s="6">
        <v>4.1958041958041897E-2</v>
      </c>
      <c r="C3890" s="6">
        <v>0.18956057494866499</v>
      </c>
    </row>
    <row r="3891" spans="1:3" s="8" customFormat="1" x14ac:dyDescent="0.2">
      <c r="A3891" s="6" t="str">
        <f>"HDAC3"</f>
        <v>HDAC3</v>
      </c>
      <c r="B3891" s="6">
        <v>4.1958041958041897E-2</v>
      </c>
      <c r="C3891" s="6">
        <v>0.18956057494866499</v>
      </c>
    </row>
    <row r="3892" spans="1:3" s="8" customFormat="1" x14ac:dyDescent="0.2">
      <c r="A3892" s="6" t="str">
        <f>"SPRYD3"</f>
        <v>SPRYD3</v>
      </c>
      <c r="B3892" s="6">
        <v>4.2000000000000003E-2</v>
      </c>
      <c r="C3892" s="6">
        <v>0.18956057494866499</v>
      </c>
    </row>
    <row r="3893" spans="1:3" s="8" customFormat="1" x14ac:dyDescent="0.2">
      <c r="A3893" s="6" t="str">
        <f>"RBBP4"</f>
        <v>RBBP4</v>
      </c>
      <c r="B3893" s="6">
        <v>4.1958041958041897E-2</v>
      </c>
      <c r="C3893" s="6">
        <v>0.18956057494866499</v>
      </c>
    </row>
    <row r="3894" spans="1:3" s="8" customFormat="1" x14ac:dyDescent="0.2">
      <c r="A3894" s="6" t="str">
        <f>"YPEL5"</f>
        <v>YPEL5</v>
      </c>
      <c r="B3894" s="6">
        <v>4.1958041958041897E-2</v>
      </c>
      <c r="C3894" s="6">
        <v>0.18956057494866499</v>
      </c>
    </row>
    <row r="3895" spans="1:3" s="8" customFormat="1" x14ac:dyDescent="0.2">
      <c r="A3895" s="6" t="str">
        <f>"PPP1R16A"</f>
        <v>PPP1R16A</v>
      </c>
      <c r="B3895" s="6">
        <v>4.1958041958041897E-2</v>
      </c>
      <c r="C3895" s="6">
        <v>0.18956057494866499</v>
      </c>
    </row>
    <row r="3896" spans="1:3" s="8" customFormat="1" x14ac:dyDescent="0.2">
      <c r="A3896" s="6" t="str">
        <f>"LAMA5"</f>
        <v>LAMA5</v>
      </c>
      <c r="B3896" s="6">
        <v>4.1958041958041897E-2</v>
      </c>
      <c r="C3896" s="6">
        <v>0.18956057494866499</v>
      </c>
    </row>
    <row r="3897" spans="1:3" s="8" customFormat="1" x14ac:dyDescent="0.2">
      <c r="A3897" s="6" t="str">
        <f>"PNPLA2"</f>
        <v>PNPLA2</v>
      </c>
      <c r="B3897" s="6">
        <v>4.1958041958041897E-2</v>
      </c>
      <c r="C3897" s="6">
        <v>0.18956057494866499</v>
      </c>
    </row>
    <row r="3898" spans="1:3" s="8" customFormat="1" x14ac:dyDescent="0.2">
      <c r="A3898" s="6" t="str">
        <f>"AC137932.3"</f>
        <v>AC137932.3</v>
      </c>
      <c r="B3898" s="6">
        <v>4.2042042042041997E-2</v>
      </c>
      <c r="C3898" s="6">
        <v>0.18965296748775401</v>
      </c>
    </row>
    <row r="3899" spans="1:3" s="8" customFormat="1" x14ac:dyDescent="0.2">
      <c r="A3899" s="6" t="str">
        <f>"LARP1"</f>
        <v>LARP1</v>
      </c>
      <c r="B3899" s="6">
        <v>4.2042042042041997E-2</v>
      </c>
      <c r="C3899" s="6">
        <v>0.18965296748775401</v>
      </c>
    </row>
    <row r="3900" spans="1:3" s="8" customFormat="1" x14ac:dyDescent="0.2">
      <c r="A3900" s="6" t="str">
        <f>"ZNF460-AS1"</f>
        <v>ZNF460-AS1</v>
      </c>
      <c r="B3900" s="6">
        <v>4.2168674698795101E-2</v>
      </c>
      <c r="C3900" s="6">
        <v>0.19017542341718699</v>
      </c>
    </row>
    <row r="3901" spans="1:3" s="8" customFormat="1" x14ac:dyDescent="0.2">
      <c r="A3901" s="6" t="str">
        <f>"GRM8"</f>
        <v>GRM8</v>
      </c>
      <c r="B3901" s="6">
        <v>4.2957042957042897E-2</v>
      </c>
      <c r="C3901" s="6">
        <v>0.19205283210566401</v>
      </c>
    </row>
    <row r="3902" spans="1:3" s="8" customFormat="1" x14ac:dyDescent="0.2">
      <c r="A3902" s="6" t="str">
        <f>"CR2"</f>
        <v>CR2</v>
      </c>
      <c r="B3902" s="6">
        <v>4.2957042957042897E-2</v>
      </c>
      <c r="C3902" s="6">
        <v>0.19205283210566401</v>
      </c>
    </row>
    <row r="3903" spans="1:3" s="8" customFormat="1" x14ac:dyDescent="0.2">
      <c r="A3903" s="6" t="str">
        <f>"AC020913.2"</f>
        <v>AC020913.2</v>
      </c>
      <c r="B3903" s="6">
        <v>4.2957042957042897E-2</v>
      </c>
      <c r="C3903" s="6">
        <v>0.19205283210566401</v>
      </c>
    </row>
    <row r="3904" spans="1:3" s="8" customFormat="1" x14ac:dyDescent="0.2">
      <c r="A3904" s="6" t="str">
        <f>"OR11G2"</f>
        <v>OR11G2</v>
      </c>
      <c r="B3904" s="6">
        <v>4.2957042957042897E-2</v>
      </c>
      <c r="C3904" s="6">
        <v>0.19205283210566401</v>
      </c>
    </row>
    <row r="3905" spans="1:3" s="8" customFormat="1" x14ac:dyDescent="0.2">
      <c r="A3905" s="6" t="str">
        <f>"ACTBP13"</f>
        <v>ACTBP13</v>
      </c>
      <c r="B3905" s="6">
        <v>4.2999999999999997E-2</v>
      </c>
      <c r="C3905" s="6">
        <v>0.19205283210566401</v>
      </c>
    </row>
    <row r="3906" spans="1:3" s="8" customFormat="1" x14ac:dyDescent="0.2">
      <c r="A3906" s="6" t="str">
        <f>"AC092184.2"</f>
        <v>AC092184.2</v>
      </c>
      <c r="B3906" s="6">
        <v>4.2957042957042897E-2</v>
      </c>
      <c r="C3906" s="6">
        <v>0.19205283210566401</v>
      </c>
    </row>
    <row r="3907" spans="1:3" s="8" customFormat="1" x14ac:dyDescent="0.2">
      <c r="A3907" s="6" t="str">
        <f>"GSTA7P"</f>
        <v>GSTA7P</v>
      </c>
      <c r="B3907" s="6">
        <v>4.2957042957042897E-2</v>
      </c>
      <c r="C3907" s="6">
        <v>0.19205283210566401</v>
      </c>
    </row>
    <row r="3908" spans="1:3" s="8" customFormat="1" x14ac:dyDescent="0.2">
      <c r="A3908" s="6" t="str">
        <f>"CXCL12"</f>
        <v>CXCL12</v>
      </c>
      <c r="B3908" s="6">
        <v>4.2957042957042897E-2</v>
      </c>
      <c r="C3908" s="6">
        <v>0.19205283210566401</v>
      </c>
    </row>
    <row r="3909" spans="1:3" s="8" customFormat="1" x14ac:dyDescent="0.2">
      <c r="A3909" s="6" t="str">
        <f>"CLDN19"</f>
        <v>CLDN19</v>
      </c>
      <c r="B3909" s="6">
        <v>4.2957042957042897E-2</v>
      </c>
      <c r="C3909" s="6">
        <v>0.19205283210566401</v>
      </c>
    </row>
    <row r="3910" spans="1:3" s="8" customFormat="1" x14ac:dyDescent="0.2">
      <c r="A3910" s="6" t="str">
        <f>"AC104506.1"</f>
        <v>AC104506.1</v>
      </c>
      <c r="B3910" s="6">
        <v>4.2957042957042897E-2</v>
      </c>
      <c r="C3910" s="6">
        <v>0.19205283210566401</v>
      </c>
    </row>
    <row r="3911" spans="1:3" s="8" customFormat="1" x14ac:dyDescent="0.2">
      <c r="A3911" s="6" t="str">
        <f>"CCDC178"</f>
        <v>CCDC178</v>
      </c>
      <c r="B3911" s="6">
        <v>4.2999999999999997E-2</v>
      </c>
      <c r="C3911" s="6">
        <v>0.19205283210566401</v>
      </c>
    </row>
    <row r="3912" spans="1:3" s="8" customFormat="1" x14ac:dyDescent="0.2">
      <c r="A3912" s="6" t="str">
        <f>"AC090061.1"</f>
        <v>AC090061.1</v>
      </c>
      <c r="B3912" s="6">
        <v>4.2999999999999997E-2</v>
      </c>
      <c r="C3912" s="6">
        <v>0.19205283210566401</v>
      </c>
    </row>
    <row r="3913" spans="1:3" s="8" customFormat="1" x14ac:dyDescent="0.2">
      <c r="A3913" s="6" t="str">
        <f>"PPP1R14B-AS1"</f>
        <v>PPP1R14B-AS1</v>
      </c>
      <c r="B3913" s="6">
        <v>4.2957042957042897E-2</v>
      </c>
      <c r="C3913" s="6">
        <v>0.19205283210566401</v>
      </c>
    </row>
    <row r="3914" spans="1:3" s="8" customFormat="1" x14ac:dyDescent="0.2">
      <c r="A3914" s="6" t="str">
        <f>"AC006460.2"</f>
        <v>AC006460.2</v>
      </c>
      <c r="B3914" s="6">
        <v>4.2957042957042897E-2</v>
      </c>
      <c r="C3914" s="6">
        <v>0.19205283210566401</v>
      </c>
    </row>
    <row r="3915" spans="1:3" s="8" customFormat="1" x14ac:dyDescent="0.2">
      <c r="A3915" s="6" t="str">
        <f>"LSP1P4"</f>
        <v>LSP1P4</v>
      </c>
      <c r="B3915" s="6">
        <v>4.2957042957042897E-2</v>
      </c>
      <c r="C3915" s="6">
        <v>0.19205283210566401</v>
      </c>
    </row>
    <row r="3916" spans="1:3" s="8" customFormat="1" x14ac:dyDescent="0.2">
      <c r="A3916" s="6" t="str">
        <f>"TMEM200B"</f>
        <v>TMEM200B</v>
      </c>
      <c r="B3916" s="6">
        <v>4.2957042957042897E-2</v>
      </c>
      <c r="C3916" s="6">
        <v>0.19205283210566401</v>
      </c>
    </row>
    <row r="3917" spans="1:3" s="8" customFormat="1" x14ac:dyDescent="0.2">
      <c r="A3917" s="6" t="str">
        <f>"AP000295.1"</f>
        <v>AP000295.1</v>
      </c>
      <c r="B3917" s="6">
        <v>4.2957042957042897E-2</v>
      </c>
      <c r="C3917" s="6">
        <v>0.19205283210566401</v>
      </c>
    </row>
    <row r="3918" spans="1:3" s="8" customFormat="1" x14ac:dyDescent="0.2">
      <c r="A3918" s="6" t="str">
        <f>"SLC22A20P"</f>
        <v>SLC22A20P</v>
      </c>
      <c r="B3918" s="6">
        <v>4.2957042957042897E-2</v>
      </c>
      <c r="C3918" s="6">
        <v>0.19205283210566401</v>
      </c>
    </row>
    <row r="3919" spans="1:3" s="8" customFormat="1" x14ac:dyDescent="0.2">
      <c r="A3919" s="6" t="str">
        <f>"C1QL2"</f>
        <v>C1QL2</v>
      </c>
      <c r="B3919" s="6">
        <v>4.2957042957042897E-2</v>
      </c>
      <c r="C3919" s="6">
        <v>0.19205283210566401</v>
      </c>
    </row>
    <row r="3920" spans="1:3" s="8" customFormat="1" x14ac:dyDescent="0.2">
      <c r="A3920" s="6" t="str">
        <f>"ZNF583"</f>
        <v>ZNF583</v>
      </c>
      <c r="B3920" s="6">
        <v>4.2957042957042897E-2</v>
      </c>
      <c r="C3920" s="6">
        <v>0.19205283210566401</v>
      </c>
    </row>
    <row r="3921" spans="1:3" s="8" customFormat="1" x14ac:dyDescent="0.2">
      <c r="A3921" s="6" t="str">
        <f>"IRF8"</f>
        <v>IRF8</v>
      </c>
      <c r="B3921" s="6">
        <v>4.2957042957042897E-2</v>
      </c>
      <c r="C3921" s="6">
        <v>0.19205283210566401</v>
      </c>
    </row>
    <row r="3922" spans="1:3" s="8" customFormat="1" x14ac:dyDescent="0.2">
      <c r="A3922" s="6" t="str">
        <f>"TMEM38B"</f>
        <v>TMEM38B</v>
      </c>
      <c r="B3922" s="6">
        <v>4.2957042957042897E-2</v>
      </c>
      <c r="C3922" s="6">
        <v>0.19205283210566401</v>
      </c>
    </row>
    <row r="3923" spans="1:3" s="8" customFormat="1" x14ac:dyDescent="0.2">
      <c r="A3923" s="6" t="str">
        <f>"FAM227B"</f>
        <v>FAM227B</v>
      </c>
      <c r="B3923" s="6">
        <v>4.2957042957042897E-2</v>
      </c>
      <c r="C3923" s="6">
        <v>0.19205283210566401</v>
      </c>
    </row>
    <row r="3924" spans="1:3" s="8" customFormat="1" x14ac:dyDescent="0.2">
      <c r="A3924" s="6" t="str">
        <f>"NSUN6"</f>
        <v>NSUN6</v>
      </c>
      <c r="B3924" s="6">
        <v>4.2957042957042897E-2</v>
      </c>
      <c r="C3924" s="6">
        <v>0.19205283210566401</v>
      </c>
    </row>
    <row r="3925" spans="1:3" s="8" customFormat="1" x14ac:dyDescent="0.2">
      <c r="A3925" s="6" t="str">
        <f>"LINC01315"</f>
        <v>LINC01315</v>
      </c>
      <c r="B3925" s="6">
        <v>4.2957042957042897E-2</v>
      </c>
      <c r="C3925" s="6">
        <v>0.19205283210566401</v>
      </c>
    </row>
    <row r="3926" spans="1:3" s="8" customFormat="1" x14ac:dyDescent="0.2">
      <c r="A3926" s="6" t="str">
        <f>"CLCNKB"</f>
        <v>CLCNKB</v>
      </c>
      <c r="B3926" s="6">
        <v>4.2957042957042897E-2</v>
      </c>
      <c r="C3926" s="6">
        <v>0.19205283210566401</v>
      </c>
    </row>
    <row r="3927" spans="1:3" s="8" customFormat="1" x14ac:dyDescent="0.2">
      <c r="A3927" s="6" t="str">
        <f>"MIEF2"</f>
        <v>MIEF2</v>
      </c>
      <c r="B3927" s="6">
        <v>4.2957042957042897E-2</v>
      </c>
      <c r="C3927" s="6">
        <v>0.19205283210566401</v>
      </c>
    </row>
    <row r="3928" spans="1:3" s="8" customFormat="1" x14ac:dyDescent="0.2">
      <c r="A3928" s="6" t="str">
        <f>"GBE1"</f>
        <v>GBE1</v>
      </c>
      <c r="B3928" s="6">
        <v>4.2957042957042897E-2</v>
      </c>
      <c r="C3928" s="6">
        <v>0.19205283210566401</v>
      </c>
    </row>
    <row r="3929" spans="1:3" s="8" customFormat="1" x14ac:dyDescent="0.2">
      <c r="A3929" s="6" t="str">
        <f>"MRPL24"</f>
        <v>MRPL24</v>
      </c>
      <c r="B3929" s="6">
        <v>4.2957042957042897E-2</v>
      </c>
      <c r="C3929" s="6">
        <v>0.19205283210566401</v>
      </c>
    </row>
    <row r="3930" spans="1:3" s="8" customFormat="1" x14ac:dyDescent="0.2">
      <c r="A3930" s="6" t="str">
        <f>"GOT1"</f>
        <v>GOT1</v>
      </c>
      <c r="B3930" s="6">
        <v>4.2957042957042897E-2</v>
      </c>
      <c r="C3930" s="6">
        <v>0.19205283210566401</v>
      </c>
    </row>
    <row r="3931" spans="1:3" s="8" customFormat="1" x14ac:dyDescent="0.2">
      <c r="A3931" s="6" t="str">
        <f>"BIN3"</f>
        <v>BIN3</v>
      </c>
      <c r="B3931" s="6">
        <v>4.2957042957042897E-2</v>
      </c>
      <c r="C3931" s="6">
        <v>0.19205283210566401</v>
      </c>
    </row>
    <row r="3932" spans="1:3" s="8" customFormat="1" x14ac:dyDescent="0.2">
      <c r="A3932" s="6" t="str">
        <f>"PPP1R14B"</f>
        <v>PPP1R14B</v>
      </c>
      <c r="B3932" s="6">
        <v>4.2957042957042897E-2</v>
      </c>
      <c r="C3932" s="6">
        <v>0.19205283210566401</v>
      </c>
    </row>
    <row r="3933" spans="1:3" s="8" customFormat="1" x14ac:dyDescent="0.2">
      <c r="A3933" s="6" t="str">
        <f>"MEGF9"</f>
        <v>MEGF9</v>
      </c>
      <c r="B3933" s="6">
        <v>4.2957042957042897E-2</v>
      </c>
      <c r="C3933" s="6">
        <v>0.19205283210566401</v>
      </c>
    </row>
    <row r="3934" spans="1:3" s="8" customFormat="1" x14ac:dyDescent="0.2">
      <c r="A3934" s="6" t="str">
        <f>"TLE4"</f>
        <v>TLE4</v>
      </c>
      <c r="B3934" s="6">
        <v>4.2957042957042897E-2</v>
      </c>
      <c r="C3934" s="6">
        <v>0.19205283210566401</v>
      </c>
    </row>
    <row r="3935" spans="1:3" s="8" customFormat="1" x14ac:dyDescent="0.2">
      <c r="A3935" s="6" t="str">
        <f>"ARSA"</f>
        <v>ARSA</v>
      </c>
      <c r="B3935" s="6">
        <v>4.2957042957042897E-2</v>
      </c>
      <c r="C3935" s="6">
        <v>0.19205283210566401</v>
      </c>
    </row>
    <row r="3936" spans="1:3" s="8" customFormat="1" x14ac:dyDescent="0.2">
      <c r="A3936" s="6" t="str">
        <f>"ARHGAP12"</f>
        <v>ARHGAP12</v>
      </c>
      <c r="B3936" s="6">
        <v>4.2957042957042897E-2</v>
      </c>
      <c r="C3936" s="6">
        <v>0.19205283210566401</v>
      </c>
    </row>
    <row r="3937" spans="1:3" s="8" customFormat="1" x14ac:dyDescent="0.2">
      <c r="A3937" s="6" t="str">
        <f>"ANKHD1"</f>
        <v>ANKHD1</v>
      </c>
      <c r="B3937" s="6">
        <v>4.2999999999999997E-2</v>
      </c>
      <c r="C3937" s="6">
        <v>0.19205283210566401</v>
      </c>
    </row>
    <row r="3938" spans="1:3" s="8" customFormat="1" x14ac:dyDescent="0.2">
      <c r="A3938" s="6" t="str">
        <f>"LAMB3"</f>
        <v>LAMB3</v>
      </c>
      <c r="B3938" s="6">
        <v>4.2957042957042897E-2</v>
      </c>
      <c r="C3938" s="6">
        <v>0.19205283210566401</v>
      </c>
    </row>
    <row r="3939" spans="1:3" s="8" customFormat="1" x14ac:dyDescent="0.2">
      <c r="A3939" s="6" t="str">
        <f>"SPA17"</f>
        <v>SPA17</v>
      </c>
      <c r="B3939" s="6">
        <v>4.3043043043043003E-2</v>
      </c>
      <c r="C3939" s="6">
        <v>0.19219625923536501</v>
      </c>
    </row>
    <row r="3940" spans="1:3" s="8" customFormat="1" x14ac:dyDescent="0.2">
      <c r="A3940" s="6" t="str">
        <f>"AC020907.5"</f>
        <v>AC020907.5</v>
      </c>
      <c r="B3940" s="6">
        <v>4.3999999999999997E-2</v>
      </c>
      <c r="C3940" s="6">
        <v>0.193957382802707</v>
      </c>
    </row>
    <row r="3941" spans="1:3" s="8" customFormat="1" x14ac:dyDescent="0.2">
      <c r="A3941" s="6" t="str">
        <f>"IGHV1-18"</f>
        <v>IGHV1-18</v>
      </c>
      <c r="B3941" s="6">
        <v>4.3956043956043897E-2</v>
      </c>
      <c r="C3941" s="6">
        <v>0.193957382802707</v>
      </c>
    </row>
    <row r="3942" spans="1:3" s="8" customFormat="1" x14ac:dyDescent="0.2">
      <c r="A3942" s="6" t="str">
        <f>"PRSS41"</f>
        <v>PRSS41</v>
      </c>
      <c r="B3942" s="6">
        <v>4.3956043956043897E-2</v>
      </c>
      <c r="C3942" s="6">
        <v>0.193957382802707</v>
      </c>
    </row>
    <row r="3943" spans="1:3" s="8" customFormat="1" x14ac:dyDescent="0.2">
      <c r="A3943" s="6" t="str">
        <f>"LINC01480"</f>
        <v>LINC01480</v>
      </c>
      <c r="B3943" s="6">
        <v>4.3956043956043897E-2</v>
      </c>
      <c r="C3943" s="6">
        <v>0.193957382802707</v>
      </c>
    </row>
    <row r="3944" spans="1:3" s="8" customFormat="1" x14ac:dyDescent="0.2">
      <c r="A3944" s="6" t="str">
        <f>"LINC-ROR"</f>
        <v>LINC-ROR</v>
      </c>
      <c r="B3944" s="6">
        <v>4.3956043956043897E-2</v>
      </c>
      <c r="C3944" s="6">
        <v>0.193957382802707</v>
      </c>
    </row>
    <row r="3945" spans="1:3" s="8" customFormat="1" x14ac:dyDescent="0.2">
      <c r="A3945" s="6" t="str">
        <f>"AC134772.1"</f>
        <v>AC134772.1</v>
      </c>
      <c r="B3945" s="6">
        <v>4.3999999999999997E-2</v>
      </c>
      <c r="C3945" s="6">
        <v>0.193957382802707</v>
      </c>
    </row>
    <row r="3946" spans="1:3" s="8" customFormat="1" x14ac:dyDescent="0.2">
      <c r="A3946" s="6" t="str">
        <f>"AC231981.1"</f>
        <v>AC231981.1</v>
      </c>
      <c r="B3946" s="6">
        <v>4.38775510204081E-2</v>
      </c>
      <c r="C3946" s="6">
        <v>0.193957382802707</v>
      </c>
    </row>
    <row r="3947" spans="1:3" s="8" customFormat="1" x14ac:dyDescent="0.2">
      <c r="A3947" s="6" t="str">
        <f>"SCN5A"</f>
        <v>SCN5A</v>
      </c>
      <c r="B3947" s="6">
        <v>4.3956043956043897E-2</v>
      </c>
      <c r="C3947" s="6">
        <v>0.193957382802707</v>
      </c>
    </row>
    <row r="3948" spans="1:3" s="8" customFormat="1" x14ac:dyDescent="0.2">
      <c r="A3948" s="6" t="str">
        <f>"ZFP57"</f>
        <v>ZFP57</v>
      </c>
      <c r="B3948" s="6">
        <v>4.3956043956043897E-2</v>
      </c>
      <c r="C3948" s="6">
        <v>0.193957382802707</v>
      </c>
    </row>
    <row r="3949" spans="1:3" s="8" customFormat="1" x14ac:dyDescent="0.2">
      <c r="A3949" s="6" t="str">
        <f>"H1-3"</f>
        <v>H1-3</v>
      </c>
      <c r="B3949" s="6">
        <v>4.3956043956043897E-2</v>
      </c>
      <c r="C3949" s="6">
        <v>0.193957382802707</v>
      </c>
    </row>
    <row r="3950" spans="1:3" s="8" customFormat="1" x14ac:dyDescent="0.2">
      <c r="A3950" s="6" t="str">
        <f>"NSMCE1-DT"</f>
        <v>NSMCE1-DT</v>
      </c>
      <c r="B3950" s="6">
        <v>4.3956043956043897E-2</v>
      </c>
      <c r="C3950" s="6">
        <v>0.193957382802707</v>
      </c>
    </row>
    <row r="3951" spans="1:3" s="8" customFormat="1" x14ac:dyDescent="0.2">
      <c r="A3951" s="6" t="str">
        <f>"FAM230B"</f>
        <v>FAM230B</v>
      </c>
      <c r="B3951" s="6">
        <v>4.3956043956043897E-2</v>
      </c>
      <c r="C3951" s="6">
        <v>0.193957382802707</v>
      </c>
    </row>
    <row r="3952" spans="1:3" s="8" customFormat="1" x14ac:dyDescent="0.2">
      <c r="A3952" s="6" t="str">
        <f>"PCBP3"</f>
        <v>PCBP3</v>
      </c>
      <c r="B3952" s="6">
        <v>4.3956043956043897E-2</v>
      </c>
      <c r="C3952" s="6">
        <v>0.193957382802707</v>
      </c>
    </row>
    <row r="3953" spans="1:3" s="8" customFormat="1" x14ac:dyDescent="0.2">
      <c r="A3953" s="6" t="str">
        <f>"NNAT"</f>
        <v>NNAT</v>
      </c>
      <c r="B3953" s="6">
        <v>4.3999999999999997E-2</v>
      </c>
      <c r="C3953" s="6">
        <v>0.193957382802707</v>
      </c>
    </row>
    <row r="3954" spans="1:3" s="8" customFormat="1" x14ac:dyDescent="0.2">
      <c r="A3954" s="6" t="str">
        <f>"RGS9BP"</f>
        <v>RGS9BP</v>
      </c>
      <c r="B3954" s="6">
        <v>4.3999999999999997E-2</v>
      </c>
      <c r="C3954" s="6">
        <v>0.193957382802707</v>
      </c>
    </row>
    <row r="3955" spans="1:3" s="8" customFormat="1" x14ac:dyDescent="0.2">
      <c r="A3955" s="6" t="str">
        <f>"AC103957.1"</f>
        <v>AC103957.1</v>
      </c>
      <c r="B3955" s="6">
        <v>4.3956043956043897E-2</v>
      </c>
      <c r="C3955" s="6">
        <v>0.193957382802707</v>
      </c>
    </row>
    <row r="3956" spans="1:3" s="8" customFormat="1" x14ac:dyDescent="0.2">
      <c r="A3956" s="6" t="str">
        <f>"TSPAN7"</f>
        <v>TSPAN7</v>
      </c>
      <c r="B3956" s="6">
        <v>4.3956043956043897E-2</v>
      </c>
      <c r="C3956" s="6">
        <v>0.193957382802707</v>
      </c>
    </row>
    <row r="3957" spans="1:3" s="8" customFormat="1" x14ac:dyDescent="0.2">
      <c r="A3957" s="6" t="str">
        <f>"ZNF540"</f>
        <v>ZNF540</v>
      </c>
      <c r="B3957" s="6">
        <v>4.3956043956043897E-2</v>
      </c>
      <c r="C3957" s="6">
        <v>0.193957382802707</v>
      </c>
    </row>
    <row r="3958" spans="1:3" s="8" customFormat="1" x14ac:dyDescent="0.2">
      <c r="A3958" s="6" t="str">
        <f>"COL24A1"</f>
        <v>COL24A1</v>
      </c>
      <c r="B3958" s="6">
        <v>4.3999999999999997E-2</v>
      </c>
      <c r="C3958" s="6">
        <v>0.193957382802707</v>
      </c>
    </row>
    <row r="3959" spans="1:3" s="8" customFormat="1" x14ac:dyDescent="0.2">
      <c r="A3959" s="6" t="str">
        <f>"LINC00632"</f>
        <v>LINC00632</v>
      </c>
      <c r="B3959" s="6">
        <v>4.3956043956043897E-2</v>
      </c>
      <c r="C3959" s="6">
        <v>0.193957382802707</v>
      </c>
    </row>
    <row r="3960" spans="1:3" s="8" customFormat="1" x14ac:dyDescent="0.2">
      <c r="A3960" s="6" t="str">
        <f>"AL162311.3"</f>
        <v>AL162311.3</v>
      </c>
      <c r="B3960" s="6">
        <v>4.3956043956043897E-2</v>
      </c>
      <c r="C3960" s="6">
        <v>0.193957382802707</v>
      </c>
    </row>
    <row r="3961" spans="1:3" s="8" customFormat="1" x14ac:dyDescent="0.2">
      <c r="A3961" s="6" t="str">
        <f>"CDH13"</f>
        <v>CDH13</v>
      </c>
      <c r="B3961" s="6">
        <v>4.3956043956043897E-2</v>
      </c>
      <c r="C3961" s="6">
        <v>0.193957382802707</v>
      </c>
    </row>
    <row r="3962" spans="1:3" s="8" customFormat="1" x14ac:dyDescent="0.2">
      <c r="A3962" s="6" t="str">
        <f>"PAX3"</f>
        <v>PAX3</v>
      </c>
      <c r="B3962" s="6">
        <v>4.3956043956043897E-2</v>
      </c>
      <c r="C3962" s="6">
        <v>0.193957382802707</v>
      </c>
    </row>
    <row r="3963" spans="1:3" s="8" customFormat="1" x14ac:dyDescent="0.2">
      <c r="A3963" s="6" t="str">
        <f>"TMEM198"</f>
        <v>TMEM198</v>
      </c>
      <c r="B3963" s="6">
        <v>4.3956043956043897E-2</v>
      </c>
      <c r="C3963" s="6">
        <v>0.193957382802707</v>
      </c>
    </row>
    <row r="3964" spans="1:3" s="8" customFormat="1" x14ac:dyDescent="0.2">
      <c r="A3964" s="6" t="str">
        <f>"ZBTB11-AS1"</f>
        <v>ZBTB11-AS1</v>
      </c>
      <c r="B3964" s="6">
        <v>4.3956043956043897E-2</v>
      </c>
      <c r="C3964" s="6">
        <v>0.193957382802707</v>
      </c>
    </row>
    <row r="3965" spans="1:3" s="8" customFormat="1" x14ac:dyDescent="0.2">
      <c r="A3965" s="6" t="str">
        <f>"ZNF343"</f>
        <v>ZNF343</v>
      </c>
      <c r="B3965" s="6">
        <v>4.3956043956043897E-2</v>
      </c>
      <c r="C3965" s="6">
        <v>0.193957382802707</v>
      </c>
    </row>
    <row r="3966" spans="1:3" s="8" customFormat="1" x14ac:dyDescent="0.2">
      <c r="A3966" s="6" t="str">
        <f>"ZNF709"</f>
        <v>ZNF709</v>
      </c>
      <c r="B3966" s="6">
        <v>4.3956043956043897E-2</v>
      </c>
      <c r="C3966" s="6">
        <v>0.193957382802707</v>
      </c>
    </row>
    <row r="3967" spans="1:3" s="8" customFormat="1" x14ac:dyDescent="0.2">
      <c r="A3967" s="6" t="str">
        <f>"AC144831.1"</f>
        <v>AC144831.1</v>
      </c>
      <c r="B3967" s="6">
        <v>4.3999999999999997E-2</v>
      </c>
      <c r="C3967" s="6">
        <v>0.193957382802707</v>
      </c>
    </row>
    <row r="3968" spans="1:3" s="8" customFormat="1" x14ac:dyDescent="0.2">
      <c r="A3968" s="6" t="str">
        <f>"RPARP-AS1"</f>
        <v>RPARP-AS1</v>
      </c>
      <c r="B3968" s="6">
        <v>4.3956043956043897E-2</v>
      </c>
      <c r="C3968" s="6">
        <v>0.193957382802707</v>
      </c>
    </row>
    <row r="3969" spans="1:3" s="8" customFormat="1" x14ac:dyDescent="0.2">
      <c r="A3969" s="6" t="str">
        <f>"ARHGAP29"</f>
        <v>ARHGAP29</v>
      </c>
      <c r="B3969" s="6">
        <v>4.3956043956043897E-2</v>
      </c>
      <c r="C3969" s="6">
        <v>0.193957382802707</v>
      </c>
    </row>
    <row r="3970" spans="1:3" s="8" customFormat="1" x14ac:dyDescent="0.2">
      <c r="A3970" s="6" t="str">
        <f>"ZNF564"</f>
        <v>ZNF564</v>
      </c>
      <c r="B3970" s="6">
        <v>4.3956043956043897E-2</v>
      </c>
      <c r="C3970" s="6">
        <v>0.193957382802707</v>
      </c>
    </row>
    <row r="3971" spans="1:3" s="8" customFormat="1" x14ac:dyDescent="0.2">
      <c r="A3971" s="6" t="str">
        <f>"WASH8P"</f>
        <v>WASH8P</v>
      </c>
      <c r="B3971" s="6">
        <v>4.3956043956043897E-2</v>
      </c>
      <c r="C3971" s="6">
        <v>0.193957382802707</v>
      </c>
    </row>
    <row r="3972" spans="1:3" s="8" customFormat="1" x14ac:dyDescent="0.2">
      <c r="A3972" s="6" t="str">
        <f>"DGKQ"</f>
        <v>DGKQ</v>
      </c>
      <c r="B3972" s="6">
        <v>4.3956043956043897E-2</v>
      </c>
      <c r="C3972" s="6">
        <v>0.193957382802707</v>
      </c>
    </row>
    <row r="3973" spans="1:3" s="8" customFormat="1" x14ac:dyDescent="0.2">
      <c r="A3973" s="6" t="str">
        <f>"BOD1"</f>
        <v>BOD1</v>
      </c>
      <c r="B3973" s="6">
        <v>4.3956043956043897E-2</v>
      </c>
      <c r="C3973" s="6">
        <v>0.193957382802707</v>
      </c>
    </row>
    <row r="3974" spans="1:3" s="8" customFormat="1" x14ac:dyDescent="0.2">
      <c r="A3974" s="6" t="str">
        <f>"IMPA1"</f>
        <v>IMPA1</v>
      </c>
      <c r="B3974" s="6">
        <v>4.3956043956043897E-2</v>
      </c>
      <c r="C3974" s="6">
        <v>0.193957382802707</v>
      </c>
    </row>
    <row r="3975" spans="1:3" s="8" customFormat="1" x14ac:dyDescent="0.2">
      <c r="A3975" s="6" t="str">
        <f>"HDAC11"</f>
        <v>HDAC11</v>
      </c>
      <c r="B3975" s="6">
        <v>4.3956043956043897E-2</v>
      </c>
      <c r="C3975" s="6">
        <v>0.193957382802707</v>
      </c>
    </row>
    <row r="3976" spans="1:3" s="8" customFormat="1" x14ac:dyDescent="0.2">
      <c r="A3976" s="6" t="str">
        <f>"LRRC1"</f>
        <v>LRRC1</v>
      </c>
      <c r="B3976" s="6">
        <v>4.3956043956043897E-2</v>
      </c>
      <c r="C3976" s="6">
        <v>0.193957382802707</v>
      </c>
    </row>
    <row r="3977" spans="1:3" s="8" customFormat="1" x14ac:dyDescent="0.2">
      <c r="A3977" s="6" t="str">
        <f>"NFYC"</f>
        <v>NFYC</v>
      </c>
      <c r="B3977" s="6">
        <v>4.3956043956043897E-2</v>
      </c>
      <c r="C3977" s="6">
        <v>0.193957382802707</v>
      </c>
    </row>
    <row r="3978" spans="1:3" s="8" customFormat="1" x14ac:dyDescent="0.2">
      <c r="A3978" s="6" t="str">
        <f>"ANKRD50"</f>
        <v>ANKRD50</v>
      </c>
      <c r="B3978" s="6">
        <v>4.3956043956043897E-2</v>
      </c>
      <c r="C3978" s="6">
        <v>0.193957382802707</v>
      </c>
    </row>
    <row r="3979" spans="1:3" s="8" customFormat="1" x14ac:dyDescent="0.2">
      <c r="A3979" s="6" t="str">
        <f>"ZBTB33"</f>
        <v>ZBTB33</v>
      </c>
      <c r="B3979" s="6">
        <v>4.3956043956043897E-2</v>
      </c>
      <c r="C3979" s="6">
        <v>0.193957382802707</v>
      </c>
    </row>
    <row r="3980" spans="1:3" s="8" customFormat="1" x14ac:dyDescent="0.2">
      <c r="A3980" s="6" t="str">
        <f>"TCAF1"</f>
        <v>TCAF1</v>
      </c>
      <c r="B3980" s="6">
        <v>4.3956043956043897E-2</v>
      </c>
      <c r="C3980" s="6">
        <v>0.193957382802707</v>
      </c>
    </row>
    <row r="3981" spans="1:3" s="8" customFormat="1" x14ac:dyDescent="0.2">
      <c r="A3981" s="6" t="str">
        <f>"STK17B"</f>
        <v>STK17B</v>
      </c>
      <c r="B3981" s="6">
        <v>4.3956043956043897E-2</v>
      </c>
      <c r="C3981" s="6">
        <v>0.193957382802707</v>
      </c>
    </row>
    <row r="3982" spans="1:3" s="8" customFormat="1" x14ac:dyDescent="0.2">
      <c r="A3982" s="6" t="str">
        <f>"SLC25A25"</f>
        <v>SLC25A25</v>
      </c>
      <c r="B3982" s="6">
        <v>4.3956043956043897E-2</v>
      </c>
      <c r="C3982" s="6">
        <v>0.193957382802707</v>
      </c>
    </row>
    <row r="3983" spans="1:3" s="8" customFormat="1" x14ac:dyDescent="0.2">
      <c r="A3983" s="6" t="str">
        <f>"TEF"</f>
        <v>TEF</v>
      </c>
      <c r="B3983" s="6">
        <v>4.3956043956043897E-2</v>
      </c>
      <c r="C3983" s="6">
        <v>0.193957382802707</v>
      </c>
    </row>
    <row r="3984" spans="1:3" s="8" customFormat="1" x14ac:dyDescent="0.2">
      <c r="A3984" s="6" t="str">
        <f>"CDK11B"</f>
        <v>CDK11B</v>
      </c>
      <c r="B3984" s="6">
        <v>4.3956043956043897E-2</v>
      </c>
      <c r="C3984" s="6">
        <v>0.193957382802707</v>
      </c>
    </row>
    <row r="3985" spans="1:3" s="8" customFormat="1" x14ac:dyDescent="0.2">
      <c r="A3985" s="6" t="str">
        <f>"YY1AP1"</f>
        <v>YY1AP1</v>
      </c>
      <c r="B3985" s="6">
        <v>4.3956043956043897E-2</v>
      </c>
      <c r="C3985" s="6">
        <v>0.193957382802707</v>
      </c>
    </row>
    <row r="3986" spans="1:3" s="8" customFormat="1" x14ac:dyDescent="0.2">
      <c r="A3986" s="6" t="str">
        <f>"RHOB"</f>
        <v>RHOB</v>
      </c>
      <c r="B3986" s="6">
        <v>4.3956043956043897E-2</v>
      </c>
      <c r="C3986" s="6">
        <v>0.193957382802707</v>
      </c>
    </row>
    <row r="3987" spans="1:3" s="8" customFormat="1" x14ac:dyDescent="0.2">
      <c r="A3987" s="6" t="str">
        <f>"WDR45B"</f>
        <v>WDR45B</v>
      </c>
      <c r="B3987" s="6">
        <v>4.3956043956043897E-2</v>
      </c>
      <c r="C3987" s="6">
        <v>0.193957382802707</v>
      </c>
    </row>
    <row r="3988" spans="1:3" s="8" customFormat="1" x14ac:dyDescent="0.2">
      <c r="A3988" s="6" t="str">
        <f>"XRCC5"</f>
        <v>XRCC5</v>
      </c>
      <c r="B3988" s="6">
        <v>4.3956043956043897E-2</v>
      </c>
      <c r="C3988" s="6">
        <v>0.193957382802707</v>
      </c>
    </row>
    <row r="3989" spans="1:3" s="8" customFormat="1" x14ac:dyDescent="0.2">
      <c r="A3989" s="6" t="str">
        <f>"JPT2"</f>
        <v>JPT2</v>
      </c>
      <c r="B3989" s="6">
        <v>4.3999999999999997E-2</v>
      </c>
      <c r="C3989" s="6">
        <v>0.193957382802707</v>
      </c>
    </row>
    <row r="3990" spans="1:3" s="8" customFormat="1" x14ac:dyDescent="0.2">
      <c r="A3990" s="6" t="str">
        <f>"RRBP1"</f>
        <v>RRBP1</v>
      </c>
      <c r="B3990" s="6">
        <v>4.3956043956043897E-2</v>
      </c>
      <c r="C3990" s="6">
        <v>0.193957382802707</v>
      </c>
    </row>
    <row r="3991" spans="1:3" s="8" customFormat="1" x14ac:dyDescent="0.2">
      <c r="A3991" s="6" t="str">
        <f>"AC008875.2"</f>
        <v>AC008875.2</v>
      </c>
      <c r="B3991" s="6">
        <v>4.4132397191574697E-2</v>
      </c>
      <c r="C3991" s="6">
        <v>0.19449224867585199</v>
      </c>
    </row>
    <row r="3992" spans="1:3" s="8" customFormat="1" x14ac:dyDescent="0.2">
      <c r="A3992" s="6" t="str">
        <f>"PDZRN4"</f>
        <v>PDZRN4</v>
      </c>
      <c r="B3992" s="6">
        <v>4.4955044955044897E-2</v>
      </c>
      <c r="C3992" s="6">
        <v>0.195811124718729</v>
      </c>
    </row>
    <row r="3993" spans="1:3" s="8" customFormat="1" x14ac:dyDescent="0.2">
      <c r="A3993" s="6" t="str">
        <f>"AC105101.1"</f>
        <v>AC105101.1</v>
      </c>
      <c r="B3993" s="6">
        <v>4.4559585492227903E-2</v>
      </c>
      <c r="C3993" s="6">
        <v>0.195811124718729</v>
      </c>
    </row>
    <row r="3994" spans="1:3" s="8" customFormat="1" x14ac:dyDescent="0.2">
      <c r="A3994" s="6" t="str">
        <f>"KIF5A"</f>
        <v>KIF5A</v>
      </c>
      <c r="B3994" s="6">
        <v>4.4955044955044897E-2</v>
      </c>
      <c r="C3994" s="6">
        <v>0.195811124718729</v>
      </c>
    </row>
    <row r="3995" spans="1:3" s="8" customFormat="1" x14ac:dyDescent="0.2">
      <c r="A3995" s="6" t="str">
        <f>"AC106793.1"</f>
        <v>AC106793.1</v>
      </c>
      <c r="B3995" s="6">
        <v>4.4955044955044897E-2</v>
      </c>
      <c r="C3995" s="6">
        <v>0.195811124718729</v>
      </c>
    </row>
    <row r="3996" spans="1:3" s="8" customFormat="1" x14ac:dyDescent="0.2">
      <c r="A3996" s="6" t="str">
        <f>"CLDND2"</f>
        <v>CLDND2</v>
      </c>
      <c r="B3996" s="6">
        <v>4.4955044955044897E-2</v>
      </c>
      <c r="C3996" s="6">
        <v>0.195811124718729</v>
      </c>
    </row>
    <row r="3997" spans="1:3" s="8" customFormat="1" x14ac:dyDescent="0.2">
      <c r="A3997" s="6" t="str">
        <f>"AP006222.2"</f>
        <v>AP006222.2</v>
      </c>
      <c r="B3997" s="6">
        <v>4.4955044955044897E-2</v>
      </c>
      <c r="C3997" s="6">
        <v>0.195811124718729</v>
      </c>
    </row>
    <row r="3998" spans="1:3" s="8" customFormat="1" x14ac:dyDescent="0.2">
      <c r="A3998" s="6" t="str">
        <f>"AC092306.1"</f>
        <v>AC092306.1</v>
      </c>
      <c r="B3998" s="6">
        <v>4.4955044955044897E-2</v>
      </c>
      <c r="C3998" s="6">
        <v>0.195811124718729</v>
      </c>
    </row>
    <row r="3999" spans="1:3" s="8" customFormat="1" x14ac:dyDescent="0.2">
      <c r="A3999" s="6" t="str">
        <f>"SLC22A1"</f>
        <v>SLC22A1</v>
      </c>
      <c r="B3999" s="6">
        <v>4.4955044955044897E-2</v>
      </c>
      <c r="C3999" s="6">
        <v>0.195811124718729</v>
      </c>
    </row>
    <row r="4000" spans="1:3" s="8" customFormat="1" x14ac:dyDescent="0.2">
      <c r="A4000" s="6" t="str">
        <f>"TDRD9"</f>
        <v>TDRD9</v>
      </c>
      <c r="B4000" s="6">
        <v>4.4955044955044897E-2</v>
      </c>
      <c r="C4000" s="6">
        <v>0.195811124718729</v>
      </c>
    </row>
    <row r="4001" spans="1:3" s="8" customFormat="1" x14ac:dyDescent="0.2">
      <c r="A4001" s="6" t="str">
        <f>"AC010547.4"</f>
        <v>AC010547.4</v>
      </c>
      <c r="B4001" s="6">
        <v>4.4955044955044897E-2</v>
      </c>
      <c r="C4001" s="6">
        <v>0.195811124718729</v>
      </c>
    </row>
    <row r="4002" spans="1:3" s="8" customFormat="1" x14ac:dyDescent="0.2">
      <c r="A4002" s="6" t="str">
        <f>"THSD7A"</f>
        <v>THSD7A</v>
      </c>
      <c r="B4002" s="6">
        <v>4.4955044955044897E-2</v>
      </c>
      <c r="C4002" s="6">
        <v>0.195811124718729</v>
      </c>
    </row>
    <row r="4003" spans="1:3" s="8" customFormat="1" x14ac:dyDescent="0.2">
      <c r="A4003" s="6" t="str">
        <f>"LINC01267"</f>
        <v>LINC01267</v>
      </c>
      <c r="B4003" s="6">
        <v>4.4955044955044897E-2</v>
      </c>
      <c r="C4003" s="6">
        <v>0.195811124718729</v>
      </c>
    </row>
    <row r="4004" spans="1:3" s="8" customFormat="1" x14ac:dyDescent="0.2">
      <c r="A4004" s="6" t="str">
        <f>"AC113349.1"</f>
        <v>AC113349.1</v>
      </c>
      <c r="B4004" s="6">
        <v>4.4955044955044897E-2</v>
      </c>
      <c r="C4004" s="6">
        <v>0.195811124718729</v>
      </c>
    </row>
    <row r="4005" spans="1:3" s="8" customFormat="1" x14ac:dyDescent="0.2">
      <c r="A4005" s="6" t="str">
        <f>"PALD1"</f>
        <v>PALD1</v>
      </c>
      <c r="B4005" s="6">
        <v>4.4955044955044897E-2</v>
      </c>
      <c r="C4005" s="6">
        <v>0.195811124718729</v>
      </c>
    </row>
    <row r="4006" spans="1:3" s="8" customFormat="1" x14ac:dyDescent="0.2">
      <c r="A4006" s="6" t="str">
        <f>"RASAL3"</f>
        <v>RASAL3</v>
      </c>
      <c r="B4006" s="6">
        <v>4.4955044955044897E-2</v>
      </c>
      <c r="C4006" s="6">
        <v>0.195811124718729</v>
      </c>
    </row>
    <row r="4007" spans="1:3" s="8" customFormat="1" x14ac:dyDescent="0.2">
      <c r="A4007" s="6" t="str">
        <f>"ZNF649"</f>
        <v>ZNF649</v>
      </c>
      <c r="B4007" s="6">
        <v>4.4955044955044897E-2</v>
      </c>
      <c r="C4007" s="6">
        <v>0.195811124718729</v>
      </c>
    </row>
    <row r="4008" spans="1:3" s="8" customFormat="1" x14ac:dyDescent="0.2">
      <c r="A4008" s="6" t="str">
        <f>"SP4"</f>
        <v>SP4</v>
      </c>
      <c r="B4008" s="6">
        <v>4.4955044955044897E-2</v>
      </c>
      <c r="C4008" s="6">
        <v>0.195811124718729</v>
      </c>
    </row>
    <row r="4009" spans="1:3" s="8" customFormat="1" x14ac:dyDescent="0.2">
      <c r="A4009" s="6" t="str">
        <f>"CLK4"</f>
        <v>CLK4</v>
      </c>
      <c r="B4009" s="6">
        <v>4.4955044955044897E-2</v>
      </c>
      <c r="C4009" s="6">
        <v>0.195811124718729</v>
      </c>
    </row>
    <row r="4010" spans="1:3" s="8" customFormat="1" x14ac:dyDescent="0.2">
      <c r="A4010" s="6" t="str">
        <f>"MANEA"</f>
        <v>MANEA</v>
      </c>
      <c r="B4010" s="6">
        <v>4.4955044955044897E-2</v>
      </c>
      <c r="C4010" s="6">
        <v>0.195811124718729</v>
      </c>
    </row>
    <row r="4011" spans="1:3" s="8" customFormat="1" x14ac:dyDescent="0.2">
      <c r="A4011" s="6" t="str">
        <f>"TOE1"</f>
        <v>TOE1</v>
      </c>
      <c r="B4011" s="6">
        <v>4.4955044955044897E-2</v>
      </c>
      <c r="C4011" s="6">
        <v>0.195811124718729</v>
      </c>
    </row>
    <row r="4012" spans="1:3" s="8" customFormat="1" x14ac:dyDescent="0.2">
      <c r="A4012" s="6" t="str">
        <f>"SPATA2L"</f>
        <v>SPATA2L</v>
      </c>
      <c r="B4012" s="6">
        <v>4.4955044955044897E-2</v>
      </c>
      <c r="C4012" s="6">
        <v>0.195811124718729</v>
      </c>
    </row>
    <row r="4013" spans="1:3" s="8" customFormat="1" x14ac:dyDescent="0.2">
      <c r="A4013" s="6" t="str">
        <f>"ST3GAL6"</f>
        <v>ST3GAL6</v>
      </c>
      <c r="B4013" s="6">
        <v>4.4955044955044897E-2</v>
      </c>
      <c r="C4013" s="6">
        <v>0.195811124718729</v>
      </c>
    </row>
    <row r="4014" spans="1:3" s="8" customFormat="1" x14ac:dyDescent="0.2">
      <c r="A4014" s="6" t="str">
        <f>"TTC38"</f>
        <v>TTC38</v>
      </c>
      <c r="B4014" s="6">
        <v>4.4955044955044897E-2</v>
      </c>
      <c r="C4014" s="6">
        <v>0.195811124718729</v>
      </c>
    </row>
    <row r="4015" spans="1:3" s="8" customFormat="1" x14ac:dyDescent="0.2">
      <c r="A4015" s="6" t="str">
        <f>"NAA25"</f>
        <v>NAA25</v>
      </c>
      <c r="B4015" s="6">
        <v>4.4955044955044897E-2</v>
      </c>
      <c r="C4015" s="6">
        <v>0.195811124718729</v>
      </c>
    </row>
    <row r="4016" spans="1:3" s="8" customFormat="1" x14ac:dyDescent="0.2">
      <c r="A4016" s="6" t="str">
        <f>"CBWD2"</f>
        <v>CBWD2</v>
      </c>
      <c r="B4016" s="6">
        <v>4.4955044955044897E-2</v>
      </c>
      <c r="C4016" s="6">
        <v>0.195811124718729</v>
      </c>
    </row>
    <row r="4017" spans="1:3" s="8" customFormat="1" x14ac:dyDescent="0.2">
      <c r="A4017" s="6" t="str">
        <f>"WDPCP"</f>
        <v>WDPCP</v>
      </c>
      <c r="B4017" s="6">
        <v>4.4955044955044897E-2</v>
      </c>
      <c r="C4017" s="6">
        <v>0.195811124718729</v>
      </c>
    </row>
    <row r="4018" spans="1:3" s="8" customFormat="1" x14ac:dyDescent="0.2">
      <c r="A4018" s="6" t="str">
        <f>"DYNLRB2"</f>
        <v>DYNLRB2</v>
      </c>
      <c r="B4018" s="6">
        <v>4.4955044955044897E-2</v>
      </c>
      <c r="C4018" s="6">
        <v>0.195811124718729</v>
      </c>
    </row>
    <row r="4019" spans="1:3" s="8" customFormat="1" x14ac:dyDescent="0.2">
      <c r="A4019" s="6" t="str">
        <f>"MPEG1"</f>
        <v>MPEG1</v>
      </c>
      <c r="B4019" s="6">
        <v>4.4955044955044897E-2</v>
      </c>
      <c r="C4019" s="6">
        <v>0.195811124718729</v>
      </c>
    </row>
    <row r="4020" spans="1:3" s="8" customFormat="1" x14ac:dyDescent="0.2">
      <c r="A4020" s="6" t="str">
        <f>"CDK10"</f>
        <v>CDK10</v>
      </c>
      <c r="B4020" s="6">
        <v>4.4955044955044897E-2</v>
      </c>
      <c r="C4020" s="6">
        <v>0.195811124718729</v>
      </c>
    </row>
    <row r="4021" spans="1:3" s="8" customFormat="1" x14ac:dyDescent="0.2">
      <c r="A4021" s="6" t="str">
        <f>"BCKDK"</f>
        <v>BCKDK</v>
      </c>
      <c r="B4021" s="6">
        <v>4.4955044955044897E-2</v>
      </c>
      <c r="C4021" s="6">
        <v>0.195811124718729</v>
      </c>
    </row>
    <row r="4022" spans="1:3" s="8" customFormat="1" x14ac:dyDescent="0.2">
      <c r="A4022" s="6" t="str">
        <f>"CYB5D2"</f>
        <v>CYB5D2</v>
      </c>
      <c r="B4022" s="6">
        <v>4.4955044955044897E-2</v>
      </c>
      <c r="C4022" s="6">
        <v>0.195811124718729</v>
      </c>
    </row>
    <row r="4023" spans="1:3" s="8" customFormat="1" x14ac:dyDescent="0.2">
      <c r="A4023" s="6" t="str">
        <f>"RIF1"</f>
        <v>RIF1</v>
      </c>
      <c r="B4023" s="6">
        <v>4.4955044955044897E-2</v>
      </c>
      <c r="C4023" s="6">
        <v>0.195811124718729</v>
      </c>
    </row>
    <row r="4024" spans="1:3" s="8" customFormat="1" x14ac:dyDescent="0.2">
      <c r="A4024" s="6" t="str">
        <f>"SLCO2A1"</f>
        <v>SLCO2A1</v>
      </c>
      <c r="B4024" s="6">
        <v>4.4955044955044897E-2</v>
      </c>
      <c r="C4024" s="6">
        <v>0.195811124718729</v>
      </c>
    </row>
    <row r="4025" spans="1:3" s="8" customFormat="1" x14ac:dyDescent="0.2">
      <c r="A4025" s="6" t="str">
        <f>"FBXO32"</f>
        <v>FBXO32</v>
      </c>
      <c r="B4025" s="6">
        <v>4.4955044955044897E-2</v>
      </c>
      <c r="C4025" s="6">
        <v>0.195811124718729</v>
      </c>
    </row>
    <row r="4026" spans="1:3" s="8" customFormat="1" x14ac:dyDescent="0.2">
      <c r="A4026" s="6" t="str">
        <f>"PDHA1"</f>
        <v>PDHA1</v>
      </c>
      <c r="B4026" s="6">
        <v>4.4955044955044897E-2</v>
      </c>
      <c r="C4026" s="6">
        <v>0.195811124718729</v>
      </c>
    </row>
    <row r="4027" spans="1:3" s="8" customFormat="1" x14ac:dyDescent="0.2">
      <c r="A4027" s="6" t="str">
        <f>"ILK"</f>
        <v>ILK</v>
      </c>
      <c r="B4027" s="6">
        <v>4.4955044955044897E-2</v>
      </c>
      <c r="C4027" s="6">
        <v>0.195811124718729</v>
      </c>
    </row>
    <row r="4028" spans="1:3" s="8" customFormat="1" x14ac:dyDescent="0.2">
      <c r="A4028" s="6" t="str">
        <f>"AP2A2"</f>
        <v>AP2A2</v>
      </c>
      <c r="B4028" s="6">
        <v>4.4955044955044897E-2</v>
      </c>
      <c r="C4028" s="6">
        <v>0.195811124718729</v>
      </c>
    </row>
    <row r="4029" spans="1:3" s="8" customFormat="1" x14ac:dyDescent="0.2">
      <c r="A4029" s="6" t="str">
        <f>"CDK12"</f>
        <v>CDK12</v>
      </c>
      <c r="B4029" s="6">
        <v>4.4955044955044897E-2</v>
      </c>
      <c r="C4029" s="6">
        <v>0.195811124718729</v>
      </c>
    </row>
    <row r="4030" spans="1:3" s="8" customFormat="1" x14ac:dyDescent="0.2">
      <c r="A4030" s="6" t="str">
        <f>"COPZ1"</f>
        <v>COPZ1</v>
      </c>
      <c r="B4030" s="6">
        <v>4.4955044955044897E-2</v>
      </c>
      <c r="C4030" s="6">
        <v>0.195811124718729</v>
      </c>
    </row>
    <row r="4031" spans="1:3" s="8" customFormat="1" x14ac:dyDescent="0.2">
      <c r="A4031" s="6" t="str">
        <f>"CERS2"</f>
        <v>CERS2</v>
      </c>
      <c r="B4031" s="6">
        <v>4.4955044955044897E-2</v>
      </c>
      <c r="C4031" s="6">
        <v>0.195811124718729</v>
      </c>
    </row>
    <row r="4032" spans="1:3" s="8" customFormat="1" x14ac:dyDescent="0.2">
      <c r="A4032" s="6" t="str">
        <f>"IL1R1"</f>
        <v>IL1R1</v>
      </c>
      <c r="B4032" s="6">
        <v>4.4955044955044897E-2</v>
      </c>
      <c r="C4032" s="6">
        <v>0.195811124718729</v>
      </c>
    </row>
    <row r="4033" spans="1:3" s="8" customFormat="1" x14ac:dyDescent="0.2">
      <c r="A4033" s="6" t="str">
        <f>"IRAK3"</f>
        <v>IRAK3</v>
      </c>
      <c r="B4033" s="6">
        <v>4.4955044955044897E-2</v>
      </c>
      <c r="C4033" s="6">
        <v>0.195811124718729</v>
      </c>
    </row>
    <row r="4034" spans="1:3" s="8" customFormat="1" x14ac:dyDescent="0.2">
      <c r="A4034" s="6" t="str">
        <f>"NSD3"</f>
        <v>NSD3</v>
      </c>
      <c r="B4034" s="6">
        <v>4.4955044955044897E-2</v>
      </c>
      <c r="C4034" s="6">
        <v>0.195811124718729</v>
      </c>
    </row>
    <row r="4035" spans="1:3" s="8" customFormat="1" x14ac:dyDescent="0.2">
      <c r="A4035" s="6" t="str">
        <f>"HINT1"</f>
        <v>HINT1</v>
      </c>
      <c r="B4035" s="6">
        <v>4.4955044955044897E-2</v>
      </c>
      <c r="C4035" s="6">
        <v>0.195811124718729</v>
      </c>
    </row>
    <row r="4036" spans="1:3" s="8" customFormat="1" x14ac:dyDescent="0.2">
      <c r="A4036" s="6" t="str">
        <f>"AKAP13"</f>
        <v>AKAP13</v>
      </c>
      <c r="B4036" s="6">
        <v>4.4955044955044897E-2</v>
      </c>
      <c r="C4036" s="6">
        <v>0.195811124718729</v>
      </c>
    </row>
    <row r="4037" spans="1:3" s="8" customFormat="1" x14ac:dyDescent="0.2">
      <c r="A4037" s="6" t="str">
        <f>"UBE2D3"</f>
        <v>UBE2D3</v>
      </c>
      <c r="B4037" s="6">
        <v>4.4955044955044897E-2</v>
      </c>
      <c r="C4037" s="6">
        <v>0.195811124718729</v>
      </c>
    </row>
    <row r="4038" spans="1:3" s="8" customFormat="1" x14ac:dyDescent="0.2">
      <c r="A4038" s="6" t="str">
        <f>"RPL14"</f>
        <v>RPL14</v>
      </c>
      <c r="B4038" s="6">
        <v>4.4955044955044897E-2</v>
      </c>
      <c r="C4038" s="6">
        <v>0.195811124718729</v>
      </c>
    </row>
    <row r="4039" spans="1:3" s="8" customFormat="1" x14ac:dyDescent="0.2">
      <c r="A4039" s="6" t="str">
        <f>"ADARB1"</f>
        <v>ADARB1</v>
      </c>
      <c r="B4039" s="6">
        <v>4.4999999999999998E-2</v>
      </c>
      <c r="C4039" s="6">
        <v>0.19595839524517</v>
      </c>
    </row>
    <row r="4040" spans="1:3" s="8" customFormat="1" x14ac:dyDescent="0.2">
      <c r="A4040" s="6" t="str">
        <f>"VSTM1"</f>
        <v>VSTM1</v>
      </c>
      <c r="B4040" s="6">
        <v>4.5954045954045897E-2</v>
      </c>
      <c r="C4040" s="6">
        <v>0.19810148174943401</v>
      </c>
    </row>
    <row r="4041" spans="1:3" s="8" customFormat="1" x14ac:dyDescent="0.2">
      <c r="A4041" s="6" t="str">
        <f>"AGAP10P"</f>
        <v>AGAP10P</v>
      </c>
      <c r="B4041" s="6">
        <v>4.5954045954045897E-2</v>
      </c>
      <c r="C4041" s="6">
        <v>0.19810148174943401</v>
      </c>
    </row>
    <row r="4042" spans="1:3" s="8" customFormat="1" x14ac:dyDescent="0.2">
      <c r="A4042" s="6" t="str">
        <f>"AC079305.1"</f>
        <v>AC079305.1</v>
      </c>
      <c r="B4042" s="6">
        <v>4.5954045954045897E-2</v>
      </c>
      <c r="C4042" s="6">
        <v>0.19810148174943401</v>
      </c>
    </row>
    <row r="4043" spans="1:3" s="8" customFormat="1" x14ac:dyDescent="0.2">
      <c r="A4043" s="6" t="str">
        <f>"LRRC37A5P"</f>
        <v>LRRC37A5P</v>
      </c>
      <c r="B4043" s="6">
        <v>4.5954045954045897E-2</v>
      </c>
      <c r="C4043" s="6">
        <v>0.19810148174943401</v>
      </c>
    </row>
    <row r="4044" spans="1:3" s="8" customFormat="1" x14ac:dyDescent="0.2">
      <c r="A4044" s="6" t="str">
        <f>"MMP23B"</f>
        <v>MMP23B</v>
      </c>
      <c r="B4044" s="6">
        <v>4.5954045954045897E-2</v>
      </c>
      <c r="C4044" s="6">
        <v>0.19810148174943401</v>
      </c>
    </row>
    <row r="4045" spans="1:3" s="8" customFormat="1" x14ac:dyDescent="0.2">
      <c r="A4045" s="6" t="str">
        <f>"OR7E11P"</f>
        <v>OR7E11P</v>
      </c>
      <c r="B4045" s="6">
        <v>4.5954045954045897E-2</v>
      </c>
      <c r="C4045" s="6">
        <v>0.19810148174943401</v>
      </c>
    </row>
    <row r="4046" spans="1:3" s="8" customFormat="1" x14ac:dyDescent="0.2">
      <c r="A4046" s="6" t="str">
        <f>"LINGO4"</f>
        <v>LINGO4</v>
      </c>
      <c r="B4046" s="6">
        <v>4.5954045954045897E-2</v>
      </c>
      <c r="C4046" s="6">
        <v>0.19810148174943401</v>
      </c>
    </row>
    <row r="4047" spans="1:3" s="8" customFormat="1" x14ac:dyDescent="0.2">
      <c r="A4047" s="6" t="str">
        <f>"LRRC31"</f>
        <v>LRRC31</v>
      </c>
      <c r="B4047" s="6">
        <v>4.5954045954045897E-2</v>
      </c>
      <c r="C4047" s="6">
        <v>0.19810148174943401</v>
      </c>
    </row>
    <row r="4048" spans="1:3" s="8" customFormat="1" x14ac:dyDescent="0.2">
      <c r="A4048" s="6" t="str">
        <f>"LINC02606"</f>
        <v>LINC02606</v>
      </c>
      <c r="B4048" s="6">
        <v>4.5954045954045897E-2</v>
      </c>
      <c r="C4048" s="6">
        <v>0.19810148174943401</v>
      </c>
    </row>
    <row r="4049" spans="1:3" s="8" customFormat="1" x14ac:dyDescent="0.2">
      <c r="A4049" s="6" t="str">
        <f>"AL137847.2"</f>
        <v>AL137847.2</v>
      </c>
      <c r="B4049" s="6">
        <v>4.5954045954045897E-2</v>
      </c>
      <c r="C4049" s="6">
        <v>0.19810148174943401</v>
      </c>
    </row>
    <row r="4050" spans="1:3" s="8" customFormat="1" x14ac:dyDescent="0.2">
      <c r="A4050" s="6" t="str">
        <f>"HLA-G"</f>
        <v>HLA-G</v>
      </c>
      <c r="B4050" s="6">
        <v>4.5954045954045897E-2</v>
      </c>
      <c r="C4050" s="6">
        <v>0.19810148174943401</v>
      </c>
    </row>
    <row r="4051" spans="1:3" s="8" customFormat="1" x14ac:dyDescent="0.2">
      <c r="A4051" s="6" t="str">
        <f>"SLC24A3"</f>
        <v>SLC24A3</v>
      </c>
      <c r="B4051" s="6">
        <v>4.5954045954045897E-2</v>
      </c>
      <c r="C4051" s="6">
        <v>0.19810148174943401</v>
      </c>
    </row>
    <row r="4052" spans="1:3" s="8" customFormat="1" x14ac:dyDescent="0.2">
      <c r="A4052" s="6" t="str">
        <f>"AC234917.3"</f>
        <v>AC234917.3</v>
      </c>
      <c r="B4052" s="6">
        <v>4.5954045954045897E-2</v>
      </c>
      <c r="C4052" s="6">
        <v>0.19810148174943401</v>
      </c>
    </row>
    <row r="4053" spans="1:3" s="8" customFormat="1" x14ac:dyDescent="0.2">
      <c r="A4053" s="6" t="str">
        <f>"CTTNBP2"</f>
        <v>CTTNBP2</v>
      </c>
      <c r="B4053" s="6">
        <v>4.5954045954045897E-2</v>
      </c>
      <c r="C4053" s="6">
        <v>0.19810148174943401</v>
      </c>
    </row>
    <row r="4054" spans="1:3" s="8" customFormat="1" x14ac:dyDescent="0.2">
      <c r="A4054" s="6" t="str">
        <f>"HIC1"</f>
        <v>HIC1</v>
      </c>
      <c r="B4054" s="6">
        <v>4.5954045954045897E-2</v>
      </c>
      <c r="C4054" s="6">
        <v>0.19810148174943401</v>
      </c>
    </row>
    <row r="4055" spans="1:3" s="8" customFormat="1" x14ac:dyDescent="0.2">
      <c r="A4055" s="6" t="str">
        <f>"AP003068.2"</f>
        <v>AP003068.2</v>
      </c>
      <c r="B4055" s="6">
        <v>4.5954045954045897E-2</v>
      </c>
      <c r="C4055" s="6">
        <v>0.19810148174943401</v>
      </c>
    </row>
    <row r="4056" spans="1:3" s="8" customFormat="1" x14ac:dyDescent="0.2">
      <c r="A4056" s="6" t="str">
        <f>"FGF11"</f>
        <v>FGF11</v>
      </c>
      <c r="B4056" s="6">
        <v>4.5954045954045897E-2</v>
      </c>
      <c r="C4056" s="6">
        <v>0.19810148174943401</v>
      </c>
    </row>
    <row r="4057" spans="1:3" s="8" customFormat="1" x14ac:dyDescent="0.2">
      <c r="A4057" s="6" t="str">
        <f>"ZMYM5"</f>
        <v>ZMYM5</v>
      </c>
      <c r="B4057" s="6">
        <v>4.5954045954045897E-2</v>
      </c>
      <c r="C4057" s="6">
        <v>0.19810148174943401</v>
      </c>
    </row>
    <row r="4058" spans="1:3" s="8" customFormat="1" x14ac:dyDescent="0.2">
      <c r="A4058" s="6" t="str">
        <f>"ZNF749"</f>
        <v>ZNF749</v>
      </c>
      <c r="B4058" s="6">
        <v>4.5954045954045897E-2</v>
      </c>
      <c r="C4058" s="6">
        <v>0.19810148174943401</v>
      </c>
    </row>
    <row r="4059" spans="1:3" s="8" customFormat="1" x14ac:dyDescent="0.2">
      <c r="A4059" s="6" t="str">
        <f>"MTARC1"</f>
        <v>MTARC1</v>
      </c>
      <c r="B4059" s="6">
        <v>4.5954045954045897E-2</v>
      </c>
      <c r="C4059" s="6">
        <v>0.19810148174943401</v>
      </c>
    </row>
    <row r="4060" spans="1:3" s="8" customFormat="1" x14ac:dyDescent="0.2">
      <c r="A4060" s="6" t="str">
        <f>"CPEB3"</f>
        <v>CPEB3</v>
      </c>
      <c r="B4060" s="6">
        <v>4.5954045954045897E-2</v>
      </c>
      <c r="C4060" s="6">
        <v>0.19810148174943401</v>
      </c>
    </row>
    <row r="4061" spans="1:3" s="8" customFormat="1" x14ac:dyDescent="0.2">
      <c r="A4061" s="6" t="str">
        <f>"FAM220A"</f>
        <v>FAM220A</v>
      </c>
      <c r="B4061" s="6">
        <v>4.5954045954045897E-2</v>
      </c>
      <c r="C4061" s="6">
        <v>0.19810148174943401</v>
      </c>
    </row>
    <row r="4062" spans="1:3" s="8" customFormat="1" x14ac:dyDescent="0.2">
      <c r="A4062" s="6" t="str">
        <f>"ZNF197"</f>
        <v>ZNF197</v>
      </c>
      <c r="B4062" s="6">
        <v>4.5954045954045897E-2</v>
      </c>
      <c r="C4062" s="6">
        <v>0.19810148174943401</v>
      </c>
    </row>
    <row r="4063" spans="1:3" s="8" customFormat="1" x14ac:dyDescent="0.2">
      <c r="A4063" s="6" t="str">
        <f>"ZNF331"</f>
        <v>ZNF331</v>
      </c>
      <c r="B4063" s="6">
        <v>4.5954045954045897E-2</v>
      </c>
      <c r="C4063" s="6">
        <v>0.19810148174943401</v>
      </c>
    </row>
    <row r="4064" spans="1:3" s="8" customFormat="1" x14ac:dyDescent="0.2">
      <c r="A4064" s="6" t="str">
        <f>"MRPL21"</f>
        <v>MRPL21</v>
      </c>
      <c r="B4064" s="6">
        <v>4.5954045954045897E-2</v>
      </c>
      <c r="C4064" s="6">
        <v>0.19810148174943401</v>
      </c>
    </row>
    <row r="4065" spans="1:3" s="8" customFormat="1" x14ac:dyDescent="0.2">
      <c r="A4065" s="6" t="str">
        <f>"CENPT"</f>
        <v>CENPT</v>
      </c>
      <c r="B4065" s="6">
        <v>4.5954045954045897E-2</v>
      </c>
      <c r="C4065" s="6">
        <v>0.19810148174943401</v>
      </c>
    </row>
    <row r="4066" spans="1:3" s="8" customFormat="1" x14ac:dyDescent="0.2">
      <c r="A4066" s="6" t="str">
        <f>"TTC27"</f>
        <v>TTC27</v>
      </c>
      <c r="B4066" s="6">
        <v>4.5954045954045897E-2</v>
      </c>
      <c r="C4066" s="6">
        <v>0.19810148174943401</v>
      </c>
    </row>
    <row r="4067" spans="1:3" s="8" customFormat="1" x14ac:dyDescent="0.2">
      <c r="A4067" s="6" t="str">
        <f>"ANO10"</f>
        <v>ANO10</v>
      </c>
      <c r="B4067" s="6">
        <v>4.5954045954045897E-2</v>
      </c>
      <c r="C4067" s="6">
        <v>0.19810148174943401</v>
      </c>
    </row>
    <row r="4068" spans="1:3" s="8" customFormat="1" x14ac:dyDescent="0.2">
      <c r="A4068" s="6" t="str">
        <f>"NUDT14"</f>
        <v>NUDT14</v>
      </c>
      <c r="B4068" s="6">
        <v>4.5954045954045897E-2</v>
      </c>
      <c r="C4068" s="6">
        <v>0.19810148174943401</v>
      </c>
    </row>
    <row r="4069" spans="1:3" s="8" customFormat="1" x14ac:dyDescent="0.2">
      <c r="A4069" s="6" t="str">
        <f>"PARN"</f>
        <v>PARN</v>
      </c>
      <c r="B4069" s="6">
        <v>4.5954045954045897E-2</v>
      </c>
      <c r="C4069" s="6">
        <v>0.19810148174943401</v>
      </c>
    </row>
    <row r="4070" spans="1:3" s="8" customFormat="1" x14ac:dyDescent="0.2">
      <c r="A4070" s="6" t="str">
        <f>"C6orf47"</f>
        <v>C6orf47</v>
      </c>
      <c r="B4070" s="6">
        <v>4.5954045954045897E-2</v>
      </c>
      <c r="C4070" s="6">
        <v>0.19810148174943401</v>
      </c>
    </row>
    <row r="4071" spans="1:3" s="8" customFormat="1" x14ac:dyDescent="0.2">
      <c r="A4071" s="6" t="str">
        <f>"PRR7"</f>
        <v>PRR7</v>
      </c>
      <c r="B4071" s="6">
        <v>4.5954045954045897E-2</v>
      </c>
      <c r="C4071" s="6">
        <v>0.19810148174943401</v>
      </c>
    </row>
    <row r="4072" spans="1:3" s="8" customFormat="1" x14ac:dyDescent="0.2">
      <c r="A4072" s="6" t="str">
        <f>"SCAF4"</f>
        <v>SCAF4</v>
      </c>
      <c r="B4072" s="6">
        <v>4.5954045954045897E-2</v>
      </c>
      <c r="C4072" s="6">
        <v>0.19810148174943401</v>
      </c>
    </row>
    <row r="4073" spans="1:3" s="8" customFormat="1" x14ac:dyDescent="0.2">
      <c r="A4073" s="6" t="str">
        <f>"POFUT1"</f>
        <v>POFUT1</v>
      </c>
      <c r="B4073" s="6">
        <v>4.5954045954045897E-2</v>
      </c>
      <c r="C4073" s="6">
        <v>0.19810148174943401</v>
      </c>
    </row>
    <row r="4074" spans="1:3" s="8" customFormat="1" x14ac:dyDescent="0.2">
      <c r="A4074" s="6" t="str">
        <f>"STN1"</f>
        <v>STN1</v>
      </c>
      <c r="B4074" s="6">
        <v>4.5954045954045897E-2</v>
      </c>
      <c r="C4074" s="6">
        <v>0.19810148174943401</v>
      </c>
    </row>
    <row r="4075" spans="1:3" s="8" customFormat="1" x14ac:dyDescent="0.2">
      <c r="A4075" s="6" t="str">
        <f>"RBPJ"</f>
        <v>RBPJ</v>
      </c>
      <c r="B4075" s="6">
        <v>4.5954045954045897E-2</v>
      </c>
      <c r="C4075" s="6">
        <v>0.19810148174943401</v>
      </c>
    </row>
    <row r="4076" spans="1:3" s="8" customFormat="1" x14ac:dyDescent="0.2">
      <c r="A4076" s="6" t="str">
        <f>"RTF1"</f>
        <v>RTF1</v>
      </c>
      <c r="B4076" s="6">
        <v>4.5954045954045897E-2</v>
      </c>
      <c r="C4076" s="6">
        <v>0.19810148174943401</v>
      </c>
    </row>
    <row r="4077" spans="1:3" s="8" customFormat="1" x14ac:dyDescent="0.2">
      <c r="A4077" s="6" t="str">
        <f>"CHD6"</f>
        <v>CHD6</v>
      </c>
      <c r="B4077" s="6">
        <v>4.5954045954045897E-2</v>
      </c>
      <c r="C4077" s="6">
        <v>0.19810148174943401</v>
      </c>
    </row>
    <row r="4078" spans="1:3" s="8" customFormat="1" x14ac:dyDescent="0.2">
      <c r="A4078" s="6" t="str">
        <f>"MUC15"</f>
        <v>MUC15</v>
      </c>
      <c r="B4078" s="6">
        <v>4.5954045954045897E-2</v>
      </c>
      <c r="C4078" s="6">
        <v>0.19810148174943401</v>
      </c>
    </row>
    <row r="4079" spans="1:3" s="8" customFormat="1" x14ac:dyDescent="0.2">
      <c r="A4079" s="6" t="str">
        <f>"EVPL"</f>
        <v>EVPL</v>
      </c>
      <c r="B4079" s="6">
        <v>4.5954045954045897E-2</v>
      </c>
      <c r="C4079" s="6">
        <v>0.19810148174943401</v>
      </c>
    </row>
    <row r="4080" spans="1:3" s="8" customFormat="1" x14ac:dyDescent="0.2">
      <c r="A4080" s="6" t="str">
        <f>"ZBTB4"</f>
        <v>ZBTB4</v>
      </c>
      <c r="B4080" s="6">
        <v>4.5954045954045897E-2</v>
      </c>
      <c r="C4080" s="6">
        <v>0.19810148174943401</v>
      </c>
    </row>
    <row r="4081" spans="1:3" s="8" customFormat="1" x14ac:dyDescent="0.2">
      <c r="A4081" s="6" t="str">
        <f>"CENPU"</f>
        <v>CENPU</v>
      </c>
      <c r="B4081" s="6">
        <v>4.5999999999999999E-2</v>
      </c>
      <c r="C4081" s="6">
        <v>0.19820240137221201</v>
      </c>
    </row>
    <row r="4082" spans="1:3" s="8" customFormat="1" x14ac:dyDescent="0.2">
      <c r="A4082" s="6" t="str">
        <f>"NRAV"</f>
        <v>NRAV</v>
      </c>
      <c r="B4082" s="6">
        <v>4.5999999999999999E-2</v>
      </c>
      <c r="C4082" s="6">
        <v>0.19820240137221201</v>
      </c>
    </row>
    <row r="4083" spans="1:3" s="8" customFormat="1" x14ac:dyDescent="0.2">
      <c r="A4083" s="6" t="str">
        <f>"LINC02886"</f>
        <v>LINC02886</v>
      </c>
      <c r="B4083" s="6">
        <v>4.60251046025104E-2</v>
      </c>
      <c r="C4083" s="6">
        <v>0.19826198905696801</v>
      </c>
    </row>
    <row r="4084" spans="1:3" s="8" customFormat="1" x14ac:dyDescent="0.2">
      <c r="A4084" s="6" t="str">
        <f>"AC004076.2"</f>
        <v>AC004076.2</v>
      </c>
      <c r="B4084" s="6">
        <v>4.6046046046046001E-2</v>
      </c>
      <c r="C4084" s="6">
        <v>0.198303618337906</v>
      </c>
    </row>
    <row r="4085" spans="1:3" s="8" customFormat="1" x14ac:dyDescent="0.2">
      <c r="A4085" s="6" t="str">
        <f>"AL928654.4"</f>
        <v>AL928654.4</v>
      </c>
      <c r="B4085" s="6">
        <v>4.6121593291404597E-2</v>
      </c>
      <c r="C4085" s="6">
        <v>0.198580337031356</v>
      </c>
    </row>
    <row r="4086" spans="1:3" s="8" customFormat="1" x14ac:dyDescent="0.2">
      <c r="A4086" s="6" t="str">
        <f>"AC104117.3"</f>
        <v>AC104117.3</v>
      </c>
      <c r="B4086" s="6">
        <v>4.6739130434782603E-2</v>
      </c>
      <c r="C4086" s="6">
        <v>0.20034515351186</v>
      </c>
    </row>
    <row r="4087" spans="1:3" s="8" customFormat="1" x14ac:dyDescent="0.2">
      <c r="A4087" s="6" t="str">
        <f>"OLIG1"</f>
        <v>OLIG1</v>
      </c>
      <c r="B4087" s="6">
        <v>4.6953046953046897E-2</v>
      </c>
      <c r="C4087" s="6">
        <v>0.20034515351186</v>
      </c>
    </row>
    <row r="4088" spans="1:3" s="8" customFormat="1" x14ac:dyDescent="0.2">
      <c r="A4088" s="6" t="str">
        <f>"RASD2"</f>
        <v>RASD2</v>
      </c>
      <c r="B4088" s="6">
        <v>4.6953046953046897E-2</v>
      </c>
      <c r="C4088" s="6">
        <v>0.20034515351186</v>
      </c>
    </row>
    <row r="4089" spans="1:3" s="8" customFormat="1" x14ac:dyDescent="0.2">
      <c r="A4089" s="6" t="str">
        <f>"ZFHX2-AS1"</f>
        <v>ZFHX2-AS1</v>
      </c>
      <c r="B4089" s="6">
        <v>4.6953046953046897E-2</v>
      </c>
      <c r="C4089" s="6">
        <v>0.20034515351186</v>
      </c>
    </row>
    <row r="4090" spans="1:3" s="8" customFormat="1" x14ac:dyDescent="0.2">
      <c r="A4090" s="6" t="str">
        <f>"TFAP2A-AS1"</f>
        <v>TFAP2A-AS1</v>
      </c>
      <c r="B4090" s="6">
        <v>4.6953046953046897E-2</v>
      </c>
      <c r="C4090" s="6">
        <v>0.20034515351186</v>
      </c>
    </row>
    <row r="4091" spans="1:3" s="8" customFormat="1" x14ac:dyDescent="0.2">
      <c r="A4091" s="6" t="str">
        <f>"AC124947.1"</f>
        <v>AC124947.1</v>
      </c>
      <c r="B4091" s="6">
        <v>4.6953046953046897E-2</v>
      </c>
      <c r="C4091" s="6">
        <v>0.20034515351186</v>
      </c>
    </row>
    <row r="4092" spans="1:3" s="8" customFormat="1" x14ac:dyDescent="0.2">
      <c r="A4092" s="6" t="str">
        <f>"H1-10-AS1"</f>
        <v>H1-10-AS1</v>
      </c>
      <c r="B4092" s="6">
        <v>4.6953046953046897E-2</v>
      </c>
      <c r="C4092" s="6">
        <v>0.20034515351186</v>
      </c>
    </row>
    <row r="4093" spans="1:3" s="8" customFormat="1" x14ac:dyDescent="0.2">
      <c r="A4093" s="6" t="str">
        <f>"C11orf65"</f>
        <v>C11orf65</v>
      </c>
      <c r="B4093" s="6">
        <v>4.6953046953046897E-2</v>
      </c>
      <c r="C4093" s="6">
        <v>0.20034515351186</v>
      </c>
    </row>
    <row r="4094" spans="1:3" s="8" customFormat="1" x14ac:dyDescent="0.2">
      <c r="A4094" s="6" t="str">
        <f>"LINC01550"</f>
        <v>LINC01550</v>
      </c>
      <c r="B4094" s="6">
        <v>4.6953046953046897E-2</v>
      </c>
      <c r="C4094" s="6">
        <v>0.20034515351186</v>
      </c>
    </row>
    <row r="4095" spans="1:3" s="8" customFormat="1" x14ac:dyDescent="0.2">
      <c r="A4095" s="6" t="str">
        <f>"AC037459.2"</f>
        <v>AC037459.2</v>
      </c>
      <c r="B4095" s="6">
        <v>4.6953046953046897E-2</v>
      </c>
      <c r="C4095" s="6">
        <v>0.20034515351186</v>
      </c>
    </row>
    <row r="4096" spans="1:3" s="8" customFormat="1" x14ac:dyDescent="0.2">
      <c r="A4096" s="6" t="str">
        <f>"NICN1"</f>
        <v>NICN1</v>
      </c>
      <c r="B4096" s="6">
        <v>4.6953046953046897E-2</v>
      </c>
      <c r="C4096" s="6">
        <v>0.20034515351186</v>
      </c>
    </row>
    <row r="4097" spans="1:3" s="8" customFormat="1" x14ac:dyDescent="0.2">
      <c r="A4097" s="6" t="str">
        <f>"DISC1"</f>
        <v>DISC1</v>
      </c>
      <c r="B4097" s="6">
        <v>4.6953046953046897E-2</v>
      </c>
      <c r="C4097" s="6">
        <v>0.20034515351186</v>
      </c>
    </row>
    <row r="4098" spans="1:3" s="8" customFormat="1" x14ac:dyDescent="0.2">
      <c r="A4098" s="6" t="str">
        <f>"ZNF764"</f>
        <v>ZNF764</v>
      </c>
      <c r="B4098" s="6">
        <v>4.6953046953046897E-2</v>
      </c>
      <c r="C4098" s="6">
        <v>0.20034515351186</v>
      </c>
    </row>
    <row r="4099" spans="1:3" s="8" customFormat="1" x14ac:dyDescent="0.2">
      <c r="A4099" s="6" t="str">
        <f>"CGNL1"</f>
        <v>CGNL1</v>
      </c>
      <c r="B4099" s="6">
        <v>4.6953046953046897E-2</v>
      </c>
      <c r="C4099" s="6">
        <v>0.20034515351186</v>
      </c>
    </row>
    <row r="4100" spans="1:3" s="8" customFormat="1" x14ac:dyDescent="0.2">
      <c r="A4100" s="6" t="str">
        <f>"FP671120.6"</f>
        <v>FP671120.6</v>
      </c>
      <c r="B4100" s="6">
        <v>4.6953046953046897E-2</v>
      </c>
      <c r="C4100" s="6">
        <v>0.20034515351186</v>
      </c>
    </row>
    <row r="4101" spans="1:3" s="8" customFormat="1" x14ac:dyDescent="0.2">
      <c r="A4101" s="6" t="str">
        <f>"HINFP"</f>
        <v>HINFP</v>
      </c>
      <c r="B4101" s="6">
        <v>4.6953046953046897E-2</v>
      </c>
      <c r="C4101" s="6">
        <v>0.20034515351186</v>
      </c>
    </row>
    <row r="4102" spans="1:3" s="8" customFormat="1" x14ac:dyDescent="0.2">
      <c r="A4102" s="6" t="str">
        <f>"C17orf58"</f>
        <v>C17orf58</v>
      </c>
      <c r="B4102" s="6">
        <v>4.6953046953046897E-2</v>
      </c>
      <c r="C4102" s="6">
        <v>0.20034515351186</v>
      </c>
    </row>
    <row r="4103" spans="1:3" s="8" customFormat="1" x14ac:dyDescent="0.2">
      <c r="A4103" s="6" t="str">
        <f>"PIAS2"</f>
        <v>PIAS2</v>
      </c>
      <c r="B4103" s="6">
        <v>4.6953046953046897E-2</v>
      </c>
      <c r="C4103" s="6">
        <v>0.20034515351186</v>
      </c>
    </row>
    <row r="4104" spans="1:3" s="8" customFormat="1" x14ac:dyDescent="0.2">
      <c r="A4104" s="6" t="str">
        <f>"PRUNE1"</f>
        <v>PRUNE1</v>
      </c>
      <c r="B4104" s="6">
        <v>4.6953046953046897E-2</v>
      </c>
      <c r="C4104" s="6">
        <v>0.20034515351186</v>
      </c>
    </row>
    <row r="4105" spans="1:3" s="8" customFormat="1" x14ac:dyDescent="0.2">
      <c r="A4105" s="6" t="str">
        <f>"RXYLT1"</f>
        <v>RXYLT1</v>
      </c>
      <c r="B4105" s="6">
        <v>4.6953046953046897E-2</v>
      </c>
      <c r="C4105" s="6">
        <v>0.20034515351186</v>
      </c>
    </row>
    <row r="4106" spans="1:3" s="8" customFormat="1" x14ac:dyDescent="0.2">
      <c r="A4106" s="6" t="str">
        <f>"CA5B"</f>
        <v>CA5B</v>
      </c>
      <c r="B4106" s="6">
        <v>4.6953046953046897E-2</v>
      </c>
      <c r="C4106" s="6">
        <v>0.20034515351186</v>
      </c>
    </row>
    <row r="4107" spans="1:3" s="8" customFormat="1" x14ac:dyDescent="0.2">
      <c r="A4107" s="6" t="str">
        <f>"WASH6P"</f>
        <v>WASH6P</v>
      </c>
      <c r="B4107" s="6">
        <v>4.6953046953046897E-2</v>
      </c>
      <c r="C4107" s="6">
        <v>0.20034515351186</v>
      </c>
    </row>
    <row r="4108" spans="1:3" s="8" customFormat="1" x14ac:dyDescent="0.2">
      <c r="A4108" s="6" t="str">
        <f>"RPS6KB1"</f>
        <v>RPS6KB1</v>
      </c>
      <c r="B4108" s="6">
        <v>4.6953046953046897E-2</v>
      </c>
      <c r="C4108" s="6">
        <v>0.20034515351186</v>
      </c>
    </row>
    <row r="4109" spans="1:3" s="8" customFormat="1" x14ac:dyDescent="0.2">
      <c r="A4109" s="6" t="str">
        <f>"SNN"</f>
        <v>SNN</v>
      </c>
      <c r="B4109" s="6">
        <v>4.6953046953046897E-2</v>
      </c>
      <c r="C4109" s="6">
        <v>0.20034515351186</v>
      </c>
    </row>
    <row r="4110" spans="1:3" s="8" customFormat="1" x14ac:dyDescent="0.2">
      <c r="A4110" s="6" t="str">
        <f>"TXNDC15"</f>
        <v>TXNDC15</v>
      </c>
      <c r="B4110" s="6">
        <v>4.6953046953046897E-2</v>
      </c>
      <c r="C4110" s="6">
        <v>0.20034515351186</v>
      </c>
    </row>
    <row r="4111" spans="1:3" s="8" customFormat="1" x14ac:dyDescent="0.2">
      <c r="A4111" s="6" t="str">
        <f>"FBXO36"</f>
        <v>FBXO36</v>
      </c>
      <c r="B4111" s="6">
        <v>4.6953046953046897E-2</v>
      </c>
      <c r="C4111" s="6">
        <v>0.20034515351186</v>
      </c>
    </row>
    <row r="4112" spans="1:3" s="8" customFormat="1" x14ac:dyDescent="0.2">
      <c r="A4112" s="6" t="str">
        <f>"WDR86-AS1"</f>
        <v>WDR86-AS1</v>
      </c>
      <c r="B4112" s="6">
        <v>4.6953046953046897E-2</v>
      </c>
      <c r="C4112" s="6">
        <v>0.20034515351186</v>
      </c>
    </row>
    <row r="4113" spans="1:3" s="8" customFormat="1" x14ac:dyDescent="0.2">
      <c r="A4113" s="6" t="str">
        <f>"CMTR1"</f>
        <v>CMTR1</v>
      </c>
      <c r="B4113" s="6">
        <v>4.6953046953046897E-2</v>
      </c>
      <c r="C4113" s="6">
        <v>0.20034515351186</v>
      </c>
    </row>
    <row r="4114" spans="1:3" s="8" customFormat="1" x14ac:dyDescent="0.2">
      <c r="A4114" s="6" t="str">
        <f>"MAX"</f>
        <v>MAX</v>
      </c>
      <c r="B4114" s="6">
        <v>4.6953046953046897E-2</v>
      </c>
      <c r="C4114" s="6">
        <v>0.20034515351186</v>
      </c>
    </row>
    <row r="4115" spans="1:3" s="8" customFormat="1" x14ac:dyDescent="0.2">
      <c r="A4115" s="6" t="str">
        <f>"BICDL1"</f>
        <v>BICDL1</v>
      </c>
      <c r="B4115" s="6">
        <v>4.6953046953046897E-2</v>
      </c>
      <c r="C4115" s="6">
        <v>0.20034515351186</v>
      </c>
    </row>
    <row r="4116" spans="1:3" s="8" customFormat="1" x14ac:dyDescent="0.2">
      <c r="A4116" s="6" t="str">
        <f>"DOCK9"</f>
        <v>DOCK9</v>
      </c>
      <c r="B4116" s="6">
        <v>4.6953046953046897E-2</v>
      </c>
      <c r="C4116" s="6">
        <v>0.20034515351186</v>
      </c>
    </row>
    <row r="4117" spans="1:3" s="8" customFormat="1" x14ac:dyDescent="0.2">
      <c r="A4117" s="6" t="str">
        <f>"CDC42SE1"</f>
        <v>CDC42SE1</v>
      </c>
      <c r="B4117" s="6">
        <v>4.6953046953046897E-2</v>
      </c>
      <c r="C4117" s="6">
        <v>0.20034515351186</v>
      </c>
    </row>
    <row r="4118" spans="1:3" s="8" customFormat="1" x14ac:dyDescent="0.2">
      <c r="A4118" s="6" t="str">
        <f>"CDC42BPA"</f>
        <v>CDC42BPA</v>
      </c>
      <c r="B4118" s="6">
        <v>4.6953046953046897E-2</v>
      </c>
      <c r="C4118" s="6">
        <v>0.20034515351186</v>
      </c>
    </row>
    <row r="4119" spans="1:3" s="8" customFormat="1" x14ac:dyDescent="0.2">
      <c r="A4119" s="6" t="str">
        <f>"ZFP36L2"</f>
        <v>ZFP36L2</v>
      </c>
      <c r="B4119" s="6">
        <v>4.6953046953046897E-2</v>
      </c>
      <c r="C4119" s="6">
        <v>0.20034515351186</v>
      </c>
    </row>
    <row r="4120" spans="1:3" s="8" customFormat="1" x14ac:dyDescent="0.2">
      <c r="A4120" s="6" t="str">
        <f>"HLA-F"</f>
        <v>HLA-F</v>
      </c>
      <c r="B4120" s="6">
        <v>4.6953046953046897E-2</v>
      </c>
      <c r="C4120" s="6">
        <v>0.20034515351186</v>
      </c>
    </row>
    <row r="4121" spans="1:3" s="8" customFormat="1" x14ac:dyDescent="0.2">
      <c r="A4121" s="6" t="str">
        <f>"ADAM15"</f>
        <v>ADAM15</v>
      </c>
      <c r="B4121" s="6">
        <v>4.6953046953046897E-2</v>
      </c>
      <c r="C4121" s="6">
        <v>0.20034515351186</v>
      </c>
    </row>
    <row r="4122" spans="1:3" s="8" customFormat="1" x14ac:dyDescent="0.2">
      <c r="A4122" s="6" t="str">
        <f>"CD63"</f>
        <v>CD63</v>
      </c>
      <c r="B4122" s="6">
        <v>4.6953046953046897E-2</v>
      </c>
      <c r="C4122" s="6">
        <v>0.20034515351186</v>
      </c>
    </row>
    <row r="4123" spans="1:3" s="8" customFormat="1" x14ac:dyDescent="0.2">
      <c r="A4123" s="6" t="str">
        <f>"PIF1"</f>
        <v>PIF1</v>
      </c>
      <c r="B4123" s="6">
        <v>4.7E-2</v>
      </c>
      <c r="C4123" s="6">
        <v>0.200399612027158</v>
      </c>
    </row>
    <row r="4124" spans="1:3" s="8" customFormat="1" x14ac:dyDescent="0.2">
      <c r="A4124" s="6" t="str">
        <f>"RCAN3AS"</f>
        <v>RCAN3AS</v>
      </c>
      <c r="B4124" s="6">
        <v>4.7E-2</v>
      </c>
      <c r="C4124" s="6">
        <v>0.200399612027158</v>
      </c>
    </row>
    <row r="4125" spans="1:3" s="8" customFormat="1" x14ac:dyDescent="0.2">
      <c r="A4125" s="6" t="str">
        <f>"JAZF1"</f>
        <v>JAZF1</v>
      </c>
      <c r="B4125" s="6">
        <v>4.7E-2</v>
      </c>
      <c r="C4125" s="6">
        <v>0.200399612027158</v>
      </c>
    </row>
    <row r="4126" spans="1:3" s="8" customFormat="1" x14ac:dyDescent="0.2">
      <c r="A4126" s="6" t="str">
        <f>"AC018755.5"</f>
        <v>AC018755.5</v>
      </c>
      <c r="B4126" s="6">
        <v>4.7952047952047903E-2</v>
      </c>
      <c r="C4126" s="6">
        <v>0.20239769831704499</v>
      </c>
    </row>
    <row r="4127" spans="1:3" s="8" customFormat="1" x14ac:dyDescent="0.2">
      <c r="A4127" s="6" t="str">
        <f>"AL356867.1"</f>
        <v>AL356867.1</v>
      </c>
      <c r="B4127" s="6">
        <v>4.7952047952047903E-2</v>
      </c>
      <c r="C4127" s="6">
        <v>0.20239769831704499</v>
      </c>
    </row>
    <row r="4128" spans="1:3" s="8" customFormat="1" x14ac:dyDescent="0.2">
      <c r="A4128" s="6" t="str">
        <f>"LSMEM1"</f>
        <v>LSMEM1</v>
      </c>
      <c r="B4128" s="6">
        <v>4.7952047952047903E-2</v>
      </c>
      <c r="C4128" s="6">
        <v>0.20239769831704499</v>
      </c>
    </row>
    <row r="4129" spans="1:3" s="8" customFormat="1" x14ac:dyDescent="0.2">
      <c r="A4129" s="6" t="str">
        <f>"CCDC200"</f>
        <v>CCDC200</v>
      </c>
      <c r="B4129" s="6">
        <v>4.7952047952047903E-2</v>
      </c>
      <c r="C4129" s="6">
        <v>0.20239769831704499</v>
      </c>
    </row>
    <row r="4130" spans="1:3" s="8" customFormat="1" x14ac:dyDescent="0.2">
      <c r="A4130" s="6" t="str">
        <f>"EID3"</f>
        <v>EID3</v>
      </c>
      <c r="B4130" s="6">
        <v>4.7952047952047903E-2</v>
      </c>
      <c r="C4130" s="6">
        <v>0.20239769831704499</v>
      </c>
    </row>
    <row r="4131" spans="1:3" s="8" customFormat="1" x14ac:dyDescent="0.2">
      <c r="A4131" s="6" t="str">
        <f>"SCN11A"</f>
        <v>SCN11A</v>
      </c>
      <c r="B4131" s="6">
        <v>4.7952047952047903E-2</v>
      </c>
      <c r="C4131" s="6">
        <v>0.20239769831704499</v>
      </c>
    </row>
    <row r="4132" spans="1:3" s="8" customFormat="1" x14ac:dyDescent="0.2">
      <c r="A4132" s="6" t="str">
        <f>"DPY19L2P1"</f>
        <v>DPY19L2P1</v>
      </c>
      <c r="B4132" s="6">
        <v>4.7952047952047903E-2</v>
      </c>
      <c r="C4132" s="6">
        <v>0.20239769831704499</v>
      </c>
    </row>
    <row r="4133" spans="1:3" s="8" customFormat="1" x14ac:dyDescent="0.2">
      <c r="A4133" s="6" t="str">
        <f>"AL138701.2"</f>
        <v>AL138701.2</v>
      </c>
      <c r="B4133" s="6">
        <v>4.7952047952047903E-2</v>
      </c>
      <c r="C4133" s="6">
        <v>0.20239769831704499</v>
      </c>
    </row>
    <row r="4134" spans="1:3" s="8" customFormat="1" x14ac:dyDescent="0.2">
      <c r="A4134" s="6" t="str">
        <f>"CACNA2D2"</f>
        <v>CACNA2D2</v>
      </c>
      <c r="B4134" s="6">
        <v>4.7952047952047903E-2</v>
      </c>
      <c r="C4134" s="6">
        <v>0.20239769831704499</v>
      </c>
    </row>
    <row r="4135" spans="1:3" s="8" customFormat="1" x14ac:dyDescent="0.2">
      <c r="A4135" s="6" t="str">
        <f>"AL713998.1"</f>
        <v>AL713998.1</v>
      </c>
      <c r="B4135" s="6">
        <v>4.7952047952047903E-2</v>
      </c>
      <c r="C4135" s="6">
        <v>0.20239769831704499</v>
      </c>
    </row>
    <row r="4136" spans="1:3" s="8" customFormat="1" x14ac:dyDescent="0.2">
      <c r="A4136" s="6" t="str">
        <f>"CACNB4"</f>
        <v>CACNB4</v>
      </c>
      <c r="B4136" s="6">
        <v>4.7952047952047903E-2</v>
      </c>
      <c r="C4136" s="6">
        <v>0.20239769831704499</v>
      </c>
    </row>
    <row r="4137" spans="1:3" s="8" customFormat="1" x14ac:dyDescent="0.2">
      <c r="A4137" s="6" t="str">
        <f>"PTCD2"</f>
        <v>PTCD2</v>
      </c>
      <c r="B4137" s="6">
        <v>4.7952047952047903E-2</v>
      </c>
      <c r="C4137" s="6">
        <v>0.20239769831704499</v>
      </c>
    </row>
    <row r="4138" spans="1:3" s="8" customFormat="1" x14ac:dyDescent="0.2">
      <c r="A4138" s="6" t="str">
        <f>"TIGD6"</f>
        <v>TIGD6</v>
      </c>
      <c r="B4138" s="6">
        <v>4.7952047952047903E-2</v>
      </c>
      <c r="C4138" s="6">
        <v>0.20239769831704499</v>
      </c>
    </row>
    <row r="4139" spans="1:3" s="8" customFormat="1" x14ac:dyDescent="0.2">
      <c r="A4139" s="6" t="str">
        <f>"ZDHHC11"</f>
        <v>ZDHHC11</v>
      </c>
      <c r="B4139" s="6">
        <v>4.7952047952047903E-2</v>
      </c>
      <c r="C4139" s="6">
        <v>0.20239769831704499</v>
      </c>
    </row>
    <row r="4140" spans="1:3" s="8" customFormat="1" x14ac:dyDescent="0.2">
      <c r="A4140" s="6" t="str">
        <f>"ACOT1"</f>
        <v>ACOT1</v>
      </c>
      <c r="B4140" s="6">
        <v>4.7952047952047903E-2</v>
      </c>
      <c r="C4140" s="6">
        <v>0.20239769831704499</v>
      </c>
    </row>
    <row r="4141" spans="1:3" s="8" customFormat="1" x14ac:dyDescent="0.2">
      <c r="A4141" s="6" t="str">
        <f>"ACYP1"</f>
        <v>ACYP1</v>
      </c>
      <c r="B4141" s="6">
        <v>4.7952047952047903E-2</v>
      </c>
      <c r="C4141" s="6">
        <v>0.20239769831704499</v>
      </c>
    </row>
    <row r="4142" spans="1:3" s="8" customFormat="1" x14ac:dyDescent="0.2">
      <c r="A4142" s="6" t="str">
        <f>"FRA10AC1"</f>
        <v>FRA10AC1</v>
      </c>
      <c r="B4142" s="6">
        <v>4.7952047952047903E-2</v>
      </c>
      <c r="C4142" s="6">
        <v>0.20239769831704499</v>
      </c>
    </row>
    <row r="4143" spans="1:3" s="8" customFormat="1" x14ac:dyDescent="0.2">
      <c r="A4143" s="6" t="str">
        <f>"GXYLT2"</f>
        <v>GXYLT2</v>
      </c>
      <c r="B4143" s="6">
        <v>4.7952047952047903E-2</v>
      </c>
      <c r="C4143" s="6">
        <v>0.20239769831704499</v>
      </c>
    </row>
    <row r="4144" spans="1:3" s="8" customFormat="1" x14ac:dyDescent="0.2">
      <c r="A4144" s="6" t="str">
        <f>"CYBB"</f>
        <v>CYBB</v>
      </c>
      <c r="B4144" s="6">
        <v>4.7952047952047903E-2</v>
      </c>
      <c r="C4144" s="6">
        <v>0.20239769831704499</v>
      </c>
    </row>
    <row r="4145" spans="1:3" s="8" customFormat="1" x14ac:dyDescent="0.2">
      <c r="A4145" s="6" t="str">
        <f>"HTRA1"</f>
        <v>HTRA1</v>
      </c>
      <c r="B4145" s="6">
        <v>4.7952047952047903E-2</v>
      </c>
      <c r="C4145" s="6">
        <v>0.20239769831704499</v>
      </c>
    </row>
    <row r="4146" spans="1:3" s="8" customFormat="1" x14ac:dyDescent="0.2">
      <c r="A4146" s="6" t="str">
        <f>"FRMD6"</f>
        <v>FRMD6</v>
      </c>
      <c r="B4146" s="6">
        <v>4.7952047952047903E-2</v>
      </c>
      <c r="C4146" s="6">
        <v>0.20239769831704499</v>
      </c>
    </row>
    <row r="4147" spans="1:3" s="8" customFormat="1" x14ac:dyDescent="0.2">
      <c r="A4147" s="6" t="str">
        <f>"GEMIN5"</f>
        <v>GEMIN5</v>
      </c>
      <c r="B4147" s="6">
        <v>4.7952047952047903E-2</v>
      </c>
      <c r="C4147" s="6">
        <v>0.20239769831704499</v>
      </c>
    </row>
    <row r="4148" spans="1:3" s="8" customFormat="1" x14ac:dyDescent="0.2">
      <c r="A4148" s="6" t="str">
        <f>"GANC"</f>
        <v>GANC</v>
      </c>
      <c r="B4148" s="6">
        <v>4.7952047952047903E-2</v>
      </c>
      <c r="C4148" s="6">
        <v>0.20239769831704499</v>
      </c>
    </row>
    <row r="4149" spans="1:3" s="8" customFormat="1" x14ac:dyDescent="0.2">
      <c r="A4149" s="6" t="str">
        <f>"FBXO46"</f>
        <v>FBXO46</v>
      </c>
      <c r="B4149" s="6">
        <v>4.7952047952047903E-2</v>
      </c>
      <c r="C4149" s="6">
        <v>0.20239769831704499</v>
      </c>
    </row>
    <row r="4150" spans="1:3" s="8" customFormat="1" x14ac:dyDescent="0.2">
      <c r="A4150" s="6" t="str">
        <f>"B3GALT5-AS1"</f>
        <v>B3GALT5-AS1</v>
      </c>
      <c r="B4150" s="6">
        <v>4.7952047952047903E-2</v>
      </c>
      <c r="C4150" s="6">
        <v>0.20239769831704499</v>
      </c>
    </row>
    <row r="4151" spans="1:3" s="8" customFormat="1" x14ac:dyDescent="0.2">
      <c r="A4151" s="6" t="str">
        <f>"NCBP2AS2"</f>
        <v>NCBP2AS2</v>
      </c>
      <c r="B4151" s="6">
        <v>4.7952047952047903E-2</v>
      </c>
      <c r="C4151" s="6">
        <v>0.20239769831704499</v>
      </c>
    </row>
    <row r="4152" spans="1:3" s="8" customFormat="1" x14ac:dyDescent="0.2">
      <c r="A4152" s="6" t="str">
        <f>"USP18"</f>
        <v>USP18</v>
      </c>
      <c r="B4152" s="6">
        <v>4.7952047952047903E-2</v>
      </c>
      <c r="C4152" s="6">
        <v>0.20239769831704499</v>
      </c>
    </row>
    <row r="4153" spans="1:3" s="8" customFormat="1" x14ac:dyDescent="0.2">
      <c r="A4153" s="6" t="str">
        <f>"ZNF800"</f>
        <v>ZNF800</v>
      </c>
      <c r="B4153" s="6">
        <v>4.7952047952047903E-2</v>
      </c>
      <c r="C4153" s="6">
        <v>0.20239769831704499</v>
      </c>
    </row>
    <row r="4154" spans="1:3" s="8" customFormat="1" x14ac:dyDescent="0.2">
      <c r="A4154" s="6" t="str">
        <f>"RCOR3"</f>
        <v>RCOR3</v>
      </c>
      <c r="B4154" s="6">
        <v>4.7952047952047903E-2</v>
      </c>
      <c r="C4154" s="6">
        <v>0.20239769831704499</v>
      </c>
    </row>
    <row r="4155" spans="1:3" s="8" customFormat="1" x14ac:dyDescent="0.2">
      <c r="A4155" s="6" t="str">
        <f>"CXCL6"</f>
        <v>CXCL6</v>
      </c>
      <c r="B4155" s="6">
        <v>4.7952047952047903E-2</v>
      </c>
      <c r="C4155" s="6">
        <v>0.20239769831704499</v>
      </c>
    </row>
    <row r="4156" spans="1:3" s="8" customFormat="1" x14ac:dyDescent="0.2">
      <c r="A4156" s="6" t="str">
        <f>"UBE2V2"</f>
        <v>UBE2V2</v>
      </c>
      <c r="B4156" s="6">
        <v>4.7952047952047903E-2</v>
      </c>
      <c r="C4156" s="6">
        <v>0.20239769831704499</v>
      </c>
    </row>
    <row r="4157" spans="1:3" s="8" customFormat="1" x14ac:dyDescent="0.2">
      <c r="A4157" s="6" t="str">
        <f>"HERPUD2"</f>
        <v>HERPUD2</v>
      </c>
      <c r="B4157" s="6">
        <v>4.7952047952047903E-2</v>
      </c>
      <c r="C4157" s="6">
        <v>0.20239769831704499</v>
      </c>
    </row>
    <row r="4158" spans="1:3" s="8" customFormat="1" x14ac:dyDescent="0.2">
      <c r="A4158" s="6" t="str">
        <f>"NAA35"</f>
        <v>NAA35</v>
      </c>
      <c r="B4158" s="6">
        <v>4.7952047952047903E-2</v>
      </c>
      <c r="C4158" s="6">
        <v>0.20239769831704499</v>
      </c>
    </row>
    <row r="4159" spans="1:3" s="8" customFormat="1" x14ac:dyDescent="0.2">
      <c r="A4159" s="6" t="str">
        <f>"SLC39A8"</f>
        <v>SLC39A8</v>
      </c>
      <c r="B4159" s="6">
        <v>4.7952047952047903E-2</v>
      </c>
      <c r="C4159" s="6">
        <v>0.20239769831704499</v>
      </c>
    </row>
    <row r="4160" spans="1:3" s="8" customFormat="1" x14ac:dyDescent="0.2">
      <c r="A4160" s="6" t="str">
        <f>"PPP1R12C"</f>
        <v>PPP1R12C</v>
      </c>
      <c r="B4160" s="6">
        <v>4.7952047952047903E-2</v>
      </c>
      <c r="C4160" s="6">
        <v>0.20239769831704499</v>
      </c>
    </row>
    <row r="4161" spans="1:3" s="8" customFormat="1" x14ac:dyDescent="0.2">
      <c r="A4161" s="6" t="str">
        <f>"DIP2A"</f>
        <v>DIP2A</v>
      </c>
      <c r="B4161" s="6">
        <v>4.7952047952047903E-2</v>
      </c>
      <c r="C4161" s="6">
        <v>0.20239769831704499</v>
      </c>
    </row>
    <row r="4162" spans="1:3" s="8" customFormat="1" x14ac:dyDescent="0.2">
      <c r="A4162" s="6" t="str">
        <f>"MXRA7"</f>
        <v>MXRA7</v>
      </c>
      <c r="B4162" s="6">
        <v>4.7952047952047903E-2</v>
      </c>
      <c r="C4162" s="6">
        <v>0.20239769831704499</v>
      </c>
    </row>
    <row r="4163" spans="1:3" s="8" customFormat="1" x14ac:dyDescent="0.2">
      <c r="A4163" s="6" t="str">
        <f>"RHOT2"</f>
        <v>RHOT2</v>
      </c>
      <c r="B4163" s="6">
        <v>4.7952047952047903E-2</v>
      </c>
      <c r="C4163" s="6">
        <v>0.20239769831704499</v>
      </c>
    </row>
    <row r="4164" spans="1:3" s="8" customFormat="1" x14ac:dyDescent="0.2">
      <c r="A4164" s="6" t="str">
        <f>"TENT5C"</f>
        <v>TENT5C</v>
      </c>
      <c r="B4164" s="6">
        <v>4.7952047952047903E-2</v>
      </c>
      <c r="C4164" s="6">
        <v>0.20239769831704499</v>
      </c>
    </row>
    <row r="4165" spans="1:3" s="8" customFormat="1" x14ac:dyDescent="0.2">
      <c r="A4165" s="6" t="str">
        <f>"CASZ1"</f>
        <v>CASZ1</v>
      </c>
      <c r="B4165" s="6">
        <v>4.7952047952047903E-2</v>
      </c>
      <c r="C4165" s="6">
        <v>0.20239769831704499</v>
      </c>
    </row>
    <row r="4166" spans="1:3" s="8" customFormat="1" x14ac:dyDescent="0.2">
      <c r="A4166" s="6" t="str">
        <f>"CSNK1D"</f>
        <v>CSNK1D</v>
      </c>
      <c r="B4166" s="6">
        <v>4.7952047952047903E-2</v>
      </c>
      <c r="C4166" s="6">
        <v>0.20239769831704499</v>
      </c>
    </row>
    <row r="4167" spans="1:3" s="8" customFormat="1" x14ac:dyDescent="0.2">
      <c r="A4167" s="6" t="str">
        <f>"SPINT1"</f>
        <v>SPINT1</v>
      </c>
      <c r="B4167" s="6">
        <v>4.7952047952047903E-2</v>
      </c>
      <c r="C4167" s="6">
        <v>0.20239769831704499</v>
      </c>
    </row>
    <row r="4168" spans="1:3" s="8" customFormat="1" x14ac:dyDescent="0.2">
      <c r="A4168" s="6" t="str">
        <f>"AP000254.2"</f>
        <v>AP000254.2</v>
      </c>
      <c r="B4168" s="6">
        <v>4.8000000000000001E-2</v>
      </c>
      <c r="C4168" s="6">
        <v>0.20255147588192901</v>
      </c>
    </row>
    <row r="4169" spans="1:3" s="8" customFormat="1" x14ac:dyDescent="0.2">
      <c r="A4169" s="6" t="str">
        <f>"AL603840.1"</f>
        <v>AL603840.1</v>
      </c>
      <c r="B4169" s="6">
        <v>4.8016701461377799E-2</v>
      </c>
      <c r="C4169" s="6">
        <v>0.202573339370649</v>
      </c>
    </row>
    <row r="4170" spans="1:3" s="8" customFormat="1" x14ac:dyDescent="0.2">
      <c r="A4170" s="6" t="str">
        <f>"AC091074.2"</f>
        <v>AC091074.2</v>
      </c>
      <c r="B4170" s="6">
        <v>4.8065650644783103E-2</v>
      </c>
      <c r="C4170" s="6">
        <v>0.202731206749308</v>
      </c>
    </row>
    <row r="4171" spans="1:3" s="8" customFormat="1" x14ac:dyDescent="0.2">
      <c r="A4171" s="6" t="str">
        <f>"AC100812.1"</f>
        <v>AC100812.1</v>
      </c>
      <c r="B4171" s="6">
        <v>4.8387096774193498E-2</v>
      </c>
      <c r="C4171" s="6">
        <v>0.20403805987467999</v>
      </c>
    </row>
    <row r="4172" spans="1:3" s="8" customFormat="1" x14ac:dyDescent="0.2">
      <c r="A4172" s="6" t="str">
        <f>"MARK2P16"</f>
        <v>MARK2P16</v>
      </c>
      <c r="B4172" s="6">
        <v>4.8730964467004999E-2</v>
      </c>
      <c r="C4172" s="6">
        <v>0.20469803680267401</v>
      </c>
    </row>
    <row r="4173" spans="1:3" s="8" customFormat="1" x14ac:dyDescent="0.2">
      <c r="A4173" s="6" t="str">
        <f>"AL513303.1"</f>
        <v>AL513303.1</v>
      </c>
      <c r="B4173" s="6">
        <v>4.8951048951048903E-2</v>
      </c>
      <c r="C4173" s="6">
        <v>0.20469803680267401</v>
      </c>
    </row>
    <row r="4174" spans="1:3" s="8" customFormat="1" x14ac:dyDescent="0.2">
      <c r="A4174" s="6" t="str">
        <f>"AL139125.1"</f>
        <v>AL139125.1</v>
      </c>
      <c r="B4174" s="6">
        <v>4.8951048951048903E-2</v>
      </c>
      <c r="C4174" s="6">
        <v>0.20469803680267401</v>
      </c>
    </row>
    <row r="4175" spans="1:3" s="8" customFormat="1" x14ac:dyDescent="0.2">
      <c r="A4175" s="6" t="str">
        <f>"SLC19A3"</f>
        <v>SLC19A3</v>
      </c>
      <c r="B4175" s="6">
        <v>4.8951048951048903E-2</v>
      </c>
      <c r="C4175" s="6">
        <v>0.20469803680267401</v>
      </c>
    </row>
    <row r="4176" spans="1:3" s="8" customFormat="1" x14ac:dyDescent="0.2">
      <c r="A4176" s="6" t="str">
        <f>"PKD2L1"</f>
        <v>PKD2L1</v>
      </c>
      <c r="B4176" s="6">
        <v>4.8951048951048903E-2</v>
      </c>
      <c r="C4176" s="6">
        <v>0.20469803680267401</v>
      </c>
    </row>
    <row r="4177" spans="1:3" s="8" customFormat="1" x14ac:dyDescent="0.2">
      <c r="A4177" s="6" t="str">
        <f>"HSPB2-C11orf52"</f>
        <v>HSPB2-C11orf52</v>
      </c>
      <c r="B4177" s="6">
        <v>4.8951048951048903E-2</v>
      </c>
      <c r="C4177" s="6">
        <v>0.20469803680267401</v>
      </c>
    </row>
    <row r="4178" spans="1:3" s="8" customFormat="1" x14ac:dyDescent="0.2">
      <c r="A4178" s="6" t="str">
        <f>"IGHV3-23"</f>
        <v>IGHV3-23</v>
      </c>
      <c r="B4178" s="6">
        <v>4.8951048951048903E-2</v>
      </c>
      <c r="C4178" s="6">
        <v>0.20469803680267401</v>
      </c>
    </row>
    <row r="4179" spans="1:3" s="8" customFormat="1" x14ac:dyDescent="0.2">
      <c r="A4179" s="6" t="str">
        <f>"ITIH4"</f>
        <v>ITIH4</v>
      </c>
      <c r="B4179" s="6">
        <v>4.8951048951048903E-2</v>
      </c>
      <c r="C4179" s="6">
        <v>0.20469803680267401</v>
      </c>
    </row>
    <row r="4180" spans="1:3" s="8" customFormat="1" x14ac:dyDescent="0.2">
      <c r="A4180" s="6" t="str">
        <f>"GTF2IP7"</f>
        <v>GTF2IP7</v>
      </c>
      <c r="B4180" s="6">
        <v>4.8951048951048903E-2</v>
      </c>
      <c r="C4180" s="6">
        <v>0.20469803680267401</v>
      </c>
    </row>
    <row r="4181" spans="1:3" s="8" customFormat="1" x14ac:dyDescent="0.2">
      <c r="A4181" s="6" t="str">
        <f>"AP005230.1"</f>
        <v>AP005230.1</v>
      </c>
      <c r="B4181" s="6">
        <v>4.8951048951048903E-2</v>
      </c>
      <c r="C4181" s="6">
        <v>0.20469803680267401</v>
      </c>
    </row>
    <row r="4182" spans="1:3" s="8" customFormat="1" x14ac:dyDescent="0.2">
      <c r="A4182" s="6" t="str">
        <f>"AC069503.1"</f>
        <v>AC069503.1</v>
      </c>
      <c r="B4182" s="6">
        <v>4.8951048951048903E-2</v>
      </c>
      <c r="C4182" s="6">
        <v>0.20469803680267401</v>
      </c>
    </row>
    <row r="4183" spans="1:3" s="8" customFormat="1" x14ac:dyDescent="0.2">
      <c r="A4183" s="6" t="str">
        <f>"AC026748.3"</f>
        <v>AC026748.3</v>
      </c>
      <c r="B4183" s="6">
        <v>4.8951048951048903E-2</v>
      </c>
      <c r="C4183" s="6">
        <v>0.20469803680267401</v>
      </c>
    </row>
    <row r="4184" spans="1:3" s="8" customFormat="1" x14ac:dyDescent="0.2">
      <c r="A4184" s="6" t="str">
        <f>"ACSL6"</f>
        <v>ACSL6</v>
      </c>
      <c r="B4184" s="6">
        <v>4.8951048951048903E-2</v>
      </c>
      <c r="C4184" s="6">
        <v>0.20469803680267401</v>
      </c>
    </row>
    <row r="4185" spans="1:3" s="8" customFormat="1" x14ac:dyDescent="0.2">
      <c r="A4185" s="6" t="str">
        <f>"TNIK"</f>
        <v>TNIK</v>
      </c>
      <c r="B4185" s="6">
        <v>4.8951048951048903E-2</v>
      </c>
      <c r="C4185" s="6">
        <v>0.20469803680267401</v>
      </c>
    </row>
    <row r="4186" spans="1:3" s="8" customFormat="1" x14ac:dyDescent="0.2">
      <c r="A4186" s="6" t="str">
        <f>"ZNF662"</f>
        <v>ZNF662</v>
      </c>
      <c r="B4186" s="6">
        <v>4.8951048951048903E-2</v>
      </c>
      <c r="C4186" s="6">
        <v>0.20469803680267401</v>
      </c>
    </row>
    <row r="4187" spans="1:3" s="8" customFormat="1" x14ac:dyDescent="0.2">
      <c r="A4187" s="6" t="str">
        <f>"ISLR"</f>
        <v>ISLR</v>
      </c>
      <c r="B4187" s="6">
        <v>4.8951048951048903E-2</v>
      </c>
      <c r="C4187" s="6">
        <v>0.20469803680267401</v>
      </c>
    </row>
    <row r="4188" spans="1:3" s="8" customFormat="1" x14ac:dyDescent="0.2">
      <c r="A4188" s="6" t="str">
        <f>"C12orf50"</f>
        <v>C12orf50</v>
      </c>
      <c r="B4188" s="6">
        <v>4.8951048951048903E-2</v>
      </c>
      <c r="C4188" s="6">
        <v>0.20469803680267401</v>
      </c>
    </row>
    <row r="4189" spans="1:3" s="8" customFormat="1" x14ac:dyDescent="0.2">
      <c r="A4189" s="6" t="str">
        <f>"RIC3"</f>
        <v>RIC3</v>
      </c>
      <c r="B4189" s="6">
        <v>4.8951048951048903E-2</v>
      </c>
      <c r="C4189" s="6">
        <v>0.20469803680267401</v>
      </c>
    </row>
    <row r="4190" spans="1:3" s="8" customFormat="1" x14ac:dyDescent="0.2">
      <c r="A4190" s="6" t="str">
        <f>"SLC52A3"</f>
        <v>SLC52A3</v>
      </c>
      <c r="B4190" s="6">
        <v>4.8951048951048903E-2</v>
      </c>
      <c r="C4190" s="6">
        <v>0.20469803680267401</v>
      </c>
    </row>
    <row r="4191" spans="1:3" s="8" customFormat="1" x14ac:dyDescent="0.2">
      <c r="A4191" s="6" t="str">
        <f>"PDK1"</f>
        <v>PDK1</v>
      </c>
      <c r="B4191" s="6">
        <v>4.8951048951048903E-2</v>
      </c>
      <c r="C4191" s="6">
        <v>0.20469803680267401</v>
      </c>
    </row>
    <row r="4192" spans="1:3" s="8" customFormat="1" x14ac:dyDescent="0.2">
      <c r="A4192" s="6" t="str">
        <f>"ACYP2"</f>
        <v>ACYP2</v>
      </c>
      <c r="B4192" s="6">
        <v>4.8951048951048903E-2</v>
      </c>
      <c r="C4192" s="6">
        <v>0.20469803680267401</v>
      </c>
    </row>
    <row r="4193" spans="1:3" s="8" customFormat="1" x14ac:dyDescent="0.2">
      <c r="A4193" s="6" t="str">
        <f>"MED9"</f>
        <v>MED9</v>
      </c>
      <c r="B4193" s="6">
        <v>4.8951048951048903E-2</v>
      </c>
      <c r="C4193" s="6">
        <v>0.20469803680267401</v>
      </c>
    </row>
    <row r="4194" spans="1:3" s="8" customFormat="1" x14ac:dyDescent="0.2">
      <c r="A4194" s="6" t="str">
        <f>"DDHD1"</f>
        <v>DDHD1</v>
      </c>
      <c r="B4194" s="6">
        <v>4.8951048951048903E-2</v>
      </c>
      <c r="C4194" s="6">
        <v>0.20469803680267401</v>
      </c>
    </row>
    <row r="4195" spans="1:3" s="8" customFormat="1" x14ac:dyDescent="0.2">
      <c r="A4195" s="6" t="str">
        <f>"ANO9"</f>
        <v>ANO9</v>
      </c>
      <c r="B4195" s="6">
        <v>4.8951048951048903E-2</v>
      </c>
      <c r="C4195" s="6">
        <v>0.20469803680267401</v>
      </c>
    </row>
    <row r="4196" spans="1:3" s="8" customFormat="1" x14ac:dyDescent="0.2">
      <c r="A4196" s="6" t="str">
        <f>"ERMARD"</f>
        <v>ERMARD</v>
      </c>
      <c r="B4196" s="6">
        <v>4.8951048951048903E-2</v>
      </c>
      <c r="C4196" s="6">
        <v>0.20469803680267401</v>
      </c>
    </row>
    <row r="4197" spans="1:3" s="8" customFormat="1" x14ac:dyDescent="0.2">
      <c r="A4197" s="6" t="str">
        <f>"PDE6B"</f>
        <v>PDE6B</v>
      </c>
      <c r="B4197" s="6">
        <v>4.8951048951048903E-2</v>
      </c>
      <c r="C4197" s="6">
        <v>0.20469803680267401</v>
      </c>
    </row>
    <row r="4198" spans="1:3" s="8" customFormat="1" x14ac:dyDescent="0.2">
      <c r="A4198" s="6" t="str">
        <f>"PSPH"</f>
        <v>PSPH</v>
      </c>
      <c r="B4198" s="6">
        <v>4.8951048951048903E-2</v>
      </c>
      <c r="C4198" s="6">
        <v>0.20469803680267401</v>
      </c>
    </row>
    <row r="4199" spans="1:3" s="8" customFormat="1" x14ac:dyDescent="0.2">
      <c r="A4199" s="6" t="str">
        <f>"DIMT1"</f>
        <v>DIMT1</v>
      </c>
      <c r="B4199" s="6">
        <v>4.8951048951048903E-2</v>
      </c>
      <c r="C4199" s="6">
        <v>0.20469803680267401</v>
      </c>
    </row>
    <row r="4200" spans="1:3" s="8" customFormat="1" x14ac:dyDescent="0.2">
      <c r="A4200" s="6" t="str">
        <f>"USP46"</f>
        <v>USP46</v>
      </c>
      <c r="B4200" s="6">
        <v>4.8951048951048903E-2</v>
      </c>
      <c r="C4200" s="6">
        <v>0.20469803680267401</v>
      </c>
    </row>
    <row r="4201" spans="1:3" s="8" customFormat="1" x14ac:dyDescent="0.2">
      <c r="A4201" s="6" t="str">
        <f>"ABCG1"</f>
        <v>ABCG1</v>
      </c>
      <c r="B4201" s="6">
        <v>4.8951048951048903E-2</v>
      </c>
      <c r="C4201" s="6">
        <v>0.20469803680267401</v>
      </c>
    </row>
    <row r="4202" spans="1:3" s="8" customFormat="1" x14ac:dyDescent="0.2">
      <c r="A4202" s="6" t="str">
        <f>"TPD52L1"</f>
        <v>TPD52L1</v>
      </c>
      <c r="B4202" s="6">
        <v>4.8951048951048903E-2</v>
      </c>
      <c r="C4202" s="6">
        <v>0.20469803680267401</v>
      </c>
    </row>
    <row r="4203" spans="1:3" s="8" customFormat="1" x14ac:dyDescent="0.2">
      <c r="A4203" s="6" t="str">
        <f>"SLC35C2"</f>
        <v>SLC35C2</v>
      </c>
      <c r="B4203" s="6">
        <v>4.8951048951048903E-2</v>
      </c>
      <c r="C4203" s="6">
        <v>0.20469803680267401</v>
      </c>
    </row>
    <row r="4204" spans="1:3" s="8" customFormat="1" x14ac:dyDescent="0.2">
      <c r="A4204" s="6" t="str">
        <f>"NADK"</f>
        <v>NADK</v>
      </c>
      <c r="B4204" s="6">
        <v>4.8951048951048903E-2</v>
      </c>
      <c r="C4204" s="6">
        <v>0.20469803680267401</v>
      </c>
    </row>
    <row r="4205" spans="1:3" s="8" customFormat="1" x14ac:dyDescent="0.2">
      <c r="A4205" s="6" t="str">
        <f>"DNAH12"</f>
        <v>DNAH12</v>
      </c>
      <c r="B4205" s="6">
        <v>4.8951048951048903E-2</v>
      </c>
      <c r="C4205" s="6">
        <v>0.20469803680267401</v>
      </c>
    </row>
    <row r="4206" spans="1:3" s="8" customFormat="1" x14ac:dyDescent="0.2">
      <c r="A4206" s="6" t="str">
        <f>"U2AF2"</f>
        <v>U2AF2</v>
      </c>
      <c r="B4206" s="6">
        <v>4.8951048951048903E-2</v>
      </c>
      <c r="C4206" s="6">
        <v>0.20469803680267401</v>
      </c>
    </row>
    <row r="4207" spans="1:3" s="8" customFormat="1" x14ac:dyDescent="0.2">
      <c r="A4207" s="6" t="str">
        <f>"USP27X-AS1"</f>
        <v>USP27X-AS1</v>
      </c>
      <c r="B4207" s="6">
        <v>4.9000000000000002E-2</v>
      </c>
      <c r="C4207" s="6">
        <v>0.20475665399239501</v>
      </c>
    </row>
    <row r="4208" spans="1:3" s="8" customFormat="1" x14ac:dyDescent="0.2">
      <c r="A4208" s="6" t="str">
        <f>"COMMD3"</f>
        <v>COMMD3</v>
      </c>
      <c r="B4208" s="6">
        <v>4.9000000000000002E-2</v>
      </c>
      <c r="C4208" s="6">
        <v>0.20475665399239501</v>
      </c>
    </row>
    <row r="4209" spans="1:3" s="8" customFormat="1" x14ac:dyDescent="0.2">
      <c r="A4209" s="6" t="str">
        <f>"MTSS2"</f>
        <v>MTSS2</v>
      </c>
      <c r="B4209" s="6">
        <v>4.9000000000000002E-2</v>
      </c>
      <c r="C4209" s="6">
        <v>0.20475665399239501</v>
      </c>
    </row>
    <row r="4210" spans="1:3" s="8" customFormat="1" x14ac:dyDescent="0.2">
      <c r="A4210" s="6" t="str">
        <f>"AC116407.2"</f>
        <v>AC116407.2</v>
      </c>
      <c r="B4210" s="6">
        <v>4.9049049049048998E-2</v>
      </c>
      <c r="C4210" s="6">
        <v>0.20486424666947201</v>
      </c>
    </row>
    <row r="4211" spans="1:3" s="8" customFormat="1" x14ac:dyDescent="0.2">
      <c r="A4211" s="6" t="str">
        <f>"ZNF426-DT"</f>
        <v>ZNF426-DT</v>
      </c>
      <c r="B4211" s="6">
        <v>4.9049049049048998E-2</v>
      </c>
      <c r="C4211" s="6">
        <v>0.20486424666947201</v>
      </c>
    </row>
    <row r="4212" spans="1:3" s="8" customFormat="1" x14ac:dyDescent="0.2">
      <c r="A4212" s="6" t="str">
        <f>"DLGAP4-AS1"</f>
        <v>DLGAP4-AS1</v>
      </c>
      <c r="B4212" s="6">
        <v>4.9098196392785502E-2</v>
      </c>
      <c r="C4212" s="6">
        <v>0.205020822932971</v>
      </c>
    </row>
    <row r="4213" spans="1:3" s="8" customFormat="1" x14ac:dyDescent="0.2">
      <c r="A4213" s="6" t="str">
        <f>"RPL12P4"</f>
        <v>RPL12P4</v>
      </c>
      <c r="B4213" s="6">
        <v>4.9129989764585401E-2</v>
      </c>
      <c r="C4213" s="6">
        <v>0.20510487654807</v>
      </c>
    </row>
    <row r="4214" spans="1:3" s="8" customFormat="1" x14ac:dyDescent="0.2">
      <c r="A4214" s="6" t="str">
        <f>"HRH4"</f>
        <v>HRH4</v>
      </c>
      <c r="B4214" s="6">
        <v>4.9950049950049903E-2</v>
      </c>
      <c r="C4214" s="6">
        <v>0.206956097625277</v>
      </c>
    </row>
    <row r="4215" spans="1:3" s="8" customFormat="1" x14ac:dyDescent="0.2">
      <c r="A4215" s="6" t="str">
        <f>"LINC02656"</f>
        <v>LINC02656</v>
      </c>
      <c r="B4215" s="6">
        <v>4.9950049950049903E-2</v>
      </c>
      <c r="C4215" s="6">
        <v>0.206956097625277</v>
      </c>
    </row>
    <row r="4216" spans="1:3" s="8" customFormat="1" x14ac:dyDescent="0.2">
      <c r="A4216" s="6" t="str">
        <f>"LINC01705"</f>
        <v>LINC01705</v>
      </c>
      <c r="B4216" s="6">
        <v>4.9950049950049903E-2</v>
      </c>
      <c r="C4216" s="6">
        <v>0.206956097625277</v>
      </c>
    </row>
    <row r="4217" spans="1:3" s="8" customFormat="1" x14ac:dyDescent="0.2">
      <c r="A4217" s="6" t="str">
        <f>"CATSPER1"</f>
        <v>CATSPER1</v>
      </c>
      <c r="B4217" s="6">
        <v>4.9950049950049903E-2</v>
      </c>
      <c r="C4217" s="6">
        <v>0.206956097625277</v>
      </c>
    </row>
    <row r="4218" spans="1:3" s="8" customFormat="1" x14ac:dyDescent="0.2">
      <c r="A4218" s="6" t="str">
        <f>"AP001372.1"</f>
        <v>AP001372.1</v>
      </c>
      <c r="B4218" s="6">
        <v>4.9950049950049903E-2</v>
      </c>
      <c r="C4218" s="6">
        <v>0.206956097625277</v>
      </c>
    </row>
    <row r="4219" spans="1:3" s="8" customFormat="1" x14ac:dyDescent="0.2">
      <c r="A4219" s="6" t="str">
        <f>"AC018816.1"</f>
        <v>AC018816.1</v>
      </c>
      <c r="B4219" s="6">
        <v>4.9950049950049903E-2</v>
      </c>
      <c r="C4219" s="6">
        <v>0.206956097625277</v>
      </c>
    </row>
    <row r="4220" spans="1:3" s="8" customFormat="1" x14ac:dyDescent="0.2">
      <c r="A4220" s="6" t="str">
        <f>"SNRK-AS1"</f>
        <v>SNRK-AS1</v>
      </c>
      <c r="B4220" s="6">
        <v>4.9950049950049903E-2</v>
      </c>
      <c r="C4220" s="6">
        <v>0.206956097625277</v>
      </c>
    </row>
    <row r="4221" spans="1:3" s="8" customFormat="1" x14ac:dyDescent="0.2">
      <c r="A4221" s="6" t="str">
        <f>"TDRKH-AS1"</f>
        <v>TDRKH-AS1</v>
      </c>
      <c r="B4221" s="6">
        <v>4.9950049950049903E-2</v>
      </c>
      <c r="C4221" s="6">
        <v>0.206956097625277</v>
      </c>
    </row>
    <row r="4222" spans="1:3" s="8" customFormat="1" x14ac:dyDescent="0.2">
      <c r="A4222" s="6" t="str">
        <f>"DPY19L2P4"</f>
        <v>DPY19L2P4</v>
      </c>
      <c r="B4222" s="6">
        <v>4.9950049950049903E-2</v>
      </c>
      <c r="C4222" s="6">
        <v>0.206956097625277</v>
      </c>
    </row>
    <row r="4223" spans="1:3" s="8" customFormat="1" x14ac:dyDescent="0.2">
      <c r="A4223" s="6" t="str">
        <f>"AL356740.1"</f>
        <v>AL356740.1</v>
      </c>
      <c r="B4223" s="6">
        <v>4.9950049950049903E-2</v>
      </c>
      <c r="C4223" s="6">
        <v>0.206956097625277</v>
      </c>
    </row>
    <row r="4224" spans="1:3" s="8" customFormat="1" x14ac:dyDescent="0.2">
      <c r="A4224" s="6" t="str">
        <f>"PRDX6-AS1"</f>
        <v>PRDX6-AS1</v>
      </c>
      <c r="B4224" s="6">
        <v>4.9950049950049903E-2</v>
      </c>
      <c r="C4224" s="6">
        <v>0.206956097625277</v>
      </c>
    </row>
    <row r="4225" spans="1:3" s="8" customFormat="1" x14ac:dyDescent="0.2">
      <c r="A4225" s="6" t="str">
        <f>"TRPM2"</f>
        <v>TRPM2</v>
      </c>
      <c r="B4225" s="6">
        <v>4.9950049950049903E-2</v>
      </c>
      <c r="C4225" s="6">
        <v>0.206956097625277</v>
      </c>
    </row>
    <row r="4226" spans="1:3" s="8" customFormat="1" x14ac:dyDescent="0.2">
      <c r="A4226" s="6" t="str">
        <f>"C12orf73"</f>
        <v>C12orf73</v>
      </c>
      <c r="B4226" s="6">
        <v>4.9950049950049903E-2</v>
      </c>
      <c r="C4226" s="6">
        <v>0.206956097625277</v>
      </c>
    </row>
    <row r="4227" spans="1:3" s="8" customFormat="1" x14ac:dyDescent="0.2">
      <c r="A4227" s="6" t="str">
        <f>"ZNF2"</f>
        <v>ZNF2</v>
      </c>
      <c r="B4227" s="6">
        <v>4.9950049950049903E-2</v>
      </c>
      <c r="C4227" s="6">
        <v>0.206956097625277</v>
      </c>
    </row>
    <row r="4228" spans="1:3" s="8" customFormat="1" x14ac:dyDescent="0.2">
      <c r="A4228" s="6" t="str">
        <f>"SOX5"</f>
        <v>SOX5</v>
      </c>
      <c r="B4228" s="6">
        <v>4.9950049950049903E-2</v>
      </c>
      <c r="C4228" s="6">
        <v>0.206956097625277</v>
      </c>
    </row>
    <row r="4229" spans="1:3" s="8" customFormat="1" x14ac:dyDescent="0.2">
      <c r="A4229" s="6" t="str">
        <f>"AC010754.1"</f>
        <v>AC010754.1</v>
      </c>
      <c r="B4229" s="6">
        <v>4.9950049950049903E-2</v>
      </c>
      <c r="C4229" s="6">
        <v>0.206956097625277</v>
      </c>
    </row>
    <row r="4230" spans="1:3" s="8" customFormat="1" x14ac:dyDescent="0.2">
      <c r="A4230" s="6" t="str">
        <f>"ZNF550"</f>
        <v>ZNF550</v>
      </c>
      <c r="B4230" s="6">
        <v>4.9950049950049903E-2</v>
      </c>
      <c r="C4230" s="6">
        <v>0.206956097625277</v>
      </c>
    </row>
    <row r="4231" spans="1:3" s="8" customFormat="1" x14ac:dyDescent="0.2">
      <c r="A4231" s="6" t="str">
        <f>"SPIN4"</f>
        <v>SPIN4</v>
      </c>
      <c r="B4231" s="6">
        <v>4.9950049950049903E-2</v>
      </c>
      <c r="C4231" s="6">
        <v>0.206956097625277</v>
      </c>
    </row>
    <row r="4232" spans="1:3" s="8" customFormat="1" x14ac:dyDescent="0.2">
      <c r="A4232" s="6" t="str">
        <f>"AL732372.2"</f>
        <v>AL732372.2</v>
      </c>
      <c r="B4232" s="6">
        <v>4.9950049950049903E-2</v>
      </c>
      <c r="C4232" s="6">
        <v>0.206956097625277</v>
      </c>
    </row>
    <row r="4233" spans="1:3" s="8" customFormat="1" x14ac:dyDescent="0.2">
      <c r="A4233" s="6" t="str">
        <f>"LURAP1L"</f>
        <v>LURAP1L</v>
      </c>
      <c r="B4233" s="6">
        <v>4.9950049950049903E-2</v>
      </c>
      <c r="C4233" s="6">
        <v>0.206956097625277</v>
      </c>
    </row>
    <row r="4234" spans="1:3" s="8" customFormat="1" x14ac:dyDescent="0.2">
      <c r="A4234" s="6" t="str">
        <f>"BOLA2-SMG1P6"</f>
        <v>BOLA2-SMG1P6</v>
      </c>
      <c r="B4234" s="6">
        <v>4.9950049950049903E-2</v>
      </c>
      <c r="C4234" s="6">
        <v>0.206956097625277</v>
      </c>
    </row>
    <row r="4235" spans="1:3" s="8" customFormat="1" x14ac:dyDescent="0.2">
      <c r="A4235" s="6" t="str">
        <f>"STOML1"</f>
        <v>STOML1</v>
      </c>
      <c r="B4235" s="6">
        <v>4.9950049950049903E-2</v>
      </c>
      <c r="C4235" s="6">
        <v>0.206956097625277</v>
      </c>
    </row>
    <row r="4236" spans="1:3" s="8" customFormat="1" x14ac:dyDescent="0.2">
      <c r="A4236" s="6" t="str">
        <f>"TMEM39A"</f>
        <v>TMEM39A</v>
      </c>
      <c r="B4236" s="6">
        <v>4.9950049950049903E-2</v>
      </c>
      <c r="C4236" s="6">
        <v>0.206956097625277</v>
      </c>
    </row>
    <row r="4237" spans="1:3" s="8" customFormat="1" x14ac:dyDescent="0.2">
      <c r="A4237" s="6" t="str">
        <f>"GPALPP1"</f>
        <v>GPALPP1</v>
      </c>
      <c r="B4237" s="6">
        <v>4.9950049950049903E-2</v>
      </c>
      <c r="C4237" s="6">
        <v>0.206956097625277</v>
      </c>
    </row>
    <row r="4238" spans="1:3" s="8" customFormat="1" x14ac:dyDescent="0.2">
      <c r="A4238" s="6" t="str">
        <f>"UTP11"</f>
        <v>UTP11</v>
      </c>
      <c r="B4238" s="6">
        <v>4.9950049950049903E-2</v>
      </c>
      <c r="C4238" s="6">
        <v>0.206956097625277</v>
      </c>
    </row>
    <row r="4239" spans="1:3" s="8" customFormat="1" x14ac:dyDescent="0.2">
      <c r="A4239" s="6" t="str">
        <f>"CDK11A"</f>
        <v>CDK11A</v>
      </c>
      <c r="B4239" s="6">
        <v>4.9950049950049903E-2</v>
      </c>
      <c r="C4239" s="6">
        <v>0.206956097625277</v>
      </c>
    </row>
    <row r="4240" spans="1:3" s="8" customFormat="1" x14ac:dyDescent="0.2">
      <c r="A4240" s="6" t="str">
        <f>"MMP15"</f>
        <v>MMP15</v>
      </c>
      <c r="B4240" s="6">
        <v>4.9950049950049903E-2</v>
      </c>
      <c r="C4240" s="6">
        <v>0.206956097625277</v>
      </c>
    </row>
    <row r="4241" spans="1:3" s="8" customFormat="1" x14ac:dyDescent="0.2">
      <c r="A4241" s="6" t="str">
        <f>"DOCK8"</f>
        <v>DOCK8</v>
      </c>
      <c r="B4241" s="6">
        <v>4.9950049950049903E-2</v>
      </c>
      <c r="C4241" s="6">
        <v>0.206956097625277</v>
      </c>
    </row>
    <row r="4242" spans="1:3" s="8" customFormat="1" x14ac:dyDescent="0.2">
      <c r="A4242" s="6" t="str">
        <f>"ERICH5"</f>
        <v>ERICH5</v>
      </c>
      <c r="B4242" s="6">
        <v>4.9950049950049903E-2</v>
      </c>
      <c r="C4242" s="6">
        <v>0.206956097625277</v>
      </c>
    </row>
    <row r="4243" spans="1:3" s="8" customFormat="1" x14ac:dyDescent="0.2">
      <c r="A4243" s="6" t="str">
        <f>"HSD17B12"</f>
        <v>HSD17B12</v>
      </c>
      <c r="B4243" s="6">
        <v>4.9950049950049903E-2</v>
      </c>
      <c r="C4243" s="6">
        <v>0.206956097625277</v>
      </c>
    </row>
    <row r="4244" spans="1:3" s="8" customFormat="1" x14ac:dyDescent="0.2">
      <c r="A4244" s="6" t="str">
        <f>"MAN2B2"</f>
        <v>MAN2B2</v>
      </c>
      <c r="B4244" s="6">
        <v>4.9950049950049903E-2</v>
      </c>
      <c r="C4244" s="6">
        <v>0.206956097625277</v>
      </c>
    </row>
    <row r="4245" spans="1:3" s="8" customFormat="1" x14ac:dyDescent="0.2">
      <c r="A4245" s="6" t="str">
        <f>"TMSB4X"</f>
        <v>TMSB4X</v>
      </c>
      <c r="B4245" s="6">
        <v>4.9950049950049903E-2</v>
      </c>
      <c r="C4245" s="6">
        <v>0.206956097625277</v>
      </c>
    </row>
    <row r="4246" spans="1:3" s="8" customFormat="1" x14ac:dyDescent="0.2">
      <c r="A4246" s="6" t="str">
        <f>"LTA"</f>
        <v>LTA</v>
      </c>
      <c r="B4246" s="6">
        <v>0.05</v>
      </c>
      <c r="C4246" s="6">
        <v>0.20711425206124801</v>
      </c>
    </row>
    <row r="4247" spans="1:3" s="8" customFormat="1" x14ac:dyDescent="0.2">
      <c r="A4247" s="6" t="str">
        <f>"PRDM11"</f>
        <v>PRDM11</v>
      </c>
      <c r="B4247" s="6">
        <v>5.0050050050049998E-2</v>
      </c>
      <c r="C4247" s="6">
        <v>0.20727274613284899</v>
      </c>
    </row>
    <row r="4248" spans="1:3" s="8" customFormat="1" x14ac:dyDescent="0.2">
      <c r="A4248" s="6" t="str">
        <f>"AC080089.2"</f>
        <v>AC080089.2</v>
      </c>
      <c r="B4248" s="6">
        <v>5.0301810865191102E-2</v>
      </c>
      <c r="C4248" s="6">
        <v>0.208266315576529</v>
      </c>
    </row>
    <row r="4249" spans="1:3" s="8" customFormat="1" x14ac:dyDescent="0.2">
      <c r="A4249" s="6" t="str">
        <f>"AC091180.2"</f>
        <v>AC091180.2</v>
      </c>
      <c r="B4249" s="6">
        <v>5.0949050949050903E-2</v>
      </c>
      <c r="C4249" s="6">
        <v>0.20868579359145401</v>
      </c>
    </row>
    <row r="4250" spans="1:3" s="8" customFormat="1" x14ac:dyDescent="0.2">
      <c r="A4250" s="6" t="str">
        <f>"AC007014.1"</f>
        <v>AC007014.1</v>
      </c>
      <c r="B4250" s="6">
        <v>5.0949050949050903E-2</v>
      </c>
      <c r="C4250" s="6">
        <v>0.20868579359145401</v>
      </c>
    </row>
    <row r="4251" spans="1:3" s="8" customFormat="1" x14ac:dyDescent="0.2">
      <c r="A4251" s="6" t="str">
        <f>"AC109583.1"</f>
        <v>AC109583.1</v>
      </c>
      <c r="B4251" s="6">
        <v>5.0949050949050903E-2</v>
      </c>
      <c r="C4251" s="6">
        <v>0.20868579359145401</v>
      </c>
    </row>
    <row r="4252" spans="1:3" s="8" customFormat="1" x14ac:dyDescent="0.2">
      <c r="A4252" s="6" t="str">
        <f>"GOLGA6D"</f>
        <v>GOLGA6D</v>
      </c>
      <c r="B4252" s="6">
        <v>5.0949050949050903E-2</v>
      </c>
      <c r="C4252" s="6">
        <v>0.20868579359145401</v>
      </c>
    </row>
    <row r="4253" spans="1:3" s="8" customFormat="1" x14ac:dyDescent="0.2">
      <c r="A4253" s="6" t="str">
        <f>"SEPTIN9-DT"</f>
        <v>SEPTIN9-DT</v>
      </c>
      <c r="B4253" s="6">
        <v>5.0949050949050903E-2</v>
      </c>
      <c r="C4253" s="6">
        <v>0.20868579359145401</v>
      </c>
    </row>
    <row r="4254" spans="1:3" s="8" customFormat="1" x14ac:dyDescent="0.2">
      <c r="A4254" s="6" t="str">
        <f>"AC105749.1"</f>
        <v>AC105749.1</v>
      </c>
      <c r="B4254" s="6">
        <v>5.0949050949050903E-2</v>
      </c>
      <c r="C4254" s="6">
        <v>0.20868579359145401</v>
      </c>
    </row>
    <row r="4255" spans="1:3" s="8" customFormat="1" x14ac:dyDescent="0.2">
      <c r="A4255" s="6" t="str">
        <f>"TMIGD3"</f>
        <v>TMIGD3</v>
      </c>
      <c r="B4255" s="6">
        <v>5.0949050949050903E-2</v>
      </c>
      <c r="C4255" s="6">
        <v>0.20868579359145401</v>
      </c>
    </row>
    <row r="4256" spans="1:3" s="8" customFormat="1" x14ac:dyDescent="0.2">
      <c r="A4256" s="6" t="str">
        <f>"CPNE5"</f>
        <v>CPNE5</v>
      </c>
      <c r="B4256" s="6">
        <v>5.0949050949050903E-2</v>
      </c>
      <c r="C4256" s="6">
        <v>0.20868579359145401</v>
      </c>
    </row>
    <row r="4257" spans="1:3" s="8" customFormat="1" x14ac:dyDescent="0.2">
      <c r="A4257" s="6" t="str">
        <f>"AC079447.1"</f>
        <v>AC079447.1</v>
      </c>
      <c r="B4257" s="6">
        <v>5.0949050949050903E-2</v>
      </c>
      <c r="C4257" s="6">
        <v>0.20868579359145401</v>
      </c>
    </row>
    <row r="4258" spans="1:3" s="8" customFormat="1" x14ac:dyDescent="0.2">
      <c r="A4258" s="6" t="str">
        <f>"AC005920.1"</f>
        <v>AC005920.1</v>
      </c>
      <c r="B4258" s="6">
        <v>5.0949050949050903E-2</v>
      </c>
      <c r="C4258" s="6">
        <v>0.20868579359145401</v>
      </c>
    </row>
    <row r="4259" spans="1:3" s="8" customFormat="1" x14ac:dyDescent="0.2">
      <c r="A4259" s="6" t="str">
        <f>"PTPRG-AS1"</f>
        <v>PTPRG-AS1</v>
      </c>
      <c r="B4259" s="6">
        <v>5.0949050949050903E-2</v>
      </c>
      <c r="C4259" s="6">
        <v>0.20868579359145401</v>
      </c>
    </row>
    <row r="4260" spans="1:3" s="8" customFormat="1" x14ac:dyDescent="0.2">
      <c r="A4260" s="6" t="str">
        <f>"ZNF491"</f>
        <v>ZNF491</v>
      </c>
      <c r="B4260" s="6">
        <v>5.0949050949050903E-2</v>
      </c>
      <c r="C4260" s="6">
        <v>0.20868579359145401</v>
      </c>
    </row>
    <row r="4261" spans="1:3" s="8" customFormat="1" x14ac:dyDescent="0.2">
      <c r="A4261" s="6" t="str">
        <f>"NAALADL1"</f>
        <v>NAALADL1</v>
      </c>
      <c r="B4261" s="6">
        <v>5.0949050949050903E-2</v>
      </c>
      <c r="C4261" s="6">
        <v>0.20868579359145401</v>
      </c>
    </row>
    <row r="4262" spans="1:3" s="8" customFormat="1" x14ac:dyDescent="0.2">
      <c r="A4262" s="6" t="str">
        <f>"ZNF503-AS1"</f>
        <v>ZNF503-AS1</v>
      </c>
      <c r="B4262" s="6">
        <v>5.0949050949050903E-2</v>
      </c>
      <c r="C4262" s="6">
        <v>0.20868579359145401</v>
      </c>
    </row>
    <row r="4263" spans="1:3" s="8" customFormat="1" x14ac:dyDescent="0.2">
      <c r="A4263" s="6" t="str">
        <f>"AC100858.2"</f>
        <v>AC100858.2</v>
      </c>
      <c r="B4263" s="6">
        <v>5.0949050949050903E-2</v>
      </c>
      <c r="C4263" s="6">
        <v>0.20868579359145401</v>
      </c>
    </row>
    <row r="4264" spans="1:3" s="8" customFormat="1" x14ac:dyDescent="0.2">
      <c r="A4264" s="6" t="str">
        <f>"RAC3"</f>
        <v>RAC3</v>
      </c>
      <c r="B4264" s="6">
        <v>5.0949050949050903E-2</v>
      </c>
      <c r="C4264" s="6">
        <v>0.20868579359145401</v>
      </c>
    </row>
    <row r="4265" spans="1:3" s="8" customFormat="1" x14ac:dyDescent="0.2">
      <c r="A4265" s="6" t="str">
        <f>"CHIC1"</f>
        <v>CHIC1</v>
      </c>
      <c r="B4265" s="6">
        <v>5.0949050949050903E-2</v>
      </c>
      <c r="C4265" s="6">
        <v>0.20868579359145401</v>
      </c>
    </row>
    <row r="4266" spans="1:3" s="8" customFormat="1" x14ac:dyDescent="0.2">
      <c r="A4266" s="6" t="str">
        <f>"AC007996.1"</f>
        <v>AC007996.1</v>
      </c>
      <c r="B4266" s="6">
        <v>5.0949050949050903E-2</v>
      </c>
      <c r="C4266" s="6">
        <v>0.20868579359145401</v>
      </c>
    </row>
    <row r="4267" spans="1:3" s="8" customFormat="1" x14ac:dyDescent="0.2">
      <c r="A4267" s="6" t="str">
        <f>"AC112220.2"</f>
        <v>AC112220.2</v>
      </c>
      <c r="B4267" s="6">
        <v>5.0949050949050903E-2</v>
      </c>
      <c r="C4267" s="6">
        <v>0.20868579359145401</v>
      </c>
    </row>
    <row r="4268" spans="1:3" s="8" customFormat="1" x14ac:dyDescent="0.2">
      <c r="A4268" s="6" t="str">
        <f>"POC5"</f>
        <v>POC5</v>
      </c>
      <c r="B4268" s="6">
        <v>5.0949050949050903E-2</v>
      </c>
      <c r="C4268" s="6">
        <v>0.20868579359145401</v>
      </c>
    </row>
    <row r="4269" spans="1:3" s="8" customFormat="1" x14ac:dyDescent="0.2">
      <c r="A4269" s="6" t="str">
        <f>"SCLT1"</f>
        <v>SCLT1</v>
      </c>
      <c r="B4269" s="6">
        <v>5.0949050949050903E-2</v>
      </c>
      <c r="C4269" s="6">
        <v>0.20868579359145401</v>
      </c>
    </row>
    <row r="4270" spans="1:3" s="8" customFormat="1" x14ac:dyDescent="0.2">
      <c r="A4270" s="6" t="str">
        <f>"SESN1"</f>
        <v>SESN1</v>
      </c>
      <c r="B4270" s="6">
        <v>5.0949050949050903E-2</v>
      </c>
      <c r="C4270" s="6">
        <v>0.20868579359145401</v>
      </c>
    </row>
    <row r="4271" spans="1:3" s="8" customFormat="1" x14ac:dyDescent="0.2">
      <c r="A4271" s="6" t="str">
        <f>"DRG2"</f>
        <v>DRG2</v>
      </c>
      <c r="B4271" s="6">
        <v>5.0949050949050903E-2</v>
      </c>
      <c r="C4271" s="6">
        <v>0.20868579359145401</v>
      </c>
    </row>
    <row r="4272" spans="1:3" s="8" customFormat="1" x14ac:dyDescent="0.2">
      <c r="A4272" s="6" t="str">
        <f>"CLIP4"</f>
        <v>CLIP4</v>
      </c>
      <c r="B4272" s="6">
        <v>5.0949050949050903E-2</v>
      </c>
      <c r="C4272" s="6">
        <v>0.20868579359145401</v>
      </c>
    </row>
    <row r="4273" spans="1:3" s="8" customFormat="1" x14ac:dyDescent="0.2">
      <c r="A4273" s="6" t="str">
        <f>"SLC35B3"</f>
        <v>SLC35B3</v>
      </c>
      <c r="B4273" s="6">
        <v>5.0949050949050903E-2</v>
      </c>
      <c r="C4273" s="6">
        <v>0.20868579359145401</v>
      </c>
    </row>
    <row r="4274" spans="1:3" s="8" customFormat="1" x14ac:dyDescent="0.2">
      <c r="A4274" s="6" t="str">
        <f>"ARHGAP42"</f>
        <v>ARHGAP42</v>
      </c>
      <c r="B4274" s="6">
        <v>5.0949050949050903E-2</v>
      </c>
      <c r="C4274" s="6">
        <v>0.20868579359145401</v>
      </c>
    </row>
    <row r="4275" spans="1:3" s="8" customFormat="1" x14ac:dyDescent="0.2">
      <c r="A4275" s="6" t="str">
        <f>"BMPR1A"</f>
        <v>BMPR1A</v>
      </c>
      <c r="B4275" s="6">
        <v>5.0949050949050903E-2</v>
      </c>
      <c r="C4275" s="6">
        <v>0.20868579359145401</v>
      </c>
    </row>
    <row r="4276" spans="1:3" s="8" customFormat="1" x14ac:dyDescent="0.2">
      <c r="A4276" s="6" t="str">
        <f>"STK11IP"</f>
        <v>STK11IP</v>
      </c>
      <c r="B4276" s="6">
        <v>5.0949050949050903E-2</v>
      </c>
      <c r="C4276" s="6">
        <v>0.20868579359145401</v>
      </c>
    </row>
    <row r="4277" spans="1:3" s="8" customFormat="1" x14ac:dyDescent="0.2">
      <c r="A4277" s="6" t="str">
        <f>"CYB5B"</f>
        <v>CYB5B</v>
      </c>
      <c r="B4277" s="6">
        <v>5.0949050949050903E-2</v>
      </c>
      <c r="C4277" s="6">
        <v>0.20868579359145401</v>
      </c>
    </row>
    <row r="4278" spans="1:3" s="8" customFormat="1" x14ac:dyDescent="0.2">
      <c r="A4278" s="6" t="str">
        <f>"AKAP17A"</f>
        <v>AKAP17A</v>
      </c>
      <c r="B4278" s="6">
        <v>5.0949050949050903E-2</v>
      </c>
      <c r="C4278" s="6">
        <v>0.20868579359145401</v>
      </c>
    </row>
    <row r="4279" spans="1:3" s="8" customFormat="1" x14ac:dyDescent="0.2">
      <c r="A4279" s="6" t="str">
        <f>"TUT7"</f>
        <v>TUT7</v>
      </c>
      <c r="B4279" s="6">
        <v>5.0949050949050903E-2</v>
      </c>
      <c r="C4279" s="6">
        <v>0.20868579359145401</v>
      </c>
    </row>
    <row r="4280" spans="1:3" s="8" customFormat="1" x14ac:dyDescent="0.2">
      <c r="A4280" s="6" t="str">
        <f>"TOMM34"</f>
        <v>TOMM34</v>
      </c>
      <c r="B4280" s="6">
        <v>5.0949050949050903E-2</v>
      </c>
      <c r="C4280" s="6">
        <v>0.20868579359145401</v>
      </c>
    </row>
    <row r="4281" spans="1:3" s="8" customFormat="1" x14ac:dyDescent="0.2">
      <c r="A4281" s="6" t="str">
        <f>"ZMYND11"</f>
        <v>ZMYND11</v>
      </c>
      <c r="B4281" s="6">
        <v>5.0949050949050903E-2</v>
      </c>
      <c r="C4281" s="6">
        <v>0.20868579359145401</v>
      </c>
    </row>
    <row r="4282" spans="1:3" s="8" customFormat="1" x14ac:dyDescent="0.2">
      <c r="A4282" s="6" t="str">
        <f>"UBE2R2"</f>
        <v>UBE2R2</v>
      </c>
      <c r="B4282" s="6">
        <v>5.0949050949050903E-2</v>
      </c>
      <c r="C4282" s="6">
        <v>0.20868579359145401</v>
      </c>
    </row>
    <row r="4283" spans="1:3" s="8" customFormat="1" x14ac:dyDescent="0.2">
      <c r="A4283" s="6" t="str">
        <f>"PI4KA"</f>
        <v>PI4KA</v>
      </c>
      <c r="B4283" s="6">
        <v>5.0949050949050903E-2</v>
      </c>
      <c r="C4283" s="6">
        <v>0.20868579359145401</v>
      </c>
    </row>
    <row r="4284" spans="1:3" s="8" customFormat="1" x14ac:dyDescent="0.2">
      <c r="A4284" s="6" t="str">
        <f>"FUBP1"</f>
        <v>FUBP1</v>
      </c>
      <c r="B4284" s="6">
        <v>5.0949050949050903E-2</v>
      </c>
      <c r="C4284" s="6">
        <v>0.20868579359145401</v>
      </c>
    </row>
    <row r="4285" spans="1:3" s="8" customFormat="1" x14ac:dyDescent="0.2">
      <c r="A4285" s="6" t="str">
        <f>"SLC4A11"</f>
        <v>SLC4A11</v>
      </c>
      <c r="B4285" s="6">
        <v>5.0949050949050903E-2</v>
      </c>
      <c r="C4285" s="6">
        <v>0.20868579359145401</v>
      </c>
    </row>
    <row r="4286" spans="1:3" s="8" customFormat="1" x14ac:dyDescent="0.2">
      <c r="A4286" s="6" t="str">
        <f>"COQ4"</f>
        <v>COQ4</v>
      </c>
      <c r="B4286" s="6">
        <v>5.0949050949050903E-2</v>
      </c>
      <c r="C4286" s="6">
        <v>0.20868579359145401</v>
      </c>
    </row>
    <row r="4287" spans="1:3" s="8" customFormat="1" x14ac:dyDescent="0.2">
      <c r="A4287" s="6" t="str">
        <f>"OGDH"</f>
        <v>OGDH</v>
      </c>
      <c r="B4287" s="6">
        <v>5.0949050949050903E-2</v>
      </c>
      <c r="C4287" s="6">
        <v>0.20868579359145401</v>
      </c>
    </row>
    <row r="4288" spans="1:3" s="8" customFormat="1" x14ac:dyDescent="0.2">
      <c r="A4288" s="6" t="str">
        <f>"ATP2C2"</f>
        <v>ATP2C2</v>
      </c>
      <c r="B4288" s="6">
        <v>5.0949050949050903E-2</v>
      </c>
      <c r="C4288" s="6">
        <v>0.20868579359145401</v>
      </c>
    </row>
    <row r="4289" spans="1:3" s="8" customFormat="1" x14ac:dyDescent="0.2">
      <c r="A4289" s="6" t="str">
        <f>"CAT"</f>
        <v>CAT</v>
      </c>
      <c r="B4289" s="6">
        <v>5.0949050949050903E-2</v>
      </c>
      <c r="C4289" s="6">
        <v>0.20868579359145401</v>
      </c>
    </row>
    <row r="4290" spans="1:3" s="8" customFormat="1" x14ac:dyDescent="0.2">
      <c r="A4290" s="6" t="str">
        <f>"DIAPH1"</f>
        <v>DIAPH1</v>
      </c>
      <c r="B4290" s="6">
        <v>5.0949050949050903E-2</v>
      </c>
      <c r="C4290" s="6">
        <v>0.20868579359145401</v>
      </c>
    </row>
    <row r="4291" spans="1:3" s="8" customFormat="1" x14ac:dyDescent="0.2">
      <c r="A4291" s="6" t="str">
        <f>"PCBP1"</f>
        <v>PCBP1</v>
      </c>
      <c r="B4291" s="6">
        <v>5.0949050949050903E-2</v>
      </c>
      <c r="C4291" s="6">
        <v>0.20868579359145401</v>
      </c>
    </row>
    <row r="4292" spans="1:3" s="8" customFormat="1" x14ac:dyDescent="0.2">
      <c r="A4292" s="6" t="str">
        <f>"CPD"</f>
        <v>CPD</v>
      </c>
      <c r="B4292" s="6">
        <v>5.0949050949050903E-2</v>
      </c>
      <c r="C4292" s="6">
        <v>0.20868579359145401</v>
      </c>
    </row>
    <row r="4293" spans="1:3" s="8" customFormat="1" x14ac:dyDescent="0.2">
      <c r="A4293" s="6" t="str">
        <f>"LY6E"</f>
        <v>LY6E</v>
      </c>
      <c r="B4293" s="6">
        <v>5.0949050949050903E-2</v>
      </c>
      <c r="C4293" s="6">
        <v>0.20868579359145401</v>
      </c>
    </row>
    <row r="4294" spans="1:3" s="8" customFormat="1" x14ac:dyDescent="0.2">
      <c r="A4294" s="6" t="str">
        <f>"YBX1"</f>
        <v>YBX1</v>
      </c>
      <c r="B4294" s="6">
        <v>5.0949050949050903E-2</v>
      </c>
      <c r="C4294" s="6">
        <v>0.20868579359145401</v>
      </c>
    </row>
    <row r="4295" spans="1:3" s="8" customFormat="1" x14ac:dyDescent="0.2">
      <c r="A4295" s="6" t="str">
        <f>"WDR62"</f>
        <v>WDR62</v>
      </c>
      <c r="B4295" s="6">
        <v>5.0999999999999997E-2</v>
      </c>
      <c r="C4295" s="6">
        <v>0.20879720605355001</v>
      </c>
    </row>
    <row r="4296" spans="1:3" s="8" customFormat="1" x14ac:dyDescent="0.2">
      <c r="A4296" s="6" t="str">
        <f>"KDM5B"</f>
        <v>KDM5B</v>
      </c>
      <c r="B4296" s="6">
        <v>5.0999999999999997E-2</v>
      </c>
      <c r="C4296" s="6">
        <v>0.20879720605355001</v>
      </c>
    </row>
    <row r="4297" spans="1:3" s="8" customFormat="1" x14ac:dyDescent="0.2">
      <c r="A4297" s="6" t="str">
        <f>"STPG2"</f>
        <v>STPG2</v>
      </c>
      <c r="B4297" s="6">
        <v>5.1051051051050997E-2</v>
      </c>
      <c r="C4297" s="6">
        <v>0.20895756091286799</v>
      </c>
    </row>
    <row r="4298" spans="1:3" s="8" customFormat="1" x14ac:dyDescent="0.2">
      <c r="A4298" s="6" t="str">
        <f>"AC011374.2"</f>
        <v>AC011374.2</v>
      </c>
      <c r="B4298" s="6">
        <v>5.1127819548872099E-2</v>
      </c>
      <c r="C4298" s="6">
        <v>0.209223080974486</v>
      </c>
    </row>
    <row r="4299" spans="1:3" s="8" customFormat="1" x14ac:dyDescent="0.2">
      <c r="A4299" s="6" t="str">
        <f>"AC083843.2"</f>
        <v>AC083843.2</v>
      </c>
      <c r="B4299" s="6">
        <v>5.1256281407035101E-2</v>
      </c>
      <c r="C4299" s="6">
        <v>0.20969996562617599</v>
      </c>
    </row>
    <row r="4300" spans="1:3" s="8" customFormat="1" x14ac:dyDescent="0.2">
      <c r="A4300" s="6" t="str">
        <f>"AL162741.1"</f>
        <v>AL162741.1</v>
      </c>
      <c r="B4300" s="6">
        <v>5.1422319474835797E-2</v>
      </c>
      <c r="C4300" s="6">
        <v>0.21033032464422199</v>
      </c>
    </row>
    <row r="4301" spans="1:3" s="8" customFormat="1" x14ac:dyDescent="0.2">
      <c r="A4301" s="6" t="str">
        <f>"AC138207.2"</f>
        <v>AC138207.2</v>
      </c>
      <c r="B4301" s="6">
        <v>5.1776649746192803E-2</v>
      </c>
      <c r="C4301" s="6">
        <v>0.210424912567276</v>
      </c>
    </row>
    <row r="4302" spans="1:3" s="8" customFormat="1" x14ac:dyDescent="0.2">
      <c r="A4302" s="6" t="str">
        <f>"LINC02814"</f>
        <v>LINC02814</v>
      </c>
      <c r="B4302" s="6">
        <v>5.1948051948051903E-2</v>
      </c>
      <c r="C4302" s="6">
        <v>0.210424912567276</v>
      </c>
    </row>
    <row r="4303" spans="1:3" s="8" customFormat="1" x14ac:dyDescent="0.2">
      <c r="A4303" s="6" t="str">
        <f>"DDN-AS1"</f>
        <v>DDN-AS1</v>
      </c>
      <c r="B4303" s="6">
        <v>5.1948051948051903E-2</v>
      </c>
      <c r="C4303" s="6">
        <v>0.210424912567276</v>
      </c>
    </row>
    <row r="4304" spans="1:3" s="8" customFormat="1" x14ac:dyDescent="0.2">
      <c r="A4304" s="6" t="str">
        <f>"AC073348.2"</f>
        <v>AC073348.2</v>
      </c>
      <c r="B4304" s="6">
        <v>5.1948051948051903E-2</v>
      </c>
      <c r="C4304" s="6">
        <v>0.210424912567276</v>
      </c>
    </row>
    <row r="4305" spans="1:3" s="8" customFormat="1" x14ac:dyDescent="0.2">
      <c r="A4305" s="6" t="str">
        <f>"AC079921.1"</f>
        <v>AC079921.1</v>
      </c>
      <c r="B4305" s="6">
        <v>5.1948051948051903E-2</v>
      </c>
      <c r="C4305" s="6">
        <v>0.210424912567276</v>
      </c>
    </row>
    <row r="4306" spans="1:3" s="8" customFormat="1" x14ac:dyDescent="0.2">
      <c r="A4306" s="6" t="str">
        <f>"AL158055.1"</f>
        <v>AL158055.1</v>
      </c>
      <c r="B4306" s="6">
        <v>5.1948051948051903E-2</v>
      </c>
      <c r="C4306" s="6">
        <v>0.210424912567276</v>
      </c>
    </row>
    <row r="4307" spans="1:3" s="8" customFormat="1" x14ac:dyDescent="0.2">
      <c r="A4307" s="6" t="str">
        <f>"AP003068.4"</f>
        <v>AP003068.4</v>
      </c>
      <c r="B4307" s="6">
        <v>5.1948051948051903E-2</v>
      </c>
      <c r="C4307" s="6">
        <v>0.210424912567276</v>
      </c>
    </row>
    <row r="4308" spans="1:3" s="8" customFormat="1" x14ac:dyDescent="0.2">
      <c r="A4308" s="6" t="str">
        <f>"ZNF56"</f>
        <v>ZNF56</v>
      </c>
      <c r="B4308" s="6">
        <v>5.1948051948051903E-2</v>
      </c>
      <c r="C4308" s="6">
        <v>0.210424912567276</v>
      </c>
    </row>
    <row r="4309" spans="1:3" s="8" customFormat="1" x14ac:dyDescent="0.2">
      <c r="A4309" s="6" t="str">
        <f>"AC018512.1"</f>
        <v>AC018512.1</v>
      </c>
      <c r="B4309" s="6">
        <v>5.1948051948051903E-2</v>
      </c>
      <c r="C4309" s="6">
        <v>0.210424912567276</v>
      </c>
    </row>
    <row r="4310" spans="1:3" s="8" customFormat="1" x14ac:dyDescent="0.2">
      <c r="A4310" s="6" t="str">
        <f>"CCDC140"</f>
        <v>CCDC140</v>
      </c>
      <c r="B4310" s="6">
        <v>5.1948051948051903E-2</v>
      </c>
      <c r="C4310" s="6">
        <v>0.210424912567276</v>
      </c>
    </row>
    <row r="4311" spans="1:3" s="8" customFormat="1" x14ac:dyDescent="0.2">
      <c r="A4311" s="6" t="str">
        <f>"SMIM10"</f>
        <v>SMIM10</v>
      </c>
      <c r="B4311" s="6">
        <v>5.1948051948051903E-2</v>
      </c>
      <c r="C4311" s="6">
        <v>0.210424912567276</v>
      </c>
    </row>
    <row r="4312" spans="1:3" s="8" customFormat="1" x14ac:dyDescent="0.2">
      <c r="A4312" s="6" t="str">
        <f>"LY9"</f>
        <v>LY9</v>
      </c>
      <c r="B4312" s="6">
        <v>5.1948051948051903E-2</v>
      </c>
      <c r="C4312" s="6">
        <v>0.210424912567276</v>
      </c>
    </row>
    <row r="4313" spans="1:3" s="8" customFormat="1" x14ac:dyDescent="0.2">
      <c r="A4313" s="6" t="str">
        <f>"LINC01607"</f>
        <v>LINC01607</v>
      </c>
      <c r="B4313" s="6">
        <v>5.1948051948051903E-2</v>
      </c>
      <c r="C4313" s="6">
        <v>0.210424912567276</v>
      </c>
    </row>
    <row r="4314" spans="1:3" s="8" customFormat="1" x14ac:dyDescent="0.2">
      <c r="A4314" s="6" t="str">
        <f>"AP1S2"</f>
        <v>AP1S2</v>
      </c>
      <c r="B4314" s="6">
        <v>5.1948051948051903E-2</v>
      </c>
      <c r="C4314" s="6">
        <v>0.210424912567276</v>
      </c>
    </row>
    <row r="4315" spans="1:3" s="8" customFormat="1" x14ac:dyDescent="0.2">
      <c r="A4315" s="6" t="str">
        <f>"VASH1-AS1"</f>
        <v>VASH1-AS1</v>
      </c>
      <c r="B4315" s="6">
        <v>5.1948051948051903E-2</v>
      </c>
      <c r="C4315" s="6">
        <v>0.210424912567276</v>
      </c>
    </row>
    <row r="4316" spans="1:3" s="8" customFormat="1" x14ac:dyDescent="0.2">
      <c r="A4316" s="6" t="str">
        <f>"CENPL"</f>
        <v>CENPL</v>
      </c>
      <c r="B4316" s="6">
        <v>5.1948051948051903E-2</v>
      </c>
      <c r="C4316" s="6">
        <v>0.210424912567276</v>
      </c>
    </row>
    <row r="4317" spans="1:3" s="8" customFormat="1" x14ac:dyDescent="0.2">
      <c r="A4317" s="6" t="str">
        <f>"ACSM3"</f>
        <v>ACSM3</v>
      </c>
      <c r="B4317" s="6">
        <v>5.1948051948051903E-2</v>
      </c>
      <c r="C4317" s="6">
        <v>0.210424912567276</v>
      </c>
    </row>
    <row r="4318" spans="1:3" s="8" customFormat="1" x14ac:dyDescent="0.2">
      <c r="A4318" s="6" t="str">
        <f>"UBL7-AS1"</f>
        <v>UBL7-AS1</v>
      </c>
      <c r="B4318" s="6">
        <v>5.1948051948051903E-2</v>
      </c>
      <c r="C4318" s="6">
        <v>0.210424912567276</v>
      </c>
    </row>
    <row r="4319" spans="1:3" s="8" customFormat="1" x14ac:dyDescent="0.2">
      <c r="A4319" s="6" t="str">
        <f>"PRR34-AS1"</f>
        <v>PRR34-AS1</v>
      </c>
      <c r="B4319" s="6">
        <v>5.1948051948051903E-2</v>
      </c>
      <c r="C4319" s="6">
        <v>0.210424912567276</v>
      </c>
    </row>
    <row r="4320" spans="1:3" s="8" customFormat="1" x14ac:dyDescent="0.2">
      <c r="A4320" s="6" t="str">
        <f>"ORC6"</f>
        <v>ORC6</v>
      </c>
      <c r="B4320" s="6">
        <v>5.1948051948051903E-2</v>
      </c>
      <c r="C4320" s="6">
        <v>0.210424912567276</v>
      </c>
    </row>
    <row r="4321" spans="1:3" s="8" customFormat="1" x14ac:dyDescent="0.2">
      <c r="A4321" s="6" t="str">
        <f>"PLAC4"</f>
        <v>PLAC4</v>
      </c>
      <c r="B4321" s="6">
        <v>5.1948051948051903E-2</v>
      </c>
      <c r="C4321" s="6">
        <v>0.210424912567276</v>
      </c>
    </row>
    <row r="4322" spans="1:3" s="8" customFormat="1" x14ac:dyDescent="0.2">
      <c r="A4322" s="6" t="str">
        <f>"RAP1GAP2"</f>
        <v>RAP1GAP2</v>
      </c>
      <c r="B4322" s="6">
        <v>5.1948051948051903E-2</v>
      </c>
      <c r="C4322" s="6">
        <v>0.210424912567276</v>
      </c>
    </row>
    <row r="4323" spans="1:3" s="8" customFormat="1" x14ac:dyDescent="0.2">
      <c r="A4323" s="6" t="str">
        <f>"SULT1B1"</f>
        <v>SULT1B1</v>
      </c>
      <c r="B4323" s="6">
        <v>5.1948051948051903E-2</v>
      </c>
      <c r="C4323" s="6">
        <v>0.210424912567276</v>
      </c>
    </row>
    <row r="4324" spans="1:3" s="8" customFormat="1" x14ac:dyDescent="0.2">
      <c r="A4324" s="6" t="str">
        <f>"TRUB1"</f>
        <v>TRUB1</v>
      </c>
      <c r="B4324" s="6">
        <v>5.1948051948051903E-2</v>
      </c>
      <c r="C4324" s="6">
        <v>0.210424912567276</v>
      </c>
    </row>
    <row r="4325" spans="1:3" s="8" customFormat="1" x14ac:dyDescent="0.2">
      <c r="A4325" s="6" t="str">
        <f>"EIF2B3"</f>
        <v>EIF2B3</v>
      </c>
      <c r="B4325" s="6">
        <v>5.1948051948051903E-2</v>
      </c>
      <c r="C4325" s="6">
        <v>0.210424912567276</v>
      </c>
    </row>
    <row r="4326" spans="1:3" s="8" customFormat="1" x14ac:dyDescent="0.2">
      <c r="A4326" s="6" t="str">
        <f>"HLA-L"</f>
        <v>HLA-L</v>
      </c>
      <c r="B4326" s="6">
        <v>5.1948051948051903E-2</v>
      </c>
      <c r="C4326" s="6">
        <v>0.210424912567276</v>
      </c>
    </row>
    <row r="4327" spans="1:3" s="8" customFormat="1" x14ac:dyDescent="0.2">
      <c r="A4327" s="6" t="str">
        <f>"GIHCG"</f>
        <v>GIHCG</v>
      </c>
      <c r="B4327" s="6">
        <v>5.1948051948051903E-2</v>
      </c>
      <c r="C4327" s="6">
        <v>0.210424912567276</v>
      </c>
    </row>
    <row r="4328" spans="1:3" s="8" customFormat="1" x14ac:dyDescent="0.2">
      <c r="A4328" s="6" t="str">
        <f>"AC126768.2"</f>
        <v>AC126768.2</v>
      </c>
      <c r="B4328" s="6">
        <v>5.1948051948051903E-2</v>
      </c>
      <c r="C4328" s="6">
        <v>0.210424912567276</v>
      </c>
    </row>
    <row r="4329" spans="1:3" s="8" customFormat="1" x14ac:dyDescent="0.2">
      <c r="A4329" s="6" t="str">
        <f>"ARHGEF40"</f>
        <v>ARHGEF40</v>
      </c>
      <c r="B4329" s="6">
        <v>5.1948051948051903E-2</v>
      </c>
      <c r="C4329" s="6">
        <v>0.210424912567276</v>
      </c>
    </row>
    <row r="4330" spans="1:3" s="8" customFormat="1" x14ac:dyDescent="0.2">
      <c r="A4330" s="6" t="str">
        <f>"RGS14"</f>
        <v>RGS14</v>
      </c>
      <c r="B4330" s="6">
        <v>5.1948051948051903E-2</v>
      </c>
      <c r="C4330" s="6">
        <v>0.210424912567276</v>
      </c>
    </row>
    <row r="4331" spans="1:3" s="8" customFormat="1" x14ac:dyDescent="0.2">
      <c r="A4331" s="6" t="str">
        <f>"ATP6V0A1"</f>
        <v>ATP6V0A1</v>
      </c>
      <c r="B4331" s="6">
        <v>5.1948051948051903E-2</v>
      </c>
      <c r="C4331" s="6">
        <v>0.210424912567276</v>
      </c>
    </row>
    <row r="4332" spans="1:3" s="8" customFormat="1" x14ac:dyDescent="0.2">
      <c r="A4332" s="6" t="str">
        <f>"MOB1B"</f>
        <v>MOB1B</v>
      </c>
      <c r="B4332" s="6">
        <v>5.1948051948051903E-2</v>
      </c>
      <c r="C4332" s="6">
        <v>0.210424912567276</v>
      </c>
    </row>
    <row r="4333" spans="1:3" s="8" customFormat="1" x14ac:dyDescent="0.2">
      <c r="A4333" s="6" t="str">
        <f>"NAXD"</f>
        <v>NAXD</v>
      </c>
      <c r="B4333" s="6">
        <v>5.1948051948051903E-2</v>
      </c>
      <c r="C4333" s="6">
        <v>0.210424912567276</v>
      </c>
    </row>
    <row r="4334" spans="1:3" s="8" customFormat="1" x14ac:dyDescent="0.2">
      <c r="A4334" s="6" t="str">
        <f>"GMPS"</f>
        <v>GMPS</v>
      </c>
      <c r="B4334" s="6">
        <v>5.1948051948051903E-2</v>
      </c>
      <c r="C4334" s="6">
        <v>0.210424912567276</v>
      </c>
    </row>
    <row r="4335" spans="1:3" s="8" customFormat="1" x14ac:dyDescent="0.2">
      <c r="A4335" s="6" t="str">
        <f>"ZNF326"</f>
        <v>ZNF326</v>
      </c>
      <c r="B4335" s="6">
        <v>5.1948051948051903E-2</v>
      </c>
      <c r="C4335" s="6">
        <v>0.210424912567276</v>
      </c>
    </row>
    <row r="4336" spans="1:3" s="8" customFormat="1" x14ac:dyDescent="0.2">
      <c r="A4336" s="6" t="str">
        <f>"SNX13"</f>
        <v>SNX13</v>
      </c>
      <c r="B4336" s="6">
        <v>5.1948051948051903E-2</v>
      </c>
      <c r="C4336" s="6">
        <v>0.210424912567276</v>
      </c>
    </row>
    <row r="4337" spans="1:3" s="8" customFormat="1" x14ac:dyDescent="0.2">
      <c r="A4337" s="6" t="str">
        <f>"KRT80"</f>
        <v>KRT80</v>
      </c>
      <c r="B4337" s="6">
        <v>5.1948051948051903E-2</v>
      </c>
      <c r="C4337" s="6">
        <v>0.210424912567276</v>
      </c>
    </row>
    <row r="4338" spans="1:3" s="8" customFormat="1" x14ac:dyDescent="0.2">
      <c r="A4338" s="6" t="str">
        <f>"EFHC2"</f>
        <v>EFHC2</v>
      </c>
      <c r="B4338" s="6">
        <v>5.1948051948051903E-2</v>
      </c>
      <c r="C4338" s="6">
        <v>0.210424912567276</v>
      </c>
    </row>
    <row r="4339" spans="1:3" s="8" customFormat="1" x14ac:dyDescent="0.2">
      <c r="A4339" s="6" t="str">
        <f>"ATP5PB"</f>
        <v>ATP5PB</v>
      </c>
      <c r="B4339" s="6">
        <v>5.1948051948051903E-2</v>
      </c>
      <c r="C4339" s="6">
        <v>0.210424912567276</v>
      </c>
    </row>
    <row r="4340" spans="1:3" s="8" customFormat="1" x14ac:dyDescent="0.2">
      <c r="A4340" s="6" t="str">
        <f>"DDX39B"</f>
        <v>DDX39B</v>
      </c>
      <c r="B4340" s="6">
        <v>5.1948051948051903E-2</v>
      </c>
      <c r="C4340" s="6">
        <v>0.210424912567276</v>
      </c>
    </row>
    <row r="4341" spans="1:3" s="8" customFormat="1" x14ac:dyDescent="0.2">
      <c r="A4341" s="6" t="str">
        <f>"NFE2L2"</f>
        <v>NFE2L2</v>
      </c>
      <c r="B4341" s="6">
        <v>5.1948051948051903E-2</v>
      </c>
      <c r="C4341" s="6">
        <v>0.210424912567276</v>
      </c>
    </row>
    <row r="4342" spans="1:3" s="8" customFormat="1" x14ac:dyDescent="0.2">
      <c r="A4342" s="6" t="str">
        <f>"RAB11FIP1"</f>
        <v>RAB11FIP1</v>
      </c>
      <c r="B4342" s="6">
        <v>5.1948051948051903E-2</v>
      </c>
      <c r="C4342" s="6">
        <v>0.210424912567276</v>
      </c>
    </row>
    <row r="4343" spans="1:3" s="8" customFormat="1" x14ac:dyDescent="0.2">
      <c r="A4343" s="6" t="str">
        <f>"AL391425.1"</f>
        <v>AL391425.1</v>
      </c>
      <c r="B4343" s="6">
        <v>5.1999999999999998E-2</v>
      </c>
      <c r="C4343" s="6">
        <v>0.21053833755468501</v>
      </c>
    </row>
    <row r="4344" spans="1:3" s="8" customFormat="1" x14ac:dyDescent="0.2">
      <c r="A4344" s="6" t="str">
        <f>"PSME2"</f>
        <v>PSME2</v>
      </c>
      <c r="B4344" s="6">
        <v>5.1999999999999998E-2</v>
      </c>
      <c r="C4344" s="6">
        <v>0.21053833755468501</v>
      </c>
    </row>
    <row r="4345" spans="1:3" s="8" customFormat="1" x14ac:dyDescent="0.2">
      <c r="A4345" s="6" t="str">
        <f>"RPSAP53"</f>
        <v>RPSAP53</v>
      </c>
      <c r="B4345" s="6">
        <v>5.2631578947368397E-2</v>
      </c>
      <c r="C4345" s="6">
        <v>0.21256186735638699</v>
      </c>
    </row>
    <row r="4346" spans="1:3" s="8" customFormat="1" x14ac:dyDescent="0.2">
      <c r="A4346" s="6" t="str">
        <f>"AC119424.1"</f>
        <v>AC119424.1</v>
      </c>
      <c r="B4346" s="6">
        <v>5.2899287894201397E-2</v>
      </c>
      <c r="C4346" s="6">
        <v>0.21256186735638699</v>
      </c>
    </row>
    <row r="4347" spans="1:3" s="8" customFormat="1" x14ac:dyDescent="0.2">
      <c r="A4347" s="6" t="str">
        <f>"AL021707.5"</f>
        <v>AL021707.5</v>
      </c>
      <c r="B4347" s="6">
        <v>5.2947052947052903E-2</v>
      </c>
      <c r="C4347" s="6">
        <v>0.21256186735638699</v>
      </c>
    </row>
    <row r="4348" spans="1:3" s="8" customFormat="1" x14ac:dyDescent="0.2">
      <c r="A4348" s="6" t="str">
        <f>"LINC00853"</f>
        <v>LINC00853</v>
      </c>
      <c r="B4348" s="6">
        <v>5.2947052947052903E-2</v>
      </c>
      <c r="C4348" s="6">
        <v>0.21256186735638699</v>
      </c>
    </row>
    <row r="4349" spans="1:3" s="8" customFormat="1" x14ac:dyDescent="0.2">
      <c r="A4349" s="6" t="str">
        <f>"AC010997.4"</f>
        <v>AC010997.4</v>
      </c>
      <c r="B4349" s="6">
        <v>5.2947052947052903E-2</v>
      </c>
      <c r="C4349" s="6">
        <v>0.21256186735638699</v>
      </c>
    </row>
    <row r="4350" spans="1:3" s="8" customFormat="1" x14ac:dyDescent="0.2">
      <c r="A4350" s="6" t="str">
        <f>"HSFX1"</f>
        <v>HSFX1</v>
      </c>
      <c r="B4350" s="6">
        <v>5.2947052947052903E-2</v>
      </c>
      <c r="C4350" s="6">
        <v>0.21256186735638699</v>
      </c>
    </row>
    <row r="4351" spans="1:3" s="8" customFormat="1" x14ac:dyDescent="0.2">
      <c r="A4351" s="6" t="str">
        <f>"ATF7-NPFF"</f>
        <v>ATF7-NPFF</v>
      </c>
      <c r="B4351" s="6">
        <v>5.2947052947052903E-2</v>
      </c>
      <c r="C4351" s="6">
        <v>0.21256186735638699</v>
      </c>
    </row>
    <row r="4352" spans="1:3" s="8" customFormat="1" x14ac:dyDescent="0.2">
      <c r="A4352" s="6" t="str">
        <f>"AC005476.2"</f>
        <v>AC005476.2</v>
      </c>
      <c r="B4352" s="6">
        <v>5.2947052947052903E-2</v>
      </c>
      <c r="C4352" s="6">
        <v>0.21256186735638699</v>
      </c>
    </row>
    <row r="4353" spans="1:3" s="8" customFormat="1" x14ac:dyDescent="0.2">
      <c r="A4353" s="6" t="str">
        <f>"MEOX1"</f>
        <v>MEOX1</v>
      </c>
      <c r="B4353" s="6">
        <v>5.2947052947052903E-2</v>
      </c>
      <c r="C4353" s="6">
        <v>0.21256186735638699</v>
      </c>
    </row>
    <row r="4354" spans="1:3" s="8" customFormat="1" x14ac:dyDescent="0.2">
      <c r="A4354" s="6" t="str">
        <f>"TCTE3"</f>
        <v>TCTE3</v>
      </c>
      <c r="B4354" s="6">
        <v>5.2947052947052903E-2</v>
      </c>
      <c r="C4354" s="6">
        <v>0.21256186735638699</v>
      </c>
    </row>
    <row r="4355" spans="1:3" s="8" customFormat="1" x14ac:dyDescent="0.2">
      <c r="A4355" s="6" t="str">
        <f>"GOLGA8H"</f>
        <v>GOLGA8H</v>
      </c>
      <c r="B4355" s="6">
        <v>5.2947052947052903E-2</v>
      </c>
      <c r="C4355" s="6">
        <v>0.21256186735638699</v>
      </c>
    </row>
    <row r="4356" spans="1:3" s="8" customFormat="1" x14ac:dyDescent="0.2">
      <c r="A4356" s="6" t="str">
        <f>"ERCC6L"</f>
        <v>ERCC6L</v>
      </c>
      <c r="B4356" s="6">
        <v>5.2947052947052903E-2</v>
      </c>
      <c r="C4356" s="6">
        <v>0.21256186735638699</v>
      </c>
    </row>
    <row r="4357" spans="1:3" s="8" customFormat="1" x14ac:dyDescent="0.2">
      <c r="A4357" s="6" t="str">
        <f>"PRRT1"</f>
        <v>PRRT1</v>
      </c>
      <c r="B4357" s="6">
        <v>5.2947052947052903E-2</v>
      </c>
      <c r="C4357" s="6">
        <v>0.21256186735638699</v>
      </c>
    </row>
    <row r="4358" spans="1:3" s="8" customFormat="1" x14ac:dyDescent="0.2">
      <c r="A4358" s="6" t="str">
        <f>"ABLIM3"</f>
        <v>ABLIM3</v>
      </c>
      <c r="B4358" s="6">
        <v>5.2947052947052903E-2</v>
      </c>
      <c r="C4358" s="6">
        <v>0.21256186735638699</v>
      </c>
    </row>
    <row r="4359" spans="1:3" s="8" customFormat="1" x14ac:dyDescent="0.2">
      <c r="A4359" s="6" t="str">
        <f>"NHLRC1"</f>
        <v>NHLRC1</v>
      </c>
      <c r="B4359" s="6">
        <v>5.2947052947052903E-2</v>
      </c>
      <c r="C4359" s="6">
        <v>0.21256186735638699</v>
      </c>
    </row>
    <row r="4360" spans="1:3" s="8" customFormat="1" x14ac:dyDescent="0.2">
      <c r="A4360" s="6" t="str">
        <f>"MTND4P12"</f>
        <v>MTND4P12</v>
      </c>
      <c r="B4360" s="6">
        <v>5.2947052947052903E-2</v>
      </c>
      <c r="C4360" s="6">
        <v>0.21256186735638699</v>
      </c>
    </row>
    <row r="4361" spans="1:3" s="8" customFormat="1" x14ac:dyDescent="0.2">
      <c r="A4361" s="6" t="str">
        <f>"DIPK1A"</f>
        <v>DIPK1A</v>
      </c>
      <c r="B4361" s="6">
        <v>5.2947052947052903E-2</v>
      </c>
      <c r="C4361" s="6">
        <v>0.21256186735638699</v>
      </c>
    </row>
    <row r="4362" spans="1:3" s="8" customFormat="1" x14ac:dyDescent="0.2">
      <c r="A4362" s="6" t="str">
        <f>"AC002996.1"</f>
        <v>AC002996.1</v>
      </c>
      <c r="B4362" s="6">
        <v>5.2947052947052903E-2</v>
      </c>
      <c r="C4362" s="6">
        <v>0.21256186735638699</v>
      </c>
    </row>
    <row r="4363" spans="1:3" s="8" customFormat="1" x14ac:dyDescent="0.2">
      <c r="A4363" s="6" t="str">
        <f>"C12orf43"</f>
        <v>C12orf43</v>
      </c>
      <c r="B4363" s="6">
        <v>5.2947052947052903E-2</v>
      </c>
      <c r="C4363" s="6">
        <v>0.21256186735638699</v>
      </c>
    </row>
    <row r="4364" spans="1:3" s="8" customFormat="1" x14ac:dyDescent="0.2">
      <c r="A4364" s="6" t="str">
        <f>"PYCR3"</f>
        <v>PYCR3</v>
      </c>
      <c r="B4364" s="6">
        <v>5.2947052947052903E-2</v>
      </c>
      <c r="C4364" s="6">
        <v>0.21256186735638699</v>
      </c>
    </row>
    <row r="4365" spans="1:3" s="8" customFormat="1" x14ac:dyDescent="0.2">
      <c r="A4365" s="6" t="str">
        <f>"ZNF295-AS1"</f>
        <v>ZNF295-AS1</v>
      </c>
      <c r="B4365" s="6">
        <v>5.2947052947052903E-2</v>
      </c>
      <c r="C4365" s="6">
        <v>0.21256186735638699</v>
      </c>
    </row>
    <row r="4366" spans="1:3" s="8" customFormat="1" x14ac:dyDescent="0.2">
      <c r="A4366" s="6" t="str">
        <f>"NSL1"</f>
        <v>NSL1</v>
      </c>
      <c r="B4366" s="6">
        <v>5.2947052947052903E-2</v>
      </c>
      <c r="C4366" s="6">
        <v>0.21256186735638699</v>
      </c>
    </row>
    <row r="4367" spans="1:3" s="8" customFormat="1" x14ac:dyDescent="0.2">
      <c r="A4367" s="6" t="str">
        <f>"CCDC130"</f>
        <v>CCDC130</v>
      </c>
      <c r="B4367" s="6">
        <v>5.2947052947052903E-2</v>
      </c>
      <c r="C4367" s="6">
        <v>0.21256186735638699</v>
      </c>
    </row>
    <row r="4368" spans="1:3" s="8" customFormat="1" x14ac:dyDescent="0.2">
      <c r="A4368" s="6" t="str">
        <f>"ITPKB"</f>
        <v>ITPKB</v>
      </c>
      <c r="B4368" s="6">
        <v>5.2947052947052903E-2</v>
      </c>
      <c r="C4368" s="6">
        <v>0.21256186735638699</v>
      </c>
    </row>
    <row r="4369" spans="1:3" s="8" customFormat="1" x14ac:dyDescent="0.2">
      <c r="A4369" s="6" t="str">
        <f>"AOPEP"</f>
        <v>AOPEP</v>
      </c>
      <c r="B4369" s="6">
        <v>5.2947052947052903E-2</v>
      </c>
      <c r="C4369" s="6">
        <v>0.21256186735638699</v>
      </c>
    </row>
    <row r="4370" spans="1:3" s="8" customFormat="1" x14ac:dyDescent="0.2">
      <c r="A4370" s="6" t="str">
        <f>"CLPP"</f>
        <v>CLPP</v>
      </c>
      <c r="B4370" s="6">
        <v>5.2947052947052903E-2</v>
      </c>
      <c r="C4370" s="6">
        <v>0.21256186735638699</v>
      </c>
    </row>
    <row r="4371" spans="1:3" s="8" customFormat="1" x14ac:dyDescent="0.2">
      <c r="A4371" s="6" t="str">
        <f>"SPOP"</f>
        <v>SPOP</v>
      </c>
      <c r="B4371" s="6">
        <v>5.2947052947052903E-2</v>
      </c>
      <c r="C4371" s="6">
        <v>0.21256186735638699</v>
      </c>
    </row>
    <row r="4372" spans="1:3" s="8" customFormat="1" x14ac:dyDescent="0.2">
      <c r="A4372" s="6" t="str">
        <f>"POGK"</f>
        <v>POGK</v>
      </c>
      <c r="B4372" s="6">
        <v>5.2947052947052903E-2</v>
      </c>
      <c r="C4372" s="6">
        <v>0.21256186735638699</v>
      </c>
    </row>
    <row r="4373" spans="1:3" s="8" customFormat="1" x14ac:dyDescent="0.2">
      <c r="A4373" s="6" t="str">
        <f>"SLC25A36"</f>
        <v>SLC25A36</v>
      </c>
      <c r="B4373" s="6">
        <v>5.2947052947052903E-2</v>
      </c>
      <c r="C4373" s="6">
        <v>0.21256186735638699</v>
      </c>
    </row>
    <row r="4374" spans="1:3" s="8" customFormat="1" x14ac:dyDescent="0.2">
      <c r="A4374" s="6" t="str">
        <f>"USF3"</f>
        <v>USF3</v>
      </c>
      <c r="B4374" s="6">
        <v>5.2947052947052903E-2</v>
      </c>
      <c r="C4374" s="6">
        <v>0.21256186735638699</v>
      </c>
    </row>
    <row r="4375" spans="1:3" s="8" customFormat="1" x14ac:dyDescent="0.2">
      <c r="A4375" s="6" t="str">
        <f>"FBXO9"</f>
        <v>FBXO9</v>
      </c>
      <c r="B4375" s="6">
        <v>5.2947052947052903E-2</v>
      </c>
      <c r="C4375" s="6">
        <v>0.21256186735638699</v>
      </c>
    </row>
    <row r="4376" spans="1:3" s="8" customFormat="1" x14ac:dyDescent="0.2">
      <c r="A4376" s="6" t="str">
        <f>"APCDD1"</f>
        <v>APCDD1</v>
      </c>
      <c r="B4376" s="6">
        <v>5.2947052947052903E-2</v>
      </c>
      <c r="C4376" s="6">
        <v>0.21256186735638699</v>
      </c>
    </row>
    <row r="4377" spans="1:3" s="8" customFormat="1" x14ac:dyDescent="0.2">
      <c r="A4377" s="6" t="str">
        <f>"MBP"</f>
        <v>MBP</v>
      </c>
      <c r="B4377" s="6">
        <v>5.2947052947052903E-2</v>
      </c>
      <c r="C4377" s="6">
        <v>0.21256186735638699</v>
      </c>
    </row>
    <row r="4378" spans="1:3" s="8" customFormat="1" x14ac:dyDescent="0.2">
      <c r="A4378" s="6" t="str">
        <f>"PKD1"</f>
        <v>PKD1</v>
      </c>
      <c r="B4378" s="6">
        <v>5.2947052947052903E-2</v>
      </c>
      <c r="C4378" s="6">
        <v>0.21256186735638699</v>
      </c>
    </row>
    <row r="4379" spans="1:3" s="8" customFormat="1" x14ac:dyDescent="0.2">
      <c r="A4379" s="6" t="str">
        <f>"AL357093.2"</f>
        <v>AL357093.2</v>
      </c>
      <c r="B4379" s="6">
        <v>5.2947052947052903E-2</v>
      </c>
      <c r="C4379" s="6">
        <v>0.21256186735638699</v>
      </c>
    </row>
    <row r="4380" spans="1:3" s="8" customFormat="1" x14ac:dyDescent="0.2">
      <c r="A4380" s="6" t="str">
        <f>"LASP1"</f>
        <v>LASP1</v>
      </c>
      <c r="B4380" s="6">
        <v>5.2947052947052903E-2</v>
      </c>
      <c r="C4380" s="6">
        <v>0.21256186735638699</v>
      </c>
    </row>
    <row r="4381" spans="1:3" s="8" customFormat="1" x14ac:dyDescent="0.2">
      <c r="A4381" s="6" t="str">
        <f>"CTSB"</f>
        <v>CTSB</v>
      </c>
      <c r="B4381" s="6">
        <v>5.2947052947052903E-2</v>
      </c>
      <c r="C4381" s="6">
        <v>0.21256186735638699</v>
      </c>
    </row>
    <row r="4382" spans="1:3" s="8" customFormat="1" x14ac:dyDescent="0.2">
      <c r="A4382" s="6" t="str">
        <f>"AL591926.6"</f>
        <v>AL591926.6</v>
      </c>
      <c r="B4382" s="6">
        <v>5.2999999999999999E-2</v>
      </c>
      <c r="C4382" s="6">
        <v>0.212677316293929</v>
      </c>
    </row>
    <row r="4383" spans="1:3" s="8" customFormat="1" x14ac:dyDescent="0.2">
      <c r="A4383" s="6" t="str">
        <f>"MEF2B"</f>
        <v>MEF2B</v>
      </c>
      <c r="B4383" s="6">
        <v>5.2999999999999999E-2</v>
      </c>
      <c r="C4383" s="6">
        <v>0.212677316293929</v>
      </c>
    </row>
    <row r="4384" spans="1:3" s="8" customFormat="1" x14ac:dyDescent="0.2">
      <c r="A4384" s="6" t="str">
        <f>"LINC00565"</f>
        <v>LINC00565</v>
      </c>
      <c r="B4384" s="6">
        <v>5.3053053053053002E-2</v>
      </c>
      <c r="C4384" s="6">
        <v>0.21284163469881001</v>
      </c>
    </row>
    <row r="4385" spans="1:3" s="8" customFormat="1" x14ac:dyDescent="0.2">
      <c r="A4385" s="6" t="str">
        <f>"AC095057.3"</f>
        <v>AC095057.3</v>
      </c>
      <c r="B4385" s="6">
        <v>5.3262316910785597E-2</v>
      </c>
      <c r="C4385" s="6">
        <v>0.21363243169691001</v>
      </c>
    </row>
    <row r="4386" spans="1:3" s="8" customFormat="1" x14ac:dyDescent="0.2">
      <c r="A4386" s="6" t="str">
        <f>"AC091965.4"</f>
        <v>AC091965.4</v>
      </c>
      <c r="B4386" s="6">
        <v>5.3946053946053903E-2</v>
      </c>
      <c r="C4386" s="6">
        <v>0.21398317450652199</v>
      </c>
    </row>
    <row r="4387" spans="1:3" s="8" customFormat="1" x14ac:dyDescent="0.2">
      <c r="A4387" s="6" t="str">
        <f>"AC097518.2"</f>
        <v>AC097518.2</v>
      </c>
      <c r="B4387" s="6">
        <v>5.3643724696356199E-2</v>
      </c>
      <c r="C4387" s="6">
        <v>0.21398317450652199</v>
      </c>
    </row>
    <row r="4388" spans="1:3" s="8" customFormat="1" x14ac:dyDescent="0.2">
      <c r="A4388" s="6" t="str">
        <f>"TMEM30BP1"</f>
        <v>TMEM30BP1</v>
      </c>
      <c r="B4388" s="6">
        <v>5.3946053946053903E-2</v>
      </c>
      <c r="C4388" s="6">
        <v>0.21398317450652199</v>
      </c>
    </row>
    <row r="4389" spans="1:3" s="8" customFormat="1" x14ac:dyDescent="0.2">
      <c r="A4389" s="6" t="str">
        <f>"AL034550.3"</f>
        <v>AL034550.3</v>
      </c>
      <c r="B4389" s="6">
        <v>5.3946053946053903E-2</v>
      </c>
      <c r="C4389" s="6">
        <v>0.21398317450652199</v>
      </c>
    </row>
    <row r="4390" spans="1:3" s="8" customFormat="1" x14ac:dyDescent="0.2">
      <c r="A4390" s="6" t="str">
        <f>"PCDH12"</f>
        <v>PCDH12</v>
      </c>
      <c r="B4390" s="6">
        <v>5.3946053946053903E-2</v>
      </c>
      <c r="C4390" s="6">
        <v>0.21398317450652199</v>
      </c>
    </row>
    <row r="4391" spans="1:3" s="8" customFormat="1" x14ac:dyDescent="0.2">
      <c r="A4391" s="6" t="str">
        <f>"IL17RB"</f>
        <v>IL17RB</v>
      </c>
      <c r="B4391" s="6">
        <v>5.3946053946053903E-2</v>
      </c>
      <c r="C4391" s="6">
        <v>0.21398317450652199</v>
      </c>
    </row>
    <row r="4392" spans="1:3" s="8" customFormat="1" x14ac:dyDescent="0.2">
      <c r="A4392" s="6" t="str">
        <f>"TCP11X2"</f>
        <v>TCP11X2</v>
      </c>
      <c r="B4392" s="6">
        <v>5.3946053946053903E-2</v>
      </c>
      <c r="C4392" s="6">
        <v>0.21398317450652199</v>
      </c>
    </row>
    <row r="4393" spans="1:3" s="8" customFormat="1" x14ac:dyDescent="0.2">
      <c r="A4393" s="6" t="str">
        <f>"AC092745.5"</f>
        <v>AC092745.5</v>
      </c>
      <c r="B4393" s="6">
        <v>5.3946053946053903E-2</v>
      </c>
      <c r="C4393" s="6">
        <v>0.21398317450652199</v>
      </c>
    </row>
    <row r="4394" spans="1:3" s="8" customFormat="1" x14ac:dyDescent="0.2">
      <c r="A4394" s="6" t="str">
        <f>"Z93930.2"</f>
        <v>Z93930.2</v>
      </c>
      <c r="B4394" s="6">
        <v>5.3946053946053903E-2</v>
      </c>
      <c r="C4394" s="6">
        <v>0.21398317450652199</v>
      </c>
    </row>
    <row r="4395" spans="1:3" s="8" customFormat="1" x14ac:dyDescent="0.2">
      <c r="A4395" s="6" t="str">
        <f>"SLC6A12"</f>
        <v>SLC6A12</v>
      </c>
      <c r="B4395" s="6">
        <v>5.3946053946053903E-2</v>
      </c>
      <c r="C4395" s="6">
        <v>0.21398317450652199</v>
      </c>
    </row>
    <row r="4396" spans="1:3" s="8" customFormat="1" x14ac:dyDescent="0.2">
      <c r="A4396" s="6" t="str">
        <f>"AC080013.3"</f>
        <v>AC080013.3</v>
      </c>
      <c r="B4396" s="6">
        <v>5.3946053946053903E-2</v>
      </c>
      <c r="C4396" s="6">
        <v>0.21398317450652199</v>
      </c>
    </row>
    <row r="4397" spans="1:3" s="8" customFormat="1" x14ac:dyDescent="0.2">
      <c r="A4397" s="6" t="str">
        <f>"BDKRB1"</f>
        <v>BDKRB1</v>
      </c>
      <c r="B4397" s="6">
        <v>5.3946053946053903E-2</v>
      </c>
      <c r="C4397" s="6">
        <v>0.21398317450652199</v>
      </c>
    </row>
    <row r="4398" spans="1:3" s="8" customFormat="1" x14ac:dyDescent="0.2">
      <c r="A4398" s="6" t="str">
        <f>"LYL1"</f>
        <v>LYL1</v>
      </c>
      <c r="B4398" s="6">
        <v>5.3946053946053903E-2</v>
      </c>
      <c r="C4398" s="6">
        <v>0.21398317450652199</v>
      </c>
    </row>
    <row r="4399" spans="1:3" s="8" customFormat="1" x14ac:dyDescent="0.2">
      <c r="A4399" s="6" t="str">
        <f>"AC009053.1"</f>
        <v>AC009053.1</v>
      </c>
      <c r="B4399" s="6">
        <v>5.3946053946053903E-2</v>
      </c>
      <c r="C4399" s="6">
        <v>0.21398317450652199</v>
      </c>
    </row>
    <row r="4400" spans="1:3" s="8" customFormat="1" x14ac:dyDescent="0.2">
      <c r="A4400" s="6" t="str">
        <f>"LINC01814"</f>
        <v>LINC01814</v>
      </c>
      <c r="B4400" s="6">
        <v>5.3946053946053903E-2</v>
      </c>
      <c r="C4400" s="6">
        <v>0.21398317450652199</v>
      </c>
    </row>
    <row r="4401" spans="1:3" s="8" customFormat="1" x14ac:dyDescent="0.2">
      <c r="A4401" s="6" t="str">
        <f>"CDH23"</f>
        <v>CDH23</v>
      </c>
      <c r="B4401" s="6">
        <v>5.3946053946053903E-2</v>
      </c>
      <c r="C4401" s="6">
        <v>0.21398317450652199</v>
      </c>
    </row>
    <row r="4402" spans="1:3" s="8" customFormat="1" x14ac:dyDescent="0.2">
      <c r="A4402" s="6" t="str">
        <f>"AC091982.3"</f>
        <v>AC091982.3</v>
      </c>
      <c r="B4402" s="6">
        <v>5.3946053946053903E-2</v>
      </c>
      <c r="C4402" s="6">
        <v>0.21398317450652199</v>
      </c>
    </row>
    <row r="4403" spans="1:3" s="8" customFormat="1" x14ac:dyDescent="0.2">
      <c r="A4403" s="6" t="str">
        <f>"DCAF4"</f>
        <v>DCAF4</v>
      </c>
      <c r="B4403" s="6">
        <v>5.3946053946053903E-2</v>
      </c>
      <c r="C4403" s="6">
        <v>0.21398317450652199</v>
      </c>
    </row>
    <row r="4404" spans="1:3" s="8" customFormat="1" x14ac:dyDescent="0.2">
      <c r="A4404" s="6" t="str">
        <f>"RTTN"</f>
        <v>RTTN</v>
      </c>
      <c r="B4404" s="6">
        <v>5.3946053946053903E-2</v>
      </c>
      <c r="C4404" s="6">
        <v>0.21398317450652199</v>
      </c>
    </row>
    <row r="4405" spans="1:3" s="8" customFormat="1" x14ac:dyDescent="0.2">
      <c r="A4405" s="6" t="str">
        <f>"FERMT2"</f>
        <v>FERMT2</v>
      </c>
      <c r="B4405" s="6">
        <v>5.3946053946053903E-2</v>
      </c>
      <c r="C4405" s="6">
        <v>0.21398317450652199</v>
      </c>
    </row>
    <row r="4406" spans="1:3" s="8" customFormat="1" x14ac:dyDescent="0.2">
      <c r="A4406" s="6" t="str">
        <f>"ZMYND15"</f>
        <v>ZMYND15</v>
      </c>
      <c r="B4406" s="6">
        <v>5.3946053946053903E-2</v>
      </c>
      <c r="C4406" s="6">
        <v>0.21398317450652199</v>
      </c>
    </row>
    <row r="4407" spans="1:3" s="8" customFormat="1" x14ac:dyDescent="0.2">
      <c r="A4407" s="6" t="str">
        <f>"SIMC1"</f>
        <v>SIMC1</v>
      </c>
      <c r="B4407" s="6">
        <v>5.3946053946053903E-2</v>
      </c>
      <c r="C4407" s="6">
        <v>0.21398317450652199</v>
      </c>
    </row>
    <row r="4408" spans="1:3" s="8" customFormat="1" x14ac:dyDescent="0.2">
      <c r="A4408" s="6" t="str">
        <f>"HPF1"</f>
        <v>HPF1</v>
      </c>
      <c r="B4408" s="6">
        <v>5.3946053946053903E-2</v>
      </c>
      <c r="C4408" s="6">
        <v>0.21398317450652199</v>
      </c>
    </row>
    <row r="4409" spans="1:3" s="8" customFormat="1" x14ac:dyDescent="0.2">
      <c r="A4409" s="6" t="str">
        <f>"SLC16A4"</f>
        <v>SLC16A4</v>
      </c>
      <c r="B4409" s="6">
        <v>5.3946053946053903E-2</v>
      </c>
      <c r="C4409" s="6">
        <v>0.21398317450652199</v>
      </c>
    </row>
    <row r="4410" spans="1:3" s="8" customFormat="1" x14ac:dyDescent="0.2">
      <c r="A4410" s="6" t="str">
        <f>"ZNF526"</f>
        <v>ZNF526</v>
      </c>
      <c r="B4410" s="6">
        <v>5.3946053946053903E-2</v>
      </c>
      <c r="C4410" s="6">
        <v>0.21398317450652199</v>
      </c>
    </row>
    <row r="4411" spans="1:3" s="8" customFormat="1" x14ac:dyDescent="0.2">
      <c r="A4411" s="6" t="str">
        <f>"BCO2"</f>
        <v>BCO2</v>
      </c>
      <c r="B4411" s="6">
        <v>5.3946053946053903E-2</v>
      </c>
      <c r="C4411" s="6">
        <v>0.21398317450652199</v>
      </c>
    </row>
    <row r="4412" spans="1:3" s="8" customFormat="1" x14ac:dyDescent="0.2">
      <c r="A4412" s="6" t="str">
        <f>"CA13"</f>
        <v>CA13</v>
      </c>
      <c r="B4412" s="6">
        <v>5.3946053946053903E-2</v>
      </c>
      <c r="C4412" s="6">
        <v>0.21398317450652199</v>
      </c>
    </row>
    <row r="4413" spans="1:3" s="8" customFormat="1" x14ac:dyDescent="0.2">
      <c r="A4413" s="6" t="str">
        <f>"MTO1"</f>
        <v>MTO1</v>
      </c>
      <c r="B4413" s="6">
        <v>5.3946053946053903E-2</v>
      </c>
      <c r="C4413" s="6">
        <v>0.21398317450652199</v>
      </c>
    </row>
    <row r="4414" spans="1:3" s="8" customFormat="1" x14ac:dyDescent="0.2">
      <c r="A4414" s="6" t="str">
        <f>"TMEM69"</f>
        <v>TMEM69</v>
      </c>
      <c r="B4414" s="6">
        <v>5.3946053946053903E-2</v>
      </c>
      <c r="C4414" s="6">
        <v>0.21398317450652199</v>
      </c>
    </row>
    <row r="4415" spans="1:3" s="8" customFormat="1" x14ac:dyDescent="0.2">
      <c r="A4415" s="6" t="str">
        <f>"SHPRH"</f>
        <v>SHPRH</v>
      </c>
      <c r="B4415" s="6">
        <v>5.3946053946053903E-2</v>
      </c>
      <c r="C4415" s="6">
        <v>0.21398317450652199</v>
      </c>
    </row>
    <row r="4416" spans="1:3" s="8" customFormat="1" x14ac:dyDescent="0.2">
      <c r="A4416" s="6" t="str">
        <f>"OSBP2"</f>
        <v>OSBP2</v>
      </c>
      <c r="B4416" s="6">
        <v>5.3946053946053903E-2</v>
      </c>
      <c r="C4416" s="6">
        <v>0.21398317450652199</v>
      </c>
    </row>
    <row r="4417" spans="1:3" s="8" customFormat="1" x14ac:dyDescent="0.2">
      <c r="A4417" s="6" t="str">
        <f>"AC020978.5"</f>
        <v>AC020978.5</v>
      </c>
      <c r="B4417" s="6">
        <v>5.3946053946053903E-2</v>
      </c>
      <c r="C4417" s="6">
        <v>0.21398317450652199</v>
      </c>
    </row>
    <row r="4418" spans="1:3" s="8" customFormat="1" x14ac:dyDescent="0.2">
      <c r="A4418" s="6" t="str">
        <f>"NKAP"</f>
        <v>NKAP</v>
      </c>
      <c r="B4418" s="6">
        <v>5.3946053946053903E-2</v>
      </c>
      <c r="C4418" s="6">
        <v>0.21398317450652199</v>
      </c>
    </row>
    <row r="4419" spans="1:3" s="8" customFormat="1" x14ac:dyDescent="0.2">
      <c r="A4419" s="6" t="str">
        <f>"ERRFI1"</f>
        <v>ERRFI1</v>
      </c>
      <c r="B4419" s="6">
        <v>5.3946053946053903E-2</v>
      </c>
      <c r="C4419" s="6">
        <v>0.21398317450652199</v>
      </c>
    </row>
    <row r="4420" spans="1:3" s="8" customFormat="1" x14ac:dyDescent="0.2">
      <c r="A4420" s="6" t="str">
        <f>"NBPF9"</f>
        <v>NBPF9</v>
      </c>
      <c r="B4420" s="6">
        <v>5.3946053946053903E-2</v>
      </c>
      <c r="C4420" s="6">
        <v>0.21398317450652199</v>
      </c>
    </row>
    <row r="4421" spans="1:3" s="8" customFormat="1" x14ac:dyDescent="0.2">
      <c r="A4421" s="6" t="str">
        <f>"RFX7"</f>
        <v>RFX7</v>
      </c>
      <c r="B4421" s="6">
        <v>5.3946053946053903E-2</v>
      </c>
      <c r="C4421" s="6">
        <v>0.21398317450652199</v>
      </c>
    </row>
    <row r="4422" spans="1:3" s="8" customFormat="1" x14ac:dyDescent="0.2">
      <c r="A4422" s="6" t="str">
        <f>"STK38L"</f>
        <v>STK38L</v>
      </c>
      <c r="B4422" s="6">
        <v>5.3946053946053903E-2</v>
      </c>
      <c r="C4422" s="6">
        <v>0.21398317450652199</v>
      </c>
    </row>
    <row r="4423" spans="1:3" s="8" customFormat="1" x14ac:dyDescent="0.2">
      <c r="A4423" s="6" t="str">
        <f>"ISCA1"</f>
        <v>ISCA1</v>
      </c>
      <c r="B4423" s="6">
        <v>5.3946053946053903E-2</v>
      </c>
      <c r="C4423" s="6">
        <v>0.21398317450652199</v>
      </c>
    </row>
    <row r="4424" spans="1:3" s="8" customFormat="1" x14ac:dyDescent="0.2">
      <c r="A4424" s="6" t="str">
        <f>"PLD1"</f>
        <v>PLD1</v>
      </c>
      <c r="B4424" s="6">
        <v>5.3946053946053903E-2</v>
      </c>
      <c r="C4424" s="6">
        <v>0.21398317450652199</v>
      </c>
    </row>
    <row r="4425" spans="1:3" s="8" customFormat="1" x14ac:dyDescent="0.2">
      <c r="A4425" s="6" t="str">
        <f>"VNN3"</f>
        <v>VNN3</v>
      </c>
      <c r="B4425" s="6">
        <v>5.3946053946053903E-2</v>
      </c>
      <c r="C4425" s="6">
        <v>0.21398317450652199</v>
      </c>
    </row>
    <row r="4426" spans="1:3" s="8" customFormat="1" x14ac:dyDescent="0.2">
      <c r="A4426" s="6" t="str">
        <f>"MAP4K3"</f>
        <v>MAP4K3</v>
      </c>
      <c r="B4426" s="6">
        <v>5.3946053946053903E-2</v>
      </c>
      <c r="C4426" s="6">
        <v>0.21398317450652199</v>
      </c>
    </row>
    <row r="4427" spans="1:3" s="8" customFormat="1" x14ac:dyDescent="0.2">
      <c r="A4427" s="6" t="str">
        <f>"HSPA4L"</f>
        <v>HSPA4L</v>
      </c>
      <c r="B4427" s="6">
        <v>5.3946053946053903E-2</v>
      </c>
      <c r="C4427" s="6">
        <v>0.21398317450652199</v>
      </c>
    </row>
    <row r="4428" spans="1:3" s="8" customFormat="1" x14ac:dyDescent="0.2">
      <c r="A4428" s="6" t="str">
        <f>"OSBPL5"</f>
        <v>OSBPL5</v>
      </c>
      <c r="B4428" s="6">
        <v>5.3946053946053903E-2</v>
      </c>
      <c r="C4428" s="6">
        <v>0.21398317450652199</v>
      </c>
    </row>
    <row r="4429" spans="1:3" s="8" customFormat="1" x14ac:dyDescent="0.2">
      <c r="A4429" s="6" t="str">
        <f>"PARP8"</f>
        <v>PARP8</v>
      </c>
      <c r="B4429" s="6">
        <v>5.3946053946053903E-2</v>
      </c>
      <c r="C4429" s="6">
        <v>0.21398317450652199</v>
      </c>
    </row>
    <row r="4430" spans="1:3" s="8" customFormat="1" x14ac:dyDescent="0.2">
      <c r="A4430" s="6" t="str">
        <f>"TRIP10"</f>
        <v>TRIP10</v>
      </c>
      <c r="B4430" s="6">
        <v>5.3946053946053903E-2</v>
      </c>
      <c r="C4430" s="6">
        <v>0.21398317450652199</v>
      </c>
    </row>
    <row r="4431" spans="1:3" s="8" customFormat="1" x14ac:dyDescent="0.2">
      <c r="A4431" s="6" t="str">
        <f>"SERPINB2"</f>
        <v>SERPINB2</v>
      </c>
      <c r="B4431" s="6">
        <v>5.3946053946053903E-2</v>
      </c>
      <c r="C4431" s="6">
        <v>0.21398317450652199</v>
      </c>
    </row>
    <row r="4432" spans="1:3" s="8" customFormat="1" x14ac:dyDescent="0.2">
      <c r="A4432" s="6" t="str">
        <f>"TBC1D1"</f>
        <v>TBC1D1</v>
      </c>
      <c r="B4432" s="6">
        <v>5.3946053946053903E-2</v>
      </c>
      <c r="C4432" s="6">
        <v>0.21398317450652199</v>
      </c>
    </row>
    <row r="4433" spans="1:3" s="8" customFormat="1" x14ac:dyDescent="0.2">
      <c r="A4433" s="6" t="str">
        <f>"MAN2B1"</f>
        <v>MAN2B1</v>
      </c>
      <c r="B4433" s="6">
        <v>5.3946053946053903E-2</v>
      </c>
      <c r="C4433" s="6">
        <v>0.21398317450652199</v>
      </c>
    </row>
    <row r="4434" spans="1:3" s="8" customFormat="1" x14ac:dyDescent="0.2">
      <c r="A4434" s="6" t="str">
        <f>"PTPRU"</f>
        <v>PTPRU</v>
      </c>
      <c r="B4434" s="6">
        <v>5.3946053946053903E-2</v>
      </c>
      <c r="C4434" s="6">
        <v>0.21398317450652199</v>
      </c>
    </row>
    <row r="4435" spans="1:3" s="8" customFormat="1" x14ac:dyDescent="0.2">
      <c r="A4435" s="6" t="str">
        <f>"PCDHB12"</f>
        <v>PCDHB12</v>
      </c>
      <c r="B4435" s="6">
        <v>5.3999999999999999E-2</v>
      </c>
      <c r="C4435" s="6">
        <v>0.21410056369785699</v>
      </c>
    </row>
    <row r="4436" spans="1:3" s="8" customFormat="1" x14ac:dyDescent="0.2">
      <c r="A4436" s="6" t="str">
        <f>"AC034223.1"</f>
        <v>AC034223.1</v>
      </c>
      <c r="B4436" s="6">
        <v>5.3999999999999999E-2</v>
      </c>
      <c r="C4436" s="6">
        <v>0.21410056369785699</v>
      </c>
    </row>
    <row r="4437" spans="1:3" s="8" customFormat="1" x14ac:dyDescent="0.2">
      <c r="A4437" s="6" t="str">
        <f>"AC017100.1"</f>
        <v>AC017100.1</v>
      </c>
      <c r="B4437" s="6">
        <v>5.4054054054054002E-2</v>
      </c>
      <c r="C4437" s="6">
        <v>0.214266565934735</v>
      </c>
    </row>
    <row r="4438" spans="1:3" s="8" customFormat="1" x14ac:dyDescent="0.2">
      <c r="A4438" s="6" t="str">
        <f>"ADAMTS6"</f>
        <v>ADAMTS6</v>
      </c>
      <c r="B4438" s="6">
        <v>5.4945054945054903E-2</v>
      </c>
      <c r="C4438" s="6">
        <v>0.215515022563873</v>
      </c>
    </row>
    <row r="4439" spans="1:3" s="8" customFormat="1" x14ac:dyDescent="0.2">
      <c r="A4439" s="6" t="str">
        <f>"RPL39P40"</f>
        <v>RPL39P40</v>
      </c>
      <c r="B4439" s="6">
        <v>5.4945054945054903E-2</v>
      </c>
      <c r="C4439" s="6">
        <v>0.215515022563873</v>
      </c>
    </row>
    <row r="4440" spans="1:3" s="8" customFormat="1" x14ac:dyDescent="0.2">
      <c r="A4440" s="6" t="str">
        <f>"IL6"</f>
        <v>IL6</v>
      </c>
      <c r="B4440" s="6">
        <v>5.4945054945054903E-2</v>
      </c>
      <c r="C4440" s="6">
        <v>0.215515022563873</v>
      </c>
    </row>
    <row r="4441" spans="1:3" s="8" customFormat="1" x14ac:dyDescent="0.2">
      <c r="A4441" s="6" t="str">
        <f>"AP003119.2"</f>
        <v>AP003119.2</v>
      </c>
      <c r="B4441" s="6">
        <v>5.4945054945054903E-2</v>
      </c>
      <c r="C4441" s="6">
        <v>0.215515022563873</v>
      </c>
    </row>
    <row r="4442" spans="1:3" s="8" customFormat="1" x14ac:dyDescent="0.2">
      <c r="A4442" s="6" t="str">
        <f>"C10orf55"</f>
        <v>C10orf55</v>
      </c>
      <c r="B4442" s="6">
        <v>5.4945054945054903E-2</v>
      </c>
      <c r="C4442" s="6">
        <v>0.215515022563873</v>
      </c>
    </row>
    <row r="4443" spans="1:3" s="8" customFormat="1" x14ac:dyDescent="0.2">
      <c r="A4443" s="6" t="str">
        <f>"TPRG1-AS1"</f>
        <v>TPRG1-AS1</v>
      </c>
      <c r="B4443" s="6">
        <v>5.4945054945054903E-2</v>
      </c>
      <c r="C4443" s="6">
        <v>0.215515022563873</v>
      </c>
    </row>
    <row r="4444" spans="1:3" s="8" customFormat="1" x14ac:dyDescent="0.2">
      <c r="A4444" s="6" t="str">
        <f>"AC008038.1"</f>
        <v>AC008038.1</v>
      </c>
      <c r="B4444" s="6">
        <v>5.4945054945054903E-2</v>
      </c>
      <c r="C4444" s="6">
        <v>0.215515022563873</v>
      </c>
    </row>
    <row r="4445" spans="1:3" s="8" customFormat="1" x14ac:dyDescent="0.2">
      <c r="A4445" s="6" t="str">
        <f>"TRIM46"</f>
        <v>TRIM46</v>
      </c>
      <c r="B4445" s="6">
        <v>5.4945054945054903E-2</v>
      </c>
      <c r="C4445" s="6">
        <v>0.215515022563873</v>
      </c>
    </row>
    <row r="4446" spans="1:3" s="8" customFormat="1" x14ac:dyDescent="0.2">
      <c r="A4446" s="6" t="str">
        <f>"CLEC12A"</f>
        <v>CLEC12A</v>
      </c>
      <c r="B4446" s="6">
        <v>5.4945054945054903E-2</v>
      </c>
      <c r="C4446" s="6">
        <v>0.215515022563873</v>
      </c>
    </row>
    <row r="4447" spans="1:3" s="8" customFormat="1" x14ac:dyDescent="0.2">
      <c r="A4447" s="6" t="str">
        <f>"TPTEP2-CSNK1E"</f>
        <v>TPTEP2-CSNK1E</v>
      </c>
      <c r="B4447" s="6">
        <v>5.4945054945054903E-2</v>
      </c>
      <c r="C4447" s="6">
        <v>0.215515022563873</v>
      </c>
    </row>
    <row r="4448" spans="1:3" s="8" customFormat="1" x14ac:dyDescent="0.2">
      <c r="A4448" s="6" t="str">
        <f>"SOWAHA"</f>
        <v>SOWAHA</v>
      </c>
      <c r="B4448" s="6">
        <v>5.4945054945054903E-2</v>
      </c>
      <c r="C4448" s="6">
        <v>0.215515022563873</v>
      </c>
    </row>
    <row r="4449" spans="1:3" s="8" customFormat="1" x14ac:dyDescent="0.2">
      <c r="A4449" s="6" t="str">
        <f>"AC079848.1"</f>
        <v>AC079848.1</v>
      </c>
      <c r="B4449" s="6">
        <v>5.4945054945054903E-2</v>
      </c>
      <c r="C4449" s="6">
        <v>0.215515022563873</v>
      </c>
    </row>
    <row r="4450" spans="1:3" s="8" customFormat="1" x14ac:dyDescent="0.2">
      <c r="A4450" s="6" t="str">
        <f>"RGS17"</f>
        <v>RGS17</v>
      </c>
      <c r="B4450" s="6">
        <v>5.4945054945054903E-2</v>
      </c>
      <c r="C4450" s="6">
        <v>0.215515022563873</v>
      </c>
    </row>
    <row r="4451" spans="1:3" s="8" customFormat="1" x14ac:dyDescent="0.2">
      <c r="A4451" s="6" t="str">
        <f>"PALM"</f>
        <v>PALM</v>
      </c>
      <c r="B4451" s="6">
        <v>5.4945054945054903E-2</v>
      </c>
      <c r="C4451" s="6">
        <v>0.215515022563873</v>
      </c>
    </row>
    <row r="4452" spans="1:3" s="8" customFormat="1" x14ac:dyDescent="0.2">
      <c r="A4452" s="6" t="str">
        <f>"TNNI2"</f>
        <v>TNNI2</v>
      </c>
      <c r="B4452" s="6">
        <v>5.4945054945054903E-2</v>
      </c>
      <c r="C4452" s="6">
        <v>0.215515022563873</v>
      </c>
    </row>
    <row r="4453" spans="1:3" s="8" customFormat="1" x14ac:dyDescent="0.2">
      <c r="A4453" s="6" t="str">
        <f>"RNASE6"</f>
        <v>RNASE6</v>
      </c>
      <c r="B4453" s="6">
        <v>5.4945054945054903E-2</v>
      </c>
      <c r="C4453" s="6">
        <v>0.215515022563873</v>
      </c>
    </row>
    <row r="4454" spans="1:3" s="8" customFormat="1" x14ac:dyDescent="0.2">
      <c r="A4454" s="6" t="str">
        <f>"ARHGAP10"</f>
        <v>ARHGAP10</v>
      </c>
      <c r="B4454" s="6">
        <v>5.4945054945054903E-2</v>
      </c>
      <c r="C4454" s="6">
        <v>0.215515022563873</v>
      </c>
    </row>
    <row r="4455" spans="1:3" s="8" customFormat="1" x14ac:dyDescent="0.2">
      <c r="A4455" s="6" t="str">
        <f>"FRS3"</f>
        <v>FRS3</v>
      </c>
      <c r="B4455" s="6">
        <v>5.4945054945054903E-2</v>
      </c>
      <c r="C4455" s="6">
        <v>0.215515022563873</v>
      </c>
    </row>
    <row r="4456" spans="1:3" s="8" customFormat="1" x14ac:dyDescent="0.2">
      <c r="A4456" s="6" t="str">
        <f>"GGACT"</f>
        <v>GGACT</v>
      </c>
      <c r="B4456" s="6">
        <v>5.4945054945054903E-2</v>
      </c>
      <c r="C4456" s="6">
        <v>0.215515022563873</v>
      </c>
    </row>
    <row r="4457" spans="1:3" s="8" customFormat="1" x14ac:dyDescent="0.2">
      <c r="A4457" s="6" t="str">
        <f>"MBLAC2"</f>
        <v>MBLAC2</v>
      </c>
      <c r="B4457" s="6">
        <v>5.4945054945054903E-2</v>
      </c>
      <c r="C4457" s="6">
        <v>0.215515022563873</v>
      </c>
    </row>
    <row r="4458" spans="1:3" s="8" customFormat="1" x14ac:dyDescent="0.2">
      <c r="A4458" s="6" t="str">
        <f>"CAPN12"</f>
        <v>CAPN12</v>
      </c>
      <c r="B4458" s="6">
        <v>5.4945054945054903E-2</v>
      </c>
      <c r="C4458" s="6">
        <v>0.215515022563873</v>
      </c>
    </row>
    <row r="4459" spans="1:3" s="8" customFormat="1" x14ac:dyDescent="0.2">
      <c r="A4459" s="6" t="str">
        <f>"PCDHAC2"</f>
        <v>PCDHAC2</v>
      </c>
      <c r="B4459" s="6">
        <v>5.4945054945054903E-2</v>
      </c>
      <c r="C4459" s="6">
        <v>0.215515022563873</v>
      </c>
    </row>
    <row r="4460" spans="1:3" s="8" customFormat="1" x14ac:dyDescent="0.2">
      <c r="A4460" s="6" t="str">
        <f>"CHAF1B"</f>
        <v>CHAF1B</v>
      </c>
      <c r="B4460" s="6">
        <v>5.4945054945054903E-2</v>
      </c>
      <c r="C4460" s="6">
        <v>0.215515022563873</v>
      </c>
    </row>
    <row r="4461" spans="1:3" s="8" customFormat="1" x14ac:dyDescent="0.2">
      <c r="A4461" s="6" t="str">
        <f>"RBMX2"</f>
        <v>RBMX2</v>
      </c>
      <c r="B4461" s="6">
        <v>5.4945054945054903E-2</v>
      </c>
      <c r="C4461" s="6">
        <v>0.215515022563873</v>
      </c>
    </row>
    <row r="4462" spans="1:3" s="8" customFormat="1" x14ac:dyDescent="0.2">
      <c r="A4462" s="6" t="str">
        <f>"EPPIN"</f>
        <v>EPPIN</v>
      </c>
      <c r="B4462" s="6">
        <v>5.4945054945054903E-2</v>
      </c>
      <c r="C4462" s="6">
        <v>0.215515022563873</v>
      </c>
    </row>
    <row r="4463" spans="1:3" s="8" customFormat="1" x14ac:dyDescent="0.2">
      <c r="A4463" s="6" t="str">
        <f>"SLC15A4"</f>
        <v>SLC15A4</v>
      </c>
      <c r="B4463" s="6">
        <v>5.4945054945054903E-2</v>
      </c>
      <c r="C4463" s="6">
        <v>0.215515022563873</v>
      </c>
    </row>
    <row r="4464" spans="1:3" s="8" customFormat="1" x14ac:dyDescent="0.2">
      <c r="A4464" s="6" t="str">
        <f>"UBE2D4"</f>
        <v>UBE2D4</v>
      </c>
      <c r="B4464" s="6">
        <v>5.4945054945054903E-2</v>
      </c>
      <c r="C4464" s="6">
        <v>0.215515022563873</v>
      </c>
    </row>
    <row r="4465" spans="1:3" s="8" customFormat="1" x14ac:dyDescent="0.2">
      <c r="A4465" s="6" t="str">
        <f>"LIG4"</f>
        <v>LIG4</v>
      </c>
      <c r="B4465" s="6">
        <v>5.4945054945054903E-2</v>
      </c>
      <c r="C4465" s="6">
        <v>0.215515022563873</v>
      </c>
    </row>
    <row r="4466" spans="1:3" s="8" customFormat="1" x14ac:dyDescent="0.2">
      <c r="A4466" s="6" t="str">
        <f>"PLCB3"</f>
        <v>PLCB3</v>
      </c>
      <c r="B4466" s="6">
        <v>5.4945054945054903E-2</v>
      </c>
      <c r="C4466" s="6">
        <v>0.215515022563873</v>
      </c>
    </row>
    <row r="4467" spans="1:3" s="8" customFormat="1" x14ac:dyDescent="0.2">
      <c r="A4467" s="6" t="str">
        <f>"RSRP1"</f>
        <v>RSRP1</v>
      </c>
      <c r="B4467" s="6">
        <v>5.4945054945054903E-2</v>
      </c>
      <c r="C4467" s="6">
        <v>0.215515022563873</v>
      </c>
    </row>
    <row r="4468" spans="1:3" s="8" customFormat="1" x14ac:dyDescent="0.2">
      <c r="A4468" s="6" t="str">
        <f>"SLC46A3"</f>
        <v>SLC46A3</v>
      </c>
      <c r="B4468" s="6">
        <v>5.4945054945054903E-2</v>
      </c>
      <c r="C4468" s="6">
        <v>0.215515022563873</v>
      </c>
    </row>
    <row r="4469" spans="1:3" s="8" customFormat="1" x14ac:dyDescent="0.2">
      <c r="A4469" s="6" t="str">
        <f>"ARHGEF10L"</f>
        <v>ARHGEF10L</v>
      </c>
      <c r="B4469" s="6">
        <v>5.4945054945054903E-2</v>
      </c>
      <c r="C4469" s="6">
        <v>0.215515022563873</v>
      </c>
    </row>
    <row r="4470" spans="1:3" s="8" customFormat="1" x14ac:dyDescent="0.2">
      <c r="A4470" s="6" t="str">
        <f>"UBFD1"</f>
        <v>UBFD1</v>
      </c>
      <c r="B4470" s="6">
        <v>5.4945054945054903E-2</v>
      </c>
      <c r="C4470" s="6">
        <v>0.215515022563873</v>
      </c>
    </row>
    <row r="4471" spans="1:3" s="8" customFormat="1" x14ac:dyDescent="0.2">
      <c r="A4471" s="6" t="str">
        <f>"ORC4"</f>
        <v>ORC4</v>
      </c>
      <c r="B4471" s="6">
        <v>5.4945054945054903E-2</v>
      </c>
      <c r="C4471" s="6">
        <v>0.215515022563873</v>
      </c>
    </row>
    <row r="4472" spans="1:3" s="8" customFormat="1" x14ac:dyDescent="0.2">
      <c r="A4472" s="6" t="str">
        <f>"MPG"</f>
        <v>MPG</v>
      </c>
      <c r="B4472" s="6">
        <v>5.4945054945054903E-2</v>
      </c>
      <c r="C4472" s="6">
        <v>0.215515022563873</v>
      </c>
    </row>
    <row r="4473" spans="1:3" s="8" customFormat="1" x14ac:dyDescent="0.2">
      <c r="A4473" s="6" t="str">
        <f>"PHF21A"</f>
        <v>PHF21A</v>
      </c>
      <c r="B4473" s="6">
        <v>5.4945054945054903E-2</v>
      </c>
      <c r="C4473" s="6">
        <v>0.215515022563873</v>
      </c>
    </row>
    <row r="4474" spans="1:3" s="8" customFormat="1" x14ac:dyDescent="0.2">
      <c r="A4474" s="6" t="str">
        <f>"PER3"</f>
        <v>PER3</v>
      </c>
      <c r="B4474" s="6">
        <v>5.4945054945054903E-2</v>
      </c>
      <c r="C4474" s="6">
        <v>0.215515022563873</v>
      </c>
    </row>
    <row r="4475" spans="1:3" s="8" customFormat="1" x14ac:dyDescent="0.2">
      <c r="A4475" s="6" t="str">
        <f>"TOM1L1"</f>
        <v>TOM1L1</v>
      </c>
      <c r="B4475" s="6">
        <v>5.4945054945054903E-2</v>
      </c>
      <c r="C4475" s="6">
        <v>0.215515022563873</v>
      </c>
    </row>
    <row r="4476" spans="1:3" s="8" customFormat="1" x14ac:dyDescent="0.2">
      <c r="A4476" s="6" t="str">
        <f>"PRPSAP1"</f>
        <v>PRPSAP1</v>
      </c>
      <c r="B4476" s="6">
        <v>5.4945054945054903E-2</v>
      </c>
      <c r="C4476" s="6">
        <v>0.215515022563873</v>
      </c>
    </row>
    <row r="4477" spans="1:3" s="8" customFormat="1" x14ac:dyDescent="0.2">
      <c r="A4477" s="6" t="str">
        <f>"TEX264"</f>
        <v>TEX264</v>
      </c>
      <c r="B4477" s="6">
        <v>5.4945054945054903E-2</v>
      </c>
      <c r="C4477" s="6">
        <v>0.215515022563873</v>
      </c>
    </row>
    <row r="4478" spans="1:3" s="8" customFormat="1" x14ac:dyDescent="0.2">
      <c r="A4478" s="6" t="str">
        <f>"MAPK10"</f>
        <v>MAPK10</v>
      </c>
      <c r="B4478" s="6">
        <v>5.4945054945054903E-2</v>
      </c>
      <c r="C4478" s="6">
        <v>0.215515022563873</v>
      </c>
    </row>
    <row r="4479" spans="1:3" s="8" customFormat="1" x14ac:dyDescent="0.2">
      <c r="A4479" s="6" t="str">
        <f>"UBE2M"</f>
        <v>UBE2M</v>
      </c>
      <c r="B4479" s="6">
        <v>5.4945054945054903E-2</v>
      </c>
      <c r="C4479" s="6">
        <v>0.215515022563873</v>
      </c>
    </row>
    <row r="4480" spans="1:3" s="8" customFormat="1" x14ac:dyDescent="0.2">
      <c r="A4480" s="6" t="str">
        <f>"SGTA"</f>
        <v>SGTA</v>
      </c>
      <c r="B4480" s="6">
        <v>5.4945054945054903E-2</v>
      </c>
      <c r="C4480" s="6">
        <v>0.215515022563873</v>
      </c>
    </row>
    <row r="4481" spans="1:3" s="8" customFormat="1" x14ac:dyDescent="0.2">
      <c r="A4481" s="6" t="str">
        <f>"MGRN1"</f>
        <v>MGRN1</v>
      </c>
      <c r="B4481" s="6">
        <v>5.4945054945054903E-2</v>
      </c>
      <c r="C4481" s="6">
        <v>0.215515022563873</v>
      </c>
    </row>
    <row r="4482" spans="1:3" s="8" customFormat="1" x14ac:dyDescent="0.2">
      <c r="A4482" s="6" t="str">
        <f>"PARP9"</f>
        <v>PARP9</v>
      </c>
      <c r="B4482" s="6">
        <v>5.4945054945054903E-2</v>
      </c>
      <c r="C4482" s="6">
        <v>0.215515022563873</v>
      </c>
    </row>
    <row r="4483" spans="1:3" s="8" customFormat="1" x14ac:dyDescent="0.2">
      <c r="A4483" s="6" t="str">
        <f>"MIA3"</f>
        <v>MIA3</v>
      </c>
      <c r="B4483" s="6">
        <v>5.4945054945054903E-2</v>
      </c>
      <c r="C4483" s="6">
        <v>0.215515022563873</v>
      </c>
    </row>
    <row r="4484" spans="1:3" s="8" customFormat="1" x14ac:dyDescent="0.2">
      <c r="A4484" s="6" t="str">
        <f>"SDCBP"</f>
        <v>SDCBP</v>
      </c>
      <c r="B4484" s="6">
        <v>5.4945054945054903E-2</v>
      </c>
      <c r="C4484" s="6">
        <v>0.215515022563873</v>
      </c>
    </row>
    <row r="4485" spans="1:3" s="8" customFormat="1" x14ac:dyDescent="0.2">
      <c r="A4485" s="6" t="str">
        <f>"FBXO24"</f>
        <v>FBXO24</v>
      </c>
      <c r="B4485" s="6">
        <v>5.5165496489468398E-2</v>
      </c>
      <c r="C4485" s="6">
        <v>0.21633142066699601</v>
      </c>
    </row>
    <row r="4486" spans="1:3" s="8" customFormat="1" x14ac:dyDescent="0.2">
      <c r="A4486" s="6" t="str">
        <f>"IGLV2-11"</f>
        <v>IGLV2-11</v>
      </c>
      <c r="B4486" s="6">
        <v>5.5944055944055902E-2</v>
      </c>
      <c r="C4486" s="6">
        <v>0.21792651300848001</v>
      </c>
    </row>
    <row r="4487" spans="1:3" s="8" customFormat="1" x14ac:dyDescent="0.2">
      <c r="A4487" s="6" t="str">
        <f>"TXNDC2"</f>
        <v>TXNDC2</v>
      </c>
      <c r="B4487" s="6">
        <v>5.5944055944055902E-2</v>
      </c>
      <c r="C4487" s="6">
        <v>0.21792651300848001</v>
      </c>
    </row>
    <row r="4488" spans="1:3" s="8" customFormat="1" x14ac:dyDescent="0.2">
      <c r="A4488" s="6" t="str">
        <f>"OR2G6"</f>
        <v>OR2G6</v>
      </c>
      <c r="B4488" s="6">
        <v>5.5894308943089402E-2</v>
      </c>
      <c r="C4488" s="6">
        <v>0.21792651300848001</v>
      </c>
    </row>
    <row r="4489" spans="1:3" s="8" customFormat="1" x14ac:dyDescent="0.2">
      <c r="A4489" s="6" t="str">
        <f>"AL139082.1"</f>
        <v>AL139082.1</v>
      </c>
      <c r="B4489" s="6">
        <v>5.5944055944055902E-2</v>
      </c>
      <c r="C4489" s="6">
        <v>0.21792651300848001</v>
      </c>
    </row>
    <row r="4490" spans="1:3" s="8" customFormat="1" x14ac:dyDescent="0.2">
      <c r="A4490" s="6" t="str">
        <f>"SMIM24"</f>
        <v>SMIM24</v>
      </c>
      <c r="B4490" s="6">
        <v>5.5944055944055902E-2</v>
      </c>
      <c r="C4490" s="6">
        <v>0.21792651300848001</v>
      </c>
    </row>
    <row r="4491" spans="1:3" s="8" customFormat="1" x14ac:dyDescent="0.2">
      <c r="A4491" s="6" t="str">
        <f>"HSD11B1"</f>
        <v>HSD11B1</v>
      </c>
      <c r="B4491" s="6">
        <v>5.5944055944055902E-2</v>
      </c>
      <c r="C4491" s="6">
        <v>0.21792651300848001</v>
      </c>
    </row>
    <row r="4492" spans="1:3" s="8" customFormat="1" x14ac:dyDescent="0.2">
      <c r="A4492" s="6" t="str">
        <f>"UGT2B7"</f>
        <v>UGT2B7</v>
      </c>
      <c r="B4492" s="6">
        <v>5.5944055944055902E-2</v>
      </c>
      <c r="C4492" s="6">
        <v>0.21792651300848001</v>
      </c>
    </row>
    <row r="4493" spans="1:3" s="8" customFormat="1" x14ac:dyDescent="0.2">
      <c r="A4493" s="6" t="str">
        <f>"YAF2"</f>
        <v>YAF2</v>
      </c>
      <c r="B4493" s="6">
        <v>5.5944055944055902E-2</v>
      </c>
      <c r="C4493" s="6">
        <v>0.21792651300848001</v>
      </c>
    </row>
    <row r="4494" spans="1:3" s="8" customFormat="1" x14ac:dyDescent="0.2">
      <c r="A4494" s="6" t="str">
        <f>"AMZ2P1"</f>
        <v>AMZ2P1</v>
      </c>
      <c r="B4494" s="6">
        <v>5.5944055944055902E-2</v>
      </c>
      <c r="C4494" s="6">
        <v>0.21792651300848001</v>
      </c>
    </row>
    <row r="4495" spans="1:3" s="8" customFormat="1" x14ac:dyDescent="0.2">
      <c r="A4495" s="6" t="str">
        <f>"CD300LF"</f>
        <v>CD300LF</v>
      </c>
      <c r="B4495" s="6">
        <v>5.5944055944055902E-2</v>
      </c>
      <c r="C4495" s="6">
        <v>0.21792651300848001</v>
      </c>
    </row>
    <row r="4496" spans="1:3" s="8" customFormat="1" x14ac:dyDescent="0.2">
      <c r="A4496" s="6" t="str">
        <f>"BNIP1"</f>
        <v>BNIP1</v>
      </c>
      <c r="B4496" s="6">
        <v>5.5944055944055902E-2</v>
      </c>
      <c r="C4496" s="6">
        <v>0.21792651300848001</v>
      </c>
    </row>
    <row r="4497" spans="1:3" s="8" customFormat="1" x14ac:dyDescent="0.2">
      <c r="A4497" s="6" t="str">
        <f>"DUSP12"</f>
        <v>DUSP12</v>
      </c>
      <c r="B4497" s="6">
        <v>5.5944055944055902E-2</v>
      </c>
      <c r="C4497" s="6">
        <v>0.21792651300848001</v>
      </c>
    </row>
    <row r="4498" spans="1:3" s="8" customFormat="1" x14ac:dyDescent="0.2">
      <c r="A4498" s="6" t="str">
        <f>"C8orf37"</f>
        <v>C8orf37</v>
      </c>
      <c r="B4498" s="6">
        <v>5.5944055944055902E-2</v>
      </c>
      <c r="C4498" s="6">
        <v>0.21792651300848001</v>
      </c>
    </row>
    <row r="4499" spans="1:3" s="8" customFormat="1" x14ac:dyDescent="0.2">
      <c r="A4499" s="6" t="str">
        <f>"LRRC14"</f>
        <v>LRRC14</v>
      </c>
      <c r="B4499" s="6">
        <v>5.5944055944055902E-2</v>
      </c>
      <c r="C4499" s="6">
        <v>0.21792651300848001</v>
      </c>
    </row>
    <row r="4500" spans="1:3" s="8" customFormat="1" x14ac:dyDescent="0.2">
      <c r="A4500" s="6" t="str">
        <f>"ARL13B"</f>
        <v>ARL13B</v>
      </c>
      <c r="B4500" s="6">
        <v>5.5944055944055902E-2</v>
      </c>
      <c r="C4500" s="6">
        <v>0.21792651300848001</v>
      </c>
    </row>
    <row r="4501" spans="1:3" s="8" customFormat="1" x14ac:dyDescent="0.2">
      <c r="A4501" s="6" t="str">
        <f>"RNF24"</f>
        <v>RNF24</v>
      </c>
      <c r="B4501" s="6">
        <v>5.5944055944055902E-2</v>
      </c>
      <c r="C4501" s="6">
        <v>0.21792651300848001</v>
      </c>
    </row>
    <row r="4502" spans="1:3" s="8" customFormat="1" x14ac:dyDescent="0.2">
      <c r="A4502" s="6" t="str">
        <f>"VPS36"</f>
        <v>VPS36</v>
      </c>
      <c r="B4502" s="6">
        <v>5.5944055944055902E-2</v>
      </c>
      <c r="C4502" s="6">
        <v>0.21792651300848001</v>
      </c>
    </row>
    <row r="4503" spans="1:3" s="8" customFormat="1" x14ac:dyDescent="0.2">
      <c r="A4503" s="6" t="str">
        <f>"RBMS1"</f>
        <v>RBMS1</v>
      </c>
      <c r="B4503" s="6">
        <v>5.5944055944055902E-2</v>
      </c>
      <c r="C4503" s="6">
        <v>0.21792651300848001</v>
      </c>
    </row>
    <row r="4504" spans="1:3" s="8" customFormat="1" x14ac:dyDescent="0.2">
      <c r="A4504" s="6" t="str">
        <f>"PRKCI"</f>
        <v>PRKCI</v>
      </c>
      <c r="B4504" s="6">
        <v>5.5944055944055902E-2</v>
      </c>
      <c r="C4504" s="6">
        <v>0.21792651300848001</v>
      </c>
    </row>
    <row r="4505" spans="1:3" s="8" customFormat="1" x14ac:dyDescent="0.2">
      <c r="A4505" s="6" t="str">
        <f>"MBNL2"</f>
        <v>MBNL2</v>
      </c>
      <c r="B4505" s="6">
        <v>5.5944055944055902E-2</v>
      </c>
      <c r="C4505" s="6">
        <v>0.21792651300848001</v>
      </c>
    </row>
    <row r="4506" spans="1:3" s="8" customFormat="1" x14ac:dyDescent="0.2">
      <c r="A4506" s="6" t="str">
        <f>"CPNE2"</f>
        <v>CPNE2</v>
      </c>
      <c r="B4506" s="6">
        <v>5.5944055944055902E-2</v>
      </c>
      <c r="C4506" s="6">
        <v>0.21792651300848001</v>
      </c>
    </row>
    <row r="4507" spans="1:3" s="8" customFormat="1" x14ac:dyDescent="0.2">
      <c r="A4507" s="6" t="str">
        <f>"TRAPPC12"</f>
        <v>TRAPPC12</v>
      </c>
      <c r="B4507" s="6">
        <v>5.5944055944055902E-2</v>
      </c>
      <c r="C4507" s="6">
        <v>0.21792651300848001</v>
      </c>
    </row>
    <row r="4508" spans="1:3" s="8" customFormat="1" x14ac:dyDescent="0.2">
      <c r="A4508" s="6" t="str">
        <f>"CDC5L"</f>
        <v>CDC5L</v>
      </c>
      <c r="B4508" s="6">
        <v>5.5944055944055902E-2</v>
      </c>
      <c r="C4508" s="6">
        <v>0.21792651300848001</v>
      </c>
    </row>
    <row r="4509" spans="1:3" s="8" customFormat="1" x14ac:dyDescent="0.2">
      <c r="A4509" s="6" t="str">
        <f>"BOD1L1"</f>
        <v>BOD1L1</v>
      </c>
      <c r="B4509" s="6">
        <v>5.5944055944055902E-2</v>
      </c>
      <c r="C4509" s="6">
        <v>0.21792651300848001</v>
      </c>
    </row>
    <row r="4510" spans="1:3" s="8" customFormat="1" x14ac:dyDescent="0.2">
      <c r="A4510" s="6" t="str">
        <f>"MBD6"</f>
        <v>MBD6</v>
      </c>
      <c r="B4510" s="6">
        <v>5.5944055944055902E-2</v>
      </c>
      <c r="C4510" s="6">
        <v>0.21792651300848001</v>
      </c>
    </row>
    <row r="4511" spans="1:3" s="8" customFormat="1" x14ac:dyDescent="0.2">
      <c r="A4511" s="6" t="str">
        <f>"ERO1A"</f>
        <v>ERO1A</v>
      </c>
      <c r="B4511" s="6">
        <v>5.5944055944055902E-2</v>
      </c>
      <c r="C4511" s="6">
        <v>0.21792651300848001</v>
      </c>
    </row>
    <row r="4512" spans="1:3" s="8" customFormat="1" x14ac:dyDescent="0.2">
      <c r="A4512" s="6" t="str">
        <f>"PKP3"</f>
        <v>PKP3</v>
      </c>
      <c r="B4512" s="6">
        <v>5.5944055944055902E-2</v>
      </c>
      <c r="C4512" s="6">
        <v>0.21792651300848001</v>
      </c>
    </row>
    <row r="4513" spans="1:3" s="8" customFormat="1" x14ac:dyDescent="0.2">
      <c r="A4513" s="6" t="str">
        <f>"ELAPOR1"</f>
        <v>ELAPOR1</v>
      </c>
      <c r="B4513" s="6">
        <v>5.5944055944055902E-2</v>
      </c>
      <c r="C4513" s="6">
        <v>0.21792651300848001</v>
      </c>
    </row>
    <row r="4514" spans="1:3" s="8" customFormat="1" x14ac:dyDescent="0.2">
      <c r="A4514" s="6" t="str">
        <f>"ARHGAP18"</f>
        <v>ARHGAP18</v>
      </c>
      <c r="B4514" s="6">
        <v>5.5944055944055902E-2</v>
      </c>
      <c r="C4514" s="6">
        <v>0.21792651300848001</v>
      </c>
    </row>
    <row r="4515" spans="1:3" s="8" customFormat="1" x14ac:dyDescent="0.2">
      <c r="A4515" s="6" t="str">
        <f>"SLC6A14"</f>
        <v>SLC6A14</v>
      </c>
      <c r="B4515" s="6">
        <v>5.5944055944055902E-2</v>
      </c>
      <c r="C4515" s="6">
        <v>0.21792651300848001</v>
      </c>
    </row>
    <row r="4516" spans="1:3" s="8" customFormat="1" x14ac:dyDescent="0.2">
      <c r="A4516" s="6" t="str">
        <f>"AKAP1"</f>
        <v>AKAP1</v>
      </c>
      <c r="B4516" s="6">
        <v>5.6000000000000001E-2</v>
      </c>
      <c r="C4516" s="6">
        <v>0.218096124031007</v>
      </c>
    </row>
    <row r="4517" spans="1:3" s="8" customFormat="1" x14ac:dyDescent="0.2">
      <c r="A4517" s="6" t="str">
        <f>"AC116049.1"</f>
        <v>AC116049.1</v>
      </c>
      <c r="B4517" s="6">
        <v>5.6056056056056E-2</v>
      </c>
      <c r="C4517" s="6">
        <v>0.21826609603403199</v>
      </c>
    </row>
    <row r="4518" spans="1:3" s="8" customFormat="1" x14ac:dyDescent="0.2">
      <c r="A4518" s="6" t="str">
        <f>"AC005746.1"</f>
        <v>AC005746.1</v>
      </c>
      <c r="B4518" s="6">
        <v>5.6112224448897699E-2</v>
      </c>
      <c r="C4518" s="6">
        <v>0.218436430088425</v>
      </c>
    </row>
    <row r="4519" spans="1:3" s="8" customFormat="1" x14ac:dyDescent="0.2">
      <c r="A4519" s="6" t="str">
        <f>"PSG4"</f>
        <v>PSG4</v>
      </c>
      <c r="B4519" s="6">
        <v>5.6943056943056902E-2</v>
      </c>
      <c r="C4519" s="6">
        <v>0.220353590071899</v>
      </c>
    </row>
    <row r="4520" spans="1:3" s="8" customFormat="1" x14ac:dyDescent="0.2">
      <c r="A4520" s="6" t="str">
        <f>"TYMSOS"</f>
        <v>TYMSOS</v>
      </c>
      <c r="B4520" s="6">
        <v>5.6943056943056902E-2</v>
      </c>
      <c r="C4520" s="6">
        <v>0.220353590071899</v>
      </c>
    </row>
    <row r="4521" spans="1:3" s="8" customFormat="1" x14ac:dyDescent="0.2">
      <c r="A4521" s="6" t="str">
        <f>"IRX1"</f>
        <v>IRX1</v>
      </c>
      <c r="B4521" s="6">
        <v>5.6943056943056902E-2</v>
      </c>
      <c r="C4521" s="6">
        <v>0.220353590071899</v>
      </c>
    </row>
    <row r="4522" spans="1:3" s="8" customFormat="1" x14ac:dyDescent="0.2">
      <c r="A4522" s="6" t="str">
        <f>"RASSF10-DT"</f>
        <v>RASSF10-DT</v>
      </c>
      <c r="B4522" s="6">
        <v>5.6943056943056902E-2</v>
      </c>
      <c r="C4522" s="6">
        <v>0.220353590071899</v>
      </c>
    </row>
    <row r="4523" spans="1:3" s="8" customFormat="1" x14ac:dyDescent="0.2">
      <c r="A4523" s="6" t="str">
        <f>"POMC"</f>
        <v>POMC</v>
      </c>
      <c r="B4523" s="6">
        <v>5.6943056943056902E-2</v>
      </c>
      <c r="C4523" s="6">
        <v>0.220353590071899</v>
      </c>
    </row>
    <row r="4524" spans="1:3" s="8" customFormat="1" x14ac:dyDescent="0.2">
      <c r="A4524" s="6" t="str">
        <f>"PLA2G3"</f>
        <v>PLA2G3</v>
      </c>
      <c r="B4524" s="6">
        <v>5.6943056943056902E-2</v>
      </c>
      <c r="C4524" s="6">
        <v>0.220353590071899</v>
      </c>
    </row>
    <row r="4525" spans="1:3" s="8" customFormat="1" x14ac:dyDescent="0.2">
      <c r="A4525" s="6" t="str">
        <f>"WFDC3"</f>
        <v>WFDC3</v>
      </c>
      <c r="B4525" s="6">
        <v>5.6943056943056902E-2</v>
      </c>
      <c r="C4525" s="6">
        <v>0.220353590071899</v>
      </c>
    </row>
    <row r="4526" spans="1:3" s="8" customFormat="1" x14ac:dyDescent="0.2">
      <c r="A4526" s="6" t="str">
        <f>"GZMA"</f>
        <v>GZMA</v>
      </c>
      <c r="B4526" s="6">
        <v>5.6943056943056902E-2</v>
      </c>
      <c r="C4526" s="6">
        <v>0.220353590071899</v>
      </c>
    </row>
    <row r="4527" spans="1:3" s="8" customFormat="1" x14ac:dyDescent="0.2">
      <c r="A4527" s="6" t="str">
        <f>"AVIL"</f>
        <v>AVIL</v>
      </c>
      <c r="B4527" s="6">
        <v>5.6943056943056902E-2</v>
      </c>
      <c r="C4527" s="6">
        <v>0.220353590071899</v>
      </c>
    </row>
    <row r="4528" spans="1:3" s="8" customFormat="1" x14ac:dyDescent="0.2">
      <c r="A4528" s="6" t="str">
        <f>"IQCN"</f>
        <v>IQCN</v>
      </c>
      <c r="B4528" s="6">
        <v>5.6943056943056902E-2</v>
      </c>
      <c r="C4528" s="6">
        <v>0.220353590071899</v>
      </c>
    </row>
    <row r="4529" spans="1:3" s="8" customFormat="1" x14ac:dyDescent="0.2">
      <c r="A4529" s="6" t="str">
        <f>"CMSS1"</f>
        <v>CMSS1</v>
      </c>
      <c r="B4529" s="6">
        <v>5.6943056943056902E-2</v>
      </c>
      <c r="C4529" s="6">
        <v>0.220353590071899</v>
      </c>
    </row>
    <row r="4530" spans="1:3" s="8" customFormat="1" x14ac:dyDescent="0.2">
      <c r="A4530" s="6" t="str">
        <f>"MGME1"</f>
        <v>MGME1</v>
      </c>
      <c r="B4530" s="6">
        <v>5.6943056943056902E-2</v>
      </c>
      <c r="C4530" s="6">
        <v>0.220353590071899</v>
      </c>
    </row>
    <row r="4531" spans="1:3" s="8" customFormat="1" x14ac:dyDescent="0.2">
      <c r="A4531" s="6" t="str">
        <f>"GTF2IP20"</f>
        <v>GTF2IP20</v>
      </c>
      <c r="B4531" s="6">
        <v>5.6943056943056902E-2</v>
      </c>
      <c r="C4531" s="6">
        <v>0.220353590071899</v>
      </c>
    </row>
    <row r="4532" spans="1:3" s="8" customFormat="1" x14ac:dyDescent="0.2">
      <c r="A4532" s="6" t="str">
        <f>"SPRYD7"</f>
        <v>SPRYD7</v>
      </c>
      <c r="B4532" s="6">
        <v>5.6943056943056902E-2</v>
      </c>
      <c r="C4532" s="6">
        <v>0.220353590071899</v>
      </c>
    </row>
    <row r="4533" spans="1:3" s="8" customFormat="1" x14ac:dyDescent="0.2">
      <c r="A4533" s="6" t="str">
        <f>"LRRC37BP1"</f>
        <v>LRRC37BP1</v>
      </c>
      <c r="B4533" s="6">
        <v>5.6943056943056902E-2</v>
      </c>
      <c r="C4533" s="6">
        <v>0.220353590071899</v>
      </c>
    </row>
    <row r="4534" spans="1:3" s="8" customFormat="1" x14ac:dyDescent="0.2">
      <c r="A4534" s="6" t="str">
        <f>"SMYD3"</f>
        <v>SMYD3</v>
      </c>
      <c r="B4534" s="6">
        <v>5.6943056943056902E-2</v>
      </c>
      <c r="C4534" s="6">
        <v>0.220353590071899</v>
      </c>
    </row>
    <row r="4535" spans="1:3" s="8" customFormat="1" x14ac:dyDescent="0.2">
      <c r="A4535" s="6" t="str">
        <f>"OR7E122P"</f>
        <v>OR7E122P</v>
      </c>
      <c r="B4535" s="6">
        <v>5.6943056943056902E-2</v>
      </c>
      <c r="C4535" s="6">
        <v>0.220353590071899</v>
      </c>
    </row>
    <row r="4536" spans="1:3" s="8" customFormat="1" x14ac:dyDescent="0.2">
      <c r="A4536" s="6" t="str">
        <f>"AVPI1"</f>
        <v>AVPI1</v>
      </c>
      <c r="B4536" s="6">
        <v>5.6943056943056902E-2</v>
      </c>
      <c r="C4536" s="6">
        <v>0.220353590071899</v>
      </c>
    </row>
    <row r="4537" spans="1:3" s="8" customFormat="1" x14ac:dyDescent="0.2">
      <c r="A4537" s="6" t="str">
        <f>"FOSB"</f>
        <v>FOSB</v>
      </c>
      <c r="B4537" s="6">
        <v>5.6943056943056902E-2</v>
      </c>
      <c r="C4537" s="6">
        <v>0.220353590071899</v>
      </c>
    </row>
    <row r="4538" spans="1:3" s="8" customFormat="1" x14ac:dyDescent="0.2">
      <c r="A4538" s="6" t="str">
        <f>"PURA"</f>
        <v>PURA</v>
      </c>
      <c r="B4538" s="6">
        <v>5.6943056943056902E-2</v>
      </c>
      <c r="C4538" s="6">
        <v>0.220353590071899</v>
      </c>
    </row>
    <row r="4539" spans="1:3" s="8" customFormat="1" x14ac:dyDescent="0.2">
      <c r="A4539" s="6" t="str">
        <f>"C18orf25"</f>
        <v>C18orf25</v>
      </c>
      <c r="B4539" s="6">
        <v>5.6943056943056902E-2</v>
      </c>
      <c r="C4539" s="6">
        <v>0.220353590071899</v>
      </c>
    </row>
    <row r="4540" spans="1:3" s="8" customFormat="1" x14ac:dyDescent="0.2">
      <c r="A4540" s="6" t="str">
        <f>"SKIL"</f>
        <v>SKIL</v>
      </c>
      <c r="B4540" s="6">
        <v>5.6943056943056902E-2</v>
      </c>
      <c r="C4540" s="6">
        <v>0.220353590071899</v>
      </c>
    </row>
    <row r="4541" spans="1:3" s="8" customFormat="1" x14ac:dyDescent="0.2">
      <c r="A4541" s="6" t="str">
        <f>"SNRPD3"</f>
        <v>SNRPD3</v>
      </c>
      <c r="B4541" s="6">
        <v>5.6943056943056902E-2</v>
      </c>
      <c r="C4541" s="6">
        <v>0.220353590071899</v>
      </c>
    </row>
    <row r="4542" spans="1:3" s="8" customFormat="1" x14ac:dyDescent="0.2">
      <c r="A4542" s="6" t="str">
        <f>"TAX1BP3"</f>
        <v>TAX1BP3</v>
      </c>
      <c r="B4542" s="6">
        <v>5.6943056943056902E-2</v>
      </c>
      <c r="C4542" s="6">
        <v>0.220353590071899</v>
      </c>
    </row>
    <row r="4543" spans="1:3" s="8" customFormat="1" x14ac:dyDescent="0.2">
      <c r="A4543" s="6" t="str">
        <f>"CXXC5"</f>
        <v>CXXC5</v>
      </c>
      <c r="B4543" s="6">
        <v>5.6943056943056902E-2</v>
      </c>
      <c r="C4543" s="6">
        <v>0.220353590071899</v>
      </c>
    </row>
    <row r="4544" spans="1:3" s="8" customFormat="1" x14ac:dyDescent="0.2">
      <c r="A4544" s="6" t="str">
        <f>"DYNC1LI2"</f>
        <v>DYNC1LI2</v>
      </c>
      <c r="B4544" s="6">
        <v>5.6943056943056902E-2</v>
      </c>
      <c r="C4544" s="6">
        <v>0.220353590071899</v>
      </c>
    </row>
    <row r="4545" spans="1:3" s="8" customFormat="1" x14ac:dyDescent="0.2">
      <c r="A4545" s="6" t="str">
        <f>"CKAP4"</f>
        <v>CKAP4</v>
      </c>
      <c r="B4545" s="6">
        <v>5.6943056943056902E-2</v>
      </c>
      <c r="C4545" s="6">
        <v>0.220353590071899</v>
      </c>
    </row>
    <row r="4546" spans="1:3" s="8" customFormat="1" x14ac:dyDescent="0.2">
      <c r="A4546" s="6" t="str">
        <f>"SERTAD4-AS1"</f>
        <v>SERTAD4-AS1</v>
      </c>
      <c r="B4546" s="6">
        <v>5.7000000000000002E-2</v>
      </c>
      <c r="C4546" s="6">
        <v>0.22052541254125399</v>
      </c>
    </row>
    <row r="4547" spans="1:3" s="8" customFormat="1" x14ac:dyDescent="0.2">
      <c r="A4547" s="6" t="str">
        <f>"OR2I1P"</f>
        <v>OR2I1P</v>
      </c>
      <c r="B4547" s="6">
        <v>5.7942057942057902E-2</v>
      </c>
      <c r="C4547" s="6">
        <v>0.22231140014251499</v>
      </c>
    </row>
    <row r="4548" spans="1:3" s="8" customFormat="1" x14ac:dyDescent="0.2">
      <c r="A4548" s="6" t="str">
        <f>"SLC7A9"</f>
        <v>SLC7A9</v>
      </c>
      <c r="B4548" s="6">
        <v>5.7942057942057902E-2</v>
      </c>
      <c r="C4548" s="6">
        <v>0.22231140014251499</v>
      </c>
    </row>
    <row r="4549" spans="1:3" s="8" customFormat="1" x14ac:dyDescent="0.2">
      <c r="A4549" s="6" t="str">
        <f>"ZG16"</f>
        <v>ZG16</v>
      </c>
      <c r="B4549" s="6">
        <v>5.7942057942057902E-2</v>
      </c>
      <c r="C4549" s="6">
        <v>0.22231140014251499</v>
      </c>
    </row>
    <row r="4550" spans="1:3" s="8" customFormat="1" x14ac:dyDescent="0.2">
      <c r="A4550" s="6" t="str">
        <f>"NCAN"</f>
        <v>NCAN</v>
      </c>
      <c r="B4550" s="6">
        <v>5.7942057942057902E-2</v>
      </c>
      <c r="C4550" s="6">
        <v>0.22231140014251499</v>
      </c>
    </row>
    <row r="4551" spans="1:3" s="8" customFormat="1" x14ac:dyDescent="0.2">
      <c r="A4551" s="6" t="str">
        <f>"RFPL1S"</f>
        <v>RFPL1S</v>
      </c>
      <c r="B4551" s="6">
        <v>5.7942057942057902E-2</v>
      </c>
      <c r="C4551" s="6">
        <v>0.22231140014251499</v>
      </c>
    </row>
    <row r="4552" spans="1:3" s="8" customFormat="1" x14ac:dyDescent="0.2">
      <c r="A4552" s="6" t="str">
        <f>"POM121L7P"</f>
        <v>POM121L7P</v>
      </c>
      <c r="B4552" s="6">
        <v>5.7942057942057902E-2</v>
      </c>
      <c r="C4552" s="6">
        <v>0.22231140014251499</v>
      </c>
    </row>
    <row r="4553" spans="1:3" s="8" customFormat="1" x14ac:dyDescent="0.2">
      <c r="A4553" s="6" t="str">
        <f>"SLC35F3"</f>
        <v>SLC35F3</v>
      </c>
      <c r="B4553" s="6">
        <v>5.7942057942057902E-2</v>
      </c>
      <c r="C4553" s="6">
        <v>0.22231140014251499</v>
      </c>
    </row>
    <row r="4554" spans="1:3" s="8" customFormat="1" x14ac:dyDescent="0.2">
      <c r="A4554" s="6" t="str">
        <f>"AL138778.1"</f>
        <v>AL138778.1</v>
      </c>
      <c r="B4554" s="6">
        <v>5.7942057942057902E-2</v>
      </c>
      <c r="C4554" s="6">
        <v>0.22231140014251499</v>
      </c>
    </row>
    <row r="4555" spans="1:3" s="8" customFormat="1" x14ac:dyDescent="0.2">
      <c r="A4555" s="6" t="str">
        <f>"AUNIP"</f>
        <v>AUNIP</v>
      </c>
      <c r="B4555" s="6">
        <v>5.7942057942057902E-2</v>
      </c>
      <c r="C4555" s="6">
        <v>0.22231140014251499</v>
      </c>
    </row>
    <row r="4556" spans="1:3" s="8" customFormat="1" x14ac:dyDescent="0.2">
      <c r="A4556" s="6" t="str">
        <f>"ZNF404"</f>
        <v>ZNF404</v>
      </c>
      <c r="B4556" s="6">
        <v>5.7942057942057902E-2</v>
      </c>
      <c r="C4556" s="6">
        <v>0.22231140014251499</v>
      </c>
    </row>
    <row r="4557" spans="1:3" s="8" customFormat="1" x14ac:dyDescent="0.2">
      <c r="A4557" s="6" t="str">
        <f>"PSMD6-AS2"</f>
        <v>PSMD6-AS2</v>
      </c>
      <c r="B4557" s="6">
        <v>5.7942057942057902E-2</v>
      </c>
      <c r="C4557" s="6">
        <v>0.22231140014251499</v>
      </c>
    </row>
    <row r="4558" spans="1:3" s="8" customFormat="1" x14ac:dyDescent="0.2">
      <c r="A4558" s="6" t="str">
        <f>"CD200"</f>
        <v>CD200</v>
      </c>
      <c r="B4558" s="6">
        <v>5.7942057942057902E-2</v>
      </c>
      <c r="C4558" s="6">
        <v>0.22231140014251499</v>
      </c>
    </row>
    <row r="4559" spans="1:3" s="8" customFormat="1" x14ac:dyDescent="0.2">
      <c r="A4559" s="6" t="str">
        <f>"EVPLL"</f>
        <v>EVPLL</v>
      </c>
      <c r="B4559" s="6">
        <v>5.7942057942057902E-2</v>
      </c>
      <c r="C4559" s="6">
        <v>0.22231140014251499</v>
      </c>
    </row>
    <row r="4560" spans="1:3" s="8" customFormat="1" x14ac:dyDescent="0.2">
      <c r="A4560" s="6" t="str">
        <f>"CNGA3"</f>
        <v>CNGA3</v>
      </c>
      <c r="B4560" s="6">
        <v>5.7942057942057902E-2</v>
      </c>
      <c r="C4560" s="6">
        <v>0.22231140014251499</v>
      </c>
    </row>
    <row r="4561" spans="1:3" s="8" customFormat="1" x14ac:dyDescent="0.2">
      <c r="A4561" s="6" t="str">
        <f>"LRRC3"</f>
        <v>LRRC3</v>
      </c>
      <c r="B4561" s="6">
        <v>5.7942057942057902E-2</v>
      </c>
      <c r="C4561" s="6">
        <v>0.22231140014251499</v>
      </c>
    </row>
    <row r="4562" spans="1:3" s="8" customFormat="1" x14ac:dyDescent="0.2">
      <c r="A4562" s="6" t="str">
        <f>"TIAM2"</f>
        <v>TIAM2</v>
      </c>
      <c r="B4562" s="6">
        <v>5.7942057942057902E-2</v>
      </c>
      <c r="C4562" s="6">
        <v>0.22231140014251499</v>
      </c>
    </row>
    <row r="4563" spans="1:3" s="8" customFormat="1" x14ac:dyDescent="0.2">
      <c r="A4563" s="6" t="str">
        <f>"AL121832.2"</f>
        <v>AL121832.2</v>
      </c>
      <c r="B4563" s="6">
        <v>5.7942057942057902E-2</v>
      </c>
      <c r="C4563" s="6">
        <v>0.22231140014251499</v>
      </c>
    </row>
    <row r="4564" spans="1:3" s="8" customFormat="1" x14ac:dyDescent="0.2">
      <c r="A4564" s="6" t="str">
        <f>"CGAS"</f>
        <v>CGAS</v>
      </c>
      <c r="B4564" s="6">
        <v>5.7942057942057902E-2</v>
      </c>
      <c r="C4564" s="6">
        <v>0.22231140014251499</v>
      </c>
    </row>
    <row r="4565" spans="1:3" s="8" customFormat="1" x14ac:dyDescent="0.2">
      <c r="A4565" s="6" t="str">
        <f>"STARD13"</f>
        <v>STARD13</v>
      </c>
      <c r="B4565" s="6">
        <v>5.7942057942057902E-2</v>
      </c>
      <c r="C4565" s="6">
        <v>0.22231140014251499</v>
      </c>
    </row>
    <row r="4566" spans="1:3" s="8" customFormat="1" x14ac:dyDescent="0.2">
      <c r="A4566" s="6" t="str">
        <f>"ZSCAN12"</f>
        <v>ZSCAN12</v>
      </c>
      <c r="B4566" s="6">
        <v>5.7942057942057902E-2</v>
      </c>
      <c r="C4566" s="6">
        <v>0.22231140014251499</v>
      </c>
    </row>
    <row r="4567" spans="1:3" s="8" customFormat="1" x14ac:dyDescent="0.2">
      <c r="A4567" s="6" t="str">
        <f>"ZNF784"</f>
        <v>ZNF784</v>
      </c>
      <c r="B4567" s="6">
        <v>5.7942057942057902E-2</v>
      </c>
      <c r="C4567" s="6">
        <v>0.22231140014251499</v>
      </c>
    </row>
    <row r="4568" spans="1:3" s="8" customFormat="1" x14ac:dyDescent="0.2">
      <c r="A4568" s="6" t="str">
        <f>"NAPB"</f>
        <v>NAPB</v>
      </c>
      <c r="B4568" s="6">
        <v>5.7942057942057902E-2</v>
      </c>
      <c r="C4568" s="6">
        <v>0.22231140014251499</v>
      </c>
    </row>
    <row r="4569" spans="1:3" s="8" customFormat="1" x14ac:dyDescent="0.2">
      <c r="A4569" s="6" t="str">
        <f>"PSTPIP2"</f>
        <v>PSTPIP2</v>
      </c>
      <c r="B4569" s="6">
        <v>5.7942057942057902E-2</v>
      </c>
      <c r="C4569" s="6">
        <v>0.22231140014251499</v>
      </c>
    </row>
    <row r="4570" spans="1:3" s="8" customFormat="1" x14ac:dyDescent="0.2">
      <c r="A4570" s="6" t="str">
        <f>"TMEM63C"</f>
        <v>TMEM63C</v>
      </c>
      <c r="B4570" s="6">
        <v>5.7942057942057902E-2</v>
      </c>
      <c r="C4570" s="6">
        <v>0.22231140014251499</v>
      </c>
    </row>
    <row r="4571" spans="1:3" s="8" customFormat="1" x14ac:dyDescent="0.2">
      <c r="A4571" s="6" t="str">
        <f>"ZNF7"</f>
        <v>ZNF7</v>
      </c>
      <c r="B4571" s="6">
        <v>5.7942057942057902E-2</v>
      </c>
      <c r="C4571" s="6">
        <v>0.22231140014251499</v>
      </c>
    </row>
    <row r="4572" spans="1:3" s="8" customFormat="1" x14ac:dyDescent="0.2">
      <c r="A4572" s="6" t="str">
        <f>"NLN"</f>
        <v>NLN</v>
      </c>
      <c r="B4572" s="6">
        <v>5.7942057942057902E-2</v>
      </c>
      <c r="C4572" s="6">
        <v>0.22231140014251499</v>
      </c>
    </row>
    <row r="4573" spans="1:3" s="8" customFormat="1" x14ac:dyDescent="0.2">
      <c r="A4573" s="6" t="str">
        <f>"BLOC1S4"</f>
        <v>BLOC1S4</v>
      </c>
      <c r="B4573" s="6">
        <v>5.7942057942057902E-2</v>
      </c>
      <c r="C4573" s="6">
        <v>0.22231140014251499</v>
      </c>
    </row>
    <row r="4574" spans="1:3" s="8" customFormat="1" x14ac:dyDescent="0.2">
      <c r="A4574" s="6" t="str">
        <f>"ARMT1"</f>
        <v>ARMT1</v>
      </c>
      <c r="B4574" s="6">
        <v>5.7942057942057902E-2</v>
      </c>
      <c r="C4574" s="6">
        <v>0.22231140014251499</v>
      </c>
    </row>
    <row r="4575" spans="1:3" s="8" customFormat="1" x14ac:dyDescent="0.2">
      <c r="A4575" s="6" t="str">
        <f>"AL671762.1"</f>
        <v>AL671762.1</v>
      </c>
      <c r="B4575" s="6">
        <v>5.7942057942057902E-2</v>
      </c>
      <c r="C4575" s="6">
        <v>0.22231140014251499</v>
      </c>
    </row>
    <row r="4576" spans="1:3" s="8" customFormat="1" x14ac:dyDescent="0.2">
      <c r="A4576" s="6" t="str">
        <f>"GOLGA2P10"</f>
        <v>GOLGA2P10</v>
      </c>
      <c r="B4576" s="6">
        <v>5.7942057942057902E-2</v>
      </c>
      <c r="C4576" s="6">
        <v>0.22231140014251499</v>
      </c>
    </row>
    <row r="4577" spans="1:3" s="8" customFormat="1" x14ac:dyDescent="0.2">
      <c r="A4577" s="6" t="str">
        <f>"BCL9"</f>
        <v>BCL9</v>
      </c>
      <c r="B4577" s="6">
        <v>5.7942057942057902E-2</v>
      </c>
      <c r="C4577" s="6">
        <v>0.22231140014251499</v>
      </c>
    </row>
    <row r="4578" spans="1:3" s="8" customFormat="1" x14ac:dyDescent="0.2">
      <c r="A4578" s="6" t="str">
        <f>"GNPAT"</f>
        <v>GNPAT</v>
      </c>
      <c r="B4578" s="6">
        <v>5.7942057942057902E-2</v>
      </c>
      <c r="C4578" s="6">
        <v>0.22231140014251499</v>
      </c>
    </row>
    <row r="4579" spans="1:3" s="8" customFormat="1" x14ac:dyDescent="0.2">
      <c r="A4579" s="6" t="str">
        <f>"GATAD1"</f>
        <v>GATAD1</v>
      </c>
      <c r="B4579" s="6">
        <v>5.7942057942057902E-2</v>
      </c>
      <c r="C4579" s="6">
        <v>0.22231140014251499</v>
      </c>
    </row>
    <row r="4580" spans="1:3" s="8" customFormat="1" x14ac:dyDescent="0.2">
      <c r="A4580" s="6" t="str">
        <f>"PHF10"</f>
        <v>PHF10</v>
      </c>
      <c r="B4580" s="6">
        <v>5.7942057942057902E-2</v>
      </c>
      <c r="C4580" s="6">
        <v>0.22231140014251499</v>
      </c>
    </row>
    <row r="4581" spans="1:3" s="8" customFormat="1" x14ac:dyDescent="0.2">
      <c r="A4581" s="6" t="str">
        <f>"RAB21"</f>
        <v>RAB21</v>
      </c>
      <c r="B4581" s="6">
        <v>5.7942057942057902E-2</v>
      </c>
      <c r="C4581" s="6">
        <v>0.22231140014251499</v>
      </c>
    </row>
    <row r="4582" spans="1:3" s="8" customFormat="1" x14ac:dyDescent="0.2">
      <c r="A4582" s="6" t="str">
        <f>"RHPN1"</f>
        <v>RHPN1</v>
      </c>
      <c r="B4582" s="6">
        <v>5.7942057942057902E-2</v>
      </c>
      <c r="C4582" s="6">
        <v>0.22231140014251499</v>
      </c>
    </row>
    <row r="4583" spans="1:3" s="8" customFormat="1" x14ac:dyDescent="0.2">
      <c r="A4583" s="6" t="str">
        <f>"IKZF2"</f>
        <v>IKZF2</v>
      </c>
      <c r="B4583" s="6">
        <v>5.7942057942057902E-2</v>
      </c>
      <c r="C4583" s="6">
        <v>0.22231140014251499</v>
      </c>
    </row>
    <row r="4584" spans="1:3" s="8" customFormat="1" x14ac:dyDescent="0.2">
      <c r="A4584" s="6" t="str">
        <f>"RPL18"</f>
        <v>RPL18</v>
      </c>
      <c r="B4584" s="6">
        <v>5.7942057942057902E-2</v>
      </c>
      <c r="C4584" s="6">
        <v>0.22231140014251499</v>
      </c>
    </row>
    <row r="4585" spans="1:3" s="8" customFormat="1" x14ac:dyDescent="0.2">
      <c r="A4585" s="6" t="str">
        <f>"AC083805.3"</f>
        <v>AC083805.3</v>
      </c>
      <c r="B4585" s="6">
        <v>5.8000000000000003E-2</v>
      </c>
      <c r="C4585" s="6">
        <v>0.222388137810728</v>
      </c>
    </row>
    <row r="4586" spans="1:3" s="8" customFormat="1" x14ac:dyDescent="0.2">
      <c r="A4586" s="6" t="str">
        <f>"CCT8P1"</f>
        <v>CCT8P1</v>
      </c>
      <c r="B4586" s="6">
        <v>5.8000000000000003E-2</v>
      </c>
      <c r="C4586" s="6">
        <v>0.222388137810728</v>
      </c>
    </row>
    <row r="4587" spans="1:3" s="8" customFormat="1" x14ac:dyDescent="0.2">
      <c r="A4587" s="6" t="str">
        <f>"METTL18"</f>
        <v>METTL18</v>
      </c>
      <c r="B4587" s="6">
        <v>5.8000000000000003E-2</v>
      </c>
      <c r="C4587" s="6">
        <v>0.222388137810728</v>
      </c>
    </row>
    <row r="4588" spans="1:3" s="8" customFormat="1" x14ac:dyDescent="0.2">
      <c r="A4588" s="6" t="str">
        <f>"UTY"</f>
        <v>UTY</v>
      </c>
      <c r="B4588" s="6">
        <v>5.8189655172413701E-2</v>
      </c>
      <c r="C4588" s="6">
        <v>0.22306668771565799</v>
      </c>
    </row>
    <row r="4589" spans="1:3" s="8" customFormat="1" x14ac:dyDescent="0.2">
      <c r="A4589" s="6" t="str">
        <f>"LINC01909"</f>
        <v>LINC01909</v>
      </c>
      <c r="B4589" s="6">
        <v>5.8232931726907598E-2</v>
      </c>
      <c r="C4589" s="6">
        <v>0.22318393014078899</v>
      </c>
    </row>
    <row r="4590" spans="1:3" s="8" customFormat="1" x14ac:dyDescent="0.2">
      <c r="A4590" s="6" t="str">
        <f>"ITGA6-AS1"</f>
        <v>ITGA6-AS1</v>
      </c>
      <c r="B4590" s="6">
        <v>5.8941058941058902E-2</v>
      </c>
      <c r="C4590" s="6">
        <v>0.22389707937342401</v>
      </c>
    </row>
    <row r="4591" spans="1:3" s="8" customFormat="1" x14ac:dyDescent="0.2">
      <c r="A4591" s="6" t="str">
        <f>"HCG4B"</f>
        <v>HCG4B</v>
      </c>
      <c r="B4591" s="6">
        <v>5.8823529411764698E-2</v>
      </c>
      <c r="C4591" s="6">
        <v>0.22389707937342401</v>
      </c>
    </row>
    <row r="4592" spans="1:3" s="8" customFormat="1" x14ac:dyDescent="0.2">
      <c r="A4592" s="6" t="str">
        <f>"AL021408.1"</f>
        <v>AL021408.1</v>
      </c>
      <c r="B4592" s="6">
        <v>5.8941058941058902E-2</v>
      </c>
      <c r="C4592" s="6">
        <v>0.22389707937342401</v>
      </c>
    </row>
    <row r="4593" spans="1:3" s="8" customFormat="1" x14ac:dyDescent="0.2">
      <c r="A4593" s="6" t="str">
        <f>"IGLV2-14"</f>
        <v>IGLV2-14</v>
      </c>
      <c r="B4593" s="6">
        <v>5.8941058941058902E-2</v>
      </c>
      <c r="C4593" s="6">
        <v>0.22389707937342401</v>
      </c>
    </row>
    <row r="4594" spans="1:3" s="8" customFormat="1" x14ac:dyDescent="0.2">
      <c r="A4594" s="6" t="str">
        <f>"IGLL5"</f>
        <v>IGLL5</v>
      </c>
      <c r="B4594" s="6">
        <v>5.8941058941058902E-2</v>
      </c>
      <c r="C4594" s="6">
        <v>0.22389707937342401</v>
      </c>
    </row>
    <row r="4595" spans="1:3" s="8" customFormat="1" x14ac:dyDescent="0.2">
      <c r="A4595" s="6" t="str">
        <f>"BEST3"</f>
        <v>BEST3</v>
      </c>
      <c r="B4595" s="6">
        <v>5.8941058941058902E-2</v>
      </c>
      <c r="C4595" s="6">
        <v>0.22389707937342401</v>
      </c>
    </row>
    <row r="4596" spans="1:3" s="8" customFormat="1" x14ac:dyDescent="0.2">
      <c r="A4596" s="6" t="str">
        <f>"RASL10A"</f>
        <v>RASL10A</v>
      </c>
      <c r="B4596" s="6">
        <v>5.8941058941058902E-2</v>
      </c>
      <c r="C4596" s="6">
        <v>0.22389707937342401</v>
      </c>
    </row>
    <row r="4597" spans="1:3" s="8" customFormat="1" x14ac:dyDescent="0.2">
      <c r="A4597" s="6" t="str">
        <f>"C8orf37-AS1"</f>
        <v>C8orf37-AS1</v>
      </c>
      <c r="B4597" s="6">
        <v>5.8941058941058902E-2</v>
      </c>
      <c r="C4597" s="6">
        <v>0.22389707937342401</v>
      </c>
    </row>
    <row r="4598" spans="1:3" s="8" customFormat="1" x14ac:dyDescent="0.2">
      <c r="A4598" s="6" t="str">
        <f>"EPOP"</f>
        <v>EPOP</v>
      </c>
      <c r="B4598" s="6">
        <v>5.8941058941058902E-2</v>
      </c>
      <c r="C4598" s="6">
        <v>0.22389707937342401</v>
      </c>
    </row>
    <row r="4599" spans="1:3" s="8" customFormat="1" x14ac:dyDescent="0.2">
      <c r="A4599" s="6" t="str">
        <f>"SPATA24"</f>
        <v>SPATA24</v>
      </c>
      <c r="B4599" s="6">
        <v>5.8941058941058902E-2</v>
      </c>
      <c r="C4599" s="6">
        <v>0.22389707937342401</v>
      </c>
    </row>
    <row r="4600" spans="1:3" s="8" customFormat="1" x14ac:dyDescent="0.2">
      <c r="A4600" s="6" t="str">
        <f>"ST6GAL2"</f>
        <v>ST6GAL2</v>
      </c>
      <c r="B4600" s="6">
        <v>5.8941058941058902E-2</v>
      </c>
      <c r="C4600" s="6">
        <v>0.22389707937342401</v>
      </c>
    </row>
    <row r="4601" spans="1:3" s="8" customFormat="1" x14ac:dyDescent="0.2">
      <c r="A4601" s="6" t="str">
        <f>"FRMPD2B"</f>
        <v>FRMPD2B</v>
      </c>
      <c r="B4601" s="6">
        <v>5.8941058941058902E-2</v>
      </c>
      <c r="C4601" s="6">
        <v>0.22389707937342401</v>
      </c>
    </row>
    <row r="4602" spans="1:3" s="8" customFormat="1" x14ac:dyDescent="0.2">
      <c r="A4602" s="6" t="str">
        <f>"SLC35E4"</f>
        <v>SLC35E4</v>
      </c>
      <c r="B4602" s="6">
        <v>5.8941058941058902E-2</v>
      </c>
      <c r="C4602" s="6">
        <v>0.22389707937342401</v>
      </c>
    </row>
    <row r="4603" spans="1:3" s="8" customFormat="1" x14ac:dyDescent="0.2">
      <c r="A4603" s="6" t="str">
        <f>"PRIM2"</f>
        <v>PRIM2</v>
      </c>
      <c r="B4603" s="6">
        <v>5.8941058941058902E-2</v>
      </c>
      <c r="C4603" s="6">
        <v>0.22389707937342401</v>
      </c>
    </row>
    <row r="4604" spans="1:3" s="8" customFormat="1" x14ac:dyDescent="0.2">
      <c r="A4604" s="6" t="str">
        <f>"BLOC1S3"</f>
        <v>BLOC1S3</v>
      </c>
      <c r="B4604" s="6">
        <v>5.8941058941058902E-2</v>
      </c>
      <c r="C4604" s="6">
        <v>0.22389707937342401</v>
      </c>
    </row>
    <row r="4605" spans="1:3" s="8" customFormat="1" x14ac:dyDescent="0.2">
      <c r="A4605" s="6" t="str">
        <f>"TMEM198B"</f>
        <v>TMEM198B</v>
      </c>
      <c r="B4605" s="6">
        <v>5.8941058941058902E-2</v>
      </c>
      <c r="C4605" s="6">
        <v>0.22389707937342401</v>
      </c>
    </row>
    <row r="4606" spans="1:3" s="8" customFormat="1" x14ac:dyDescent="0.2">
      <c r="A4606" s="6" t="str">
        <f>"TAF9B"</f>
        <v>TAF9B</v>
      </c>
      <c r="B4606" s="6">
        <v>5.8941058941058902E-2</v>
      </c>
      <c r="C4606" s="6">
        <v>0.22389707937342401</v>
      </c>
    </row>
    <row r="4607" spans="1:3" s="8" customFormat="1" x14ac:dyDescent="0.2">
      <c r="A4607" s="6" t="str">
        <f>"RFTN1"</f>
        <v>RFTN1</v>
      </c>
      <c r="B4607" s="6">
        <v>5.8941058941058902E-2</v>
      </c>
      <c r="C4607" s="6">
        <v>0.22389707937342401</v>
      </c>
    </row>
    <row r="4608" spans="1:3" s="8" customFormat="1" x14ac:dyDescent="0.2">
      <c r="A4608" s="6" t="str">
        <f>"PIK3CG"</f>
        <v>PIK3CG</v>
      </c>
      <c r="B4608" s="6">
        <v>5.8941058941058902E-2</v>
      </c>
      <c r="C4608" s="6">
        <v>0.22389707937342401</v>
      </c>
    </row>
    <row r="4609" spans="1:3" s="8" customFormat="1" x14ac:dyDescent="0.2">
      <c r="A4609" s="6" t="str">
        <f>"RIMS1"</f>
        <v>RIMS1</v>
      </c>
      <c r="B4609" s="6">
        <v>5.8941058941058902E-2</v>
      </c>
      <c r="C4609" s="6">
        <v>0.22389707937342401</v>
      </c>
    </row>
    <row r="4610" spans="1:3" s="8" customFormat="1" x14ac:dyDescent="0.2">
      <c r="A4610" s="6" t="str">
        <f>"SNRNP27"</f>
        <v>SNRNP27</v>
      </c>
      <c r="B4610" s="6">
        <v>5.8941058941058902E-2</v>
      </c>
      <c r="C4610" s="6">
        <v>0.22389707937342401</v>
      </c>
    </row>
    <row r="4611" spans="1:3" s="8" customFormat="1" x14ac:dyDescent="0.2">
      <c r="A4611" s="6" t="str">
        <f>"LRRCC1"</f>
        <v>LRRCC1</v>
      </c>
      <c r="B4611" s="6">
        <v>5.8941058941058902E-2</v>
      </c>
      <c r="C4611" s="6">
        <v>0.22389707937342401</v>
      </c>
    </row>
    <row r="4612" spans="1:3" s="8" customFormat="1" x14ac:dyDescent="0.2">
      <c r="A4612" s="6" t="str">
        <f>"ERCC6L2"</f>
        <v>ERCC6L2</v>
      </c>
      <c r="B4612" s="6">
        <v>5.8941058941058902E-2</v>
      </c>
      <c r="C4612" s="6">
        <v>0.22389707937342401</v>
      </c>
    </row>
    <row r="4613" spans="1:3" s="8" customFormat="1" x14ac:dyDescent="0.2">
      <c r="A4613" s="6" t="str">
        <f>"FBXL20"</f>
        <v>FBXL20</v>
      </c>
      <c r="B4613" s="6">
        <v>5.8941058941058902E-2</v>
      </c>
      <c r="C4613" s="6">
        <v>0.22389707937342401</v>
      </c>
    </row>
    <row r="4614" spans="1:3" s="8" customFormat="1" x14ac:dyDescent="0.2">
      <c r="A4614" s="6" t="str">
        <f>"EFNB2"</f>
        <v>EFNB2</v>
      </c>
      <c r="B4614" s="6">
        <v>5.8941058941058902E-2</v>
      </c>
      <c r="C4614" s="6">
        <v>0.22389707937342401</v>
      </c>
    </row>
    <row r="4615" spans="1:3" s="8" customFormat="1" x14ac:dyDescent="0.2">
      <c r="A4615" s="6" t="str">
        <f>"EPDR1"</f>
        <v>EPDR1</v>
      </c>
      <c r="B4615" s="6">
        <v>5.8941058941058902E-2</v>
      </c>
      <c r="C4615" s="6">
        <v>0.22389707937342401</v>
      </c>
    </row>
    <row r="4616" spans="1:3" s="8" customFormat="1" x14ac:dyDescent="0.2">
      <c r="A4616" s="6" t="str">
        <f>"RBSN"</f>
        <v>RBSN</v>
      </c>
      <c r="B4616" s="6">
        <v>5.8941058941058902E-2</v>
      </c>
      <c r="C4616" s="6">
        <v>0.22389707937342401</v>
      </c>
    </row>
    <row r="4617" spans="1:3" s="8" customFormat="1" x14ac:dyDescent="0.2">
      <c r="A4617" s="6" t="str">
        <f>"SLC45A3"</f>
        <v>SLC45A3</v>
      </c>
      <c r="B4617" s="6">
        <v>5.8941058941058902E-2</v>
      </c>
      <c r="C4617" s="6">
        <v>0.22389707937342401</v>
      </c>
    </row>
    <row r="4618" spans="1:3" s="8" customFormat="1" x14ac:dyDescent="0.2">
      <c r="A4618" s="6" t="str">
        <f>"LAYN"</f>
        <v>LAYN</v>
      </c>
      <c r="B4618" s="6">
        <v>5.8941058941058902E-2</v>
      </c>
      <c r="C4618" s="6">
        <v>0.22389707937342401</v>
      </c>
    </row>
    <row r="4619" spans="1:3" s="8" customFormat="1" x14ac:dyDescent="0.2">
      <c r="A4619" s="6" t="str">
        <f>"MTFR1L"</f>
        <v>MTFR1L</v>
      </c>
      <c r="B4619" s="6">
        <v>5.8941058941058902E-2</v>
      </c>
      <c r="C4619" s="6">
        <v>0.22389707937342401</v>
      </c>
    </row>
    <row r="4620" spans="1:3" s="8" customFormat="1" x14ac:dyDescent="0.2">
      <c r="A4620" s="6" t="str">
        <f>"TACC1"</f>
        <v>TACC1</v>
      </c>
      <c r="B4620" s="6">
        <v>5.8941058941058902E-2</v>
      </c>
      <c r="C4620" s="6">
        <v>0.22389707937342401</v>
      </c>
    </row>
    <row r="4621" spans="1:3" s="8" customFormat="1" x14ac:dyDescent="0.2">
      <c r="A4621" s="6" t="str">
        <f>"RNF44"</f>
        <v>RNF44</v>
      </c>
      <c r="B4621" s="6">
        <v>5.8941058941058902E-2</v>
      </c>
      <c r="C4621" s="6">
        <v>0.22389707937342401</v>
      </c>
    </row>
    <row r="4622" spans="1:3" s="8" customFormat="1" x14ac:dyDescent="0.2">
      <c r="A4622" s="6" t="str">
        <f>"YTHDF1"</f>
        <v>YTHDF1</v>
      </c>
      <c r="B4622" s="6">
        <v>5.8941058941058902E-2</v>
      </c>
      <c r="C4622" s="6">
        <v>0.22389707937342401</v>
      </c>
    </row>
    <row r="4623" spans="1:3" s="8" customFormat="1" x14ac:dyDescent="0.2">
      <c r="A4623" s="6" t="str">
        <f>"RSRC2"</f>
        <v>RSRC2</v>
      </c>
      <c r="B4623" s="6">
        <v>5.8941058941058902E-2</v>
      </c>
      <c r="C4623" s="6">
        <v>0.22389707937342401</v>
      </c>
    </row>
    <row r="4624" spans="1:3" s="8" customFormat="1" x14ac:dyDescent="0.2">
      <c r="A4624" s="6" t="str">
        <f>"FNDC3A"</f>
        <v>FNDC3A</v>
      </c>
      <c r="B4624" s="6">
        <v>5.8941058941058902E-2</v>
      </c>
      <c r="C4624" s="6">
        <v>0.22389707937342401</v>
      </c>
    </row>
    <row r="4625" spans="1:3" s="8" customFormat="1" x14ac:dyDescent="0.2">
      <c r="A4625" s="6" t="str">
        <f>"DLG1"</f>
        <v>DLG1</v>
      </c>
      <c r="B4625" s="6">
        <v>5.8941058941058902E-2</v>
      </c>
      <c r="C4625" s="6">
        <v>0.22389707937342401</v>
      </c>
    </row>
    <row r="4626" spans="1:3" s="8" customFormat="1" x14ac:dyDescent="0.2">
      <c r="A4626" s="6" t="str">
        <f>"DCTN2"</f>
        <v>DCTN2</v>
      </c>
      <c r="B4626" s="6">
        <v>5.8941058941058902E-2</v>
      </c>
      <c r="C4626" s="6">
        <v>0.22389707937342401</v>
      </c>
    </row>
    <row r="4627" spans="1:3" s="8" customFormat="1" x14ac:dyDescent="0.2">
      <c r="A4627" s="6" t="str">
        <f>"VPS4B"</f>
        <v>VPS4B</v>
      </c>
      <c r="B4627" s="6">
        <v>5.8941058941058902E-2</v>
      </c>
      <c r="C4627" s="6">
        <v>0.22389707937342401</v>
      </c>
    </row>
    <row r="4628" spans="1:3" s="8" customFormat="1" x14ac:dyDescent="0.2">
      <c r="A4628" s="6" t="str">
        <f>"PSMB4"</f>
        <v>PSMB4</v>
      </c>
      <c r="B4628" s="6">
        <v>5.8941058941058902E-2</v>
      </c>
      <c r="C4628" s="6">
        <v>0.22389707937342401</v>
      </c>
    </row>
    <row r="4629" spans="1:3" s="8" customFormat="1" x14ac:dyDescent="0.2">
      <c r="A4629" s="6" t="str">
        <f>"COPB2"</f>
        <v>COPB2</v>
      </c>
      <c r="B4629" s="6">
        <v>5.8941058941058902E-2</v>
      </c>
      <c r="C4629" s="6">
        <v>0.22389707937342401</v>
      </c>
    </row>
    <row r="4630" spans="1:3" s="8" customFormat="1" x14ac:dyDescent="0.2">
      <c r="A4630" s="6" t="str">
        <f>"ST14"</f>
        <v>ST14</v>
      </c>
      <c r="B4630" s="6">
        <v>5.8941058941058902E-2</v>
      </c>
      <c r="C4630" s="6">
        <v>0.22389707937342401</v>
      </c>
    </row>
    <row r="4631" spans="1:3" s="8" customFormat="1" x14ac:dyDescent="0.2">
      <c r="A4631" s="6" t="str">
        <f>"PRPH"</f>
        <v>PRPH</v>
      </c>
      <c r="B4631" s="6">
        <v>5.8999999999999997E-2</v>
      </c>
      <c r="C4631" s="6">
        <v>0.223975820379965</v>
      </c>
    </row>
    <row r="4632" spans="1:3" s="8" customFormat="1" x14ac:dyDescent="0.2">
      <c r="A4632" s="6" t="str">
        <f>"AL355315.1"</f>
        <v>AL355315.1</v>
      </c>
      <c r="B4632" s="6">
        <v>5.8999999999999997E-2</v>
      </c>
      <c r="C4632" s="6">
        <v>0.223975820379965</v>
      </c>
    </row>
    <row r="4633" spans="1:3" s="8" customFormat="1" x14ac:dyDescent="0.2">
      <c r="A4633" s="6" t="str">
        <f>"CCDC173"</f>
        <v>CCDC173</v>
      </c>
      <c r="B4633" s="6">
        <v>5.8999999999999997E-2</v>
      </c>
      <c r="C4633" s="6">
        <v>0.223975820379965</v>
      </c>
    </row>
    <row r="4634" spans="1:3" s="8" customFormat="1" x14ac:dyDescent="0.2">
      <c r="A4634" s="6" t="str">
        <f>"FOXG1-AS1"</f>
        <v>FOXG1-AS1</v>
      </c>
      <c r="B4634" s="6">
        <v>5.9118236472945798E-2</v>
      </c>
      <c r="C4634" s="6">
        <v>0.224327809697945</v>
      </c>
    </row>
    <row r="4635" spans="1:3" s="8" customFormat="1" x14ac:dyDescent="0.2">
      <c r="A4635" s="6" t="str">
        <f>"STK33"</f>
        <v>STK33</v>
      </c>
      <c r="B4635" s="6">
        <v>5.9118236472945798E-2</v>
      </c>
      <c r="C4635" s="6">
        <v>0.224327809697945</v>
      </c>
    </row>
    <row r="4636" spans="1:3" s="8" customFormat="1" x14ac:dyDescent="0.2">
      <c r="A4636" s="6" t="str">
        <f>"TMLHE-AS1"</f>
        <v>TMLHE-AS1</v>
      </c>
      <c r="B4636" s="6">
        <v>5.9940059940059902E-2</v>
      </c>
      <c r="C4636" s="6">
        <v>0.22515947088548699</v>
      </c>
    </row>
    <row r="4637" spans="1:3" s="8" customFormat="1" x14ac:dyDescent="0.2">
      <c r="A4637" s="6" t="str">
        <f>"AL590764.2"</f>
        <v>AL590764.2</v>
      </c>
      <c r="B4637" s="6">
        <v>5.9940059940059902E-2</v>
      </c>
      <c r="C4637" s="6">
        <v>0.22515947088548699</v>
      </c>
    </row>
    <row r="4638" spans="1:3" s="8" customFormat="1" x14ac:dyDescent="0.2">
      <c r="A4638" s="6" t="str">
        <f>"AC233280.1"</f>
        <v>AC233280.1</v>
      </c>
      <c r="B4638" s="6">
        <v>5.9900166389351001E-2</v>
      </c>
      <c r="C4638" s="6">
        <v>0.22515947088548699</v>
      </c>
    </row>
    <row r="4639" spans="1:3" s="8" customFormat="1" x14ac:dyDescent="0.2">
      <c r="A4639" s="6" t="str">
        <f>"LINC01889"</f>
        <v>LINC01889</v>
      </c>
      <c r="B4639" s="6">
        <v>5.9940059940059902E-2</v>
      </c>
      <c r="C4639" s="6">
        <v>0.22515947088548699</v>
      </c>
    </row>
    <row r="4640" spans="1:3" s="8" customFormat="1" x14ac:dyDescent="0.2">
      <c r="A4640" s="6" t="str">
        <f>"PLCG1-AS1"</f>
        <v>PLCG1-AS1</v>
      </c>
      <c r="B4640" s="6">
        <v>5.9940059940059902E-2</v>
      </c>
      <c r="C4640" s="6">
        <v>0.22515947088548699</v>
      </c>
    </row>
    <row r="4641" spans="1:3" s="8" customFormat="1" x14ac:dyDescent="0.2">
      <c r="A4641" s="6" t="str">
        <f>"EPHA1-AS1"</f>
        <v>EPHA1-AS1</v>
      </c>
      <c r="B4641" s="6">
        <v>5.9940059940059902E-2</v>
      </c>
      <c r="C4641" s="6">
        <v>0.22515947088548699</v>
      </c>
    </row>
    <row r="4642" spans="1:3" s="8" customFormat="1" x14ac:dyDescent="0.2">
      <c r="A4642" s="6" t="str">
        <f>"SMIM10L2B"</f>
        <v>SMIM10L2B</v>
      </c>
      <c r="B4642" s="6">
        <v>5.9940059940059902E-2</v>
      </c>
      <c r="C4642" s="6">
        <v>0.22515947088548699</v>
      </c>
    </row>
    <row r="4643" spans="1:3" s="8" customFormat="1" x14ac:dyDescent="0.2">
      <c r="A4643" s="6" t="str">
        <f>"LINC00278"</f>
        <v>LINC00278</v>
      </c>
      <c r="B4643" s="6">
        <v>5.9952038369304503E-2</v>
      </c>
      <c r="C4643" s="6">
        <v>0.22515947088548699</v>
      </c>
    </row>
    <row r="4644" spans="1:3" s="8" customFormat="1" x14ac:dyDescent="0.2">
      <c r="A4644" s="6" t="str">
        <f>"LINC01708"</f>
        <v>LINC01708</v>
      </c>
      <c r="B4644" s="6">
        <v>5.9940059940059902E-2</v>
      </c>
      <c r="C4644" s="6">
        <v>0.22515947088548699</v>
      </c>
    </row>
    <row r="4645" spans="1:3" s="8" customFormat="1" x14ac:dyDescent="0.2">
      <c r="A4645" s="6" t="str">
        <f>"LRRC63"</f>
        <v>LRRC63</v>
      </c>
      <c r="B4645" s="6">
        <v>5.9940059940059902E-2</v>
      </c>
      <c r="C4645" s="6">
        <v>0.22515947088548699</v>
      </c>
    </row>
    <row r="4646" spans="1:3" s="8" customFormat="1" x14ac:dyDescent="0.2">
      <c r="A4646" s="6" t="str">
        <f>"AC090004.2"</f>
        <v>AC090004.2</v>
      </c>
      <c r="B4646" s="6">
        <v>5.9940059940059902E-2</v>
      </c>
      <c r="C4646" s="6">
        <v>0.22515947088548699</v>
      </c>
    </row>
    <row r="4647" spans="1:3" s="8" customFormat="1" x14ac:dyDescent="0.2">
      <c r="A4647" s="6" t="str">
        <f>"AC079790.2"</f>
        <v>AC079790.2</v>
      </c>
      <c r="B4647" s="6">
        <v>5.9940059940059902E-2</v>
      </c>
      <c r="C4647" s="6">
        <v>0.22515947088548699</v>
      </c>
    </row>
    <row r="4648" spans="1:3" s="8" customFormat="1" x14ac:dyDescent="0.2">
      <c r="A4648" s="6" t="str">
        <f>"AC008555.4"</f>
        <v>AC008555.4</v>
      </c>
      <c r="B4648" s="6">
        <v>5.9940059940059902E-2</v>
      </c>
      <c r="C4648" s="6">
        <v>0.22515947088548699</v>
      </c>
    </row>
    <row r="4649" spans="1:3" s="8" customFormat="1" x14ac:dyDescent="0.2">
      <c r="A4649" s="6" t="str">
        <f>"SCN8A"</f>
        <v>SCN8A</v>
      </c>
      <c r="B4649" s="6">
        <v>5.9940059940059902E-2</v>
      </c>
      <c r="C4649" s="6">
        <v>0.22515947088548699</v>
      </c>
    </row>
    <row r="4650" spans="1:3" s="8" customFormat="1" x14ac:dyDescent="0.2">
      <c r="A4650" s="6" t="str">
        <f>"AC003688.1"</f>
        <v>AC003688.1</v>
      </c>
      <c r="B4650" s="6">
        <v>5.9940059940059902E-2</v>
      </c>
      <c r="C4650" s="6">
        <v>0.22515947088548699</v>
      </c>
    </row>
    <row r="4651" spans="1:3" s="8" customFormat="1" x14ac:dyDescent="0.2">
      <c r="A4651" s="6" t="str">
        <f>"PRR4"</f>
        <v>PRR4</v>
      </c>
      <c r="B4651" s="6">
        <v>5.9940059940059902E-2</v>
      </c>
      <c r="C4651" s="6">
        <v>0.22515947088548699</v>
      </c>
    </row>
    <row r="4652" spans="1:3" s="8" customFormat="1" x14ac:dyDescent="0.2">
      <c r="A4652" s="6" t="str">
        <f>"CD19"</f>
        <v>CD19</v>
      </c>
      <c r="B4652" s="6">
        <v>5.9940059940059902E-2</v>
      </c>
      <c r="C4652" s="6">
        <v>0.22515947088548699</v>
      </c>
    </row>
    <row r="4653" spans="1:3" s="8" customFormat="1" x14ac:dyDescent="0.2">
      <c r="A4653" s="6" t="str">
        <f>"PI4KAP1"</f>
        <v>PI4KAP1</v>
      </c>
      <c r="B4653" s="6">
        <v>5.9940059940059902E-2</v>
      </c>
      <c r="C4653" s="6">
        <v>0.22515947088548699</v>
      </c>
    </row>
    <row r="4654" spans="1:3" s="8" customFormat="1" x14ac:dyDescent="0.2">
      <c r="A4654" s="6" t="str">
        <f>"ST20-AS1"</f>
        <v>ST20-AS1</v>
      </c>
      <c r="B4654" s="6">
        <v>5.9940059940059902E-2</v>
      </c>
      <c r="C4654" s="6">
        <v>0.22515947088548699</v>
      </c>
    </row>
    <row r="4655" spans="1:3" s="8" customFormat="1" x14ac:dyDescent="0.2">
      <c r="A4655" s="6" t="str">
        <f>"AC018521.5"</f>
        <v>AC018521.5</v>
      </c>
      <c r="B4655" s="6">
        <v>5.9940059940059902E-2</v>
      </c>
      <c r="C4655" s="6">
        <v>0.22515947088548699</v>
      </c>
    </row>
    <row r="4656" spans="1:3" s="8" customFormat="1" x14ac:dyDescent="0.2">
      <c r="A4656" s="6" t="str">
        <f>"SLC25A42"</f>
        <v>SLC25A42</v>
      </c>
      <c r="B4656" s="6">
        <v>5.9940059940059902E-2</v>
      </c>
      <c r="C4656" s="6">
        <v>0.22515947088548699</v>
      </c>
    </row>
    <row r="4657" spans="1:3" s="8" customFormat="1" x14ac:dyDescent="0.2">
      <c r="A4657" s="6" t="str">
        <f>"PPP1R3F"</f>
        <v>PPP1R3F</v>
      </c>
      <c r="B4657" s="6">
        <v>5.9940059940059902E-2</v>
      </c>
      <c r="C4657" s="6">
        <v>0.22515947088548699</v>
      </c>
    </row>
    <row r="4658" spans="1:3" s="8" customFormat="1" x14ac:dyDescent="0.2">
      <c r="A4658" s="6" t="str">
        <f>"ARMC1"</f>
        <v>ARMC1</v>
      </c>
      <c r="B4658" s="6">
        <v>5.9940059940059902E-2</v>
      </c>
      <c r="C4658" s="6">
        <v>0.22515947088548699</v>
      </c>
    </row>
    <row r="4659" spans="1:3" s="8" customFormat="1" x14ac:dyDescent="0.2">
      <c r="A4659" s="6" t="str">
        <f>"FERMT1"</f>
        <v>FERMT1</v>
      </c>
      <c r="B4659" s="6">
        <v>5.9940059940059902E-2</v>
      </c>
      <c r="C4659" s="6">
        <v>0.22515947088548699</v>
      </c>
    </row>
    <row r="4660" spans="1:3" s="8" customFormat="1" x14ac:dyDescent="0.2">
      <c r="A4660" s="6" t="str">
        <f>"ZNF32"</f>
        <v>ZNF32</v>
      </c>
      <c r="B4660" s="6">
        <v>5.9940059940059902E-2</v>
      </c>
      <c r="C4660" s="6">
        <v>0.22515947088548699</v>
      </c>
    </row>
    <row r="4661" spans="1:3" s="8" customFormat="1" x14ac:dyDescent="0.2">
      <c r="A4661" s="6" t="str">
        <f>"RBM7"</f>
        <v>RBM7</v>
      </c>
      <c r="B4661" s="6">
        <v>5.9940059940059902E-2</v>
      </c>
      <c r="C4661" s="6">
        <v>0.22515947088548699</v>
      </c>
    </row>
    <row r="4662" spans="1:3" s="8" customFormat="1" x14ac:dyDescent="0.2">
      <c r="A4662" s="6" t="str">
        <f>"AL109918.1"</f>
        <v>AL109918.1</v>
      </c>
      <c r="B4662" s="6">
        <v>5.9940059940059902E-2</v>
      </c>
      <c r="C4662" s="6">
        <v>0.22515947088548699</v>
      </c>
    </row>
    <row r="4663" spans="1:3" s="8" customFormat="1" x14ac:dyDescent="0.2">
      <c r="A4663" s="6" t="str">
        <f>"MICAL1"</f>
        <v>MICAL1</v>
      </c>
      <c r="B4663" s="6">
        <v>5.9940059940059902E-2</v>
      </c>
      <c r="C4663" s="6">
        <v>0.22515947088548699</v>
      </c>
    </row>
    <row r="4664" spans="1:3" s="8" customFormat="1" x14ac:dyDescent="0.2">
      <c r="A4664" s="6" t="str">
        <f>"WAC-AS1"</f>
        <v>WAC-AS1</v>
      </c>
      <c r="B4664" s="6">
        <v>5.9940059940059902E-2</v>
      </c>
      <c r="C4664" s="6">
        <v>0.22515947088548699</v>
      </c>
    </row>
    <row r="4665" spans="1:3" s="8" customFormat="1" x14ac:dyDescent="0.2">
      <c r="A4665" s="6" t="str">
        <f>"TMEM232"</f>
        <v>TMEM232</v>
      </c>
      <c r="B4665" s="6">
        <v>5.9940059940059902E-2</v>
      </c>
      <c r="C4665" s="6">
        <v>0.22515947088548699</v>
      </c>
    </row>
    <row r="4666" spans="1:3" s="8" customFormat="1" x14ac:dyDescent="0.2">
      <c r="A4666" s="6" t="str">
        <f>"IGSF10"</f>
        <v>IGSF10</v>
      </c>
      <c r="B4666" s="6">
        <v>5.9940059940059902E-2</v>
      </c>
      <c r="C4666" s="6">
        <v>0.22515947088548699</v>
      </c>
    </row>
    <row r="4667" spans="1:3" s="8" customFormat="1" x14ac:dyDescent="0.2">
      <c r="A4667" s="6" t="str">
        <f>"TIPRL"</f>
        <v>TIPRL</v>
      </c>
      <c r="B4667" s="6">
        <v>5.9940059940059902E-2</v>
      </c>
      <c r="C4667" s="6">
        <v>0.22515947088548699</v>
      </c>
    </row>
    <row r="4668" spans="1:3" s="8" customFormat="1" x14ac:dyDescent="0.2">
      <c r="A4668" s="6" t="str">
        <f>"METRNL"</f>
        <v>METRNL</v>
      </c>
      <c r="B4668" s="6">
        <v>5.9940059940059902E-2</v>
      </c>
      <c r="C4668" s="6">
        <v>0.22515947088548699</v>
      </c>
    </row>
    <row r="4669" spans="1:3" s="8" customFormat="1" x14ac:dyDescent="0.2">
      <c r="A4669" s="6" t="str">
        <f>"GRK6"</f>
        <v>GRK6</v>
      </c>
      <c r="B4669" s="6">
        <v>5.9940059940059902E-2</v>
      </c>
      <c r="C4669" s="6">
        <v>0.22515947088548699</v>
      </c>
    </row>
    <row r="4670" spans="1:3" s="8" customFormat="1" x14ac:dyDescent="0.2">
      <c r="A4670" s="6" t="str">
        <f>"PCDH7"</f>
        <v>PCDH7</v>
      </c>
      <c r="B4670" s="6">
        <v>5.9940059940059902E-2</v>
      </c>
      <c r="C4670" s="6">
        <v>0.22515947088548699</v>
      </c>
    </row>
    <row r="4671" spans="1:3" s="8" customFormat="1" x14ac:dyDescent="0.2">
      <c r="A4671" s="6" t="str">
        <f>"NAPRT"</f>
        <v>NAPRT</v>
      </c>
      <c r="B4671" s="6">
        <v>5.9940059940059902E-2</v>
      </c>
      <c r="C4671" s="6">
        <v>0.22515947088548699</v>
      </c>
    </row>
    <row r="4672" spans="1:3" s="8" customFormat="1" x14ac:dyDescent="0.2">
      <c r="A4672" s="6" t="str">
        <f>"DDX27"</f>
        <v>DDX27</v>
      </c>
      <c r="B4672" s="6">
        <v>5.9940059940059902E-2</v>
      </c>
      <c r="C4672" s="6">
        <v>0.22515947088548699</v>
      </c>
    </row>
    <row r="4673" spans="1:3" s="8" customFormat="1" x14ac:dyDescent="0.2">
      <c r="A4673" s="6" t="str">
        <f>"PRCC"</f>
        <v>PRCC</v>
      </c>
      <c r="B4673" s="6">
        <v>5.9940059940059902E-2</v>
      </c>
      <c r="C4673" s="6">
        <v>0.22515947088548699</v>
      </c>
    </row>
    <row r="4674" spans="1:3" s="8" customFormat="1" x14ac:dyDescent="0.2">
      <c r="A4674" s="6" t="str">
        <f>"THRA"</f>
        <v>THRA</v>
      </c>
      <c r="B4674" s="6">
        <v>5.9940059940059902E-2</v>
      </c>
      <c r="C4674" s="6">
        <v>0.22515947088548699</v>
      </c>
    </row>
    <row r="4675" spans="1:3" s="8" customFormat="1" x14ac:dyDescent="0.2">
      <c r="A4675" s="6" t="str">
        <f>"ZBBX"</f>
        <v>ZBBX</v>
      </c>
      <c r="B4675" s="6">
        <v>5.9940059940059902E-2</v>
      </c>
      <c r="C4675" s="6">
        <v>0.22515947088548699</v>
      </c>
    </row>
    <row r="4676" spans="1:3" s="8" customFormat="1" x14ac:dyDescent="0.2">
      <c r="A4676" s="6" t="str">
        <f>"DNAH1"</f>
        <v>DNAH1</v>
      </c>
      <c r="B4676" s="6">
        <v>5.9940059940059902E-2</v>
      </c>
      <c r="C4676" s="6">
        <v>0.22515947088548699</v>
      </c>
    </row>
    <row r="4677" spans="1:3" s="8" customFormat="1" x14ac:dyDescent="0.2">
      <c r="A4677" s="6" t="str">
        <f>"ARPC1B"</f>
        <v>ARPC1B</v>
      </c>
      <c r="B4677" s="6">
        <v>5.9940059940059902E-2</v>
      </c>
      <c r="C4677" s="6">
        <v>0.22515947088548699</v>
      </c>
    </row>
    <row r="4678" spans="1:3" s="8" customFormat="1" x14ac:dyDescent="0.2">
      <c r="A4678" s="6" t="str">
        <f>"FUT2"</f>
        <v>FUT2</v>
      </c>
      <c r="B4678" s="6">
        <v>5.9940059940059902E-2</v>
      </c>
      <c r="C4678" s="6">
        <v>0.22515947088548699</v>
      </c>
    </row>
    <row r="4679" spans="1:3" s="8" customFormat="1" x14ac:dyDescent="0.2">
      <c r="A4679" s="6" t="str">
        <f>"SLK"</f>
        <v>SLK</v>
      </c>
      <c r="B4679" s="6">
        <v>5.9940059940059902E-2</v>
      </c>
      <c r="C4679" s="6">
        <v>0.22515947088548699</v>
      </c>
    </row>
    <row r="4680" spans="1:3" s="8" customFormat="1" x14ac:dyDescent="0.2">
      <c r="A4680" s="6" t="str">
        <f>"ADGRF1"</f>
        <v>ADGRF1</v>
      </c>
      <c r="B4680" s="6">
        <v>5.9940059940059902E-2</v>
      </c>
      <c r="C4680" s="6">
        <v>0.22515947088548699</v>
      </c>
    </row>
    <row r="4681" spans="1:3" s="8" customFormat="1" x14ac:dyDescent="0.2">
      <c r="A4681" s="6" t="str">
        <f>"NUCKS1"</f>
        <v>NUCKS1</v>
      </c>
      <c r="B4681" s="6">
        <v>5.9940059940059902E-2</v>
      </c>
      <c r="C4681" s="6">
        <v>0.22515947088548699</v>
      </c>
    </row>
    <row r="4682" spans="1:3" s="8" customFormat="1" x14ac:dyDescent="0.2">
      <c r="A4682" s="6" t="str">
        <f>"EIF4H"</f>
        <v>EIF4H</v>
      </c>
      <c r="B4682" s="6">
        <v>5.9940059940059902E-2</v>
      </c>
      <c r="C4682" s="6">
        <v>0.22515947088548699</v>
      </c>
    </row>
    <row r="4683" spans="1:3" s="8" customFormat="1" x14ac:dyDescent="0.2">
      <c r="A4683" s="6" t="str">
        <f>"TMED10"</f>
        <v>TMED10</v>
      </c>
      <c r="B4683" s="6">
        <v>5.9940059940059902E-2</v>
      </c>
      <c r="C4683" s="6">
        <v>0.22515947088548699</v>
      </c>
    </row>
    <row r="4684" spans="1:3" s="8" customFormat="1" x14ac:dyDescent="0.2">
      <c r="A4684" s="6" t="str">
        <f>"AC002350.2"</f>
        <v>AC002350.2</v>
      </c>
      <c r="B4684" s="6">
        <v>0.06</v>
      </c>
      <c r="C4684" s="6">
        <v>0.22524338172502101</v>
      </c>
    </row>
    <row r="4685" spans="1:3" s="8" customFormat="1" x14ac:dyDescent="0.2">
      <c r="A4685" s="6" t="str">
        <f>"PCDH1"</f>
        <v>PCDH1</v>
      </c>
      <c r="B4685" s="6">
        <v>0.06</v>
      </c>
      <c r="C4685" s="6">
        <v>0.22524338172502101</v>
      </c>
    </row>
    <row r="4686" spans="1:3" s="8" customFormat="1" x14ac:dyDescent="0.2">
      <c r="A4686" s="6" t="str">
        <f>"AL591848.3"</f>
        <v>AL591848.3</v>
      </c>
      <c r="B4686" s="6">
        <v>6.0060060060059997E-2</v>
      </c>
      <c r="C4686" s="6">
        <v>0.22532453511757899</v>
      </c>
    </row>
    <row r="4687" spans="1:3" s="8" customFormat="1" x14ac:dyDescent="0.2">
      <c r="A4687" s="6" t="str">
        <f>"NCAPG"</f>
        <v>NCAPG</v>
      </c>
      <c r="B4687" s="6">
        <v>6.0060060060059997E-2</v>
      </c>
      <c r="C4687" s="6">
        <v>0.22532453511757899</v>
      </c>
    </row>
    <row r="4688" spans="1:3" s="8" customFormat="1" x14ac:dyDescent="0.2">
      <c r="A4688" s="6" t="str">
        <f>"UBE2H"</f>
        <v>UBE2H</v>
      </c>
      <c r="B4688" s="6">
        <v>6.0060060060059997E-2</v>
      </c>
      <c r="C4688" s="6">
        <v>0.22532453511757899</v>
      </c>
    </row>
    <row r="4689" spans="1:3" s="8" customFormat="1" x14ac:dyDescent="0.2">
      <c r="A4689" s="6" t="str">
        <f>"KRT19P1"</f>
        <v>KRT19P1</v>
      </c>
      <c r="B4689" s="6">
        <v>6.0301507537688398E-2</v>
      </c>
      <c r="C4689" s="6">
        <v>0.22618210506457201</v>
      </c>
    </row>
    <row r="4690" spans="1:3" s="8" customFormat="1" x14ac:dyDescent="0.2">
      <c r="A4690" s="6" t="str">
        <f>"RPSAP11"</f>
        <v>RPSAP11</v>
      </c>
      <c r="B4690" s="6">
        <v>6.0422960725075497E-2</v>
      </c>
      <c r="C4690" s="6">
        <v>0.226589324246049</v>
      </c>
    </row>
    <row r="4691" spans="1:3" s="8" customFormat="1" x14ac:dyDescent="0.2">
      <c r="A4691" s="6" t="str">
        <f>"CTNNA2"</f>
        <v>CTNNA2</v>
      </c>
      <c r="B4691" s="6">
        <v>6.0939060939060902E-2</v>
      </c>
      <c r="C4691" s="6">
        <v>0.227071932094182</v>
      </c>
    </row>
    <row r="4692" spans="1:3" s="8" customFormat="1" x14ac:dyDescent="0.2">
      <c r="A4692" s="6" t="str">
        <f>"SEMG2"</f>
        <v>SEMG2</v>
      </c>
      <c r="B4692" s="6">
        <v>6.0939060939060902E-2</v>
      </c>
      <c r="C4692" s="6">
        <v>0.227071932094182</v>
      </c>
    </row>
    <row r="4693" spans="1:3" s="8" customFormat="1" x14ac:dyDescent="0.2">
      <c r="A4693" s="6" t="str">
        <f>"GPA33"</f>
        <v>GPA33</v>
      </c>
      <c r="B4693" s="6">
        <v>6.0939060939060902E-2</v>
      </c>
      <c r="C4693" s="6">
        <v>0.227071932094182</v>
      </c>
    </row>
    <row r="4694" spans="1:3" s="8" customFormat="1" x14ac:dyDescent="0.2">
      <c r="A4694" s="6" t="str">
        <f>"AL591895.1"</f>
        <v>AL591895.1</v>
      </c>
      <c r="B4694" s="6">
        <v>6.0939060939060902E-2</v>
      </c>
      <c r="C4694" s="6">
        <v>0.227071932094182</v>
      </c>
    </row>
    <row r="4695" spans="1:3" s="8" customFormat="1" x14ac:dyDescent="0.2">
      <c r="A4695" s="6" t="str">
        <f>"SCAT8"</f>
        <v>SCAT8</v>
      </c>
      <c r="B4695" s="6">
        <v>6.0939060939060902E-2</v>
      </c>
      <c r="C4695" s="6">
        <v>0.227071932094182</v>
      </c>
    </row>
    <row r="4696" spans="1:3" s="8" customFormat="1" x14ac:dyDescent="0.2">
      <c r="A4696" s="6" t="str">
        <f>"DOK7"</f>
        <v>DOK7</v>
      </c>
      <c r="B4696" s="6">
        <v>6.0939060939060902E-2</v>
      </c>
      <c r="C4696" s="6">
        <v>0.227071932094182</v>
      </c>
    </row>
    <row r="4697" spans="1:3" s="8" customFormat="1" x14ac:dyDescent="0.2">
      <c r="A4697" s="6" t="str">
        <f>"SH2D1B"</f>
        <v>SH2D1B</v>
      </c>
      <c r="B4697" s="6">
        <v>6.0939060939060902E-2</v>
      </c>
      <c r="C4697" s="6">
        <v>0.227071932094182</v>
      </c>
    </row>
    <row r="4698" spans="1:3" s="8" customFormat="1" x14ac:dyDescent="0.2">
      <c r="A4698" s="6" t="str">
        <f>"SETD9"</f>
        <v>SETD9</v>
      </c>
      <c r="B4698" s="6">
        <v>6.0939060939060902E-2</v>
      </c>
      <c r="C4698" s="6">
        <v>0.227071932094182</v>
      </c>
    </row>
    <row r="4699" spans="1:3" s="8" customFormat="1" x14ac:dyDescent="0.2">
      <c r="A4699" s="6" t="str">
        <f>"Metazoa"</f>
        <v>Metazoa</v>
      </c>
      <c r="B4699" s="6">
        <v>6.0939060939060902E-2</v>
      </c>
      <c r="C4699" s="6">
        <v>0.227071932094182</v>
      </c>
    </row>
    <row r="4700" spans="1:3" s="8" customFormat="1" x14ac:dyDescent="0.2">
      <c r="A4700" s="6" t="str">
        <f>"RTEL1-TNFRSF6B"</f>
        <v>RTEL1-TNFRSF6B</v>
      </c>
      <c r="B4700" s="6">
        <v>6.0939060939060902E-2</v>
      </c>
      <c r="C4700" s="6">
        <v>0.227071932094182</v>
      </c>
    </row>
    <row r="4701" spans="1:3" s="8" customFormat="1" x14ac:dyDescent="0.2">
      <c r="A4701" s="6" t="str">
        <f>"PARS2"</f>
        <v>PARS2</v>
      </c>
      <c r="B4701" s="6">
        <v>6.0939060939060902E-2</v>
      </c>
      <c r="C4701" s="6">
        <v>0.227071932094182</v>
      </c>
    </row>
    <row r="4702" spans="1:3" s="8" customFormat="1" x14ac:dyDescent="0.2">
      <c r="A4702" s="6" t="str">
        <f>"PATL2"</f>
        <v>PATL2</v>
      </c>
      <c r="B4702" s="6">
        <v>6.0939060939060902E-2</v>
      </c>
      <c r="C4702" s="6">
        <v>0.227071932094182</v>
      </c>
    </row>
    <row r="4703" spans="1:3" s="8" customFormat="1" x14ac:dyDescent="0.2">
      <c r="A4703" s="6" t="str">
        <f>"ATAT1"</f>
        <v>ATAT1</v>
      </c>
      <c r="B4703" s="6">
        <v>6.0939060939060902E-2</v>
      </c>
      <c r="C4703" s="6">
        <v>0.227071932094182</v>
      </c>
    </row>
    <row r="4704" spans="1:3" s="8" customFormat="1" x14ac:dyDescent="0.2">
      <c r="A4704" s="6" t="str">
        <f>"KCTD7"</f>
        <v>KCTD7</v>
      </c>
      <c r="B4704" s="6">
        <v>6.0939060939060902E-2</v>
      </c>
      <c r="C4704" s="6">
        <v>0.227071932094182</v>
      </c>
    </row>
    <row r="4705" spans="1:3" s="8" customFormat="1" x14ac:dyDescent="0.2">
      <c r="A4705" s="6" t="str">
        <f>"CSF2RA"</f>
        <v>CSF2RA</v>
      </c>
      <c r="B4705" s="6">
        <v>6.0939060939060902E-2</v>
      </c>
      <c r="C4705" s="6">
        <v>0.227071932094182</v>
      </c>
    </row>
    <row r="4706" spans="1:3" s="8" customFormat="1" x14ac:dyDescent="0.2">
      <c r="A4706" s="6" t="str">
        <f>"HIKESHI"</f>
        <v>HIKESHI</v>
      </c>
      <c r="B4706" s="6">
        <v>6.0939060939060902E-2</v>
      </c>
      <c r="C4706" s="6">
        <v>0.227071932094182</v>
      </c>
    </row>
    <row r="4707" spans="1:3" s="8" customFormat="1" x14ac:dyDescent="0.2">
      <c r="A4707" s="6" t="str">
        <f>"TRAPPC6B"</f>
        <v>TRAPPC6B</v>
      </c>
      <c r="B4707" s="6">
        <v>6.0939060939060902E-2</v>
      </c>
      <c r="C4707" s="6">
        <v>0.227071932094182</v>
      </c>
    </row>
    <row r="4708" spans="1:3" s="8" customFormat="1" x14ac:dyDescent="0.2">
      <c r="A4708" s="6" t="str">
        <f>"METTL26"</f>
        <v>METTL26</v>
      </c>
      <c r="B4708" s="6">
        <v>6.0939060939060902E-2</v>
      </c>
      <c r="C4708" s="6">
        <v>0.227071932094182</v>
      </c>
    </row>
    <row r="4709" spans="1:3" s="8" customFormat="1" x14ac:dyDescent="0.2">
      <c r="A4709" s="6" t="str">
        <f>"RGCC"</f>
        <v>RGCC</v>
      </c>
      <c r="B4709" s="6">
        <v>6.0939060939060902E-2</v>
      </c>
      <c r="C4709" s="6">
        <v>0.227071932094182</v>
      </c>
    </row>
    <row r="4710" spans="1:3" s="8" customFormat="1" x14ac:dyDescent="0.2">
      <c r="A4710" s="6" t="str">
        <f>"GPN1"</f>
        <v>GPN1</v>
      </c>
      <c r="B4710" s="6">
        <v>6.0939060939060902E-2</v>
      </c>
      <c r="C4710" s="6">
        <v>0.227071932094182</v>
      </c>
    </row>
    <row r="4711" spans="1:3" s="8" customFormat="1" x14ac:dyDescent="0.2">
      <c r="A4711" s="6" t="str">
        <f>"SEC24A"</f>
        <v>SEC24A</v>
      </c>
      <c r="B4711" s="6">
        <v>6.0939060939060902E-2</v>
      </c>
      <c r="C4711" s="6">
        <v>0.227071932094182</v>
      </c>
    </row>
    <row r="4712" spans="1:3" s="8" customFormat="1" x14ac:dyDescent="0.2">
      <c r="A4712" s="6" t="str">
        <f>"XAB2"</f>
        <v>XAB2</v>
      </c>
      <c r="B4712" s="6">
        <v>6.0939060939060902E-2</v>
      </c>
      <c r="C4712" s="6">
        <v>0.227071932094182</v>
      </c>
    </row>
    <row r="4713" spans="1:3" s="8" customFormat="1" x14ac:dyDescent="0.2">
      <c r="A4713" s="6" t="str">
        <f>"NBN"</f>
        <v>NBN</v>
      </c>
      <c r="B4713" s="6">
        <v>6.0939060939060902E-2</v>
      </c>
      <c r="C4713" s="6">
        <v>0.227071932094182</v>
      </c>
    </row>
    <row r="4714" spans="1:3" s="8" customFormat="1" x14ac:dyDescent="0.2">
      <c r="A4714" s="6" t="str">
        <f>"TAF6"</f>
        <v>TAF6</v>
      </c>
      <c r="B4714" s="6">
        <v>6.0939060939060902E-2</v>
      </c>
      <c r="C4714" s="6">
        <v>0.227071932094182</v>
      </c>
    </row>
    <row r="4715" spans="1:3" s="8" customFormat="1" x14ac:dyDescent="0.2">
      <c r="A4715" s="6" t="str">
        <f>"UBN1"</f>
        <v>UBN1</v>
      </c>
      <c r="B4715" s="6">
        <v>6.0939060939060902E-2</v>
      </c>
      <c r="C4715" s="6">
        <v>0.227071932094182</v>
      </c>
    </row>
    <row r="4716" spans="1:3" s="8" customFormat="1" x14ac:dyDescent="0.2">
      <c r="A4716" s="6" t="str">
        <f>"RIN2"</f>
        <v>RIN2</v>
      </c>
      <c r="B4716" s="6">
        <v>6.0939060939060902E-2</v>
      </c>
      <c r="C4716" s="6">
        <v>0.227071932094182</v>
      </c>
    </row>
    <row r="4717" spans="1:3" s="8" customFormat="1" x14ac:dyDescent="0.2">
      <c r="A4717" s="6" t="str">
        <f>"TOM1"</f>
        <v>TOM1</v>
      </c>
      <c r="B4717" s="6">
        <v>6.0939060939060902E-2</v>
      </c>
      <c r="C4717" s="6">
        <v>0.227071932094182</v>
      </c>
    </row>
    <row r="4718" spans="1:3" s="8" customFormat="1" x14ac:dyDescent="0.2">
      <c r="A4718" s="6" t="str">
        <f>"ZNF440"</f>
        <v>ZNF440</v>
      </c>
      <c r="B4718" s="6">
        <v>6.0939060939060902E-2</v>
      </c>
      <c r="C4718" s="6">
        <v>0.227071932094182</v>
      </c>
    </row>
    <row r="4719" spans="1:3" s="8" customFormat="1" x14ac:dyDescent="0.2">
      <c r="A4719" s="6" t="str">
        <f>"GCLM"</f>
        <v>GCLM</v>
      </c>
      <c r="B4719" s="6">
        <v>6.0939060939060902E-2</v>
      </c>
      <c r="C4719" s="6">
        <v>0.227071932094182</v>
      </c>
    </row>
    <row r="4720" spans="1:3" s="8" customFormat="1" x14ac:dyDescent="0.2">
      <c r="A4720" s="6" t="str">
        <f>"ATP1B1"</f>
        <v>ATP1B1</v>
      </c>
      <c r="B4720" s="6">
        <v>6.0939060939060902E-2</v>
      </c>
      <c r="C4720" s="6">
        <v>0.227071932094182</v>
      </c>
    </row>
    <row r="4721" spans="1:3" s="8" customFormat="1" x14ac:dyDescent="0.2">
      <c r="A4721" s="6" t="str">
        <f>"PLEC"</f>
        <v>PLEC</v>
      </c>
      <c r="B4721" s="6">
        <v>6.0999999999999999E-2</v>
      </c>
      <c r="C4721" s="6">
        <v>0.227250847457627</v>
      </c>
    </row>
    <row r="4722" spans="1:3" s="8" customFormat="1" x14ac:dyDescent="0.2">
      <c r="A4722" s="6" t="str">
        <f>"AL391244.1"</f>
        <v>AL391244.1</v>
      </c>
      <c r="B4722" s="6">
        <v>6.1076604554865403E-2</v>
      </c>
      <c r="C4722" s="6">
        <v>0.22748803526641601</v>
      </c>
    </row>
    <row r="4723" spans="1:3" s="8" customFormat="1" x14ac:dyDescent="0.2">
      <c r="A4723" s="6" t="str">
        <f>"AC073476.2"</f>
        <v>AC073476.2</v>
      </c>
      <c r="B4723" s="6">
        <v>6.1616161616161597E-2</v>
      </c>
      <c r="C4723" s="6">
        <v>0.228422584127282</v>
      </c>
    </row>
    <row r="4724" spans="1:3" s="8" customFormat="1" x14ac:dyDescent="0.2">
      <c r="A4724" s="6" t="str">
        <f>"AC079209.1"</f>
        <v>AC079209.1</v>
      </c>
      <c r="B4724" s="6">
        <v>6.1938061938061902E-2</v>
      </c>
      <c r="C4724" s="6">
        <v>0.228422584127282</v>
      </c>
    </row>
    <row r="4725" spans="1:3" s="8" customFormat="1" x14ac:dyDescent="0.2">
      <c r="A4725" s="6" t="str">
        <f>"FOXH1"</f>
        <v>FOXH1</v>
      </c>
      <c r="B4725" s="6">
        <v>6.1938061938061902E-2</v>
      </c>
      <c r="C4725" s="6">
        <v>0.228422584127282</v>
      </c>
    </row>
    <row r="4726" spans="1:3" s="8" customFormat="1" x14ac:dyDescent="0.2">
      <c r="A4726" s="6" t="str">
        <f>"AC139100.2"</f>
        <v>AC139100.2</v>
      </c>
      <c r="B4726" s="6">
        <v>6.1938061938061902E-2</v>
      </c>
      <c r="C4726" s="6">
        <v>0.228422584127282</v>
      </c>
    </row>
    <row r="4727" spans="1:3" s="8" customFormat="1" x14ac:dyDescent="0.2">
      <c r="A4727" s="6" t="str">
        <f>"CLDN5"</f>
        <v>CLDN5</v>
      </c>
      <c r="B4727" s="6">
        <v>6.1938061938061902E-2</v>
      </c>
      <c r="C4727" s="6">
        <v>0.228422584127282</v>
      </c>
    </row>
    <row r="4728" spans="1:3" s="8" customFormat="1" x14ac:dyDescent="0.2">
      <c r="A4728" s="6" t="str">
        <f>"HESX1"</f>
        <v>HESX1</v>
      </c>
      <c r="B4728" s="6">
        <v>6.1368209255533199E-2</v>
      </c>
      <c r="C4728" s="6">
        <v>0.228422584127282</v>
      </c>
    </row>
    <row r="4729" spans="1:3" s="8" customFormat="1" x14ac:dyDescent="0.2">
      <c r="A4729" s="6" t="str">
        <f>"HHIP"</f>
        <v>HHIP</v>
      </c>
      <c r="B4729" s="6">
        <v>6.1938061938061902E-2</v>
      </c>
      <c r="C4729" s="6">
        <v>0.228422584127282</v>
      </c>
    </row>
    <row r="4730" spans="1:3" s="8" customFormat="1" x14ac:dyDescent="0.2">
      <c r="A4730" s="6" t="str">
        <f>"RHBDL3"</f>
        <v>RHBDL3</v>
      </c>
      <c r="B4730" s="6">
        <v>6.1938061938061902E-2</v>
      </c>
      <c r="C4730" s="6">
        <v>0.228422584127282</v>
      </c>
    </row>
    <row r="4731" spans="1:3" s="8" customFormat="1" x14ac:dyDescent="0.2">
      <c r="A4731" s="6" t="str">
        <f>"OR52A1"</f>
        <v>OR52A1</v>
      </c>
      <c r="B4731" s="6">
        <v>6.1938061938061902E-2</v>
      </c>
      <c r="C4731" s="6">
        <v>0.228422584127282</v>
      </c>
    </row>
    <row r="4732" spans="1:3" s="8" customFormat="1" x14ac:dyDescent="0.2">
      <c r="A4732" s="6" t="str">
        <f>"AC010273.3"</f>
        <v>AC010273.3</v>
      </c>
      <c r="B4732" s="6">
        <v>6.1938061938061902E-2</v>
      </c>
      <c r="C4732" s="6">
        <v>0.228422584127282</v>
      </c>
    </row>
    <row r="4733" spans="1:3" s="8" customFormat="1" x14ac:dyDescent="0.2">
      <c r="A4733" s="6" t="str">
        <f>"STAC2"</f>
        <v>STAC2</v>
      </c>
      <c r="B4733" s="6">
        <v>6.1938061938061902E-2</v>
      </c>
      <c r="C4733" s="6">
        <v>0.228422584127282</v>
      </c>
    </row>
    <row r="4734" spans="1:3" s="8" customFormat="1" x14ac:dyDescent="0.2">
      <c r="A4734" s="6" t="str">
        <f>"AC139272.1"</f>
        <v>AC139272.1</v>
      </c>
      <c r="B4734" s="6">
        <v>6.1938061938061902E-2</v>
      </c>
      <c r="C4734" s="6">
        <v>0.228422584127282</v>
      </c>
    </row>
    <row r="4735" spans="1:3" s="8" customFormat="1" x14ac:dyDescent="0.2">
      <c r="A4735" s="6" t="str">
        <f>"PKMYT1"</f>
        <v>PKMYT1</v>
      </c>
      <c r="B4735" s="6">
        <v>6.1938061938061902E-2</v>
      </c>
      <c r="C4735" s="6">
        <v>0.228422584127282</v>
      </c>
    </row>
    <row r="4736" spans="1:3" s="8" customFormat="1" x14ac:dyDescent="0.2">
      <c r="A4736" s="6" t="str">
        <f>"TSSK6"</f>
        <v>TSSK6</v>
      </c>
      <c r="B4736" s="6">
        <v>6.1938061938061902E-2</v>
      </c>
      <c r="C4736" s="6">
        <v>0.228422584127282</v>
      </c>
    </row>
    <row r="4737" spans="1:3" s="8" customFormat="1" x14ac:dyDescent="0.2">
      <c r="A4737" s="6" t="str">
        <f>"AP001267.5"</f>
        <v>AP001267.5</v>
      </c>
      <c r="B4737" s="6">
        <v>6.1938061938061902E-2</v>
      </c>
      <c r="C4737" s="6">
        <v>0.228422584127282</v>
      </c>
    </row>
    <row r="4738" spans="1:3" s="8" customFormat="1" x14ac:dyDescent="0.2">
      <c r="A4738" s="6" t="str">
        <f>"AP002373.1"</f>
        <v>AP002373.1</v>
      </c>
      <c r="B4738" s="6">
        <v>6.1938061938061902E-2</v>
      </c>
      <c r="C4738" s="6">
        <v>0.228422584127282</v>
      </c>
    </row>
    <row r="4739" spans="1:3" s="8" customFormat="1" x14ac:dyDescent="0.2">
      <c r="A4739" s="6" t="str">
        <f>"SSC5D"</f>
        <v>SSC5D</v>
      </c>
      <c r="B4739" s="6">
        <v>6.1938061938061902E-2</v>
      </c>
      <c r="C4739" s="6">
        <v>0.228422584127282</v>
      </c>
    </row>
    <row r="4740" spans="1:3" s="8" customFormat="1" x14ac:dyDescent="0.2">
      <c r="A4740" s="6" t="str">
        <f>"ZBTB46"</f>
        <v>ZBTB46</v>
      </c>
      <c r="B4740" s="6">
        <v>6.1938061938061902E-2</v>
      </c>
      <c r="C4740" s="6">
        <v>0.228422584127282</v>
      </c>
    </row>
    <row r="4741" spans="1:3" s="8" customFormat="1" x14ac:dyDescent="0.2">
      <c r="A4741" s="6" t="str">
        <f>"SLAMF7"</f>
        <v>SLAMF7</v>
      </c>
      <c r="B4741" s="6">
        <v>6.1938061938061902E-2</v>
      </c>
      <c r="C4741" s="6">
        <v>0.228422584127282</v>
      </c>
    </row>
    <row r="4742" spans="1:3" s="8" customFormat="1" x14ac:dyDescent="0.2">
      <c r="A4742" s="6" t="str">
        <f>"CHCHD4"</f>
        <v>CHCHD4</v>
      </c>
      <c r="B4742" s="6">
        <v>6.1938061938061902E-2</v>
      </c>
      <c r="C4742" s="6">
        <v>0.228422584127282</v>
      </c>
    </row>
    <row r="4743" spans="1:3" s="8" customFormat="1" x14ac:dyDescent="0.2">
      <c r="A4743" s="6" t="str">
        <f>"ZNF813"</f>
        <v>ZNF813</v>
      </c>
      <c r="B4743" s="6">
        <v>6.1938061938061902E-2</v>
      </c>
      <c r="C4743" s="6">
        <v>0.228422584127282</v>
      </c>
    </row>
    <row r="4744" spans="1:3" s="8" customFormat="1" x14ac:dyDescent="0.2">
      <c r="A4744" s="6" t="str">
        <f>"WDSUB1"</f>
        <v>WDSUB1</v>
      </c>
      <c r="B4744" s="6">
        <v>6.1938061938061902E-2</v>
      </c>
      <c r="C4744" s="6">
        <v>0.228422584127282</v>
      </c>
    </row>
    <row r="4745" spans="1:3" s="8" customFormat="1" x14ac:dyDescent="0.2">
      <c r="A4745" s="6" t="str">
        <f>"MMAA"</f>
        <v>MMAA</v>
      </c>
      <c r="B4745" s="6">
        <v>6.1938061938061902E-2</v>
      </c>
      <c r="C4745" s="6">
        <v>0.228422584127282</v>
      </c>
    </row>
    <row r="4746" spans="1:3" s="8" customFormat="1" x14ac:dyDescent="0.2">
      <c r="A4746" s="6" t="str">
        <f>"CD163"</f>
        <v>CD163</v>
      </c>
      <c r="B4746" s="6">
        <v>6.1938061938061902E-2</v>
      </c>
      <c r="C4746" s="6">
        <v>0.228422584127282</v>
      </c>
    </row>
    <row r="4747" spans="1:3" s="8" customFormat="1" x14ac:dyDescent="0.2">
      <c r="A4747" s="6" t="str">
        <f>"CTC1"</f>
        <v>CTC1</v>
      </c>
      <c r="B4747" s="6">
        <v>6.1938061938061902E-2</v>
      </c>
      <c r="C4747" s="6">
        <v>0.228422584127282</v>
      </c>
    </row>
    <row r="4748" spans="1:3" s="8" customFormat="1" x14ac:dyDescent="0.2">
      <c r="A4748" s="6" t="str">
        <f>"ZNF140"</f>
        <v>ZNF140</v>
      </c>
      <c r="B4748" s="6">
        <v>6.1938061938061902E-2</v>
      </c>
      <c r="C4748" s="6">
        <v>0.228422584127282</v>
      </c>
    </row>
    <row r="4749" spans="1:3" s="8" customFormat="1" x14ac:dyDescent="0.2">
      <c r="A4749" s="6" t="str">
        <f>"C1D"</f>
        <v>C1D</v>
      </c>
      <c r="B4749" s="6">
        <v>6.1938061938061902E-2</v>
      </c>
      <c r="C4749" s="6">
        <v>0.228422584127282</v>
      </c>
    </row>
    <row r="4750" spans="1:3" s="8" customFormat="1" x14ac:dyDescent="0.2">
      <c r="A4750" s="6" t="str">
        <f>"GPR153"</f>
        <v>GPR153</v>
      </c>
      <c r="B4750" s="6">
        <v>6.1938061938061902E-2</v>
      </c>
      <c r="C4750" s="6">
        <v>0.228422584127282</v>
      </c>
    </row>
    <row r="4751" spans="1:3" s="8" customFormat="1" x14ac:dyDescent="0.2">
      <c r="A4751" s="6" t="str">
        <f>"STEAP2"</f>
        <v>STEAP2</v>
      </c>
      <c r="B4751" s="6">
        <v>6.1938061938061902E-2</v>
      </c>
      <c r="C4751" s="6">
        <v>0.228422584127282</v>
      </c>
    </row>
    <row r="4752" spans="1:3" s="8" customFormat="1" x14ac:dyDescent="0.2">
      <c r="A4752" s="6" t="str">
        <f>"FOXQ1"</f>
        <v>FOXQ1</v>
      </c>
      <c r="B4752" s="6">
        <v>6.1938061938061902E-2</v>
      </c>
      <c r="C4752" s="6">
        <v>0.228422584127282</v>
      </c>
    </row>
    <row r="4753" spans="1:3" s="8" customFormat="1" x14ac:dyDescent="0.2">
      <c r="A4753" s="6" t="str">
        <f>"ZNF562"</f>
        <v>ZNF562</v>
      </c>
      <c r="B4753" s="6">
        <v>6.1938061938061902E-2</v>
      </c>
      <c r="C4753" s="6">
        <v>0.228422584127282</v>
      </c>
    </row>
    <row r="4754" spans="1:3" s="8" customFormat="1" x14ac:dyDescent="0.2">
      <c r="A4754" s="6" t="str">
        <f>"ZNF384"</f>
        <v>ZNF384</v>
      </c>
      <c r="B4754" s="6">
        <v>6.1938061938061902E-2</v>
      </c>
      <c r="C4754" s="6">
        <v>0.228422584127282</v>
      </c>
    </row>
    <row r="4755" spans="1:3" s="8" customFormat="1" x14ac:dyDescent="0.2">
      <c r="A4755" s="6" t="str">
        <f>"TMEM263"</f>
        <v>TMEM263</v>
      </c>
      <c r="B4755" s="6">
        <v>6.1938061938061902E-2</v>
      </c>
      <c r="C4755" s="6">
        <v>0.228422584127282</v>
      </c>
    </row>
    <row r="4756" spans="1:3" s="8" customFormat="1" x14ac:dyDescent="0.2">
      <c r="A4756" s="6" t="str">
        <f>"FNTA"</f>
        <v>FNTA</v>
      </c>
      <c r="B4756" s="6">
        <v>6.1938061938061902E-2</v>
      </c>
      <c r="C4756" s="6">
        <v>0.228422584127282</v>
      </c>
    </row>
    <row r="4757" spans="1:3" s="8" customFormat="1" x14ac:dyDescent="0.2">
      <c r="A4757" s="6" t="str">
        <f>"HSF1"</f>
        <v>HSF1</v>
      </c>
      <c r="B4757" s="6">
        <v>6.1938061938061902E-2</v>
      </c>
      <c r="C4757" s="6">
        <v>0.228422584127282</v>
      </c>
    </row>
    <row r="4758" spans="1:3" s="8" customFormat="1" x14ac:dyDescent="0.2">
      <c r="A4758" s="6" t="str">
        <f>"AKAP8L"</f>
        <v>AKAP8L</v>
      </c>
      <c r="B4758" s="6">
        <v>6.1938061938061902E-2</v>
      </c>
      <c r="C4758" s="6">
        <v>0.228422584127282</v>
      </c>
    </row>
    <row r="4759" spans="1:3" s="8" customFormat="1" x14ac:dyDescent="0.2">
      <c r="A4759" s="6" t="str">
        <f>"SPPL2B"</f>
        <v>SPPL2B</v>
      </c>
      <c r="B4759" s="6">
        <v>6.1938061938061902E-2</v>
      </c>
      <c r="C4759" s="6">
        <v>0.228422584127282</v>
      </c>
    </row>
    <row r="4760" spans="1:3" s="8" customFormat="1" x14ac:dyDescent="0.2">
      <c r="A4760" s="6" t="str">
        <f>"CD47"</f>
        <v>CD47</v>
      </c>
      <c r="B4760" s="6">
        <v>6.1938061938061902E-2</v>
      </c>
      <c r="C4760" s="6">
        <v>0.228422584127282</v>
      </c>
    </row>
    <row r="4761" spans="1:3" s="8" customFormat="1" x14ac:dyDescent="0.2">
      <c r="A4761" s="6" t="str">
        <f>"SOX4"</f>
        <v>SOX4</v>
      </c>
      <c r="B4761" s="6">
        <v>6.1938061938061902E-2</v>
      </c>
      <c r="C4761" s="6">
        <v>0.228422584127282</v>
      </c>
    </row>
    <row r="4762" spans="1:3" s="8" customFormat="1" x14ac:dyDescent="0.2">
      <c r="A4762" s="6" t="str">
        <f>"CYP51A1"</f>
        <v>CYP51A1</v>
      </c>
      <c r="B4762" s="6">
        <v>6.1938061938061902E-2</v>
      </c>
      <c r="C4762" s="6">
        <v>0.228422584127282</v>
      </c>
    </row>
    <row r="4763" spans="1:3" s="8" customFormat="1" x14ac:dyDescent="0.2">
      <c r="A4763" s="6" t="str">
        <f>"CBX6"</f>
        <v>CBX6</v>
      </c>
      <c r="B4763" s="6">
        <v>6.1938061938061902E-2</v>
      </c>
      <c r="C4763" s="6">
        <v>0.228422584127282</v>
      </c>
    </row>
    <row r="4764" spans="1:3" s="8" customFormat="1" x14ac:dyDescent="0.2">
      <c r="A4764" s="6" t="str">
        <f>"PTPRN2"</f>
        <v>PTPRN2</v>
      </c>
      <c r="B4764" s="6">
        <v>6.1938061938061902E-2</v>
      </c>
      <c r="C4764" s="6">
        <v>0.228422584127282</v>
      </c>
    </row>
    <row r="4765" spans="1:3" s="8" customFormat="1" x14ac:dyDescent="0.2">
      <c r="A4765" s="6" t="str">
        <f>"TOB1"</f>
        <v>TOB1</v>
      </c>
      <c r="B4765" s="6">
        <v>6.1938061938061902E-2</v>
      </c>
      <c r="C4765" s="6">
        <v>0.228422584127282</v>
      </c>
    </row>
    <row r="4766" spans="1:3" s="8" customFormat="1" x14ac:dyDescent="0.2">
      <c r="A4766" s="6" t="str">
        <f>"CDC42BPG"</f>
        <v>CDC42BPG</v>
      </c>
      <c r="B4766" s="6">
        <v>6.1938061938061902E-2</v>
      </c>
      <c r="C4766" s="6">
        <v>0.228422584127282</v>
      </c>
    </row>
    <row r="4767" spans="1:3" s="8" customFormat="1" x14ac:dyDescent="0.2">
      <c r="A4767" s="6" t="str">
        <f>"PPP2R1A"</f>
        <v>PPP2R1A</v>
      </c>
      <c r="B4767" s="6">
        <v>6.1938061938061902E-2</v>
      </c>
      <c r="C4767" s="6">
        <v>0.228422584127282</v>
      </c>
    </row>
    <row r="4768" spans="1:3" s="8" customFormat="1" x14ac:dyDescent="0.2">
      <c r="A4768" s="6" t="str">
        <f>"ERGIC1"</f>
        <v>ERGIC1</v>
      </c>
      <c r="B4768" s="6">
        <v>6.1938061938061902E-2</v>
      </c>
      <c r="C4768" s="6">
        <v>0.228422584127282</v>
      </c>
    </row>
    <row r="4769" spans="1:3" s="8" customFormat="1" x14ac:dyDescent="0.2">
      <c r="A4769" s="6" t="str">
        <f>"HLA-DRB1"</f>
        <v>HLA-DRB1</v>
      </c>
      <c r="B4769" s="6">
        <v>6.1938061938061902E-2</v>
      </c>
      <c r="C4769" s="6">
        <v>0.228422584127282</v>
      </c>
    </row>
    <row r="4770" spans="1:3" s="8" customFormat="1" x14ac:dyDescent="0.2">
      <c r="A4770" s="6" t="str">
        <f>"STAC3"</f>
        <v>STAC3</v>
      </c>
      <c r="B4770" s="6">
        <v>6.2E-2</v>
      </c>
      <c r="C4770" s="6">
        <v>0.22855513626834301</v>
      </c>
    </row>
    <row r="4771" spans="1:3" s="8" customFormat="1" x14ac:dyDescent="0.2">
      <c r="A4771" s="6" t="str">
        <f>"SSBP4"</f>
        <v>SSBP4</v>
      </c>
      <c r="B4771" s="6">
        <v>6.2E-2</v>
      </c>
      <c r="C4771" s="6">
        <v>0.22855513626834301</v>
      </c>
    </row>
    <row r="4772" spans="1:3" s="8" customFormat="1" x14ac:dyDescent="0.2">
      <c r="A4772" s="6" t="str">
        <f>"FBP2"</f>
        <v>FBP2</v>
      </c>
      <c r="B4772" s="6">
        <v>6.2047569803516001E-2</v>
      </c>
      <c r="C4772" s="6">
        <v>0.228682554480198</v>
      </c>
    </row>
    <row r="4773" spans="1:3" s="8" customFormat="1" x14ac:dyDescent="0.2">
      <c r="A4773" s="6" t="str">
        <f>"AL049637.1"</f>
        <v>AL049637.1</v>
      </c>
      <c r="B4773" s="6">
        <v>6.2062062062062003E-2</v>
      </c>
      <c r="C4773" s="6">
        <v>0.22868803422030501</v>
      </c>
    </row>
    <row r="4774" spans="1:3" s="8" customFormat="1" x14ac:dyDescent="0.2">
      <c r="A4774" s="6" t="str">
        <f>"AL158071.4"</f>
        <v>AL158071.4</v>
      </c>
      <c r="B4774" s="6">
        <v>6.2311557788944698E-2</v>
      </c>
      <c r="C4774" s="6">
        <v>0.229559277636874</v>
      </c>
    </row>
    <row r="4775" spans="1:3" s="8" customFormat="1" x14ac:dyDescent="0.2">
      <c r="A4775" s="6" t="str">
        <f>"TM4SF4"</f>
        <v>TM4SF4</v>
      </c>
      <c r="B4775" s="6">
        <v>6.2937062937062901E-2</v>
      </c>
      <c r="C4775" s="6">
        <v>0.229581031380266</v>
      </c>
    </row>
    <row r="4776" spans="1:3" s="8" customFormat="1" x14ac:dyDescent="0.2">
      <c r="A4776" s="6" t="str">
        <f>"SMPX"</f>
        <v>SMPX</v>
      </c>
      <c r="B4776" s="6">
        <v>6.2937062937062901E-2</v>
      </c>
      <c r="C4776" s="6">
        <v>0.229581031380266</v>
      </c>
    </row>
    <row r="4777" spans="1:3" s="8" customFormat="1" x14ac:dyDescent="0.2">
      <c r="A4777" s="6" t="str">
        <f>"IGLV2-23"</f>
        <v>IGLV2-23</v>
      </c>
      <c r="B4777" s="6">
        <v>6.2937062937062901E-2</v>
      </c>
      <c r="C4777" s="6">
        <v>0.229581031380266</v>
      </c>
    </row>
    <row r="4778" spans="1:3" s="8" customFormat="1" x14ac:dyDescent="0.2">
      <c r="A4778" s="6" t="str">
        <f>"IL17C"</f>
        <v>IL17C</v>
      </c>
      <c r="B4778" s="6">
        <v>6.2937062937062901E-2</v>
      </c>
      <c r="C4778" s="6">
        <v>0.229581031380266</v>
      </c>
    </row>
    <row r="4779" spans="1:3" s="8" customFormat="1" x14ac:dyDescent="0.2">
      <c r="A4779" s="6" t="str">
        <f>"AL008729.2"</f>
        <v>AL008729.2</v>
      </c>
      <c r="B4779" s="6">
        <v>6.2937062937062901E-2</v>
      </c>
      <c r="C4779" s="6">
        <v>0.229581031380266</v>
      </c>
    </row>
    <row r="4780" spans="1:3" s="8" customFormat="1" x14ac:dyDescent="0.2">
      <c r="A4780" s="6" t="str">
        <f>"LINC01309"</f>
        <v>LINC01309</v>
      </c>
      <c r="B4780" s="6">
        <v>6.2937062937062901E-2</v>
      </c>
      <c r="C4780" s="6">
        <v>0.229581031380266</v>
      </c>
    </row>
    <row r="4781" spans="1:3" s="8" customFormat="1" x14ac:dyDescent="0.2">
      <c r="A4781" s="6" t="str">
        <f>"AC004241.3"</f>
        <v>AC004241.3</v>
      </c>
      <c r="B4781" s="6">
        <v>6.2937062937062901E-2</v>
      </c>
      <c r="C4781" s="6">
        <v>0.229581031380266</v>
      </c>
    </row>
    <row r="4782" spans="1:3" s="8" customFormat="1" x14ac:dyDescent="0.2">
      <c r="A4782" s="6" t="str">
        <f>"GCC2-AS1"</f>
        <v>GCC2-AS1</v>
      </c>
      <c r="B4782" s="6">
        <v>6.2937062937062901E-2</v>
      </c>
      <c r="C4782" s="6">
        <v>0.229581031380266</v>
      </c>
    </row>
    <row r="4783" spans="1:3" s="8" customFormat="1" x14ac:dyDescent="0.2">
      <c r="A4783" s="6" t="str">
        <f>"SLAMF6P1"</f>
        <v>SLAMF6P1</v>
      </c>
      <c r="B4783" s="6">
        <v>6.2937062937062901E-2</v>
      </c>
      <c r="C4783" s="6">
        <v>0.229581031380266</v>
      </c>
    </row>
    <row r="4784" spans="1:3" s="8" customFormat="1" x14ac:dyDescent="0.2">
      <c r="A4784" s="6" t="str">
        <f>"AL390066.1"</f>
        <v>AL390066.1</v>
      </c>
      <c r="B4784" s="6">
        <v>6.2937062937062901E-2</v>
      </c>
      <c r="C4784" s="6">
        <v>0.229581031380266</v>
      </c>
    </row>
    <row r="4785" spans="1:3" s="8" customFormat="1" x14ac:dyDescent="0.2">
      <c r="A4785" s="6" t="str">
        <f>"TUBB8B"</f>
        <v>TUBB8B</v>
      </c>
      <c r="B4785" s="6">
        <v>6.2944162436548198E-2</v>
      </c>
      <c r="C4785" s="6">
        <v>0.229581031380266</v>
      </c>
    </row>
    <row r="4786" spans="1:3" s="8" customFormat="1" x14ac:dyDescent="0.2">
      <c r="A4786" s="6" t="str">
        <f>"AL162586.1"</f>
        <v>AL162586.1</v>
      </c>
      <c r="B4786" s="6">
        <v>6.2937062937062901E-2</v>
      </c>
      <c r="C4786" s="6">
        <v>0.229581031380266</v>
      </c>
    </row>
    <row r="4787" spans="1:3" s="8" customFormat="1" x14ac:dyDescent="0.2">
      <c r="A4787" s="6" t="str">
        <f>"KPRP"</f>
        <v>KPRP</v>
      </c>
      <c r="B4787" s="6">
        <v>6.2937062937062901E-2</v>
      </c>
      <c r="C4787" s="6">
        <v>0.229581031380266</v>
      </c>
    </row>
    <row r="4788" spans="1:3" s="8" customFormat="1" x14ac:dyDescent="0.2">
      <c r="A4788" s="6" t="str">
        <f>"AC079610.1"</f>
        <v>AC079610.1</v>
      </c>
      <c r="B4788" s="6">
        <v>6.2937062937062901E-2</v>
      </c>
      <c r="C4788" s="6">
        <v>0.229581031380266</v>
      </c>
    </row>
    <row r="4789" spans="1:3" s="8" customFormat="1" x14ac:dyDescent="0.2">
      <c r="A4789" s="6" t="str">
        <f>"AC125807.2"</f>
        <v>AC125807.2</v>
      </c>
      <c r="B4789" s="6">
        <v>6.2937062937062901E-2</v>
      </c>
      <c r="C4789" s="6">
        <v>0.229581031380266</v>
      </c>
    </row>
    <row r="4790" spans="1:3" s="8" customFormat="1" x14ac:dyDescent="0.2">
      <c r="A4790" s="6" t="str">
        <f>"AL355377.2"</f>
        <v>AL355377.2</v>
      </c>
      <c r="B4790" s="6">
        <v>6.2937062937062901E-2</v>
      </c>
      <c r="C4790" s="6">
        <v>0.229581031380266</v>
      </c>
    </row>
    <row r="4791" spans="1:3" s="8" customFormat="1" x14ac:dyDescent="0.2">
      <c r="A4791" s="6" t="str">
        <f>"ROR2"</f>
        <v>ROR2</v>
      </c>
      <c r="B4791" s="6">
        <v>6.2937062937062901E-2</v>
      </c>
      <c r="C4791" s="6">
        <v>0.229581031380266</v>
      </c>
    </row>
    <row r="4792" spans="1:3" s="8" customFormat="1" x14ac:dyDescent="0.2">
      <c r="A4792" s="6" t="str">
        <f>"AC239799.1"</f>
        <v>AC239799.1</v>
      </c>
      <c r="B4792" s="6">
        <v>6.2937062937062901E-2</v>
      </c>
      <c r="C4792" s="6">
        <v>0.229581031380266</v>
      </c>
    </row>
    <row r="4793" spans="1:3" s="8" customFormat="1" x14ac:dyDescent="0.2">
      <c r="A4793" s="6" t="str">
        <f>"AC010422.3"</f>
        <v>AC010422.3</v>
      </c>
      <c r="B4793" s="6">
        <v>6.2937062937062901E-2</v>
      </c>
      <c r="C4793" s="6">
        <v>0.229581031380266</v>
      </c>
    </row>
    <row r="4794" spans="1:3" s="8" customFormat="1" x14ac:dyDescent="0.2">
      <c r="A4794" s="6" t="str">
        <f>"ZNF367"</f>
        <v>ZNF367</v>
      </c>
      <c r="B4794" s="6">
        <v>6.2937062937062901E-2</v>
      </c>
      <c r="C4794" s="6">
        <v>0.229581031380266</v>
      </c>
    </row>
    <row r="4795" spans="1:3" s="8" customFormat="1" x14ac:dyDescent="0.2">
      <c r="A4795" s="6" t="str">
        <f>"FBXO5"</f>
        <v>FBXO5</v>
      </c>
      <c r="B4795" s="6">
        <v>6.2937062937062901E-2</v>
      </c>
      <c r="C4795" s="6">
        <v>0.229581031380266</v>
      </c>
    </row>
    <row r="4796" spans="1:3" s="8" customFormat="1" x14ac:dyDescent="0.2">
      <c r="A4796" s="6" t="str">
        <f>"SASS6"</f>
        <v>SASS6</v>
      </c>
      <c r="B4796" s="6">
        <v>6.2937062937062901E-2</v>
      </c>
      <c r="C4796" s="6">
        <v>0.229581031380266</v>
      </c>
    </row>
    <row r="4797" spans="1:3" s="8" customFormat="1" x14ac:dyDescent="0.2">
      <c r="A4797" s="6" t="str">
        <f>"AC008393.1"</f>
        <v>AC008393.1</v>
      </c>
      <c r="B4797" s="6">
        <v>6.2937062937062901E-2</v>
      </c>
      <c r="C4797" s="6">
        <v>0.229581031380266</v>
      </c>
    </row>
    <row r="4798" spans="1:3" s="8" customFormat="1" x14ac:dyDescent="0.2">
      <c r="A4798" s="6" t="str">
        <f>"PDE6A"</f>
        <v>PDE6A</v>
      </c>
      <c r="B4798" s="6">
        <v>6.2937062937062901E-2</v>
      </c>
      <c r="C4798" s="6">
        <v>0.229581031380266</v>
      </c>
    </row>
    <row r="4799" spans="1:3" s="8" customFormat="1" x14ac:dyDescent="0.2">
      <c r="A4799" s="6" t="str">
        <f>"SMG1P3"</f>
        <v>SMG1P3</v>
      </c>
      <c r="B4799" s="6">
        <v>6.2937062937062901E-2</v>
      </c>
      <c r="C4799" s="6">
        <v>0.229581031380266</v>
      </c>
    </row>
    <row r="4800" spans="1:3" s="8" customFormat="1" x14ac:dyDescent="0.2">
      <c r="A4800" s="6" t="str">
        <f>"XYLT1"</f>
        <v>XYLT1</v>
      </c>
      <c r="B4800" s="6">
        <v>6.2937062937062901E-2</v>
      </c>
      <c r="C4800" s="6">
        <v>0.229581031380266</v>
      </c>
    </row>
    <row r="4801" spans="1:3" s="8" customFormat="1" x14ac:dyDescent="0.2">
      <c r="A4801" s="6" t="str">
        <f>"AC007098.1"</f>
        <v>AC007098.1</v>
      </c>
      <c r="B4801" s="6">
        <v>6.2937062937062901E-2</v>
      </c>
      <c r="C4801" s="6">
        <v>0.229581031380266</v>
      </c>
    </row>
    <row r="4802" spans="1:3" s="8" customFormat="1" x14ac:dyDescent="0.2">
      <c r="A4802" s="6" t="str">
        <f>"ZNF668"</f>
        <v>ZNF668</v>
      </c>
      <c r="B4802" s="6">
        <v>6.2937062937062901E-2</v>
      </c>
      <c r="C4802" s="6">
        <v>0.229581031380266</v>
      </c>
    </row>
    <row r="4803" spans="1:3" s="8" customFormat="1" x14ac:dyDescent="0.2">
      <c r="A4803" s="6" t="str">
        <f>"THBS3-AS1"</f>
        <v>THBS3-AS1</v>
      </c>
      <c r="B4803" s="6">
        <v>6.2937062937062901E-2</v>
      </c>
      <c r="C4803" s="6">
        <v>0.229581031380266</v>
      </c>
    </row>
    <row r="4804" spans="1:3" s="8" customFormat="1" x14ac:dyDescent="0.2">
      <c r="A4804" s="6" t="str">
        <f>"MTPAP"</f>
        <v>MTPAP</v>
      </c>
      <c r="B4804" s="6">
        <v>6.2937062937062901E-2</v>
      </c>
      <c r="C4804" s="6">
        <v>0.229581031380266</v>
      </c>
    </row>
    <row r="4805" spans="1:3" s="8" customFormat="1" x14ac:dyDescent="0.2">
      <c r="A4805" s="6" t="str">
        <f>"TTC14"</f>
        <v>TTC14</v>
      </c>
      <c r="B4805" s="6">
        <v>6.2937062937062901E-2</v>
      </c>
      <c r="C4805" s="6">
        <v>0.229581031380266</v>
      </c>
    </row>
    <row r="4806" spans="1:3" s="8" customFormat="1" x14ac:dyDescent="0.2">
      <c r="A4806" s="6" t="str">
        <f>"VAMP5"</f>
        <v>VAMP5</v>
      </c>
      <c r="B4806" s="6">
        <v>6.2937062937062901E-2</v>
      </c>
      <c r="C4806" s="6">
        <v>0.229581031380266</v>
      </c>
    </row>
    <row r="4807" spans="1:3" s="8" customFormat="1" x14ac:dyDescent="0.2">
      <c r="A4807" s="6" t="str">
        <f>"LINC00863"</f>
        <v>LINC00863</v>
      </c>
      <c r="B4807" s="6">
        <v>6.2937062937062901E-2</v>
      </c>
      <c r="C4807" s="6">
        <v>0.229581031380266</v>
      </c>
    </row>
    <row r="4808" spans="1:3" s="8" customFormat="1" x14ac:dyDescent="0.2">
      <c r="A4808" s="6" t="str">
        <f>"CDC37L1"</f>
        <v>CDC37L1</v>
      </c>
      <c r="B4808" s="6">
        <v>6.2937062937062901E-2</v>
      </c>
      <c r="C4808" s="6">
        <v>0.229581031380266</v>
      </c>
    </row>
    <row r="4809" spans="1:3" s="8" customFormat="1" x14ac:dyDescent="0.2">
      <c r="A4809" s="6" t="str">
        <f>"DIP2C"</f>
        <v>DIP2C</v>
      </c>
      <c r="B4809" s="6">
        <v>6.2937062937062901E-2</v>
      </c>
      <c r="C4809" s="6">
        <v>0.229581031380266</v>
      </c>
    </row>
    <row r="4810" spans="1:3" s="8" customFormat="1" x14ac:dyDescent="0.2">
      <c r="A4810" s="6" t="str">
        <f>"VAV3"</f>
        <v>VAV3</v>
      </c>
      <c r="B4810" s="6">
        <v>6.2937062937062901E-2</v>
      </c>
      <c r="C4810" s="6">
        <v>0.229581031380266</v>
      </c>
    </row>
    <row r="4811" spans="1:3" s="8" customFormat="1" x14ac:dyDescent="0.2">
      <c r="A4811" s="6" t="str">
        <f>"BMF"</f>
        <v>BMF</v>
      </c>
      <c r="B4811" s="6">
        <v>6.2937062937062901E-2</v>
      </c>
      <c r="C4811" s="6">
        <v>0.229581031380266</v>
      </c>
    </row>
    <row r="4812" spans="1:3" s="8" customFormat="1" x14ac:dyDescent="0.2">
      <c r="A4812" s="6" t="str">
        <f>"BDP1"</f>
        <v>BDP1</v>
      </c>
      <c r="B4812" s="6">
        <v>6.2937062937062901E-2</v>
      </c>
      <c r="C4812" s="6">
        <v>0.229581031380266</v>
      </c>
    </row>
    <row r="4813" spans="1:3" s="8" customFormat="1" x14ac:dyDescent="0.2">
      <c r="A4813" s="6" t="str">
        <f>"C8orf33"</f>
        <v>C8orf33</v>
      </c>
      <c r="B4813" s="6">
        <v>6.2937062937062901E-2</v>
      </c>
      <c r="C4813" s="6">
        <v>0.229581031380266</v>
      </c>
    </row>
    <row r="4814" spans="1:3" s="8" customFormat="1" x14ac:dyDescent="0.2">
      <c r="A4814" s="6" t="str">
        <f>"GNA14"</f>
        <v>GNA14</v>
      </c>
      <c r="B4814" s="6">
        <v>6.2937062937062901E-2</v>
      </c>
      <c r="C4814" s="6">
        <v>0.229581031380266</v>
      </c>
    </row>
    <row r="4815" spans="1:3" s="8" customFormat="1" x14ac:dyDescent="0.2">
      <c r="A4815" s="6" t="str">
        <f>"NR3C2"</f>
        <v>NR3C2</v>
      </c>
      <c r="B4815" s="6">
        <v>6.2937062937062901E-2</v>
      </c>
      <c r="C4815" s="6">
        <v>0.229581031380266</v>
      </c>
    </row>
    <row r="4816" spans="1:3" s="8" customFormat="1" x14ac:dyDescent="0.2">
      <c r="A4816" s="6" t="str">
        <f>"AKAP14"</f>
        <v>AKAP14</v>
      </c>
      <c r="B4816" s="6">
        <v>6.2937062937062901E-2</v>
      </c>
      <c r="C4816" s="6">
        <v>0.229581031380266</v>
      </c>
    </row>
    <row r="4817" spans="1:3" s="8" customFormat="1" x14ac:dyDescent="0.2">
      <c r="A4817" s="6" t="str">
        <f>"SYNGAP1"</f>
        <v>SYNGAP1</v>
      </c>
      <c r="B4817" s="6">
        <v>6.2937062937062901E-2</v>
      </c>
      <c r="C4817" s="6">
        <v>0.229581031380266</v>
      </c>
    </row>
    <row r="4818" spans="1:3" s="8" customFormat="1" x14ac:dyDescent="0.2">
      <c r="A4818" s="6" t="str">
        <f>"RBM25"</f>
        <v>RBM25</v>
      </c>
      <c r="B4818" s="6">
        <v>6.2937062937062901E-2</v>
      </c>
      <c r="C4818" s="6">
        <v>0.229581031380266</v>
      </c>
    </row>
    <row r="4819" spans="1:3" s="8" customFormat="1" x14ac:dyDescent="0.2">
      <c r="A4819" s="6" t="str">
        <f>"RFX2"</f>
        <v>RFX2</v>
      </c>
      <c r="B4819" s="6">
        <v>6.2937062937062901E-2</v>
      </c>
      <c r="C4819" s="6">
        <v>0.229581031380266</v>
      </c>
    </row>
    <row r="4820" spans="1:3" s="8" customFormat="1" x14ac:dyDescent="0.2">
      <c r="A4820" s="6" t="str">
        <f>"VWA3B"</f>
        <v>VWA3B</v>
      </c>
      <c r="B4820" s="6">
        <v>6.2937062937062901E-2</v>
      </c>
      <c r="C4820" s="6">
        <v>0.229581031380266</v>
      </c>
    </row>
    <row r="4821" spans="1:3" s="8" customFormat="1" x14ac:dyDescent="0.2">
      <c r="A4821" s="6" t="str">
        <f>"ITPRID2"</f>
        <v>ITPRID2</v>
      </c>
      <c r="B4821" s="6">
        <v>6.2937062937062901E-2</v>
      </c>
      <c r="C4821" s="6">
        <v>0.229581031380266</v>
      </c>
    </row>
    <row r="4822" spans="1:3" s="8" customFormat="1" x14ac:dyDescent="0.2">
      <c r="A4822" s="6" t="str">
        <f>"CAP1"</f>
        <v>CAP1</v>
      </c>
      <c r="B4822" s="6">
        <v>6.2937062937062901E-2</v>
      </c>
      <c r="C4822" s="6">
        <v>0.229581031380266</v>
      </c>
    </row>
    <row r="4823" spans="1:3" s="8" customFormat="1" x14ac:dyDescent="0.2">
      <c r="A4823" s="6" t="str">
        <f>"C5orf60"</f>
        <v>C5orf60</v>
      </c>
      <c r="B4823" s="6">
        <v>6.3936063936063894E-2</v>
      </c>
      <c r="C4823" s="6">
        <v>0.231661188595043</v>
      </c>
    </row>
    <row r="4824" spans="1:3" s="8" customFormat="1" x14ac:dyDescent="0.2">
      <c r="A4824" s="6" t="str">
        <f>"FAM238A"</f>
        <v>FAM238A</v>
      </c>
      <c r="B4824" s="6">
        <v>6.3936063936063894E-2</v>
      </c>
      <c r="C4824" s="6">
        <v>0.231661188595043</v>
      </c>
    </row>
    <row r="4825" spans="1:3" s="8" customFormat="1" x14ac:dyDescent="0.2">
      <c r="A4825" s="6" t="str">
        <f>"AC008982.2"</f>
        <v>AC008982.2</v>
      </c>
      <c r="B4825" s="6">
        <v>6.3936063936063894E-2</v>
      </c>
      <c r="C4825" s="6">
        <v>0.231661188595043</v>
      </c>
    </row>
    <row r="4826" spans="1:3" s="8" customFormat="1" x14ac:dyDescent="0.2">
      <c r="A4826" s="6" t="str">
        <f>"IGLV3-1"</f>
        <v>IGLV3-1</v>
      </c>
      <c r="B4826" s="6">
        <v>6.3936063936063894E-2</v>
      </c>
      <c r="C4826" s="6">
        <v>0.231661188595043</v>
      </c>
    </row>
    <row r="4827" spans="1:3" s="8" customFormat="1" x14ac:dyDescent="0.2">
      <c r="A4827" s="6" t="str">
        <f>"TRAV12-2"</f>
        <v>TRAV12-2</v>
      </c>
      <c r="B4827" s="6">
        <v>6.3936063936063894E-2</v>
      </c>
      <c r="C4827" s="6">
        <v>0.231661188595043</v>
      </c>
    </row>
    <row r="4828" spans="1:3" s="8" customFormat="1" x14ac:dyDescent="0.2">
      <c r="A4828" s="6" t="str">
        <f>"AC005829.1"</f>
        <v>AC005829.1</v>
      </c>
      <c r="B4828" s="6">
        <v>6.3936063936063894E-2</v>
      </c>
      <c r="C4828" s="6">
        <v>0.231661188595043</v>
      </c>
    </row>
    <row r="4829" spans="1:3" s="8" customFormat="1" x14ac:dyDescent="0.2">
      <c r="A4829" s="6" t="str">
        <f>"RGS16"</f>
        <v>RGS16</v>
      </c>
      <c r="B4829" s="6">
        <v>6.3936063936063894E-2</v>
      </c>
      <c r="C4829" s="6">
        <v>0.231661188595043</v>
      </c>
    </row>
    <row r="4830" spans="1:3" s="8" customFormat="1" x14ac:dyDescent="0.2">
      <c r="A4830" s="6" t="str">
        <f>"NKX1-2"</f>
        <v>NKX1-2</v>
      </c>
      <c r="B4830" s="6">
        <v>6.3936063936063894E-2</v>
      </c>
      <c r="C4830" s="6">
        <v>0.231661188595043</v>
      </c>
    </row>
    <row r="4831" spans="1:3" s="8" customFormat="1" x14ac:dyDescent="0.2">
      <c r="A4831" s="6" t="str">
        <f>"SLAMF6"</f>
        <v>SLAMF6</v>
      </c>
      <c r="B4831" s="6">
        <v>6.3936063936063894E-2</v>
      </c>
      <c r="C4831" s="6">
        <v>0.231661188595043</v>
      </c>
    </row>
    <row r="4832" spans="1:3" s="8" customFormat="1" x14ac:dyDescent="0.2">
      <c r="A4832" s="6" t="str">
        <f>"AC005670.2"</f>
        <v>AC005670.2</v>
      </c>
      <c r="B4832" s="6">
        <v>6.3936063936063894E-2</v>
      </c>
      <c r="C4832" s="6">
        <v>0.231661188595043</v>
      </c>
    </row>
    <row r="4833" spans="1:3" s="8" customFormat="1" x14ac:dyDescent="0.2">
      <c r="A4833" s="6" t="str">
        <f>"CDH17"</f>
        <v>CDH17</v>
      </c>
      <c r="B4833" s="6">
        <v>6.3936063936063894E-2</v>
      </c>
      <c r="C4833" s="6">
        <v>0.231661188595043</v>
      </c>
    </row>
    <row r="4834" spans="1:3" s="8" customFormat="1" x14ac:dyDescent="0.2">
      <c r="A4834" s="6" t="str">
        <f>"HJURP"</f>
        <v>HJURP</v>
      </c>
      <c r="B4834" s="6">
        <v>6.3936063936063894E-2</v>
      </c>
      <c r="C4834" s="6">
        <v>0.231661188595043</v>
      </c>
    </row>
    <row r="4835" spans="1:3" s="8" customFormat="1" x14ac:dyDescent="0.2">
      <c r="A4835" s="6" t="str">
        <f>"FSBP"</f>
        <v>FSBP</v>
      </c>
      <c r="B4835" s="6">
        <v>6.3936063936063894E-2</v>
      </c>
      <c r="C4835" s="6">
        <v>0.231661188595043</v>
      </c>
    </row>
    <row r="4836" spans="1:3" s="8" customFormat="1" x14ac:dyDescent="0.2">
      <c r="A4836" s="6" t="str">
        <f>"KLRK1"</f>
        <v>KLRK1</v>
      </c>
      <c r="B4836" s="6">
        <v>6.3936063936063894E-2</v>
      </c>
      <c r="C4836" s="6">
        <v>0.231661188595043</v>
      </c>
    </row>
    <row r="4837" spans="1:3" s="8" customFormat="1" x14ac:dyDescent="0.2">
      <c r="A4837" s="6" t="str">
        <f>"BBOX1-AS1"</f>
        <v>BBOX1-AS1</v>
      </c>
      <c r="B4837" s="6">
        <v>6.3936063936063894E-2</v>
      </c>
      <c r="C4837" s="6">
        <v>0.231661188595043</v>
      </c>
    </row>
    <row r="4838" spans="1:3" s="8" customFormat="1" x14ac:dyDescent="0.2">
      <c r="A4838" s="6" t="str">
        <f>"AL645728.1"</f>
        <v>AL645728.1</v>
      </c>
      <c r="B4838" s="6">
        <v>6.3936063936063894E-2</v>
      </c>
      <c r="C4838" s="6">
        <v>0.231661188595043</v>
      </c>
    </row>
    <row r="4839" spans="1:3" s="8" customFormat="1" x14ac:dyDescent="0.2">
      <c r="A4839" s="6" t="str">
        <f>"AL359736.1"</f>
        <v>AL359736.1</v>
      </c>
      <c r="B4839" s="6">
        <v>6.3936063936063894E-2</v>
      </c>
      <c r="C4839" s="6">
        <v>0.231661188595043</v>
      </c>
    </row>
    <row r="4840" spans="1:3" s="8" customFormat="1" x14ac:dyDescent="0.2">
      <c r="A4840" s="6" t="str">
        <f>"HYKK"</f>
        <v>HYKK</v>
      </c>
      <c r="B4840" s="6">
        <v>6.3936063936063894E-2</v>
      </c>
      <c r="C4840" s="6">
        <v>0.231661188595043</v>
      </c>
    </row>
    <row r="4841" spans="1:3" s="8" customFormat="1" x14ac:dyDescent="0.2">
      <c r="A4841" s="6" t="str">
        <f>"ZNF701"</f>
        <v>ZNF701</v>
      </c>
      <c r="B4841" s="6">
        <v>6.3936063936063894E-2</v>
      </c>
      <c r="C4841" s="6">
        <v>0.231661188595043</v>
      </c>
    </row>
    <row r="4842" spans="1:3" s="8" customFormat="1" x14ac:dyDescent="0.2">
      <c r="A4842" s="6" t="str">
        <f>"CFAP97D2"</f>
        <v>CFAP97D2</v>
      </c>
      <c r="B4842" s="6">
        <v>6.3936063936063894E-2</v>
      </c>
      <c r="C4842" s="6">
        <v>0.231661188595043</v>
      </c>
    </row>
    <row r="4843" spans="1:3" s="8" customFormat="1" x14ac:dyDescent="0.2">
      <c r="A4843" s="6" t="str">
        <f>"PMEPA1"</f>
        <v>PMEPA1</v>
      </c>
      <c r="B4843" s="6">
        <v>6.3936063936063894E-2</v>
      </c>
      <c r="C4843" s="6">
        <v>0.231661188595043</v>
      </c>
    </row>
    <row r="4844" spans="1:3" s="8" customFormat="1" x14ac:dyDescent="0.2">
      <c r="A4844" s="6" t="str">
        <f>"GOLIM4"</f>
        <v>GOLIM4</v>
      </c>
      <c r="B4844" s="6">
        <v>6.3936063936063894E-2</v>
      </c>
      <c r="C4844" s="6">
        <v>0.231661188595043</v>
      </c>
    </row>
    <row r="4845" spans="1:3" s="8" customFormat="1" x14ac:dyDescent="0.2">
      <c r="A4845" s="6" t="str">
        <f>"TBRG1"</f>
        <v>TBRG1</v>
      </c>
      <c r="B4845" s="6">
        <v>6.3936063936063894E-2</v>
      </c>
      <c r="C4845" s="6">
        <v>0.231661188595043</v>
      </c>
    </row>
    <row r="4846" spans="1:3" s="8" customFormat="1" x14ac:dyDescent="0.2">
      <c r="A4846" s="6" t="str">
        <f>"WWC3"</f>
        <v>WWC3</v>
      </c>
      <c r="B4846" s="6">
        <v>6.3936063936063894E-2</v>
      </c>
      <c r="C4846" s="6">
        <v>0.231661188595043</v>
      </c>
    </row>
    <row r="4847" spans="1:3" s="8" customFormat="1" x14ac:dyDescent="0.2">
      <c r="A4847" s="6" t="str">
        <f>"KRCC1"</f>
        <v>KRCC1</v>
      </c>
      <c r="B4847" s="6">
        <v>6.3936063936063894E-2</v>
      </c>
      <c r="C4847" s="6">
        <v>0.231661188595043</v>
      </c>
    </row>
    <row r="4848" spans="1:3" s="8" customFormat="1" x14ac:dyDescent="0.2">
      <c r="A4848" s="6" t="str">
        <f>"NR2C2"</f>
        <v>NR2C2</v>
      </c>
      <c r="B4848" s="6">
        <v>6.3936063936063894E-2</v>
      </c>
      <c r="C4848" s="6">
        <v>0.231661188595043</v>
      </c>
    </row>
    <row r="4849" spans="1:3" s="8" customFormat="1" x14ac:dyDescent="0.2">
      <c r="A4849" s="6" t="str">
        <f>"SNAP29"</f>
        <v>SNAP29</v>
      </c>
      <c r="B4849" s="6">
        <v>6.3936063936063894E-2</v>
      </c>
      <c r="C4849" s="6">
        <v>0.231661188595043</v>
      </c>
    </row>
    <row r="4850" spans="1:3" s="8" customFormat="1" x14ac:dyDescent="0.2">
      <c r="A4850" s="6" t="str">
        <f>"RAVER1"</f>
        <v>RAVER1</v>
      </c>
      <c r="B4850" s="6">
        <v>6.3936063936063894E-2</v>
      </c>
      <c r="C4850" s="6">
        <v>0.231661188595043</v>
      </c>
    </row>
    <row r="4851" spans="1:3" s="8" customFormat="1" x14ac:dyDescent="0.2">
      <c r="A4851" s="6" t="str">
        <f>"ANP32A"</f>
        <v>ANP32A</v>
      </c>
      <c r="B4851" s="6">
        <v>6.3936063936063894E-2</v>
      </c>
      <c r="C4851" s="6">
        <v>0.231661188595043</v>
      </c>
    </row>
    <row r="4852" spans="1:3" s="8" customFormat="1" x14ac:dyDescent="0.2">
      <c r="A4852" s="6" t="str">
        <f>"LRRC8A"</f>
        <v>LRRC8A</v>
      </c>
      <c r="B4852" s="6">
        <v>6.3936063936063894E-2</v>
      </c>
      <c r="C4852" s="6">
        <v>0.231661188595043</v>
      </c>
    </row>
    <row r="4853" spans="1:3" s="8" customFormat="1" x14ac:dyDescent="0.2">
      <c r="A4853" s="6" t="str">
        <f>"ODF3B"</f>
        <v>ODF3B</v>
      </c>
      <c r="B4853" s="6">
        <v>6.3936063936063894E-2</v>
      </c>
      <c r="C4853" s="6">
        <v>0.231661188595043</v>
      </c>
    </row>
    <row r="4854" spans="1:3" s="8" customFormat="1" x14ac:dyDescent="0.2">
      <c r="A4854" s="6" t="str">
        <f>"HLA-A"</f>
        <v>HLA-A</v>
      </c>
      <c r="B4854" s="6">
        <v>6.3936063936063894E-2</v>
      </c>
      <c r="C4854" s="6">
        <v>0.231661188595043</v>
      </c>
    </row>
    <row r="4855" spans="1:3" s="8" customFormat="1" x14ac:dyDescent="0.2">
      <c r="A4855" s="6" t="str">
        <f>"AD000671.1"</f>
        <v>AD000671.1</v>
      </c>
      <c r="B4855" s="6">
        <v>6.4000000000000001E-2</v>
      </c>
      <c r="C4855" s="6">
        <v>0.231797322348094</v>
      </c>
    </row>
    <row r="4856" spans="1:3" s="8" customFormat="1" x14ac:dyDescent="0.2">
      <c r="A4856" s="6" t="str">
        <f>"PRR29"</f>
        <v>PRR29</v>
      </c>
      <c r="B4856" s="6">
        <v>6.4000000000000001E-2</v>
      </c>
      <c r="C4856" s="6">
        <v>0.231797322348094</v>
      </c>
    </row>
    <row r="4857" spans="1:3" s="8" customFormat="1" x14ac:dyDescent="0.2">
      <c r="A4857" s="6" t="str">
        <f>"AC139887.4"</f>
        <v>AC139887.4</v>
      </c>
      <c r="B4857" s="6">
        <v>6.4321608040200998E-2</v>
      </c>
      <c r="C4857" s="6">
        <v>0.23291415893305001</v>
      </c>
    </row>
    <row r="4858" spans="1:3" s="8" customFormat="1" x14ac:dyDescent="0.2">
      <c r="A4858" s="6" t="str">
        <f>"CXorf65"</f>
        <v>CXorf65</v>
      </c>
      <c r="B4858" s="6">
        <v>6.4935064935064901E-2</v>
      </c>
      <c r="C4858" s="6">
        <v>0.233452909797215</v>
      </c>
    </row>
    <row r="4859" spans="1:3" s="8" customFormat="1" x14ac:dyDescent="0.2">
      <c r="A4859" s="6" t="str">
        <f>"IMPDH1P10"</f>
        <v>IMPDH1P10</v>
      </c>
      <c r="B4859" s="6">
        <v>6.4935064935064901E-2</v>
      </c>
      <c r="C4859" s="6">
        <v>0.233452909797215</v>
      </c>
    </row>
    <row r="4860" spans="1:3" s="8" customFormat="1" x14ac:dyDescent="0.2">
      <c r="A4860" s="6" t="str">
        <f>"AC090229.1"</f>
        <v>AC090229.1</v>
      </c>
      <c r="B4860" s="6">
        <v>6.4935064935064901E-2</v>
      </c>
      <c r="C4860" s="6">
        <v>0.233452909797215</v>
      </c>
    </row>
    <row r="4861" spans="1:3" s="8" customFormat="1" x14ac:dyDescent="0.2">
      <c r="A4861" s="6" t="str">
        <f>"PDZK1"</f>
        <v>PDZK1</v>
      </c>
      <c r="B4861" s="6">
        <v>6.4935064935064901E-2</v>
      </c>
      <c r="C4861" s="6">
        <v>0.233452909797215</v>
      </c>
    </row>
    <row r="4862" spans="1:3" s="8" customFormat="1" x14ac:dyDescent="0.2">
      <c r="A4862" s="6" t="str">
        <f>"DLX6"</f>
        <v>DLX6</v>
      </c>
      <c r="B4862" s="6">
        <v>6.4935064935064901E-2</v>
      </c>
      <c r="C4862" s="6">
        <v>0.233452909797215</v>
      </c>
    </row>
    <row r="4863" spans="1:3" s="8" customFormat="1" x14ac:dyDescent="0.2">
      <c r="A4863" s="6" t="str">
        <f>"LRRC66"</f>
        <v>LRRC66</v>
      </c>
      <c r="B4863" s="6">
        <v>6.4935064935064901E-2</v>
      </c>
      <c r="C4863" s="6">
        <v>0.233452909797215</v>
      </c>
    </row>
    <row r="4864" spans="1:3" s="8" customFormat="1" x14ac:dyDescent="0.2">
      <c r="A4864" s="6" t="str">
        <f>"AC109322.2"</f>
        <v>AC109322.2</v>
      </c>
      <c r="B4864" s="6">
        <v>6.4935064935064901E-2</v>
      </c>
      <c r="C4864" s="6">
        <v>0.233452909797215</v>
      </c>
    </row>
    <row r="4865" spans="1:3" s="8" customFormat="1" x14ac:dyDescent="0.2">
      <c r="A4865" s="6" t="str">
        <f>"AL139385.1"</f>
        <v>AL139385.1</v>
      </c>
      <c r="B4865" s="6">
        <v>6.4935064935064901E-2</v>
      </c>
      <c r="C4865" s="6">
        <v>0.233452909797215</v>
      </c>
    </row>
    <row r="4866" spans="1:3" s="8" customFormat="1" x14ac:dyDescent="0.2">
      <c r="A4866" s="6" t="str">
        <f>"AC026401.3"</f>
        <v>AC026401.3</v>
      </c>
      <c r="B4866" s="6">
        <v>6.4935064935064901E-2</v>
      </c>
      <c r="C4866" s="6">
        <v>0.233452909797215</v>
      </c>
    </row>
    <row r="4867" spans="1:3" s="8" customFormat="1" x14ac:dyDescent="0.2">
      <c r="A4867" s="6" t="str">
        <f>"RBP7"</f>
        <v>RBP7</v>
      </c>
      <c r="B4867" s="6">
        <v>6.4935064935064901E-2</v>
      </c>
      <c r="C4867" s="6">
        <v>0.233452909797215</v>
      </c>
    </row>
    <row r="4868" spans="1:3" s="8" customFormat="1" x14ac:dyDescent="0.2">
      <c r="A4868" s="6" t="str">
        <f>"NRM"</f>
        <v>NRM</v>
      </c>
      <c r="B4868" s="6">
        <v>6.4935064935064901E-2</v>
      </c>
      <c r="C4868" s="6">
        <v>0.233452909797215</v>
      </c>
    </row>
    <row r="4869" spans="1:3" s="8" customFormat="1" x14ac:dyDescent="0.2">
      <c r="A4869" s="6" t="str">
        <f>"RPL13P12"</f>
        <v>RPL13P12</v>
      </c>
      <c r="B4869" s="6">
        <v>6.4711830131445894E-2</v>
      </c>
      <c r="C4869" s="6">
        <v>0.233452909797215</v>
      </c>
    </row>
    <row r="4870" spans="1:3" s="8" customFormat="1" x14ac:dyDescent="0.2">
      <c r="A4870" s="6" t="str">
        <f>"ZNF891"</f>
        <v>ZNF891</v>
      </c>
      <c r="B4870" s="6">
        <v>6.4935064935064901E-2</v>
      </c>
      <c r="C4870" s="6">
        <v>0.233452909797215</v>
      </c>
    </row>
    <row r="4871" spans="1:3" s="8" customFormat="1" x14ac:dyDescent="0.2">
      <c r="A4871" s="6" t="str">
        <f>"ZNF577"</f>
        <v>ZNF577</v>
      </c>
      <c r="B4871" s="6">
        <v>6.4935064935064901E-2</v>
      </c>
      <c r="C4871" s="6">
        <v>0.233452909797215</v>
      </c>
    </row>
    <row r="4872" spans="1:3" s="8" customFormat="1" x14ac:dyDescent="0.2">
      <c r="A4872" s="6" t="str">
        <f>"SPIN3"</f>
        <v>SPIN3</v>
      </c>
      <c r="B4872" s="6">
        <v>6.4935064935064901E-2</v>
      </c>
      <c r="C4872" s="6">
        <v>0.233452909797215</v>
      </c>
    </row>
    <row r="4873" spans="1:3" s="8" customFormat="1" x14ac:dyDescent="0.2">
      <c r="A4873" s="6" t="str">
        <f>"RTL8B"</f>
        <v>RTL8B</v>
      </c>
      <c r="B4873" s="6">
        <v>6.4935064935064901E-2</v>
      </c>
      <c r="C4873" s="6">
        <v>0.233452909797215</v>
      </c>
    </row>
    <row r="4874" spans="1:3" s="8" customFormat="1" x14ac:dyDescent="0.2">
      <c r="A4874" s="6" t="str">
        <f>"TAF3"</f>
        <v>TAF3</v>
      </c>
      <c r="B4874" s="6">
        <v>6.4935064935064901E-2</v>
      </c>
      <c r="C4874" s="6">
        <v>0.233452909797215</v>
      </c>
    </row>
    <row r="4875" spans="1:3" s="8" customFormat="1" x14ac:dyDescent="0.2">
      <c r="A4875" s="6" t="str">
        <f>"SCFD2"</f>
        <v>SCFD2</v>
      </c>
      <c r="B4875" s="6">
        <v>6.4935064935064901E-2</v>
      </c>
      <c r="C4875" s="6">
        <v>0.233452909797215</v>
      </c>
    </row>
    <row r="4876" spans="1:3" s="8" customFormat="1" x14ac:dyDescent="0.2">
      <c r="A4876" s="6" t="str">
        <f>"SNTA1"</f>
        <v>SNTA1</v>
      </c>
      <c r="B4876" s="6">
        <v>6.4935064935064901E-2</v>
      </c>
      <c r="C4876" s="6">
        <v>0.233452909797215</v>
      </c>
    </row>
    <row r="4877" spans="1:3" s="8" customFormat="1" x14ac:dyDescent="0.2">
      <c r="A4877" s="6" t="str">
        <f>"FOXJ2"</f>
        <v>FOXJ2</v>
      </c>
      <c r="B4877" s="6">
        <v>6.4935064935064901E-2</v>
      </c>
      <c r="C4877" s="6">
        <v>0.233452909797215</v>
      </c>
    </row>
    <row r="4878" spans="1:3" s="8" customFormat="1" x14ac:dyDescent="0.2">
      <c r="A4878" s="6" t="str">
        <f>"ZKSCAN8"</f>
        <v>ZKSCAN8</v>
      </c>
      <c r="B4878" s="6">
        <v>6.4935064935064901E-2</v>
      </c>
      <c r="C4878" s="6">
        <v>0.233452909797215</v>
      </c>
    </row>
    <row r="4879" spans="1:3" s="8" customFormat="1" x14ac:dyDescent="0.2">
      <c r="A4879" s="6" t="str">
        <f>"CRAMP1"</f>
        <v>CRAMP1</v>
      </c>
      <c r="B4879" s="6">
        <v>6.4935064935064901E-2</v>
      </c>
      <c r="C4879" s="6">
        <v>0.233452909797215</v>
      </c>
    </row>
    <row r="4880" spans="1:3" s="8" customFormat="1" x14ac:dyDescent="0.2">
      <c r="A4880" s="6" t="str">
        <f>"STK36"</f>
        <v>STK36</v>
      </c>
      <c r="B4880" s="6">
        <v>6.4935064935064901E-2</v>
      </c>
      <c r="C4880" s="6">
        <v>0.233452909797215</v>
      </c>
    </row>
    <row r="4881" spans="1:3" s="8" customFormat="1" x14ac:dyDescent="0.2">
      <c r="A4881" s="6" t="str">
        <f>"CAPN9"</f>
        <v>CAPN9</v>
      </c>
      <c r="B4881" s="6">
        <v>6.4935064935064901E-2</v>
      </c>
      <c r="C4881" s="6">
        <v>0.233452909797215</v>
      </c>
    </row>
    <row r="4882" spans="1:3" s="8" customFormat="1" x14ac:dyDescent="0.2">
      <c r="A4882" s="6" t="str">
        <f>"GOLGA8A"</f>
        <v>GOLGA8A</v>
      </c>
      <c r="B4882" s="6">
        <v>6.4935064935064901E-2</v>
      </c>
      <c r="C4882" s="6">
        <v>0.233452909797215</v>
      </c>
    </row>
    <row r="4883" spans="1:3" s="8" customFormat="1" x14ac:dyDescent="0.2">
      <c r="A4883" s="6" t="str">
        <f>"SLC16A5"</f>
        <v>SLC16A5</v>
      </c>
      <c r="B4883" s="6">
        <v>6.4935064935064901E-2</v>
      </c>
      <c r="C4883" s="6">
        <v>0.233452909797215</v>
      </c>
    </row>
    <row r="4884" spans="1:3" s="8" customFormat="1" x14ac:dyDescent="0.2">
      <c r="A4884" s="6" t="str">
        <f>"SMPD4"</f>
        <v>SMPD4</v>
      </c>
      <c r="B4884" s="6">
        <v>6.4935064935064901E-2</v>
      </c>
      <c r="C4884" s="6">
        <v>0.233452909797215</v>
      </c>
    </row>
    <row r="4885" spans="1:3" s="8" customFormat="1" x14ac:dyDescent="0.2">
      <c r="A4885" s="6" t="str">
        <f>"HIBADH"</f>
        <v>HIBADH</v>
      </c>
      <c r="B4885" s="6">
        <v>6.4935064935064901E-2</v>
      </c>
      <c r="C4885" s="6">
        <v>0.233452909797215</v>
      </c>
    </row>
    <row r="4886" spans="1:3" s="8" customFormat="1" x14ac:dyDescent="0.2">
      <c r="A4886" s="6" t="str">
        <f>"ACADM"</f>
        <v>ACADM</v>
      </c>
      <c r="B4886" s="6">
        <v>6.4935064935064901E-2</v>
      </c>
      <c r="C4886" s="6">
        <v>0.233452909797215</v>
      </c>
    </row>
    <row r="4887" spans="1:3" s="8" customFormat="1" x14ac:dyDescent="0.2">
      <c r="A4887" s="6" t="str">
        <f>"SLC23A2"</f>
        <v>SLC23A2</v>
      </c>
      <c r="B4887" s="6">
        <v>6.4935064935064901E-2</v>
      </c>
      <c r="C4887" s="6">
        <v>0.233452909797215</v>
      </c>
    </row>
    <row r="4888" spans="1:3" s="8" customFormat="1" x14ac:dyDescent="0.2">
      <c r="A4888" s="6" t="str">
        <f>"DLEC1"</f>
        <v>DLEC1</v>
      </c>
      <c r="B4888" s="6">
        <v>6.4935064935064901E-2</v>
      </c>
      <c r="C4888" s="6">
        <v>0.233452909797215</v>
      </c>
    </row>
    <row r="4889" spans="1:3" s="8" customFormat="1" x14ac:dyDescent="0.2">
      <c r="A4889" s="6" t="str">
        <f>"TPD52L2"</f>
        <v>TPD52L2</v>
      </c>
      <c r="B4889" s="6">
        <v>6.4935064935064901E-2</v>
      </c>
      <c r="C4889" s="6">
        <v>0.233452909797215</v>
      </c>
    </row>
    <row r="4890" spans="1:3" s="8" customFormat="1" x14ac:dyDescent="0.2">
      <c r="A4890" s="6" t="str">
        <f>"VSTM2L"</f>
        <v>VSTM2L</v>
      </c>
      <c r="B4890" s="6">
        <v>6.4935064935064901E-2</v>
      </c>
      <c r="C4890" s="6">
        <v>0.233452909797215</v>
      </c>
    </row>
    <row r="4891" spans="1:3" s="8" customFormat="1" x14ac:dyDescent="0.2">
      <c r="A4891" s="6" t="str">
        <f>"ARFIP2"</f>
        <v>ARFIP2</v>
      </c>
      <c r="B4891" s="6">
        <v>6.4935064935064901E-2</v>
      </c>
      <c r="C4891" s="6">
        <v>0.233452909797215</v>
      </c>
    </row>
    <row r="4892" spans="1:3" s="8" customFormat="1" x14ac:dyDescent="0.2">
      <c r="A4892" s="6" t="str">
        <f>"DNAH5"</f>
        <v>DNAH5</v>
      </c>
      <c r="B4892" s="6">
        <v>6.4935064935064901E-2</v>
      </c>
      <c r="C4892" s="6">
        <v>0.233452909797215</v>
      </c>
    </row>
    <row r="4893" spans="1:3" s="8" customFormat="1" x14ac:dyDescent="0.2">
      <c r="A4893" s="6" t="str">
        <f>"PTCSC3"</f>
        <v>PTCSC3</v>
      </c>
      <c r="B4893" s="6">
        <v>6.5000000000000002E-2</v>
      </c>
      <c r="C4893" s="6">
        <v>0.23354311401716299</v>
      </c>
    </row>
    <row r="4894" spans="1:3" s="8" customFormat="1" x14ac:dyDescent="0.2">
      <c r="A4894" s="6" t="str">
        <f>"AC036176.1"</f>
        <v>AC036176.1</v>
      </c>
      <c r="B4894" s="6">
        <v>6.5000000000000002E-2</v>
      </c>
      <c r="C4894" s="6">
        <v>0.23354311401716299</v>
      </c>
    </row>
    <row r="4895" spans="1:3" s="8" customFormat="1" x14ac:dyDescent="0.2">
      <c r="A4895" s="6" t="str">
        <f>"TRIM29"</f>
        <v>TRIM29</v>
      </c>
      <c r="B4895" s="6">
        <v>6.5000000000000002E-2</v>
      </c>
      <c r="C4895" s="6">
        <v>0.23354311401716299</v>
      </c>
    </row>
    <row r="4896" spans="1:3" s="8" customFormat="1" x14ac:dyDescent="0.2">
      <c r="A4896" s="6" t="str">
        <f>"AC008972.1"</f>
        <v>AC008972.1</v>
      </c>
      <c r="B4896" s="6">
        <v>6.5049614112458604E-2</v>
      </c>
      <c r="C4896" s="6">
        <v>0.233673629122262</v>
      </c>
    </row>
    <row r="4897" spans="1:3" s="8" customFormat="1" x14ac:dyDescent="0.2">
      <c r="A4897" s="6" t="str">
        <f>"AL049780.2"</f>
        <v>AL049780.2</v>
      </c>
      <c r="B4897" s="6">
        <v>6.5065065065065E-2</v>
      </c>
      <c r="C4897" s="6">
        <v>0.233681393812112</v>
      </c>
    </row>
    <row r="4898" spans="1:3" s="8" customFormat="1" x14ac:dyDescent="0.2">
      <c r="A4898" s="6" t="str">
        <f>"IGLV1-40"</f>
        <v>IGLV1-40</v>
      </c>
      <c r="B4898" s="6">
        <v>6.5934065934065894E-2</v>
      </c>
      <c r="C4898" s="6">
        <v>0.23483585484800701</v>
      </c>
    </row>
    <row r="4899" spans="1:3" s="8" customFormat="1" x14ac:dyDescent="0.2">
      <c r="A4899" s="6" t="str">
        <f>"CLEC18B"</f>
        <v>CLEC18B</v>
      </c>
      <c r="B4899" s="6">
        <v>6.5934065934065894E-2</v>
      </c>
      <c r="C4899" s="6">
        <v>0.23483585484800701</v>
      </c>
    </row>
    <row r="4900" spans="1:3" s="8" customFormat="1" x14ac:dyDescent="0.2">
      <c r="A4900" s="6" t="str">
        <f>"GOLGA6A"</f>
        <v>GOLGA6A</v>
      </c>
      <c r="B4900" s="6">
        <v>6.5934065934065894E-2</v>
      </c>
      <c r="C4900" s="6">
        <v>0.23483585484800701</v>
      </c>
    </row>
    <row r="4901" spans="1:3" s="8" customFormat="1" x14ac:dyDescent="0.2">
      <c r="A4901" s="6" t="str">
        <f>"RHOQP1"</f>
        <v>RHOQP1</v>
      </c>
      <c r="B4901" s="6">
        <v>6.5934065934065894E-2</v>
      </c>
      <c r="C4901" s="6">
        <v>0.23483585484800701</v>
      </c>
    </row>
    <row r="4902" spans="1:3" s="8" customFormat="1" x14ac:dyDescent="0.2">
      <c r="A4902" s="6" t="str">
        <f>"ALOXE3"</f>
        <v>ALOXE3</v>
      </c>
      <c r="B4902" s="6">
        <v>6.5934065934065894E-2</v>
      </c>
      <c r="C4902" s="6">
        <v>0.23483585484800701</v>
      </c>
    </row>
    <row r="4903" spans="1:3" s="8" customFormat="1" x14ac:dyDescent="0.2">
      <c r="A4903" s="6" t="str">
        <f>"PLA2G2F"</f>
        <v>PLA2G2F</v>
      </c>
      <c r="B4903" s="6">
        <v>6.5934065934065894E-2</v>
      </c>
      <c r="C4903" s="6">
        <v>0.23483585484800701</v>
      </c>
    </row>
    <row r="4904" spans="1:3" s="8" customFormat="1" x14ac:dyDescent="0.2">
      <c r="A4904" s="6" t="str">
        <f>"SLC38A8"</f>
        <v>SLC38A8</v>
      </c>
      <c r="B4904" s="6">
        <v>6.5934065934065894E-2</v>
      </c>
      <c r="C4904" s="6">
        <v>0.23483585484800701</v>
      </c>
    </row>
    <row r="4905" spans="1:3" s="8" customFormat="1" x14ac:dyDescent="0.2">
      <c r="A4905" s="6" t="str">
        <f>"GZMH"</f>
        <v>GZMH</v>
      </c>
      <c r="B4905" s="6">
        <v>6.5934065934065894E-2</v>
      </c>
      <c r="C4905" s="6">
        <v>0.23483585484800701</v>
      </c>
    </row>
    <row r="4906" spans="1:3" s="8" customFormat="1" x14ac:dyDescent="0.2">
      <c r="A4906" s="6" t="str">
        <f>"AL355312.1"</f>
        <v>AL355312.1</v>
      </c>
      <c r="B4906" s="6">
        <v>6.5934065934065894E-2</v>
      </c>
      <c r="C4906" s="6">
        <v>0.23483585484800701</v>
      </c>
    </row>
    <row r="4907" spans="1:3" s="8" customFormat="1" x14ac:dyDescent="0.2">
      <c r="A4907" s="6" t="str">
        <f>"AC018638.2"</f>
        <v>AC018638.2</v>
      </c>
      <c r="B4907" s="6">
        <v>6.5934065934065894E-2</v>
      </c>
      <c r="C4907" s="6">
        <v>0.23483585484800701</v>
      </c>
    </row>
    <row r="4908" spans="1:3" s="8" customFormat="1" x14ac:dyDescent="0.2">
      <c r="A4908" s="6" t="str">
        <f>"AP002990.1"</f>
        <v>AP002990.1</v>
      </c>
      <c r="B4908" s="6">
        <v>6.5934065934065894E-2</v>
      </c>
      <c r="C4908" s="6">
        <v>0.23483585484800701</v>
      </c>
    </row>
    <row r="4909" spans="1:3" s="8" customFormat="1" x14ac:dyDescent="0.2">
      <c r="A4909" s="6" t="str">
        <f>"PARD6A"</f>
        <v>PARD6A</v>
      </c>
      <c r="B4909" s="6">
        <v>6.5934065934065894E-2</v>
      </c>
      <c r="C4909" s="6">
        <v>0.23483585484800701</v>
      </c>
    </row>
    <row r="4910" spans="1:3" s="8" customFormat="1" x14ac:dyDescent="0.2">
      <c r="A4910" s="6" t="str">
        <f>"ZNF718"</f>
        <v>ZNF718</v>
      </c>
      <c r="B4910" s="6">
        <v>6.5934065934065894E-2</v>
      </c>
      <c r="C4910" s="6">
        <v>0.23483585484800701</v>
      </c>
    </row>
    <row r="4911" spans="1:3" s="8" customFormat="1" x14ac:dyDescent="0.2">
      <c r="A4911" s="6" t="str">
        <f>"IL18BP"</f>
        <v>IL18BP</v>
      </c>
      <c r="B4911" s="6">
        <v>6.5934065934065894E-2</v>
      </c>
      <c r="C4911" s="6">
        <v>0.23483585484800701</v>
      </c>
    </row>
    <row r="4912" spans="1:3" s="8" customFormat="1" x14ac:dyDescent="0.2">
      <c r="A4912" s="6" t="str">
        <f>"AMIGO2"</f>
        <v>AMIGO2</v>
      </c>
      <c r="B4912" s="6">
        <v>6.5934065934065894E-2</v>
      </c>
      <c r="C4912" s="6">
        <v>0.23483585484800701</v>
      </c>
    </row>
    <row r="4913" spans="1:3" s="8" customFormat="1" x14ac:dyDescent="0.2">
      <c r="A4913" s="6" t="str">
        <f>"SNHG12"</f>
        <v>SNHG12</v>
      </c>
      <c r="B4913" s="6">
        <v>6.5934065934065894E-2</v>
      </c>
      <c r="C4913" s="6">
        <v>0.23483585484800701</v>
      </c>
    </row>
    <row r="4914" spans="1:3" s="8" customFormat="1" x14ac:dyDescent="0.2">
      <c r="A4914" s="6" t="str">
        <f>"ZNF793"</f>
        <v>ZNF793</v>
      </c>
      <c r="B4914" s="6">
        <v>6.5934065934065894E-2</v>
      </c>
      <c r="C4914" s="6">
        <v>0.23483585484800701</v>
      </c>
    </row>
    <row r="4915" spans="1:3" s="8" customFormat="1" x14ac:dyDescent="0.2">
      <c r="A4915" s="6" t="str">
        <f>"AC159540.2"</f>
        <v>AC159540.2</v>
      </c>
      <c r="B4915" s="6">
        <v>6.5934065934065894E-2</v>
      </c>
      <c r="C4915" s="6">
        <v>0.23483585484800701</v>
      </c>
    </row>
    <row r="4916" spans="1:3" s="8" customFormat="1" x14ac:dyDescent="0.2">
      <c r="A4916" s="6" t="str">
        <f>"NKIRAS1"</f>
        <v>NKIRAS1</v>
      </c>
      <c r="B4916" s="6">
        <v>6.5934065934065894E-2</v>
      </c>
      <c r="C4916" s="6">
        <v>0.23483585484800701</v>
      </c>
    </row>
    <row r="4917" spans="1:3" s="8" customFormat="1" x14ac:dyDescent="0.2">
      <c r="A4917" s="6" t="str">
        <f>"PXYLP1"</f>
        <v>PXYLP1</v>
      </c>
      <c r="B4917" s="6">
        <v>6.5934065934065894E-2</v>
      </c>
      <c r="C4917" s="6">
        <v>0.23483585484800701</v>
      </c>
    </row>
    <row r="4918" spans="1:3" s="8" customFormat="1" x14ac:dyDescent="0.2">
      <c r="A4918" s="6" t="str">
        <f>"IRAG2"</f>
        <v>IRAG2</v>
      </c>
      <c r="B4918" s="6">
        <v>6.5934065934065894E-2</v>
      </c>
      <c r="C4918" s="6">
        <v>0.23483585484800701</v>
      </c>
    </row>
    <row r="4919" spans="1:3" s="8" customFormat="1" x14ac:dyDescent="0.2">
      <c r="A4919" s="6" t="str">
        <f>"POLA1"</f>
        <v>POLA1</v>
      </c>
      <c r="B4919" s="6">
        <v>6.5934065934065894E-2</v>
      </c>
      <c r="C4919" s="6">
        <v>0.23483585484800701</v>
      </c>
    </row>
    <row r="4920" spans="1:3" s="8" customFormat="1" x14ac:dyDescent="0.2">
      <c r="A4920" s="6" t="str">
        <f>"DHRS12"</f>
        <v>DHRS12</v>
      </c>
      <c r="B4920" s="6">
        <v>6.5934065934065894E-2</v>
      </c>
      <c r="C4920" s="6">
        <v>0.23483585484800701</v>
      </c>
    </row>
    <row r="4921" spans="1:3" s="8" customFormat="1" x14ac:dyDescent="0.2">
      <c r="A4921" s="6" t="str">
        <f>"ZNF44"</f>
        <v>ZNF44</v>
      </c>
      <c r="B4921" s="6">
        <v>6.5934065934065894E-2</v>
      </c>
      <c r="C4921" s="6">
        <v>0.23483585484800701</v>
      </c>
    </row>
    <row r="4922" spans="1:3" s="8" customFormat="1" x14ac:dyDescent="0.2">
      <c r="A4922" s="6" t="str">
        <f>"BMP1"</f>
        <v>BMP1</v>
      </c>
      <c r="B4922" s="6">
        <v>6.5934065934065894E-2</v>
      </c>
      <c r="C4922" s="6">
        <v>0.23483585484800701</v>
      </c>
    </row>
    <row r="4923" spans="1:3" s="8" customFormat="1" x14ac:dyDescent="0.2">
      <c r="A4923" s="6" t="str">
        <f>"RTP4"</f>
        <v>RTP4</v>
      </c>
      <c r="B4923" s="6">
        <v>6.5934065934065894E-2</v>
      </c>
      <c r="C4923" s="6">
        <v>0.23483585484800701</v>
      </c>
    </row>
    <row r="4924" spans="1:3" s="8" customFormat="1" x14ac:dyDescent="0.2">
      <c r="A4924" s="6" t="str">
        <f>"AARS2"</f>
        <v>AARS2</v>
      </c>
      <c r="B4924" s="6">
        <v>6.5934065934065894E-2</v>
      </c>
      <c r="C4924" s="6">
        <v>0.23483585484800701</v>
      </c>
    </row>
    <row r="4925" spans="1:3" s="8" customFormat="1" x14ac:dyDescent="0.2">
      <c r="A4925" s="6" t="str">
        <f>"RPA3"</f>
        <v>RPA3</v>
      </c>
      <c r="B4925" s="6">
        <v>6.5934065934065894E-2</v>
      </c>
      <c r="C4925" s="6">
        <v>0.23483585484800701</v>
      </c>
    </row>
    <row r="4926" spans="1:3" s="8" customFormat="1" x14ac:dyDescent="0.2">
      <c r="A4926" s="6" t="str">
        <f>"CSRNP2"</f>
        <v>CSRNP2</v>
      </c>
      <c r="B4926" s="6">
        <v>6.5934065934065894E-2</v>
      </c>
      <c r="C4926" s="6">
        <v>0.23483585484800701</v>
      </c>
    </row>
    <row r="4927" spans="1:3" s="8" customFormat="1" x14ac:dyDescent="0.2">
      <c r="A4927" s="6" t="str">
        <f>"ZNF330"</f>
        <v>ZNF330</v>
      </c>
      <c r="B4927" s="6">
        <v>6.5934065934065894E-2</v>
      </c>
      <c r="C4927" s="6">
        <v>0.23483585484800701</v>
      </c>
    </row>
    <row r="4928" spans="1:3" s="8" customFormat="1" x14ac:dyDescent="0.2">
      <c r="A4928" s="6" t="str">
        <f>"LIFR"</f>
        <v>LIFR</v>
      </c>
      <c r="B4928" s="6">
        <v>6.5934065934065894E-2</v>
      </c>
      <c r="C4928" s="6">
        <v>0.23483585484800701</v>
      </c>
    </row>
    <row r="4929" spans="1:3" s="8" customFormat="1" x14ac:dyDescent="0.2">
      <c r="A4929" s="6" t="str">
        <f>"C1GALT1"</f>
        <v>C1GALT1</v>
      </c>
      <c r="B4929" s="6">
        <v>6.5934065934065894E-2</v>
      </c>
      <c r="C4929" s="6">
        <v>0.23483585484800701</v>
      </c>
    </row>
    <row r="4930" spans="1:3" s="8" customFormat="1" x14ac:dyDescent="0.2">
      <c r="A4930" s="6" t="str">
        <f>"POMGNT2"</f>
        <v>POMGNT2</v>
      </c>
      <c r="B4930" s="6">
        <v>6.5934065934065894E-2</v>
      </c>
      <c r="C4930" s="6">
        <v>0.23483585484800701</v>
      </c>
    </row>
    <row r="4931" spans="1:3" s="8" customFormat="1" x14ac:dyDescent="0.2">
      <c r="A4931" s="6" t="str">
        <f>"RASSF6"</f>
        <v>RASSF6</v>
      </c>
      <c r="B4931" s="6">
        <v>6.5934065934065894E-2</v>
      </c>
      <c r="C4931" s="6">
        <v>0.23483585484800701</v>
      </c>
    </row>
    <row r="4932" spans="1:3" s="8" customFormat="1" x14ac:dyDescent="0.2">
      <c r="A4932" s="6" t="str">
        <f>"SHTN1"</f>
        <v>SHTN1</v>
      </c>
      <c r="B4932" s="6">
        <v>6.5934065934065894E-2</v>
      </c>
      <c r="C4932" s="6">
        <v>0.23483585484800701</v>
      </c>
    </row>
    <row r="4933" spans="1:3" s="8" customFormat="1" x14ac:dyDescent="0.2">
      <c r="A4933" s="6" t="str">
        <f>"AGPS"</f>
        <v>AGPS</v>
      </c>
      <c r="B4933" s="6">
        <v>6.5934065934065894E-2</v>
      </c>
      <c r="C4933" s="6">
        <v>0.23483585484800701</v>
      </c>
    </row>
    <row r="4934" spans="1:3" s="8" customFormat="1" x14ac:dyDescent="0.2">
      <c r="A4934" s="6" t="str">
        <f>"LRRC6"</f>
        <v>LRRC6</v>
      </c>
      <c r="B4934" s="6">
        <v>6.5934065934065894E-2</v>
      </c>
      <c r="C4934" s="6">
        <v>0.23483585484800701</v>
      </c>
    </row>
    <row r="4935" spans="1:3" s="8" customFormat="1" x14ac:dyDescent="0.2">
      <c r="A4935" s="6" t="str">
        <f>"ANTXR1"</f>
        <v>ANTXR1</v>
      </c>
      <c r="B4935" s="6">
        <v>6.5934065934065894E-2</v>
      </c>
      <c r="C4935" s="6">
        <v>0.23483585484800701</v>
      </c>
    </row>
    <row r="4936" spans="1:3" s="8" customFormat="1" x14ac:dyDescent="0.2">
      <c r="A4936" s="6" t="str">
        <f>"CPSF1"</f>
        <v>CPSF1</v>
      </c>
      <c r="B4936" s="6">
        <v>6.5934065934065894E-2</v>
      </c>
      <c r="C4936" s="6">
        <v>0.23483585484800701</v>
      </c>
    </row>
    <row r="4937" spans="1:3" s="8" customFormat="1" x14ac:dyDescent="0.2">
      <c r="A4937" s="6" t="str">
        <f>"PGAP6"</f>
        <v>PGAP6</v>
      </c>
      <c r="B4937" s="6">
        <v>6.5934065934065894E-2</v>
      </c>
      <c r="C4937" s="6">
        <v>0.23483585484800701</v>
      </c>
    </row>
    <row r="4938" spans="1:3" s="8" customFormat="1" x14ac:dyDescent="0.2">
      <c r="A4938" s="6" t="str">
        <f>"DDR1"</f>
        <v>DDR1</v>
      </c>
      <c r="B4938" s="6">
        <v>6.5934065934065894E-2</v>
      </c>
      <c r="C4938" s="6">
        <v>0.23483585484800701</v>
      </c>
    </row>
    <row r="4939" spans="1:3" s="8" customFormat="1" x14ac:dyDescent="0.2">
      <c r="A4939" s="6" t="str">
        <f>"AF196969.1"</f>
        <v>AF196969.1</v>
      </c>
      <c r="B4939" s="6">
        <v>6.6000000000000003E-2</v>
      </c>
      <c r="C4939" s="6">
        <v>0.235023086269744</v>
      </c>
    </row>
    <row r="4940" spans="1:3" s="8" customFormat="1" x14ac:dyDescent="0.2">
      <c r="A4940" s="6" t="str">
        <f>"AL160270.1"</f>
        <v>AL160270.1</v>
      </c>
      <c r="B4940" s="6">
        <v>6.6513761467889898E-2</v>
      </c>
      <c r="C4940" s="6">
        <v>0.23666821816831801</v>
      </c>
    </row>
    <row r="4941" spans="1:3" s="8" customFormat="1" x14ac:dyDescent="0.2">
      <c r="A4941" s="6" t="str">
        <f>"TRBV27"</f>
        <v>TRBV27</v>
      </c>
      <c r="B4941" s="6">
        <v>6.6933066933066901E-2</v>
      </c>
      <c r="C4941" s="6">
        <v>0.23666821816831801</v>
      </c>
    </row>
    <row r="4942" spans="1:3" s="8" customFormat="1" x14ac:dyDescent="0.2">
      <c r="A4942" s="6" t="str">
        <f>"AC026310.2"</f>
        <v>AC026310.2</v>
      </c>
      <c r="B4942" s="6">
        <v>6.6933066933066901E-2</v>
      </c>
      <c r="C4942" s="6">
        <v>0.23666821816831801</v>
      </c>
    </row>
    <row r="4943" spans="1:3" s="8" customFormat="1" x14ac:dyDescent="0.2">
      <c r="A4943" s="6" t="str">
        <f>"PPM1K-DT"</f>
        <v>PPM1K-DT</v>
      </c>
      <c r="B4943" s="6">
        <v>6.6933066933066901E-2</v>
      </c>
      <c r="C4943" s="6">
        <v>0.23666821816831801</v>
      </c>
    </row>
    <row r="4944" spans="1:3" s="8" customFormat="1" x14ac:dyDescent="0.2">
      <c r="A4944" s="6" t="str">
        <f>"JAKMIP2-AS1"</f>
        <v>JAKMIP2-AS1</v>
      </c>
      <c r="B4944" s="6">
        <v>6.6933066933066901E-2</v>
      </c>
      <c r="C4944" s="6">
        <v>0.23666821816831801</v>
      </c>
    </row>
    <row r="4945" spans="1:3" s="8" customFormat="1" x14ac:dyDescent="0.2">
      <c r="A4945" s="6" t="str">
        <f>"AL137781.1"</f>
        <v>AL137781.1</v>
      </c>
      <c r="B4945" s="6">
        <v>6.6933066933066901E-2</v>
      </c>
      <c r="C4945" s="6">
        <v>0.23666821816831801</v>
      </c>
    </row>
    <row r="4946" spans="1:3" s="8" customFormat="1" x14ac:dyDescent="0.2">
      <c r="A4946" s="6" t="str">
        <f>"AC110998.1"</f>
        <v>AC110998.1</v>
      </c>
      <c r="B4946" s="6">
        <v>6.6933066933066901E-2</v>
      </c>
      <c r="C4946" s="6">
        <v>0.23666821816831801</v>
      </c>
    </row>
    <row r="4947" spans="1:3" s="8" customFormat="1" x14ac:dyDescent="0.2">
      <c r="A4947" s="6" t="str">
        <f>"MST1P2"</f>
        <v>MST1P2</v>
      </c>
      <c r="B4947" s="6">
        <v>6.6933066933066901E-2</v>
      </c>
      <c r="C4947" s="6">
        <v>0.23666821816831801</v>
      </c>
    </row>
    <row r="4948" spans="1:3" s="8" customFormat="1" x14ac:dyDescent="0.2">
      <c r="A4948" s="6" t="str">
        <f>"ABI3BP"</f>
        <v>ABI3BP</v>
      </c>
      <c r="B4948" s="6">
        <v>6.6933066933066901E-2</v>
      </c>
      <c r="C4948" s="6">
        <v>0.23666821816831801</v>
      </c>
    </row>
    <row r="4949" spans="1:3" s="8" customFormat="1" x14ac:dyDescent="0.2">
      <c r="A4949" s="6" t="str">
        <f>"FOXL1"</f>
        <v>FOXL1</v>
      </c>
      <c r="B4949" s="6">
        <v>6.6933066933066901E-2</v>
      </c>
      <c r="C4949" s="6">
        <v>0.23666821816831801</v>
      </c>
    </row>
    <row r="4950" spans="1:3" s="8" customFormat="1" x14ac:dyDescent="0.2">
      <c r="A4950" s="6" t="str">
        <f>"CDCA5"</f>
        <v>CDCA5</v>
      </c>
      <c r="B4950" s="6">
        <v>6.6933066933066901E-2</v>
      </c>
      <c r="C4950" s="6">
        <v>0.23666821816831801</v>
      </c>
    </row>
    <row r="4951" spans="1:3" s="8" customFormat="1" x14ac:dyDescent="0.2">
      <c r="A4951" s="6" t="str">
        <f>"AP002387.1"</f>
        <v>AP002387.1</v>
      </c>
      <c r="B4951" s="6">
        <v>6.6933066933066901E-2</v>
      </c>
      <c r="C4951" s="6">
        <v>0.23666821816831801</v>
      </c>
    </row>
    <row r="4952" spans="1:3" s="8" customFormat="1" x14ac:dyDescent="0.2">
      <c r="A4952" s="6" t="str">
        <f>"KCNMB2-AS1"</f>
        <v>KCNMB2-AS1</v>
      </c>
      <c r="B4952" s="6">
        <v>6.6933066933066901E-2</v>
      </c>
      <c r="C4952" s="6">
        <v>0.23666821816831801</v>
      </c>
    </row>
    <row r="4953" spans="1:3" s="8" customFormat="1" x14ac:dyDescent="0.2">
      <c r="A4953" s="6" t="str">
        <f>"ZNF823"</f>
        <v>ZNF823</v>
      </c>
      <c r="B4953" s="6">
        <v>6.6933066933066901E-2</v>
      </c>
      <c r="C4953" s="6">
        <v>0.23666821816831801</v>
      </c>
    </row>
    <row r="4954" spans="1:3" s="8" customFormat="1" x14ac:dyDescent="0.2">
      <c r="A4954" s="6" t="str">
        <f>"AL132801.1"</f>
        <v>AL132801.1</v>
      </c>
      <c r="B4954" s="6">
        <v>6.6933066933066901E-2</v>
      </c>
      <c r="C4954" s="6">
        <v>0.23666821816831801</v>
      </c>
    </row>
    <row r="4955" spans="1:3" s="8" customFormat="1" x14ac:dyDescent="0.2">
      <c r="A4955" s="6" t="str">
        <f>"ZMAT1"</f>
        <v>ZMAT1</v>
      </c>
      <c r="B4955" s="6">
        <v>6.6933066933066901E-2</v>
      </c>
      <c r="C4955" s="6">
        <v>0.23666821816831801</v>
      </c>
    </row>
    <row r="4956" spans="1:3" s="8" customFormat="1" x14ac:dyDescent="0.2">
      <c r="A4956" s="6" t="str">
        <f>"ZNF836"</f>
        <v>ZNF836</v>
      </c>
      <c r="B4956" s="6">
        <v>6.6933066933066901E-2</v>
      </c>
      <c r="C4956" s="6">
        <v>0.23666821816831801</v>
      </c>
    </row>
    <row r="4957" spans="1:3" s="8" customFormat="1" x14ac:dyDescent="0.2">
      <c r="A4957" s="6" t="str">
        <f>"HOPX"</f>
        <v>HOPX</v>
      </c>
      <c r="B4957" s="6">
        <v>6.6933066933066901E-2</v>
      </c>
      <c r="C4957" s="6">
        <v>0.23666821816831801</v>
      </c>
    </row>
    <row r="4958" spans="1:3" s="8" customFormat="1" x14ac:dyDescent="0.2">
      <c r="A4958" s="6" t="str">
        <f>"TMEM97"</f>
        <v>TMEM97</v>
      </c>
      <c r="B4958" s="6">
        <v>6.6933066933066901E-2</v>
      </c>
      <c r="C4958" s="6">
        <v>0.23666821816831801</v>
      </c>
    </row>
    <row r="4959" spans="1:3" s="8" customFormat="1" x14ac:dyDescent="0.2">
      <c r="A4959" s="6" t="str">
        <f>"TMEM38A"</f>
        <v>TMEM38A</v>
      </c>
      <c r="B4959" s="6">
        <v>6.6933066933066901E-2</v>
      </c>
      <c r="C4959" s="6">
        <v>0.23666821816831801</v>
      </c>
    </row>
    <row r="4960" spans="1:3" s="8" customFormat="1" x14ac:dyDescent="0.2">
      <c r="A4960" s="6" t="str">
        <f>"ZNF761"</f>
        <v>ZNF761</v>
      </c>
      <c r="B4960" s="6">
        <v>6.6933066933066901E-2</v>
      </c>
      <c r="C4960" s="6">
        <v>0.23666821816831801</v>
      </c>
    </row>
    <row r="4961" spans="1:3" s="8" customFormat="1" x14ac:dyDescent="0.2">
      <c r="A4961" s="6" t="str">
        <f>"GZF1"</f>
        <v>GZF1</v>
      </c>
      <c r="B4961" s="6">
        <v>6.6933066933066901E-2</v>
      </c>
      <c r="C4961" s="6">
        <v>0.23666821816831801</v>
      </c>
    </row>
    <row r="4962" spans="1:3" s="8" customFormat="1" x14ac:dyDescent="0.2">
      <c r="A4962" s="6" t="str">
        <f>"THTPA"</f>
        <v>THTPA</v>
      </c>
      <c r="B4962" s="6">
        <v>6.6933066933066901E-2</v>
      </c>
      <c r="C4962" s="6">
        <v>0.23666821816831801</v>
      </c>
    </row>
    <row r="4963" spans="1:3" s="8" customFormat="1" x14ac:dyDescent="0.2">
      <c r="A4963" s="6" t="str">
        <f>"ZCCHC9"</f>
        <v>ZCCHC9</v>
      </c>
      <c r="B4963" s="6">
        <v>6.6933066933066901E-2</v>
      </c>
      <c r="C4963" s="6">
        <v>0.23666821816831801</v>
      </c>
    </row>
    <row r="4964" spans="1:3" s="8" customFormat="1" x14ac:dyDescent="0.2">
      <c r="A4964" s="6" t="str">
        <f>"IRF5"</f>
        <v>IRF5</v>
      </c>
      <c r="B4964" s="6">
        <v>6.6933066933066901E-2</v>
      </c>
      <c r="C4964" s="6">
        <v>0.23666821816831801</v>
      </c>
    </row>
    <row r="4965" spans="1:3" s="8" customFormat="1" x14ac:dyDescent="0.2">
      <c r="A4965" s="6" t="str">
        <f>"ZNF320"</f>
        <v>ZNF320</v>
      </c>
      <c r="B4965" s="6">
        <v>6.6933066933066901E-2</v>
      </c>
      <c r="C4965" s="6">
        <v>0.23666821816831801</v>
      </c>
    </row>
    <row r="4966" spans="1:3" s="8" customFormat="1" x14ac:dyDescent="0.2">
      <c r="A4966" s="6" t="str">
        <f>"CCDC90B"</f>
        <v>CCDC90B</v>
      </c>
      <c r="B4966" s="6">
        <v>6.6933066933066901E-2</v>
      </c>
      <c r="C4966" s="6">
        <v>0.23666821816831801</v>
      </c>
    </row>
    <row r="4967" spans="1:3" s="8" customFormat="1" x14ac:dyDescent="0.2">
      <c r="A4967" s="6" t="str">
        <f>"PNPLA8"</f>
        <v>PNPLA8</v>
      </c>
      <c r="B4967" s="6">
        <v>6.6933066933066901E-2</v>
      </c>
      <c r="C4967" s="6">
        <v>0.23666821816831801</v>
      </c>
    </row>
    <row r="4968" spans="1:3" s="8" customFormat="1" x14ac:dyDescent="0.2">
      <c r="A4968" s="6" t="str">
        <f>"RARG"</f>
        <v>RARG</v>
      </c>
      <c r="B4968" s="6">
        <v>6.6933066933066901E-2</v>
      </c>
      <c r="C4968" s="6">
        <v>0.23666821816831801</v>
      </c>
    </row>
    <row r="4969" spans="1:3" s="8" customFormat="1" x14ac:dyDescent="0.2">
      <c r="A4969" s="6" t="str">
        <f>"VPS26A"</f>
        <v>VPS26A</v>
      </c>
      <c r="B4969" s="6">
        <v>6.6933066933066901E-2</v>
      </c>
      <c r="C4969" s="6">
        <v>0.23666821816831801</v>
      </c>
    </row>
    <row r="4970" spans="1:3" s="8" customFormat="1" x14ac:dyDescent="0.2">
      <c r="A4970" s="6" t="str">
        <f>"EIF4E2"</f>
        <v>EIF4E2</v>
      </c>
      <c r="B4970" s="6">
        <v>6.6933066933066901E-2</v>
      </c>
      <c r="C4970" s="6">
        <v>0.23666821816831801</v>
      </c>
    </row>
    <row r="4971" spans="1:3" s="8" customFormat="1" x14ac:dyDescent="0.2">
      <c r="A4971" s="6" t="str">
        <f>"EFHB"</f>
        <v>EFHB</v>
      </c>
      <c r="B4971" s="6">
        <v>6.6933066933066901E-2</v>
      </c>
      <c r="C4971" s="6">
        <v>0.23666821816831801</v>
      </c>
    </row>
    <row r="4972" spans="1:3" s="8" customFormat="1" x14ac:dyDescent="0.2">
      <c r="A4972" s="6" t="str">
        <f>"AKNA"</f>
        <v>AKNA</v>
      </c>
      <c r="B4972" s="6">
        <v>6.6933066933066901E-2</v>
      </c>
      <c r="C4972" s="6">
        <v>0.23666821816831801</v>
      </c>
    </row>
    <row r="4973" spans="1:3" s="8" customFormat="1" x14ac:dyDescent="0.2">
      <c r="A4973" s="6" t="str">
        <f>"MPV17L"</f>
        <v>MPV17L</v>
      </c>
      <c r="B4973" s="6">
        <v>6.6933066933066901E-2</v>
      </c>
      <c r="C4973" s="6">
        <v>0.23666821816831801</v>
      </c>
    </row>
    <row r="4974" spans="1:3" s="8" customFormat="1" x14ac:dyDescent="0.2">
      <c r="A4974" s="6" t="str">
        <f>"TPM4"</f>
        <v>TPM4</v>
      </c>
      <c r="B4974" s="6">
        <v>6.6933066933066901E-2</v>
      </c>
      <c r="C4974" s="6">
        <v>0.23666821816831801</v>
      </c>
    </row>
    <row r="4975" spans="1:3" s="8" customFormat="1" x14ac:dyDescent="0.2">
      <c r="A4975" s="6" t="str">
        <f>"STARD8"</f>
        <v>STARD8</v>
      </c>
      <c r="B4975" s="6">
        <v>6.7000000000000004E-2</v>
      </c>
      <c r="C4975" s="6">
        <v>0.23685725774024899</v>
      </c>
    </row>
    <row r="4976" spans="1:3" s="8" customFormat="1" x14ac:dyDescent="0.2">
      <c r="A4976" s="6" t="str">
        <f>"ANKRD20A8P"</f>
        <v>ANKRD20A8P</v>
      </c>
      <c r="B4976" s="6">
        <v>6.7134268537074104E-2</v>
      </c>
      <c r="C4976" s="6">
        <v>0.23728421667455499</v>
      </c>
    </row>
    <row r="4977" spans="1:3" s="8" customFormat="1" x14ac:dyDescent="0.2">
      <c r="A4977" s="6" t="str">
        <f>"LINC02555"</f>
        <v>LINC02555</v>
      </c>
      <c r="B4977" s="6">
        <v>6.7932067932067894E-2</v>
      </c>
      <c r="C4977" s="6">
        <v>0.23818892971435299</v>
      </c>
    </row>
    <row r="4978" spans="1:3" s="8" customFormat="1" x14ac:dyDescent="0.2">
      <c r="A4978" s="6" t="str">
        <f>"AC096636.1"</f>
        <v>AC096636.1</v>
      </c>
      <c r="B4978" s="6">
        <v>6.7608476286579205E-2</v>
      </c>
      <c r="C4978" s="6">
        <v>0.23818892971435299</v>
      </c>
    </row>
    <row r="4979" spans="1:3" s="8" customFormat="1" x14ac:dyDescent="0.2">
      <c r="A4979" s="6" t="str">
        <f>"AC109583.4"</f>
        <v>AC109583.4</v>
      </c>
      <c r="B4979" s="6">
        <v>6.7932067932067894E-2</v>
      </c>
      <c r="C4979" s="6">
        <v>0.23818892971435299</v>
      </c>
    </row>
    <row r="4980" spans="1:3" s="8" customFormat="1" x14ac:dyDescent="0.2">
      <c r="A4980" s="6" t="str">
        <f>"IRS4"</f>
        <v>IRS4</v>
      </c>
      <c r="B4980" s="6">
        <v>6.7932067932067894E-2</v>
      </c>
      <c r="C4980" s="6">
        <v>0.23818892971435299</v>
      </c>
    </row>
    <row r="4981" spans="1:3" s="8" customFormat="1" x14ac:dyDescent="0.2">
      <c r="A4981" s="6" t="str">
        <f>"AC090409.1"</f>
        <v>AC090409.1</v>
      </c>
      <c r="B4981" s="6">
        <v>6.7932067932067894E-2</v>
      </c>
      <c r="C4981" s="6">
        <v>0.23818892971435299</v>
      </c>
    </row>
    <row r="4982" spans="1:3" s="8" customFormat="1" x14ac:dyDescent="0.2">
      <c r="A4982" s="6" t="str">
        <f>"BX470102.2"</f>
        <v>BX470102.2</v>
      </c>
      <c r="B4982" s="6">
        <v>6.7932067932067894E-2</v>
      </c>
      <c r="C4982" s="6">
        <v>0.23818892971435299</v>
      </c>
    </row>
    <row r="4983" spans="1:3" s="8" customFormat="1" x14ac:dyDescent="0.2">
      <c r="A4983" s="6" t="str">
        <f>"AC110285.2"</f>
        <v>AC110285.2</v>
      </c>
      <c r="B4983" s="6">
        <v>6.7932067932067894E-2</v>
      </c>
      <c r="C4983" s="6">
        <v>0.23818892971435299</v>
      </c>
    </row>
    <row r="4984" spans="1:3" s="8" customFormat="1" x14ac:dyDescent="0.2">
      <c r="A4984" s="6" t="str">
        <f>"ZNF300P1"</f>
        <v>ZNF300P1</v>
      </c>
      <c r="B4984" s="6">
        <v>6.7932067932067894E-2</v>
      </c>
      <c r="C4984" s="6">
        <v>0.23818892971435299</v>
      </c>
    </row>
    <row r="4985" spans="1:3" s="8" customFormat="1" x14ac:dyDescent="0.2">
      <c r="A4985" s="6" t="str">
        <f>"MOBP"</f>
        <v>MOBP</v>
      </c>
      <c r="B4985" s="6">
        <v>6.7932067932067894E-2</v>
      </c>
      <c r="C4985" s="6">
        <v>0.23818892971435299</v>
      </c>
    </row>
    <row r="4986" spans="1:3" s="8" customFormat="1" x14ac:dyDescent="0.2">
      <c r="A4986" s="6" t="str">
        <f>"TMEM52"</f>
        <v>TMEM52</v>
      </c>
      <c r="B4986" s="6">
        <v>6.7932067932067894E-2</v>
      </c>
      <c r="C4986" s="6">
        <v>0.23818892971435299</v>
      </c>
    </row>
    <row r="4987" spans="1:3" s="8" customFormat="1" x14ac:dyDescent="0.2">
      <c r="A4987" s="6" t="str">
        <f>"CAPN10-DT"</f>
        <v>CAPN10-DT</v>
      </c>
      <c r="B4987" s="6">
        <v>6.7932067932067894E-2</v>
      </c>
      <c r="C4987" s="6">
        <v>0.23818892971435299</v>
      </c>
    </row>
    <row r="4988" spans="1:3" s="8" customFormat="1" x14ac:dyDescent="0.2">
      <c r="A4988" s="6" t="str">
        <f>"MARCHF1"</f>
        <v>MARCHF1</v>
      </c>
      <c r="B4988" s="6">
        <v>6.7932067932067894E-2</v>
      </c>
      <c r="C4988" s="6">
        <v>0.23818892971435299</v>
      </c>
    </row>
    <row r="4989" spans="1:3" s="8" customFormat="1" x14ac:dyDescent="0.2">
      <c r="A4989" s="6" t="str">
        <f>"C9orf43"</f>
        <v>C9orf43</v>
      </c>
      <c r="B4989" s="6">
        <v>6.7932067932067894E-2</v>
      </c>
      <c r="C4989" s="6">
        <v>0.23818892971435299</v>
      </c>
    </row>
    <row r="4990" spans="1:3" s="8" customFormat="1" x14ac:dyDescent="0.2">
      <c r="A4990" s="6" t="str">
        <f>"PBX4"</f>
        <v>PBX4</v>
      </c>
      <c r="B4990" s="6">
        <v>6.7932067932067894E-2</v>
      </c>
      <c r="C4990" s="6">
        <v>0.23818892971435299</v>
      </c>
    </row>
    <row r="4991" spans="1:3" s="8" customFormat="1" x14ac:dyDescent="0.2">
      <c r="A4991" s="6" t="str">
        <f>"SLC25A21-AS1"</f>
        <v>SLC25A21-AS1</v>
      </c>
      <c r="B4991" s="6">
        <v>6.7932067932067894E-2</v>
      </c>
      <c r="C4991" s="6">
        <v>0.23818892971435299</v>
      </c>
    </row>
    <row r="4992" spans="1:3" s="8" customFormat="1" x14ac:dyDescent="0.2">
      <c r="A4992" s="6" t="str">
        <f>"LINC00326"</f>
        <v>LINC00326</v>
      </c>
      <c r="B4992" s="6">
        <v>6.7932067932067894E-2</v>
      </c>
      <c r="C4992" s="6">
        <v>0.23818892971435299</v>
      </c>
    </row>
    <row r="4993" spans="1:3" s="8" customFormat="1" x14ac:dyDescent="0.2">
      <c r="A4993" s="6" t="str">
        <f>"ZNF354B"</f>
        <v>ZNF354B</v>
      </c>
      <c r="B4993" s="6">
        <v>6.7932067932067894E-2</v>
      </c>
      <c r="C4993" s="6">
        <v>0.23818892971435299</v>
      </c>
    </row>
    <row r="4994" spans="1:3" s="8" customFormat="1" x14ac:dyDescent="0.2">
      <c r="A4994" s="6" t="str">
        <f>"C10orf88"</f>
        <v>C10orf88</v>
      </c>
      <c r="B4994" s="6">
        <v>6.7932067932067894E-2</v>
      </c>
      <c r="C4994" s="6">
        <v>0.23818892971435299</v>
      </c>
    </row>
    <row r="4995" spans="1:3" s="8" customFormat="1" x14ac:dyDescent="0.2">
      <c r="A4995" s="6" t="str">
        <f>"KDM8"</f>
        <v>KDM8</v>
      </c>
      <c r="B4995" s="6">
        <v>6.7932067932067894E-2</v>
      </c>
      <c r="C4995" s="6">
        <v>0.23818892971435299</v>
      </c>
    </row>
    <row r="4996" spans="1:3" s="8" customFormat="1" x14ac:dyDescent="0.2">
      <c r="A4996" s="6" t="str">
        <f>"WDR97"</f>
        <v>WDR97</v>
      </c>
      <c r="B4996" s="6">
        <v>6.7932067932067894E-2</v>
      </c>
      <c r="C4996" s="6">
        <v>0.23818892971435299</v>
      </c>
    </row>
    <row r="4997" spans="1:3" s="8" customFormat="1" x14ac:dyDescent="0.2">
      <c r="A4997" s="6" t="str">
        <f>"PDF"</f>
        <v>PDF</v>
      </c>
      <c r="B4997" s="6">
        <v>6.7932067932067894E-2</v>
      </c>
      <c r="C4997" s="6">
        <v>0.23818892971435299</v>
      </c>
    </row>
    <row r="4998" spans="1:3" s="8" customFormat="1" x14ac:dyDescent="0.2">
      <c r="A4998" s="6" t="str">
        <f>"LRRC36"</f>
        <v>LRRC36</v>
      </c>
      <c r="B4998" s="6">
        <v>6.7932067932067894E-2</v>
      </c>
      <c r="C4998" s="6">
        <v>0.23818892971435299</v>
      </c>
    </row>
    <row r="4999" spans="1:3" s="8" customFormat="1" x14ac:dyDescent="0.2">
      <c r="A4999" s="6" t="str">
        <f>"AC104825.1"</f>
        <v>AC104825.1</v>
      </c>
      <c r="B4999" s="6">
        <v>6.7932067932067894E-2</v>
      </c>
      <c r="C4999" s="6">
        <v>0.23818892971435299</v>
      </c>
    </row>
    <row r="5000" spans="1:3" s="8" customFormat="1" x14ac:dyDescent="0.2">
      <c r="A5000" s="6" t="str">
        <f>"SYTL4"</f>
        <v>SYTL4</v>
      </c>
      <c r="B5000" s="6">
        <v>6.7932067932067894E-2</v>
      </c>
      <c r="C5000" s="6">
        <v>0.23818892971435299</v>
      </c>
    </row>
    <row r="5001" spans="1:3" s="8" customFormat="1" x14ac:dyDescent="0.2">
      <c r="A5001" s="6" t="str">
        <f>"HLA-DQA2"</f>
        <v>HLA-DQA2</v>
      </c>
      <c r="B5001" s="6">
        <v>6.7932067932067894E-2</v>
      </c>
      <c r="C5001" s="6">
        <v>0.23818892971435299</v>
      </c>
    </row>
    <row r="5002" spans="1:3" s="8" customFormat="1" x14ac:dyDescent="0.2">
      <c r="A5002" s="6" t="str">
        <f>"ORC3"</f>
        <v>ORC3</v>
      </c>
      <c r="B5002" s="6">
        <v>6.7932067932067894E-2</v>
      </c>
      <c r="C5002" s="6">
        <v>0.23818892971435299</v>
      </c>
    </row>
    <row r="5003" spans="1:3" s="8" customFormat="1" x14ac:dyDescent="0.2">
      <c r="A5003" s="6" t="str">
        <f>"SDHAF4"</f>
        <v>SDHAF4</v>
      </c>
      <c r="B5003" s="6">
        <v>6.7932067932067894E-2</v>
      </c>
      <c r="C5003" s="6">
        <v>0.23818892971435299</v>
      </c>
    </row>
    <row r="5004" spans="1:3" s="8" customFormat="1" x14ac:dyDescent="0.2">
      <c r="A5004" s="6" t="str">
        <f>"AC090114.2"</f>
        <v>AC090114.2</v>
      </c>
      <c r="B5004" s="6">
        <v>6.7932067932067894E-2</v>
      </c>
      <c r="C5004" s="6">
        <v>0.23818892971435299</v>
      </c>
    </row>
    <row r="5005" spans="1:3" s="8" customFormat="1" x14ac:dyDescent="0.2">
      <c r="A5005" s="6" t="str">
        <f>"DUSP10"</f>
        <v>DUSP10</v>
      </c>
      <c r="B5005" s="6">
        <v>6.7932067932067894E-2</v>
      </c>
      <c r="C5005" s="6">
        <v>0.23818892971435299</v>
      </c>
    </row>
    <row r="5006" spans="1:3" s="8" customFormat="1" x14ac:dyDescent="0.2">
      <c r="A5006" s="6" t="str">
        <f>"ABHD5"</f>
        <v>ABHD5</v>
      </c>
      <c r="B5006" s="6">
        <v>6.7932067932067894E-2</v>
      </c>
      <c r="C5006" s="6">
        <v>0.23818892971435299</v>
      </c>
    </row>
    <row r="5007" spans="1:3" s="8" customFormat="1" x14ac:dyDescent="0.2">
      <c r="A5007" s="6" t="str">
        <f>"ESPN"</f>
        <v>ESPN</v>
      </c>
      <c r="B5007" s="6">
        <v>6.7932067932067894E-2</v>
      </c>
      <c r="C5007" s="6">
        <v>0.23818892971435299</v>
      </c>
    </row>
    <row r="5008" spans="1:3" s="8" customFormat="1" x14ac:dyDescent="0.2">
      <c r="A5008" s="6" t="str">
        <f>"CHID1"</f>
        <v>CHID1</v>
      </c>
      <c r="B5008" s="6">
        <v>6.7932067932067894E-2</v>
      </c>
      <c r="C5008" s="6">
        <v>0.23818892971435299</v>
      </c>
    </row>
    <row r="5009" spans="1:3" s="8" customFormat="1" x14ac:dyDescent="0.2">
      <c r="A5009" s="6" t="str">
        <f>"CIT"</f>
        <v>CIT</v>
      </c>
      <c r="B5009" s="6">
        <v>6.7932067932067894E-2</v>
      </c>
      <c r="C5009" s="6">
        <v>0.23818892971435299</v>
      </c>
    </row>
    <row r="5010" spans="1:3" s="8" customFormat="1" x14ac:dyDescent="0.2">
      <c r="A5010" s="6" t="str">
        <f>"AGO2"</f>
        <v>AGO2</v>
      </c>
      <c r="B5010" s="6">
        <v>6.7932067932067894E-2</v>
      </c>
      <c r="C5010" s="6">
        <v>0.23818892971435299</v>
      </c>
    </row>
    <row r="5011" spans="1:3" s="8" customFormat="1" x14ac:dyDescent="0.2">
      <c r="A5011" s="6" t="str">
        <f>"TPCN1"</f>
        <v>TPCN1</v>
      </c>
      <c r="B5011" s="6">
        <v>6.7932067932067894E-2</v>
      </c>
      <c r="C5011" s="6">
        <v>0.23818892971435299</v>
      </c>
    </row>
    <row r="5012" spans="1:3" s="8" customFormat="1" x14ac:dyDescent="0.2">
      <c r="A5012" s="6" t="str">
        <f>"GOLPH3L"</f>
        <v>GOLPH3L</v>
      </c>
      <c r="B5012" s="6">
        <v>6.7932067932067894E-2</v>
      </c>
      <c r="C5012" s="6">
        <v>0.23818892971435299</v>
      </c>
    </row>
    <row r="5013" spans="1:3" s="8" customFormat="1" x14ac:dyDescent="0.2">
      <c r="A5013" s="6" t="str">
        <f>"TBL1XR1"</f>
        <v>TBL1XR1</v>
      </c>
      <c r="B5013" s="6">
        <v>6.7932067932067894E-2</v>
      </c>
      <c r="C5013" s="6">
        <v>0.23818892971435299</v>
      </c>
    </row>
    <row r="5014" spans="1:3" s="8" customFormat="1" x14ac:dyDescent="0.2">
      <c r="A5014" s="6" t="str">
        <f>"SLC16A3"</f>
        <v>SLC16A3</v>
      </c>
      <c r="B5014" s="6">
        <v>6.7932067932067894E-2</v>
      </c>
      <c r="C5014" s="6">
        <v>0.23818892971435299</v>
      </c>
    </row>
    <row r="5015" spans="1:3" s="8" customFormat="1" x14ac:dyDescent="0.2">
      <c r="A5015" s="6" t="str">
        <f>"IQGAP1"</f>
        <v>IQGAP1</v>
      </c>
      <c r="B5015" s="6">
        <v>6.7932067932067894E-2</v>
      </c>
      <c r="C5015" s="6">
        <v>0.23818892971435299</v>
      </c>
    </row>
    <row r="5016" spans="1:3" s="8" customFormat="1" x14ac:dyDescent="0.2">
      <c r="A5016" s="6" t="str">
        <f>"RPL13A"</f>
        <v>RPL13A</v>
      </c>
      <c r="B5016" s="6">
        <v>6.7932067932067894E-2</v>
      </c>
      <c r="C5016" s="6">
        <v>0.23818892971435299</v>
      </c>
    </row>
    <row r="5017" spans="1:3" s="8" customFormat="1" x14ac:dyDescent="0.2">
      <c r="A5017" s="6" t="str">
        <f>"AL669831.4"</f>
        <v>AL669831.4</v>
      </c>
      <c r="B5017" s="6">
        <v>6.8000000000000005E-2</v>
      </c>
      <c r="C5017" s="6">
        <v>0.23833207095874001</v>
      </c>
    </row>
    <row r="5018" spans="1:3" s="8" customFormat="1" x14ac:dyDescent="0.2">
      <c r="A5018" s="6" t="str">
        <f>"MORN5"</f>
        <v>MORN5</v>
      </c>
      <c r="B5018" s="6">
        <v>6.8000000000000005E-2</v>
      </c>
      <c r="C5018" s="6">
        <v>0.23833207095874001</v>
      </c>
    </row>
    <row r="5019" spans="1:3" s="8" customFormat="1" x14ac:dyDescent="0.2">
      <c r="A5019" s="6" t="str">
        <f>"ZNF516-DT"</f>
        <v>ZNF516-DT</v>
      </c>
      <c r="B5019" s="6">
        <v>6.8068068068068005E-2</v>
      </c>
      <c r="C5019" s="6">
        <v>0.23852309862672499</v>
      </c>
    </row>
    <row r="5020" spans="1:3" s="8" customFormat="1" x14ac:dyDescent="0.2">
      <c r="A5020" s="6" t="str">
        <f>"AC138932.2"</f>
        <v>AC138932.2</v>
      </c>
      <c r="B5020" s="6">
        <v>6.82730923694779E-2</v>
      </c>
      <c r="C5020" s="6">
        <v>0.239193874521797</v>
      </c>
    </row>
    <row r="5021" spans="1:3" s="8" customFormat="1" x14ac:dyDescent="0.2">
      <c r="A5021" s="6" t="str">
        <f>"DLX2"</f>
        <v>DLX2</v>
      </c>
      <c r="B5021" s="6">
        <v>6.8931068931068901E-2</v>
      </c>
      <c r="C5021" s="6">
        <v>0.239921598591432</v>
      </c>
    </row>
    <row r="5022" spans="1:3" s="8" customFormat="1" x14ac:dyDescent="0.2">
      <c r="A5022" s="6" t="str">
        <f>"GGN"</f>
        <v>GGN</v>
      </c>
      <c r="B5022" s="6">
        <v>6.8931068931068901E-2</v>
      </c>
      <c r="C5022" s="6">
        <v>0.239921598591432</v>
      </c>
    </row>
    <row r="5023" spans="1:3" s="8" customFormat="1" x14ac:dyDescent="0.2">
      <c r="A5023" s="6" t="str">
        <f>"AC005332.3"</f>
        <v>AC005332.3</v>
      </c>
      <c r="B5023" s="6">
        <v>6.8886337543053899E-2</v>
      </c>
      <c r="C5023" s="6">
        <v>0.239921598591432</v>
      </c>
    </row>
    <row r="5024" spans="1:3" s="8" customFormat="1" x14ac:dyDescent="0.2">
      <c r="A5024" s="6" t="str">
        <f>"KY"</f>
        <v>KY</v>
      </c>
      <c r="B5024" s="6">
        <v>6.8931068931068901E-2</v>
      </c>
      <c r="C5024" s="6">
        <v>0.239921598591432</v>
      </c>
    </row>
    <row r="5025" spans="1:3" s="8" customFormat="1" x14ac:dyDescent="0.2">
      <c r="A5025" s="6" t="str">
        <f>"ANKAR"</f>
        <v>ANKAR</v>
      </c>
      <c r="B5025" s="6">
        <v>6.8931068931068901E-2</v>
      </c>
      <c r="C5025" s="6">
        <v>0.239921598591432</v>
      </c>
    </row>
    <row r="5026" spans="1:3" s="8" customFormat="1" x14ac:dyDescent="0.2">
      <c r="A5026" s="6" t="str">
        <f>"IGHG2"</f>
        <v>IGHG2</v>
      </c>
      <c r="B5026" s="6">
        <v>6.8931068931068901E-2</v>
      </c>
      <c r="C5026" s="6">
        <v>0.239921598591432</v>
      </c>
    </row>
    <row r="5027" spans="1:3" s="8" customFormat="1" x14ac:dyDescent="0.2">
      <c r="A5027" s="6" t="str">
        <f>"MMP25-AS1"</f>
        <v>MMP25-AS1</v>
      </c>
      <c r="B5027" s="6">
        <v>6.8931068931068901E-2</v>
      </c>
      <c r="C5027" s="6">
        <v>0.239921598591432</v>
      </c>
    </row>
    <row r="5028" spans="1:3" s="8" customFormat="1" x14ac:dyDescent="0.2">
      <c r="A5028" s="6" t="str">
        <f>"TMEM91"</f>
        <v>TMEM91</v>
      </c>
      <c r="B5028" s="6">
        <v>6.8931068931068901E-2</v>
      </c>
      <c r="C5028" s="6">
        <v>0.239921598591432</v>
      </c>
    </row>
    <row r="5029" spans="1:3" s="8" customFormat="1" x14ac:dyDescent="0.2">
      <c r="A5029" s="6" t="str">
        <f>"UHRF1"</f>
        <v>UHRF1</v>
      </c>
      <c r="B5029" s="6">
        <v>6.8931068931068901E-2</v>
      </c>
      <c r="C5029" s="6">
        <v>0.239921598591432</v>
      </c>
    </row>
    <row r="5030" spans="1:3" s="8" customFormat="1" x14ac:dyDescent="0.2">
      <c r="A5030" s="6" t="str">
        <f>"LINC02568"</f>
        <v>LINC02568</v>
      </c>
      <c r="B5030" s="6">
        <v>6.8931068931068901E-2</v>
      </c>
      <c r="C5030" s="6">
        <v>0.239921598591432</v>
      </c>
    </row>
    <row r="5031" spans="1:3" s="8" customFormat="1" x14ac:dyDescent="0.2">
      <c r="A5031" s="6" t="str">
        <f>"ADCK5"</f>
        <v>ADCK5</v>
      </c>
      <c r="B5031" s="6">
        <v>6.8931068931068901E-2</v>
      </c>
      <c r="C5031" s="6">
        <v>0.239921598591432</v>
      </c>
    </row>
    <row r="5032" spans="1:3" s="8" customFormat="1" x14ac:dyDescent="0.2">
      <c r="A5032" s="6" t="str">
        <f>"CHML"</f>
        <v>CHML</v>
      </c>
      <c r="B5032" s="6">
        <v>6.8931068931068901E-2</v>
      </c>
      <c r="C5032" s="6">
        <v>0.239921598591432</v>
      </c>
    </row>
    <row r="5033" spans="1:3" s="8" customFormat="1" x14ac:dyDescent="0.2">
      <c r="A5033" s="6" t="str">
        <f>"IKZF5"</f>
        <v>IKZF5</v>
      </c>
      <c r="B5033" s="6">
        <v>6.8931068931068901E-2</v>
      </c>
      <c r="C5033" s="6">
        <v>0.239921598591432</v>
      </c>
    </row>
    <row r="5034" spans="1:3" s="8" customFormat="1" x14ac:dyDescent="0.2">
      <c r="A5034" s="6" t="str">
        <f>"ANKDD1B"</f>
        <v>ANKDD1B</v>
      </c>
      <c r="B5034" s="6">
        <v>6.8931068931068901E-2</v>
      </c>
      <c r="C5034" s="6">
        <v>0.239921598591432</v>
      </c>
    </row>
    <row r="5035" spans="1:3" s="8" customFormat="1" x14ac:dyDescent="0.2">
      <c r="A5035" s="6" t="str">
        <f>"EHD3"</f>
        <v>EHD3</v>
      </c>
      <c r="B5035" s="6">
        <v>6.8931068931068901E-2</v>
      </c>
      <c r="C5035" s="6">
        <v>0.239921598591432</v>
      </c>
    </row>
    <row r="5036" spans="1:3" s="8" customFormat="1" x14ac:dyDescent="0.2">
      <c r="A5036" s="6" t="str">
        <f>"COQ2"</f>
        <v>COQ2</v>
      </c>
      <c r="B5036" s="6">
        <v>6.8931068931068901E-2</v>
      </c>
      <c r="C5036" s="6">
        <v>0.239921598591432</v>
      </c>
    </row>
    <row r="5037" spans="1:3" s="8" customFormat="1" x14ac:dyDescent="0.2">
      <c r="A5037" s="6" t="str">
        <f>"PDGFC"</f>
        <v>PDGFC</v>
      </c>
      <c r="B5037" s="6">
        <v>6.8931068931068901E-2</v>
      </c>
      <c r="C5037" s="6">
        <v>0.239921598591432</v>
      </c>
    </row>
    <row r="5038" spans="1:3" s="8" customFormat="1" x14ac:dyDescent="0.2">
      <c r="A5038" s="6" t="str">
        <f>"ABRAXAS1"</f>
        <v>ABRAXAS1</v>
      </c>
      <c r="B5038" s="6">
        <v>6.8931068931068901E-2</v>
      </c>
      <c r="C5038" s="6">
        <v>0.239921598591432</v>
      </c>
    </row>
    <row r="5039" spans="1:3" s="8" customFormat="1" x14ac:dyDescent="0.2">
      <c r="A5039" s="6" t="str">
        <f>"FOXRED1"</f>
        <v>FOXRED1</v>
      </c>
      <c r="B5039" s="6">
        <v>6.8931068931068901E-2</v>
      </c>
      <c r="C5039" s="6">
        <v>0.239921598591432</v>
      </c>
    </row>
    <row r="5040" spans="1:3" s="8" customFormat="1" x14ac:dyDescent="0.2">
      <c r="A5040" s="6" t="str">
        <f>"RAD17"</f>
        <v>RAD17</v>
      </c>
      <c r="B5040" s="6">
        <v>6.8931068931068901E-2</v>
      </c>
      <c r="C5040" s="6">
        <v>0.239921598591432</v>
      </c>
    </row>
    <row r="5041" spans="1:3" s="8" customFormat="1" x14ac:dyDescent="0.2">
      <c r="A5041" s="6" t="str">
        <f>"HOMEZ"</f>
        <v>HOMEZ</v>
      </c>
      <c r="B5041" s="6">
        <v>6.8931068931068901E-2</v>
      </c>
      <c r="C5041" s="6">
        <v>0.239921598591432</v>
      </c>
    </row>
    <row r="5042" spans="1:3" s="8" customFormat="1" x14ac:dyDescent="0.2">
      <c r="A5042" s="6" t="str">
        <f>"NMI"</f>
        <v>NMI</v>
      </c>
      <c r="B5042" s="6">
        <v>6.8931068931068901E-2</v>
      </c>
      <c r="C5042" s="6">
        <v>0.239921598591432</v>
      </c>
    </row>
    <row r="5043" spans="1:3" s="8" customFormat="1" x14ac:dyDescent="0.2">
      <c r="A5043" s="6" t="str">
        <f>"MEIS1"</f>
        <v>MEIS1</v>
      </c>
      <c r="B5043" s="6">
        <v>6.8931068931068901E-2</v>
      </c>
      <c r="C5043" s="6">
        <v>0.239921598591432</v>
      </c>
    </row>
    <row r="5044" spans="1:3" s="8" customFormat="1" x14ac:dyDescent="0.2">
      <c r="A5044" s="6" t="str">
        <f>"CCDC25"</f>
        <v>CCDC25</v>
      </c>
      <c r="B5044" s="6">
        <v>6.8931068931068901E-2</v>
      </c>
      <c r="C5044" s="6">
        <v>0.239921598591432</v>
      </c>
    </row>
    <row r="5045" spans="1:3" s="8" customFormat="1" x14ac:dyDescent="0.2">
      <c r="A5045" s="6" t="str">
        <f>"MTMR12"</f>
        <v>MTMR12</v>
      </c>
      <c r="B5045" s="6">
        <v>6.8931068931068901E-2</v>
      </c>
      <c r="C5045" s="6">
        <v>0.239921598591432</v>
      </c>
    </row>
    <row r="5046" spans="1:3" s="8" customFormat="1" x14ac:dyDescent="0.2">
      <c r="A5046" s="6" t="str">
        <f>"SLC45A4"</f>
        <v>SLC45A4</v>
      </c>
      <c r="B5046" s="6">
        <v>6.8931068931068901E-2</v>
      </c>
      <c r="C5046" s="6">
        <v>0.239921598591432</v>
      </c>
    </row>
    <row r="5047" spans="1:3" s="8" customFormat="1" x14ac:dyDescent="0.2">
      <c r="A5047" s="6" t="str">
        <f>"BUD31"</f>
        <v>BUD31</v>
      </c>
      <c r="B5047" s="6">
        <v>6.8931068931068901E-2</v>
      </c>
      <c r="C5047" s="6">
        <v>0.239921598591432</v>
      </c>
    </row>
    <row r="5048" spans="1:3" s="8" customFormat="1" x14ac:dyDescent="0.2">
      <c r="A5048" s="6" t="str">
        <f>"NDUFA10"</f>
        <v>NDUFA10</v>
      </c>
      <c r="B5048" s="6">
        <v>6.8931068931068901E-2</v>
      </c>
      <c r="C5048" s="6">
        <v>0.239921598591432</v>
      </c>
    </row>
    <row r="5049" spans="1:3" s="8" customFormat="1" x14ac:dyDescent="0.2">
      <c r="A5049" s="6" t="str">
        <f>"CCDC40"</f>
        <v>CCDC40</v>
      </c>
      <c r="B5049" s="6">
        <v>6.8931068931068901E-2</v>
      </c>
      <c r="C5049" s="6">
        <v>0.239921598591432</v>
      </c>
    </row>
    <row r="5050" spans="1:3" s="8" customFormat="1" x14ac:dyDescent="0.2">
      <c r="A5050" s="6" t="str">
        <f>"B3GNT3"</f>
        <v>B3GNT3</v>
      </c>
      <c r="B5050" s="6">
        <v>6.8931068931068901E-2</v>
      </c>
      <c r="C5050" s="6">
        <v>0.239921598591432</v>
      </c>
    </row>
    <row r="5051" spans="1:3" s="8" customFormat="1" x14ac:dyDescent="0.2">
      <c r="A5051" s="6" t="str">
        <f>"VPS13C"</f>
        <v>VPS13C</v>
      </c>
      <c r="B5051" s="6">
        <v>6.8931068931068901E-2</v>
      </c>
      <c r="C5051" s="6">
        <v>0.239921598591432</v>
      </c>
    </row>
    <row r="5052" spans="1:3" s="8" customFormat="1" x14ac:dyDescent="0.2">
      <c r="A5052" s="6" t="str">
        <f>"SERINC2"</f>
        <v>SERINC2</v>
      </c>
      <c r="B5052" s="6">
        <v>6.8931068931068901E-2</v>
      </c>
      <c r="C5052" s="6">
        <v>0.239921598591432</v>
      </c>
    </row>
    <row r="5053" spans="1:3" s="8" customFormat="1" x14ac:dyDescent="0.2">
      <c r="A5053" s="6" t="str">
        <f>"ADAR"</f>
        <v>ADAR</v>
      </c>
      <c r="B5053" s="6">
        <v>6.8931068931068901E-2</v>
      </c>
      <c r="C5053" s="6">
        <v>0.239921598591432</v>
      </c>
    </row>
    <row r="5054" spans="1:3" s="8" customFormat="1" x14ac:dyDescent="0.2">
      <c r="A5054" s="6" t="str">
        <f>"ATP5F1AP3"</f>
        <v>ATP5F1AP3</v>
      </c>
      <c r="B5054" s="6">
        <v>6.9000000000000006E-2</v>
      </c>
      <c r="C5054" s="6">
        <v>0.24011399168810599</v>
      </c>
    </row>
    <row r="5055" spans="1:3" s="8" customFormat="1" x14ac:dyDescent="0.2">
      <c r="A5055" s="6" t="str">
        <f>"TMEM266"</f>
        <v>TMEM266</v>
      </c>
      <c r="B5055" s="6">
        <v>6.9351230425055893E-2</v>
      </c>
      <c r="C5055" s="6">
        <v>0.24128849145116399</v>
      </c>
    </row>
    <row r="5056" spans="1:3" s="8" customFormat="1" x14ac:dyDescent="0.2">
      <c r="A5056" s="6" t="str">
        <f>"AC098969.1"</f>
        <v>AC098969.1</v>
      </c>
      <c r="B5056" s="6">
        <v>6.9930069930069894E-2</v>
      </c>
      <c r="C5056" s="6">
        <v>0.24220018704950699</v>
      </c>
    </row>
    <row r="5057" spans="1:3" s="8" customFormat="1" x14ac:dyDescent="0.2">
      <c r="A5057" s="6" t="str">
        <f>"GPC3"</f>
        <v>GPC3</v>
      </c>
      <c r="B5057" s="6">
        <v>6.9930069930069894E-2</v>
      </c>
      <c r="C5057" s="6">
        <v>0.24220018704950699</v>
      </c>
    </row>
    <row r="5058" spans="1:3" s="8" customFormat="1" x14ac:dyDescent="0.2">
      <c r="A5058" s="6" t="str">
        <f>"AC018553.2"</f>
        <v>AC018553.2</v>
      </c>
      <c r="B5058" s="6">
        <v>6.9838056680161895E-2</v>
      </c>
      <c r="C5058" s="6">
        <v>0.24220018704950699</v>
      </c>
    </row>
    <row r="5059" spans="1:3" s="8" customFormat="1" x14ac:dyDescent="0.2">
      <c r="A5059" s="6" t="str">
        <f>"AL034417.4"</f>
        <v>AL034417.4</v>
      </c>
      <c r="B5059" s="6">
        <v>6.9930069930069894E-2</v>
      </c>
      <c r="C5059" s="6">
        <v>0.24220018704950699</v>
      </c>
    </row>
    <row r="5060" spans="1:3" s="8" customFormat="1" x14ac:dyDescent="0.2">
      <c r="A5060" s="6" t="str">
        <f>"RASGRP3"</f>
        <v>RASGRP3</v>
      </c>
      <c r="B5060" s="6">
        <v>6.9930069930069894E-2</v>
      </c>
      <c r="C5060" s="6">
        <v>0.24220018704950699</v>
      </c>
    </row>
    <row r="5061" spans="1:3" s="8" customFormat="1" x14ac:dyDescent="0.2">
      <c r="A5061" s="6" t="str">
        <f>"RASGRP1"</f>
        <v>RASGRP1</v>
      </c>
      <c r="B5061" s="6">
        <v>6.9930069930069894E-2</v>
      </c>
      <c r="C5061" s="6">
        <v>0.24220018704950699</v>
      </c>
    </row>
    <row r="5062" spans="1:3" s="8" customFormat="1" x14ac:dyDescent="0.2">
      <c r="A5062" s="6" t="str">
        <f>"CERCAM"</f>
        <v>CERCAM</v>
      </c>
      <c r="B5062" s="6">
        <v>6.9930069930069894E-2</v>
      </c>
      <c r="C5062" s="6">
        <v>0.24220018704950699</v>
      </c>
    </row>
    <row r="5063" spans="1:3" s="8" customFormat="1" x14ac:dyDescent="0.2">
      <c r="A5063" s="6" t="str">
        <f>"WDR4"</f>
        <v>WDR4</v>
      </c>
      <c r="B5063" s="6">
        <v>6.9930069930069894E-2</v>
      </c>
      <c r="C5063" s="6">
        <v>0.24220018704950699</v>
      </c>
    </row>
    <row r="5064" spans="1:3" s="8" customFormat="1" x14ac:dyDescent="0.2">
      <c r="A5064" s="6" t="str">
        <f>"NDRG4"</f>
        <v>NDRG4</v>
      </c>
      <c r="B5064" s="6">
        <v>6.9930069930069894E-2</v>
      </c>
      <c r="C5064" s="6">
        <v>0.24220018704950699</v>
      </c>
    </row>
    <row r="5065" spans="1:3" s="8" customFormat="1" x14ac:dyDescent="0.2">
      <c r="A5065" s="6" t="str">
        <f>"C4orf48"</f>
        <v>C4orf48</v>
      </c>
      <c r="B5065" s="6">
        <v>6.9930069930069894E-2</v>
      </c>
      <c r="C5065" s="6">
        <v>0.24220018704950699</v>
      </c>
    </row>
    <row r="5066" spans="1:3" s="8" customFormat="1" x14ac:dyDescent="0.2">
      <c r="A5066" s="6" t="str">
        <f>"TMEM61"</f>
        <v>TMEM61</v>
      </c>
      <c r="B5066" s="6">
        <v>6.9930069930069894E-2</v>
      </c>
      <c r="C5066" s="6">
        <v>0.24220018704950699</v>
      </c>
    </row>
    <row r="5067" spans="1:3" s="8" customFormat="1" x14ac:dyDescent="0.2">
      <c r="A5067" s="6" t="str">
        <f>"MFSD8"</f>
        <v>MFSD8</v>
      </c>
      <c r="B5067" s="6">
        <v>6.9930069930069894E-2</v>
      </c>
      <c r="C5067" s="6">
        <v>0.24220018704950699</v>
      </c>
    </row>
    <row r="5068" spans="1:3" s="8" customFormat="1" x14ac:dyDescent="0.2">
      <c r="A5068" s="6" t="str">
        <f>"CLPB"</f>
        <v>CLPB</v>
      </c>
      <c r="B5068" s="6">
        <v>6.9930069930069894E-2</v>
      </c>
      <c r="C5068" s="6">
        <v>0.24220018704950699</v>
      </c>
    </row>
    <row r="5069" spans="1:3" s="8" customFormat="1" x14ac:dyDescent="0.2">
      <c r="A5069" s="6" t="str">
        <f>"MFHAS1"</f>
        <v>MFHAS1</v>
      </c>
      <c r="B5069" s="6">
        <v>6.9930069930069894E-2</v>
      </c>
      <c r="C5069" s="6">
        <v>0.24220018704950699</v>
      </c>
    </row>
    <row r="5070" spans="1:3" s="8" customFormat="1" x14ac:dyDescent="0.2">
      <c r="A5070" s="6" t="str">
        <f>"GHDC"</f>
        <v>GHDC</v>
      </c>
      <c r="B5070" s="6">
        <v>6.9930069930069894E-2</v>
      </c>
      <c r="C5070" s="6">
        <v>0.24220018704950699</v>
      </c>
    </row>
    <row r="5071" spans="1:3" s="8" customFormat="1" x14ac:dyDescent="0.2">
      <c r="A5071" s="6" t="str">
        <f>"RNF25"</f>
        <v>RNF25</v>
      </c>
      <c r="B5071" s="6">
        <v>6.9930069930069894E-2</v>
      </c>
      <c r="C5071" s="6">
        <v>0.24220018704950699</v>
      </c>
    </row>
    <row r="5072" spans="1:3" s="8" customFormat="1" x14ac:dyDescent="0.2">
      <c r="A5072" s="6" t="str">
        <f>"TPRN"</f>
        <v>TPRN</v>
      </c>
      <c r="B5072" s="6">
        <v>6.9930069930069894E-2</v>
      </c>
      <c r="C5072" s="6">
        <v>0.24220018704950699</v>
      </c>
    </row>
    <row r="5073" spans="1:3" s="8" customFormat="1" x14ac:dyDescent="0.2">
      <c r="A5073" s="6" t="str">
        <f>"NME3"</f>
        <v>NME3</v>
      </c>
      <c r="B5073" s="6">
        <v>6.9930069930069894E-2</v>
      </c>
      <c r="C5073" s="6">
        <v>0.24220018704950699</v>
      </c>
    </row>
    <row r="5074" spans="1:3" s="8" customFormat="1" x14ac:dyDescent="0.2">
      <c r="A5074" s="6" t="str">
        <f>"THAP9-AS1"</f>
        <v>THAP9-AS1</v>
      </c>
      <c r="B5074" s="6">
        <v>6.9930069930069894E-2</v>
      </c>
      <c r="C5074" s="6">
        <v>0.24220018704950699</v>
      </c>
    </row>
    <row r="5075" spans="1:3" s="8" customFormat="1" x14ac:dyDescent="0.2">
      <c r="A5075" s="6" t="str">
        <f>"TXNDC17"</f>
        <v>TXNDC17</v>
      </c>
      <c r="B5075" s="6">
        <v>6.9930069930069894E-2</v>
      </c>
      <c r="C5075" s="6">
        <v>0.24220018704950699</v>
      </c>
    </row>
    <row r="5076" spans="1:3" s="8" customFormat="1" x14ac:dyDescent="0.2">
      <c r="A5076" s="6" t="str">
        <f>"CSE1L"</f>
        <v>CSE1L</v>
      </c>
      <c r="B5076" s="6">
        <v>6.9930069930069894E-2</v>
      </c>
      <c r="C5076" s="6">
        <v>0.24220018704950699</v>
      </c>
    </row>
    <row r="5077" spans="1:3" s="8" customFormat="1" x14ac:dyDescent="0.2">
      <c r="A5077" s="6" t="str">
        <f>"HIPK3"</f>
        <v>HIPK3</v>
      </c>
      <c r="B5077" s="6">
        <v>6.9930069930069894E-2</v>
      </c>
      <c r="C5077" s="6">
        <v>0.24220018704950699</v>
      </c>
    </row>
    <row r="5078" spans="1:3" s="8" customFormat="1" x14ac:dyDescent="0.2">
      <c r="A5078" s="6" t="str">
        <f>"AHSA1"</f>
        <v>AHSA1</v>
      </c>
      <c r="B5078" s="6">
        <v>6.9930069930069894E-2</v>
      </c>
      <c r="C5078" s="6">
        <v>0.24220018704950699</v>
      </c>
    </row>
    <row r="5079" spans="1:3" s="8" customFormat="1" x14ac:dyDescent="0.2">
      <c r="A5079" s="6" t="str">
        <f>"FGF14-IT1"</f>
        <v>FGF14-IT1</v>
      </c>
      <c r="B5079" s="6">
        <v>7.0000000000000007E-2</v>
      </c>
      <c r="C5079" s="6">
        <v>0.242203856749311</v>
      </c>
    </row>
    <row r="5080" spans="1:3" s="8" customFormat="1" x14ac:dyDescent="0.2">
      <c r="A5080" s="6" t="str">
        <f>"AL034546.1"</f>
        <v>AL034546.1</v>
      </c>
      <c r="B5080" s="6">
        <v>7.0000000000000007E-2</v>
      </c>
      <c r="C5080" s="6">
        <v>0.242203856749311</v>
      </c>
    </row>
    <row r="5081" spans="1:3" s="8" customFormat="1" x14ac:dyDescent="0.2">
      <c r="A5081" s="6" t="str">
        <f>"BHLHB9"</f>
        <v>BHLHB9</v>
      </c>
      <c r="B5081" s="6">
        <v>7.0000000000000007E-2</v>
      </c>
      <c r="C5081" s="6">
        <v>0.242203856749311</v>
      </c>
    </row>
    <row r="5082" spans="1:3" s="8" customFormat="1" x14ac:dyDescent="0.2">
      <c r="A5082" s="6" t="str">
        <f>"SERAC1"</f>
        <v>SERAC1</v>
      </c>
      <c r="B5082" s="6">
        <v>7.0000000000000007E-2</v>
      </c>
      <c r="C5082" s="6">
        <v>0.242203856749311</v>
      </c>
    </row>
    <row r="5083" spans="1:3" s="8" customFormat="1" x14ac:dyDescent="0.2">
      <c r="A5083" s="6" t="str">
        <f>"ANKUB1"</f>
        <v>ANKUB1</v>
      </c>
      <c r="B5083" s="6">
        <v>7.0000000000000007E-2</v>
      </c>
      <c r="C5083" s="6">
        <v>0.242203856749311</v>
      </c>
    </row>
    <row r="5084" spans="1:3" s="8" customFormat="1" x14ac:dyDescent="0.2">
      <c r="A5084" s="6" t="str">
        <f>"RGP1"</f>
        <v>RGP1</v>
      </c>
      <c r="B5084" s="6">
        <v>7.0070070070070004E-2</v>
      </c>
      <c r="C5084" s="6">
        <v>0.24239860556996101</v>
      </c>
    </row>
    <row r="5085" spans="1:3" s="8" customFormat="1" x14ac:dyDescent="0.2">
      <c r="A5085" s="6" t="str">
        <f>"AL138479.2"</f>
        <v>AL138479.2</v>
      </c>
      <c r="B5085" s="6">
        <v>7.09290709290709E-2</v>
      </c>
      <c r="C5085" s="6">
        <v>0.24388282816127901</v>
      </c>
    </row>
    <row r="5086" spans="1:3" s="8" customFormat="1" x14ac:dyDescent="0.2">
      <c r="A5086" s="6" t="str">
        <f>"AL035425.3"</f>
        <v>AL035425.3</v>
      </c>
      <c r="B5086" s="6">
        <v>7.09290709290709E-2</v>
      </c>
      <c r="C5086" s="6">
        <v>0.24388282816127901</v>
      </c>
    </row>
    <row r="5087" spans="1:3" s="8" customFormat="1" x14ac:dyDescent="0.2">
      <c r="A5087" s="6" t="str">
        <f>"AL357079.3"</f>
        <v>AL357079.3</v>
      </c>
      <c r="B5087" s="6">
        <v>7.0776255707762498E-2</v>
      </c>
      <c r="C5087" s="6">
        <v>0.24388282816127901</v>
      </c>
    </row>
    <row r="5088" spans="1:3" s="8" customFormat="1" x14ac:dyDescent="0.2">
      <c r="A5088" s="6" t="str">
        <f>"NT5DC4"</f>
        <v>NT5DC4</v>
      </c>
      <c r="B5088" s="6">
        <v>7.09290709290709E-2</v>
      </c>
      <c r="C5088" s="6">
        <v>0.24388282816127901</v>
      </c>
    </row>
    <row r="5089" spans="1:3" s="8" customFormat="1" x14ac:dyDescent="0.2">
      <c r="A5089" s="6" t="str">
        <f>"SLC30A2"</f>
        <v>SLC30A2</v>
      </c>
      <c r="B5089" s="6">
        <v>7.09290709290709E-2</v>
      </c>
      <c r="C5089" s="6">
        <v>0.24388282816127901</v>
      </c>
    </row>
    <row r="5090" spans="1:3" s="8" customFormat="1" x14ac:dyDescent="0.2">
      <c r="A5090" s="6" t="str">
        <f>"AP001042.3"</f>
        <v>AP001042.3</v>
      </c>
      <c r="B5090" s="6">
        <v>7.09290709290709E-2</v>
      </c>
      <c r="C5090" s="6">
        <v>0.24388282816127901</v>
      </c>
    </row>
    <row r="5091" spans="1:3" s="8" customFormat="1" x14ac:dyDescent="0.2">
      <c r="A5091" s="6" t="str">
        <f>"AC005840.4"</f>
        <v>AC005840.4</v>
      </c>
      <c r="B5091" s="6">
        <v>7.09290709290709E-2</v>
      </c>
      <c r="C5091" s="6">
        <v>0.24388282816127901</v>
      </c>
    </row>
    <row r="5092" spans="1:3" s="8" customFormat="1" x14ac:dyDescent="0.2">
      <c r="A5092" s="6" t="str">
        <f>"AC019117.1"</f>
        <v>AC019117.1</v>
      </c>
      <c r="B5092" s="6">
        <v>7.09290709290709E-2</v>
      </c>
      <c r="C5092" s="6">
        <v>0.24388282816127901</v>
      </c>
    </row>
    <row r="5093" spans="1:3" s="8" customFormat="1" x14ac:dyDescent="0.2">
      <c r="A5093" s="6" t="str">
        <f>"CACNG4"</f>
        <v>CACNG4</v>
      </c>
      <c r="B5093" s="6">
        <v>7.09290709290709E-2</v>
      </c>
      <c r="C5093" s="6">
        <v>0.24388282816127901</v>
      </c>
    </row>
    <row r="5094" spans="1:3" s="8" customFormat="1" x14ac:dyDescent="0.2">
      <c r="A5094" s="6" t="str">
        <f>"BLM"</f>
        <v>BLM</v>
      </c>
      <c r="B5094" s="6">
        <v>7.09290709290709E-2</v>
      </c>
      <c r="C5094" s="6">
        <v>0.24388282816127901</v>
      </c>
    </row>
    <row r="5095" spans="1:3" s="8" customFormat="1" x14ac:dyDescent="0.2">
      <c r="A5095" s="6" t="str">
        <f>"ZNF790"</f>
        <v>ZNF790</v>
      </c>
      <c r="B5095" s="6">
        <v>7.09290709290709E-2</v>
      </c>
      <c r="C5095" s="6">
        <v>0.24388282816127901</v>
      </c>
    </row>
    <row r="5096" spans="1:3" s="8" customFormat="1" x14ac:dyDescent="0.2">
      <c r="A5096" s="6" t="str">
        <f>"COPZ2"</f>
        <v>COPZ2</v>
      </c>
      <c r="B5096" s="6">
        <v>7.09290709290709E-2</v>
      </c>
      <c r="C5096" s="6">
        <v>0.24388282816127901</v>
      </c>
    </row>
    <row r="5097" spans="1:3" s="8" customFormat="1" x14ac:dyDescent="0.2">
      <c r="A5097" s="6" t="str">
        <f>"RABEPK"</f>
        <v>RABEPK</v>
      </c>
      <c r="B5097" s="6">
        <v>7.09290709290709E-2</v>
      </c>
      <c r="C5097" s="6">
        <v>0.24388282816127901</v>
      </c>
    </row>
    <row r="5098" spans="1:3" s="8" customFormat="1" x14ac:dyDescent="0.2">
      <c r="A5098" s="6" t="str">
        <f>"PDP2"</f>
        <v>PDP2</v>
      </c>
      <c r="B5098" s="6">
        <v>7.09290709290709E-2</v>
      </c>
      <c r="C5098" s="6">
        <v>0.24388282816127901</v>
      </c>
    </row>
    <row r="5099" spans="1:3" s="8" customFormat="1" x14ac:dyDescent="0.2">
      <c r="A5099" s="6" t="str">
        <f>"LTBP2"</f>
        <v>LTBP2</v>
      </c>
      <c r="B5099" s="6">
        <v>7.09290709290709E-2</v>
      </c>
      <c r="C5099" s="6">
        <v>0.24388282816127901</v>
      </c>
    </row>
    <row r="5100" spans="1:3" s="8" customFormat="1" x14ac:dyDescent="0.2">
      <c r="A5100" s="6" t="str">
        <f>"RMND5B"</f>
        <v>RMND5B</v>
      </c>
      <c r="B5100" s="6">
        <v>7.09290709290709E-2</v>
      </c>
      <c r="C5100" s="6">
        <v>0.24388282816127901</v>
      </c>
    </row>
    <row r="5101" spans="1:3" s="8" customFormat="1" x14ac:dyDescent="0.2">
      <c r="A5101" s="6" t="str">
        <f>"OSER1"</f>
        <v>OSER1</v>
      </c>
      <c r="B5101" s="6">
        <v>7.09290709290709E-2</v>
      </c>
      <c r="C5101" s="6">
        <v>0.24388282816127901</v>
      </c>
    </row>
    <row r="5102" spans="1:3" s="8" customFormat="1" x14ac:dyDescent="0.2">
      <c r="A5102" s="6" t="str">
        <f>"ACTL6A"</f>
        <v>ACTL6A</v>
      </c>
      <c r="B5102" s="6">
        <v>7.09290709290709E-2</v>
      </c>
      <c r="C5102" s="6">
        <v>0.24388282816127901</v>
      </c>
    </row>
    <row r="5103" spans="1:3" s="8" customFormat="1" x14ac:dyDescent="0.2">
      <c r="A5103" s="6" t="str">
        <f>"SMDT1"</f>
        <v>SMDT1</v>
      </c>
      <c r="B5103" s="6">
        <v>7.09290709290709E-2</v>
      </c>
      <c r="C5103" s="6">
        <v>0.24388282816127901</v>
      </c>
    </row>
    <row r="5104" spans="1:3" s="8" customFormat="1" x14ac:dyDescent="0.2">
      <c r="A5104" s="6" t="str">
        <f>"AFAP1"</f>
        <v>AFAP1</v>
      </c>
      <c r="B5104" s="6">
        <v>7.09290709290709E-2</v>
      </c>
      <c r="C5104" s="6">
        <v>0.24388282816127901</v>
      </c>
    </row>
    <row r="5105" spans="1:3" s="8" customFormat="1" x14ac:dyDescent="0.2">
      <c r="A5105" s="6" t="str">
        <f>"COLGALT1"</f>
        <v>COLGALT1</v>
      </c>
      <c r="B5105" s="6">
        <v>7.09290709290709E-2</v>
      </c>
      <c r="C5105" s="6">
        <v>0.24388282816127901</v>
      </c>
    </row>
    <row r="5106" spans="1:3" s="8" customFormat="1" x14ac:dyDescent="0.2">
      <c r="A5106" s="6" t="str">
        <f>"GUF1"</f>
        <v>GUF1</v>
      </c>
      <c r="B5106" s="6">
        <v>7.09290709290709E-2</v>
      </c>
      <c r="C5106" s="6">
        <v>0.24388282816127901</v>
      </c>
    </row>
    <row r="5107" spans="1:3" s="8" customFormat="1" x14ac:dyDescent="0.2">
      <c r="A5107" s="6" t="str">
        <f>"TRAF3"</f>
        <v>TRAF3</v>
      </c>
      <c r="B5107" s="6">
        <v>7.09290709290709E-2</v>
      </c>
      <c r="C5107" s="6">
        <v>0.24388282816127901</v>
      </c>
    </row>
    <row r="5108" spans="1:3" s="8" customFormat="1" x14ac:dyDescent="0.2">
      <c r="A5108" s="6" t="str">
        <f>"VCL"</f>
        <v>VCL</v>
      </c>
      <c r="B5108" s="6">
        <v>7.09290709290709E-2</v>
      </c>
      <c r="C5108" s="6">
        <v>0.24388282816127901</v>
      </c>
    </row>
    <row r="5109" spans="1:3" s="8" customFormat="1" x14ac:dyDescent="0.2">
      <c r="A5109" s="6" t="str">
        <f>"DDI2"</f>
        <v>DDI2</v>
      </c>
      <c r="B5109" s="6">
        <v>7.09290709290709E-2</v>
      </c>
      <c r="C5109" s="6">
        <v>0.24388282816127901</v>
      </c>
    </row>
    <row r="5110" spans="1:3" s="8" customFormat="1" x14ac:dyDescent="0.2">
      <c r="A5110" s="6" t="str">
        <f>"PER2"</f>
        <v>PER2</v>
      </c>
      <c r="B5110" s="6">
        <v>7.09290709290709E-2</v>
      </c>
      <c r="C5110" s="6">
        <v>0.24388282816127901</v>
      </c>
    </row>
    <row r="5111" spans="1:3" s="8" customFormat="1" x14ac:dyDescent="0.2">
      <c r="A5111" s="6" t="str">
        <f>"MUC20P1"</f>
        <v>MUC20P1</v>
      </c>
      <c r="B5111" s="6">
        <v>7.09290709290709E-2</v>
      </c>
      <c r="C5111" s="6">
        <v>0.24388282816127901</v>
      </c>
    </row>
    <row r="5112" spans="1:3" s="8" customFormat="1" x14ac:dyDescent="0.2">
      <c r="A5112" s="6" t="str">
        <f>"SH3GLB2"</f>
        <v>SH3GLB2</v>
      </c>
      <c r="B5112" s="6">
        <v>7.09290709290709E-2</v>
      </c>
      <c r="C5112" s="6">
        <v>0.24388282816127901</v>
      </c>
    </row>
    <row r="5113" spans="1:3" s="8" customFormat="1" x14ac:dyDescent="0.2">
      <c r="A5113" s="6" t="str">
        <f>"PARVA"</f>
        <v>PARVA</v>
      </c>
      <c r="B5113" s="6">
        <v>7.09290709290709E-2</v>
      </c>
      <c r="C5113" s="6">
        <v>0.24388282816127901</v>
      </c>
    </row>
    <row r="5114" spans="1:3" s="8" customFormat="1" x14ac:dyDescent="0.2">
      <c r="A5114" s="6" t="str">
        <f>"TSC22D1"</f>
        <v>TSC22D1</v>
      </c>
      <c r="B5114" s="6">
        <v>7.09290709290709E-2</v>
      </c>
      <c r="C5114" s="6">
        <v>0.24388282816127901</v>
      </c>
    </row>
    <row r="5115" spans="1:3" s="8" customFormat="1" x14ac:dyDescent="0.2">
      <c r="A5115" s="6" t="str">
        <f>"FOXJ1"</f>
        <v>FOXJ1</v>
      </c>
      <c r="B5115" s="6">
        <v>7.09290709290709E-2</v>
      </c>
      <c r="C5115" s="6">
        <v>0.24388282816127901</v>
      </c>
    </row>
    <row r="5116" spans="1:3" s="8" customFormat="1" x14ac:dyDescent="0.2">
      <c r="A5116" s="6" t="str">
        <f>"RPL23AP53"</f>
        <v>RPL23AP53</v>
      </c>
      <c r="B5116" s="6">
        <v>7.0999999999999994E-2</v>
      </c>
      <c r="C5116" s="6">
        <v>0.24398358413132601</v>
      </c>
    </row>
    <row r="5117" spans="1:3" s="8" customFormat="1" x14ac:dyDescent="0.2">
      <c r="A5117" s="6" t="str">
        <f>"TNKS1BP1"</f>
        <v>TNKS1BP1</v>
      </c>
      <c r="B5117" s="6">
        <v>7.0999999999999994E-2</v>
      </c>
      <c r="C5117" s="6">
        <v>0.24398358413132601</v>
      </c>
    </row>
    <row r="5118" spans="1:3" s="8" customFormat="1" x14ac:dyDescent="0.2">
      <c r="A5118" s="6" t="str">
        <f>"CHD3"</f>
        <v>CHD3</v>
      </c>
      <c r="B5118" s="6">
        <v>7.0999999999999994E-2</v>
      </c>
      <c r="C5118" s="6">
        <v>0.24398358413132601</v>
      </c>
    </row>
    <row r="5119" spans="1:3" s="8" customFormat="1" x14ac:dyDescent="0.2">
      <c r="A5119" s="6" t="str">
        <f>"LINC01441"</f>
        <v>LINC01441</v>
      </c>
      <c r="B5119" s="6">
        <v>7.1120689655172403E-2</v>
      </c>
      <c r="C5119" s="6">
        <v>0.24435056797509799</v>
      </c>
    </row>
    <row r="5120" spans="1:3" s="8" customFormat="1" x14ac:dyDescent="0.2">
      <c r="A5120" s="6" t="str">
        <f>"EIF4BP7"</f>
        <v>EIF4BP7</v>
      </c>
      <c r="B5120" s="6">
        <v>7.1280991735537105E-2</v>
      </c>
      <c r="C5120" s="6">
        <v>0.24485347893684001</v>
      </c>
    </row>
    <row r="5121" spans="1:3" s="8" customFormat="1" x14ac:dyDescent="0.2">
      <c r="A5121" s="6" t="str">
        <f>"OR2T12"</f>
        <v>OR2T12</v>
      </c>
      <c r="B5121" s="6">
        <v>7.1928071928071893E-2</v>
      </c>
      <c r="C5121" s="6">
        <v>0.24544599588263399</v>
      </c>
    </row>
    <row r="5122" spans="1:3" s="8" customFormat="1" x14ac:dyDescent="0.2">
      <c r="A5122" s="6" t="str">
        <f>"AC006511.5"</f>
        <v>AC006511.5</v>
      </c>
      <c r="B5122" s="6">
        <v>7.1928071928071893E-2</v>
      </c>
      <c r="C5122" s="6">
        <v>0.24544599588263399</v>
      </c>
    </row>
    <row r="5123" spans="1:3" s="8" customFormat="1" x14ac:dyDescent="0.2">
      <c r="A5123" s="6" t="str">
        <f>"AC024361.2"</f>
        <v>AC024361.2</v>
      </c>
      <c r="B5123" s="6">
        <v>7.1928071928071893E-2</v>
      </c>
      <c r="C5123" s="6">
        <v>0.24544599588263399</v>
      </c>
    </row>
    <row r="5124" spans="1:3" s="8" customFormat="1" x14ac:dyDescent="0.2">
      <c r="A5124" s="6" t="str">
        <f>"ARHGEF25"</f>
        <v>ARHGEF25</v>
      </c>
      <c r="B5124" s="6">
        <v>7.1928071928071893E-2</v>
      </c>
      <c r="C5124" s="6">
        <v>0.24544599588263399</v>
      </c>
    </row>
    <row r="5125" spans="1:3" s="8" customFormat="1" x14ac:dyDescent="0.2">
      <c r="A5125" s="6" t="str">
        <f>"AC007780.1"</f>
        <v>AC007780.1</v>
      </c>
      <c r="B5125" s="6">
        <v>7.1928071928071893E-2</v>
      </c>
      <c r="C5125" s="6">
        <v>0.24544599588263399</v>
      </c>
    </row>
    <row r="5126" spans="1:3" s="8" customFormat="1" x14ac:dyDescent="0.2">
      <c r="A5126" s="6" t="str">
        <f>"SCN2B"</f>
        <v>SCN2B</v>
      </c>
      <c r="B5126" s="6">
        <v>7.1928071928071893E-2</v>
      </c>
      <c r="C5126" s="6">
        <v>0.24544599588263399</v>
      </c>
    </row>
    <row r="5127" spans="1:3" s="8" customFormat="1" x14ac:dyDescent="0.2">
      <c r="A5127" s="6" t="str">
        <f>"DACH1"</f>
        <v>DACH1</v>
      </c>
      <c r="B5127" s="6">
        <v>7.1928071928071893E-2</v>
      </c>
      <c r="C5127" s="6">
        <v>0.24544599588263399</v>
      </c>
    </row>
    <row r="5128" spans="1:3" s="8" customFormat="1" x14ac:dyDescent="0.2">
      <c r="A5128" s="6" t="str">
        <f>"PJVK"</f>
        <v>PJVK</v>
      </c>
      <c r="B5128" s="6">
        <v>7.1928071928071893E-2</v>
      </c>
      <c r="C5128" s="6">
        <v>0.24544599588263399</v>
      </c>
    </row>
    <row r="5129" spans="1:3" s="8" customFormat="1" x14ac:dyDescent="0.2">
      <c r="A5129" s="6" t="str">
        <f>"GP1BB"</f>
        <v>GP1BB</v>
      </c>
      <c r="B5129" s="6">
        <v>7.1928071928071893E-2</v>
      </c>
      <c r="C5129" s="6">
        <v>0.24544599588263399</v>
      </c>
    </row>
    <row r="5130" spans="1:3" s="8" customFormat="1" x14ac:dyDescent="0.2">
      <c r="A5130" s="6" t="str">
        <f>"AC020915.2"</f>
        <v>AC020915.2</v>
      </c>
      <c r="B5130" s="6">
        <v>7.1928071928071893E-2</v>
      </c>
      <c r="C5130" s="6">
        <v>0.24544599588263399</v>
      </c>
    </row>
    <row r="5131" spans="1:3" s="8" customFormat="1" x14ac:dyDescent="0.2">
      <c r="A5131" s="6" t="str">
        <f>"DLGAP1-AS2"</f>
        <v>DLGAP1-AS2</v>
      </c>
      <c r="B5131" s="6">
        <v>7.1928071928071893E-2</v>
      </c>
      <c r="C5131" s="6">
        <v>0.24544599588263399</v>
      </c>
    </row>
    <row r="5132" spans="1:3" s="8" customFormat="1" x14ac:dyDescent="0.2">
      <c r="A5132" s="6" t="str">
        <f>"SLAMF8"</f>
        <v>SLAMF8</v>
      </c>
      <c r="B5132" s="6">
        <v>7.1928071928071893E-2</v>
      </c>
      <c r="C5132" s="6">
        <v>0.24544599588263399</v>
      </c>
    </row>
    <row r="5133" spans="1:3" s="8" customFormat="1" x14ac:dyDescent="0.2">
      <c r="A5133" s="6" t="str">
        <f>"PDE5A"</f>
        <v>PDE5A</v>
      </c>
      <c r="B5133" s="6">
        <v>7.1928071928071893E-2</v>
      </c>
      <c r="C5133" s="6">
        <v>0.24544599588263399</v>
      </c>
    </row>
    <row r="5134" spans="1:3" s="8" customFormat="1" x14ac:dyDescent="0.2">
      <c r="A5134" s="6" t="str">
        <f>"HEXA-AS1"</f>
        <v>HEXA-AS1</v>
      </c>
      <c r="B5134" s="6">
        <v>7.1928071928071893E-2</v>
      </c>
      <c r="C5134" s="6">
        <v>0.24544599588263399</v>
      </c>
    </row>
    <row r="5135" spans="1:3" s="8" customFormat="1" x14ac:dyDescent="0.2">
      <c r="A5135" s="6" t="str">
        <f>"C11orf95"</f>
        <v>C11orf95</v>
      </c>
      <c r="B5135" s="6">
        <v>7.1928071928071893E-2</v>
      </c>
      <c r="C5135" s="6">
        <v>0.24544599588263399</v>
      </c>
    </row>
    <row r="5136" spans="1:3" s="8" customFormat="1" x14ac:dyDescent="0.2">
      <c r="A5136" s="6" t="str">
        <f>"ZKSCAN4"</f>
        <v>ZKSCAN4</v>
      </c>
      <c r="B5136" s="6">
        <v>7.1928071928071893E-2</v>
      </c>
      <c r="C5136" s="6">
        <v>0.24544599588263399</v>
      </c>
    </row>
    <row r="5137" spans="1:3" s="8" customFormat="1" x14ac:dyDescent="0.2">
      <c r="A5137" s="6" t="str">
        <f>"PRR3"</f>
        <v>PRR3</v>
      </c>
      <c r="B5137" s="6">
        <v>7.1928071928071893E-2</v>
      </c>
      <c r="C5137" s="6">
        <v>0.24544599588263399</v>
      </c>
    </row>
    <row r="5138" spans="1:3" s="8" customFormat="1" x14ac:dyDescent="0.2">
      <c r="A5138" s="6" t="str">
        <f>"AC100810.1"</f>
        <v>AC100810.1</v>
      </c>
      <c r="B5138" s="6">
        <v>7.1928071928071893E-2</v>
      </c>
      <c r="C5138" s="6">
        <v>0.24544599588263399</v>
      </c>
    </row>
    <row r="5139" spans="1:3" s="8" customFormat="1" x14ac:dyDescent="0.2">
      <c r="A5139" s="6" t="str">
        <f>"RAB38"</f>
        <v>RAB38</v>
      </c>
      <c r="B5139" s="6">
        <v>7.1928071928071893E-2</v>
      </c>
      <c r="C5139" s="6">
        <v>0.24544599588263399</v>
      </c>
    </row>
    <row r="5140" spans="1:3" s="8" customFormat="1" x14ac:dyDescent="0.2">
      <c r="A5140" s="6" t="str">
        <f>"SDHAP1"</f>
        <v>SDHAP1</v>
      </c>
      <c r="B5140" s="6">
        <v>7.1928071928071893E-2</v>
      </c>
      <c r="C5140" s="6">
        <v>0.24544599588263399</v>
      </c>
    </row>
    <row r="5141" spans="1:3" s="8" customFormat="1" x14ac:dyDescent="0.2">
      <c r="A5141" s="6" t="str">
        <f>"ZNF639"</f>
        <v>ZNF639</v>
      </c>
      <c r="B5141" s="6">
        <v>7.1928071928071893E-2</v>
      </c>
      <c r="C5141" s="6">
        <v>0.24544599588263399</v>
      </c>
    </row>
    <row r="5142" spans="1:3" s="8" customFormat="1" x14ac:dyDescent="0.2">
      <c r="A5142" s="6" t="str">
        <f>"SNAPC1"</f>
        <v>SNAPC1</v>
      </c>
      <c r="B5142" s="6">
        <v>7.1928071928071893E-2</v>
      </c>
      <c r="C5142" s="6">
        <v>0.24544599588263399</v>
      </c>
    </row>
    <row r="5143" spans="1:3" s="8" customFormat="1" x14ac:dyDescent="0.2">
      <c r="A5143" s="6" t="str">
        <f>"RPS6KA5"</f>
        <v>RPS6KA5</v>
      </c>
      <c r="B5143" s="6">
        <v>7.1928071928071893E-2</v>
      </c>
      <c r="C5143" s="6">
        <v>0.24544599588263399</v>
      </c>
    </row>
    <row r="5144" spans="1:3" s="8" customFormat="1" x14ac:dyDescent="0.2">
      <c r="A5144" s="6" t="str">
        <f>"TOX3"</f>
        <v>TOX3</v>
      </c>
      <c r="B5144" s="6">
        <v>7.1928071928071893E-2</v>
      </c>
      <c r="C5144" s="6">
        <v>0.24544599588263399</v>
      </c>
    </row>
    <row r="5145" spans="1:3" s="8" customFormat="1" x14ac:dyDescent="0.2">
      <c r="A5145" s="6" t="str">
        <f>"ZNF853"</f>
        <v>ZNF853</v>
      </c>
      <c r="B5145" s="6">
        <v>7.1928071928071893E-2</v>
      </c>
      <c r="C5145" s="6">
        <v>0.24544599588263399</v>
      </c>
    </row>
    <row r="5146" spans="1:3" s="8" customFormat="1" x14ac:dyDescent="0.2">
      <c r="A5146" s="6" t="str">
        <f>"ELMO2"</f>
        <v>ELMO2</v>
      </c>
      <c r="B5146" s="6">
        <v>7.1928071928071893E-2</v>
      </c>
      <c r="C5146" s="6">
        <v>0.24544599588263399</v>
      </c>
    </row>
    <row r="5147" spans="1:3" s="8" customFormat="1" x14ac:dyDescent="0.2">
      <c r="A5147" s="6" t="str">
        <f>"TTC39B"</f>
        <v>TTC39B</v>
      </c>
      <c r="B5147" s="6">
        <v>7.1928071928071893E-2</v>
      </c>
      <c r="C5147" s="6">
        <v>0.24544599588263399</v>
      </c>
    </row>
    <row r="5148" spans="1:3" s="8" customFormat="1" x14ac:dyDescent="0.2">
      <c r="A5148" s="6" t="str">
        <f>"HSDL2"</f>
        <v>HSDL2</v>
      </c>
      <c r="B5148" s="6">
        <v>7.1928071928071893E-2</v>
      </c>
      <c r="C5148" s="6">
        <v>0.24544599588263399</v>
      </c>
    </row>
    <row r="5149" spans="1:3" s="8" customFormat="1" x14ac:dyDescent="0.2">
      <c r="A5149" s="6" t="str">
        <f>"CACNB3"</f>
        <v>CACNB3</v>
      </c>
      <c r="B5149" s="6">
        <v>7.1928071928071893E-2</v>
      </c>
      <c r="C5149" s="6">
        <v>0.24544599588263399</v>
      </c>
    </row>
    <row r="5150" spans="1:3" s="8" customFormat="1" x14ac:dyDescent="0.2">
      <c r="A5150" s="6" t="str">
        <f>"CTNNBL1"</f>
        <v>CTNNBL1</v>
      </c>
      <c r="B5150" s="6">
        <v>7.1928071928071893E-2</v>
      </c>
      <c r="C5150" s="6">
        <v>0.24544599588263399</v>
      </c>
    </row>
    <row r="5151" spans="1:3" s="8" customFormat="1" x14ac:dyDescent="0.2">
      <c r="A5151" s="6" t="str">
        <f>"SMIM22"</f>
        <v>SMIM22</v>
      </c>
      <c r="B5151" s="6">
        <v>7.1928071928071893E-2</v>
      </c>
      <c r="C5151" s="6">
        <v>0.24544599588263399</v>
      </c>
    </row>
    <row r="5152" spans="1:3" s="8" customFormat="1" x14ac:dyDescent="0.2">
      <c r="A5152" s="6" t="str">
        <f>"BET1L"</f>
        <v>BET1L</v>
      </c>
      <c r="B5152" s="6">
        <v>7.1928071928071893E-2</v>
      </c>
      <c r="C5152" s="6">
        <v>0.24544599588263399</v>
      </c>
    </row>
    <row r="5153" spans="1:3" s="8" customFormat="1" x14ac:dyDescent="0.2">
      <c r="A5153" s="6" t="str">
        <f>"CLPTM1L"</f>
        <v>CLPTM1L</v>
      </c>
      <c r="B5153" s="6">
        <v>7.1928071928071893E-2</v>
      </c>
      <c r="C5153" s="6">
        <v>0.24544599588263399</v>
      </c>
    </row>
    <row r="5154" spans="1:3" s="8" customFormat="1" x14ac:dyDescent="0.2">
      <c r="A5154" s="6" t="str">
        <f>"ACSL3"</f>
        <v>ACSL3</v>
      </c>
      <c r="B5154" s="6">
        <v>7.1928071928071893E-2</v>
      </c>
      <c r="C5154" s="6">
        <v>0.24544599588263399</v>
      </c>
    </row>
    <row r="5155" spans="1:3" s="8" customFormat="1" x14ac:dyDescent="0.2">
      <c r="A5155" s="6" t="str">
        <f>"FAM66C"</f>
        <v>FAM66C</v>
      </c>
      <c r="B5155" s="6">
        <v>7.2072072072072002E-2</v>
      </c>
      <c r="C5155" s="6">
        <v>0.245889661489195</v>
      </c>
    </row>
    <row r="5156" spans="1:3" s="8" customFormat="1" x14ac:dyDescent="0.2">
      <c r="A5156" s="6" t="str">
        <f>"RAB9B"</f>
        <v>RAB9B</v>
      </c>
      <c r="B5156" s="6">
        <v>7.2090628218331607E-2</v>
      </c>
      <c r="C5156" s="6">
        <v>0.24590525831060001</v>
      </c>
    </row>
    <row r="5157" spans="1:3" s="8" customFormat="1" x14ac:dyDescent="0.2">
      <c r="A5157" s="6" t="str">
        <f>"AP004147.1"</f>
        <v>AP004147.1</v>
      </c>
      <c r="B5157" s="6">
        <v>7.2216649949849498E-2</v>
      </c>
      <c r="C5157" s="6">
        <v>0.24628734924712001</v>
      </c>
    </row>
    <row r="5158" spans="1:3" s="8" customFormat="1" x14ac:dyDescent="0.2">
      <c r="A5158" s="6" t="str">
        <f>"AL049839.3"</f>
        <v>AL049839.3</v>
      </c>
      <c r="B5158" s="6">
        <v>7.2289156626505993E-2</v>
      </c>
      <c r="C5158" s="6">
        <v>0.24648681987986801</v>
      </c>
    </row>
    <row r="5159" spans="1:3" s="8" customFormat="1" x14ac:dyDescent="0.2">
      <c r="A5159" s="6" t="str">
        <f>"AC025175.2"</f>
        <v>AC025175.2</v>
      </c>
      <c r="B5159" s="6">
        <v>7.2327044025157203E-2</v>
      </c>
      <c r="C5159" s="6">
        <v>0.24656819351267201</v>
      </c>
    </row>
    <row r="5160" spans="1:3" s="8" customFormat="1" x14ac:dyDescent="0.2">
      <c r="A5160" s="6" t="str">
        <f>"TTBK1"</f>
        <v>TTBK1</v>
      </c>
      <c r="B5160" s="6">
        <v>7.29270729270729E-2</v>
      </c>
      <c r="C5160" s="6">
        <v>0.247271432770854</v>
      </c>
    </row>
    <row r="5161" spans="1:3" s="8" customFormat="1" x14ac:dyDescent="0.2">
      <c r="A5161" s="6" t="str">
        <f>"CCDC188"</f>
        <v>CCDC188</v>
      </c>
      <c r="B5161" s="6">
        <v>7.29270729270729E-2</v>
      </c>
      <c r="C5161" s="6">
        <v>0.247271432770854</v>
      </c>
    </row>
    <row r="5162" spans="1:3" s="8" customFormat="1" x14ac:dyDescent="0.2">
      <c r="A5162" s="6" t="str">
        <f>"AC006042.3"</f>
        <v>AC006042.3</v>
      </c>
      <c r="B5162" s="6">
        <v>7.29270729270729E-2</v>
      </c>
      <c r="C5162" s="6">
        <v>0.247271432770854</v>
      </c>
    </row>
    <row r="5163" spans="1:3" s="8" customFormat="1" x14ac:dyDescent="0.2">
      <c r="A5163" s="6" t="str">
        <f>"BCAS2P2"</f>
        <v>BCAS2P2</v>
      </c>
      <c r="B5163" s="6">
        <v>7.29270729270729E-2</v>
      </c>
      <c r="C5163" s="6">
        <v>0.247271432770854</v>
      </c>
    </row>
    <row r="5164" spans="1:3" s="8" customFormat="1" x14ac:dyDescent="0.2">
      <c r="A5164" s="6" t="str">
        <f>"IGLC1"</f>
        <v>IGLC1</v>
      </c>
      <c r="B5164" s="6">
        <v>7.29270729270729E-2</v>
      </c>
      <c r="C5164" s="6">
        <v>0.247271432770854</v>
      </c>
    </row>
    <row r="5165" spans="1:3" s="8" customFormat="1" x14ac:dyDescent="0.2">
      <c r="A5165" s="6" t="str">
        <f>"SERP2"</f>
        <v>SERP2</v>
      </c>
      <c r="B5165" s="6">
        <v>7.29270729270729E-2</v>
      </c>
      <c r="C5165" s="6">
        <v>0.247271432770854</v>
      </c>
    </row>
    <row r="5166" spans="1:3" s="8" customFormat="1" x14ac:dyDescent="0.2">
      <c r="A5166" s="6" t="str">
        <f>"IL36A"</f>
        <v>IL36A</v>
      </c>
      <c r="B5166" s="6">
        <v>7.29270729270729E-2</v>
      </c>
      <c r="C5166" s="6">
        <v>0.247271432770854</v>
      </c>
    </row>
    <row r="5167" spans="1:3" s="8" customFormat="1" x14ac:dyDescent="0.2">
      <c r="A5167" s="6" t="str">
        <f>"AC008397.2"</f>
        <v>AC008397.2</v>
      </c>
      <c r="B5167" s="6">
        <v>7.29270729270729E-2</v>
      </c>
      <c r="C5167" s="6">
        <v>0.247271432770854</v>
      </c>
    </row>
    <row r="5168" spans="1:3" s="8" customFormat="1" x14ac:dyDescent="0.2">
      <c r="A5168" s="6" t="str">
        <f>"SCML1"</f>
        <v>SCML1</v>
      </c>
      <c r="B5168" s="6">
        <v>7.29270729270729E-2</v>
      </c>
      <c r="C5168" s="6">
        <v>0.247271432770854</v>
      </c>
    </row>
    <row r="5169" spans="1:3" s="8" customFormat="1" x14ac:dyDescent="0.2">
      <c r="A5169" s="6" t="str">
        <f>"AC010422.8"</f>
        <v>AC010422.8</v>
      </c>
      <c r="B5169" s="6">
        <v>7.29270729270729E-2</v>
      </c>
      <c r="C5169" s="6">
        <v>0.247271432770854</v>
      </c>
    </row>
    <row r="5170" spans="1:3" s="8" customFormat="1" x14ac:dyDescent="0.2">
      <c r="A5170" s="6" t="str">
        <f>"RBM45"</f>
        <v>RBM45</v>
      </c>
      <c r="B5170" s="6">
        <v>7.29270729270729E-2</v>
      </c>
      <c r="C5170" s="6">
        <v>0.247271432770854</v>
      </c>
    </row>
    <row r="5171" spans="1:3" s="8" customFormat="1" x14ac:dyDescent="0.2">
      <c r="A5171" s="6" t="str">
        <f>"EVA1B"</f>
        <v>EVA1B</v>
      </c>
      <c r="B5171" s="6">
        <v>7.29270729270729E-2</v>
      </c>
      <c r="C5171" s="6">
        <v>0.247271432770854</v>
      </c>
    </row>
    <row r="5172" spans="1:3" s="8" customFormat="1" x14ac:dyDescent="0.2">
      <c r="A5172" s="6" t="str">
        <f>"ZNF20"</f>
        <v>ZNF20</v>
      </c>
      <c r="B5172" s="6">
        <v>7.29270729270729E-2</v>
      </c>
      <c r="C5172" s="6">
        <v>0.247271432770854</v>
      </c>
    </row>
    <row r="5173" spans="1:3" s="8" customFormat="1" x14ac:dyDescent="0.2">
      <c r="A5173" s="6" t="str">
        <f>"FEZF1"</f>
        <v>FEZF1</v>
      </c>
      <c r="B5173" s="6">
        <v>7.29270729270729E-2</v>
      </c>
      <c r="C5173" s="6">
        <v>0.247271432770854</v>
      </c>
    </row>
    <row r="5174" spans="1:3" s="8" customFormat="1" x14ac:dyDescent="0.2">
      <c r="A5174" s="6" t="str">
        <f>"GPM6B"</f>
        <v>GPM6B</v>
      </c>
      <c r="B5174" s="6">
        <v>7.29270729270729E-2</v>
      </c>
      <c r="C5174" s="6">
        <v>0.247271432770854</v>
      </c>
    </row>
    <row r="5175" spans="1:3" s="8" customFormat="1" x14ac:dyDescent="0.2">
      <c r="A5175" s="6" t="str">
        <f>"PIDD1"</f>
        <v>PIDD1</v>
      </c>
      <c r="B5175" s="6">
        <v>7.29270729270729E-2</v>
      </c>
      <c r="C5175" s="6">
        <v>0.247271432770854</v>
      </c>
    </row>
    <row r="5176" spans="1:3" s="8" customFormat="1" x14ac:dyDescent="0.2">
      <c r="A5176" s="6" t="str">
        <f>"ZNF490"</f>
        <v>ZNF490</v>
      </c>
      <c r="B5176" s="6">
        <v>7.29270729270729E-2</v>
      </c>
      <c r="C5176" s="6">
        <v>0.247271432770854</v>
      </c>
    </row>
    <row r="5177" spans="1:3" s="8" customFormat="1" x14ac:dyDescent="0.2">
      <c r="A5177" s="6" t="str">
        <f>"ZBTB2"</f>
        <v>ZBTB2</v>
      </c>
      <c r="B5177" s="6">
        <v>7.29270729270729E-2</v>
      </c>
      <c r="C5177" s="6">
        <v>0.247271432770854</v>
      </c>
    </row>
    <row r="5178" spans="1:3" s="8" customFormat="1" x14ac:dyDescent="0.2">
      <c r="A5178" s="6" t="str">
        <f>"TAF6L"</f>
        <v>TAF6L</v>
      </c>
      <c r="B5178" s="6">
        <v>7.29270729270729E-2</v>
      </c>
      <c r="C5178" s="6">
        <v>0.247271432770854</v>
      </c>
    </row>
    <row r="5179" spans="1:3" s="8" customFormat="1" x14ac:dyDescent="0.2">
      <c r="A5179" s="6" t="str">
        <f>"DHRS4"</f>
        <v>DHRS4</v>
      </c>
      <c r="B5179" s="6">
        <v>7.29270729270729E-2</v>
      </c>
      <c r="C5179" s="6">
        <v>0.247271432770854</v>
      </c>
    </row>
    <row r="5180" spans="1:3" s="8" customFormat="1" x14ac:dyDescent="0.2">
      <c r="A5180" s="6" t="str">
        <f>"PTRHD1"</f>
        <v>PTRHD1</v>
      </c>
      <c r="B5180" s="6">
        <v>7.29270729270729E-2</v>
      </c>
      <c r="C5180" s="6">
        <v>0.247271432770854</v>
      </c>
    </row>
    <row r="5181" spans="1:3" s="8" customFormat="1" x14ac:dyDescent="0.2">
      <c r="A5181" s="6" t="str">
        <f>"UHRF1BP1"</f>
        <v>UHRF1BP1</v>
      </c>
      <c r="B5181" s="6">
        <v>7.29270729270729E-2</v>
      </c>
      <c r="C5181" s="6">
        <v>0.247271432770854</v>
      </c>
    </row>
    <row r="5182" spans="1:3" s="8" customFormat="1" x14ac:dyDescent="0.2">
      <c r="A5182" s="6" t="str">
        <f>"CCDC115"</f>
        <v>CCDC115</v>
      </c>
      <c r="B5182" s="6">
        <v>7.29270729270729E-2</v>
      </c>
      <c r="C5182" s="6">
        <v>0.247271432770854</v>
      </c>
    </row>
    <row r="5183" spans="1:3" s="8" customFormat="1" x14ac:dyDescent="0.2">
      <c r="A5183" s="6" t="str">
        <f>"PRXL2B"</f>
        <v>PRXL2B</v>
      </c>
      <c r="B5183" s="6">
        <v>7.29270729270729E-2</v>
      </c>
      <c r="C5183" s="6">
        <v>0.247271432770854</v>
      </c>
    </row>
    <row r="5184" spans="1:3" s="8" customFormat="1" x14ac:dyDescent="0.2">
      <c r="A5184" s="6" t="str">
        <f>"SLC38A1"</f>
        <v>SLC38A1</v>
      </c>
      <c r="B5184" s="6">
        <v>7.29270729270729E-2</v>
      </c>
      <c r="C5184" s="6">
        <v>0.247271432770854</v>
      </c>
    </row>
    <row r="5185" spans="1:3" s="8" customFormat="1" x14ac:dyDescent="0.2">
      <c r="A5185" s="6" t="str">
        <f>"C12orf75"</f>
        <v>C12orf75</v>
      </c>
      <c r="B5185" s="6">
        <v>7.29270729270729E-2</v>
      </c>
      <c r="C5185" s="6">
        <v>0.247271432770854</v>
      </c>
    </row>
    <row r="5186" spans="1:3" s="8" customFormat="1" x14ac:dyDescent="0.2">
      <c r="A5186" s="6" t="str">
        <f>"CCT6A"</f>
        <v>CCT6A</v>
      </c>
      <c r="B5186" s="6">
        <v>7.29270729270729E-2</v>
      </c>
      <c r="C5186" s="6">
        <v>0.247271432770854</v>
      </c>
    </row>
    <row r="5187" spans="1:3" s="8" customFormat="1" x14ac:dyDescent="0.2">
      <c r="A5187" s="6" t="str">
        <f>"RPL3"</f>
        <v>RPL3</v>
      </c>
      <c r="B5187" s="6">
        <v>7.29270729270729E-2</v>
      </c>
      <c r="C5187" s="6">
        <v>0.247271432770854</v>
      </c>
    </row>
    <row r="5188" spans="1:3" s="8" customFormat="1" x14ac:dyDescent="0.2">
      <c r="A5188" s="6" t="str">
        <f>"GSTK1"</f>
        <v>GSTK1</v>
      </c>
      <c r="B5188" s="6">
        <v>7.2999999999999995E-2</v>
      </c>
      <c r="C5188" s="6">
        <v>0.247470985155195</v>
      </c>
    </row>
    <row r="5189" spans="1:3" s="8" customFormat="1" x14ac:dyDescent="0.2">
      <c r="A5189" s="6" t="str">
        <f>"TNNI3K"</f>
        <v>TNNI3K</v>
      </c>
      <c r="B5189" s="6">
        <v>7.3146292585170303E-2</v>
      </c>
      <c r="C5189" s="6">
        <v>0.247919122748194</v>
      </c>
    </row>
    <row r="5190" spans="1:3" s="8" customFormat="1" x14ac:dyDescent="0.2">
      <c r="A5190" s="6" t="str">
        <f>"AC018647.1"</f>
        <v>AC018647.1</v>
      </c>
      <c r="B5190" s="6">
        <v>7.3926073926073907E-2</v>
      </c>
      <c r="C5190" s="6">
        <v>0.248978372709458</v>
      </c>
    </row>
    <row r="5191" spans="1:3" s="8" customFormat="1" x14ac:dyDescent="0.2">
      <c r="A5191" s="6" t="str">
        <f>"ISLR2"</f>
        <v>ISLR2</v>
      </c>
      <c r="B5191" s="6">
        <v>7.3926073926073907E-2</v>
      </c>
      <c r="C5191" s="6">
        <v>0.248978372709458</v>
      </c>
    </row>
    <row r="5192" spans="1:3" s="8" customFormat="1" x14ac:dyDescent="0.2">
      <c r="A5192" s="6" t="str">
        <f>"AP002414.2"</f>
        <v>AP002414.2</v>
      </c>
      <c r="B5192" s="6">
        <v>7.3926073926073907E-2</v>
      </c>
      <c r="C5192" s="6">
        <v>0.248978372709458</v>
      </c>
    </row>
    <row r="5193" spans="1:3" s="8" customFormat="1" x14ac:dyDescent="0.2">
      <c r="A5193" s="6" t="str">
        <f>"OTOAP1"</f>
        <v>OTOAP1</v>
      </c>
      <c r="B5193" s="6">
        <v>7.3926073926073907E-2</v>
      </c>
      <c r="C5193" s="6">
        <v>0.248978372709458</v>
      </c>
    </row>
    <row r="5194" spans="1:3" s="8" customFormat="1" x14ac:dyDescent="0.2">
      <c r="A5194" s="6" t="str">
        <f>"AC009133.4"</f>
        <v>AC009133.4</v>
      </c>
      <c r="B5194" s="6">
        <v>7.3926073926073907E-2</v>
      </c>
      <c r="C5194" s="6">
        <v>0.248978372709458</v>
      </c>
    </row>
    <row r="5195" spans="1:3" s="8" customFormat="1" x14ac:dyDescent="0.2">
      <c r="A5195" s="6" t="str">
        <f>"WBP11P2"</f>
        <v>WBP11P2</v>
      </c>
      <c r="B5195" s="6">
        <v>7.3886639676113294E-2</v>
      </c>
      <c r="C5195" s="6">
        <v>0.248978372709458</v>
      </c>
    </row>
    <row r="5196" spans="1:3" s="8" customFormat="1" x14ac:dyDescent="0.2">
      <c r="A5196" s="6" t="str">
        <f>"AC021382.1"</f>
        <v>AC021382.1</v>
      </c>
      <c r="B5196" s="6">
        <v>7.3926073926073907E-2</v>
      </c>
      <c r="C5196" s="6">
        <v>0.248978372709458</v>
      </c>
    </row>
    <row r="5197" spans="1:3" s="8" customFormat="1" x14ac:dyDescent="0.2">
      <c r="A5197" s="6" t="str">
        <f>"SOWAHCP2"</f>
        <v>SOWAHCP2</v>
      </c>
      <c r="B5197" s="6">
        <v>7.3926073926073907E-2</v>
      </c>
      <c r="C5197" s="6">
        <v>0.248978372709458</v>
      </c>
    </row>
    <row r="5198" spans="1:3" s="8" customFormat="1" x14ac:dyDescent="0.2">
      <c r="A5198" s="6" t="str">
        <f>"AC009107.2"</f>
        <v>AC009107.2</v>
      </c>
      <c r="B5198" s="6">
        <v>7.3926073926073907E-2</v>
      </c>
      <c r="C5198" s="6">
        <v>0.248978372709458</v>
      </c>
    </row>
    <row r="5199" spans="1:3" s="8" customFormat="1" x14ac:dyDescent="0.2">
      <c r="A5199" s="6" t="str">
        <f>"SOX30"</f>
        <v>SOX30</v>
      </c>
      <c r="B5199" s="6">
        <v>7.3926073926073907E-2</v>
      </c>
      <c r="C5199" s="6">
        <v>0.248978372709458</v>
      </c>
    </row>
    <row r="5200" spans="1:3" s="8" customFormat="1" x14ac:dyDescent="0.2">
      <c r="A5200" s="6" t="str">
        <f>"RTN4RL2"</f>
        <v>RTN4RL2</v>
      </c>
      <c r="B5200" s="6">
        <v>7.3926073926073907E-2</v>
      </c>
      <c r="C5200" s="6">
        <v>0.248978372709458</v>
      </c>
    </row>
    <row r="5201" spans="1:3" s="8" customFormat="1" x14ac:dyDescent="0.2">
      <c r="A5201" s="6" t="str">
        <f>"CCDC62"</f>
        <v>CCDC62</v>
      </c>
      <c r="B5201" s="6">
        <v>7.3926073926073907E-2</v>
      </c>
      <c r="C5201" s="6">
        <v>0.248978372709458</v>
      </c>
    </row>
    <row r="5202" spans="1:3" s="8" customFormat="1" x14ac:dyDescent="0.2">
      <c r="A5202" s="6" t="str">
        <f>"GNB1L"</f>
        <v>GNB1L</v>
      </c>
      <c r="B5202" s="6">
        <v>7.3926073926073907E-2</v>
      </c>
      <c r="C5202" s="6">
        <v>0.248978372709458</v>
      </c>
    </row>
    <row r="5203" spans="1:3" s="8" customFormat="1" x14ac:dyDescent="0.2">
      <c r="A5203" s="6" t="str">
        <f>"LINC02821"</f>
        <v>LINC02821</v>
      </c>
      <c r="B5203" s="6">
        <v>7.3926073926073907E-2</v>
      </c>
      <c r="C5203" s="6">
        <v>0.248978372709458</v>
      </c>
    </row>
    <row r="5204" spans="1:3" s="8" customFormat="1" x14ac:dyDescent="0.2">
      <c r="A5204" s="6" t="str">
        <f>"AC073957.3"</f>
        <v>AC073957.3</v>
      </c>
      <c r="B5204" s="6">
        <v>7.3926073926073907E-2</v>
      </c>
      <c r="C5204" s="6">
        <v>0.248978372709458</v>
      </c>
    </row>
    <row r="5205" spans="1:3" s="8" customFormat="1" x14ac:dyDescent="0.2">
      <c r="A5205" s="6" t="str">
        <f>"GUCY1A1"</f>
        <v>GUCY1A1</v>
      </c>
      <c r="B5205" s="6">
        <v>7.3926073926073907E-2</v>
      </c>
      <c r="C5205" s="6">
        <v>0.248978372709458</v>
      </c>
    </row>
    <row r="5206" spans="1:3" s="8" customFormat="1" x14ac:dyDescent="0.2">
      <c r="A5206" s="6" t="str">
        <f>"CD3G"</f>
        <v>CD3G</v>
      </c>
      <c r="B5206" s="6">
        <v>7.3926073926073907E-2</v>
      </c>
      <c r="C5206" s="6">
        <v>0.248978372709458</v>
      </c>
    </row>
    <row r="5207" spans="1:3" s="8" customFormat="1" x14ac:dyDescent="0.2">
      <c r="A5207" s="6" t="str">
        <f>"CDH24"</f>
        <v>CDH24</v>
      </c>
      <c r="B5207" s="6">
        <v>7.3926073926073907E-2</v>
      </c>
      <c r="C5207" s="6">
        <v>0.248978372709458</v>
      </c>
    </row>
    <row r="5208" spans="1:3" s="8" customFormat="1" x14ac:dyDescent="0.2">
      <c r="A5208" s="6" t="str">
        <f>"AC006978.1"</f>
        <v>AC006978.1</v>
      </c>
      <c r="B5208" s="6">
        <v>7.3926073926073907E-2</v>
      </c>
      <c r="C5208" s="6">
        <v>0.248978372709458</v>
      </c>
    </row>
    <row r="5209" spans="1:3" s="8" customFormat="1" x14ac:dyDescent="0.2">
      <c r="A5209" s="6" t="str">
        <f>"ZNF35"</f>
        <v>ZNF35</v>
      </c>
      <c r="B5209" s="6">
        <v>7.3926073926073907E-2</v>
      </c>
      <c r="C5209" s="6">
        <v>0.248978372709458</v>
      </c>
    </row>
    <row r="5210" spans="1:3" s="8" customFormat="1" x14ac:dyDescent="0.2">
      <c r="A5210" s="6" t="str">
        <f>"TRIM59"</f>
        <v>TRIM59</v>
      </c>
      <c r="B5210" s="6">
        <v>7.3926073926073907E-2</v>
      </c>
      <c r="C5210" s="6">
        <v>0.248978372709458</v>
      </c>
    </row>
    <row r="5211" spans="1:3" s="8" customFormat="1" x14ac:dyDescent="0.2">
      <c r="A5211" s="6" t="str">
        <f>"ZNF175"</f>
        <v>ZNF175</v>
      </c>
      <c r="B5211" s="6">
        <v>7.3926073926073907E-2</v>
      </c>
      <c r="C5211" s="6">
        <v>0.248978372709458</v>
      </c>
    </row>
    <row r="5212" spans="1:3" s="8" customFormat="1" x14ac:dyDescent="0.2">
      <c r="A5212" s="6" t="str">
        <f>"SOWAHB"</f>
        <v>SOWAHB</v>
      </c>
      <c r="B5212" s="6">
        <v>7.3926073926073907E-2</v>
      </c>
      <c r="C5212" s="6">
        <v>0.248978372709458</v>
      </c>
    </row>
    <row r="5213" spans="1:3" s="8" customFormat="1" x14ac:dyDescent="0.2">
      <c r="A5213" s="6" t="str">
        <f>"TMEM45A"</f>
        <v>TMEM45A</v>
      </c>
      <c r="B5213" s="6">
        <v>7.3926073926073907E-2</v>
      </c>
      <c r="C5213" s="6">
        <v>0.248978372709458</v>
      </c>
    </row>
    <row r="5214" spans="1:3" s="8" customFormat="1" x14ac:dyDescent="0.2">
      <c r="A5214" s="6" t="str">
        <f>"ZNF134"</f>
        <v>ZNF134</v>
      </c>
      <c r="B5214" s="6">
        <v>7.3926073926073907E-2</v>
      </c>
      <c r="C5214" s="6">
        <v>0.248978372709458</v>
      </c>
    </row>
    <row r="5215" spans="1:3" s="8" customFormat="1" x14ac:dyDescent="0.2">
      <c r="A5215" s="6" t="str">
        <f>"UBN2"</f>
        <v>UBN2</v>
      </c>
      <c r="B5215" s="6">
        <v>7.3926073926073907E-2</v>
      </c>
      <c r="C5215" s="6">
        <v>0.248978372709458</v>
      </c>
    </row>
    <row r="5216" spans="1:3" s="8" customFormat="1" x14ac:dyDescent="0.2">
      <c r="A5216" s="6" t="str">
        <f>"ICA1L"</f>
        <v>ICA1L</v>
      </c>
      <c r="B5216" s="6">
        <v>7.3926073926073907E-2</v>
      </c>
      <c r="C5216" s="6">
        <v>0.248978372709458</v>
      </c>
    </row>
    <row r="5217" spans="1:3" s="8" customFormat="1" x14ac:dyDescent="0.2">
      <c r="A5217" s="6" t="str">
        <f>"SFMBT1"</f>
        <v>SFMBT1</v>
      </c>
      <c r="B5217" s="6">
        <v>7.3926073926073907E-2</v>
      </c>
      <c r="C5217" s="6">
        <v>0.248978372709458</v>
      </c>
    </row>
    <row r="5218" spans="1:3" s="8" customFormat="1" x14ac:dyDescent="0.2">
      <c r="A5218" s="6" t="str">
        <f>"RPF1"</f>
        <v>RPF1</v>
      </c>
      <c r="B5218" s="6">
        <v>7.3926073926073907E-2</v>
      </c>
      <c r="C5218" s="6">
        <v>0.248978372709458</v>
      </c>
    </row>
    <row r="5219" spans="1:3" s="8" customFormat="1" x14ac:dyDescent="0.2">
      <c r="A5219" s="6" t="str">
        <f>"GATD1"</f>
        <v>GATD1</v>
      </c>
      <c r="B5219" s="6">
        <v>7.3926073926073907E-2</v>
      </c>
      <c r="C5219" s="6">
        <v>0.248978372709458</v>
      </c>
    </row>
    <row r="5220" spans="1:3" s="8" customFormat="1" x14ac:dyDescent="0.2">
      <c r="A5220" s="6" t="str">
        <f>"ERC1"</f>
        <v>ERC1</v>
      </c>
      <c r="B5220" s="6">
        <v>7.3926073926073907E-2</v>
      </c>
      <c r="C5220" s="6">
        <v>0.248978372709458</v>
      </c>
    </row>
    <row r="5221" spans="1:3" s="8" customFormat="1" x14ac:dyDescent="0.2">
      <c r="A5221" s="6" t="str">
        <f>"ACSS1"</f>
        <v>ACSS1</v>
      </c>
      <c r="B5221" s="6">
        <v>7.3926073926073907E-2</v>
      </c>
      <c r="C5221" s="6">
        <v>0.248978372709458</v>
      </c>
    </row>
    <row r="5222" spans="1:3" s="8" customFormat="1" x14ac:dyDescent="0.2">
      <c r="A5222" s="6" t="str">
        <f>"PRSS22"</f>
        <v>PRSS22</v>
      </c>
      <c r="B5222" s="6">
        <v>7.3926073926073907E-2</v>
      </c>
      <c r="C5222" s="6">
        <v>0.248978372709458</v>
      </c>
    </row>
    <row r="5223" spans="1:3" s="8" customFormat="1" x14ac:dyDescent="0.2">
      <c r="A5223" s="6" t="str">
        <f>"SERPINC1"</f>
        <v>SERPINC1</v>
      </c>
      <c r="B5223" s="6">
        <v>7.3999999999999996E-2</v>
      </c>
      <c r="C5223" s="6">
        <v>0.24908422664624799</v>
      </c>
    </row>
    <row r="5224" spans="1:3" s="8" customFormat="1" x14ac:dyDescent="0.2">
      <c r="A5224" s="6" t="str">
        <f>"CTBP2P8"</f>
        <v>CTBP2P8</v>
      </c>
      <c r="B5224" s="6">
        <v>7.3999999999999996E-2</v>
      </c>
      <c r="C5224" s="6">
        <v>0.24908422664624799</v>
      </c>
    </row>
    <row r="5225" spans="1:3" s="8" customFormat="1" x14ac:dyDescent="0.2">
      <c r="A5225" s="6" t="str">
        <f>"ZNF287"</f>
        <v>ZNF287</v>
      </c>
      <c r="B5225" s="6">
        <v>7.3999999999999996E-2</v>
      </c>
      <c r="C5225" s="6">
        <v>0.24908422664624799</v>
      </c>
    </row>
    <row r="5226" spans="1:3" s="8" customFormat="1" x14ac:dyDescent="0.2">
      <c r="A5226" s="6" t="str">
        <f>"AL035078.4"</f>
        <v>AL035078.4</v>
      </c>
      <c r="B5226" s="6">
        <v>7.4074074074074001E-2</v>
      </c>
      <c r="C5226" s="6">
        <v>0.249285840864788</v>
      </c>
    </row>
    <row r="5227" spans="1:3" s="8" customFormat="1" x14ac:dyDescent="0.2">
      <c r="A5227" s="6" t="str">
        <f>"UICLM"</f>
        <v>UICLM</v>
      </c>
      <c r="B5227" s="6">
        <v>7.4148296593186294E-2</v>
      </c>
      <c r="C5227" s="6">
        <v>0.249487877400418</v>
      </c>
    </row>
    <row r="5228" spans="1:3" s="8" customFormat="1" x14ac:dyDescent="0.2">
      <c r="A5228" s="6" t="str">
        <f>"EFCAB3"</f>
        <v>EFCAB3</v>
      </c>
      <c r="B5228" s="6">
        <v>7.4267782426778201E-2</v>
      </c>
      <c r="C5228" s="6">
        <v>0.249842105642331</v>
      </c>
    </row>
    <row r="5229" spans="1:3" s="8" customFormat="1" x14ac:dyDescent="0.2">
      <c r="A5229" s="6" t="str">
        <f>"OR9H1P"</f>
        <v>OR9H1P</v>
      </c>
      <c r="B5229" s="6">
        <v>7.4297188755020005E-2</v>
      </c>
      <c r="C5229" s="6">
        <v>0.24989322246906501</v>
      </c>
    </row>
    <row r="5230" spans="1:3" s="8" customFormat="1" x14ac:dyDescent="0.2">
      <c r="A5230" s="6" t="str">
        <f>"TRIM61"</f>
        <v>TRIM61</v>
      </c>
      <c r="B5230" s="6">
        <v>7.4413863404689098E-2</v>
      </c>
      <c r="C5230" s="6">
        <v>0.25023778430064098</v>
      </c>
    </row>
    <row r="5231" spans="1:3" s="8" customFormat="1" x14ac:dyDescent="0.2">
      <c r="A5231" s="6" t="str">
        <f>"AC027601.4"</f>
        <v>AC027601.4</v>
      </c>
      <c r="B5231" s="6">
        <v>7.49250749250749E-2</v>
      </c>
      <c r="C5231" s="6">
        <v>0.25051958879682701</v>
      </c>
    </row>
    <row r="5232" spans="1:3" s="8" customFormat="1" x14ac:dyDescent="0.2">
      <c r="A5232" s="6" t="str">
        <f>"EIF3EP1"</f>
        <v>EIF3EP1</v>
      </c>
      <c r="B5232" s="6">
        <v>7.49250749250749E-2</v>
      </c>
      <c r="C5232" s="6">
        <v>0.25051958879682701</v>
      </c>
    </row>
    <row r="5233" spans="1:3" s="8" customFormat="1" x14ac:dyDescent="0.2">
      <c r="A5233" s="6" t="str">
        <f>"AC138028.1"</f>
        <v>AC138028.1</v>
      </c>
      <c r="B5233" s="6">
        <v>7.49250749250749E-2</v>
      </c>
      <c r="C5233" s="6">
        <v>0.25051958879682701</v>
      </c>
    </row>
    <row r="5234" spans="1:3" s="8" customFormat="1" x14ac:dyDescent="0.2">
      <c r="A5234" s="6" t="str">
        <f>"LINC01618"</f>
        <v>LINC01618</v>
      </c>
      <c r="B5234" s="6">
        <v>7.49250749250749E-2</v>
      </c>
      <c r="C5234" s="6">
        <v>0.25051958879682701</v>
      </c>
    </row>
    <row r="5235" spans="1:3" s="8" customFormat="1" x14ac:dyDescent="0.2">
      <c r="A5235" s="6" t="str">
        <f>"BCL6B"</f>
        <v>BCL6B</v>
      </c>
      <c r="B5235" s="6">
        <v>7.49250749250749E-2</v>
      </c>
      <c r="C5235" s="6">
        <v>0.25051958879682701</v>
      </c>
    </row>
    <row r="5236" spans="1:3" s="8" customFormat="1" x14ac:dyDescent="0.2">
      <c r="A5236" s="6" t="str">
        <f>"OPRM1"</f>
        <v>OPRM1</v>
      </c>
      <c r="B5236" s="6">
        <v>7.49250749250749E-2</v>
      </c>
      <c r="C5236" s="6">
        <v>0.25051958879682701</v>
      </c>
    </row>
    <row r="5237" spans="1:3" s="8" customFormat="1" x14ac:dyDescent="0.2">
      <c r="A5237" s="6" t="str">
        <f>"AL121949.1"</f>
        <v>AL121949.1</v>
      </c>
      <c r="B5237" s="6">
        <v>7.49250749250749E-2</v>
      </c>
      <c r="C5237" s="6">
        <v>0.25051958879682701</v>
      </c>
    </row>
    <row r="5238" spans="1:3" s="8" customFormat="1" x14ac:dyDescent="0.2">
      <c r="A5238" s="6" t="str">
        <f>"HORMAD1"</f>
        <v>HORMAD1</v>
      </c>
      <c r="B5238" s="6">
        <v>7.49250749250749E-2</v>
      </c>
      <c r="C5238" s="6">
        <v>0.25051958879682701</v>
      </c>
    </row>
    <row r="5239" spans="1:3" s="8" customFormat="1" x14ac:dyDescent="0.2">
      <c r="A5239" s="6" t="str">
        <f>"FAM131C"</f>
        <v>FAM131C</v>
      </c>
      <c r="B5239" s="6">
        <v>7.49250749250749E-2</v>
      </c>
      <c r="C5239" s="6">
        <v>0.25051958879682701</v>
      </c>
    </row>
    <row r="5240" spans="1:3" s="8" customFormat="1" x14ac:dyDescent="0.2">
      <c r="A5240" s="6" t="str">
        <f>"MTNR1A"</f>
        <v>MTNR1A</v>
      </c>
      <c r="B5240" s="6">
        <v>7.49250749250749E-2</v>
      </c>
      <c r="C5240" s="6">
        <v>0.25051958879682701</v>
      </c>
    </row>
    <row r="5241" spans="1:3" s="8" customFormat="1" x14ac:dyDescent="0.2">
      <c r="A5241" s="6" t="str">
        <f>"GEMIN2"</f>
        <v>GEMIN2</v>
      </c>
      <c r="B5241" s="6">
        <v>7.49250749250749E-2</v>
      </c>
      <c r="C5241" s="6">
        <v>0.25051958879682701</v>
      </c>
    </row>
    <row r="5242" spans="1:3" s="8" customFormat="1" x14ac:dyDescent="0.2">
      <c r="A5242" s="6" t="str">
        <f>"BCL2L2-PABPN1"</f>
        <v>BCL2L2-PABPN1</v>
      </c>
      <c r="B5242" s="6">
        <v>7.49250749250749E-2</v>
      </c>
      <c r="C5242" s="6">
        <v>0.25051958879682701</v>
      </c>
    </row>
    <row r="5243" spans="1:3" s="8" customFormat="1" x14ac:dyDescent="0.2">
      <c r="A5243" s="6" t="str">
        <f>"EID2B"</f>
        <v>EID2B</v>
      </c>
      <c r="B5243" s="6">
        <v>7.49250749250749E-2</v>
      </c>
      <c r="C5243" s="6">
        <v>0.25051958879682701</v>
      </c>
    </row>
    <row r="5244" spans="1:3" s="8" customFormat="1" x14ac:dyDescent="0.2">
      <c r="A5244" s="6" t="str">
        <f>"RAB11B-AS1"</f>
        <v>RAB11B-AS1</v>
      </c>
      <c r="B5244" s="6">
        <v>7.49250749250749E-2</v>
      </c>
      <c r="C5244" s="6">
        <v>0.25051958879682701</v>
      </c>
    </row>
    <row r="5245" spans="1:3" s="8" customFormat="1" x14ac:dyDescent="0.2">
      <c r="A5245" s="6" t="str">
        <f>"SHROOM1"</f>
        <v>SHROOM1</v>
      </c>
      <c r="B5245" s="6">
        <v>7.49250749250749E-2</v>
      </c>
      <c r="C5245" s="6">
        <v>0.25051958879682701</v>
      </c>
    </row>
    <row r="5246" spans="1:3" s="8" customFormat="1" x14ac:dyDescent="0.2">
      <c r="A5246" s="6" t="str">
        <f>"CMTM8"</f>
        <v>CMTM8</v>
      </c>
      <c r="B5246" s="6">
        <v>7.49250749250749E-2</v>
      </c>
      <c r="C5246" s="6">
        <v>0.25051958879682701</v>
      </c>
    </row>
    <row r="5247" spans="1:3" s="8" customFormat="1" x14ac:dyDescent="0.2">
      <c r="A5247" s="6" t="str">
        <f>"SIX5"</f>
        <v>SIX5</v>
      </c>
      <c r="B5247" s="6">
        <v>7.49250749250749E-2</v>
      </c>
      <c r="C5247" s="6">
        <v>0.25051958879682701</v>
      </c>
    </row>
    <row r="5248" spans="1:3" s="8" customFormat="1" x14ac:dyDescent="0.2">
      <c r="A5248" s="6" t="str">
        <f>"PSMG1"</f>
        <v>PSMG1</v>
      </c>
      <c r="B5248" s="6">
        <v>7.49250749250749E-2</v>
      </c>
      <c r="C5248" s="6">
        <v>0.25051958879682701</v>
      </c>
    </row>
    <row r="5249" spans="1:3" s="8" customFormat="1" x14ac:dyDescent="0.2">
      <c r="A5249" s="6" t="str">
        <f>"ARL5B"</f>
        <v>ARL5B</v>
      </c>
      <c r="B5249" s="6">
        <v>7.49250749250749E-2</v>
      </c>
      <c r="C5249" s="6">
        <v>0.25051958879682701</v>
      </c>
    </row>
    <row r="5250" spans="1:3" s="8" customFormat="1" x14ac:dyDescent="0.2">
      <c r="A5250" s="6" t="str">
        <f>"CCDC43"</f>
        <v>CCDC43</v>
      </c>
      <c r="B5250" s="6">
        <v>7.49250749250749E-2</v>
      </c>
      <c r="C5250" s="6">
        <v>0.25051958879682701</v>
      </c>
    </row>
    <row r="5251" spans="1:3" s="8" customFormat="1" x14ac:dyDescent="0.2">
      <c r="A5251" s="6" t="str">
        <f>"AMACR"</f>
        <v>AMACR</v>
      </c>
      <c r="B5251" s="6">
        <v>7.49250749250749E-2</v>
      </c>
      <c r="C5251" s="6">
        <v>0.25051958879682701</v>
      </c>
    </row>
    <row r="5252" spans="1:3" s="8" customFormat="1" x14ac:dyDescent="0.2">
      <c r="A5252" s="6" t="str">
        <f>"SP8"</f>
        <v>SP8</v>
      </c>
      <c r="B5252" s="6">
        <v>7.49250749250749E-2</v>
      </c>
      <c r="C5252" s="6">
        <v>0.25051958879682701</v>
      </c>
    </row>
    <row r="5253" spans="1:3" s="8" customFormat="1" x14ac:dyDescent="0.2">
      <c r="A5253" s="6" t="str">
        <f>"ZMAT3"</f>
        <v>ZMAT3</v>
      </c>
      <c r="B5253" s="6">
        <v>7.49250749250749E-2</v>
      </c>
      <c r="C5253" s="6">
        <v>0.25051958879682701</v>
      </c>
    </row>
    <row r="5254" spans="1:3" s="8" customFormat="1" x14ac:dyDescent="0.2">
      <c r="A5254" s="6" t="str">
        <f>"AL121761.1"</f>
        <v>AL121761.1</v>
      </c>
      <c r="B5254" s="6">
        <v>7.49250749250749E-2</v>
      </c>
      <c r="C5254" s="6">
        <v>0.25051958879682701</v>
      </c>
    </row>
    <row r="5255" spans="1:3" s="8" customFormat="1" x14ac:dyDescent="0.2">
      <c r="A5255" s="6" t="str">
        <f>"BBS4"</f>
        <v>BBS4</v>
      </c>
      <c r="B5255" s="6">
        <v>7.49250749250749E-2</v>
      </c>
      <c r="C5255" s="6">
        <v>0.25051958879682701</v>
      </c>
    </row>
    <row r="5256" spans="1:3" s="8" customFormat="1" x14ac:dyDescent="0.2">
      <c r="A5256" s="6" t="str">
        <f>"CFAP70"</f>
        <v>CFAP70</v>
      </c>
      <c r="B5256" s="6">
        <v>7.49250749250749E-2</v>
      </c>
      <c r="C5256" s="6">
        <v>0.25051958879682701</v>
      </c>
    </row>
    <row r="5257" spans="1:3" s="8" customFormat="1" x14ac:dyDescent="0.2">
      <c r="A5257" s="6" t="str">
        <f>"WDR33"</f>
        <v>WDR33</v>
      </c>
      <c r="B5257" s="6">
        <v>7.49250749250749E-2</v>
      </c>
      <c r="C5257" s="6">
        <v>0.25051958879682701</v>
      </c>
    </row>
    <row r="5258" spans="1:3" s="8" customFormat="1" x14ac:dyDescent="0.2">
      <c r="A5258" s="6" t="str">
        <f>"ERF"</f>
        <v>ERF</v>
      </c>
      <c r="B5258" s="6">
        <v>7.49250749250749E-2</v>
      </c>
      <c r="C5258" s="6">
        <v>0.25051958879682701</v>
      </c>
    </row>
    <row r="5259" spans="1:3" s="8" customFormat="1" x14ac:dyDescent="0.2">
      <c r="A5259" s="6" t="str">
        <f>"UPK1B"</f>
        <v>UPK1B</v>
      </c>
      <c r="B5259" s="6">
        <v>7.49250749250749E-2</v>
      </c>
      <c r="C5259" s="6">
        <v>0.25051958879682701</v>
      </c>
    </row>
    <row r="5260" spans="1:3" s="8" customFormat="1" x14ac:dyDescent="0.2">
      <c r="A5260" s="6" t="str">
        <f>"RBM3"</f>
        <v>RBM3</v>
      </c>
      <c r="B5260" s="6">
        <v>7.49250749250749E-2</v>
      </c>
      <c r="C5260" s="6">
        <v>0.25051958879682701</v>
      </c>
    </row>
    <row r="5261" spans="1:3" s="8" customFormat="1" x14ac:dyDescent="0.2">
      <c r="A5261" s="6" t="str">
        <f>"LSINCT5"</f>
        <v>LSINCT5</v>
      </c>
      <c r="B5261" s="6">
        <v>7.4999999999999997E-2</v>
      </c>
      <c r="C5261" s="6">
        <v>0.25067477665842902</v>
      </c>
    </row>
    <row r="5262" spans="1:3" s="8" customFormat="1" x14ac:dyDescent="0.2">
      <c r="A5262" s="6" t="str">
        <f>"ORC1"</f>
        <v>ORC1</v>
      </c>
      <c r="B5262" s="6">
        <v>7.4999999999999997E-2</v>
      </c>
      <c r="C5262" s="6">
        <v>0.25067477665842902</v>
      </c>
    </row>
    <row r="5263" spans="1:3" s="8" customFormat="1" x14ac:dyDescent="0.2">
      <c r="A5263" s="6" t="str">
        <f>"AC079921.2"</f>
        <v>AC079921.2</v>
      </c>
      <c r="B5263" s="6">
        <v>7.5301204819277101E-2</v>
      </c>
      <c r="C5263" s="6">
        <v>0.25158586082883599</v>
      </c>
    </row>
    <row r="5264" spans="1:3" s="8" customFormat="1" x14ac:dyDescent="0.2">
      <c r="A5264" s="6" t="str">
        <f>"PMS2P10"</f>
        <v>PMS2P10</v>
      </c>
      <c r="B5264" s="6">
        <v>7.5301204819277101E-2</v>
      </c>
      <c r="C5264" s="6">
        <v>0.25158586082883599</v>
      </c>
    </row>
    <row r="5265" spans="1:3" s="8" customFormat="1" x14ac:dyDescent="0.2">
      <c r="A5265" s="6" t="str">
        <f>"AL122023.1"</f>
        <v>AL122023.1</v>
      </c>
      <c r="B5265" s="6">
        <v>7.5451647183846907E-2</v>
      </c>
      <c r="C5265" s="6">
        <v>0.25204060867795602</v>
      </c>
    </row>
    <row r="5266" spans="1:3" s="8" customFormat="1" x14ac:dyDescent="0.2">
      <c r="A5266" s="6" t="str">
        <f>"SMPD4P1"</f>
        <v>SMPD4P1</v>
      </c>
      <c r="B5266" s="6">
        <v>7.5924075924075907E-2</v>
      </c>
      <c r="C5266" s="6">
        <v>0.25208628229776198</v>
      </c>
    </row>
    <row r="5267" spans="1:3" s="8" customFormat="1" x14ac:dyDescent="0.2">
      <c r="A5267" s="6" t="str">
        <f>"POT1-AS1"</f>
        <v>POT1-AS1</v>
      </c>
      <c r="B5267" s="6">
        <v>7.5924075924075907E-2</v>
      </c>
      <c r="C5267" s="6">
        <v>0.25208628229776198</v>
      </c>
    </row>
    <row r="5268" spans="1:3" s="8" customFormat="1" x14ac:dyDescent="0.2">
      <c r="A5268" s="6" t="str">
        <f>"BTG3-AS1"</f>
        <v>BTG3-AS1</v>
      </c>
      <c r="B5268" s="6">
        <v>7.5924075924075907E-2</v>
      </c>
      <c r="C5268" s="6">
        <v>0.25208628229776198</v>
      </c>
    </row>
    <row r="5269" spans="1:3" s="8" customFormat="1" x14ac:dyDescent="0.2">
      <c r="A5269" s="6" t="str">
        <f>"AC009090.5"</f>
        <v>AC009090.5</v>
      </c>
      <c r="B5269" s="6">
        <v>7.5924075924075907E-2</v>
      </c>
      <c r="C5269" s="6">
        <v>0.25208628229776198</v>
      </c>
    </row>
    <row r="5270" spans="1:3" s="8" customFormat="1" x14ac:dyDescent="0.2">
      <c r="A5270" s="6" t="str">
        <f>"AC137630.3"</f>
        <v>AC137630.3</v>
      </c>
      <c r="B5270" s="6">
        <v>7.5924075924075907E-2</v>
      </c>
      <c r="C5270" s="6">
        <v>0.25208628229776198</v>
      </c>
    </row>
    <row r="5271" spans="1:3" s="8" customFormat="1" x14ac:dyDescent="0.2">
      <c r="A5271" s="6" t="str">
        <f>"AC007728.2"</f>
        <v>AC007728.2</v>
      </c>
      <c r="B5271" s="6">
        <v>7.5924075924075907E-2</v>
      </c>
      <c r="C5271" s="6">
        <v>0.25208628229776198</v>
      </c>
    </row>
    <row r="5272" spans="1:3" s="8" customFormat="1" x14ac:dyDescent="0.2">
      <c r="A5272" s="6" t="str">
        <f>"LINC00475"</f>
        <v>LINC00475</v>
      </c>
      <c r="B5272" s="6">
        <v>7.5924075924075907E-2</v>
      </c>
      <c r="C5272" s="6">
        <v>0.25208628229776198</v>
      </c>
    </row>
    <row r="5273" spans="1:3" s="8" customFormat="1" x14ac:dyDescent="0.2">
      <c r="A5273" s="6" t="str">
        <f>"C1QTNF4"</f>
        <v>C1QTNF4</v>
      </c>
      <c r="B5273" s="6">
        <v>7.5924075924075907E-2</v>
      </c>
      <c r="C5273" s="6">
        <v>0.25208628229776198</v>
      </c>
    </row>
    <row r="5274" spans="1:3" s="8" customFormat="1" x14ac:dyDescent="0.2">
      <c r="A5274" s="6" t="str">
        <f>"CDC37L1-DT"</f>
        <v>CDC37L1-DT</v>
      </c>
      <c r="B5274" s="6">
        <v>7.5924075924075907E-2</v>
      </c>
      <c r="C5274" s="6">
        <v>0.25208628229776198</v>
      </c>
    </row>
    <row r="5275" spans="1:3" s="8" customFormat="1" x14ac:dyDescent="0.2">
      <c r="A5275" s="6" t="str">
        <f>"ANO7L1"</f>
        <v>ANO7L1</v>
      </c>
      <c r="B5275" s="6">
        <v>7.5924075924075907E-2</v>
      </c>
      <c r="C5275" s="6">
        <v>0.25208628229776198</v>
      </c>
    </row>
    <row r="5276" spans="1:3" s="8" customFormat="1" x14ac:dyDescent="0.2">
      <c r="A5276" s="6" t="str">
        <f>"ZNF556"</f>
        <v>ZNF556</v>
      </c>
      <c r="B5276" s="6">
        <v>7.5924075924075907E-2</v>
      </c>
      <c r="C5276" s="6">
        <v>0.25208628229776198</v>
      </c>
    </row>
    <row r="5277" spans="1:3" s="8" customFormat="1" x14ac:dyDescent="0.2">
      <c r="A5277" s="6" t="str">
        <f>"ARRDC3-AS1"</f>
        <v>ARRDC3-AS1</v>
      </c>
      <c r="B5277" s="6">
        <v>7.5924075924075907E-2</v>
      </c>
      <c r="C5277" s="6">
        <v>0.25208628229776198</v>
      </c>
    </row>
    <row r="5278" spans="1:3" s="8" customFormat="1" x14ac:dyDescent="0.2">
      <c r="A5278" s="6" t="str">
        <f>"WDFY3-AS2"</f>
        <v>WDFY3-AS2</v>
      </c>
      <c r="B5278" s="6">
        <v>7.5924075924075907E-2</v>
      </c>
      <c r="C5278" s="6">
        <v>0.25208628229776198</v>
      </c>
    </row>
    <row r="5279" spans="1:3" s="8" customFormat="1" x14ac:dyDescent="0.2">
      <c r="A5279" s="6" t="str">
        <f>"PRSS36"</f>
        <v>PRSS36</v>
      </c>
      <c r="B5279" s="6">
        <v>7.5924075924075907E-2</v>
      </c>
      <c r="C5279" s="6">
        <v>0.25208628229776198</v>
      </c>
    </row>
    <row r="5280" spans="1:3" s="8" customFormat="1" x14ac:dyDescent="0.2">
      <c r="A5280" s="6" t="str">
        <f>"AC010969.2"</f>
        <v>AC010969.2</v>
      </c>
      <c r="B5280" s="6">
        <v>7.5924075924075907E-2</v>
      </c>
      <c r="C5280" s="6">
        <v>0.25208628229776198</v>
      </c>
    </row>
    <row r="5281" spans="1:3" s="8" customFormat="1" x14ac:dyDescent="0.2">
      <c r="A5281" s="6" t="str">
        <f>"CFL2"</f>
        <v>CFL2</v>
      </c>
      <c r="B5281" s="6">
        <v>7.5924075924075907E-2</v>
      </c>
      <c r="C5281" s="6">
        <v>0.25208628229776198</v>
      </c>
    </row>
    <row r="5282" spans="1:3" s="8" customFormat="1" x14ac:dyDescent="0.2">
      <c r="A5282" s="6" t="str">
        <f>"AAMDC"</f>
        <v>AAMDC</v>
      </c>
      <c r="B5282" s="6">
        <v>7.5924075924075907E-2</v>
      </c>
      <c r="C5282" s="6">
        <v>0.25208628229776198</v>
      </c>
    </row>
    <row r="5283" spans="1:3" s="8" customFormat="1" x14ac:dyDescent="0.2">
      <c r="A5283" s="6" t="str">
        <f>"PEX7"</f>
        <v>PEX7</v>
      </c>
      <c r="B5283" s="6">
        <v>7.5924075924075907E-2</v>
      </c>
      <c r="C5283" s="6">
        <v>0.25208628229776198</v>
      </c>
    </row>
    <row r="5284" spans="1:3" s="8" customFormat="1" x14ac:dyDescent="0.2">
      <c r="A5284" s="6" t="str">
        <f>"HYAL1"</f>
        <v>HYAL1</v>
      </c>
      <c r="B5284" s="6">
        <v>7.5924075924075907E-2</v>
      </c>
      <c r="C5284" s="6">
        <v>0.25208628229776198</v>
      </c>
    </row>
    <row r="5285" spans="1:3" s="8" customFormat="1" x14ac:dyDescent="0.2">
      <c r="A5285" s="6" t="str">
        <f>"CEP19"</f>
        <v>CEP19</v>
      </c>
      <c r="B5285" s="6">
        <v>7.5924075924075907E-2</v>
      </c>
      <c r="C5285" s="6">
        <v>0.25208628229776198</v>
      </c>
    </row>
    <row r="5286" spans="1:3" s="8" customFormat="1" x14ac:dyDescent="0.2">
      <c r="A5286" s="6" t="str">
        <f>"MROH6"</f>
        <v>MROH6</v>
      </c>
      <c r="B5286" s="6">
        <v>7.5924075924075907E-2</v>
      </c>
      <c r="C5286" s="6">
        <v>0.25208628229776198</v>
      </c>
    </row>
    <row r="5287" spans="1:3" s="8" customFormat="1" x14ac:dyDescent="0.2">
      <c r="A5287" s="6" t="str">
        <f>"BLZF1"</f>
        <v>BLZF1</v>
      </c>
      <c r="B5287" s="6">
        <v>7.5924075924075907E-2</v>
      </c>
      <c r="C5287" s="6">
        <v>0.25208628229776198</v>
      </c>
    </row>
    <row r="5288" spans="1:3" s="8" customFormat="1" x14ac:dyDescent="0.2">
      <c r="A5288" s="6" t="str">
        <f>"TCAIM"</f>
        <v>TCAIM</v>
      </c>
      <c r="B5288" s="6">
        <v>7.5924075924075907E-2</v>
      </c>
      <c r="C5288" s="6">
        <v>0.25208628229776198</v>
      </c>
    </row>
    <row r="5289" spans="1:3" s="8" customFormat="1" x14ac:dyDescent="0.2">
      <c r="A5289" s="6" t="str">
        <f>"AAR2"</f>
        <v>AAR2</v>
      </c>
      <c r="B5289" s="6">
        <v>7.5924075924075907E-2</v>
      </c>
      <c r="C5289" s="6">
        <v>0.25208628229776198</v>
      </c>
    </row>
    <row r="5290" spans="1:3" s="8" customFormat="1" x14ac:dyDescent="0.2">
      <c r="A5290" s="6" t="str">
        <f>"RASSF9"</f>
        <v>RASSF9</v>
      </c>
      <c r="B5290" s="6">
        <v>7.5924075924075907E-2</v>
      </c>
      <c r="C5290" s="6">
        <v>0.25208628229776198</v>
      </c>
    </row>
    <row r="5291" spans="1:3" s="8" customFormat="1" x14ac:dyDescent="0.2">
      <c r="A5291" s="6" t="str">
        <f>"NBPF19"</f>
        <v>NBPF19</v>
      </c>
      <c r="B5291" s="6">
        <v>7.5924075924075907E-2</v>
      </c>
      <c r="C5291" s="6">
        <v>0.25208628229776198</v>
      </c>
    </row>
    <row r="5292" spans="1:3" s="8" customFormat="1" x14ac:dyDescent="0.2">
      <c r="A5292" s="6" t="str">
        <f>"PPP1R8"</f>
        <v>PPP1R8</v>
      </c>
      <c r="B5292" s="6">
        <v>7.5924075924075907E-2</v>
      </c>
      <c r="C5292" s="6">
        <v>0.25208628229776198</v>
      </c>
    </row>
    <row r="5293" spans="1:3" s="8" customFormat="1" x14ac:dyDescent="0.2">
      <c r="A5293" s="6" t="str">
        <f>"ORAI1"</f>
        <v>ORAI1</v>
      </c>
      <c r="B5293" s="6">
        <v>7.5924075924075907E-2</v>
      </c>
      <c r="C5293" s="6">
        <v>0.25208628229776198</v>
      </c>
    </row>
    <row r="5294" spans="1:3" s="8" customFormat="1" x14ac:dyDescent="0.2">
      <c r="A5294" s="6" t="str">
        <f>"ZFP90"</f>
        <v>ZFP90</v>
      </c>
      <c r="B5294" s="6">
        <v>7.5924075924075907E-2</v>
      </c>
      <c r="C5294" s="6">
        <v>0.25208628229776198</v>
      </c>
    </row>
    <row r="5295" spans="1:3" s="8" customFormat="1" x14ac:dyDescent="0.2">
      <c r="A5295" s="6" t="str">
        <f>"CYBC1"</f>
        <v>CYBC1</v>
      </c>
      <c r="B5295" s="6">
        <v>7.5924075924075907E-2</v>
      </c>
      <c r="C5295" s="6">
        <v>0.25208628229776198</v>
      </c>
    </row>
    <row r="5296" spans="1:3" s="8" customFormat="1" x14ac:dyDescent="0.2">
      <c r="A5296" s="6" t="str">
        <f>"MANBAL"</f>
        <v>MANBAL</v>
      </c>
      <c r="B5296" s="6">
        <v>7.5924075924075907E-2</v>
      </c>
      <c r="C5296" s="6">
        <v>0.25208628229776198</v>
      </c>
    </row>
    <row r="5297" spans="1:3" s="8" customFormat="1" x14ac:dyDescent="0.2">
      <c r="A5297" s="6" t="str">
        <f>"TFG"</f>
        <v>TFG</v>
      </c>
      <c r="B5297" s="6">
        <v>7.5924075924075907E-2</v>
      </c>
      <c r="C5297" s="6">
        <v>0.25208628229776198</v>
      </c>
    </row>
    <row r="5298" spans="1:3" s="8" customFormat="1" x14ac:dyDescent="0.2">
      <c r="A5298" s="6" t="str">
        <f>"AC132938.6"</f>
        <v>AC132938.6</v>
      </c>
      <c r="B5298" s="6">
        <v>7.5987841945288695E-2</v>
      </c>
      <c r="C5298" s="6">
        <v>0.25224311060777599</v>
      </c>
    </row>
    <row r="5299" spans="1:3" s="8" customFormat="1" x14ac:dyDescent="0.2">
      <c r="A5299" s="6" t="str">
        <f>"LRP8"</f>
        <v>LRP8</v>
      </c>
      <c r="B5299" s="6">
        <v>7.5999999999999998E-2</v>
      </c>
      <c r="C5299" s="6">
        <v>0.25224311060777599</v>
      </c>
    </row>
    <row r="5300" spans="1:3" s="8" customFormat="1" x14ac:dyDescent="0.2">
      <c r="A5300" s="6" t="str">
        <f>"CSPG4P10"</f>
        <v>CSPG4P10</v>
      </c>
      <c r="B5300" s="6">
        <v>7.6076076076075999E-2</v>
      </c>
      <c r="C5300" s="6">
        <v>0.25244795654306801</v>
      </c>
    </row>
    <row r="5301" spans="1:3" s="8" customFormat="1" x14ac:dyDescent="0.2">
      <c r="A5301" s="6" t="str">
        <f>"TMEM31"</f>
        <v>TMEM31</v>
      </c>
      <c r="B5301" s="6">
        <v>7.69230769230769E-2</v>
      </c>
      <c r="C5301" s="6">
        <v>0.25377399336123502</v>
      </c>
    </row>
    <row r="5302" spans="1:3" s="8" customFormat="1" x14ac:dyDescent="0.2">
      <c r="A5302" s="6" t="str">
        <f>"GASK1A"</f>
        <v>GASK1A</v>
      </c>
      <c r="B5302" s="6">
        <v>7.69230769230769E-2</v>
      </c>
      <c r="C5302" s="6">
        <v>0.25377399336123502</v>
      </c>
    </row>
    <row r="5303" spans="1:3" s="8" customFormat="1" x14ac:dyDescent="0.2">
      <c r="A5303" s="6" t="str">
        <f>"Z82243.1"</f>
        <v>Z82243.1</v>
      </c>
      <c r="B5303" s="6">
        <v>7.6604554865424404E-2</v>
      </c>
      <c r="C5303" s="6">
        <v>0.25377399336123502</v>
      </c>
    </row>
    <row r="5304" spans="1:3" s="8" customFormat="1" x14ac:dyDescent="0.2">
      <c r="A5304" s="6" t="str">
        <f>"ANKRD20A11P"</f>
        <v>ANKRD20A11P</v>
      </c>
      <c r="B5304" s="6">
        <v>7.69230769230769E-2</v>
      </c>
      <c r="C5304" s="6">
        <v>0.25377399336123502</v>
      </c>
    </row>
    <row r="5305" spans="1:3" s="8" customFormat="1" x14ac:dyDescent="0.2">
      <c r="A5305" s="6" t="str">
        <f>"GUCY1B2"</f>
        <v>GUCY1B2</v>
      </c>
      <c r="B5305" s="6">
        <v>7.69230769230769E-2</v>
      </c>
      <c r="C5305" s="6">
        <v>0.25377399336123502</v>
      </c>
    </row>
    <row r="5306" spans="1:3" s="8" customFormat="1" x14ac:dyDescent="0.2">
      <c r="A5306" s="6" t="str">
        <f>"AL162253.2"</f>
        <v>AL162253.2</v>
      </c>
      <c r="B5306" s="6">
        <v>7.69230769230769E-2</v>
      </c>
      <c r="C5306" s="6">
        <v>0.25377399336123502</v>
      </c>
    </row>
    <row r="5307" spans="1:3" s="8" customFormat="1" x14ac:dyDescent="0.2">
      <c r="A5307" s="6" t="str">
        <f>"AC092718.4"</f>
        <v>AC092718.4</v>
      </c>
      <c r="B5307" s="6">
        <v>7.69230769230769E-2</v>
      </c>
      <c r="C5307" s="6">
        <v>0.25377399336123502</v>
      </c>
    </row>
    <row r="5308" spans="1:3" s="8" customFormat="1" x14ac:dyDescent="0.2">
      <c r="A5308" s="6" t="str">
        <f>"LINC02605"</f>
        <v>LINC02605</v>
      </c>
      <c r="B5308" s="6">
        <v>7.69230769230769E-2</v>
      </c>
      <c r="C5308" s="6">
        <v>0.25377399336123502</v>
      </c>
    </row>
    <row r="5309" spans="1:3" s="8" customFormat="1" x14ac:dyDescent="0.2">
      <c r="A5309" s="6" t="str">
        <f>"HSD17B14"</f>
        <v>HSD17B14</v>
      </c>
      <c r="B5309" s="6">
        <v>7.69230769230769E-2</v>
      </c>
      <c r="C5309" s="6">
        <v>0.25377399336123502</v>
      </c>
    </row>
    <row r="5310" spans="1:3" s="8" customFormat="1" x14ac:dyDescent="0.2">
      <c r="A5310" s="6" t="str">
        <f>"ZNF575"</f>
        <v>ZNF575</v>
      </c>
      <c r="B5310" s="6">
        <v>7.69230769230769E-2</v>
      </c>
      <c r="C5310" s="6">
        <v>0.25377399336123502</v>
      </c>
    </row>
    <row r="5311" spans="1:3" s="8" customFormat="1" x14ac:dyDescent="0.2">
      <c r="A5311" s="6" t="str">
        <f>"AL928654.3"</f>
        <v>AL928654.3</v>
      </c>
      <c r="B5311" s="6">
        <v>7.69230769230769E-2</v>
      </c>
      <c r="C5311" s="6">
        <v>0.25377399336123502</v>
      </c>
    </row>
    <row r="5312" spans="1:3" s="8" customFormat="1" x14ac:dyDescent="0.2">
      <c r="A5312" s="6" t="str">
        <f>"KDR"</f>
        <v>KDR</v>
      </c>
      <c r="B5312" s="6">
        <v>7.69230769230769E-2</v>
      </c>
      <c r="C5312" s="6">
        <v>0.25377399336123502</v>
      </c>
    </row>
    <row r="5313" spans="1:3" s="8" customFormat="1" x14ac:dyDescent="0.2">
      <c r="A5313" s="6" t="str">
        <f>"ZNF714"</f>
        <v>ZNF714</v>
      </c>
      <c r="B5313" s="6">
        <v>7.69230769230769E-2</v>
      </c>
      <c r="C5313" s="6">
        <v>0.25377399336123502</v>
      </c>
    </row>
    <row r="5314" spans="1:3" s="8" customFormat="1" x14ac:dyDescent="0.2">
      <c r="A5314" s="6" t="str">
        <f>"RINL"</f>
        <v>RINL</v>
      </c>
      <c r="B5314" s="6">
        <v>7.69230769230769E-2</v>
      </c>
      <c r="C5314" s="6">
        <v>0.25377399336123502</v>
      </c>
    </row>
    <row r="5315" spans="1:3" s="8" customFormat="1" x14ac:dyDescent="0.2">
      <c r="A5315" s="6" t="str">
        <f>"LRRC37A11P"</f>
        <v>LRRC37A11P</v>
      </c>
      <c r="B5315" s="6">
        <v>7.69230769230769E-2</v>
      </c>
      <c r="C5315" s="6">
        <v>0.25377399336123502</v>
      </c>
    </row>
    <row r="5316" spans="1:3" s="8" customFormat="1" x14ac:dyDescent="0.2">
      <c r="A5316" s="6" t="str">
        <f>"TAF1B"</f>
        <v>TAF1B</v>
      </c>
      <c r="B5316" s="6">
        <v>7.69230769230769E-2</v>
      </c>
      <c r="C5316" s="6">
        <v>0.25377399336123502</v>
      </c>
    </row>
    <row r="5317" spans="1:3" s="8" customFormat="1" x14ac:dyDescent="0.2">
      <c r="A5317" s="6" t="str">
        <f>"CRADD"</f>
        <v>CRADD</v>
      </c>
      <c r="B5317" s="6">
        <v>7.69230769230769E-2</v>
      </c>
      <c r="C5317" s="6">
        <v>0.25377399336123502</v>
      </c>
    </row>
    <row r="5318" spans="1:3" s="8" customFormat="1" x14ac:dyDescent="0.2">
      <c r="A5318" s="6" t="str">
        <f>"SLC35D1"</f>
        <v>SLC35D1</v>
      </c>
      <c r="B5318" s="6">
        <v>7.69230769230769E-2</v>
      </c>
      <c r="C5318" s="6">
        <v>0.25377399336123502</v>
      </c>
    </row>
    <row r="5319" spans="1:3" s="8" customFormat="1" x14ac:dyDescent="0.2">
      <c r="A5319" s="6" t="str">
        <f>"DCP1B"</f>
        <v>DCP1B</v>
      </c>
      <c r="B5319" s="6">
        <v>7.69230769230769E-2</v>
      </c>
      <c r="C5319" s="6">
        <v>0.25377399336123502</v>
      </c>
    </row>
    <row r="5320" spans="1:3" s="8" customFormat="1" x14ac:dyDescent="0.2">
      <c r="A5320" s="6" t="str">
        <f>"CFAP299"</f>
        <v>CFAP299</v>
      </c>
      <c r="B5320" s="6">
        <v>7.69230769230769E-2</v>
      </c>
      <c r="C5320" s="6">
        <v>0.25377399336123502</v>
      </c>
    </row>
    <row r="5321" spans="1:3" s="8" customFormat="1" x14ac:dyDescent="0.2">
      <c r="A5321" s="6" t="str">
        <f>"EFNA5"</f>
        <v>EFNA5</v>
      </c>
      <c r="B5321" s="6">
        <v>7.69230769230769E-2</v>
      </c>
      <c r="C5321" s="6">
        <v>0.25377399336123502</v>
      </c>
    </row>
    <row r="5322" spans="1:3" s="8" customFormat="1" x14ac:dyDescent="0.2">
      <c r="A5322" s="6" t="str">
        <f>"TICAM1"</f>
        <v>TICAM1</v>
      </c>
      <c r="B5322" s="6">
        <v>7.69230769230769E-2</v>
      </c>
      <c r="C5322" s="6">
        <v>0.25377399336123502</v>
      </c>
    </row>
    <row r="5323" spans="1:3" s="8" customFormat="1" x14ac:dyDescent="0.2">
      <c r="A5323" s="6" t="str">
        <f>"RLF"</f>
        <v>RLF</v>
      </c>
      <c r="B5323" s="6">
        <v>7.69230769230769E-2</v>
      </c>
      <c r="C5323" s="6">
        <v>0.25377399336123502</v>
      </c>
    </row>
    <row r="5324" spans="1:3" s="8" customFormat="1" x14ac:dyDescent="0.2">
      <c r="A5324" s="6" t="str">
        <f>"ATP5MC1"</f>
        <v>ATP5MC1</v>
      </c>
      <c r="B5324" s="6">
        <v>7.69230769230769E-2</v>
      </c>
      <c r="C5324" s="6">
        <v>0.25377399336123502</v>
      </c>
    </row>
    <row r="5325" spans="1:3" s="8" customFormat="1" x14ac:dyDescent="0.2">
      <c r="A5325" s="6" t="str">
        <f>"MGMT"</f>
        <v>MGMT</v>
      </c>
      <c r="B5325" s="6">
        <v>7.69230769230769E-2</v>
      </c>
      <c r="C5325" s="6">
        <v>0.25377399336123502</v>
      </c>
    </row>
    <row r="5326" spans="1:3" s="8" customFormat="1" x14ac:dyDescent="0.2">
      <c r="A5326" s="6" t="str">
        <f>"CLCA2"</f>
        <v>CLCA2</v>
      </c>
      <c r="B5326" s="6">
        <v>7.69230769230769E-2</v>
      </c>
      <c r="C5326" s="6">
        <v>0.25377399336123502</v>
      </c>
    </row>
    <row r="5327" spans="1:3" s="8" customFormat="1" x14ac:dyDescent="0.2">
      <c r="A5327" s="6" t="str">
        <f>"HLA-DMB"</f>
        <v>HLA-DMB</v>
      </c>
      <c r="B5327" s="6">
        <v>7.69230769230769E-2</v>
      </c>
      <c r="C5327" s="6">
        <v>0.25377399336123502</v>
      </c>
    </row>
    <row r="5328" spans="1:3" s="8" customFormat="1" x14ac:dyDescent="0.2">
      <c r="A5328" s="6" t="str">
        <f>"ZNF362"</f>
        <v>ZNF362</v>
      </c>
      <c r="B5328" s="6">
        <v>7.69230769230769E-2</v>
      </c>
      <c r="C5328" s="6">
        <v>0.25377399336123502</v>
      </c>
    </row>
    <row r="5329" spans="1:3" s="8" customFormat="1" x14ac:dyDescent="0.2">
      <c r="A5329" s="6" t="str">
        <f>"CDHR4"</f>
        <v>CDHR4</v>
      </c>
      <c r="B5329" s="6">
        <v>7.69230769230769E-2</v>
      </c>
      <c r="C5329" s="6">
        <v>0.25377399336123502</v>
      </c>
    </row>
    <row r="5330" spans="1:3" s="8" customFormat="1" x14ac:dyDescent="0.2">
      <c r="A5330" s="6" t="str">
        <f>"PITX1"</f>
        <v>PITX1</v>
      </c>
      <c r="B5330" s="6">
        <v>7.69230769230769E-2</v>
      </c>
      <c r="C5330" s="6">
        <v>0.25377399336123502</v>
      </c>
    </row>
    <row r="5331" spans="1:3" s="8" customFormat="1" x14ac:dyDescent="0.2">
      <c r="A5331" s="6" t="str">
        <f>"SYTL2"</f>
        <v>SYTL2</v>
      </c>
      <c r="B5331" s="6">
        <v>7.69230769230769E-2</v>
      </c>
      <c r="C5331" s="6">
        <v>0.25377399336123502</v>
      </c>
    </row>
    <row r="5332" spans="1:3" s="8" customFormat="1" x14ac:dyDescent="0.2">
      <c r="A5332" s="6" t="str">
        <f>"AP003396.3"</f>
        <v>AP003396.3</v>
      </c>
      <c r="B5332" s="6">
        <v>7.6999999999999999E-2</v>
      </c>
      <c r="C5332" s="6">
        <v>0.25388486780423702</v>
      </c>
    </row>
    <row r="5333" spans="1:3" s="8" customFormat="1" x14ac:dyDescent="0.2">
      <c r="A5333" s="6" t="str">
        <f>"CTC-338M12.4"</f>
        <v>CTC-338M12.4</v>
      </c>
      <c r="B5333" s="6">
        <v>7.6999999999999999E-2</v>
      </c>
      <c r="C5333" s="6">
        <v>0.25388486780423702</v>
      </c>
    </row>
    <row r="5334" spans="1:3" s="8" customFormat="1" x14ac:dyDescent="0.2">
      <c r="A5334" s="6" t="str">
        <f>"TANC2"</f>
        <v>TANC2</v>
      </c>
      <c r="B5334" s="6">
        <v>7.6999999999999999E-2</v>
      </c>
      <c r="C5334" s="6">
        <v>0.25388486780423702</v>
      </c>
    </row>
    <row r="5335" spans="1:3" s="8" customFormat="1" x14ac:dyDescent="0.2">
      <c r="A5335" s="6" t="str">
        <f>"DDX11L2"</f>
        <v>DDX11L2</v>
      </c>
      <c r="B5335" s="6">
        <v>7.7077077077077005E-2</v>
      </c>
      <c r="C5335" s="6">
        <v>0.25409136170291002</v>
      </c>
    </row>
    <row r="5336" spans="1:3" s="8" customFormat="1" x14ac:dyDescent="0.2">
      <c r="A5336" s="6" t="str">
        <f>"AC125257.1"</f>
        <v>AC125257.1</v>
      </c>
      <c r="B5336" s="6">
        <v>7.7154308617234393E-2</v>
      </c>
      <c r="C5336" s="6">
        <v>0.25429828729624099</v>
      </c>
    </row>
    <row r="5337" spans="1:3" s="8" customFormat="1" x14ac:dyDescent="0.2">
      <c r="A5337" s="6" t="str">
        <f>"AL713852.1"</f>
        <v>AL713852.1</v>
      </c>
      <c r="B5337" s="6">
        <v>7.7309236947791099E-2</v>
      </c>
      <c r="C5337" s="6">
        <v>0.25476117363005202</v>
      </c>
    </row>
    <row r="5338" spans="1:3" s="8" customFormat="1" x14ac:dyDescent="0.2">
      <c r="A5338" s="6" t="str">
        <f>"AC016590.2"</f>
        <v>AC016590.2</v>
      </c>
      <c r="B5338" s="6">
        <v>7.7922077922077906E-2</v>
      </c>
      <c r="C5338" s="6">
        <v>0.25548793924702901</v>
      </c>
    </row>
    <row r="5339" spans="1:3" s="8" customFormat="1" x14ac:dyDescent="0.2">
      <c r="A5339" s="6" t="str">
        <f>"AC108925.1"</f>
        <v>AC108925.1</v>
      </c>
      <c r="B5339" s="6">
        <v>7.7922077922077906E-2</v>
      </c>
      <c r="C5339" s="6">
        <v>0.25548793924702901</v>
      </c>
    </row>
    <row r="5340" spans="1:3" s="8" customFormat="1" x14ac:dyDescent="0.2">
      <c r="A5340" s="6" t="str">
        <f>"MATN3"</f>
        <v>MATN3</v>
      </c>
      <c r="B5340" s="6">
        <v>7.7922077922077906E-2</v>
      </c>
      <c r="C5340" s="6">
        <v>0.25548793924702901</v>
      </c>
    </row>
    <row r="5341" spans="1:3" s="8" customFormat="1" x14ac:dyDescent="0.2">
      <c r="A5341" s="6" t="str">
        <f>"AC092337.1"</f>
        <v>AC092337.1</v>
      </c>
      <c r="B5341" s="6">
        <v>7.7789150460593606E-2</v>
      </c>
      <c r="C5341" s="6">
        <v>0.25548793924702901</v>
      </c>
    </row>
    <row r="5342" spans="1:3" s="8" customFormat="1" x14ac:dyDescent="0.2">
      <c r="A5342" s="6" t="str">
        <f>"AC002460.2"</f>
        <v>AC002460.2</v>
      </c>
      <c r="B5342" s="6">
        <v>7.7922077922077906E-2</v>
      </c>
      <c r="C5342" s="6">
        <v>0.25548793924702901</v>
      </c>
    </row>
    <row r="5343" spans="1:3" s="8" customFormat="1" x14ac:dyDescent="0.2">
      <c r="A5343" s="6" t="str">
        <f>"RASD1"</f>
        <v>RASD1</v>
      </c>
      <c r="B5343" s="6">
        <v>7.7922077922077906E-2</v>
      </c>
      <c r="C5343" s="6">
        <v>0.25548793924702901</v>
      </c>
    </row>
    <row r="5344" spans="1:3" s="8" customFormat="1" x14ac:dyDescent="0.2">
      <c r="A5344" s="6" t="str">
        <f>"CDCA2"</f>
        <v>CDCA2</v>
      </c>
      <c r="B5344" s="6">
        <v>7.7922077922077906E-2</v>
      </c>
      <c r="C5344" s="6">
        <v>0.25548793924702901</v>
      </c>
    </row>
    <row r="5345" spans="1:3" s="8" customFormat="1" x14ac:dyDescent="0.2">
      <c r="A5345" s="6" t="str">
        <f>"AC018413.1"</f>
        <v>AC018413.1</v>
      </c>
      <c r="B5345" s="6">
        <v>7.7922077922077906E-2</v>
      </c>
      <c r="C5345" s="6">
        <v>0.25548793924702901</v>
      </c>
    </row>
    <row r="5346" spans="1:3" s="8" customFormat="1" x14ac:dyDescent="0.2">
      <c r="A5346" s="6" t="str">
        <f>"GOLGA8R"</f>
        <v>GOLGA8R</v>
      </c>
      <c r="B5346" s="6">
        <v>7.7922077922077906E-2</v>
      </c>
      <c r="C5346" s="6">
        <v>0.25548793924702901</v>
      </c>
    </row>
    <row r="5347" spans="1:3" s="8" customFormat="1" x14ac:dyDescent="0.2">
      <c r="A5347" s="6" t="str">
        <f>"AC134407.2"</f>
        <v>AC134407.2</v>
      </c>
      <c r="B5347" s="6">
        <v>7.7922077922077906E-2</v>
      </c>
      <c r="C5347" s="6">
        <v>0.25548793924702901</v>
      </c>
    </row>
    <row r="5348" spans="1:3" s="8" customFormat="1" x14ac:dyDescent="0.2">
      <c r="A5348" s="6" t="str">
        <f>"SLC49A3"</f>
        <v>SLC49A3</v>
      </c>
      <c r="B5348" s="6">
        <v>7.7922077922077906E-2</v>
      </c>
      <c r="C5348" s="6">
        <v>0.25548793924702901</v>
      </c>
    </row>
    <row r="5349" spans="1:3" s="8" customFormat="1" x14ac:dyDescent="0.2">
      <c r="A5349" s="6" t="str">
        <f>"WARS2-AS1"</f>
        <v>WARS2-AS1</v>
      </c>
      <c r="B5349" s="6">
        <v>7.7922077922077906E-2</v>
      </c>
      <c r="C5349" s="6">
        <v>0.25548793924702901</v>
      </c>
    </row>
    <row r="5350" spans="1:3" s="8" customFormat="1" x14ac:dyDescent="0.2">
      <c r="A5350" s="6" t="str">
        <f>"EVC"</f>
        <v>EVC</v>
      </c>
      <c r="B5350" s="6">
        <v>7.7922077922077906E-2</v>
      </c>
      <c r="C5350" s="6">
        <v>0.25548793924702901</v>
      </c>
    </row>
    <row r="5351" spans="1:3" s="8" customFormat="1" x14ac:dyDescent="0.2">
      <c r="A5351" s="6" t="str">
        <f>"TASP1"</f>
        <v>TASP1</v>
      </c>
      <c r="B5351" s="6">
        <v>7.7922077922077906E-2</v>
      </c>
      <c r="C5351" s="6">
        <v>0.25548793924702901</v>
      </c>
    </row>
    <row r="5352" spans="1:3" s="8" customFormat="1" x14ac:dyDescent="0.2">
      <c r="A5352" s="6" t="str">
        <f>"TRAPPC6A"</f>
        <v>TRAPPC6A</v>
      </c>
      <c r="B5352" s="6">
        <v>7.7922077922077906E-2</v>
      </c>
      <c r="C5352" s="6">
        <v>0.25548793924702901</v>
      </c>
    </row>
    <row r="5353" spans="1:3" s="8" customFormat="1" x14ac:dyDescent="0.2">
      <c r="A5353" s="6" t="str">
        <f>"RUFY2"</f>
        <v>RUFY2</v>
      </c>
      <c r="B5353" s="6">
        <v>7.7922077922077906E-2</v>
      </c>
      <c r="C5353" s="6">
        <v>0.25548793924702901</v>
      </c>
    </row>
    <row r="5354" spans="1:3" s="8" customFormat="1" x14ac:dyDescent="0.2">
      <c r="A5354" s="6" t="str">
        <f>"DUSP11"</f>
        <v>DUSP11</v>
      </c>
      <c r="B5354" s="6">
        <v>7.7922077922077906E-2</v>
      </c>
      <c r="C5354" s="6">
        <v>0.25548793924702901</v>
      </c>
    </row>
    <row r="5355" spans="1:3" s="8" customFormat="1" x14ac:dyDescent="0.2">
      <c r="A5355" s="6" t="str">
        <f>"CAP2"</f>
        <v>CAP2</v>
      </c>
      <c r="B5355" s="6">
        <v>7.7922077922077906E-2</v>
      </c>
      <c r="C5355" s="6">
        <v>0.25548793924702901</v>
      </c>
    </row>
    <row r="5356" spans="1:3" s="8" customFormat="1" x14ac:dyDescent="0.2">
      <c r="A5356" s="6" t="str">
        <f>"TMEM199"</f>
        <v>TMEM199</v>
      </c>
      <c r="B5356" s="6">
        <v>7.7922077922077906E-2</v>
      </c>
      <c r="C5356" s="6">
        <v>0.25548793924702901</v>
      </c>
    </row>
    <row r="5357" spans="1:3" s="8" customFormat="1" x14ac:dyDescent="0.2">
      <c r="A5357" s="6" t="str">
        <f>"ZFP3"</f>
        <v>ZFP3</v>
      </c>
      <c r="B5357" s="6">
        <v>7.7922077922077906E-2</v>
      </c>
      <c r="C5357" s="6">
        <v>0.25548793924702901</v>
      </c>
    </row>
    <row r="5358" spans="1:3" s="8" customFormat="1" x14ac:dyDescent="0.2">
      <c r="A5358" s="6" t="str">
        <f>"RUNX2"</f>
        <v>RUNX2</v>
      </c>
      <c r="B5358" s="6">
        <v>7.7922077922077906E-2</v>
      </c>
      <c r="C5358" s="6">
        <v>0.25548793924702901</v>
      </c>
    </row>
    <row r="5359" spans="1:3" s="8" customFormat="1" x14ac:dyDescent="0.2">
      <c r="A5359" s="6" t="str">
        <f>"PREPL"</f>
        <v>PREPL</v>
      </c>
      <c r="B5359" s="6">
        <v>7.7922077922077906E-2</v>
      </c>
      <c r="C5359" s="6">
        <v>0.25548793924702901</v>
      </c>
    </row>
    <row r="5360" spans="1:3" s="8" customFormat="1" x14ac:dyDescent="0.2">
      <c r="A5360" s="6" t="str">
        <f>"SCAMP1"</f>
        <v>SCAMP1</v>
      </c>
      <c r="B5360" s="6">
        <v>7.7922077922077906E-2</v>
      </c>
      <c r="C5360" s="6">
        <v>0.25548793924702901</v>
      </c>
    </row>
    <row r="5361" spans="1:3" s="8" customFormat="1" x14ac:dyDescent="0.2">
      <c r="A5361" s="6" t="str">
        <f>"SOX21"</f>
        <v>SOX21</v>
      </c>
      <c r="B5361" s="6">
        <v>7.7922077922077906E-2</v>
      </c>
      <c r="C5361" s="6">
        <v>0.25548793924702901</v>
      </c>
    </row>
    <row r="5362" spans="1:3" s="8" customFormat="1" x14ac:dyDescent="0.2">
      <c r="A5362" s="6" t="str">
        <f>"UACA"</f>
        <v>UACA</v>
      </c>
      <c r="B5362" s="6">
        <v>7.7922077922077906E-2</v>
      </c>
      <c r="C5362" s="6">
        <v>0.25548793924702901</v>
      </c>
    </row>
    <row r="5363" spans="1:3" s="8" customFormat="1" x14ac:dyDescent="0.2">
      <c r="A5363" s="6" t="str">
        <f>"MXD4"</f>
        <v>MXD4</v>
      </c>
      <c r="B5363" s="6">
        <v>7.7922077922077906E-2</v>
      </c>
      <c r="C5363" s="6">
        <v>0.25548793924702901</v>
      </c>
    </row>
    <row r="5364" spans="1:3" s="8" customFormat="1" x14ac:dyDescent="0.2">
      <c r="A5364" s="6" t="str">
        <f>"SDHA"</f>
        <v>SDHA</v>
      </c>
      <c r="B5364" s="6">
        <v>7.7922077922077906E-2</v>
      </c>
      <c r="C5364" s="6">
        <v>0.25548793924702901</v>
      </c>
    </row>
    <row r="5365" spans="1:3" s="8" customFormat="1" x14ac:dyDescent="0.2">
      <c r="A5365" s="6" t="str">
        <f>"SETD7"</f>
        <v>SETD7</v>
      </c>
      <c r="B5365" s="6">
        <v>7.8E-2</v>
      </c>
      <c r="C5365" s="6">
        <v>0.25564808946877898</v>
      </c>
    </row>
    <row r="5366" spans="1:3" s="8" customFormat="1" x14ac:dyDescent="0.2">
      <c r="A5366" s="6" t="str">
        <f>"RP1"</f>
        <v>RP1</v>
      </c>
      <c r="B5366" s="6">
        <v>7.8E-2</v>
      </c>
      <c r="C5366" s="6">
        <v>0.25564808946877898</v>
      </c>
    </row>
    <row r="5367" spans="1:3" s="8" customFormat="1" x14ac:dyDescent="0.2">
      <c r="A5367" s="6" t="str">
        <f>"AC003681.1"</f>
        <v>AC003681.1</v>
      </c>
      <c r="B5367" s="6">
        <v>7.8078078078077998E-2</v>
      </c>
      <c r="C5367" s="6">
        <v>0.255856303564093</v>
      </c>
    </row>
    <row r="5368" spans="1:3" s="8" customFormat="1" x14ac:dyDescent="0.2">
      <c r="A5368" s="6" t="str">
        <f>"IGHV3-21"</f>
        <v>IGHV3-21</v>
      </c>
      <c r="B5368" s="6">
        <v>7.8921078921078899E-2</v>
      </c>
      <c r="C5368" s="6">
        <v>0.25751498455153998</v>
      </c>
    </row>
    <row r="5369" spans="1:3" s="8" customFormat="1" x14ac:dyDescent="0.2">
      <c r="A5369" s="6" t="str">
        <f>"LINC02728"</f>
        <v>LINC02728</v>
      </c>
      <c r="B5369" s="6">
        <v>7.8921078921078899E-2</v>
      </c>
      <c r="C5369" s="6">
        <v>0.25751498455153998</v>
      </c>
    </row>
    <row r="5370" spans="1:3" s="8" customFormat="1" x14ac:dyDescent="0.2">
      <c r="A5370" s="6" t="str">
        <f>"DDX11-AS1"</f>
        <v>DDX11-AS1</v>
      </c>
      <c r="B5370" s="6">
        <v>7.8921078921078899E-2</v>
      </c>
      <c r="C5370" s="6">
        <v>0.25751498455153998</v>
      </c>
    </row>
    <row r="5371" spans="1:3" s="8" customFormat="1" x14ac:dyDescent="0.2">
      <c r="A5371" s="6" t="str">
        <f>"JAKMIP2"</f>
        <v>JAKMIP2</v>
      </c>
      <c r="B5371" s="6">
        <v>7.8921078921078899E-2</v>
      </c>
      <c r="C5371" s="6">
        <v>0.25751498455153998</v>
      </c>
    </row>
    <row r="5372" spans="1:3" s="8" customFormat="1" x14ac:dyDescent="0.2">
      <c r="A5372" s="6" t="str">
        <f>"CD34"</f>
        <v>CD34</v>
      </c>
      <c r="B5372" s="6">
        <v>7.8921078921078899E-2</v>
      </c>
      <c r="C5372" s="6">
        <v>0.25751498455153998</v>
      </c>
    </row>
    <row r="5373" spans="1:3" s="8" customFormat="1" x14ac:dyDescent="0.2">
      <c r="A5373" s="6" t="str">
        <f>"ANK3-DT"</f>
        <v>ANK3-DT</v>
      </c>
      <c r="B5373" s="6">
        <v>7.8921078921078899E-2</v>
      </c>
      <c r="C5373" s="6">
        <v>0.25751498455153998</v>
      </c>
    </row>
    <row r="5374" spans="1:3" s="8" customFormat="1" x14ac:dyDescent="0.2">
      <c r="A5374" s="6" t="str">
        <f>"ADGRF4"</f>
        <v>ADGRF4</v>
      </c>
      <c r="B5374" s="6">
        <v>7.8921078921078899E-2</v>
      </c>
      <c r="C5374" s="6">
        <v>0.25751498455153998</v>
      </c>
    </row>
    <row r="5375" spans="1:3" s="8" customFormat="1" x14ac:dyDescent="0.2">
      <c r="A5375" s="6" t="str">
        <f>"NKD1"</f>
        <v>NKD1</v>
      </c>
      <c r="B5375" s="6">
        <v>7.8921078921078899E-2</v>
      </c>
      <c r="C5375" s="6">
        <v>0.25751498455153998</v>
      </c>
    </row>
    <row r="5376" spans="1:3" s="8" customFormat="1" x14ac:dyDescent="0.2">
      <c r="A5376" s="6" t="str">
        <f>"ZNF133"</f>
        <v>ZNF133</v>
      </c>
      <c r="B5376" s="6">
        <v>7.8921078921078899E-2</v>
      </c>
      <c r="C5376" s="6">
        <v>0.25751498455153998</v>
      </c>
    </row>
    <row r="5377" spans="1:3" s="8" customFormat="1" x14ac:dyDescent="0.2">
      <c r="A5377" s="6" t="str">
        <f>"TMEM241"</f>
        <v>TMEM241</v>
      </c>
      <c r="B5377" s="6">
        <v>7.8921078921078899E-2</v>
      </c>
      <c r="C5377" s="6">
        <v>0.25751498455153998</v>
      </c>
    </row>
    <row r="5378" spans="1:3" s="8" customFormat="1" x14ac:dyDescent="0.2">
      <c r="A5378" s="6" t="str">
        <f>"CDAN1"</f>
        <v>CDAN1</v>
      </c>
      <c r="B5378" s="6">
        <v>7.8921078921078899E-2</v>
      </c>
      <c r="C5378" s="6">
        <v>0.25751498455153998</v>
      </c>
    </row>
    <row r="5379" spans="1:3" s="8" customFormat="1" x14ac:dyDescent="0.2">
      <c r="A5379" s="6" t="str">
        <f>"DLG2"</f>
        <v>DLG2</v>
      </c>
      <c r="B5379" s="6">
        <v>7.8921078921078899E-2</v>
      </c>
      <c r="C5379" s="6">
        <v>0.25751498455153998</v>
      </c>
    </row>
    <row r="5380" spans="1:3" s="8" customFormat="1" x14ac:dyDescent="0.2">
      <c r="A5380" s="6" t="str">
        <f>"ORC2"</f>
        <v>ORC2</v>
      </c>
      <c r="B5380" s="6">
        <v>7.8921078921078899E-2</v>
      </c>
      <c r="C5380" s="6">
        <v>0.25751498455153998</v>
      </c>
    </row>
    <row r="5381" spans="1:3" s="8" customFormat="1" x14ac:dyDescent="0.2">
      <c r="A5381" s="6" t="str">
        <f>"TMEM120A"</f>
        <v>TMEM120A</v>
      </c>
      <c r="B5381" s="6">
        <v>7.8921078921078899E-2</v>
      </c>
      <c r="C5381" s="6">
        <v>0.25751498455153998</v>
      </c>
    </row>
    <row r="5382" spans="1:3" s="8" customFormat="1" x14ac:dyDescent="0.2">
      <c r="A5382" s="6" t="str">
        <f>"TMEM101"</f>
        <v>TMEM101</v>
      </c>
      <c r="B5382" s="6">
        <v>7.8921078921078899E-2</v>
      </c>
      <c r="C5382" s="6">
        <v>0.25751498455153998</v>
      </c>
    </row>
    <row r="5383" spans="1:3" s="8" customFormat="1" x14ac:dyDescent="0.2">
      <c r="A5383" s="6" t="str">
        <f>"TUT1"</f>
        <v>TUT1</v>
      </c>
      <c r="B5383" s="6">
        <v>7.8921078921078899E-2</v>
      </c>
      <c r="C5383" s="6">
        <v>0.25751498455153998</v>
      </c>
    </row>
    <row r="5384" spans="1:3" s="8" customFormat="1" x14ac:dyDescent="0.2">
      <c r="A5384" s="6" t="str">
        <f>"PGM3"</f>
        <v>PGM3</v>
      </c>
      <c r="B5384" s="6">
        <v>7.8921078921078899E-2</v>
      </c>
      <c r="C5384" s="6">
        <v>0.25751498455153998</v>
      </c>
    </row>
    <row r="5385" spans="1:3" s="8" customFormat="1" x14ac:dyDescent="0.2">
      <c r="A5385" s="6" t="str">
        <f>"ANKRD35"</f>
        <v>ANKRD35</v>
      </c>
      <c r="B5385" s="6">
        <v>7.8921078921078899E-2</v>
      </c>
      <c r="C5385" s="6">
        <v>0.25751498455153998</v>
      </c>
    </row>
    <row r="5386" spans="1:3" s="8" customFormat="1" x14ac:dyDescent="0.2">
      <c r="A5386" s="6" t="str">
        <f>"ABI2"</f>
        <v>ABI2</v>
      </c>
      <c r="B5386" s="6">
        <v>7.8921078921078899E-2</v>
      </c>
      <c r="C5386" s="6">
        <v>0.25751498455153998</v>
      </c>
    </row>
    <row r="5387" spans="1:3" s="8" customFormat="1" x14ac:dyDescent="0.2">
      <c r="A5387" s="6" t="str">
        <f>"NCOA2"</f>
        <v>NCOA2</v>
      </c>
      <c r="B5387" s="6">
        <v>7.8921078921078899E-2</v>
      </c>
      <c r="C5387" s="6">
        <v>0.25751498455153998</v>
      </c>
    </row>
    <row r="5388" spans="1:3" s="8" customFormat="1" x14ac:dyDescent="0.2">
      <c r="A5388" s="6" t="str">
        <f>"WDFY3"</f>
        <v>WDFY3</v>
      </c>
      <c r="B5388" s="6">
        <v>7.8921078921078899E-2</v>
      </c>
      <c r="C5388" s="6">
        <v>0.25751498455153998</v>
      </c>
    </row>
    <row r="5389" spans="1:3" s="8" customFormat="1" x14ac:dyDescent="0.2">
      <c r="A5389" s="6" t="str">
        <f>"TCF25"</f>
        <v>TCF25</v>
      </c>
      <c r="B5389" s="6">
        <v>7.8921078921078899E-2</v>
      </c>
      <c r="C5389" s="6">
        <v>0.25751498455153998</v>
      </c>
    </row>
    <row r="5390" spans="1:3" s="8" customFormat="1" x14ac:dyDescent="0.2">
      <c r="A5390" s="6" t="str">
        <f>"CETN2"</f>
        <v>CETN2</v>
      </c>
      <c r="B5390" s="6">
        <v>7.8921078921078899E-2</v>
      </c>
      <c r="C5390" s="6">
        <v>0.25751498455153998</v>
      </c>
    </row>
    <row r="5391" spans="1:3" s="8" customFormat="1" x14ac:dyDescent="0.2">
      <c r="A5391" s="6" t="str">
        <f>"TRIM7-AS1"</f>
        <v>TRIM7-AS1</v>
      </c>
      <c r="B5391" s="6">
        <v>7.9000000000000001E-2</v>
      </c>
      <c r="C5391" s="6">
        <v>0.25772467532467502</v>
      </c>
    </row>
    <row r="5392" spans="1:3" s="8" customFormat="1" x14ac:dyDescent="0.2">
      <c r="A5392" s="6" t="str">
        <f>"AL139351.3"</f>
        <v>AL139351.3</v>
      </c>
      <c r="B5392" s="6">
        <v>7.9096045197740106E-2</v>
      </c>
      <c r="C5392" s="6">
        <v>0.25799014260008502</v>
      </c>
    </row>
    <row r="5393" spans="1:3" s="8" customFormat="1" x14ac:dyDescent="0.2">
      <c r="A5393" s="6" t="str">
        <f>"AC135178.4"</f>
        <v>AC135178.4</v>
      </c>
      <c r="B5393" s="6">
        <v>7.9158316633266501E-2</v>
      </c>
      <c r="C5393" s="6">
        <v>0.25804965511296901</v>
      </c>
    </row>
    <row r="5394" spans="1:3" s="8" customFormat="1" x14ac:dyDescent="0.2">
      <c r="A5394" s="6" t="str">
        <f>"RN7SL73P"</f>
        <v>RN7SL73P</v>
      </c>
      <c r="B5394" s="6">
        <v>7.9158316633266501E-2</v>
      </c>
      <c r="C5394" s="6">
        <v>0.25804965511296901</v>
      </c>
    </row>
    <row r="5395" spans="1:3" s="8" customFormat="1" x14ac:dyDescent="0.2">
      <c r="A5395" s="6" t="str">
        <f>"AL157902.2"</f>
        <v>AL157902.2</v>
      </c>
      <c r="B5395" s="6">
        <v>7.9158316633266501E-2</v>
      </c>
      <c r="C5395" s="6">
        <v>0.25804965511296901</v>
      </c>
    </row>
    <row r="5396" spans="1:3" s="8" customFormat="1" x14ac:dyDescent="0.2">
      <c r="A5396" s="6" t="str">
        <f>"AC010184.1"</f>
        <v>AC010184.1</v>
      </c>
      <c r="B5396" s="6">
        <v>7.92377131394182E-2</v>
      </c>
      <c r="C5396" s="6">
        <v>0.25826060200992201</v>
      </c>
    </row>
    <row r="5397" spans="1:3" s="8" customFormat="1" x14ac:dyDescent="0.2">
      <c r="A5397" s="6" t="str">
        <f>"MICB-DT"</f>
        <v>MICB-DT</v>
      </c>
      <c r="B5397" s="6">
        <v>7.9920079920079906E-2</v>
      </c>
      <c r="C5397" s="6">
        <v>0.25866274347776202</v>
      </c>
    </row>
    <row r="5398" spans="1:3" s="8" customFormat="1" x14ac:dyDescent="0.2">
      <c r="A5398" s="6" t="str">
        <f>"AC007099.1"</f>
        <v>AC007099.1</v>
      </c>
      <c r="B5398" s="6">
        <v>7.9920079920079906E-2</v>
      </c>
      <c r="C5398" s="6">
        <v>0.25866274347776202</v>
      </c>
    </row>
    <row r="5399" spans="1:3" s="8" customFormat="1" x14ac:dyDescent="0.2">
      <c r="A5399" s="6" t="str">
        <f>"AC011472.2"</f>
        <v>AC011472.2</v>
      </c>
      <c r="B5399" s="6">
        <v>7.9920079920079906E-2</v>
      </c>
      <c r="C5399" s="6">
        <v>0.25866274347776202</v>
      </c>
    </row>
    <row r="5400" spans="1:3" s="8" customFormat="1" x14ac:dyDescent="0.2">
      <c r="A5400" s="6" t="str">
        <f>"CD33"</f>
        <v>CD33</v>
      </c>
      <c r="B5400" s="6">
        <v>7.9920079920079906E-2</v>
      </c>
      <c r="C5400" s="6">
        <v>0.25866274347776202</v>
      </c>
    </row>
    <row r="5401" spans="1:3" s="8" customFormat="1" x14ac:dyDescent="0.2">
      <c r="A5401" s="6" t="str">
        <f>"IGLC3"</f>
        <v>IGLC3</v>
      </c>
      <c r="B5401" s="6">
        <v>7.9920079920079906E-2</v>
      </c>
      <c r="C5401" s="6">
        <v>0.25866274347776202</v>
      </c>
    </row>
    <row r="5402" spans="1:3" s="8" customFormat="1" x14ac:dyDescent="0.2">
      <c r="A5402" s="6" t="str">
        <f>"CD101"</f>
        <v>CD101</v>
      </c>
      <c r="B5402" s="6">
        <v>7.9920079920079906E-2</v>
      </c>
      <c r="C5402" s="6">
        <v>0.25866274347776202</v>
      </c>
    </row>
    <row r="5403" spans="1:3" s="8" customFormat="1" x14ac:dyDescent="0.2">
      <c r="A5403" s="6" t="str">
        <f>"VWA8-AS1"</f>
        <v>VWA8-AS1</v>
      </c>
      <c r="B5403" s="6">
        <v>7.9920079920079906E-2</v>
      </c>
      <c r="C5403" s="6">
        <v>0.25866274347776202</v>
      </c>
    </row>
    <row r="5404" spans="1:3" s="8" customFormat="1" x14ac:dyDescent="0.2">
      <c r="A5404" s="6" t="str">
        <f>"OTUB2"</f>
        <v>OTUB2</v>
      </c>
      <c r="B5404" s="6">
        <v>7.9920079920079906E-2</v>
      </c>
      <c r="C5404" s="6">
        <v>0.25866274347776202</v>
      </c>
    </row>
    <row r="5405" spans="1:3" s="8" customFormat="1" x14ac:dyDescent="0.2">
      <c r="A5405" s="6" t="str">
        <f>"EIF2AK3-DT"</f>
        <v>EIF2AK3-DT</v>
      </c>
      <c r="B5405" s="6">
        <v>7.9920079920079906E-2</v>
      </c>
      <c r="C5405" s="6">
        <v>0.25866274347776202</v>
      </c>
    </row>
    <row r="5406" spans="1:3" s="8" customFormat="1" x14ac:dyDescent="0.2">
      <c r="A5406" s="6" t="str">
        <f>"CNNM1"</f>
        <v>CNNM1</v>
      </c>
      <c r="B5406" s="6">
        <v>7.9920079920079906E-2</v>
      </c>
      <c r="C5406" s="6">
        <v>0.25866274347776202</v>
      </c>
    </row>
    <row r="5407" spans="1:3" s="8" customFormat="1" x14ac:dyDescent="0.2">
      <c r="A5407" s="6" t="str">
        <f>"DONSON"</f>
        <v>DONSON</v>
      </c>
      <c r="B5407" s="6">
        <v>7.9920079920079906E-2</v>
      </c>
      <c r="C5407" s="6">
        <v>0.25866274347776202</v>
      </c>
    </row>
    <row r="5408" spans="1:3" s="8" customFormat="1" x14ac:dyDescent="0.2">
      <c r="A5408" s="6" t="str">
        <f>"CXCL3"</f>
        <v>CXCL3</v>
      </c>
      <c r="B5408" s="6">
        <v>7.9920079920079906E-2</v>
      </c>
      <c r="C5408" s="6">
        <v>0.25866274347776202</v>
      </c>
    </row>
    <row r="5409" spans="1:3" s="8" customFormat="1" x14ac:dyDescent="0.2">
      <c r="A5409" s="6" t="str">
        <f>"SERPINE1"</f>
        <v>SERPINE1</v>
      </c>
      <c r="B5409" s="6">
        <v>7.9920079920079906E-2</v>
      </c>
      <c r="C5409" s="6">
        <v>0.25866274347776202</v>
      </c>
    </row>
    <row r="5410" spans="1:3" s="8" customFormat="1" x14ac:dyDescent="0.2">
      <c r="A5410" s="6" t="str">
        <f>"PXMP2"</f>
        <v>PXMP2</v>
      </c>
      <c r="B5410" s="6">
        <v>7.9920079920079906E-2</v>
      </c>
      <c r="C5410" s="6">
        <v>0.25866274347776202</v>
      </c>
    </row>
    <row r="5411" spans="1:3" s="8" customFormat="1" x14ac:dyDescent="0.2">
      <c r="A5411" s="6" t="str">
        <f>"SLCO4A1"</f>
        <v>SLCO4A1</v>
      </c>
      <c r="B5411" s="6">
        <v>7.9920079920079906E-2</v>
      </c>
      <c r="C5411" s="6">
        <v>0.25866274347776202</v>
      </c>
    </row>
    <row r="5412" spans="1:3" s="8" customFormat="1" x14ac:dyDescent="0.2">
      <c r="A5412" s="6" t="str">
        <f>"TIMP4"</f>
        <v>TIMP4</v>
      </c>
      <c r="B5412" s="6">
        <v>7.9920079920079906E-2</v>
      </c>
      <c r="C5412" s="6">
        <v>0.25866274347776202</v>
      </c>
    </row>
    <row r="5413" spans="1:3" s="8" customFormat="1" x14ac:dyDescent="0.2">
      <c r="A5413" s="6" t="str">
        <f>"RNFT2"</f>
        <v>RNFT2</v>
      </c>
      <c r="B5413" s="6">
        <v>7.9920079920079906E-2</v>
      </c>
      <c r="C5413" s="6">
        <v>0.25866274347776202</v>
      </c>
    </row>
    <row r="5414" spans="1:3" s="8" customFormat="1" x14ac:dyDescent="0.2">
      <c r="A5414" s="6" t="str">
        <f>"MEIS3"</f>
        <v>MEIS3</v>
      </c>
      <c r="B5414" s="6">
        <v>7.9920079920079906E-2</v>
      </c>
      <c r="C5414" s="6">
        <v>0.25866274347776202</v>
      </c>
    </row>
    <row r="5415" spans="1:3" s="8" customFormat="1" x14ac:dyDescent="0.2">
      <c r="A5415" s="6" t="str">
        <f>"ATF7IP2"</f>
        <v>ATF7IP2</v>
      </c>
      <c r="B5415" s="6">
        <v>7.9920079920079906E-2</v>
      </c>
      <c r="C5415" s="6">
        <v>0.25866274347776202</v>
      </c>
    </row>
    <row r="5416" spans="1:3" s="8" customFormat="1" x14ac:dyDescent="0.2">
      <c r="A5416" s="6" t="str">
        <f>"TSTD2"</f>
        <v>TSTD2</v>
      </c>
      <c r="B5416" s="6">
        <v>7.9920079920079906E-2</v>
      </c>
      <c r="C5416" s="6">
        <v>0.25866274347776202</v>
      </c>
    </row>
    <row r="5417" spans="1:3" s="8" customFormat="1" x14ac:dyDescent="0.2">
      <c r="A5417" s="6" t="str">
        <f>"AL590491.2"</f>
        <v>AL590491.2</v>
      </c>
      <c r="B5417" s="6">
        <v>7.9920079920079906E-2</v>
      </c>
      <c r="C5417" s="6">
        <v>0.25866274347776202</v>
      </c>
    </row>
    <row r="5418" spans="1:3" s="8" customFormat="1" x14ac:dyDescent="0.2">
      <c r="A5418" s="6" t="str">
        <f>"DCDC1"</f>
        <v>DCDC1</v>
      </c>
      <c r="B5418" s="6">
        <v>7.9920079920079906E-2</v>
      </c>
      <c r="C5418" s="6">
        <v>0.25866274347776202</v>
      </c>
    </row>
    <row r="5419" spans="1:3" s="8" customFormat="1" x14ac:dyDescent="0.2">
      <c r="A5419" s="6" t="str">
        <f>"TERF2"</f>
        <v>TERF2</v>
      </c>
      <c r="B5419" s="6">
        <v>7.9920079920079906E-2</v>
      </c>
      <c r="C5419" s="6">
        <v>0.25866274347776202</v>
      </c>
    </row>
    <row r="5420" spans="1:3" s="8" customFormat="1" x14ac:dyDescent="0.2">
      <c r="A5420" s="6" t="str">
        <f>"RBM24"</f>
        <v>RBM24</v>
      </c>
      <c r="B5420" s="6">
        <v>7.9920079920079906E-2</v>
      </c>
      <c r="C5420" s="6">
        <v>0.25866274347776202</v>
      </c>
    </row>
    <row r="5421" spans="1:3" s="8" customFormat="1" x14ac:dyDescent="0.2">
      <c r="A5421" s="6" t="str">
        <f>"CCDC24"</f>
        <v>CCDC24</v>
      </c>
      <c r="B5421" s="6">
        <v>7.9920079920079906E-2</v>
      </c>
      <c r="C5421" s="6">
        <v>0.25866274347776202</v>
      </c>
    </row>
    <row r="5422" spans="1:3" s="8" customFormat="1" x14ac:dyDescent="0.2">
      <c r="A5422" s="6" t="str">
        <f>"GSKIP"</f>
        <v>GSKIP</v>
      </c>
      <c r="B5422" s="6">
        <v>7.9920079920079906E-2</v>
      </c>
      <c r="C5422" s="6">
        <v>0.25866274347776202</v>
      </c>
    </row>
    <row r="5423" spans="1:3" s="8" customFormat="1" x14ac:dyDescent="0.2">
      <c r="A5423" s="6" t="str">
        <f>"ILF3-DT"</f>
        <v>ILF3-DT</v>
      </c>
      <c r="B5423" s="6">
        <v>7.9920079920079906E-2</v>
      </c>
      <c r="C5423" s="6">
        <v>0.25866274347776202</v>
      </c>
    </row>
    <row r="5424" spans="1:3" s="8" customFormat="1" x14ac:dyDescent="0.2">
      <c r="A5424" s="6" t="str">
        <f>"TTC16"</f>
        <v>TTC16</v>
      </c>
      <c r="B5424" s="6">
        <v>7.9920079920079906E-2</v>
      </c>
      <c r="C5424" s="6">
        <v>0.25866274347776202</v>
      </c>
    </row>
    <row r="5425" spans="1:3" s="8" customFormat="1" x14ac:dyDescent="0.2">
      <c r="A5425" s="6" t="str">
        <f>"SNHG14"</f>
        <v>SNHG14</v>
      </c>
      <c r="B5425" s="6">
        <v>7.9920079920079906E-2</v>
      </c>
      <c r="C5425" s="6">
        <v>0.25866274347776202</v>
      </c>
    </row>
    <row r="5426" spans="1:3" s="8" customFormat="1" x14ac:dyDescent="0.2">
      <c r="A5426" s="6" t="str">
        <f>"MRNIP"</f>
        <v>MRNIP</v>
      </c>
      <c r="B5426" s="6">
        <v>7.9920079920079906E-2</v>
      </c>
      <c r="C5426" s="6">
        <v>0.25866274347776202</v>
      </c>
    </row>
    <row r="5427" spans="1:3" s="8" customFormat="1" x14ac:dyDescent="0.2">
      <c r="A5427" s="6" t="str">
        <f>"SERTAD2"</f>
        <v>SERTAD2</v>
      </c>
      <c r="B5427" s="6">
        <v>7.9920079920079906E-2</v>
      </c>
      <c r="C5427" s="6">
        <v>0.25866274347776202</v>
      </c>
    </row>
    <row r="5428" spans="1:3" s="8" customFormat="1" x14ac:dyDescent="0.2">
      <c r="A5428" s="6" t="str">
        <f>"EFCAB2"</f>
        <v>EFCAB2</v>
      </c>
      <c r="B5428" s="6">
        <v>7.9920079920079906E-2</v>
      </c>
      <c r="C5428" s="6">
        <v>0.25866274347776202</v>
      </c>
    </row>
    <row r="5429" spans="1:3" s="8" customFormat="1" x14ac:dyDescent="0.2">
      <c r="A5429" s="6" t="str">
        <f>"ABCF1"</f>
        <v>ABCF1</v>
      </c>
      <c r="B5429" s="6">
        <v>7.9920079920079906E-2</v>
      </c>
      <c r="C5429" s="6">
        <v>0.25866274347776202</v>
      </c>
    </row>
    <row r="5430" spans="1:3" s="8" customFormat="1" x14ac:dyDescent="0.2">
      <c r="A5430" s="6" t="str">
        <f>"JPT1"</f>
        <v>JPT1</v>
      </c>
      <c r="B5430" s="6">
        <v>7.9920079920079906E-2</v>
      </c>
      <c r="C5430" s="6">
        <v>0.25866274347776202</v>
      </c>
    </row>
    <row r="5431" spans="1:3" s="8" customFormat="1" x14ac:dyDescent="0.2">
      <c r="A5431" s="6" t="str">
        <f>"RNASET2"</f>
        <v>RNASET2</v>
      </c>
      <c r="B5431" s="6">
        <v>7.9920079920079906E-2</v>
      </c>
      <c r="C5431" s="6">
        <v>0.25866274347776202</v>
      </c>
    </row>
    <row r="5432" spans="1:3" s="8" customFormat="1" x14ac:dyDescent="0.2">
      <c r="A5432" s="6" t="str">
        <f>"BLCAP"</f>
        <v>BLCAP</v>
      </c>
      <c r="B5432" s="6">
        <v>7.9920079920079906E-2</v>
      </c>
      <c r="C5432" s="6">
        <v>0.25866274347776202</v>
      </c>
    </row>
    <row r="5433" spans="1:3" s="8" customFormat="1" x14ac:dyDescent="0.2">
      <c r="A5433" s="6" t="str">
        <f>"FURIN"</f>
        <v>FURIN</v>
      </c>
      <c r="B5433" s="6">
        <v>7.9920079920079906E-2</v>
      </c>
      <c r="C5433" s="6">
        <v>0.25866274347776202</v>
      </c>
    </row>
    <row r="5434" spans="1:3" s="8" customFormat="1" x14ac:dyDescent="0.2">
      <c r="A5434" s="6" t="str">
        <f>"CD55"</f>
        <v>CD55</v>
      </c>
      <c r="B5434" s="6">
        <v>7.9920079920079906E-2</v>
      </c>
      <c r="C5434" s="6">
        <v>0.25866274347776202</v>
      </c>
    </row>
    <row r="5435" spans="1:3" s="8" customFormat="1" x14ac:dyDescent="0.2">
      <c r="A5435" s="6" t="str">
        <f>"PLSCR1"</f>
        <v>PLSCR1</v>
      </c>
      <c r="B5435" s="6">
        <v>0.08</v>
      </c>
      <c r="C5435" s="6">
        <v>0.25877851361295001</v>
      </c>
    </row>
    <row r="5436" spans="1:3" s="8" customFormat="1" x14ac:dyDescent="0.2">
      <c r="A5436" s="6" t="str">
        <f>"CCDC33"</f>
        <v>CCDC33</v>
      </c>
      <c r="B5436" s="6">
        <v>0.08</v>
      </c>
      <c r="C5436" s="6">
        <v>0.25877851361295001</v>
      </c>
    </row>
    <row r="5437" spans="1:3" s="8" customFormat="1" x14ac:dyDescent="0.2">
      <c r="A5437" s="6" t="str">
        <f>"CPNE3"</f>
        <v>CPNE3</v>
      </c>
      <c r="B5437" s="6">
        <v>0.08</v>
      </c>
      <c r="C5437" s="6">
        <v>0.25877851361295001</v>
      </c>
    </row>
    <row r="5438" spans="1:3" s="8" customFormat="1" x14ac:dyDescent="0.2">
      <c r="A5438" s="6" t="str">
        <f>"AC010378.1"</f>
        <v>AC010378.1</v>
      </c>
      <c r="B5438" s="6">
        <v>8.0080080080079996E-2</v>
      </c>
      <c r="C5438" s="6">
        <v>0.25898990769323599</v>
      </c>
    </row>
    <row r="5439" spans="1:3" s="8" customFormat="1" x14ac:dyDescent="0.2">
      <c r="A5439" s="6" t="str">
        <f>"AC026329.1"</f>
        <v>AC026329.1</v>
      </c>
      <c r="B5439" s="6">
        <v>8.0402010050251202E-2</v>
      </c>
      <c r="C5439" s="6">
        <v>0.25998325574174602</v>
      </c>
    </row>
    <row r="5440" spans="1:3" s="8" customFormat="1" x14ac:dyDescent="0.2">
      <c r="A5440" s="6" t="str">
        <f>"PCDHA5"</f>
        <v>PCDHA5</v>
      </c>
      <c r="B5440" s="6">
        <v>8.0919080919080899E-2</v>
      </c>
      <c r="C5440" s="6">
        <v>0.26012451899106298</v>
      </c>
    </row>
    <row r="5441" spans="1:3" s="8" customFormat="1" x14ac:dyDescent="0.2">
      <c r="A5441" s="6" t="str">
        <f>"AC023790.2"</f>
        <v>AC023790.2</v>
      </c>
      <c r="B5441" s="6">
        <v>8.0808080808080801E-2</v>
      </c>
      <c r="C5441" s="6">
        <v>0.26012451899106298</v>
      </c>
    </row>
    <row r="5442" spans="1:3" s="8" customFormat="1" x14ac:dyDescent="0.2">
      <c r="A5442" s="6" t="str">
        <f>"AC092718.7"</f>
        <v>AC092718.7</v>
      </c>
      <c r="B5442" s="6">
        <v>8.0919080919080899E-2</v>
      </c>
      <c r="C5442" s="6">
        <v>0.26012451899106298</v>
      </c>
    </row>
    <row r="5443" spans="1:3" s="8" customFormat="1" x14ac:dyDescent="0.2">
      <c r="A5443" s="6" t="str">
        <f>"KRT17P5"</f>
        <v>KRT17P5</v>
      </c>
      <c r="B5443" s="6">
        <v>8.0919080919080899E-2</v>
      </c>
      <c r="C5443" s="6">
        <v>0.26012451899106298</v>
      </c>
    </row>
    <row r="5444" spans="1:3" s="8" customFormat="1" x14ac:dyDescent="0.2">
      <c r="A5444" s="6" t="str">
        <f>"AL157373.2"</f>
        <v>AL157373.2</v>
      </c>
      <c r="B5444" s="6">
        <v>8.0919080919080899E-2</v>
      </c>
      <c r="C5444" s="6">
        <v>0.26012451899106298</v>
      </c>
    </row>
    <row r="5445" spans="1:3" s="8" customFormat="1" x14ac:dyDescent="0.2">
      <c r="A5445" s="6" t="str">
        <f>"PLSCR2"</f>
        <v>PLSCR2</v>
      </c>
      <c r="B5445" s="6">
        <v>8.0919080919080899E-2</v>
      </c>
      <c r="C5445" s="6">
        <v>0.26012451899106298</v>
      </c>
    </row>
    <row r="5446" spans="1:3" s="8" customFormat="1" x14ac:dyDescent="0.2">
      <c r="A5446" s="6" t="str">
        <f>"SULT1C2"</f>
        <v>SULT1C2</v>
      </c>
      <c r="B5446" s="6">
        <v>8.0919080919080899E-2</v>
      </c>
      <c r="C5446" s="6">
        <v>0.26012451899106298</v>
      </c>
    </row>
    <row r="5447" spans="1:3" s="8" customFormat="1" x14ac:dyDescent="0.2">
      <c r="A5447" s="6" t="str">
        <f>"OR1M1"</f>
        <v>OR1M1</v>
      </c>
      <c r="B5447" s="6">
        <v>8.0919080919080899E-2</v>
      </c>
      <c r="C5447" s="6">
        <v>0.26012451899106298</v>
      </c>
    </row>
    <row r="5448" spans="1:3" s="8" customFormat="1" x14ac:dyDescent="0.2">
      <c r="A5448" s="6" t="str">
        <f>"TDRP"</f>
        <v>TDRP</v>
      </c>
      <c r="B5448" s="6">
        <v>8.0919080919080899E-2</v>
      </c>
      <c r="C5448" s="6">
        <v>0.26012451899106298</v>
      </c>
    </row>
    <row r="5449" spans="1:3" s="8" customFormat="1" x14ac:dyDescent="0.2">
      <c r="A5449" s="6" t="str">
        <f>"AC006538.2"</f>
        <v>AC006538.2</v>
      </c>
      <c r="B5449" s="6">
        <v>8.0919080919080899E-2</v>
      </c>
      <c r="C5449" s="6">
        <v>0.26012451899106298</v>
      </c>
    </row>
    <row r="5450" spans="1:3" s="8" customFormat="1" x14ac:dyDescent="0.2">
      <c r="A5450" s="6" t="str">
        <f>"LINC01588"</f>
        <v>LINC01588</v>
      </c>
      <c r="B5450" s="6">
        <v>8.0919080919080899E-2</v>
      </c>
      <c r="C5450" s="6">
        <v>0.26012451899106298</v>
      </c>
    </row>
    <row r="5451" spans="1:3" s="8" customFormat="1" x14ac:dyDescent="0.2">
      <c r="A5451" s="6" t="str">
        <f>"CTH"</f>
        <v>CTH</v>
      </c>
      <c r="B5451" s="6">
        <v>8.0919080919080899E-2</v>
      </c>
      <c r="C5451" s="6">
        <v>0.26012451899106298</v>
      </c>
    </row>
    <row r="5452" spans="1:3" s="8" customFormat="1" x14ac:dyDescent="0.2">
      <c r="A5452" s="6" t="str">
        <f>"AGAP2-AS1"</f>
        <v>AGAP2-AS1</v>
      </c>
      <c r="B5452" s="6">
        <v>8.0919080919080899E-2</v>
      </c>
      <c r="C5452" s="6">
        <v>0.26012451899106298</v>
      </c>
    </row>
    <row r="5453" spans="1:3" s="8" customFormat="1" x14ac:dyDescent="0.2">
      <c r="A5453" s="6" t="str">
        <f>"SDK2"</f>
        <v>SDK2</v>
      </c>
      <c r="B5453" s="6">
        <v>8.0919080919080899E-2</v>
      </c>
      <c r="C5453" s="6">
        <v>0.26012451899106298</v>
      </c>
    </row>
    <row r="5454" spans="1:3" s="8" customFormat="1" x14ac:dyDescent="0.2">
      <c r="A5454" s="6" t="str">
        <f>"PET117"</f>
        <v>PET117</v>
      </c>
      <c r="B5454" s="6">
        <v>8.0919080919080899E-2</v>
      </c>
      <c r="C5454" s="6">
        <v>0.26012451899106298</v>
      </c>
    </row>
    <row r="5455" spans="1:3" s="8" customFormat="1" x14ac:dyDescent="0.2">
      <c r="A5455" s="6" t="str">
        <f>"TSBP1-AS1"</f>
        <v>TSBP1-AS1</v>
      </c>
      <c r="B5455" s="6">
        <v>8.0919080919080899E-2</v>
      </c>
      <c r="C5455" s="6">
        <v>0.26012451899106298</v>
      </c>
    </row>
    <row r="5456" spans="1:3" s="8" customFormat="1" x14ac:dyDescent="0.2">
      <c r="A5456" s="6" t="str">
        <f>"TEKT4P2"</f>
        <v>TEKT4P2</v>
      </c>
      <c r="B5456" s="6">
        <v>8.0919080919080899E-2</v>
      </c>
      <c r="C5456" s="6">
        <v>0.26012451899106298</v>
      </c>
    </row>
    <row r="5457" spans="1:3" s="8" customFormat="1" x14ac:dyDescent="0.2">
      <c r="A5457" s="6" t="str">
        <f>"STAG3L5P-PVRIG2P-PILRB"</f>
        <v>STAG3L5P-PVRIG2P-PILRB</v>
      </c>
      <c r="B5457" s="6">
        <v>8.0919080919080899E-2</v>
      </c>
      <c r="C5457" s="6">
        <v>0.26012451899106298</v>
      </c>
    </row>
    <row r="5458" spans="1:3" s="8" customFormat="1" x14ac:dyDescent="0.2">
      <c r="A5458" s="6" t="str">
        <f>"ANO1"</f>
        <v>ANO1</v>
      </c>
      <c r="B5458" s="6">
        <v>8.0919080919080899E-2</v>
      </c>
      <c r="C5458" s="6">
        <v>0.26012451899106298</v>
      </c>
    </row>
    <row r="5459" spans="1:3" s="8" customFormat="1" x14ac:dyDescent="0.2">
      <c r="A5459" s="6" t="str">
        <f>"ZNF426"</f>
        <v>ZNF426</v>
      </c>
      <c r="B5459" s="6">
        <v>8.0919080919080899E-2</v>
      </c>
      <c r="C5459" s="6">
        <v>0.26012451899106298</v>
      </c>
    </row>
    <row r="5460" spans="1:3" s="8" customFormat="1" x14ac:dyDescent="0.2">
      <c r="A5460" s="6" t="str">
        <f>"USP31"</f>
        <v>USP31</v>
      </c>
      <c r="B5460" s="6">
        <v>8.0919080919080899E-2</v>
      </c>
      <c r="C5460" s="6">
        <v>0.26012451899106298</v>
      </c>
    </row>
    <row r="5461" spans="1:3" s="8" customFormat="1" x14ac:dyDescent="0.2">
      <c r="A5461" s="6" t="str">
        <f>"PLEKHA3"</f>
        <v>PLEKHA3</v>
      </c>
      <c r="B5461" s="6">
        <v>8.0919080919080899E-2</v>
      </c>
      <c r="C5461" s="6">
        <v>0.26012451899106298</v>
      </c>
    </row>
    <row r="5462" spans="1:3" s="8" customFormat="1" x14ac:dyDescent="0.2">
      <c r="A5462" s="6" t="str">
        <f>"ZNF672"</f>
        <v>ZNF672</v>
      </c>
      <c r="B5462" s="6">
        <v>8.0919080919080899E-2</v>
      </c>
      <c r="C5462" s="6">
        <v>0.26012451899106298</v>
      </c>
    </row>
    <row r="5463" spans="1:3" s="8" customFormat="1" x14ac:dyDescent="0.2">
      <c r="A5463" s="6" t="str">
        <f>"MARCHF5"</f>
        <v>MARCHF5</v>
      </c>
      <c r="B5463" s="6">
        <v>8.0919080919080899E-2</v>
      </c>
      <c r="C5463" s="6">
        <v>0.26012451899106298</v>
      </c>
    </row>
    <row r="5464" spans="1:3" s="8" customFormat="1" x14ac:dyDescent="0.2">
      <c r="A5464" s="6" t="str">
        <f>"CFAP54"</f>
        <v>CFAP54</v>
      </c>
      <c r="B5464" s="6">
        <v>8.0919080919080899E-2</v>
      </c>
      <c r="C5464" s="6">
        <v>0.26012451899106298</v>
      </c>
    </row>
    <row r="5465" spans="1:3" s="8" customFormat="1" x14ac:dyDescent="0.2">
      <c r="A5465" s="6" t="str">
        <f>"TRIM3"</f>
        <v>TRIM3</v>
      </c>
      <c r="B5465" s="6">
        <v>8.0919080919080899E-2</v>
      </c>
      <c r="C5465" s="6">
        <v>0.26012451899106298</v>
      </c>
    </row>
    <row r="5466" spans="1:3" s="8" customFormat="1" x14ac:dyDescent="0.2">
      <c r="A5466" s="6" t="str">
        <f>"TMPRSS13"</f>
        <v>TMPRSS13</v>
      </c>
      <c r="B5466" s="6">
        <v>8.0919080919080899E-2</v>
      </c>
      <c r="C5466" s="6">
        <v>0.26012451899106298</v>
      </c>
    </row>
    <row r="5467" spans="1:3" s="8" customFormat="1" x14ac:dyDescent="0.2">
      <c r="A5467" s="6" t="str">
        <f>"KRTCAP2"</f>
        <v>KRTCAP2</v>
      </c>
      <c r="B5467" s="6">
        <v>8.0919080919080899E-2</v>
      </c>
      <c r="C5467" s="6">
        <v>0.26012451899106298</v>
      </c>
    </row>
    <row r="5468" spans="1:3" s="8" customFormat="1" x14ac:dyDescent="0.2">
      <c r="A5468" s="6" t="str">
        <f>"AKT1S1"</f>
        <v>AKT1S1</v>
      </c>
      <c r="B5468" s="6">
        <v>8.0919080919080899E-2</v>
      </c>
      <c r="C5468" s="6">
        <v>0.26012451899106298</v>
      </c>
    </row>
    <row r="5469" spans="1:3" s="8" customFormat="1" x14ac:dyDescent="0.2">
      <c r="A5469" s="6" t="str">
        <f>"REEP3"</f>
        <v>REEP3</v>
      </c>
      <c r="B5469" s="6">
        <v>8.0919080919080899E-2</v>
      </c>
      <c r="C5469" s="6">
        <v>0.26012451899106298</v>
      </c>
    </row>
    <row r="5470" spans="1:3" s="8" customFormat="1" x14ac:dyDescent="0.2">
      <c r="A5470" s="6" t="str">
        <f>"CPT1A"</f>
        <v>CPT1A</v>
      </c>
      <c r="B5470" s="6">
        <v>8.0919080919080899E-2</v>
      </c>
      <c r="C5470" s="6">
        <v>0.26012451899106298</v>
      </c>
    </row>
    <row r="5471" spans="1:3" s="8" customFormat="1" x14ac:dyDescent="0.2">
      <c r="A5471" s="6" t="str">
        <f>"EPS8L2"</f>
        <v>EPS8L2</v>
      </c>
      <c r="B5471" s="6">
        <v>8.0919080919080899E-2</v>
      </c>
      <c r="C5471" s="6">
        <v>0.26012451899106298</v>
      </c>
    </row>
    <row r="5472" spans="1:3" s="8" customFormat="1" x14ac:dyDescent="0.2">
      <c r="A5472" s="6" t="str">
        <f>"AL132656.1"</f>
        <v>AL132656.1</v>
      </c>
      <c r="B5472" s="6">
        <v>8.1334723670489995E-2</v>
      </c>
      <c r="C5472" s="6">
        <v>0.26141286437980199</v>
      </c>
    </row>
    <row r="5473" spans="1:3" s="8" customFormat="1" x14ac:dyDescent="0.2">
      <c r="A5473" s="6" t="str">
        <f>"IGLV3-19"</f>
        <v>IGLV3-19</v>
      </c>
      <c r="B5473" s="6">
        <v>8.1918081918081906E-2</v>
      </c>
      <c r="C5473" s="6">
        <v>0.26166168073524998</v>
      </c>
    </row>
    <row r="5474" spans="1:3" s="8" customFormat="1" x14ac:dyDescent="0.2">
      <c r="A5474" s="6" t="str">
        <f>"SPTY2D1OS"</f>
        <v>SPTY2D1OS</v>
      </c>
      <c r="B5474" s="6">
        <v>8.1690140845070397E-2</v>
      </c>
      <c r="C5474" s="6">
        <v>0.26166168073524998</v>
      </c>
    </row>
    <row r="5475" spans="1:3" s="8" customFormat="1" x14ac:dyDescent="0.2">
      <c r="A5475" s="6" t="str">
        <f>"AC010210.1"</f>
        <v>AC010210.1</v>
      </c>
      <c r="B5475" s="6">
        <v>8.1918081918081906E-2</v>
      </c>
      <c r="C5475" s="6">
        <v>0.26166168073524998</v>
      </c>
    </row>
    <row r="5476" spans="1:3" s="8" customFormat="1" x14ac:dyDescent="0.2">
      <c r="A5476" s="6" t="str">
        <f>"RPL13AP5"</f>
        <v>RPL13AP5</v>
      </c>
      <c r="B5476" s="6">
        <v>8.1918081918081906E-2</v>
      </c>
      <c r="C5476" s="6">
        <v>0.26166168073524998</v>
      </c>
    </row>
    <row r="5477" spans="1:3" s="8" customFormat="1" x14ac:dyDescent="0.2">
      <c r="A5477" s="6" t="str">
        <f>"ZNF670-ZNF695"</f>
        <v>ZNF670-ZNF695</v>
      </c>
      <c r="B5477" s="6">
        <v>8.1918081918081906E-2</v>
      </c>
      <c r="C5477" s="6">
        <v>0.26166168073524998</v>
      </c>
    </row>
    <row r="5478" spans="1:3" s="8" customFormat="1" x14ac:dyDescent="0.2">
      <c r="A5478" s="6" t="str">
        <f>"BMP4"</f>
        <v>BMP4</v>
      </c>
      <c r="B5478" s="6">
        <v>8.1918081918081906E-2</v>
      </c>
      <c r="C5478" s="6">
        <v>0.26166168073524998</v>
      </c>
    </row>
    <row r="5479" spans="1:3" s="8" customFormat="1" x14ac:dyDescent="0.2">
      <c r="A5479" s="6" t="str">
        <f>"AC024560.1"</f>
        <v>AC024560.1</v>
      </c>
      <c r="B5479" s="6">
        <v>8.1918081918081906E-2</v>
      </c>
      <c r="C5479" s="6">
        <v>0.26166168073524998</v>
      </c>
    </row>
    <row r="5480" spans="1:3" s="8" customFormat="1" x14ac:dyDescent="0.2">
      <c r="A5480" s="6" t="str">
        <f>"ATP2B1-AS1"</f>
        <v>ATP2B1-AS1</v>
      </c>
      <c r="B5480" s="6">
        <v>8.1918081918081906E-2</v>
      </c>
      <c r="C5480" s="6">
        <v>0.26166168073524998</v>
      </c>
    </row>
    <row r="5481" spans="1:3" s="8" customFormat="1" x14ac:dyDescent="0.2">
      <c r="A5481" s="6" t="str">
        <f>"TSEN2"</f>
        <v>TSEN2</v>
      </c>
      <c r="B5481" s="6">
        <v>8.1918081918081906E-2</v>
      </c>
      <c r="C5481" s="6">
        <v>0.26166168073524998</v>
      </c>
    </row>
    <row r="5482" spans="1:3" s="8" customFormat="1" x14ac:dyDescent="0.2">
      <c r="A5482" s="6" t="str">
        <f>"GMNN"</f>
        <v>GMNN</v>
      </c>
      <c r="B5482" s="6">
        <v>8.1918081918081906E-2</v>
      </c>
      <c r="C5482" s="6">
        <v>0.26166168073524998</v>
      </c>
    </row>
    <row r="5483" spans="1:3" s="8" customFormat="1" x14ac:dyDescent="0.2">
      <c r="A5483" s="6" t="str">
        <f>"ELAC1"</f>
        <v>ELAC1</v>
      </c>
      <c r="B5483" s="6">
        <v>8.1918081918081906E-2</v>
      </c>
      <c r="C5483" s="6">
        <v>0.26166168073524998</v>
      </c>
    </row>
    <row r="5484" spans="1:3" s="8" customFormat="1" x14ac:dyDescent="0.2">
      <c r="A5484" s="6" t="str">
        <f>"URB1-AS1"</f>
        <v>URB1-AS1</v>
      </c>
      <c r="B5484" s="6">
        <v>8.1918081918081906E-2</v>
      </c>
      <c r="C5484" s="6">
        <v>0.26166168073524998</v>
      </c>
    </row>
    <row r="5485" spans="1:3" s="8" customFormat="1" x14ac:dyDescent="0.2">
      <c r="A5485" s="6" t="str">
        <f>"TMEM178A"</f>
        <v>TMEM178A</v>
      </c>
      <c r="B5485" s="6">
        <v>8.1918081918081906E-2</v>
      </c>
      <c r="C5485" s="6">
        <v>0.26166168073524998</v>
      </c>
    </row>
    <row r="5486" spans="1:3" s="8" customFormat="1" x14ac:dyDescent="0.2">
      <c r="A5486" s="6" t="str">
        <f>"AJUBA"</f>
        <v>AJUBA</v>
      </c>
      <c r="B5486" s="6">
        <v>8.1918081918081906E-2</v>
      </c>
      <c r="C5486" s="6">
        <v>0.26166168073524998</v>
      </c>
    </row>
    <row r="5487" spans="1:3" s="8" customFormat="1" x14ac:dyDescent="0.2">
      <c r="A5487" s="6" t="str">
        <f>"CPM"</f>
        <v>CPM</v>
      </c>
      <c r="B5487" s="6">
        <v>8.1918081918081906E-2</v>
      </c>
      <c r="C5487" s="6">
        <v>0.26166168073524998</v>
      </c>
    </row>
    <row r="5488" spans="1:3" s="8" customFormat="1" x14ac:dyDescent="0.2">
      <c r="A5488" s="6" t="str">
        <f>"SOX7"</f>
        <v>SOX7</v>
      </c>
      <c r="B5488" s="6">
        <v>8.1918081918081906E-2</v>
      </c>
      <c r="C5488" s="6">
        <v>0.26166168073524998</v>
      </c>
    </row>
    <row r="5489" spans="1:3" s="8" customFormat="1" x14ac:dyDescent="0.2">
      <c r="A5489" s="6" t="str">
        <f>"ZNF432"</f>
        <v>ZNF432</v>
      </c>
      <c r="B5489" s="6">
        <v>8.1918081918081906E-2</v>
      </c>
      <c r="C5489" s="6">
        <v>0.26166168073524998</v>
      </c>
    </row>
    <row r="5490" spans="1:3" s="8" customFormat="1" x14ac:dyDescent="0.2">
      <c r="A5490" s="6" t="str">
        <f>"IGSF9"</f>
        <v>IGSF9</v>
      </c>
      <c r="B5490" s="6">
        <v>8.1918081918081906E-2</v>
      </c>
      <c r="C5490" s="6">
        <v>0.26166168073524998</v>
      </c>
    </row>
    <row r="5491" spans="1:3" s="8" customFormat="1" x14ac:dyDescent="0.2">
      <c r="A5491" s="6" t="str">
        <f>"RBMXL1"</f>
        <v>RBMXL1</v>
      </c>
      <c r="B5491" s="6">
        <v>8.1918081918081906E-2</v>
      </c>
      <c r="C5491" s="6">
        <v>0.26166168073524998</v>
      </c>
    </row>
    <row r="5492" spans="1:3" s="8" customFormat="1" x14ac:dyDescent="0.2">
      <c r="A5492" s="6" t="str">
        <f>"TM2D1"</f>
        <v>TM2D1</v>
      </c>
      <c r="B5492" s="6">
        <v>8.1918081918081906E-2</v>
      </c>
      <c r="C5492" s="6">
        <v>0.26166168073524998</v>
      </c>
    </row>
    <row r="5493" spans="1:3" s="8" customFormat="1" x14ac:dyDescent="0.2">
      <c r="A5493" s="6" t="str">
        <f>"KIAA0586"</f>
        <v>KIAA0586</v>
      </c>
      <c r="B5493" s="6">
        <v>8.1918081918081906E-2</v>
      </c>
      <c r="C5493" s="6">
        <v>0.26166168073524998</v>
      </c>
    </row>
    <row r="5494" spans="1:3" s="8" customFormat="1" x14ac:dyDescent="0.2">
      <c r="A5494" s="6" t="str">
        <f>"PGM2"</f>
        <v>PGM2</v>
      </c>
      <c r="B5494" s="6">
        <v>8.1918081918081906E-2</v>
      </c>
      <c r="C5494" s="6">
        <v>0.26166168073524998</v>
      </c>
    </row>
    <row r="5495" spans="1:3" s="8" customFormat="1" x14ac:dyDescent="0.2">
      <c r="A5495" s="6" t="str">
        <f>"NEPRO"</f>
        <v>NEPRO</v>
      </c>
      <c r="B5495" s="6">
        <v>8.1918081918081906E-2</v>
      </c>
      <c r="C5495" s="6">
        <v>0.26166168073524998</v>
      </c>
    </row>
    <row r="5496" spans="1:3" s="8" customFormat="1" x14ac:dyDescent="0.2">
      <c r="A5496" s="6" t="str">
        <f>"DOK4"</f>
        <v>DOK4</v>
      </c>
      <c r="B5496" s="6">
        <v>8.1918081918081906E-2</v>
      </c>
      <c r="C5496" s="6">
        <v>0.26166168073524998</v>
      </c>
    </row>
    <row r="5497" spans="1:3" s="8" customFormat="1" x14ac:dyDescent="0.2">
      <c r="A5497" s="6" t="str">
        <f>"CCDC191"</f>
        <v>CCDC191</v>
      </c>
      <c r="B5497" s="6">
        <v>8.1918081918081906E-2</v>
      </c>
      <c r="C5497" s="6">
        <v>0.26166168073524998</v>
      </c>
    </row>
    <row r="5498" spans="1:3" s="8" customFormat="1" x14ac:dyDescent="0.2">
      <c r="A5498" s="6" t="str">
        <f>"PATZ1"</f>
        <v>PATZ1</v>
      </c>
      <c r="B5498" s="6">
        <v>8.1918081918081906E-2</v>
      </c>
      <c r="C5498" s="6">
        <v>0.26166168073524998</v>
      </c>
    </row>
    <row r="5499" spans="1:3" s="8" customFormat="1" x14ac:dyDescent="0.2">
      <c r="A5499" s="6" t="str">
        <f>"STOX1"</f>
        <v>STOX1</v>
      </c>
      <c r="B5499" s="6">
        <v>8.1918081918081906E-2</v>
      </c>
      <c r="C5499" s="6">
        <v>0.26166168073524998</v>
      </c>
    </row>
    <row r="5500" spans="1:3" s="8" customFormat="1" x14ac:dyDescent="0.2">
      <c r="A5500" s="6" t="str">
        <f>"MICAL2"</f>
        <v>MICAL2</v>
      </c>
      <c r="B5500" s="6">
        <v>8.1918081918081906E-2</v>
      </c>
      <c r="C5500" s="6">
        <v>0.26166168073524998</v>
      </c>
    </row>
    <row r="5501" spans="1:3" s="8" customFormat="1" x14ac:dyDescent="0.2">
      <c r="A5501" s="6" t="str">
        <f>"UNC5B"</f>
        <v>UNC5B</v>
      </c>
      <c r="B5501" s="6">
        <v>8.1918081918081906E-2</v>
      </c>
      <c r="C5501" s="6">
        <v>0.26166168073524998</v>
      </c>
    </row>
    <row r="5502" spans="1:3" s="8" customFormat="1" x14ac:dyDescent="0.2">
      <c r="A5502" s="6" t="str">
        <f>"SIX4"</f>
        <v>SIX4</v>
      </c>
      <c r="B5502" s="6">
        <v>8.1918081918081906E-2</v>
      </c>
      <c r="C5502" s="6">
        <v>0.26166168073524998</v>
      </c>
    </row>
    <row r="5503" spans="1:3" s="8" customFormat="1" x14ac:dyDescent="0.2">
      <c r="A5503" s="6" t="str">
        <f>"NCLN"</f>
        <v>NCLN</v>
      </c>
      <c r="B5503" s="6">
        <v>8.1918081918081906E-2</v>
      </c>
      <c r="C5503" s="6">
        <v>0.26166168073524998</v>
      </c>
    </row>
    <row r="5504" spans="1:3" s="8" customFormat="1" x14ac:dyDescent="0.2">
      <c r="A5504" s="6" t="str">
        <f>"NUB1"</f>
        <v>NUB1</v>
      </c>
      <c r="B5504" s="6">
        <v>8.1918081918081906E-2</v>
      </c>
      <c r="C5504" s="6">
        <v>0.26166168073524998</v>
      </c>
    </row>
    <row r="5505" spans="1:3" s="8" customFormat="1" x14ac:dyDescent="0.2">
      <c r="A5505" s="6" t="str">
        <f>"ADAM9"</f>
        <v>ADAM9</v>
      </c>
      <c r="B5505" s="6">
        <v>8.1918081918081906E-2</v>
      </c>
      <c r="C5505" s="6">
        <v>0.26166168073524998</v>
      </c>
    </row>
    <row r="5506" spans="1:3" s="8" customFormat="1" x14ac:dyDescent="0.2">
      <c r="A5506" s="6" t="str">
        <f>"KRT4"</f>
        <v>KRT4</v>
      </c>
      <c r="B5506" s="6">
        <v>8.1918081918081906E-2</v>
      </c>
      <c r="C5506" s="6">
        <v>0.26166168073524998</v>
      </c>
    </row>
    <row r="5507" spans="1:3" s="8" customFormat="1" x14ac:dyDescent="0.2">
      <c r="A5507" s="6" t="str">
        <f>"TAOK3"</f>
        <v>TAOK3</v>
      </c>
      <c r="B5507" s="6">
        <v>8.2000000000000003E-2</v>
      </c>
      <c r="C5507" s="6">
        <v>0.261828218630833</v>
      </c>
    </row>
    <row r="5508" spans="1:3" s="8" customFormat="1" x14ac:dyDescent="0.2">
      <c r="A5508" s="6" t="str">
        <f>"CHERP"</f>
        <v>CHERP</v>
      </c>
      <c r="B5508" s="6">
        <v>8.2000000000000003E-2</v>
      </c>
      <c r="C5508" s="6">
        <v>0.261828218630833</v>
      </c>
    </row>
    <row r="5509" spans="1:3" s="8" customFormat="1" x14ac:dyDescent="0.2">
      <c r="A5509" s="6" t="str">
        <f>"IGLV8-61"</f>
        <v>IGLV8-61</v>
      </c>
      <c r="B5509" s="6">
        <v>8.2653061224489802E-2</v>
      </c>
      <c r="C5509" s="6">
        <v>0.26270522270522201</v>
      </c>
    </row>
    <row r="5510" spans="1:3" s="8" customFormat="1" x14ac:dyDescent="0.2">
      <c r="A5510" s="6" t="str">
        <f>"SGCD"</f>
        <v>SGCD</v>
      </c>
      <c r="B5510" s="6">
        <v>8.2917082917082899E-2</v>
      </c>
      <c r="C5510" s="6">
        <v>0.26270522270522201</v>
      </c>
    </row>
    <row r="5511" spans="1:3" s="8" customFormat="1" x14ac:dyDescent="0.2">
      <c r="A5511" s="6" t="str">
        <f>"NES"</f>
        <v>NES</v>
      </c>
      <c r="B5511" s="6">
        <v>8.2917082917082899E-2</v>
      </c>
      <c r="C5511" s="6">
        <v>0.26270522270522201</v>
      </c>
    </row>
    <row r="5512" spans="1:3" s="8" customFormat="1" x14ac:dyDescent="0.2">
      <c r="A5512" s="6" t="str">
        <f>"TNFSF4"</f>
        <v>TNFSF4</v>
      </c>
      <c r="B5512" s="6">
        <v>8.2917082917082899E-2</v>
      </c>
      <c r="C5512" s="6">
        <v>0.26270522270522201</v>
      </c>
    </row>
    <row r="5513" spans="1:3" s="8" customFormat="1" x14ac:dyDescent="0.2">
      <c r="A5513" s="6" t="str">
        <f>"PNPLA3"</f>
        <v>PNPLA3</v>
      </c>
      <c r="B5513" s="6">
        <v>8.2917082917082899E-2</v>
      </c>
      <c r="C5513" s="6">
        <v>0.26270522270522201</v>
      </c>
    </row>
    <row r="5514" spans="1:3" s="8" customFormat="1" x14ac:dyDescent="0.2">
      <c r="A5514" s="6" t="str">
        <f>"HELB"</f>
        <v>HELB</v>
      </c>
      <c r="B5514" s="6">
        <v>8.2917082917082899E-2</v>
      </c>
      <c r="C5514" s="6">
        <v>0.26270522270522201</v>
      </c>
    </row>
    <row r="5515" spans="1:3" s="8" customFormat="1" x14ac:dyDescent="0.2">
      <c r="A5515" s="6" t="str">
        <f>"CDC45"</f>
        <v>CDC45</v>
      </c>
      <c r="B5515" s="6">
        <v>8.2917082917082899E-2</v>
      </c>
      <c r="C5515" s="6">
        <v>0.26270522270522201</v>
      </c>
    </row>
    <row r="5516" spans="1:3" s="8" customFormat="1" x14ac:dyDescent="0.2">
      <c r="A5516" s="6" t="str">
        <f>"AC113410.4"</f>
        <v>AC113410.4</v>
      </c>
      <c r="B5516" s="6">
        <v>8.2917082917082899E-2</v>
      </c>
      <c r="C5516" s="6">
        <v>0.26270522270522201</v>
      </c>
    </row>
    <row r="5517" spans="1:3" s="8" customFormat="1" x14ac:dyDescent="0.2">
      <c r="A5517" s="6" t="str">
        <f>"SEMA6C"</f>
        <v>SEMA6C</v>
      </c>
      <c r="B5517" s="6">
        <v>8.2917082917082899E-2</v>
      </c>
      <c r="C5517" s="6">
        <v>0.26270522270522201</v>
      </c>
    </row>
    <row r="5518" spans="1:3" s="8" customFormat="1" x14ac:dyDescent="0.2">
      <c r="A5518" s="6" t="str">
        <f>"AKAP7"</f>
        <v>AKAP7</v>
      </c>
      <c r="B5518" s="6">
        <v>8.2917082917082899E-2</v>
      </c>
      <c r="C5518" s="6">
        <v>0.26270522270522201</v>
      </c>
    </row>
    <row r="5519" spans="1:3" s="8" customFormat="1" x14ac:dyDescent="0.2">
      <c r="A5519" s="6" t="str">
        <f>"SLC8A1"</f>
        <v>SLC8A1</v>
      </c>
      <c r="B5519" s="6">
        <v>8.2917082917082899E-2</v>
      </c>
      <c r="C5519" s="6">
        <v>0.26270522270522201</v>
      </c>
    </row>
    <row r="5520" spans="1:3" s="8" customFormat="1" x14ac:dyDescent="0.2">
      <c r="A5520" s="6" t="str">
        <f>"TRBC2"</f>
        <v>TRBC2</v>
      </c>
      <c r="B5520" s="6">
        <v>8.2917082917082899E-2</v>
      </c>
      <c r="C5520" s="6">
        <v>0.26270522270522201</v>
      </c>
    </row>
    <row r="5521" spans="1:3" s="8" customFormat="1" x14ac:dyDescent="0.2">
      <c r="A5521" s="6" t="str">
        <f>"GOLGA8N"</f>
        <v>GOLGA8N</v>
      </c>
      <c r="B5521" s="6">
        <v>8.2917082917082899E-2</v>
      </c>
      <c r="C5521" s="6">
        <v>0.26270522270522201</v>
      </c>
    </row>
    <row r="5522" spans="1:3" s="8" customFormat="1" x14ac:dyDescent="0.2">
      <c r="A5522" s="6" t="str">
        <f>"ANKRD39"</f>
        <v>ANKRD39</v>
      </c>
      <c r="B5522" s="6">
        <v>8.2917082917082899E-2</v>
      </c>
      <c r="C5522" s="6">
        <v>0.26270522270522201</v>
      </c>
    </row>
    <row r="5523" spans="1:3" s="8" customFormat="1" x14ac:dyDescent="0.2">
      <c r="A5523" s="6" t="str">
        <f>"ACBD4"</f>
        <v>ACBD4</v>
      </c>
      <c r="B5523" s="6">
        <v>8.2917082917082899E-2</v>
      </c>
      <c r="C5523" s="6">
        <v>0.26270522270522201</v>
      </c>
    </row>
    <row r="5524" spans="1:3" s="8" customFormat="1" x14ac:dyDescent="0.2">
      <c r="A5524" s="6" t="str">
        <f>"USP2-AS1"</f>
        <v>USP2-AS1</v>
      </c>
      <c r="B5524" s="6">
        <v>8.2917082917082899E-2</v>
      </c>
      <c r="C5524" s="6">
        <v>0.26270522270522201</v>
      </c>
    </row>
    <row r="5525" spans="1:3" s="8" customFormat="1" x14ac:dyDescent="0.2">
      <c r="A5525" s="6" t="str">
        <f>"GEMIN8"</f>
        <v>GEMIN8</v>
      </c>
      <c r="B5525" s="6">
        <v>8.2917082917082899E-2</v>
      </c>
      <c r="C5525" s="6">
        <v>0.26270522270522201</v>
      </c>
    </row>
    <row r="5526" spans="1:3" s="8" customFormat="1" x14ac:dyDescent="0.2">
      <c r="A5526" s="6" t="str">
        <f>"PMAIP1"</f>
        <v>PMAIP1</v>
      </c>
      <c r="B5526" s="6">
        <v>8.2917082917082899E-2</v>
      </c>
      <c r="C5526" s="6">
        <v>0.26270522270522201</v>
      </c>
    </row>
    <row r="5527" spans="1:3" s="8" customFormat="1" x14ac:dyDescent="0.2">
      <c r="A5527" s="6" t="str">
        <f>"CERS5"</f>
        <v>CERS5</v>
      </c>
      <c r="B5527" s="6">
        <v>8.2917082917082899E-2</v>
      </c>
      <c r="C5527" s="6">
        <v>0.26270522270522201</v>
      </c>
    </row>
    <row r="5528" spans="1:3" s="8" customFormat="1" x14ac:dyDescent="0.2">
      <c r="A5528" s="6" t="str">
        <f>"GTF2F2"</f>
        <v>GTF2F2</v>
      </c>
      <c r="B5528" s="6">
        <v>8.2917082917082899E-2</v>
      </c>
      <c r="C5528" s="6">
        <v>0.26270522270522201</v>
      </c>
    </row>
    <row r="5529" spans="1:3" s="8" customFormat="1" x14ac:dyDescent="0.2">
      <c r="A5529" s="6" t="str">
        <f>"CMTR2"</f>
        <v>CMTR2</v>
      </c>
      <c r="B5529" s="6">
        <v>8.2917082917082899E-2</v>
      </c>
      <c r="C5529" s="6">
        <v>0.26270522270522201</v>
      </c>
    </row>
    <row r="5530" spans="1:3" s="8" customFormat="1" x14ac:dyDescent="0.2">
      <c r="A5530" s="6" t="str">
        <f>"CWC25"</f>
        <v>CWC25</v>
      </c>
      <c r="B5530" s="6">
        <v>8.2917082917082899E-2</v>
      </c>
      <c r="C5530" s="6">
        <v>0.26270522270522201</v>
      </c>
    </row>
    <row r="5531" spans="1:3" s="8" customFormat="1" x14ac:dyDescent="0.2">
      <c r="A5531" s="6" t="str">
        <f>"AGTPBP1"</f>
        <v>AGTPBP1</v>
      </c>
      <c r="B5531" s="6">
        <v>8.2917082917082899E-2</v>
      </c>
      <c r="C5531" s="6">
        <v>0.26270522270522201</v>
      </c>
    </row>
    <row r="5532" spans="1:3" s="8" customFormat="1" x14ac:dyDescent="0.2">
      <c r="A5532" s="6" t="str">
        <f>"NDST2"</f>
        <v>NDST2</v>
      </c>
      <c r="B5532" s="6">
        <v>8.2917082917082899E-2</v>
      </c>
      <c r="C5532" s="6">
        <v>0.26270522270522201</v>
      </c>
    </row>
    <row r="5533" spans="1:3" s="8" customFormat="1" x14ac:dyDescent="0.2">
      <c r="A5533" s="6" t="str">
        <f>"TMEM258"</f>
        <v>TMEM258</v>
      </c>
      <c r="B5533" s="6">
        <v>8.2917082917082899E-2</v>
      </c>
      <c r="C5533" s="6">
        <v>0.26270522270522201</v>
      </c>
    </row>
    <row r="5534" spans="1:3" s="8" customFormat="1" x14ac:dyDescent="0.2">
      <c r="A5534" s="6" t="str">
        <f>"GMPPA"</f>
        <v>GMPPA</v>
      </c>
      <c r="B5534" s="6">
        <v>8.2917082917082899E-2</v>
      </c>
      <c r="C5534" s="6">
        <v>0.26270522270522201</v>
      </c>
    </row>
    <row r="5535" spans="1:3" s="8" customFormat="1" x14ac:dyDescent="0.2">
      <c r="A5535" s="6" t="str">
        <f>"LIN7C"</f>
        <v>LIN7C</v>
      </c>
      <c r="B5535" s="6">
        <v>8.2917082917082899E-2</v>
      </c>
      <c r="C5535" s="6">
        <v>0.26270522270522201</v>
      </c>
    </row>
    <row r="5536" spans="1:3" s="8" customFormat="1" x14ac:dyDescent="0.2">
      <c r="A5536" s="6" t="str">
        <f>"HSD11B2"</f>
        <v>HSD11B2</v>
      </c>
      <c r="B5536" s="6">
        <v>8.2917082917082899E-2</v>
      </c>
      <c r="C5536" s="6">
        <v>0.26270522270522201</v>
      </c>
    </row>
    <row r="5537" spans="1:3" s="8" customFormat="1" x14ac:dyDescent="0.2">
      <c r="A5537" s="6" t="str">
        <f>"YEATS2"</f>
        <v>YEATS2</v>
      </c>
      <c r="B5537" s="6">
        <v>8.2917082917082899E-2</v>
      </c>
      <c r="C5537" s="6">
        <v>0.26270522270522201</v>
      </c>
    </row>
    <row r="5538" spans="1:3" s="8" customFormat="1" x14ac:dyDescent="0.2">
      <c r="A5538" s="6" t="str">
        <f>"RNF111"</f>
        <v>RNF111</v>
      </c>
      <c r="B5538" s="6">
        <v>8.2917082917082899E-2</v>
      </c>
      <c r="C5538" s="6">
        <v>0.26270522270522201</v>
      </c>
    </row>
    <row r="5539" spans="1:3" s="8" customFormat="1" x14ac:dyDescent="0.2">
      <c r="A5539" s="6" t="str">
        <f>"FBXO3"</f>
        <v>FBXO3</v>
      </c>
      <c r="B5539" s="6">
        <v>8.2917082917082899E-2</v>
      </c>
      <c r="C5539" s="6">
        <v>0.26270522270522201</v>
      </c>
    </row>
    <row r="5540" spans="1:3" s="8" customFormat="1" x14ac:dyDescent="0.2">
      <c r="A5540" s="6" t="str">
        <f>"AKAP6"</f>
        <v>AKAP6</v>
      </c>
      <c r="B5540" s="6">
        <v>8.2917082917082899E-2</v>
      </c>
      <c r="C5540" s="6">
        <v>0.26270522270522201</v>
      </c>
    </row>
    <row r="5541" spans="1:3" s="8" customFormat="1" x14ac:dyDescent="0.2">
      <c r="A5541" s="6" t="str">
        <f>"TRAPPC9"</f>
        <v>TRAPPC9</v>
      </c>
      <c r="B5541" s="6">
        <v>8.2917082917082899E-2</v>
      </c>
      <c r="C5541" s="6">
        <v>0.26270522270522201</v>
      </c>
    </row>
    <row r="5542" spans="1:3" s="8" customFormat="1" x14ac:dyDescent="0.2">
      <c r="A5542" s="6" t="str">
        <f>"POLE3"</f>
        <v>POLE3</v>
      </c>
      <c r="B5542" s="6">
        <v>8.2917082917082899E-2</v>
      </c>
      <c r="C5542" s="6">
        <v>0.26270522270522201</v>
      </c>
    </row>
    <row r="5543" spans="1:3" s="8" customFormat="1" x14ac:dyDescent="0.2">
      <c r="A5543" s="6" t="str">
        <f>"FSTL1"</f>
        <v>FSTL1</v>
      </c>
      <c r="B5543" s="6">
        <v>8.2917082917082899E-2</v>
      </c>
      <c r="C5543" s="6">
        <v>0.26270522270522201</v>
      </c>
    </row>
    <row r="5544" spans="1:3" s="8" customFormat="1" x14ac:dyDescent="0.2">
      <c r="A5544" s="6" t="str">
        <f>"MIDEAS"</f>
        <v>MIDEAS</v>
      </c>
      <c r="B5544" s="6">
        <v>8.2917082917082899E-2</v>
      </c>
      <c r="C5544" s="6">
        <v>0.26270522270522201</v>
      </c>
    </row>
    <row r="5545" spans="1:3" s="8" customFormat="1" x14ac:dyDescent="0.2">
      <c r="A5545" s="6" t="str">
        <f>"C6orf118"</f>
        <v>C6orf118</v>
      </c>
      <c r="B5545" s="6">
        <v>8.2917082917082899E-2</v>
      </c>
      <c r="C5545" s="6">
        <v>0.26270522270522201</v>
      </c>
    </row>
    <row r="5546" spans="1:3" s="8" customFormat="1" x14ac:dyDescent="0.2">
      <c r="A5546" s="6" t="str">
        <f>"GMPR2"</f>
        <v>GMPR2</v>
      </c>
      <c r="B5546" s="6">
        <v>8.2917082917082899E-2</v>
      </c>
      <c r="C5546" s="6">
        <v>0.26270522270522201</v>
      </c>
    </row>
    <row r="5547" spans="1:3" s="8" customFormat="1" x14ac:dyDescent="0.2">
      <c r="A5547" s="6" t="str">
        <f>"PRELID1"</f>
        <v>PRELID1</v>
      </c>
      <c r="B5547" s="6">
        <v>8.2917082917082899E-2</v>
      </c>
      <c r="C5547" s="6">
        <v>0.26270522270522201</v>
      </c>
    </row>
    <row r="5548" spans="1:3" s="8" customFormat="1" x14ac:dyDescent="0.2">
      <c r="A5548" s="6" t="str">
        <f>"AC004057.1"</f>
        <v>AC004057.1</v>
      </c>
      <c r="B5548" s="6">
        <v>8.2917082917082899E-2</v>
      </c>
      <c r="C5548" s="6">
        <v>0.26270522270522201</v>
      </c>
    </row>
    <row r="5549" spans="1:3" s="8" customFormat="1" x14ac:dyDescent="0.2">
      <c r="A5549" s="6" t="str">
        <f>"STUB1"</f>
        <v>STUB1</v>
      </c>
      <c r="B5549" s="6">
        <v>8.2917082917082899E-2</v>
      </c>
      <c r="C5549" s="6">
        <v>0.26270522270522201</v>
      </c>
    </row>
    <row r="5550" spans="1:3" s="8" customFormat="1" x14ac:dyDescent="0.2">
      <c r="A5550" s="6" t="str">
        <f>"EIF4A2"</f>
        <v>EIF4A2</v>
      </c>
      <c r="B5550" s="6">
        <v>8.2917082917082899E-2</v>
      </c>
      <c r="C5550" s="6">
        <v>0.26270522270522201</v>
      </c>
    </row>
    <row r="5551" spans="1:3" s="8" customFormat="1" x14ac:dyDescent="0.2">
      <c r="A5551" s="6" t="str">
        <f>"BHLHE40"</f>
        <v>BHLHE40</v>
      </c>
      <c r="B5551" s="6">
        <v>8.2917082917082899E-2</v>
      </c>
      <c r="C5551" s="6">
        <v>0.26270522270522201</v>
      </c>
    </row>
    <row r="5552" spans="1:3" s="8" customFormat="1" x14ac:dyDescent="0.2">
      <c r="A5552" s="6" t="str">
        <f>"AL121749.2"</f>
        <v>AL121749.2</v>
      </c>
      <c r="B5552" s="6">
        <v>8.3000000000000004E-2</v>
      </c>
      <c r="C5552" s="6">
        <v>0.262778537990637</v>
      </c>
    </row>
    <row r="5553" spans="1:3" s="8" customFormat="1" x14ac:dyDescent="0.2">
      <c r="A5553" s="6" t="str">
        <f>"AC137630.4"</f>
        <v>AC137630.4</v>
      </c>
      <c r="B5553" s="6">
        <v>8.3000000000000004E-2</v>
      </c>
      <c r="C5553" s="6">
        <v>0.262778537990637</v>
      </c>
    </row>
    <row r="5554" spans="1:3" s="8" customFormat="1" x14ac:dyDescent="0.2">
      <c r="A5554" s="6" t="str">
        <f>"ZNF529-AS1"</f>
        <v>ZNF529-AS1</v>
      </c>
      <c r="B5554" s="6">
        <v>8.3000000000000004E-2</v>
      </c>
      <c r="C5554" s="6">
        <v>0.262778537990637</v>
      </c>
    </row>
    <row r="5555" spans="1:3" s="8" customFormat="1" x14ac:dyDescent="0.2">
      <c r="A5555" s="6" t="str">
        <f>"TCTEX1D4"</f>
        <v>TCTEX1D4</v>
      </c>
      <c r="B5555" s="6">
        <v>8.3000000000000004E-2</v>
      </c>
      <c r="C5555" s="6">
        <v>0.262778537990637</v>
      </c>
    </row>
    <row r="5556" spans="1:3" s="8" customFormat="1" x14ac:dyDescent="0.2">
      <c r="A5556" s="6" t="str">
        <f>"SMIM1"</f>
        <v>SMIM1</v>
      </c>
      <c r="B5556" s="6">
        <v>8.3083083083083001E-2</v>
      </c>
      <c r="C5556" s="6">
        <v>0.26299422735066202</v>
      </c>
    </row>
    <row r="5557" spans="1:3" s="8" customFormat="1" x14ac:dyDescent="0.2">
      <c r="A5557" s="6" t="str">
        <f>"DUSP8P5"</f>
        <v>DUSP8P5</v>
      </c>
      <c r="B5557" s="6">
        <v>8.3249749247743199E-2</v>
      </c>
      <c r="C5557" s="6">
        <v>0.26347436838954502</v>
      </c>
    </row>
    <row r="5558" spans="1:3" s="8" customFormat="1" x14ac:dyDescent="0.2">
      <c r="A5558" s="6" t="str">
        <f>"AC003975.1"</f>
        <v>AC003975.1</v>
      </c>
      <c r="B5558" s="6">
        <v>8.3333333333333301E-2</v>
      </c>
      <c r="C5558" s="6">
        <v>0.26369144022554097</v>
      </c>
    </row>
    <row r="5559" spans="1:3" s="8" customFormat="1" x14ac:dyDescent="0.2">
      <c r="A5559" s="6" t="str">
        <f>"AF279873.3"</f>
        <v>AF279873.3</v>
      </c>
      <c r="B5559" s="6">
        <v>8.3417085427135607E-2</v>
      </c>
      <c r="C5559" s="6">
        <v>0.26390896548232301</v>
      </c>
    </row>
    <row r="5560" spans="1:3" s="8" customFormat="1" x14ac:dyDescent="0.2">
      <c r="A5560" s="6" t="str">
        <f>"FAM247B"</f>
        <v>FAM247B</v>
      </c>
      <c r="B5560" s="6">
        <v>8.3916083916083906E-2</v>
      </c>
      <c r="C5560" s="6">
        <v>0.26406235139234402</v>
      </c>
    </row>
    <row r="5561" spans="1:3" s="8" customFormat="1" x14ac:dyDescent="0.2">
      <c r="A5561" s="6" t="str">
        <f>"SNRPEP4"</f>
        <v>SNRPEP4</v>
      </c>
      <c r="B5561" s="6">
        <v>8.3916083916083906E-2</v>
      </c>
      <c r="C5561" s="6">
        <v>0.26406235139234402</v>
      </c>
    </row>
    <row r="5562" spans="1:3" s="8" customFormat="1" x14ac:dyDescent="0.2">
      <c r="A5562" s="6" t="str">
        <f>"AC003035.1"</f>
        <v>AC003035.1</v>
      </c>
      <c r="B5562" s="6">
        <v>8.35095137420718E-2</v>
      </c>
      <c r="C5562" s="6">
        <v>0.26406235139234402</v>
      </c>
    </row>
    <row r="5563" spans="1:3" s="8" customFormat="1" x14ac:dyDescent="0.2">
      <c r="A5563" s="6" t="str">
        <f>"ACRBP"</f>
        <v>ACRBP</v>
      </c>
      <c r="B5563" s="6">
        <v>8.3916083916083906E-2</v>
      </c>
      <c r="C5563" s="6">
        <v>0.26406235139234402</v>
      </c>
    </row>
    <row r="5564" spans="1:3" s="8" customFormat="1" x14ac:dyDescent="0.2">
      <c r="A5564" s="6" t="str">
        <f>"AC008514.1"</f>
        <v>AC008514.1</v>
      </c>
      <c r="B5564" s="6">
        <v>8.3916083916083906E-2</v>
      </c>
      <c r="C5564" s="6">
        <v>0.26406235139234402</v>
      </c>
    </row>
    <row r="5565" spans="1:3" s="8" customFormat="1" x14ac:dyDescent="0.2">
      <c r="A5565" s="6" t="str">
        <f>"IHH"</f>
        <v>IHH</v>
      </c>
      <c r="B5565" s="6">
        <v>8.3916083916083906E-2</v>
      </c>
      <c r="C5565" s="6">
        <v>0.26406235139234402</v>
      </c>
    </row>
    <row r="5566" spans="1:3" s="8" customFormat="1" x14ac:dyDescent="0.2">
      <c r="A5566" s="6" t="str">
        <f>"MUC22"</f>
        <v>MUC22</v>
      </c>
      <c r="B5566" s="6">
        <v>8.3916083916083906E-2</v>
      </c>
      <c r="C5566" s="6">
        <v>0.26406235139234402</v>
      </c>
    </row>
    <row r="5567" spans="1:3" s="8" customFormat="1" x14ac:dyDescent="0.2">
      <c r="A5567" s="6" t="str">
        <f>"AC135983.2"</f>
        <v>AC135983.2</v>
      </c>
      <c r="B5567" s="6">
        <v>8.3916083916083906E-2</v>
      </c>
      <c r="C5567" s="6">
        <v>0.26406235139234402</v>
      </c>
    </row>
    <row r="5568" spans="1:3" s="8" customFormat="1" x14ac:dyDescent="0.2">
      <c r="A5568" s="6" t="str">
        <f>"ZFP69"</f>
        <v>ZFP69</v>
      </c>
      <c r="B5568" s="6">
        <v>8.3916083916083906E-2</v>
      </c>
      <c r="C5568" s="6">
        <v>0.26406235139234402</v>
      </c>
    </row>
    <row r="5569" spans="1:3" s="8" customFormat="1" x14ac:dyDescent="0.2">
      <c r="A5569" s="6" t="str">
        <f>"SLC9A2"</f>
        <v>SLC9A2</v>
      </c>
      <c r="B5569" s="6">
        <v>8.3916083916083906E-2</v>
      </c>
      <c r="C5569" s="6">
        <v>0.26406235139234402</v>
      </c>
    </row>
    <row r="5570" spans="1:3" s="8" customFormat="1" x14ac:dyDescent="0.2">
      <c r="A5570" s="6" t="str">
        <f>"SNHG17"</f>
        <v>SNHG17</v>
      </c>
      <c r="B5570" s="6">
        <v>8.3916083916083906E-2</v>
      </c>
      <c r="C5570" s="6">
        <v>0.26406235139234402</v>
      </c>
    </row>
    <row r="5571" spans="1:3" s="8" customFormat="1" x14ac:dyDescent="0.2">
      <c r="A5571" s="6" t="str">
        <f>"ADCY7"</f>
        <v>ADCY7</v>
      </c>
      <c r="B5571" s="6">
        <v>8.3916083916083906E-2</v>
      </c>
      <c r="C5571" s="6">
        <v>0.26406235139234402</v>
      </c>
    </row>
    <row r="5572" spans="1:3" s="8" customFormat="1" x14ac:dyDescent="0.2">
      <c r="A5572" s="6" t="str">
        <f>"PLBD1-AS1"</f>
        <v>PLBD1-AS1</v>
      </c>
      <c r="B5572" s="6">
        <v>8.3916083916083906E-2</v>
      </c>
      <c r="C5572" s="6">
        <v>0.26406235139234402</v>
      </c>
    </row>
    <row r="5573" spans="1:3" s="8" customFormat="1" x14ac:dyDescent="0.2">
      <c r="A5573" s="6" t="str">
        <f>"LINC02604"</f>
        <v>LINC02604</v>
      </c>
      <c r="B5573" s="6">
        <v>8.3916083916083906E-2</v>
      </c>
      <c r="C5573" s="6">
        <v>0.26406235139234402</v>
      </c>
    </row>
    <row r="5574" spans="1:3" s="8" customFormat="1" x14ac:dyDescent="0.2">
      <c r="A5574" s="6" t="str">
        <f>"ZNF8"</f>
        <v>ZNF8</v>
      </c>
      <c r="B5574" s="6">
        <v>8.3916083916083906E-2</v>
      </c>
      <c r="C5574" s="6">
        <v>0.26406235139234402</v>
      </c>
    </row>
    <row r="5575" spans="1:3" s="8" customFormat="1" x14ac:dyDescent="0.2">
      <c r="A5575" s="6" t="str">
        <f>"ZNF528"</f>
        <v>ZNF528</v>
      </c>
      <c r="B5575" s="6">
        <v>8.3916083916083906E-2</v>
      </c>
      <c r="C5575" s="6">
        <v>0.26406235139234402</v>
      </c>
    </row>
    <row r="5576" spans="1:3" s="8" customFormat="1" x14ac:dyDescent="0.2">
      <c r="A5576" s="6" t="str">
        <f>"SDHAF2"</f>
        <v>SDHAF2</v>
      </c>
      <c r="B5576" s="6">
        <v>8.3916083916083906E-2</v>
      </c>
      <c r="C5576" s="6">
        <v>0.26406235139234402</v>
      </c>
    </row>
    <row r="5577" spans="1:3" s="8" customFormat="1" x14ac:dyDescent="0.2">
      <c r="A5577" s="6" t="str">
        <f>"HS3ST6"</f>
        <v>HS3ST6</v>
      </c>
      <c r="B5577" s="6">
        <v>8.3916083916083906E-2</v>
      </c>
      <c r="C5577" s="6">
        <v>0.26406235139234402</v>
      </c>
    </row>
    <row r="5578" spans="1:3" s="8" customFormat="1" x14ac:dyDescent="0.2">
      <c r="A5578" s="6" t="str">
        <f>"RBM28"</f>
        <v>RBM28</v>
      </c>
      <c r="B5578" s="6">
        <v>8.3916083916083906E-2</v>
      </c>
      <c r="C5578" s="6">
        <v>0.26406235139234402</v>
      </c>
    </row>
    <row r="5579" spans="1:3" s="8" customFormat="1" x14ac:dyDescent="0.2">
      <c r="A5579" s="6" t="str">
        <f>"MBD4"</f>
        <v>MBD4</v>
      </c>
      <c r="B5579" s="6">
        <v>8.3916083916083906E-2</v>
      </c>
      <c r="C5579" s="6">
        <v>0.26406235139234402</v>
      </c>
    </row>
    <row r="5580" spans="1:3" s="8" customFormat="1" x14ac:dyDescent="0.2">
      <c r="A5580" s="6" t="str">
        <f>"PLPBP"</f>
        <v>PLPBP</v>
      </c>
      <c r="B5580" s="6">
        <v>8.3916083916083906E-2</v>
      </c>
      <c r="C5580" s="6">
        <v>0.26406235139234402</v>
      </c>
    </row>
    <row r="5581" spans="1:3" s="8" customFormat="1" x14ac:dyDescent="0.2">
      <c r="A5581" s="6" t="str">
        <f>"AIDA"</f>
        <v>AIDA</v>
      </c>
      <c r="B5581" s="6">
        <v>8.3916083916083906E-2</v>
      </c>
      <c r="C5581" s="6">
        <v>0.26406235139234402</v>
      </c>
    </row>
    <row r="5582" spans="1:3" s="8" customFormat="1" x14ac:dyDescent="0.2">
      <c r="A5582" s="6" t="str">
        <f>"CDC123"</f>
        <v>CDC123</v>
      </c>
      <c r="B5582" s="6">
        <v>8.3916083916083906E-2</v>
      </c>
      <c r="C5582" s="6">
        <v>0.26406235139234402</v>
      </c>
    </row>
    <row r="5583" spans="1:3" s="8" customFormat="1" x14ac:dyDescent="0.2">
      <c r="A5583" s="6" t="str">
        <f>"CCDC157"</f>
        <v>CCDC157</v>
      </c>
      <c r="B5583" s="6">
        <v>8.3916083916083906E-2</v>
      </c>
      <c r="C5583" s="6">
        <v>0.26406235139234402</v>
      </c>
    </row>
    <row r="5584" spans="1:3" s="8" customFormat="1" x14ac:dyDescent="0.2">
      <c r="A5584" s="6" t="str">
        <f>"RIBC1"</f>
        <v>RIBC1</v>
      </c>
      <c r="B5584" s="6">
        <v>8.3916083916083906E-2</v>
      </c>
      <c r="C5584" s="6">
        <v>0.26406235139234402</v>
      </c>
    </row>
    <row r="5585" spans="1:3" s="8" customFormat="1" x14ac:dyDescent="0.2">
      <c r="A5585" s="6" t="str">
        <f>"FOXC1"</f>
        <v>FOXC1</v>
      </c>
      <c r="B5585" s="6">
        <v>8.3916083916083906E-2</v>
      </c>
      <c r="C5585" s="6">
        <v>0.26406235139234402</v>
      </c>
    </row>
    <row r="5586" spans="1:3" s="8" customFormat="1" x14ac:dyDescent="0.2">
      <c r="A5586" s="6" t="str">
        <f>"PPP1R9B"</f>
        <v>PPP1R9B</v>
      </c>
      <c r="B5586" s="6">
        <v>8.3916083916083906E-2</v>
      </c>
      <c r="C5586" s="6">
        <v>0.26406235139234402</v>
      </c>
    </row>
    <row r="5587" spans="1:3" s="8" customFormat="1" x14ac:dyDescent="0.2">
      <c r="A5587" s="6" t="str">
        <f>"YY1"</f>
        <v>YY1</v>
      </c>
      <c r="B5587" s="6">
        <v>8.3916083916083906E-2</v>
      </c>
      <c r="C5587" s="6">
        <v>0.26406235139234402</v>
      </c>
    </row>
    <row r="5588" spans="1:3" s="8" customFormat="1" x14ac:dyDescent="0.2">
      <c r="A5588" s="6" t="str">
        <f>"ATP12A"</f>
        <v>ATP12A</v>
      </c>
      <c r="B5588" s="6">
        <v>8.3916083916083906E-2</v>
      </c>
      <c r="C5588" s="6">
        <v>0.26406235139234402</v>
      </c>
    </row>
    <row r="5589" spans="1:3" s="8" customFormat="1" x14ac:dyDescent="0.2">
      <c r="A5589" s="6" t="str">
        <f>"VCP"</f>
        <v>VCP</v>
      </c>
      <c r="B5589" s="6">
        <v>8.3916083916083906E-2</v>
      </c>
      <c r="C5589" s="6">
        <v>0.26406235139234402</v>
      </c>
    </row>
    <row r="5590" spans="1:3" s="8" customFormat="1" x14ac:dyDescent="0.2">
      <c r="A5590" s="6" t="str">
        <f>"AC008278.2"</f>
        <v>AC008278.2</v>
      </c>
      <c r="B5590" s="6">
        <v>8.4000000000000005E-2</v>
      </c>
      <c r="C5590" s="6">
        <v>0.264231842576028</v>
      </c>
    </row>
    <row r="5591" spans="1:3" s="8" customFormat="1" x14ac:dyDescent="0.2">
      <c r="A5591" s="6" t="str">
        <f>"AC188616.1"</f>
        <v>AC188616.1</v>
      </c>
      <c r="B5591" s="6">
        <v>8.4000000000000005E-2</v>
      </c>
      <c r="C5591" s="6">
        <v>0.264231842576028</v>
      </c>
    </row>
    <row r="5592" spans="1:3" s="8" customFormat="1" x14ac:dyDescent="0.2">
      <c r="A5592" s="6" t="str">
        <f>"RPL23AP1"</f>
        <v>RPL23AP1</v>
      </c>
      <c r="B5592" s="6">
        <v>8.4084084084083993E-2</v>
      </c>
      <c r="C5592" s="6">
        <v>0.26440174079659001</v>
      </c>
    </row>
    <row r="5593" spans="1:3" s="8" customFormat="1" x14ac:dyDescent="0.2">
      <c r="A5593" s="6" t="str">
        <f>"MBL1P"</f>
        <v>MBL1P</v>
      </c>
      <c r="B5593" s="6">
        <v>8.4084084084083993E-2</v>
      </c>
      <c r="C5593" s="6">
        <v>0.26440174079659001</v>
      </c>
    </row>
    <row r="5594" spans="1:3" s="8" customFormat="1" x14ac:dyDescent="0.2">
      <c r="A5594" s="6" t="str">
        <f>"AL162171.3"</f>
        <v>AL162171.3</v>
      </c>
      <c r="B5594" s="6">
        <v>8.4178498985801195E-2</v>
      </c>
      <c r="C5594" s="6">
        <v>0.264651300941592</v>
      </c>
    </row>
    <row r="5595" spans="1:3" s="8" customFormat="1" x14ac:dyDescent="0.2">
      <c r="A5595" s="6" t="str">
        <f>"TM4SF18"</f>
        <v>TM4SF18</v>
      </c>
      <c r="B5595" s="6">
        <v>8.4915084915084899E-2</v>
      </c>
      <c r="C5595" s="6">
        <v>0.26525970032809598</v>
      </c>
    </row>
    <row r="5596" spans="1:3" s="8" customFormat="1" x14ac:dyDescent="0.2">
      <c r="A5596" s="6" t="str">
        <f>"AC021321.2"</f>
        <v>AC021321.2</v>
      </c>
      <c r="B5596" s="6">
        <v>8.4915084915084899E-2</v>
      </c>
      <c r="C5596" s="6">
        <v>0.26525970032809598</v>
      </c>
    </row>
    <row r="5597" spans="1:3" s="8" customFormat="1" x14ac:dyDescent="0.2">
      <c r="A5597" s="6" t="str">
        <f>"KCNK7"</f>
        <v>KCNK7</v>
      </c>
      <c r="B5597" s="6">
        <v>8.4915084915084899E-2</v>
      </c>
      <c r="C5597" s="6">
        <v>0.26525970032809598</v>
      </c>
    </row>
    <row r="5598" spans="1:3" s="8" customFormat="1" x14ac:dyDescent="0.2">
      <c r="A5598" s="6" t="str">
        <f>"AC092745.1"</f>
        <v>AC092745.1</v>
      </c>
      <c r="B5598" s="6">
        <v>8.4915084915084899E-2</v>
      </c>
      <c r="C5598" s="6">
        <v>0.26525970032809598</v>
      </c>
    </row>
    <row r="5599" spans="1:3" s="8" customFormat="1" x14ac:dyDescent="0.2">
      <c r="A5599" s="6" t="str">
        <f>"AOC3"</f>
        <v>AOC3</v>
      </c>
      <c r="B5599" s="6">
        <v>8.4915084915084899E-2</v>
      </c>
      <c r="C5599" s="6">
        <v>0.26525970032809598</v>
      </c>
    </row>
    <row r="5600" spans="1:3" s="8" customFormat="1" x14ac:dyDescent="0.2">
      <c r="A5600" s="6" t="str">
        <f>"RIMS2"</f>
        <v>RIMS2</v>
      </c>
      <c r="B5600" s="6">
        <v>8.4915084915084899E-2</v>
      </c>
      <c r="C5600" s="6">
        <v>0.26525970032809598</v>
      </c>
    </row>
    <row r="5601" spans="1:3" s="8" customFormat="1" x14ac:dyDescent="0.2">
      <c r="A5601" s="6" t="str">
        <f>"POLN"</f>
        <v>POLN</v>
      </c>
      <c r="B5601" s="6">
        <v>8.4915084915084899E-2</v>
      </c>
      <c r="C5601" s="6">
        <v>0.26525970032809598</v>
      </c>
    </row>
    <row r="5602" spans="1:3" s="8" customFormat="1" x14ac:dyDescent="0.2">
      <c r="A5602" s="6" t="str">
        <f>"ADAMTS7P1"</f>
        <v>ADAMTS7P1</v>
      </c>
      <c r="B5602" s="6">
        <v>8.4915084915084899E-2</v>
      </c>
      <c r="C5602" s="6">
        <v>0.26525970032809598</v>
      </c>
    </row>
    <row r="5603" spans="1:3" s="8" customFormat="1" x14ac:dyDescent="0.2">
      <c r="A5603" s="6" t="str">
        <f>"DPP10"</f>
        <v>DPP10</v>
      </c>
      <c r="B5603" s="6">
        <v>8.4915084915084899E-2</v>
      </c>
      <c r="C5603" s="6">
        <v>0.26525970032809598</v>
      </c>
    </row>
    <row r="5604" spans="1:3" s="8" customFormat="1" x14ac:dyDescent="0.2">
      <c r="A5604" s="6" t="str">
        <f>"SAPCD1"</f>
        <v>SAPCD1</v>
      </c>
      <c r="B5604" s="6">
        <v>8.4915084915084899E-2</v>
      </c>
      <c r="C5604" s="6">
        <v>0.26525970032809598</v>
      </c>
    </row>
    <row r="5605" spans="1:3" s="8" customFormat="1" x14ac:dyDescent="0.2">
      <c r="A5605" s="6" t="str">
        <f>"VPS13B-DT"</f>
        <v>VPS13B-DT</v>
      </c>
      <c r="B5605" s="6">
        <v>8.4915084915084899E-2</v>
      </c>
      <c r="C5605" s="6">
        <v>0.26525970032809598</v>
      </c>
    </row>
    <row r="5606" spans="1:3" s="8" customFormat="1" x14ac:dyDescent="0.2">
      <c r="A5606" s="6" t="str">
        <f>"RPS18P9"</f>
        <v>RPS18P9</v>
      </c>
      <c r="B5606" s="6">
        <v>8.4915084915084899E-2</v>
      </c>
      <c r="C5606" s="6">
        <v>0.26525970032809598</v>
      </c>
    </row>
    <row r="5607" spans="1:3" s="8" customFormat="1" x14ac:dyDescent="0.2">
      <c r="A5607" s="6" t="str">
        <f>"AL645933.2"</f>
        <v>AL645933.2</v>
      </c>
      <c r="B5607" s="6">
        <v>8.4915084915084899E-2</v>
      </c>
      <c r="C5607" s="6">
        <v>0.26525970032809598</v>
      </c>
    </row>
    <row r="5608" spans="1:3" s="8" customFormat="1" x14ac:dyDescent="0.2">
      <c r="A5608" s="6" t="str">
        <f>"RPL23AP7"</f>
        <v>RPL23AP7</v>
      </c>
      <c r="B5608" s="6">
        <v>8.4915084915084899E-2</v>
      </c>
      <c r="C5608" s="6">
        <v>0.26525970032809598</v>
      </c>
    </row>
    <row r="5609" spans="1:3" s="8" customFormat="1" x14ac:dyDescent="0.2">
      <c r="A5609" s="6" t="str">
        <f>"AC138393.1"</f>
        <v>AC138393.1</v>
      </c>
      <c r="B5609" s="6">
        <v>8.4915084915084899E-2</v>
      </c>
      <c r="C5609" s="6">
        <v>0.26525970032809598</v>
      </c>
    </row>
    <row r="5610" spans="1:3" s="8" customFormat="1" x14ac:dyDescent="0.2">
      <c r="A5610" s="6" t="str">
        <f>"SMPD4BP"</f>
        <v>SMPD4BP</v>
      </c>
      <c r="B5610" s="6">
        <v>8.4915084915084899E-2</v>
      </c>
      <c r="C5610" s="6">
        <v>0.26525970032809598</v>
      </c>
    </row>
    <row r="5611" spans="1:3" s="8" customFormat="1" x14ac:dyDescent="0.2">
      <c r="A5611" s="6" t="str">
        <f>"AC073508.3"</f>
        <v>AC073508.3</v>
      </c>
      <c r="B5611" s="6">
        <v>8.4915084915084899E-2</v>
      </c>
      <c r="C5611" s="6">
        <v>0.26525970032809598</v>
      </c>
    </row>
    <row r="5612" spans="1:3" s="8" customFormat="1" x14ac:dyDescent="0.2">
      <c r="A5612" s="6" t="str">
        <f>"SLF1"</f>
        <v>SLF1</v>
      </c>
      <c r="B5612" s="6">
        <v>8.4915084915084899E-2</v>
      </c>
      <c r="C5612" s="6">
        <v>0.26525970032809598</v>
      </c>
    </row>
    <row r="5613" spans="1:3" s="8" customFormat="1" x14ac:dyDescent="0.2">
      <c r="A5613" s="6" t="str">
        <f>"MOSPD1"</f>
        <v>MOSPD1</v>
      </c>
      <c r="B5613" s="6">
        <v>8.4915084915084899E-2</v>
      </c>
      <c r="C5613" s="6">
        <v>0.26525970032809598</v>
      </c>
    </row>
    <row r="5614" spans="1:3" s="8" customFormat="1" x14ac:dyDescent="0.2">
      <c r="A5614" s="6" t="str">
        <f>"CCDC88A"</f>
        <v>CCDC88A</v>
      </c>
      <c r="B5614" s="6">
        <v>8.4915084915084899E-2</v>
      </c>
      <c r="C5614" s="6">
        <v>0.26525970032809598</v>
      </c>
    </row>
    <row r="5615" spans="1:3" s="8" customFormat="1" x14ac:dyDescent="0.2">
      <c r="A5615" s="6" t="str">
        <f>"HERC2P9"</f>
        <v>HERC2P9</v>
      </c>
      <c r="B5615" s="6">
        <v>8.4915084915084899E-2</v>
      </c>
      <c r="C5615" s="6">
        <v>0.26525970032809598</v>
      </c>
    </row>
    <row r="5616" spans="1:3" s="8" customFormat="1" x14ac:dyDescent="0.2">
      <c r="A5616" s="6" t="str">
        <f>"MEGF6"</f>
        <v>MEGF6</v>
      </c>
      <c r="B5616" s="6">
        <v>8.4915084915084899E-2</v>
      </c>
      <c r="C5616" s="6">
        <v>0.26525970032809598</v>
      </c>
    </row>
    <row r="5617" spans="1:3" s="8" customFormat="1" x14ac:dyDescent="0.2">
      <c r="A5617" s="6" t="str">
        <f>"SSX2IP"</f>
        <v>SSX2IP</v>
      </c>
      <c r="B5617" s="6">
        <v>8.4915084915084899E-2</v>
      </c>
      <c r="C5617" s="6">
        <v>0.26525970032809598</v>
      </c>
    </row>
    <row r="5618" spans="1:3" s="8" customFormat="1" x14ac:dyDescent="0.2">
      <c r="A5618" s="6" t="str">
        <f>"ACTR6"</f>
        <v>ACTR6</v>
      </c>
      <c r="B5618" s="6">
        <v>8.4915084915084899E-2</v>
      </c>
      <c r="C5618" s="6">
        <v>0.26525970032809598</v>
      </c>
    </row>
    <row r="5619" spans="1:3" s="8" customFormat="1" x14ac:dyDescent="0.2">
      <c r="A5619" s="6" t="str">
        <f>"ZDHHC2"</f>
        <v>ZDHHC2</v>
      </c>
      <c r="B5619" s="6">
        <v>8.4915084915084899E-2</v>
      </c>
      <c r="C5619" s="6">
        <v>0.26525970032809598</v>
      </c>
    </row>
    <row r="5620" spans="1:3" s="8" customFormat="1" x14ac:dyDescent="0.2">
      <c r="A5620" s="6" t="str">
        <f>"WASH3P"</f>
        <v>WASH3P</v>
      </c>
      <c r="B5620" s="6">
        <v>8.4915084915084899E-2</v>
      </c>
      <c r="C5620" s="6">
        <v>0.26525970032809598</v>
      </c>
    </row>
    <row r="5621" spans="1:3" s="8" customFormat="1" x14ac:dyDescent="0.2">
      <c r="A5621" s="6" t="str">
        <f>"ATP7A"</f>
        <v>ATP7A</v>
      </c>
      <c r="B5621" s="6">
        <v>8.4915084915084899E-2</v>
      </c>
      <c r="C5621" s="6">
        <v>0.26525970032809598</v>
      </c>
    </row>
    <row r="5622" spans="1:3" s="8" customFormat="1" x14ac:dyDescent="0.2">
      <c r="A5622" s="6" t="str">
        <f>"TRAPPC2L"</f>
        <v>TRAPPC2L</v>
      </c>
      <c r="B5622" s="6">
        <v>8.4915084915084899E-2</v>
      </c>
      <c r="C5622" s="6">
        <v>0.26525970032809598</v>
      </c>
    </row>
    <row r="5623" spans="1:3" s="8" customFormat="1" x14ac:dyDescent="0.2">
      <c r="A5623" s="6" t="str">
        <f>"CCDC28A"</f>
        <v>CCDC28A</v>
      </c>
      <c r="B5623" s="6">
        <v>8.4915084915084899E-2</v>
      </c>
      <c r="C5623" s="6">
        <v>0.26525970032809598</v>
      </c>
    </row>
    <row r="5624" spans="1:3" s="8" customFormat="1" x14ac:dyDescent="0.2">
      <c r="A5624" s="6" t="str">
        <f>"VTCN1"</f>
        <v>VTCN1</v>
      </c>
      <c r="B5624" s="6">
        <v>8.4915084915084899E-2</v>
      </c>
      <c r="C5624" s="6">
        <v>0.26525970032809598</v>
      </c>
    </row>
    <row r="5625" spans="1:3" s="8" customFormat="1" x14ac:dyDescent="0.2">
      <c r="A5625" s="6" t="str">
        <f>"AAK1"</f>
        <v>AAK1</v>
      </c>
      <c r="B5625" s="6">
        <v>8.4915084915084899E-2</v>
      </c>
      <c r="C5625" s="6">
        <v>0.26525970032809598</v>
      </c>
    </row>
    <row r="5626" spans="1:3" s="8" customFormat="1" x14ac:dyDescent="0.2">
      <c r="A5626" s="6" t="str">
        <f>"RCOR1"</f>
        <v>RCOR1</v>
      </c>
      <c r="B5626" s="6">
        <v>8.4915084915084899E-2</v>
      </c>
      <c r="C5626" s="6">
        <v>0.26525970032809598</v>
      </c>
    </row>
    <row r="5627" spans="1:3" s="8" customFormat="1" x14ac:dyDescent="0.2">
      <c r="A5627" s="6" t="str">
        <f>"RAD50"</f>
        <v>RAD50</v>
      </c>
      <c r="B5627" s="6">
        <v>8.4915084915084899E-2</v>
      </c>
      <c r="C5627" s="6">
        <v>0.26525970032809598</v>
      </c>
    </row>
    <row r="5628" spans="1:3" s="8" customFormat="1" x14ac:dyDescent="0.2">
      <c r="A5628" s="6" t="str">
        <f>"CDC16"</f>
        <v>CDC16</v>
      </c>
      <c r="B5628" s="6">
        <v>8.4915084915084899E-2</v>
      </c>
      <c r="C5628" s="6">
        <v>0.26525970032809598</v>
      </c>
    </row>
    <row r="5629" spans="1:3" s="8" customFormat="1" x14ac:dyDescent="0.2">
      <c r="A5629" s="6" t="str">
        <f>"LRTOMT"</f>
        <v>LRTOMT</v>
      </c>
      <c r="B5629" s="6">
        <v>8.4915084915084899E-2</v>
      </c>
      <c r="C5629" s="6">
        <v>0.26525970032809598</v>
      </c>
    </row>
    <row r="5630" spans="1:3" s="8" customFormat="1" x14ac:dyDescent="0.2">
      <c r="A5630" s="6" t="str">
        <f>"ITPKC"</f>
        <v>ITPKC</v>
      </c>
      <c r="B5630" s="6">
        <v>8.4915084915084899E-2</v>
      </c>
      <c r="C5630" s="6">
        <v>0.26525970032809598</v>
      </c>
    </row>
    <row r="5631" spans="1:3" s="8" customFormat="1" x14ac:dyDescent="0.2">
      <c r="A5631" s="6" t="str">
        <f>"AC016999.1"</f>
        <v>AC016999.1</v>
      </c>
      <c r="B5631" s="6">
        <v>8.49947534102833E-2</v>
      </c>
      <c r="C5631" s="6">
        <v>0.26533641043848699</v>
      </c>
    </row>
    <row r="5632" spans="1:3" s="8" customFormat="1" x14ac:dyDescent="0.2">
      <c r="A5632" s="6" t="str">
        <f>"PLD6"</f>
        <v>PLD6</v>
      </c>
      <c r="B5632" s="6">
        <v>8.5000000000000006E-2</v>
      </c>
      <c r="C5632" s="6">
        <v>0.26533641043848699</v>
      </c>
    </row>
    <row r="5633" spans="1:3" s="8" customFormat="1" x14ac:dyDescent="0.2">
      <c r="A5633" s="6" t="str">
        <f>"CCL15-CCL14"</f>
        <v>CCL15-CCL14</v>
      </c>
      <c r="B5633" s="6">
        <v>8.5000000000000006E-2</v>
      </c>
      <c r="C5633" s="6">
        <v>0.26533641043848699</v>
      </c>
    </row>
    <row r="5634" spans="1:3" s="8" customFormat="1" x14ac:dyDescent="0.2">
      <c r="A5634" s="6" t="str">
        <f>"CYB561D2"</f>
        <v>CYB561D2</v>
      </c>
      <c r="B5634" s="6">
        <v>8.5000000000000006E-2</v>
      </c>
      <c r="C5634" s="6">
        <v>0.26533641043848699</v>
      </c>
    </row>
    <row r="5635" spans="1:3" s="8" customFormat="1" x14ac:dyDescent="0.2">
      <c r="A5635" s="6" t="str">
        <f>"CFL1P1"</f>
        <v>CFL1P1</v>
      </c>
      <c r="B5635" s="6">
        <v>8.5085085085084999E-2</v>
      </c>
      <c r="C5635" s="6">
        <v>0.265554869743723</v>
      </c>
    </row>
    <row r="5636" spans="1:3" s="8" customFormat="1" x14ac:dyDescent="0.2">
      <c r="A5636" s="6" t="str">
        <f>"AL121574.1"</f>
        <v>AL121574.1</v>
      </c>
      <c r="B5636" s="6">
        <v>8.5599194360523601E-2</v>
      </c>
      <c r="C5636" s="6">
        <v>0.266486732530126</v>
      </c>
    </row>
    <row r="5637" spans="1:3" s="8" customFormat="1" x14ac:dyDescent="0.2">
      <c r="A5637" s="6" t="str">
        <f>"AC097636.1"</f>
        <v>AC097636.1</v>
      </c>
      <c r="B5637" s="6">
        <v>8.5914085914085905E-2</v>
      </c>
      <c r="C5637" s="6">
        <v>0.266486732530126</v>
      </c>
    </row>
    <row r="5638" spans="1:3" s="8" customFormat="1" x14ac:dyDescent="0.2">
      <c r="A5638" s="6" t="str">
        <f>"AL355490.1"</f>
        <v>AL355490.1</v>
      </c>
      <c r="B5638" s="6">
        <v>8.5781433607520496E-2</v>
      </c>
      <c r="C5638" s="6">
        <v>0.266486732530126</v>
      </c>
    </row>
    <row r="5639" spans="1:3" s="8" customFormat="1" x14ac:dyDescent="0.2">
      <c r="A5639" s="6" t="str">
        <f>"AIDAP2"</f>
        <v>AIDAP2</v>
      </c>
      <c r="B5639" s="6">
        <v>8.5914085914085905E-2</v>
      </c>
      <c r="C5639" s="6">
        <v>0.266486732530126</v>
      </c>
    </row>
    <row r="5640" spans="1:3" s="8" customFormat="1" x14ac:dyDescent="0.2">
      <c r="A5640" s="6" t="str">
        <f>"GFRA3"</f>
        <v>GFRA3</v>
      </c>
      <c r="B5640" s="6">
        <v>8.5914085914085905E-2</v>
      </c>
      <c r="C5640" s="6">
        <v>0.266486732530126</v>
      </c>
    </row>
    <row r="5641" spans="1:3" s="8" customFormat="1" x14ac:dyDescent="0.2">
      <c r="A5641" s="6" t="str">
        <f>"ADCY10P1"</f>
        <v>ADCY10P1</v>
      </c>
      <c r="B5641" s="6">
        <v>8.5914085914085905E-2</v>
      </c>
      <c r="C5641" s="6">
        <v>0.266486732530126</v>
      </c>
    </row>
    <row r="5642" spans="1:3" s="8" customFormat="1" x14ac:dyDescent="0.2">
      <c r="A5642" s="6" t="str">
        <f>"IMPG2"</f>
        <v>IMPG2</v>
      </c>
      <c r="B5642" s="6">
        <v>8.5914085914085905E-2</v>
      </c>
      <c r="C5642" s="6">
        <v>0.266486732530126</v>
      </c>
    </row>
    <row r="5643" spans="1:3" s="8" customFormat="1" x14ac:dyDescent="0.2">
      <c r="A5643" s="6" t="str">
        <f>"FRMPD1"</f>
        <v>FRMPD1</v>
      </c>
      <c r="B5643" s="6">
        <v>8.5914085914085905E-2</v>
      </c>
      <c r="C5643" s="6">
        <v>0.266486732530126</v>
      </c>
    </row>
    <row r="5644" spans="1:3" s="8" customFormat="1" x14ac:dyDescent="0.2">
      <c r="A5644" s="6" t="str">
        <f>"AL158064.1"</f>
        <v>AL158064.1</v>
      </c>
      <c r="B5644" s="6">
        <v>8.5914085914085905E-2</v>
      </c>
      <c r="C5644" s="6">
        <v>0.266486732530126</v>
      </c>
    </row>
    <row r="5645" spans="1:3" s="8" customFormat="1" x14ac:dyDescent="0.2">
      <c r="A5645" s="6" t="str">
        <f>"MICU3"</f>
        <v>MICU3</v>
      </c>
      <c r="B5645" s="6">
        <v>8.5914085914085905E-2</v>
      </c>
      <c r="C5645" s="6">
        <v>0.266486732530126</v>
      </c>
    </row>
    <row r="5646" spans="1:3" s="8" customFormat="1" x14ac:dyDescent="0.2">
      <c r="A5646" s="6" t="str">
        <f>"CATSPER2P1"</f>
        <v>CATSPER2P1</v>
      </c>
      <c r="B5646" s="6">
        <v>8.5914085914085905E-2</v>
      </c>
      <c r="C5646" s="6">
        <v>0.266486732530126</v>
      </c>
    </row>
    <row r="5647" spans="1:3" s="8" customFormat="1" x14ac:dyDescent="0.2">
      <c r="A5647" s="6" t="str">
        <f>"FCGR2C"</f>
        <v>FCGR2C</v>
      </c>
      <c r="B5647" s="6">
        <v>8.5914085914085905E-2</v>
      </c>
      <c r="C5647" s="6">
        <v>0.266486732530126</v>
      </c>
    </row>
    <row r="5648" spans="1:3" s="8" customFormat="1" x14ac:dyDescent="0.2">
      <c r="A5648" s="6" t="str">
        <f>"DMGDH"</f>
        <v>DMGDH</v>
      </c>
      <c r="B5648" s="6">
        <v>8.5914085914085905E-2</v>
      </c>
      <c r="C5648" s="6">
        <v>0.266486732530126</v>
      </c>
    </row>
    <row r="5649" spans="1:3" s="8" customFormat="1" x14ac:dyDescent="0.2">
      <c r="A5649" s="6" t="str">
        <f>"AL358334.2"</f>
        <v>AL358334.2</v>
      </c>
      <c r="B5649" s="6">
        <v>8.5914085914085905E-2</v>
      </c>
      <c r="C5649" s="6">
        <v>0.266486732530126</v>
      </c>
    </row>
    <row r="5650" spans="1:3" s="8" customFormat="1" x14ac:dyDescent="0.2">
      <c r="A5650" s="6" t="str">
        <f>"AL606760.1"</f>
        <v>AL606760.1</v>
      </c>
      <c r="B5650" s="6">
        <v>8.5914085914085905E-2</v>
      </c>
      <c r="C5650" s="6">
        <v>0.266486732530126</v>
      </c>
    </row>
    <row r="5651" spans="1:3" s="8" customFormat="1" x14ac:dyDescent="0.2">
      <c r="A5651" s="6" t="str">
        <f>"IGHG3"</f>
        <v>IGHG3</v>
      </c>
      <c r="B5651" s="6">
        <v>8.5914085914085905E-2</v>
      </c>
      <c r="C5651" s="6">
        <v>0.266486732530126</v>
      </c>
    </row>
    <row r="5652" spans="1:3" s="8" customFormat="1" x14ac:dyDescent="0.2">
      <c r="A5652" s="6" t="str">
        <f>"RTN2"</f>
        <v>RTN2</v>
      </c>
      <c r="B5652" s="6">
        <v>8.5914085914085905E-2</v>
      </c>
      <c r="C5652" s="6">
        <v>0.266486732530126</v>
      </c>
    </row>
    <row r="5653" spans="1:3" s="8" customFormat="1" x14ac:dyDescent="0.2">
      <c r="A5653" s="6" t="str">
        <f>"AJAP1"</f>
        <v>AJAP1</v>
      </c>
      <c r="B5653" s="6">
        <v>8.5914085914085905E-2</v>
      </c>
      <c r="C5653" s="6">
        <v>0.266486732530126</v>
      </c>
    </row>
    <row r="5654" spans="1:3" s="8" customFormat="1" x14ac:dyDescent="0.2">
      <c r="A5654" s="6" t="str">
        <f>"CBWD3"</f>
        <v>CBWD3</v>
      </c>
      <c r="B5654" s="6">
        <v>8.5914085914085905E-2</v>
      </c>
      <c r="C5654" s="6">
        <v>0.266486732530126</v>
      </c>
    </row>
    <row r="5655" spans="1:3" s="8" customFormat="1" x14ac:dyDescent="0.2">
      <c r="A5655" s="6" t="str">
        <f>"PDXDC2P-NPIPB14P"</f>
        <v>PDXDC2P-NPIPB14P</v>
      </c>
      <c r="B5655" s="6">
        <v>8.5914085914085905E-2</v>
      </c>
      <c r="C5655" s="6">
        <v>0.266486732530126</v>
      </c>
    </row>
    <row r="5656" spans="1:3" s="8" customFormat="1" x14ac:dyDescent="0.2">
      <c r="A5656" s="6" t="str">
        <f>"AC241585.2"</f>
        <v>AC241585.2</v>
      </c>
      <c r="B5656" s="6">
        <v>8.5914085914085905E-2</v>
      </c>
      <c r="C5656" s="6">
        <v>0.266486732530126</v>
      </c>
    </row>
    <row r="5657" spans="1:3" s="8" customFormat="1" x14ac:dyDescent="0.2">
      <c r="A5657" s="6" t="str">
        <f>"ZNF76"</f>
        <v>ZNF76</v>
      </c>
      <c r="B5657" s="6">
        <v>8.5914085914085905E-2</v>
      </c>
      <c r="C5657" s="6">
        <v>0.266486732530126</v>
      </c>
    </row>
    <row r="5658" spans="1:3" s="8" customFormat="1" x14ac:dyDescent="0.2">
      <c r="A5658" s="6" t="str">
        <f>"SLC8B1"</f>
        <v>SLC8B1</v>
      </c>
      <c r="B5658" s="6">
        <v>8.5914085914085905E-2</v>
      </c>
      <c r="C5658" s="6">
        <v>0.266486732530126</v>
      </c>
    </row>
    <row r="5659" spans="1:3" s="8" customFormat="1" x14ac:dyDescent="0.2">
      <c r="A5659" s="6" t="str">
        <f>"SGMS1"</f>
        <v>SGMS1</v>
      </c>
      <c r="B5659" s="6">
        <v>8.5914085914085905E-2</v>
      </c>
      <c r="C5659" s="6">
        <v>0.266486732530126</v>
      </c>
    </row>
    <row r="5660" spans="1:3" s="8" customFormat="1" x14ac:dyDescent="0.2">
      <c r="A5660" s="6" t="str">
        <f>"PTPRH"</f>
        <v>PTPRH</v>
      </c>
      <c r="B5660" s="6">
        <v>8.5914085914085905E-2</v>
      </c>
      <c r="C5660" s="6">
        <v>0.266486732530126</v>
      </c>
    </row>
    <row r="5661" spans="1:3" s="8" customFormat="1" x14ac:dyDescent="0.2">
      <c r="A5661" s="6" t="str">
        <f>"ATG9B"</f>
        <v>ATG9B</v>
      </c>
      <c r="B5661" s="6">
        <v>8.5914085914085905E-2</v>
      </c>
      <c r="C5661" s="6">
        <v>0.266486732530126</v>
      </c>
    </row>
    <row r="5662" spans="1:3" s="8" customFormat="1" x14ac:dyDescent="0.2">
      <c r="A5662" s="6" t="str">
        <f>"RBM22"</f>
        <v>RBM22</v>
      </c>
      <c r="B5662" s="6">
        <v>8.5914085914085905E-2</v>
      </c>
      <c r="C5662" s="6">
        <v>0.266486732530126</v>
      </c>
    </row>
    <row r="5663" spans="1:3" s="8" customFormat="1" x14ac:dyDescent="0.2">
      <c r="A5663" s="6" t="str">
        <f>"UBE2E1"</f>
        <v>UBE2E1</v>
      </c>
      <c r="B5663" s="6">
        <v>8.5914085914085905E-2</v>
      </c>
      <c r="C5663" s="6">
        <v>0.266486732530126</v>
      </c>
    </row>
    <row r="5664" spans="1:3" s="8" customFormat="1" x14ac:dyDescent="0.2">
      <c r="A5664" s="6" t="str">
        <f>"KMT2A"</f>
        <v>KMT2A</v>
      </c>
      <c r="B5664" s="6">
        <v>8.5914085914085905E-2</v>
      </c>
      <c r="C5664" s="6">
        <v>0.266486732530126</v>
      </c>
    </row>
    <row r="5665" spans="1:3" s="8" customFormat="1" x14ac:dyDescent="0.2">
      <c r="A5665" s="6" t="str">
        <f>"MEPCE"</f>
        <v>MEPCE</v>
      </c>
      <c r="B5665" s="6">
        <v>8.5914085914085905E-2</v>
      </c>
      <c r="C5665" s="6">
        <v>0.266486732530126</v>
      </c>
    </row>
    <row r="5666" spans="1:3" s="8" customFormat="1" x14ac:dyDescent="0.2">
      <c r="A5666" s="6" t="str">
        <f>"PML"</f>
        <v>PML</v>
      </c>
      <c r="B5666" s="6">
        <v>8.5914085914085905E-2</v>
      </c>
      <c r="C5666" s="6">
        <v>0.266486732530126</v>
      </c>
    </row>
    <row r="5667" spans="1:3" s="8" customFormat="1" x14ac:dyDescent="0.2">
      <c r="A5667" s="6" t="str">
        <f>"TMEM45B"</f>
        <v>TMEM45B</v>
      </c>
      <c r="B5667" s="6">
        <v>8.5914085914085905E-2</v>
      </c>
      <c r="C5667" s="6">
        <v>0.266486732530126</v>
      </c>
    </row>
    <row r="5668" spans="1:3" s="8" customFormat="1" x14ac:dyDescent="0.2">
      <c r="A5668" s="6" t="str">
        <f>"SLC20A2"</f>
        <v>SLC20A2</v>
      </c>
      <c r="B5668" s="6">
        <v>8.5914085914085905E-2</v>
      </c>
      <c r="C5668" s="6">
        <v>0.266486732530126</v>
      </c>
    </row>
    <row r="5669" spans="1:3" s="8" customFormat="1" x14ac:dyDescent="0.2">
      <c r="A5669" s="6" t="str">
        <f>"TMEM231"</f>
        <v>TMEM231</v>
      </c>
      <c r="B5669" s="6">
        <v>8.5914085914085905E-2</v>
      </c>
      <c r="C5669" s="6">
        <v>0.266486732530126</v>
      </c>
    </row>
    <row r="5670" spans="1:3" s="8" customFormat="1" x14ac:dyDescent="0.2">
      <c r="A5670" s="6" t="str">
        <f>"CSTB"</f>
        <v>CSTB</v>
      </c>
      <c r="B5670" s="6">
        <v>8.5914085914085905E-2</v>
      </c>
      <c r="C5670" s="6">
        <v>0.266486732530126</v>
      </c>
    </row>
    <row r="5671" spans="1:3" s="8" customFormat="1" x14ac:dyDescent="0.2">
      <c r="A5671" s="6" t="str">
        <f>"USP48"</f>
        <v>USP48</v>
      </c>
      <c r="B5671" s="6">
        <v>8.5999999999999993E-2</v>
      </c>
      <c r="C5671" s="6">
        <v>0.26670617283950598</v>
      </c>
    </row>
    <row r="5672" spans="1:3" s="8" customFormat="1" x14ac:dyDescent="0.2">
      <c r="A5672" s="6" t="str">
        <f>"AL137127.1"</f>
        <v>AL137127.1</v>
      </c>
      <c r="B5672" s="6">
        <v>8.6086086086086006E-2</v>
      </c>
      <c r="C5672" s="6">
        <v>0.26692606907736499</v>
      </c>
    </row>
    <row r="5673" spans="1:3" s="8" customFormat="1" x14ac:dyDescent="0.2">
      <c r="A5673" s="6" t="str">
        <f>"UBQLNL"</f>
        <v>UBQLNL</v>
      </c>
      <c r="B5673" s="6">
        <v>8.6172344689378705E-2</v>
      </c>
      <c r="C5673" s="6">
        <v>0.26714642260543597</v>
      </c>
    </row>
    <row r="5674" spans="1:3" s="8" customFormat="1" x14ac:dyDescent="0.2">
      <c r="A5674" s="6" t="str">
        <f>"ARSI"</f>
        <v>ARSI</v>
      </c>
      <c r="B5674" s="6">
        <v>8.6913086913086898E-2</v>
      </c>
      <c r="C5674" s="6">
        <v>0.26793122725801499</v>
      </c>
    </row>
    <row r="5675" spans="1:3" s="8" customFormat="1" x14ac:dyDescent="0.2">
      <c r="A5675" s="6" t="str">
        <f>"AC023781.1"</f>
        <v>AC023781.1</v>
      </c>
      <c r="B5675" s="6">
        <v>8.6913086913086898E-2</v>
      </c>
      <c r="C5675" s="6">
        <v>0.26793122725801499</v>
      </c>
    </row>
    <row r="5676" spans="1:3" s="8" customFormat="1" x14ac:dyDescent="0.2">
      <c r="A5676" s="6" t="str">
        <f>"NAIPP1"</f>
        <v>NAIPP1</v>
      </c>
      <c r="B5676" s="6">
        <v>8.6913086913086898E-2</v>
      </c>
      <c r="C5676" s="6">
        <v>0.26793122725801499</v>
      </c>
    </row>
    <row r="5677" spans="1:3" s="8" customFormat="1" x14ac:dyDescent="0.2">
      <c r="A5677" s="6" t="str">
        <f>"ITFG2-AS1"</f>
        <v>ITFG2-AS1</v>
      </c>
      <c r="B5677" s="6">
        <v>8.6469989827060001E-2</v>
      </c>
      <c r="C5677" s="6">
        <v>0.26793122725801499</v>
      </c>
    </row>
    <row r="5678" spans="1:3" s="8" customFormat="1" x14ac:dyDescent="0.2">
      <c r="A5678" s="6" t="str">
        <f>"TPO"</f>
        <v>TPO</v>
      </c>
      <c r="B5678" s="6">
        <v>8.6913086913086898E-2</v>
      </c>
      <c r="C5678" s="6">
        <v>0.26793122725801499</v>
      </c>
    </row>
    <row r="5679" spans="1:3" s="8" customFormat="1" x14ac:dyDescent="0.2">
      <c r="A5679" s="6" t="str">
        <f>"AC010186.3"</f>
        <v>AC010186.3</v>
      </c>
      <c r="B5679" s="6">
        <v>8.6913086913086898E-2</v>
      </c>
      <c r="C5679" s="6">
        <v>0.26793122725801499</v>
      </c>
    </row>
    <row r="5680" spans="1:3" s="8" customFormat="1" x14ac:dyDescent="0.2">
      <c r="A5680" s="6" t="str">
        <f>"LIPE-AS1"</f>
        <v>LIPE-AS1</v>
      </c>
      <c r="B5680" s="6">
        <v>8.6913086913086898E-2</v>
      </c>
      <c r="C5680" s="6">
        <v>0.26793122725801499</v>
      </c>
    </row>
    <row r="5681" spans="1:3" s="8" customFormat="1" x14ac:dyDescent="0.2">
      <c r="A5681" s="6" t="str">
        <f>"XYLB"</f>
        <v>XYLB</v>
      </c>
      <c r="B5681" s="6">
        <v>8.6913086913086898E-2</v>
      </c>
      <c r="C5681" s="6">
        <v>0.26793122725801499</v>
      </c>
    </row>
    <row r="5682" spans="1:3" s="8" customFormat="1" x14ac:dyDescent="0.2">
      <c r="A5682" s="6" t="str">
        <f>"ZNF92"</f>
        <v>ZNF92</v>
      </c>
      <c r="B5682" s="6">
        <v>8.6913086913086898E-2</v>
      </c>
      <c r="C5682" s="6">
        <v>0.26793122725801499</v>
      </c>
    </row>
    <row r="5683" spans="1:3" s="8" customFormat="1" x14ac:dyDescent="0.2">
      <c r="A5683" s="6" t="str">
        <f>"ZNF702P"</f>
        <v>ZNF702P</v>
      </c>
      <c r="B5683" s="6">
        <v>8.6913086913086898E-2</v>
      </c>
      <c r="C5683" s="6">
        <v>0.26793122725801499</v>
      </c>
    </row>
    <row r="5684" spans="1:3" s="8" customFormat="1" x14ac:dyDescent="0.2">
      <c r="A5684" s="6" t="str">
        <f>"GPAM"</f>
        <v>GPAM</v>
      </c>
      <c r="B5684" s="6">
        <v>8.6913086913086898E-2</v>
      </c>
      <c r="C5684" s="6">
        <v>0.26793122725801499</v>
      </c>
    </row>
    <row r="5685" spans="1:3" s="8" customFormat="1" x14ac:dyDescent="0.2">
      <c r="A5685" s="6" t="str">
        <f>"PTRH2"</f>
        <v>PTRH2</v>
      </c>
      <c r="B5685" s="6">
        <v>8.6913086913086898E-2</v>
      </c>
      <c r="C5685" s="6">
        <v>0.26793122725801499</v>
      </c>
    </row>
    <row r="5686" spans="1:3" s="8" customFormat="1" x14ac:dyDescent="0.2">
      <c r="A5686" s="6" t="str">
        <f>"WDR86"</f>
        <v>WDR86</v>
      </c>
      <c r="B5686" s="6">
        <v>8.6913086913086898E-2</v>
      </c>
      <c r="C5686" s="6">
        <v>0.26793122725801499</v>
      </c>
    </row>
    <row r="5687" spans="1:3" s="8" customFormat="1" x14ac:dyDescent="0.2">
      <c r="A5687" s="6" t="str">
        <f>"RPAP1"</f>
        <v>RPAP1</v>
      </c>
      <c r="B5687" s="6">
        <v>8.6913086913086898E-2</v>
      </c>
      <c r="C5687" s="6">
        <v>0.26793122725801499</v>
      </c>
    </row>
    <row r="5688" spans="1:3" s="8" customFormat="1" x14ac:dyDescent="0.2">
      <c r="A5688" s="6" t="str">
        <f>"ZBED6CL"</f>
        <v>ZBED6CL</v>
      </c>
      <c r="B5688" s="6">
        <v>8.6913086913086898E-2</v>
      </c>
      <c r="C5688" s="6">
        <v>0.26793122725801499</v>
      </c>
    </row>
    <row r="5689" spans="1:3" s="8" customFormat="1" x14ac:dyDescent="0.2">
      <c r="A5689" s="6" t="str">
        <f>"RAP2A"</f>
        <v>RAP2A</v>
      </c>
      <c r="B5689" s="6">
        <v>8.6913086913086898E-2</v>
      </c>
      <c r="C5689" s="6">
        <v>0.26793122725801499</v>
      </c>
    </row>
    <row r="5690" spans="1:3" s="8" customFormat="1" x14ac:dyDescent="0.2">
      <c r="A5690" s="6" t="str">
        <f>"CDK14"</f>
        <v>CDK14</v>
      </c>
      <c r="B5690" s="6">
        <v>8.6913086913086898E-2</v>
      </c>
      <c r="C5690" s="6">
        <v>0.26793122725801499</v>
      </c>
    </row>
    <row r="5691" spans="1:3" s="8" customFormat="1" x14ac:dyDescent="0.2">
      <c r="A5691" s="6" t="str">
        <f>"STOX2"</f>
        <v>STOX2</v>
      </c>
      <c r="B5691" s="6">
        <v>8.6913086913086898E-2</v>
      </c>
      <c r="C5691" s="6">
        <v>0.26793122725801499</v>
      </c>
    </row>
    <row r="5692" spans="1:3" s="8" customFormat="1" x14ac:dyDescent="0.2">
      <c r="A5692" s="6" t="str">
        <f>"PAIP2B"</f>
        <v>PAIP2B</v>
      </c>
      <c r="B5692" s="6">
        <v>8.6913086913086898E-2</v>
      </c>
      <c r="C5692" s="6">
        <v>0.26793122725801499</v>
      </c>
    </row>
    <row r="5693" spans="1:3" s="8" customFormat="1" x14ac:dyDescent="0.2">
      <c r="A5693" s="6" t="str">
        <f>"WASH5P"</f>
        <v>WASH5P</v>
      </c>
      <c r="B5693" s="6">
        <v>8.6913086913086898E-2</v>
      </c>
      <c r="C5693" s="6">
        <v>0.26793122725801499</v>
      </c>
    </row>
    <row r="5694" spans="1:3" s="8" customFormat="1" x14ac:dyDescent="0.2">
      <c r="A5694" s="6" t="str">
        <f>"RNASEH1"</f>
        <v>RNASEH1</v>
      </c>
      <c r="B5694" s="6">
        <v>8.6913086913086898E-2</v>
      </c>
      <c r="C5694" s="6">
        <v>0.26793122725801499</v>
      </c>
    </row>
    <row r="5695" spans="1:3" s="8" customFormat="1" x14ac:dyDescent="0.2">
      <c r="A5695" s="6" t="str">
        <f>"NLRC5"</f>
        <v>NLRC5</v>
      </c>
      <c r="B5695" s="6">
        <v>8.6913086913086898E-2</v>
      </c>
      <c r="C5695" s="6">
        <v>0.26793122725801499</v>
      </c>
    </row>
    <row r="5696" spans="1:3" s="8" customFormat="1" x14ac:dyDescent="0.2">
      <c r="A5696" s="6" t="str">
        <f>"SZT2"</f>
        <v>SZT2</v>
      </c>
      <c r="B5696" s="6">
        <v>8.6913086913086898E-2</v>
      </c>
      <c r="C5696" s="6">
        <v>0.26793122725801499</v>
      </c>
    </row>
    <row r="5697" spans="1:3" s="8" customFormat="1" x14ac:dyDescent="0.2">
      <c r="A5697" s="6" t="str">
        <f>"CLN5"</f>
        <v>CLN5</v>
      </c>
      <c r="B5697" s="6">
        <v>8.6913086913086898E-2</v>
      </c>
      <c r="C5697" s="6">
        <v>0.26793122725801499</v>
      </c>
    </row>
    <row r="5698" spans="1:3" s="8" customFormat="1" x14ac:dyDescent="0.2">
      <c r="A5698" s="6" t="str">
        <f>"MGAT2"</f>
        <v>MGAT2</v>
      </c>
      <c r="B5698" s="6">
        <v>8.6913086913086898E-2</v>
      </c>
      <c r="C5698" s="6">
        <v>0.26793122725801499</v>
      </c>
    </row>
    <row r="5699" spans="1:3" s="8" customFormat="1" x14ac:dyDescent="0.2">
      <c r="A5699" s="6" t="str">
        <f>"SYTL3"</f>
        <v>SYTL3</v>
      </c>
      <c r="B5699" s="6">
        <v>8.6913086913086898E-2</v>
      </c>
      <c r="C5699" s="6">
        <v>0.26793122725801499</v>
      </c>
    </row>
    <row r="5700" spans="1:3" s="8" customFormat="1" x14ac:dyDescent="0.2">
      <c r="A5700" s="6" t="str">
        <f>"TLE1"</f>
        <v>TLE1</v>
      </c>
      <c r="B5700" s="6">
        <v>8.6913086913086898E-2</v>
      </c>
      <c r="C5700" s="6">
        <v>0.26793122725801499</v>
      </c>
    </row>
    <row r="5701" spans="1:3" s="8" customFormat="1" x14ac:dyDescent="0.2">
      <c r="A5701" s="6" t="str">
        <f>"TMEM250"</f>
        <v>TMEM250</v>
      </c>
      <c r="B5701" s="6">
        <v>8.6913086913086898E-2</v>
      </c>
      <c r="C5701" s="6">
        <v>0.26793122725801499</v>
      </c>
    </row>
    <row r="5702" spans="1:3" s="8" customFormat="1" x14ac:dyDescent="0.2">
      <c r="A5702" s="6" t="str">
        <f>"SLC35E1"</f>
        <v>SLC35E1</v>
      </c>
      <c r="B5702" s="6">
        <v>8.6913086913086898E-2</v>
      </c>
      <c r="C5702" s="6">
        <v>0.26793122725801499</v>
      </c>
    </row>
    <row r="5703" spans="1:3" s="8" customFormat="1" x14ac:dyDescent="0.2">
      <c r="A5703" s="6" t="str">
        <f>"KMT2D"</f>
        <v>KMT2D</v>
      </c>
      <c r="B5703" s="6">
        <v>8.6913086913086898E-2</v>
      </c>
      <c r="C5703" s="6">
        <v>0.26793122725801499</v>
      </c>
    </row>
    <row r="5704" spans="1:3" s="8" customFormat="1" x14ac:dyDescent="0.2">
      <c r="A5704" s="6" t="str">
        <f>"VPS37B"</f>
        <v>VPS37B</v>
      </c>
      <c r="B5704" s="6">
        <v>8.6913086913086898E-2</v>
      </c>
      <c r="C5704" s="6">
        <v>0.26793122725801499</v>
      </c>
    </row>
    <row r="5705" spans="1:3" s="8" customFormat="1" x14ac:dyDescent="0.2">
      <c r="A5705" s="6" t="str">
        <f>"CD59"</f>
        <v>CD59</v>
      </c>
      <c r="B5705" s="6">
        <v>8.6913086913086898E-2</v>
      </c>
      <c r="C5705" s="6">
        <v>0.26793122725801499</v>
      </c>
    </row>
    <row r="5706" spans="1:3" s="8" customFormat="1" x14ac:dyDescent="0.2">
      <c r="A5706" s="6" t="str">
        <f>"ARMC8"</f>
        <v>ARMC8</v>
      </c>
      <c r="B5706" s="6">
        <v>8.6999999999999994E-2</v>
      </c>
      <c r="C5706" s="6">
        <v>0.26801121233356601</v>
      </c>
    </row>
    <row r="5707" spans="1:3" s="8" customFormat="1" x14ac:dyDescent="0.2">
      <c r="A5707" s="6" t="str">
        <f>"METTL16"</f>
        <v>METTL16</v>
      </c>
      <c r="B5707" s="6">
        <v>8.6999999999999994E-2</v>
      </c>
      <c r="C5707" s="6">
        <v>0.26801121233356601</v>
      </c>
    </row>
    <row r="5708" spans="1:3" s="8" customFormat="1" x14ac:dyDescent="0.2">
      <c r="A5708" s="6" t="str">
        <f>"TTC29"</f>
        <v>TTC29</v>
      </c>
      <c r="B5708" s="6">
        <v>8.6999999999999994E-2</v>
      </c>
      <c r="C5708" s="6">
        <v>0.26801121233356601</v>
      </c>
    </row>
    <row r="5709" spans="1:3" s="8" customFormat="1" x14ac:dyDescent="0.2">
      <c r="A5709" s="6" t="str">
        <f>"RABL2B"</f>
        <v>RABL2B</v>
      </c>
      <c r="B5709" s="6">
        <v>8.6999999999999994E-2</v>
      </c>
      <c r="C5709" s="6">
        <v>0.26801121233356601</v>
      </c>
    </row>
    <row r="5710" spans="1:3" s="8" customFormat="1" x14ac:dyDescent="0.2">
      <c r="A5710" s="6" t="str">
        <f>"CERS3-AS1"</f>
        <v>CERS3-AS1</v>
      </c>
      <c r="B5710" s="6">
        <v>8.7912087912087905E-2</v>
      </c>
      <c r="C5710" s="6">
        <v>0.26926426647729501</v>
      </c>
    </row>
    <row r="5711" spans="1:3" s="8" customFormat="1" x14ac:dyDescent="0.2">
      <c r="A5711" s="6" t="str">
        <f>"FTH1P10"</f>
        <v>FTH1P10</v>
      </c>
      <c r="B5711" s="6">
        <v>8.7912087912087905E-2</v>
      </c>
      <c r="C5711" s="6">
        <v>0.26926426647729501</v>
      </c>
    </row>
    <row r="5712" spans="1:3" s="8" customFormat="1" x14ac:dyDescent="0.2">
      <c r="A5712" s="6" t="str">
        <f>"AC015911.7"</f>
        <v>AC015911.7</v>
      </c>
      <c r="B5712" s="6">
        <v>8.7912087912087905E-2</v>
      </c>
      <c r="C5712" s="6">
        <v>0.26926426647729501</v>
      </c>
    </row>
    <row r="5713" spans="1:3" s="8" customFormat="1" x14ac:dyDescent="0.2">
      <c r="A5713" s="6" t="str">
        <f>"AC021106.1"</f>
        <v>AC021106.1</v>
      </c>
      <c r="B5713" s="6">
        <v>8.7912087912087905E-2</v>
      </c>
      <c r="C5713" s="6">
        <v>0.26926426647729501</v>
      </c>
    </row>
    <row r="5714" spans="1:3" s="8" customFormat="1" x14ac:dyDescent="0.2">
      <c r="A5714" s="6" t="str">
        <f>"AC011287.1"</f>
        <v>AC011287.1</v>
      </c>
      <c r="B5714" s="6">
        <v>8.7912087912087905E-2</v>
      </c>
      <c r="C5714" s="6">
        <v>0.26926426647729501</v>
      </c>
    </row>
    <row r="5715" spans="1:3" s="8" customFormat="1" x14ac:dyDescent="0.2">
      <c r="A5715" s="6" t="str">
        <f>"AC116667.1"</f>
        <v>AC116667.1</v>
      </c>
      <c r="B5715" s="6">
        <v>8.7912087912087905E-2</v>
      </c>
      <c r="C5715" s="6">
        <v>0.26926426647729501</v>
      </c>
    </row>
    <row r="5716" spans="1:3" s="8" customFormat="1" x14ac:dyDescent="0.2">
      <c r="A5716" s="6" t="str">
        <f>"CCL17"</f>
        <v>CCL17</v>
      </c>
      <c r="B5716" s="6">
        <v>8.7912087912087905E-2</v>
      </c>
      <c r="C5716" s="6">
        <v>0.26926426647729501</v>
      </c>
    </row>
    <row r="5717" spans="1:3" s="8" customFormat="1" x14ac:dyDescent="0.2">
      <c r="A5717" s="6" t="str">
        <f>"FOXN3-AS1"</f>
        <v>FOXN3-AS1</v>
      </c>
      <c r="B5717" s="6">
        <v>8.7912087912087905E-2</v>
      </c>
      <c r="C5717" s="6">
        <v>0.26926426647729501</v>
      </c>
    </row>
    <row r="5718" spans="1:3" s="8" customFormat="1" x14ac:dyDescent="0.2">
      <c r="A5718" s="6" t="str">
        <f>"AL355312.3"</f>
        <v>AL355312.3</v>
      </c>
      <c r="B5718" s="6">
        <v>8.7912087912087905E-2</v>
      </c>
      <c r="C5718" s="6">
        <v>0.26926426647729501</v>
      </c>
    </row>
    <row r="5719" spans="1:3" s="8" customFormat="1" x14ac:dyDescent="0.2">
      <c r="A5719" s="6" t="str">
        <f>"CTAGE4"</f>
        <v>CTAGE4</v>
      </c>
      <c r="B5719" s="6">
        <v>8.7912087912087905E-2</v>
      </c>
      <c r="C5719" s="6">
        <v>0.26926426647729501</v>
      </c>
    </row>
    <row r="5720" spans="1:3" s="8" customFormat="1" x14ac:dyDescent="0.2">
      <c r="A5720" s="6" t="str">
        <f>"PDSS1"</f>
        <v>PDSS1</v>
      </c>
      <c r="B5720" s="6">
        <v>8.7912087912087905E-2</v>
      </c>
      <c r="C5720" s="6">
        <v>0.26926426647729501</v>
      </c>
    </row>
    <row r="5721" spans="1:3" s="8" customFormat="1" x14ac:dyDescent="0.2">
      <c r="A5721" s="6" t="str">
        <f>"ACOT4"</f>
        <v>ACOT4</v>
      </c>
      <c r="B5721" s="6">
        <v>8.7912087912087905E-2</v>
      </c>
      <c r="C5721" s="6">
        <v>0.26926426647729501</v>
      </c>
    </row>
    <row r="5722" spans="1:3" s="8" customFormat="1" x14ac:dyDescent="0.2">
      <c r="A5722" s="6" t="str">
        <f>"AC097382.3"</f>
        <v>AC097382.3</v>
      </c>
      <c r="B5722" s="6">
        <v>8.7912087912087905E-2</v>
      </c>
      <c r="C5722" s="6">
        <v>0.26926426647729501</v>
      </c>
    </row>
    <row r="5723" spans="1:3" s="8" customFormat="1" x14ac:dyDescent="0.2">
      <c r="A5723" s="6" t="str">
        <f>"LINC01513"</f>
        <v>LINC01513</v>
      </c>
      <c r="B5723" s="6">
        <v>8.7912087912087905E-2</v>
      </c>
      <c r="C5723" s="6">
        <v>0.26926426647729501</v>
      </c>
    </row>
    <row r="5724" spans="1:3" s="8" customFormat="1" x14ac:dyDescent="0.2">
      <c r="A5724" s="6" t="str">
        <f>"PPP1R9A"</f>
        <v>PPP1R9A</v>
      </c>
      <c r="B5724" s="6">
        <v>8.7912087912087905E-2</v>
      </c>
      <c r="C5724" s="6">
        <v>0.26926426647729501</v>
      </c>
    </row>
    <row r="5725" spans="1:3" s="8" customFormat="1" x14ac:dyDescent="0.2">
      <c r="A5725" s="6" t="str">
        <f>"AC026748.7"</f>
        <v>AC026748.7</v>
      </c>
      <c r="B5725" s="6">
        <v>8.7912087912087905E-2</v>
      </c>
      <c r="C5725" s="6">
        <v>0.26926426647729501</v>
      </c>
    </row>
    <row r="5726" spans="1:3" s="8" customFormat="1" x14ac:dyDescent="0.2">
      <c r="A5726" s="6" t="str">
        <f>"NPL"</f>
        <v>NPL</v>
      </c>
      <c r="B5726" s="6">
        <v>8.7912087912087905E-2</v>
      </c>
      <c r="C5726" s="6">
        <v>0.26926426647729501</v>
      </c>
    </row>
    <row r="5727" spans="1:3" s="8" customFormat="1" x14ac:dyDescent="0.2">
      <c r="A5727" s="6" t="str">
        <f>"TMEM25"</f>
        <v>TMEM25</v>
      </c>
      <c r="B5727" s="6">
        <v>8.7912087912087905E-2</v>
      </c>
      <c r="C5727" s="6">
        <v>0.26926426647729501</v>
      </c>
    </row>
    <row r="5728" spans="1:3" s="8" customFormat="1" x14ac:dyDescent="0.2">
      <c r="A5728" s="6" t="str">
        <f>"ZNF473"</f>
        <v>ZNF473</v>
      </c>
      <c r="B5728" s="6">
        <v>8.7912087912087905E-2</v>
      </c>
      <c r="C5728" s="6">
        <v>0.26926426647729501</v>
      </c>
    </row>
    <row r="5729" spans="1:3" s="8" customFormat="1" x14ac:dyDescent="0.2">
      <c r="A5729" s="6" t="str">
        <f>"TRPS1"</f>
        <v>TRPS1</v>
      </c>
      <c r="B5729" s="6">
        <v>8.7912087912087905E-2</v>
      </c>
      <c r="C5729" s="6">
        <v>0.26926426647729501</v>
      </c>
    </row>
    <row r="5730" spans="1:3" s="8" customFormat="1" x14ac:dyDescent="0.2">
      <c r="A5730" s="6" t="str">
        <f>"HEATR6"</f>
        <v>HEATR6</v>
      </c>
      <c r="B5730" s="6">
        <v>8.7912087912087905E-2</v>
      </c>
      <c r="C5730" s="6">
        <v>0.26926426647729501</v>
      </c>
    </row>
    <row r="5731" spans="1:3" s="8" customFormat="1" x14ac:dyDescent="0.2">
      <c r="A5731" s="6" t="str">
        <f>"ZNF511"</f>
        <v>ZNF511</v>
      </c>
      <c r="B5731" s="6">
        <v>8.7912087912087905E-2</v>
      </c>
      <c r="C5731" s="6">
        <v>0.26926426647729501</v>
      </c>
    </row>
    <row r="5732" spans="1:3" s="8" customFormat="1" x14ac:dyDescent="0.2">
      <c r="A5732" s="6" t="str">
        <f>"BPNT1"</f>
        <v>BPNT1</v>
      </c>
      <c r="B5732" s="6">
        <v>8.7912087912087905E-2</v>
      </c>
      <c r="C5732" s="6">
        <v>0.26926426647729501</v>
      </c>
    </row>
    <row r="5733" spans="1:3" s="8" customFormat="1" x14ac:dyDescent="0.2">
      <c r="A5733" s="6" t="str">
        <f>"MAP2K4"</f>
        <v>MAP2K4</v>
      </c>
      <c r="B5733" s="6">
        <v>8.7912087912087905E-2</v>
      </c>
      <c r="C5733" s="6">
        <v>0.26926426647729501</v>
      </c>
    </row>
    <row r="5734" spans="1:3" s="8" customFormat="1" x14ac:dyDescent="0.2">
      <c r="A5734" s="6" t="str">
        <f>"SURF2"</f>
        <v>SURF2</v>
      </c>
      <c r="B5734" s="6">
        <v>8.7912087912087905E-2</v>
      </c>
      <c r="C5734" s="6">
        <v>0.26926426647729501</v>
      </c>
    </row>
    <row r="5735" spans="1:3" s="8" customFormat="1" x14ac:dyDescent="0.2">
      <c r="A5735" s="6" t="str">
        <f>"TNK2"</f>
        <v>TNK2</v>
      </c>
      <c r="B5735" s="6">
        <v>8.7912087912087905E-2</v>
      </c>
      <c r="C5735" s="6">
        <v>0.26926426647729501</v>
      </c>
    </row>
    <row r="5736" spans="1:3" s="8" customFormat="1" x14ac:dyDescent="0.2">
      <c r="A5736" s="6" t="str">
        <f>"MNAT1"</f>
        <v>MNAT1</v>
      </c>
      <c r="B5736" s="6">
        <v>8.7912087912087905E-2</v>
      </c>
      <c r="C5736" s="6">
        <v>0.26926426647729501</v>
      </c>
    </row>
    <row r="5737" spans="1:3" s="8" customFormat="1" x14ac:dyDescent="0.2">
      <c r="A5737" s="6" t="str">
        <f>"KCNK5"</f>
        <v>KCNK5</v>
      </c>
      <c r="B5737" s="6">
        <v>8.7912087912087905E-2</v>
      </c>
      <c r="C5737" s="6">
        <v>0.26926426647729501</v>
      </c>
    </row>
    <row r="5738" spans="1:3" s="8" customFormat="1" x14ac:dyDescent="0.2">
      <c r="A5738" s="6" t="str">
        <f>"CLK3"</f>
        <v>CLK3</v>
      </c>
      <c r="B5738" s="6">
        <v>8.7912087912087905E-2</v>
      </c>
      <c r="C5738" s="6">
        <v>0.26926426647729501</v>
      </c>
    </row>
    <row r="5739" spans="1:3" s="8" customFormat="1" x14ac:dyDescent="0.2">
      <c r="A5739" s="6" t="str">
        <f>"TSPAN9"</f>
        <v>TSPAN9</v>
      </c>
      <c r="B5739" s="6">
        <v>8.7912087912087905E-2</v>
      </c>
      <c r="C5739" s="6">
        <v>0.26926426647729501</v>
      </c>
    </row>
    <row r="5740" spans="1:3" s="8" customFormat="1" x14ac:dyDescent="0.2">
      <c r="A5740" s="6" t="str">
        <f>"ST3GAL1"</f>
        <v>ST3GAL1</v>
      </c>
      <c r="B5740" s="6">
        <v>8.7912087912087905E-2</v>
      </c>
      <c r="C5740" s="6">
        <v>0.26926426647729501</v>
      </c>
    </row>
    <row r="5741" spans="1:3" s="8" customFormat="1" x14ac:dyDescent="0.2">
      <c r="A5741" s="6" t="str">
        <f>"SLC35A3"</f>
        <v>SLC35A3</v>
      </c>
      <c r="B5741" s="6">
        <v>8.7912087912087905E-2</v>
      </c>
      <c r="C5741" s="6">
        <v>0.26926426647729501</v>
      </c>
    </row>
    <row r="5742" spans="1:3" s="8" customFormat="1" x14ac:dyDescent="0.2">
      <c r="A5742" s="6" t="str">
        <f>"ARHGAP21"</f>
        <v>ARHGAP21</v>
      </c>
      <c r="B5742" s="6">
        <v>8.7912087912087905E-2</v>
      </c>
      <c r="C5742" s="6">
        <v>0.26926426647729501</v>
      </c>
    </row>
    <row r="5743" spans="1:3" s="8" customFormat="1" x14ac:dyDescent="0.2">
      <c r="A5743" s="6" t="str">
        <f>"SPATA6"</f>
        <v>SPATA6</v>
      </c>
      <c r="B5743" s="6">
        <v>8.7999999999999995E-2</v>
      </c>
      <c r="C5743" s="6">
        <v>0.26943966567995797</v>
      </c>
    </row>
    <row r="5744" spans="1:3" s="8" customFormat="1" x14ac:dyDescent="0.2">
      <c r="A5744" s="6" t="str">
        <f>"CEP126"</f>
        <v>CEP126</v>
      </c>
      <c r="B5744" s="6">
        <v>8.7999999999999995E-2</v>
      </c>
      <c r="C5744" s="6">
        <v>0.26943966567995797</v>
      </c>
    </row>
    <row r="5745" spans="1:3" s="8" customFormat="1" x14ac:dyDescent="0.2">
      <c r="A5745" s="6" t="str">
        <f>"SLCO4A1-AS1"</f>
        <v>SLCO4A1-AS1</v>
      </c>
      <c r="B5745" s="6">
        <v>8.8911088911088898E-2</v>
      </c>
      <c r="C5745" s="6">
        <v>0.27076768053560502</v>
      </c>
    </row>
    <row r="5746" spans="1:3" s="8" customFormat="1" x14ac:dyDescent="0.2">
      <c r="A5746" s="6" t="str">
        <f>"AC008747.1"</f>
        <v>AC008747.1</v>
      </c>
      <c r="B5746" s="6">
        <v>8.8911088911088898E-2</v>
      </c>
      <c r="C5746" s="6">
        <v>0.27076768053560502</v>
      </c>
    </row>
    <row r="5747" spans="1:3" s="8" customFormat="1" x14ac:dyDescent="0.2">
      <c r="A5747" s="6" t="str">
        <f>"ANKRD20A1"</f>
        <v>ANKRD20A1</v>
      </c>
      <c r="B5747" s="6">
        <v>8.8911088911088898E-2</v>
      </c>
      <c r="C5747" s="6">
        <v>0.27076768053560502</v>
      </c>
    </row>
    <row r="5748" spans="1:3" s="8" customFormat="1" x14ac:dyDescent="0.2">
      <c r="A5748" s="6" t="str">
        <f>"SNX18P7"</f>
        <v>SNX18P7</v>
      </c>
      <c r="B5748" s="6">
        <v>8.8911088911088898E-2</v>
      </c>
      <c r="C5748" s="6">
        <v>0.27076768053560502</v>
      </c>
    </row>
    <row r="5749" spans="1:3" s="8" customFormat="1" x14ac:dyDescent="0.2">
      <c r="A5749" s="6" t="str">
        <f>"PTPRQ"</f>
        <v>PTPRQ</v>
      </c>
      <c r="B5749" s="6">
        <v>8.8911088911088898E-2</v>
      </c>
      <c r="C5749" s="6">
        <v>0.27076768053560502</v>
      </c>
    </row>
    <row r="5750" spans="1:3" s="8" customFormat="1" x14ac:dyDescent="0.2">
      <c r="A5750" s="6" t="str">
        <f>"ARHGAP27P2"</f>
        <v>ARHGAP27P2</v>
      </c>
      <c r="B5750" s="6">
        <v>8.8911088911088898E-2</v>
      </c>
      <c r="C5750" s="6">
        <v>0.27076768053560502</v>
      </c>
    </row>
    <row r="5751" spans="1:3" s="8" customFormat="1" x14ac:dyDescent="0.2">
      <c r="A5751" s="6" t="str">
        <f>"AL390195.1"</f>
        <v>AL390195.1</v>
      </c>
      <c r="B5751" s="6">
        <v>8.8911088911088898E-2</v>
      </c>
      <c r="C5751" s="6">
        <v>0.27076768053560502</v>
      </c>
    </row>
    <row r="5752" spans="1:3" s="8" customFormat="1" x14ac:dyDescent="0.2">
      <c r="A5752" s="6" t="str">
        <f>"SCX"</f>
        <v>SCX</v>
      </c>
      <c r="B5752" s="6">
        <v>8.8911088911088898E-2</v>
      </c>
      <c r="C5752" s="6">
        <v>0.27076768053560502</v>
      </c>
    </row>
    <row r="5753" spans="1:3" s="8" customFormat="1" x14ac:dyDescent="0.2">
      <c r="A5753" s="6" t="str">
        <f>"KYAT1"</f>
        <v>KYAT1</v>
      </c>
      <c r="B5753" s="6">
        <v>8.8911088911088898E-2</v>
      </c>
      <c r="C5753" s="6">
        <v>0.27076768053560502</v>
      </c>
    </row>
    <row r="5754" spans="1:3" s="8" customFormat="1" x14ac:dyDescent="0.2">
      <c r="A5754" s="6" t="str">
        <f>"ATXN7L2"</f>
        <v>ATXN7L2</v>
      </c>
      <c r="B5754" s="6">
        <v>8.8911088911088898E-2</v>
      </c>
      <c r="C5754" s="6">
        <v>0.27076768053560502</v>
      </c>
    </row>
    <row r="5755" spans="1:3" s="8" customFormat="1" x14ac:dyDescent="0.2">
      <c r="A5755" s="6" t="str">
        <f>"AGBL4"</f>
        <v>AGBL4</v>
      </c>
      <c r="B5755" s="6">
        <v>8.8911088911088898E-2</v>
      </c>
      <c r="C5755" s="6">
        <v>0.27076768053560502</v>
      </c>
    </row>
    <row r="5756" spans="1:3" s="8" customFormat="1" x14ac:dyDescent="0.2">
      <c r="A5756" s="6" t="str">
        <f>"PHC1P1"</f>
        <v>PHC1P1</v>
      </c>
      <c r="B5756" s="6">
        <v>8.8911088911088898E-2</v>
      </c>
      <c r="C5756" s="6">
        <v>0.27076768053560502</v>
      </c>
    </row>
    <row r="5757" spans="1:3" s="8" customFormat="1" x14ac:dyDescent="0.2">
      <c r="A5757" s="6" t="str">
        <f>"LIN37"</f>
        <v>LIN37</v>
      </c>
      <c r="B5757" s="6">
        <v>8.8911088911088898E-2</v>
      </c>
      <c r="C5757" s="6">
        <v>0.27076768053560502</v>
      </c>
    </row>
    <row r="5758" spans="1:3" s="8" customFormat="1" x14ac:dyDescent="0.2">
      <c r="A5758" s="6" t="str">
        <f>"TRMT13"</f>
        <v>TRMT13</v>
      </c>
      <c r="B5758" s="6">
        <v>8.8911088911088898E-2</v>
      </c>
      <c r="C5758" s="6">
        <v>0.27076768053560502</v>
      </c>
    </row>
    <row r="5759" spans="1:3" s="8" customFormat="1" x14ac:dyDescent="0.2">
      <c r="A5759" s="6" t="str">
        <f>"NHEJ1"</f>
        <v>NHEJ1</v>
      </c>
      <c r="B5759" s="6">
        <v>8.8911088911088898E-2</v>
      </c>
      <c r="C5759" s="6">
        <v>0.27076768053560502</v>
      </c>
    </row>
    <row r="5760" spans="1:3" s="8" customFormat="1" x14ac:dyDescent="0.2">
      <c r="A5760" s="6" t="str">
        <f>"FAM126A"</f>
        <v>FAM126A</v>
      </c>
      <c r="B5760" s="6">
        <v>8.8911088911088898E-2</v>
      </c>
      <c r="C5760" s="6">
        <v>0.27076768053560502</v>
      </c>
    </row>
    <row r="5761" spans="1:3" s="8" customFormat="1" x14ac:dyDescent="0.2">
      <c r="A5761" s="6" t="str">
        <f>"AC006230.1"</f>
        <v>AC006230.1</v>
      </c>
      <c r="B5761" s="6">
        <v>8.8911088911088898E-2</v>
      </c>
      <c r="C5761" s="6">
        <v>0.27076768053560502</v>
      </c>
    </row>
    <row r="5762" spans="1:3" s="8" customFormat="1" x14ac:dyDescent="0.2">
      <c r="A5762" s="6" t="str">
        <f>"HERC5"</f>
        <v>HERC5</v>
      </c>
      <c r="B5762" s="6">
        <v>8.8911088911088898E-2</v>
      </c>
      <c r="C5762" s="6">
        <v>0.27076768053560502</v>
      </c>
    </row>
    <row r="5763" spans="1:3" s="8" customFormat="1" x14ac:dyDescent="0.2">
      <c r="A5763" s="6" t="str">
        <f>"APBA3"</f>
        <v>APBA3</v>
      </c>
      <c r="B5763" s="6">
        <v>8.8911088911088898E-2</v>
      </c>
      <c r="C5763" s="6">
        <v>0.27076768053560502</v>
      </c>
    </row>
    <row r="5764" spans="1:3" s="8" customFormat="1" x14ac:dyDescent="0.2">
      <c r="A5764" s="6" t="str">
        <f>"AKIP1"</f>
        <v>AKIP1</v>
      </c>
      <c r="B5764" s="6">
        <v>8.8911088911088898E-2</v>
      </c>
      <c r="C5764" s="6">
        <v>0.27076768053560502</v>
      </c>
    </row>
    <row r="5765" spans="1:3" s="8" customFormat="1" x14ac:dyDescent="0.2">
      <c r="A5765" s="6" t="str">
        <f>"HSPA14"</f>
        <v>HSPA14</v>
      </c>
      <c r="B5765" s="6">
        <v>8.8911088911088898E-2</v>
      </c>
      <c r="C5765" s="6">
        <v>0.27076768053560502</v>
      </c>
    </row>
    <row r="5766" spans="1:3" s="8" customFormat="1" x14ac:dyDescent="0.2">
      <c r="A5766" s="6" t="str">
        <f>"LACTB2"</f>
        <v>LACTB2</v>
      </c>
      <c r="B5766" s="6">
        <v>8.8911088911088898E-2</v>
      </c>
      <c r="C5766" s="6">
        <v>0.27076768053560502</v>
      </c>
    </row>
    <row r="5767" spans="1:3" s="8" customFormat="1" x14ac:dyDescent="0.2">
      <c r="A5767" s="6" t="str">
        <f>"TFAP2A"</f>
        <v>TFAP2A</v>
      </c>
      <c r="B5767" s="6">
        <v>8.8911088911088898E-2</v>
      </c>
      <c r="C5767" s="6">
        <v>0.27076768053560502</v>
      </c>
    </row>
    <row r="5768" spans="1:3" s="8" customFormat="1" x14ac:dyDescent="0.2">
      <c r="A5768" s="6" t="str">
        <f>"BORCS7"</f>
        <v>BORCS7</v>
      </c>
      <c r="B5768" s="6">
        <v>8.8911088911088898E-2</v>
      </c>
      <c r="C5768" s="6">
        <v>0.27076768053560502</v>
      </c>
    </row>
    <row r="5769" spans="1:3" s="8" customFormat="1" x14ac:dyDescent="0.2">
      <c r="A5769" s="6" t="str">
        <f>"PLA2R1"</f>
        <v>PLA2R1</v>
      </c>
      <c r="B5769" s="6">
        <v>8.8911088911088898E-2</v>
      </c>
      <c r="C5769" s="6">
        <v>0.27076768053560502</v>
      </c>
    </row>
    <row r="5770" spans="1:3" s="8" customFormat="1" x14ac:dyDescent="0.2">
      <c r="A5770" s="6" t="str">
        <f>"KIF6"</f>
        <v>KIF6</v>
      </c>
      <c r="B5770" s="6">
        <v>8.8911088911088898E-2</v>
      </c>
      <c r="C5770" s="6">
        <v>0.27076768053560502</v>
      </c>
    </row>
    <row r="5771" spans="1:3" s="8" customFormat="1" x14ac:dyDescent="0.2">
      <c r="A5771" s="6" t="str">
        <f>"NTS"</f>
        <v>NTS</v>
      </c>
      <c r="B5771" s="6">
        <v>8.8911088911088898E-2</v>
      </c>
      <c r="C5771" s="6">
        <v>0.27076768053560502</v>
      </c>
    </row>
    <row r="5772" spans="1:3" s="8" customFormat="1" x14ac:dyDescent="0.2">
      <c r="A5772" s="6" t="str">
        <f>"UQCRFS1"</f>
        <v>UQCRFS1</v>
      </c>
      <c r="B5772" s="6">
        <v>8.8911088911088898E-2</v>
      </c>
      <c r="C5772" s="6">
        <v>0.27076768053560502</v>
      </c>
    </row>
    <row r="5773" spans="1:3" s="8" customFormat="1" x14ac:dyDescent="0.2">
      <c r="A5773" s="6" t="str">
        <f>"CCAR1"</f>
        <v>CCAR1</v>
      </c>
      <c r="B5773" s="6">
        <v>8.8911088911088898E-2</v>
      </c>
      <c r="C5773" s="6">
        <v>0.27076768053560502</v>
      </c>
    </row>
    <row r="5774" spans="1:3" s="8" customFormat="1" x14ac:dyDescent="0.2">
      <c r="A5774" s="6" t="str">
        <f>"MAN1B1"</f>
        <v>MAN1B1</v>
      </c>
      <c r="B5774" s="6">
        <v>8.8911088911088898E-2</v>
      </c>
      <c r="C5774" s="6">
        <v>0.27076768053560502</v>
      </c>
    </row>
    <row r="5775" spans="1:3" s="8" customFormat="1" x14ac:dyDescent="0.2">
      <c r="A5775" s="6" t="str">
        <f>"ADD3"</f>
        <v>ADD3</v>
      </c>
      <c r="B5775" s="6">
        <v>8.8911088911088898E-2</v>
      </c>
      <c r="C5775" s="6">
        <v>0.27076768053560502</v>
      </c>
    </row>
    <row r="5776" spans="1:3" s="8" customFormat="1" x14ac:dyDescent="0.2">
      <c r="A5776" s="6" t="str">
        <f>"AF287957.1"</f>
        <v>AF287957.1</v>
      </c>
      <c r="B5776" s="6">
        <v>8.8999999999999996E-2</v>
      </c>
      <c r="C5776" s="6">
        <v>0.27094459833794998</v>
      </c>
    </row>
    <row r="5777" spans="1:3" s="8" customFormat="1" x14ac:dyDescent="0.2">
      <c r="A5777" s="6" t="str">
        <f>"AC104459.1"</f>
        <v>AC104459.1</v>
      </c>
      <c r="B5777" s="6">
        <v>8.8999999999999996E-2</v>
      </c>
      <c r="C5777" s="6">
        <v>0.27094459833794998</v>
      </c>
    </row>
    <row r="5778" spans="1:3" s="8" customFormat="1" x14ac:dyDescent="0.2">
      <c r="A5778" s="6" t="str">
        <f>"NALT1"</f>
        <v>NALT1</v>
      </c>
      <c r="B5778" s="6">
        <v>8.9178356713426804E-2</v>
      </c>
      <c r="C5778" s="6">
        <v>0.27144057892485601</v>
      </c>
    </row>
    <row r="5779" spans="1:3" s="8" customFormat="1" x14ac:dyDescent="0.2">
      <c r="A5779" s="6" t="str">
        <f>"AC103810.2"</f>
        <v>AC103810.2</v>
      </c>
      <c r="B5779" s="6">
        <v>8.9211618257261399E-2</v>
      </c>
      <c r="C5779" s="6">
        <v>0.27149482440908301</v>
      </c>
    </row>
    <row r="5780" spans="1:3" s="8" customFormat="1" x14ac:dyDescent="0.2">
      <c r="A5780" s="6" t="str">
        <f>"KIAA1614-AS1"</f>
        <v>KIAA1614-AS1</v>
      </c>
      <c r="B5780" s="6">
        <v>8.9267803410230606E-2</v>
      </c>
      <c r="C5780" s="6">
        <v>0.27161880172443198</v>
      </c>
    </row>
    <row r="5781" spans="1:3" s="8" customFormat="1" x14ac:dyDescent="0.2">
      <c r="A5781" s="6" t="str">
        <f>"TDRD6"</f>
        <v>TDRD6</v>
      </c>
      <c r="B5781" s="6">
        <v>8.9910089910089905E-2</v>
      </c>
      <c r="C5781" s="6">
        <v>0.27253560092725698</v>
      </c>
    </row>
    <row r="5782" spans="1:3" s="8" customFormat="1" x14ac:dyDescent="0.2">
      <c r="A5782" s="6" t="str">
        <f>"LINC02580"</f>
        <v>LINC02580</v>
      </c>
      <c r="B5782" s="6">
        <v>8.9910089910089905E-2</v>
      </c>
      <c r="C5782" s="6">
        <v>0.27253560092725698</v>
      </c>
    </row>
    <row r="5783" spans="1:3" s="8" customFormat="1" x14ac:dyDescent="0.2">
      <c r="A5783" s="6" t="str">
        <f>"LINC01324"</f>
        <v>LINC01324</v>
      </c>
      <c r="B5783" s="6">
        <v>8.9910089910089905E-2</v>
      </c>
      <c r="C5783" s="6">
        <v>0.27253560092725698</v>
      </c>
    </row>
    <row r="5784" spans="1:3" s="8" customFormat="1" x14ac:dyDescent="0.2">
      <c r="A5784" s="6" t="str">
        <f>"TOX2"</f>
        <v>TOX2</v>
      </c>
      <c r="B5784" s="6">
        <v>8.9910089910089905E-2</v>
      </c>
      <c r="C5784" s="6">
        <v>0.27253560092725698</v>
      </c>
    </row>
    <row r="5785" spans="1:3" s="8" customFormat="1" x14ac:dyDescent="0.2">
      <c r="A5785" s="6" t="str">
        <f>"AC005695.1"</f>
        <v>AC005695.1</v>
      </c>
      <c r="B5785" s="6">
        <v>8.9910089910089905E-2</v>
      </c>
      <c r="C5785" s="6">
        <v>0.27253560092725698</v>
      </c>
    </row>
    <row r="5786" spans="1:3" s="8" customFormat="1" x14ac:dyDescent="0.2">
      <c r="A5786" s="6" t="str">
        <f>"LY6G5B"</f>
        <v>LY6G5B</v>
      </c>
      <c r="B5786" s="6">
        <v>8.9910089910089905E-2</v>
      </c>
      <c r="C5786" s="6">
        <v>0.27253560092725698</v>
      </c>
    </row>
    <row r="5787" spans="1:3" s="8" customFormat="1" x14ac:dyDescent="0.2">
      <c r="A5787" s="6" t="str">
        <f>"AP003307.1"</f>
        <v>AP003307.1</v>
      </c>
      <c r="B5787" s="6">
        <v>8.9910089910089905E-2</v>
      </c>
      <c r="C5787" s="6">
        <v>0.27253560092725698</v>
      </c>
    </row>
    <row r="5788" spans="1:3" s="8" customFormat="1" x14ac:dyDescent="0.2">
      <c r="A5788" s="6" t="str">
        <f>"AC133552.5"</f>
        <v>AC133552.5</v>
      </c>
      <c r="B5788" s="6">
        <v>8.9910089910089905E-2</v>
      </c>
      <c r="C5788" s="6">
        <v>0.27253560092725698</v>
      </c>
    </row>
    <row r="5789" spans="1:3" s="8" customFormat="1" x14ac:dyDescent="0.2">
      <c r="A5789" s="6" t="str">
        <f>"ZBED3-AS1"</f>
        <v>ZBED3-AS1</v>
      </c>
      <c r="B5789" s="6">
        <v>8.9910089910089905E-2</v>
      </c>
      <c r="C5789" s="6">
        <v>0.27253560092725698</v>
      </c>
    </row>
    <row r="5790" spans="1:3" s="8" customFormat="1" x14ac:dyDescent="0.2">
      <c r="A5790" s="6" t="str">
        <f>"CCDC162P"</f>
        <v>CCDC162P</v>
      </c>
      <c r="B5790" s="6">
        <v>8.9910089910089905E-2</v>
      </c>
      <c r="C5790" s="6">
        <v>0.27253560092725698</v>
      </c>
    </row>
    <row r="5791" spans="1:3" s="8" customFormat="1" x14ac:dyDescent="0.2">
      <c r="A5791" s="6" t="str">
        <f>"C12orf66"</f>
        <v>C12orf66</v>
      </c>
      <c r="B5791" s="6">
        <v>8.9910089910089905E-2</v>
      </c>
      <c r="C5791" s="6">
        <v>0.27253560092725698</v>
      </c>
    </row>
    <row r="5792" spans="1:3" s="8" customFormat="1" x14ac:dyDescent="0.2">
      <c r="A5792" s="6" t="str">
        <f>"DYRK4"</f>
        <v>DYRK4</v>
      </c>
      <c r="B5792" s="6">
        <v>8.9910089910089905E-2</v>
      </c>
      <c r="C5792" s="6">
        <v>0.27253560092725698</v>
      </c>
    </row>
    <row r="5793" spans="1:3" s="8" customFormat="1" x14ac:dyDescent="0.2">
      <c r="A5793" s="6" t="str">
        <f>"SMIM30"</f>
        <v>SMIM30</v>
      </c>
      <c r="B5793" s="6">
        <v>8.9910089910089905E-2</v>
      </c>
      <c r="C5793" s="6">
        <v>0.27253560092725698</v>
      </c>
    </row>
    <row r="5794" spans="1:3" s="8" customFormat="1" x14ac:dyDescent="0.2">
      <c r="A5794" s="6" t="str">
        <f>"SNX21"</f>
        <v>SNX21</v>
      </c>
      <c r="B5794" s="6">
        <v>8.9910089910089905E-2</v>
      </c>
      <c r="C5794" s="6">
        <v>0.27253560092725698</v>
      </c>
    </row>
    <row r="5795" spans="1:3" s="8" customFormat="1" x14ac:dyDescent="0.2">
      <c r="A5795" s="6" t="str">
        <f>"ZNF213"</f>
        <v>ZNF213</v>
      </c>
      <c r="B5795" s="6">
        <v>8.9910089910089905E-2</v>
      </c>
      <c r="C5795" s="6">
        <v>0.27253560092725698</v>
      </c>
    </row>
    <row r="5796" spans="1:3" s="8" customFormat="1" x14ac:dyDescent="0.2">
      <c r="A5796" s="6" t="str">
        <f>"TSPAN19"</f>
        <v>TSPAN19</v>
      </c>
      <c r="B5796" s="6">
        <v>8.9910089910089905E-2</v>
      </c>
      <c r="C5796" s="6">
        <v>0.27253560092725698</v>
      </c>
    </row>
    <row r="5797" spans="1:3" s="8" customFormat="1" x14ac:dyDescent="0.2">
      <c r="A5797" s="6" t="str">
        <f>"MIEF1"</f>
        <v>MIEF1</v>
      </c>
      <c r="B5797" s="6">
        <v>8.9910089910089905E-2</v>
      </c>
      <c r="C5797" s="6">
        <v>0.27253560092725698</v>
      </c>
    </row>
    <row r="5798" spans="1:3" s="8" customFormat="1" x14ac:dyDescent="0.2">
      <c r="A5798" s="6" t="str">
        <f>"FAM219B"</f>
        <v>FAM219B</v>
      </c>
      <c r="B5798" s="6">
        <v>8.9910089910089905E-2</v>
      </c>
      <c r="C5798" s="6">
        <v>0.27253560092725698</v>
      </c>
    </row>
    <row r="5799" spans="1:3" s="8" customFormat="1" x14ac:dyDescent="0.2">
      <c r="A5799" s="6" t="str">
        <f>"FAM53B"</f>
        <v>FAM53B</v>
      </c>
      <c r="B5799" s="6">
        <v>8.9910089910089905E-2</v>
      </c>
      <c r="C5799" s="6">
        <v>0.27253560092725698</v>
      </c>
    </row>
    <row r="5800" spans="1:3" s="8" customFormat="1" x14ac:dyDescent="0.2">
      <c r="A5800" s="6" t="str">
        <f>"ILRUN"</f>
        <v>ILRUN</v>
      </c>
      <c r="B5800" s="6">
        <v>8.9910089910089905E-2</v>
      </c>
      <c r="C5800" s="6">
        <v>0.27253560092725698</v>
      </c>
    </row>
    <row r="5801" spans="1:3" s="8" customFormat="1" x14ac:dyDescent="0.2">
      <c r="A5801" s="6" t="str">
        <f>"CLDN4"</f>
        <v>CLDN4</v>
      </c>
      <c r="B5801" s="6">
        <v>8.9910089910089905E-2</v>
      </c>
      <c r="C5801" s="6">
        <v>0.27253560092725698</v>
      </c>
    </row>
    <row r="5802" spans="1:3" s="8" customFormat="1" x14ac:dyDescent="0.2">
      <c r="A5802" s="6" t="str">
        <f>"ANXA1"</f>
        <v>ANXA1</v>
      </c>
      <c r="B5802" s="6">
        <v>8.9910089910089905E-2</v>
      </c>
      <c r="C5802" s="6">
        <v>0.27253560092725698</v>
      </c>
    </row>
    <row r="5803" spans="1:3" s="8" customFormat="1" x14ac:dyDescent="0.2">
      <c r="A5803" s="6" t="str">
        <f>"PIK3IP1-DT"</f>
        <v>PIK3IP1-DT</v>
      </c>
      <c r="B5803" s="6">
        <v>0.09</v>
      </c>
      <c r="C5803" s="6">
        <v>0.27271411338962598</v>
      </c>
    </row>
    <row r="5804" spans="1:3" s="8" customFormat="1" x14ac:dyDescent="0.2">
      <c r="A5804" s="6" t="str">
        <f>"TLN2"</f>
        <v>TLN2</v>
      </c>
      <c r="B5804" s="6">
        <v>0.09</v>
      </c>
      <c r="C5804" s="6">
        <v>0.27271411338962598</v>
      </c>
    </row>
    <row r="5805" spans="1:3" s="8" customFormat="1" x14ac:dyDescent="0.2">
      <c r="A5805" s="6" t="str">
        <f>"RASSF1-AS1"</f>
        <v>RASSF1-AS1</v>
      </c>
      <c r="B5805" s="6">
        <v>9.0180360721442795E-2</v>
      </c>
      <c r="C5805" s="6">
        <v>0.27316648801478899</v>
      </c>
    </row>
    <row r="5806" spans="1:3" s="8" customFormat="1" x14ac:dyDescent="0.2">
      <c r="A5806" s="6" t="str">
        <f>"AL591848.2"</f>
        <v>AL591848.2</v>
      </c>
      <c r="B5806" s="6">
        <v>9.0180360721442795E-2</v>
      </c>
      <c r="C5806" s="6">
        <v>0.27316648801478899</v>
      </c>
    </row>
    <row r="5807" spans="1:3" s="8" customFormat="1" x14ac:dyDescent="0.2">
      <c r="A5807" s="6" t="str">
        <f>"AC019322.3"</f>
        <v>AC019322.3</v>
      </c>
      <c r="B5807" s="6">
        <v>9.0909090909090898E-2</v>
      </c>
      <c r="C5807" s="6">
        <v>0.27372353673723498</v>
      </c>
    </row>
    <row r="5808" spans="1:3" s="8" customFormat="1" x14ac:dyDescent="0.2">
      <c r="A5808" s="6" t="str">
        <f>"AC010280.1"</f>
        <v>AC010280.1</v>
      </c>
      <c r="B5808" s="6">
        <v>9.0909090909090898E-2</v>
      </c>
      <c r="C5808" s="6">
        <v>0.27372353673723498</v>
      </c>
    </row>
    <row r="5809" spans="1:3" s="8" customFormat="1" x14ac:dyDescent="0.2">
      <c r="A5809" s="6" t="str">
        <f>"OR7E29P"</f>
        <v>OR7E29P</v>
      </c>
      <c r="B5809" s="6">
        <v>9.0909090909090898E-2</v>
      </c>
      <c r="C5809" s="6">
        <v>0.27372353673723498</v>
      </c>
    </row>
    <row r="5810" spans="1:3" s="8" customFormat="1" x14ac:dyDescent="0.2">
      <c r="A5810" s="6" t="str">
        <f>"AL049757.1"</f>
        <v>AL049757.1</v>
      </c>
      <c r="B5810" s="6">
        <v>9.0909090909090898E-2</v>
      </c>
      <c r="C5810" s="6">
        <v>0.27372353673723498</v>
      </c>
    </row>
    <row r="5811" spans="1:3" s="8" customFormat="1" x14ac:dyDescent="0.2">
      <c r="A5811" s="6" t="str">
        <f>"CRB1"</f>
        <v>CRB1</v>
      </c>
      <c r="B5811" s="6">
        <v>9.0909090909090898E-2</v>
      </c>
      <c r="C5811" s="6">
        <v>0.27372353673723498</v>
      </c>
    </row>
    <row r="5812" spans="1:3" s="8" customFormat="1" x14ac:dyDescent="0.2">
      <c r="A5812" s="6" t="str">
        <f>"CCDC28A-AS1"</f>
        <v>CCDC28A-AS1</v>
      </c>
      <c r="B5812" s="6">
        <v>9.0909090909090898E-2</v>
      </c>
      <c r="C5812" s="6">
        <v>0.27372353673723498</v>
      </c>
    </row>
    <row r="5813" spans="1:3" s="8" customFormat="1" x14ac:dyDescent="0.2">
      <c r="A5813" s="6" t="str">
        <f>"AC010980.1"</f>
        <v>AC010980.1</v>
      </c>
      <c r="B5813" s="6">
        <v>9.0909090909090898E-2</v>
      </c>
      <c r="C5813" s="6">
        <v>0.27372353673723498</v>
      </c>
    </row>
    <row r="5814" spans="1:3" s="8" customFormat="1" x14ac:dyDescent="0.2">
      <c r="A5814" s="6" t="str">
        <f>"C14orf39"</f>
        <v>C14orf39</v>
      </c>
      <c r="B5814" s="6">
        <v>9.0909090909090898E-2</v>
      </c>
      <c r="C5814" s="6">
        <v>0.27372353673723498</v>
      </c>
    </row>
    <row r="5815" spans="1:3" s="8" customFormat="1" x14ac:dyDescent="0.2">
      <c r="A5815" s="6" t="str">
        <f>"LINC01451"</f>
        <v>LINC01451</v>
      </c>
      <c r="B5815" s="6">
        <v>9.0909090909090898E-2</v>
      </c>
      <c r="C5815" s="6">
        <v>0.27372353673723498</v>
      </c>
    </row>
    <row r="5816" spans="1:3" s="8" customFormat="1" x14ac:dyDescent="0.2">
      <c r="A5816" s="6" t="str">
        <f>"PGBD1"</f>
        <v>PGBD1</v>
      </c>
      <c r="B5816" s="6">
        <v>9.0909090909090898E-2</v>
      </c>
      <c r="C5816" s="6">
        <v>0.27372353673723498</v>
      </c>
    </row>
    <row r="5817" spans="1:3" s="8" customFormat="1" x14ac:dyDescent="0.2">
      <c r="A5817" s="6" t="str">
        <f>"TRAM1L1"</f>
        <v>TRAM1L1</v>
      </c>
      <c r="B5817" s="6">
        <v>9.0909090909090898E-2</v>
      </c>
      <c r="C5817" s="6">
        <v>0.27372353673723498</v>
      </c>
    </row>
    <row r="5818" spans="1:3" s="8" customFormat="1" x14ac:dyDescent="0.2">
      <c r="A5818" s="6" t="str">
        <f>"AL512408.1"</f>
        <v>AL512408.1</v>
      </c>
      <c r="B5818" s="6">
        <v>9.0909090909090898E-2</v>
      </c>
      <c r="C5818" s="6">
        <v>0.27372353673723498</v>
      </c>
    </row>
    <row r="5819" spans="1:3" s="8" customFormat="1" x14ac:dyDescent="0.2">
      <c r="A5819" s="6" t="str">
        <f>"KPTN"</f>
        <v>KPTN</v>
      </c>
      <c r="B5819" s="6">
        <v>9.0909090909090898E-2</v>
      </c>
      <c r="C5819" s="6">
        <v>0.27372353673723498</v>
      </c>
    </row>
    <row r="5820" spans="1:3" s="8" customFormat="1" x14ac:dyDescent="0.2">
      <c r="A5820" s="6" t="str">
        <f>"TMPRSS11B"</f>
        <v>TMPRSS11B</v>
      </c>
      <c r="B5820" s="6">
        <v>9.0909090909090898E-2</v>
      </c>
      <c r="C5820" s="6">
        <v>0.27372353673723498</v>
      </c>
    </row>
    <row r="5821" spans="1:3" s="8" customFormat="1" x14ac:dyDescent="0.2">
      <c r="A5821" s="6" t="str">
        <f>"CYSLTR1"</f>
        <v>CYSLTR1</v>
      </c>
      <c r="B5821" s="6">
        <v>9.0909090909090898E-2</v>
      </c>
      <c r="C5821" s="6">
        <v>0.27372353673723498</v>
      </c>
    </row>
    <row r="5822" spans="1:3" s="8" customFormat="1" x14ac:dyDescent="0.2">
      <c r="A5822" s="6" t="str">
        <f>"AC025171.1"</f>
        <v>AC025171.1</v>
      </c>
      <c r="B5822" s="6">
        <v>9.0909090909090898E-2</v>
      </c>
      <c r="C5822" s="6">
        <v>0.27372353673723498</v>
      </c>
    </row>
    <row r="5823" spans="1:3" s="8" customFormat="1" x14ac:dyDescent="0.2">
      <c r="A5823" s="6" t="str">
        <f>"AP001207.3"</f>
        <v>AP001207.3</v>
      </c>
      <c r="B5823" s="6">
        <v>9.0909090909090898E-2</v>
      </c>
      <c r="C5823" s="6">
        <v>0.27372353673723498</v>
      </c>
    </row>
    <row r="5824" spans="1:3" s="8" customFormat="1" x14ac:dyDescent="0.2">
      <c r="A5824" s="6" t="str">
        <f>"FXN"</f>
        <v>FXN</v>
      </c>
      <c r="B5824" s="6">
        <v>9.0909090909090898E-2</v>
      </c>
      <c r="C5824" s="6">
        <v>0.27372353673723498</v>
      </c>
    </row>
    <row r="5825" spans="1:3" s="8" customFormat="1" x14ac:dyDescent="0.2">
      <c r="A5825" s="6" t="str">
        <f>"AC018638.4"</f>
        <v>AC018638.4</v>
      </c>
      <c r="B5825" s="6">
        <v>9.0909090909090898E-2</v>
      </c>
      <c r="C5825" s="6">
        <v>0.27372353673723498</v>
      </c>
    </row>
    <row r="5826" spans="1:3" s="8" customFormat="1" x14ac:dyDescent="0.2">
      <c r="A5826" s="6" t="str">
        <f>"GDPGP1"</f>
        <v>GDPGP1</v>
      </c>
      <c r="B5826" s="6">
        <v>9.0909090909090898E-2</v>
      </c>
      <c r="C5826" s="6">
        <v>0.27372353673723498</v>
      </c>
    </row>
    <row r="5827" spans="1:3" s="8" customFormat="1" x14ac:dyDescent="0.2">
      <c r="A5827" s="6" t="str">
        <f>"PCBP4"</f>
        <v>PCBP4</v>
      </c>
      <c r="B5827" s="6">
        <v>9.0909090909090898E-2</v>
      </c>
      <c r="C5827" s="6">
        <v>0.27372353673723498</v>
      </c>
    </row>
    <row r="5828" spans="1:3" s="8" customFormat="1" x14ac:dyDescent="0.2">
      <c r="A5828" s="6" t="str">
        <f>"POLR3D"</f>
        <v>POLR3D</v>
      </c>
      <c r="B5828" s="6">
        <v>9.0909090909090898E-2</v>
      </c>
      <c r="C5828" s="6">
        <v>0.27372353673723498</v>
      </c>
    </row>
    <row r="5829" spans="1:3" s="8" customFormat="1" x14ac:dyDescent="0.2">
      <c r="A5829" s="6" t="str">
        <f>"CENPBD1"</f>
        <v>CENPBD1</v>
      </c>
      <c r="B5829" s="6">
        <v>9.0909090909090898E-2</v>
      </c>
      <c r="C5829" s="6">
        <v>0.27372353673723498</v>
      </c>
    </row>
    <row r="5830" spans="1:3" s="8" customFormat="1" x14ac:dyDescent="0.2">
      <c r="A5830" s="6" t="str">
        <f>"SLIRP"</f>
        <v>SLIRP</v>
      </c>
      <c r="B5830" s="6">
        <v>9.0909090909090898E-2</v>
      </c>
      <c r="C5830" s="6">
        <v>0.27372353673723498</v>
      </c>
    </row>
    <row r="5831" spans="1:3" s="8" customFormat="1" x14ac:dyDescent="0.2">
      <c r="A5831" s="6" t="str">
        <f>"CEP20"</f>
        <v>CEP20</v>
      </c>
      <c r="B5831" s="6">
        <v>9.0909090909090898E-2</v>
      </c>
      <c r="C5831" s="6">
        <v>0.27372353673723498</v>
      </c>
    </row>
    <row r="5832" spans="1:3" s="8" customFormat="1" x14ac:dyDescent="0.2">
      <c r="A5832" s="6" t="str">
        <f>"EIF2B4"</f>
        <v>EIF2B4</v>
      </c>
      <c r="B5832" s="6">
        <v>9.0909090909090898E-2</v>
      </c>
      <c r="C5832" s="6">
        <v>0.27372353673723498</v>
      </c>
    </row>
    <row r="5833" spans="1:3" s="8" customFormat="1" x14ac:dyDescent="0.2">
      <c r="A5833" s="6" t="str">
        <f>"USP21"</f>
        <v>USP21</v>
      </c>
      <c r="B5833" s="6">
        <v>9.0909090909090898E-2</v>
      </c>
      <c r="C5833" s="6">
        <v>0.27372353673723498</v>
      </c>
    </row>
    <row r="5834" spans="1:3" s="8" customFormat="1" x14ac:dyDescent="0.2">
      <c r="A5834" s="6" t="str">
        <f>"KCTD18"</f>
        <v>KCTD18</v>
      </c>
      <c r="B5834" s="6">
        <v>9.0909090909090898E-2</v>
      </c>
      <c r="C5834" s="6">
        <v>0.27372353673723498</v>
      </c>
    </row>
    <row r="5835" spans="1:3" s="8" customFormat="1" x14ac:dyDescent="0.2">
      <c r="A5835" s="6" t="str">
        <f>"ANAPC13"</f>
        <v>ANAPC13</v>
      </c>
      <c r="B5835" s="6">
        <v>9.0909090909090898E-2</v>
      </c>
      <c r="C5835" s="6">
        <v>0.27372353673723498</v>
      </c>
    </row>
    <row r="5836" spans="1:3" s="8" customFormat="1" x14ac:dyDescent="0.2">
      <c r="A5836" s="6" t="str">
        <f>"SPECC1"</f>
        <v>SPECC1</v>
      </c>
      <c r="B5836" s="6">
        <v>9.0909090909090898E-2</v>
      </c>
      <c r="C5836" s="6">
        <v>0.27372353673723498</v>
      </c>
    </row>
    <row r="5837" spans="1:3" s="8" customFormat="1" x14ac:dyDescent="0.2">
      <c r="A5837" s="6" t="str">
        <f>"RXRB"</f>
        <v>RXRB</v>
      </c>
      <c r="B5837" s="6">
        <v>9.0909090909090898E-2</v>
      </c>
      <c r="C5837" s="6">
        <v>0.27372353673723498</v>
      </c>
    </row>
    <row r="5838" spans="1:3" s="8" customFormat="1" x14ac:dyDescent="0.2">
      <c r="A5838" s="6" t="str">
        <f>"MIB2"</f>
        <v>MIB2</v>
      </c>
      <c r="B5838" s="6">
        <v>9.0909090909090898E-2</v>
      </c>
      <c r="C5838" s="6">
        <v>0.27372353673723498</v>
      </c>
    </row>
    <row r="5839" spans="1:3" s="8" customFormat="1" x14ac:dyDescent="0.2">
      <c r="A5839" s="6" t="str">
        <f>"ZNF787"</f>
        <v>ZNF787</v>
      </c>
      <c r="B5839" s="6">
        <v>9.0909090909090898E-2</v>
      </c>
      <c r="C5839" s="6">
        <v>0.27372353673723498</v>
      </c>
    </row>
    <row r="5840" spans="1:3" s="8" customFormat="1" x14ac:dyDescent="0.2">
      <c r="A5840" s="6" t="str">
        <f>"HLA-DMA"</f>
        <v>HLA-DMA</v>
      </c>
      <c r="B5840" s="6">
        <v>9.0909090909090898E-2</v>
      </c>
      <c r="C5840" s="6">
        <v>0.27372353673723498</v>
      </c>
    </row>
    <row r="5841" spans="1:3" s="8" customFormat="1" x14ac:dyDescent="0.2">
      <c r="A5841" s="6" t="str">
        <f>"MRFAP1"</f>
        <v>MRFAP1</v>
      </c>
      <c r="B5841" s="6">
        <v>9.0909090909090898E-2</v>
      </c>
      <c r="C5841" s="6">
        <v>0.27372353673723498</v>
      </c>
    </row>
    <row r="5842" spans="1:3" s="8" customFormat="1" x14ac:dyDescent="0.2">
      <c r="A5842" s="6" t="str">
        <f>"AP003778.1"</f>
        <v>AP003778.1</v>
      </c>
      <c r="B5842" s="6">
        <v>9.0999999999999998E-2</v>
      </c>
      <c r="C5842" s="6">
        <v>0.27382230890173798</v>
      </c>
    </row>
    <row r="5843" spans="1:3" s="8" customFormat="1" x14ac:dyDescent="0.2">
      <c r="A5843" s="6" t="str">
        <f>"AC011442.1"</f>
        <v>AC011442.1</v>
      </c>
      <c r="B5843" s="6">
        <v>9.1004184100418398E-2</v>
      </c>
      <c r="C5843" s="6">
        <v>0.27382230890173798</v>
      </c>
    </row>
    <row r="5844" spans="1:3" s="8" customFormat="1" x14ac:dyDescent="0.2">
      <c r="A5844" s="6" t="str">
        <f>"GCNA"</f>
        <v>GCNA</v>
      </c>
      <c r="B5844" s="6">
        <v>9.0999999999999998E-2</v>
      </c>
      <c r="C5844" s="6">
        <v>0.27382230890173798</v>
      </c>
    </row>
    <row r="5845" spans="1:3" s="8" customFormat="1" x14ac:dyDescent="0.2">
      <c r="A5845" s="6" t="str">
        <f>"C12orf57"</f>
        <v>C12orf57</v>
      </c>
      <c r="B5845" s="6">
        <v>9.0999999999999998E-2</v>
      </c>
      <c r="C5845" s="6">
        <v>0.27382230890173798</v>
      </c>
    </row>
    <row r="5846" spans="1:3" s="8" customFormat="1" x14ac:dyDescent="0.2">
      <c r="A5846" s="6" t="str">
        <f>"TSACC"</f>
        <v>TSACC</v>
      </c>
      <c r="B5846" s="6">
        <v>9.1133004926108305E-2</v>
      </c>
      <c r="C5846" s="6">
        <v>0.27416300404117799</v>
      </c>
    </row>
    <row r="5847" spans="1:3" s="8" customFormat="1" x14ac:dyDescent="0.2">
      <c r="A5847" s="6" t="str">
        <f>"GNG3"</f>
        <v>GNG3</v>
      </c>
      <c r="B5847" s="6">
        <v>9.1457286432160806E-2</v>
      </c>
      <c r="C5847" s="6">
        <v>0.27509150267244498</v>
      </c>
    </row>
    <row r="5848" spans="1:3" s="8" customFormat="1" x14ac:dyDescent="0.2">
      <c r="A5848" s="6" t="str">
        <f>"B3GAT2"</f>
        <v>B3GAT2</v>
      </c>
      <c r="B5848" s="6">
        <v>9.1563786008230397E-2</v>
      </c>
      <c r="C5848" s="6">
        <v>0.27536473630386898</v>
      </c>
    </row>
    <row r="5849" spans="1:3" s="8" customFormat="1" x14ac:dyDescent="0.2">
      <c r="A5849" s="6" t="str">
        <f>"AC036214.4"</f>
        <v>AC036214.4</v>
      </c>
      <c r="B5849" s="6">
        <v>9.1908091908091905E-2</v>
      </c>
      <c r="C5849" s="6">
        <v>0.275411023877281</v>
      </c>
    </row>
    <row r="5850" spans="1:3" s="8" customFormat="1" x14ac:dyDescent="0.2">
      <c r="A5850" s="6" t="str">
        <f>"COL6A3"</f>
        <v>COL6A3</v>
      </c>
      <c r="B5850" s="6">
        <v>9.1908091908091905E-2</v>
      </c>
      <c r="C5850" s="6">
        <v>0.275411023877281</v>
      </c>
    </row>
    <row r="5851" spans="1:3" s="8" customFormat="1" x14ac:dyDescent="0.2">
      <c r="A5851" s="6" t="str">
        <f>"AC132938.3"</f>
        <v>AC132938.3</v>
      </c>
      <c r="B5851" s="6">
        <v>9.1908091908091905E-2</v>
      </c>
      <c r="C5851" s="6">
        <v>0.275411023877281</v>
      </c>
    </row>
    <row r="5852" spans="1:3" s="8" customFormat="1" x14ac:dyDescent="0.2">
      <c r="A5852" s="6" t="str">
        <f>"IL4I1"</f>
        <v>IL4I1</v>
      </c>
      <c r="B5852" s="6">
        <v>9.1908091908091905E-2</v>
      </c>
      <c r="C5852" s="6">
        <v>0.275411023877281</v>
      </c>
    </row>
    <row r="5853" spans="1:3" s="8" customFormat="1" x14ac:dyDescent="0.2">
      <c r="A5853" s="6" t="str">
        <f>"TYW1B"</f>
        <v>TYW1B</v>
      </c>
      <c r="B5853" s="6">
        <v>9.1908091908091905E-2</v>
      </c>
      <c r="C5853" s="6">
        <v>0.275411023877281</v>
      </c>
    </row>
    <row r="5854" spans="1:3" s="8" customFormat="1" x14ac:dyDescent="0.2">
      <c r="A5854" s="6" t="str">
        <f>"CA2"</f>
        <v>CA2</v>
      </c>
      <c r="B5854" s="6">
        <v>9.1908091908091905E-2</v>
      </c>
      <c r="C5854" s="6">
        <v>0.275411023877281</v>
      </c>
    </row>
    <row r="5855" spans="1:3" s="8" customFormat="1" x14ac:dyDescent="0.2">
      <c r="A5855" s="6" t="str">
        <f>"COL3A1"</f>
        <v>COL3A1</v>
      </c>
      <c r="B5855" s="6">
        <v>9.1908091908091905E-2</v>
      </c>
      <c r="C5855" s="6">
        <v>0.275411023877281</v>
      </c>
    </row>
    <row r="5856" spans="1:3" s="8" customFormat="1" x14ac:dyDescent="0.2">
      <c r="A5856" s="6" t="str">
        <f>"TMEM86A"</f>
        <v>TMEM86A</v>
      </c>
      <c r="B5856" s="6">
        <v>9.1908091908091905E-2</v>
      </c>
      <c r="C5856" s="6">
        <v>0.275411023877281</v>
      </c>
    </row>
    <row r="5857" spans="1:3" s="8" customFormat="1" x14ac:dyDescent="0.2">
      <c r="A5857" s="6" t="str">
        <f>"AL021392.1"</f>
        <v>AL021392.1</v>
      </c>
      <c r="B5857" s="6">
        <v>9.1908091908091905E-2</v>
      </c>
      <c r="C5857" s="6">
        <v>0.275411023877281</v>
      </c>
    </row>
    <row r="5858" spans="1:3" s="8" customFormat="1" x14ac:dyDescent="0.2">
      <c r="A5858" s="6" t="str">
        <f>"ZNF433"</f>
        <v>ZNF433</v>
      </c>
      <c r="B5858" s="6">
        <v>9.1908091908091905E-2</v>
      </c>
      <c r="C5858" s="6">
        <v>0.275411023877281</v>
      </c>
    </row>
    <row r="5859" spans="1:3" s="8" customFormat="1" x14ac:dyDescent="0.2">
      <c r="A5859" s="6" t="str">
        <f>"WDR91"</f>
        <v>WDR91</v>
      </c>
      <c r="B5859" s="6">
        <v>9.1908091908091905E-2</v>
      </c>
      <c r="C5859" s="6">
        <v>0.275411023877281</v>
      </c>
    </row>
    <row r="5860" spans="1:3" s="8" customFormat="1" x14ac:dyDescent="0.2">
      <c r="A5860" s="6" t="str">
        <f>"AASDH"</f>
        <v>AASDH</v>
      </c>
      <c r="B5860" s="6">
        <v>9.1908091908091905E-2</v>
      </c>
      <c r="C5860" s="6">
        <v>0.275411023877281</v>
      </c>
    </row>
    <row r="5861" spans="1:3" s="8" customFormat="1" x14ac:dyDescent="0.2">
      <c r="A5861" s="6" t="str">
        <f>"LTO1"</f>
        <v>LTO1</v>
      </c>
      <c r="B5861" s="6">
        <v>9.1908091908091905E-2</v>
      </c>
      <c r="C5861" s="6">
        <v>0.275411023877281</v>
      </c>
    </row>
    <row r="5862" spans="1:3" s="8" customFormat="1" x14ac:dyDescent="0.2">
      <c r="A5862" s="6" t="str">
        <f>"ZNF552"</f>
        <v>ZNF552</v>
      </c>
      <c r="B5862" s="6">
        <v>9.1908091908091905E-2</v>
      </c>
      <c r="C5862" s="6">
        <v>0.275411023877281</v>
      </c>
    </row>
    <row r="5863" spans="1:3" s="8" customFormat="1" x14ac:dyDescent="0.2">
      <c r="A5863" s="6" t="str">
        <f>"CDK6"</f>
        <v>CDK6</v>
      </c>
      <c r="B5863" s="6">
        <v>9.1908091908091905E-2</v>
      </c>
      <c r="C5863" s="6">
        <v>0.275411023877281</v>
      </c>
    </row>
    <row r="5864" spans="1:3" s="8" customFormat="1" x14ac:dyDescent="0.2">
      <c r="A5864" s="6" t="str">
        <f>"HIRA"</f>
        <v>HIRA</v>
      </c>
      <c r="B5864" s="6">
        <v>9.1908091908091905E-2</v>
      </c>
      <c r="C5864" s="6">
        <v>0.275411023877281</v>
      </c>
    </row>
    <row r="5865" spans="1:3" s="8" customFormat="1" x14ac:dyDescent="0.2">
      <c r="A5865" s="6" t="str">
        <f>"PIGO"</f>
        <v>PIGO</v>
      </c>
      <c r="B5865" s="6">
        <v>9.1908091908091905E-2</v>
      </c>
      <c r="C5865" s="6">
        <v>0.275411023877281</v>
      </c>
    </row>
    <row r="5866" spans="1:3" s="8" customFormat="1" x14ac:dyDescent="0.2">
      <c r="A5866" s="6" t="str">
        <f>"THOC3"</f>
        <v>THOC3</v>
      </c>
      <c r="B5866" s="6">
        <v>9.1908091908091905E-2</v>
      </c>
      <c r="C5866" s="6">
        <v>0.275411023877281</v>
      </c>
    </row>
    <row r="5867" spans="1:3" s="8" customFormat="1" x14ac:dyDescent="0.2">
      <c r="A5867" s="6" t="str">
        <f>"RABGAP1L"</f>
        <v>RABGAP1L</v>
      </c>
      <c r="B5867" s="6">
        <v>9.1908091908091905E-2</v>
      </c>
      <c r="C5867" s="6">
        <v>0.275411023877281</v>
      </c>
    </row>
    <row r="5868" spans="1:3" s="8" customFormat="1" x14ac:dyDescent="0.2">
      <c r="A5868" s="6" t="str">
        <f>"EPS8"</f>
        <v>EPS8</v>
      </c>
      <c r="B5868" s="6">
        <v>9.1908091908091905E-2</v>
      </c>
      <c r="C5868" s="6">
        <v>0.275411023877281</v>
      </c>
    </row>
    <row r="5869" spans="1:3" s="8" customFormat="1" x14ac:dyDescent="0.2">
      <c r="A5869" s="6" t="str">
        <f>"RPS5"</f>
        <v>RPS5</v>
      </c>
      <c r="B5869" s="6">
        <v>9.1908091908091905E-2</v>
      </c>
      <c r="C5869" s="6">
        <v>0.275411023877281</v>
      </c>
    </row>
    <row r="5870" spans="1:3" s="8" customFormat="1" x14ac:dyDescent="0.2">
      <c r="A5870" s="6" t="str">
        <f>"COL1A1"</f>
        <v>COL1A1</v>
      </c>
      <c r="B5870" s="6">
        <v>9.1999999999999998E-2</v>
      </c>
      <c r="C5870" s="6">
        <v>0.27559250425894299</v>
      </c>
    </row>
    <row r="5871" spans="1:3" s="8" customFormat="1" x14ac:dyDescent="0.2">
      <c r="A5871" s="6" t="str">
        <f>"RGS12"</f>
        <v>RGS12</v>
      </c>
      <c r="B5871" s="6">
        <v>9.1999999999999998E-2</v>
      </c>
      <c r="C5871" s="6">
        <v>0.27559250425894299</v>
      </c>
    </row>
    <row r="5872" spans="1:3" s="8" customFormat="1" x14ac:dyDescent="0.2">
      <c r="A5872" s="6" t="str">
        <f>"AC009148.1"</f>
        <v>AC009148.1</v>
      </c>
      <c r="B5872" s="6">
        <v>9.2198581560283599E-2</v>
      </c>
      <c r="C5872" s="6">
        <v>0.27614032671708799</v>
      </c>
    </row>
    <row r="5873" spans="1:3" s="8" customFormat="1" x14ac:dyDescent="0.2">
      <c r="A5873" s="6" t="str">
        <f>"AC007686.2"</f>
        <v>AC007686.2</v>
      </c>
      <c r="B5873" s="6">
        <v>9.2907092907092897E-2</v>
      </c>
      <c r="C5873" s="6">
        <v>0.276566501045932</v>
      </c>
    </row>
    <row r="5874" spans="1:3" s="8" customFormat="1" x14ac:dyDescent="0.2">
      <c r="A5874" s="6" t="str">
        <f>"KRT8P46"</f>
        <v>KRT8P46</v>
      </c>
      <c r="B5874" s="6">
        <v>9.2907092907092897E-2</v>
      </c>
      <c r="C5874" s="6">
        <v>0.276566501045932</v>
      </c>
    </row>
    <row r="5875" spans="1:3" s="8" customFormat="1" x14ac:dyDescent="0.2">
      <c r="A5875" s="6" t="str">
        <f>"AC103858.3"</f>
        <v>AC103858.3</v>
      </c>
      <c r="B5875" s="6">
        <v>9.2907092907092897E-2</v>
      </c>
      <c r="C5875" s="6">
        <v>0.276566501045932</v>
      </c>
    </row>
    <row r="5876" spans="1:3" s="8" customFormat="1" x14ac:dyDescent="0.2">
      <c r="A5876" s="6" t="str">
        <f>"CCL2"</f>
        <v>CCL2</v>
      </c>
      <c r="B5876" s="6">
        <v>9.2907092907092897E-2</v>
      </c>
      <c r="C5876" s="6">
        <v>0.276566501045932</v>
      </c>
    </row>
    <row r="5877" spans="1:3" s="8" customFormat="1" x14ac:dyDescent="0.2">
      <c r="A5877" s="6" t="str">
        <f>"FRRS1L"</f>
        <v>FRRS1L</v>
      </c>
      <c r="B5877" s="6">
        <v>9.2907092907092897E-2</v>
      </c>
      <c r="C5877" s="6">
        <v>0.276566501045932</v>
      </c>
    </row>
    <row r="5878" spans="1:3" s="8" customFormat="1" x14ac:dyDescent="0.2">
      <c r="A5878" s="6" t="str">
        <f>"CLIC2"</f>
        <v>CLIC2</v>
      </c>
      <c r="B5878" s="6">
        <v>9.2907092907092897E-2</v>
      </c>
      <c r="C5878" s="6">
        <v>0.276566501045932</v>
      </c>
    </row>
    <row r="5879" spans="1:3" s="8" customFormat="1" x14ac:dyDescent="0.2">
      <c r="A5879" s="6" t="str">
        <f>"WHAMMP2"</f>
        <v>WHAMMP2</v>
      </c>
      <c r="B5879" s="6">
        <v>9.2907092907092897E-2</v>
      </c>
      <c r="C5879" s="6">
        <v>0.276566501045932</v>
      </c>
    </row>
    <row r="5880" spans="1:3" s="8" customFormat="1" x14ac:dyDescent="0.2">
      <c r="A5880" s="6" t="str">
        <f>"CCL22"</f>
        <v>CCL22</v>
      </c>
      <c r="B5880" s="6">
        <v>9.2907092907092897E-2</v>
      </c>
      <c r="C5880" s="6">
        <v>0.276566501045932</v>
      </c>
    </row>
    <row r="5881" spans="1:3" s="8" customFormat="1" x14ac:dyDescent="0.2">
      <c r="A5881" s="6" t="str">
        <f>"KIAA1586"</f>
        <v>KIAA1586</v>
      </c>
      <c r="B5881" s="6">
        <v>9.2907092907092897E-2</v>
      </c>
      <c r="C5881" s="6">
        <v>0.276566501045932</v>
      </c>
    </row>
    <row r="5882" spans="1:3" s="8" customFormat="1" x14ac:dyDescent="0.2">
      <c r="A5882" s="6" t="str">
        <f>"IRX4"</f>
        <v>IRX4</v>
      </c>
      <c r="B5882" s="6">
        <v>9.2907092907092897E-2</v>
      </c>
      <c r="C5882" s="6">
        <v>0.276566501045932</v>
      </c>
    </row>
    <row r="5883" spans="1:3" s="8" customFormat="1" x14ac:dyDescent="0.2">
      <c r="A5883" s="6" t="str">
        <f>"HSD17B3"</f>
        <v>HSD17B3</v>
      </c>
      <c r="B5883" s="6">
        <v>9.2907092907092897E-2</v>
      </c>
      <c r="C5883" s="6">
        <v>0.276566501045932</v>
      </c>
    </row>
    <row r="5884" spans="1:3" s="8" customFormat="1" x14ac:dyDescent="0.2">
      <c r="A5884" s="6" t="str">
        <f>"SYCE1L"</f>
        <v>SYCE1L</v>
      </c>
      <c r="B5884" s="6">
        <v>9.2907092907092897E-2</v>
      </c>
      <c r="C5884" s="6">
        <v>0.276566501045932</v>
      </c>
    </row>
    <row r="5885" spans="1:3" s="8" customFormat="1" x14ac:dyDescent="0.2">
      <c r="A5885" s="6" t="str">
        <f>"STAG3L1"</f>
        <v>STAG3L1</v>
      </c>
      <c r="B5885" s="6">
        <v>9.2907092907092897E-2</v>
      </c>
      <c r="C5885" s="6">
        <v>0.276566501045932</v>
      </c>
    </row>
    <row r="5886" spans="1:3" s="8" customFormat="1" x14ac:dyDescent="0.2">
      <c r="A5886" s="6" t="str">
        <f>"GSDMC"</f>
        <v>GSDMC</v>
      </c>
      <c r="B5886" s="6">
        <v>9.2907092907092897E-2</v>
      </c>
      <c r="C5886" s="6">
        <v>0.276566501045932</v>
      </c>
    </row>
    <row r="5887" spans="1:3" s="8" customFormat="1" x14ac:dyDescent="0.2">
      <c r="A5887" s="6" t="str">
        <f>"EFNA4"</f>
        <v>EFNA4</v>
      </c>
      <c r="B5887" s="6">
        <v>9.2907092907092897E-2</v>
      </c>
      <c r="C5887" s="6">
        <v>0.276566501045932</v>
      </c>
    </row>
    <row r="5888" spans="1:3" s="8" customFormat="1" x14ac:dyDescent="0.2">
      <c r="A5888" s="6" t="str">
        <f>"SLC66A1"</f>
        <v>SLC66A1</v>
      </c>
      <c r="B5888" s="6">
        <v>9.2907092907092897E-2</v>
      </c>
      <c r="C5888" s="6">
        <v>0.276566501045932</v>
      </c>
    </row>
    <row r="5889" spans="1:3" s="8" customFormat="1" x14ac:dyDescent="0.2">
      <c r="A5889" s="6" t="str">
        <f>"TRAF2"</f>
        <v>TRAF2</v>
      </c>
      <c r="B5889" s="6">
        <v>9.2907092907092897E-2</v>
      </c>
      <c r="C5889" s="6">
        <v>0.276566501045932</v>
      </c>
    </row>
    <row r="5890" spans="1:3" s="8" customFormat="1" x14ac:dyDescent="0.2">
      <c r="A5890" s="6" t="str">
        <f>"ZNF226"</f>
        <v>ZNF226</v>
      </c>
      <c r="B5890" s="6">
        <v>9.2907092907092897E-2</v>
      </c>
      <c r="C5890" s="6">
        <v>0.276566501045932</v>
      </c>
    </row>
    <row r="5891" spans="1:3" s="8" customFormat="1" x14ac:dyDescent="0.2">
      <c r="A5891" s="6" t="str">
        <f>"GARRE1"</f>
        <v>GARRE1</v>
      </c>
      <c r="B5891" s="6">
        <v>9.2907092907092897E-2</v>
      </c>
      <c r="C5891" s="6">
        <v>0.276566501045932</v>
      </c>
    </row>
    <row r="5892" spans="1:3" s="8" customFormat="1" x14ac:dyDescent="0.2">
      <c r="A5892" s="6" t="str">
        <f>"SCRN3"</f>
        <v>SCRN3</v>
      </c>
      <c r="B5892" s="6">
        <v>9.2907092907092897E-2</v>
      </c>
      <c r="C5892" s="6">
        <v>0.276566501045932</v>
      </c>
    </row>
    <row r="5893" spans="1:3" s="8" customFormat="1" x14ac:dyDescent="0.2">
      <c r="A5893" s="6" t="str">
        <f>"PHF11"</f>
        <v>PHF11</v>
      </c>
      <c r="B5893" s="6">
        <v>9.2907092907092897E-2</v>
      </c>
      <c r="C5893" s="6">
        <v>0.276566501045932</v>
      </c>
    </row>
    <row r="5894" spans="1:3" s="8" customFormat="1" x14ac:dyDescent="0.2">
      <c r="A5894" s="6" t="str">
        <f>"CCDC9"</f>
        <v>CCDC9</v>
      </c>
      <c r="B5894" s="6">
        <v>9.2907092907092897E-2</v>
      </c>
      <c r="C5894" s="6">
        <v>0.276566501045932</v>
      </c>
    </row>
    <row r="5895" spans="1:3" s="8" customFormat="1" x14ac:dyDescent="0.2">
      <c r="A5895" s="6" t="str">
        <f>"MARK4"</f>
        <v>MARK4</v>
      </c>
      <c r="B5895" s="6">
        <v>9.2907092907092897E-2</v>
      </c>
      <c r="C5895" s="6">
        <v>0.276566501045932</v>
      </c>
    </row>
    <row r="5896" spans="1:3" s="8" customFormat="1" x14ac:dyDescent="0.2">
      <c r="A5896" s="6" t="str">
        <f>"SLC41A3"</f>
        <v>SLC41A3</v>
      </c>
      <c r="B5896" s="6">
        <v>9.2907092907092897E-2</v>
      </c>
      <c r="C5896" s="6">
        <v>0.276566501045932</v>
      </c>
    </row>
    <row r="5897" spans="1:3" s="8" customFormat="1" x14ac:dyDescent="0.2">
      <c r="A5897" s="6" t="str">
        <f>"MTMR1"</f>
        <v>MTMR1</v>
      </c>
      <c r="B5897" s="6">
        <v>9.2907092907092897E-2</v>
      </c>
      <c r="C5897" s="6">
        <v>0.276566501045932</v>
      </c>
    </row>
    <row r="5898" spans="1:3" s="8" customFormat="1" x14ac:dyDescent="0.2">
      <c r="A5898" s="6" t="str">
        <f>"PITPNB"</f>
        <v>PITPNB</v>
      </c>
      <c r="B5898" s="6">
        <v>9.2907092907092897E-2</v>
      </c>
      <c r="C5898" s="6">
        <v>0.276566501045932</v>
      </c>
    </row>
    <row r="5899" spans="1:3" s="8" customFormat="1" x14ac:dyDescent="0.2">
      <c r="A5899" s="6" t="str">
        <f>"VRK3"</f>
        <v>VRK3</v>
      </c>
      <c r="B5899" s="6">
        <v>9.2907092907092897E-2</v>
      </c>
      <c r="C5899" s="6">
        <v>0.276566501045932</v>
      </c>
    </row>
    <row r="5900" spans="1:3" s="8" customFormat="1" x14ac:dyDescent="0.2">
      <c r="A5900" s="6" t="str">
        <f>"RABGAP1"</f>
        <v>RABGAP1</v>
      </c>
      <c r="B5900" s="6">
        <v>9.2907092907092897E-2</v>
      </c>
      <c r="C5900" s="6">
        <v>0.276566501045932</v>
      </c>
    </row>
    <row r="5901" spans="1:3" s="8" customFormat="1" x14ac:dyDescent="0.2">
      <c r="A5901" s="6" t="str">
        <f>"SMURF1"</f>
        <v>SMURF1</v>
      </c>
      <c r="B5901" s="6">
        <v>9.2907092907092897E-2</v>
      </c>
      <c r="C5901" s="6">
        <v>0.276566501045932</v>
      </c>
    </row>
    <row r="5902" spans="1:3" s="8" customFormat="1" x14ac:dyDescent="0.2">
      <c r="A5902" s="6" t="str">
        <f>"NAGA"</f>
        <v>NAGA</v>
      </c>
      <c r="B5902" s="6">
        <v>9.2907092907092897E-2</v>
      </c>
      <c r="C5902" s="6">
        <v>0.276566501045932</v>
      </c>
    </row>
    <row r="5903" spans="1:3" s="8" customFormat="1" x14ac:dyDescent="0.2">
      <c r="A5903" s="6" t="str">
        <f>"HES1"</f>
        <v>HES1</v>
      </c>
      <c r="B5903" s="6">
        <v>9.2907092907092897E-2</v>
      </c>
      <c r="C5903" s="6">
        <v>0.276566501045932</v>
      </c>
    </row>
    <row r="5904" spans="1:3" s="8" customFormat="1" x14ac:dyDescent="0.2">
      <c r="A5904" s="6" t="str">
        <f>"SLC25A23"</f>
        <v>SLC25A23</v>
      </c>
      <c r="B5904" s="6">
        <v>9.2907092907092897E-2</v>
      </c>
      <c r="C5904" s="6">
        <v>0.276566501045932</v>
      </c>
    </row>
    <row r="5905" spans="1:3" s="8" customFormat="1" x14ac:dyDescent="0.2">
      <c r="A5905" s="6" t="str">
        <f>"PSMB8"</f>
        <v>PSMB8</v>
      </c>
      <c r="B5905" s="6">
        <v>9.2907092907092897E-2</v>
      </c>
      <c r="C5905" s="6">
        <v>0.276566501045932</v>
      </c>
    </row>
    <row r="5906" spans="1:3" s="8" customFormat="1" x14ac:dyDescent="0.2">
      <c r="A5906" s="6" t="str">
        <f>"PFN2"</f>
        <v>PFN2</v>
      </c>
      <c r="B5906" s="6">
        <v>9.2907092907092897E-2</v>
      </c>
      <c r="C5906" s="6">
        <v>0.276566501045932</v>
      </c>
    </row>
    <row r="5907" spans="1:3" s="8" customFormat="1" x14ac:dyDescent="0.2">
      <c r="A5907" s="6" t="str">
        <f>"ITGB1"</f>
        <v>ITGB1</v>
      </c>
      <c r="B5907" s="6">
        <v>9.2907092907092897E-2</v>
      </c>
      <c r="C5907" s="6">
        <v>0.276566501045932</v>
      </c>
    </row>
    <row r="5908" spans="1:3" s="8" customFormat="1" x14ac:dyDescent="0.2">
      <c r="A5908" s="6" t="str">
        <f>"RPL23AP42"</f>
        <v>RPL23AP42</v>
      </c>
      <c r="B5908" s="6">
        <v>9.2907092907092897E-2</v>
      </c>
      <c r="C5908" s="6">
        <v>0.276566501045932</v>
      </c>
    </row>
    <row r="5909" spans="1:3" s="8" customFormat="1" x14ac:dyDescent="0.2">
      <c r="A5909" s="6" t="str">
        <f>"AC008040.1"</f>
        <v>AC008040.1</v>
      </c>
      <c r="B5909" s="6">
        <v>9.3906093906093904E-2</v>
      </c>
      <c r="C5909" s="6">
        <v>0.27780026164952099</v>
      </c>
    </row>
    <row r="5910" spans="1:3" s="8" customFormat="1" x14ac:dyDescent="0.2">
      <c r="A5910" s="6" t="str">
        <f>"AL161645.1"</f>
        <v>AL161645.1</v>
      </c>
      <c r="B5910" s="6">
        <v>9.3906093906093904E-2</v>
      </c>
      <c r="C5910" s="6">
        <v>0.27780026164952099</v>
      </c>
    </row>
    <row r="5911" spans="1:3" s="8" customFormat="1" x14ac:dyDescent="0.2">
      <c r="A5911" s="6" t="str">
        <f>"AL049796.1"</f>
        <v>AL049796.1</v>
      </c>
      <c r="B5911" s="6">
        <v>9.3517534537725794E-2</v>
      </c>
      <c r="C5911" s="6">
        <v>0.27780026164952099</v>
      </c>
    </row>
    <row r="5912" spans="1:3" s="8" customFormat="1" x14ac:dyDescent="0.2">
      <c r="A5912" s="6" t="str">
        <f>"AD000671.2"</f>
        <v>AD000671.2</v>
      </c>
      <c r="B5912" s="6">
        <v>9.3906093906093904E-2</v>
      </c>
      <c r="C5912" s="6">
        <v>0.27780026164952099</v>
      </c>
    </row>
    <row r="5913" spans="1:3" s="8" customFormat="1" x14ac:dyDescent="0.2">
      <c r="A5913" s="6" t="str">
        <f>"AC005674.1"</f>
        <v>AC005674.1</v>
      </c>
      <c r="B5913" s="6">
        <v>9.3906093906093904E-2</v>
      </c>
      <c r="C5913" s="6">
        <v>0.27780026164952099</v>
      </c>
    </row>
    <row r="5914" spans="1:3" s="8" customFormat="1" x14ac:dyDescent="0.2">
      <c r="A5914" s="6" t="str">
        <f>"ACTE1P"</f>
        <v>ACTE1P</v>
      </c>
      <c r="B5914" s="6">
        <v>9.3906093906093904E-2</v>
      </c>
      <c r="C5914" s="6">
        <v>0.27780026164952099</v>
      </c>
    </row>
    <row r="5915" spans="1:3" s="8" customFormat="1" x14ac:dyDescent="0.2">
      <c r="A5915" s="6" t="str">
        <f>"CHAC2"</f>
        <v>CHAC2</v>
      </c>
      <c r="B5915" s="6">
        <v>9.3906093906093904E-2</v>
      </c>
      <c r="C5915" s="6">
        <v>0.27780026164952099</v>
      </c>
    </row>
    <row r="5916" spans="1:3" s="8" customFormat="1" x14ac:dyDescent="0.2">
      <c r="A5916" s="6" t="str">
        <f>"TNIP3"</f>
        <v>TNIP3</v>
      </c>
      <c r="B5916" s="6">
        <v>9.3906093906093904E-2</v>
      </c>
      <c r="C5916" s="6">
        <v>0.27780026164952099</v>
      </c>
    </row>
    <row r="5917" spans="1:3" s="8" customFormat="1" x14ac:dyDescent="0.2">
      <c r="A5917" s="6" t="str">
        <f>"ADCY5"</f>
        <v>ADCY5</v>
      </c>
      <c r="B5917" s="6">
        <v>9.3906093906093904E-2</v>
      </c>
      <c r="C5917" s="6">
        <v>0.27780026164952099</v>
      </c>
    </row>
    <row r="5918" spans="1:3" s="8" customFormat="1" x14ac:dyDescent="0.2">
      <c r="A5918" s="6" t="str">
        <f>"RCAN2"</f>
        <v>RCAN2</v>
      </c>
      <c r="B5918" s="6">
        <v>9.3906093906093904E-2</v>
      </c>
      <c r="C5918" s="6">
        <v>0.27780026164952099</v>
      </c>
    </row>
    <row r="5919" spans="1:3" s="8" customFormat="1" x14ac:dyDescent="0.2">
      <c r="A5919" s="6" t="str">
        <f>"AC121761.1"</f>
        <v>AC121761.1</v>
      </c>
      <c r="B5919" s="6">
        <v>9.3906093906093904E-2</v>
      </c>
      <c r="C5919" s="6">
        <v>0.27780026164952099</v>
      </c>
    </row>
    <row r="5920" spans="1:3" s="8" customFormat="1" x14ac:dyDescent="0.2">
      <c r="A5920" s="6" t="str">
        <f>"LINC00689"</f>
        <v>LINC00689</v>
      </c>
      <c r="B5920" s="6">
        <v>9.3906093906093904E-2</v>
      </c>
      <c r="C5920" s="6">
        <v>0.27780026164952099</v>
      </c>
    </row>
    <row r="5921" spans="1:3" s="8" customFormat="1" x14ac:dyDescent="0.2">
      <c r="A5921" s="6" t="str">
        <f>"LINC00494"</f>
        <v>LINC00494</v>
      </c>
      <c r="B5921" s="6">
        <v>9.3906093906093904E-2</v>
      </c>
      <c r="C5921" s="6">
        <v>0.27780026164952099</v>
      </c>
    </row>
    <row r="5922" spans="1:3" s="8" customFormat="1" x14ac:dyDescent="0.2">
      <c r="A5922" s="6" t="str">
        <f>"HLA-DRB6"</f>
        <v>HLA-DRB6</v>
      </c>
      <c r="B5922" s="6">
        <v>9.3906093906093904E-2</v>
      </c>
      <c r="C5922" s="6">
        <v>0.27780026164952099</v>
      </c>
    </row>
    <row r="5923" spans="1:3" s="8" customFormat="1" x14ac:dyDescent="0.2">
      <c r="A5923" s="6" t="str">
        <f>"CNIH2"</f>
        <v>CNIH2</v>
      </c>
      <c r="B5923" s="6">
        <v>9.3906093906093904E-2</v>
      </c>
      <c r="C5923" s="6">
        <v>0.27780026164952099</v>
      </c>
    </row>
    <row r="5924" spans="1:3" s="8" customFormat="1" x14ac:dyDescent="0.2">
      <c r="A5924" s="6" t="str">
        <f>"TMEM121"</f>
        <v>TMEM121</v>
      </c>
      <c r="B5924" s="6">
        <v>9.3906093906093904E-2</v>
      </c>
      <c r="C5924" s="6">
        <v>0.27780026164952099</v>
      </c>
    </row>
    <row r="5925" spans="1:3" s="8" customFormat="1" x14ac:dyDescent="0.2">
      <c r="A5925" s="6" t="str">
        <f>"ZIK1"</f>
        <v>ZIK1</v>
      </c>
      <c r="B5925" s="6">
        <v>9.3906093906093904E-2</v>
      </c>
      <c r="C5925" s="6">
        <v>0.27780026164952099</v>
      </c>
    </row>
    <row r="5926" spans="1:3" s="8" customFormat="1" x14ac:dyDescent="0.2">
      <c r="A5926" s="6" t="str">
        <f>"B3GNTL1"</f>
        <v>B3GNTL1</v>
      </c>
      <c r="B5926" s="6">
        <v>9.3906093906093904E-2</v>
      </c>
      <c r="C5926" s="6">
        <v>0.27780026164952099</v>
      </c>
    </row>
    <row r="5927" spans="1:3" s="8" customFormat="1" x14ac:dyDescent="0.2">
      <c r="A5927" s="6" t="str">
        <f>"PEX12"</f>
        <v>PEX12</v>
      </c>
      <c r="B5927" s="6">
        <v>9.3906093906093904E-2</v>
      </c>
      <c r="C5927" s="6">
        <v>0.27780026164952099</v>
      </c>
    </row>
    <row r="5928" spans="1:3" s="8" customFormat="1" x14ac:dyDescent="0.2">
      <c r="A5928" s="6" t="str">
        <f>"FAM20A"</f>
        <v>FAM20A</v>
      </c>
      <c r="B5928" s="6">
        <v>9.3906093906093904E-2</v>
      </c>
      <c r="C5928" s="6">
        <v>0.27780026164952099</v>
      </c>
    </row>
    <row r="5929" spans="1:3" s="8" customFormat="1" x14ac:dyDescent="0.2">
      <c r="A5929" s="6" t="str">
        <f>"PANX1"</f>
        <v>PANX1</v>
      </c>
      <c r="B5929" s="6">
        <v>9.3906093906093904E-2</v>
      </c>
      <c r="C5929" s="6">
        <v>0.27780026164952099</v>
      </c>
    </row>
    <row r="5930" spans="1:3" s="8" customFormat="1" x14ac:dyDescent="0.2">
      <c r="A5930" s="6" t="str">
        <f>"TOP3B"</f>
        <v>TOP3B</v>
      </c>
      <c r="B5930" s="6">
        <v>9.3906093906093904E-2</v>
      </c>
      <c r="C5930" s="6">
        <v>0.27780026164952099</v>
      </c>
    </row>
    <row r="5931" spans="1:3" s="8" customFormat="1" x14ac:dyDescent="0.2">
      <c r="A5931" s="6" t="str">
        <f>"LRRC37A2"</f>
        <v>LRRC37A2</v>
      </c>
      <c r="B5931" s="6">
        <v>9.3906093906093904E-2</v>
      </c>
      <c r="C5931" s="6">
        <v>0.27780026164952099</v>
      </c>
    </row>
    <row r="5932" spans="1:3" s="8" customFormat="1" x14ac:dyDescent="0.2">
      <c r="A5932" s="6" t="str">
        <f>"RTCA-AS1"</f>
        <v>RTCA-AS1</v>
      </c>
      <c r="B5932" s="6">
        <v>9.3906093906093904E-2</v>
      </c>
      <c r="C5932" s="6">
        <v>0.27780026164952099</v>
      </c>
    </row>
    <row r="5933" spans="1:3" s="8" customFormat="1" x14ac:dyDescent="0.2">
      <c r="A5933" s="6" t="str">
        <f>"SUSD4"</f>
        <v>SUSD4</v>
      </c>
      <c r="B5933" s="6">
        <v>9.3906093906093904E-2</v>
      </c>
      <c r="C5933" s="6">
        <v>0.27780026164952099</v>
      </c>
    </row>
    <row r="5934" spans="1:3" s="8" customFormat="1" x14ac:dyDescent="0.2">
      <c r="A5934" s="6" t="str">
        <f>"GTF3C6"</f>
        <v>GTF3C6</v>
      </c>
      <c r="B5934" s="6">
        <v>9.3906093906093904E-2</v>
      </c>
      <c r="C5934" s="6">
        <v>0.27780026164952099</v>
      </c>
    </row>
    <row r="5935" spans="1:3" s="8" customFormat="1" x14ac:dyDescent="0.2">
      <c r="A5935" s="6" t="str">
        <f>"CFAP69"</f>
        <v>CFAP69</v>
      </c>
      <c r="B5935" s="6">
        <v>9.3906093906093904E-2</v>
      </c>
      <c r="C5935" s="6">
        <v>0.27780026164952099</v>
      </c>
    </row>
    <row r="5936" spans="1:3" s="8" customFormat="1" x14ac:dyDescent="0.2">
      <c r="A5936" s="6" t="str">
        <f>"FAM47E"</f>
        <v>FAM47E</v>
      </c>
      <c r="B5936" s="6">
        <v>9.3906093906093904E-2</v>
      </c>
      <c r="C5936" s="6">
        <v>0.27780026164952099</v>
      </c>
    </row>
    <row r="5937" spans="1:3" s="8" customFormat="1" x14ac:dyDescent="0.2">
      <c r="A5937" s="6" t="str">
        <f>"RGL1"</f>
        <v>RGL1</v>
      </c>
      <c r="B5937" s="6">
        <v>9.3906093906093904E-2</v>
      </c>
      <c r="C5937" s="6">
        <v>0.27780026164952099</v>
      </c>
    </row>
    <row r="5938" spans="1:3" s="8" customFormat="1" x14ac:dyDescent="0.2">
      <c r="A5938" s="6" t="str">
        <f>"CYP4V2"</f>
        <v>CYP4V2</v>
      </c>
      <c r="B5938" s="6">
        <v>9.3906093906093904E-2</v>
      </c>
      <c r="C5938" s="6">
        <v>0.27780026164952099</v>
      </c>
    </row>
    <row r="5939" spans="1:3" s="8" customFormat="1" x14ac:dyDescent="0.2">
      <c r="A5939" s="6" t="str">
        <f>"TP63"</f>
        <v>TP63</v>
      </c>
      <c r="B5939" s="6">
        <v>9.3906093906093904E-2</v>
      </c>
      <c r="C5939" s="6">
        <v>0.27780026164952099</v>
      </c>
    </row>
    <row r="5940" spans="1:3" s="8" customFormat="1" x14ac:dyDescent="0.2">
      <c r="A5940" s="6" t="str">
        <f>"COX7A2L"</f>
        <v>COX7A2L</v>
      </c>
      <c r="B5940" s="6">
        <v>9.3906093906093904E-2</v>
      </c>
      <c r="C5940" s="6">
        <v>0.27780026164952099</v>
      </c>
    </row>
    <row r="5941" spans="1:3" s="8" customFormat="1" x14ac:dyDescent="0.2">
      <c r="A5941" s="6" t="str">
        <f>"PLS3"</f>
        <v>PLS3</v>
      </c>
      <c r="B5941" s="6">
        <v>9.3906093906093904E-2</v>
      </c>
      <c r="C5941" s="6">
        <v>0.27780026164952099</v>
      </c>
    </row>
    <row r="5942" spans="1:3" s="8" customFormat="1" x14ac:dyDescent="0.2">
      <c r="A5942" s="6" t="str">
        <f>"ARGLU1"</f>
        <v>ARGLU1</v>
      </c>
      <c r="B5942" s="6">
        <v>9.3906093906093904E-2</v>
      </c>
      <c r="C5942" s="6">
        <v>0.27780026164952099</v>
      </c>
    </row>
    <row r="5943" spans="1:3" s="8" customFormat="1" x14ac:dyDescent="0.2">
      <c r="A5943" s="6" t="str">
        <f>"CD2AP"</f>
        <v>CD2AP</v>
      </c>
      <c r="B5943" s="6">
        <v>9.3906093906093904E-2</v>
      </c>
      <c r="C5943" s="6">
        <v>0.27780026164952099</v>
      </c>
    </row>
    <row r="5944" spans="1:3" s="8" customFormat="1" x14ac:dyDescent="0.2">
      <c r="A5944" s="6" t="str">
        <f>"CFAP53"</f>
        <v>CFAP53</v>
      </c>
      <c r="B5944" s="6">
        <v>9.3906093906093904E-2</v>
      </c>
      <c r="C5944" s="6">
        <v>0.27780026164952099</v>
      </c>
    </row>
    <row r="5945" spans="1:3" s="8" customFormat="1" x14ac:dyDescent="0.2">
      <c r="A5945" s="6" t="str">
        <f>"UBR4"</f>
        <v>UBR4</v>
      </c>
      <c r="B5945" s="6">
        <v>9.3906093906093904E-2</v>
      </c>
      <c r="C5945" s="6">
        <v>0.27780026164952099</v>
      </c>
    </row>
    <row r="5946" spans="1:3" s="8" customFormat="1" x14ac:dyDescent="0.2">
      <c r="A5946" s="6" t="str">
        <f>"CITED2"</f>
        <v>CITED2</v>
      </c>
      <c r="B5946" s="6">
        <v>9.4E-2</v>
      </c>
      <c r="C5946" s="6">
        <v>0.278031286795626</v>
      </c>
    </row>
    <row r="5947" spans="1:3" s="8" customFormat="1" x14ac:dyDescent="0.2">
      <c r="A5947" s="6" t="str">
        <f>"PRELID1P6"</f>
        <v>PRELID1P6</v>
      </c>
      <c r="B5947" s="6">
        <v>9.4069529652351699E-2</v>
      </c>
      <c r="C5947" s="6">
        <v>0.27819014621711202</v>
      </c>
    </row>
    <row r="5948" spans="1:3" s="8" customFormat="1" x14ac:dyDescent="0.2">
      <c r="A5948" s="6" t="str">
        <f>"HOXC4"</f>
        <v>HOXC4</v>
      </c>
      <c r="B5948" s="6">
        <v>9.4094094094094097E-2</v>
      </c>
      <c r="C5948" s="6">
        <v>0.27821599975627198</v>
      </c>
    </row>
    <row r="5949" spans="1:3" s="8" customFormat="1" x14ac:dyDescent="0.2">
      <c r="A5949" s="6" t="str">
        <f>"ADAMTS7P3"</f>
        <v>ADAMTS7P3</v>
      </c>
      <c r="B5949" s="6">
        <v>9.4905094905094897E-2</v>
      </c>
      <c r="C5949" s="6">
        <v>0.27925220696304998</v>
      </c>
    </row>
    <row r="5950" spans="1:3" s="8" customFormat="1" x14ac:dyDescent="0.2">
      <c r="A5950" s="6" t="str">
        <f>"AC068989.1"</f>
        <v>AC068989.1</v>
      </c>
      <c r="B5950" s="6">
        <v>9.4905094905094897E-2</v>
      </c>
      <c r="C5950" s="6">
        <v>0.27925220696304998</v>
      </c>
    </row>
    <row r="5951" spans="1:3" s="8" customFormat="1" x14ac:dyDescent="0.2">
      <c r="A5951" s="6" t="str">
        <f>"OLAH"</f>
        <v>OLAH</v>
      </c>
      <c r="B5951" s="6">
        <v>9.4905094905094897E-2</v>
      </c>
      <c r="C5951" s="6">
        <v>0.27925220696304998</v>
      </c>
    </row>
    <row r="5952" spans="1:3" s="8" customFormat="1" x14ac:dyDescent="0.2">
      <c r="A5952" s="6" t="str">
        <f>"ZSCAN12P1"</f>
        <v>ZSCAN12P1</v>
      </c>
      <c r="B5952" s="6">
        <v>9.4905094905094897E-2</v>
      </c>
      <c r="C5952" s="6">
        <v>0.27925220696304998</v>
      </c>
    </row>
    <row r="5953" spans="1:3" s="8" customFormat="1" x14ac:dyDescent="0.2">
      <c r="A5953" s="6" t="str">
        <f>"AIFM3"</f>
        <v>AIFM3</v>
      </c>
      <c r="B5953" s="6">
        <v>9.4905094905094897E-2</v>
      </c>
      <c r="C5953" s="6">
        <v>0.27925220696304998</v>
      </c>
    </row>
    <row r="5954" spans="1:3" s="8" customFormat="1" x14ac:dyDescent="0.2">
      <c r="A5954" s="6" t="str">
        <f>"CENPS-CORT"</f>
        <v>CENPS-CORT</v>
      </c>
      <c r="B5954" s="6">
        <v>9.4905094905094897E-2</v>
      </c>
      <c r="C5954" s="6">
        <v>0.27925220696304998</v>
      </c>
    </row>
    <row r="5955" spans="1:3" s="8" customFormat="1" x14ac:dyDescent="0.2">
      <c r="A5955" s="6" t="str">
        <f>"AC016065.1"</f>
        <v>AC016065.1</v>
      </c>
      <c r="B5955" s="6">
        <v>9.4905094905094897E-2</v>
      </c>
      <c r="C5955" s="6">
        <v>0.27925220696304998</v>
      </c>
    </row>
    <row r="5956" spans="1:3" s="8" customFormat="1" x14ac:dyDescent="0.2">
      <c r="A5956" s="6" t="str">
        <f>"ZNF66"</f>
        <v>ZNF66</v>
      </c>
      <c r="B5956" s="6">
        <v>9.4905094905094897E-2</v>
      </c>
      <c r="C5956" s="6">
        <v>0.27925220696304998</v>
      </c>
    </row>
    <row r="5957" spans="1:3" s="8" customFormat="1" x14ac:dyDescent="0.2">
      <c r="A5957" s="6" t="str">
        <f>"SIX3-AS1"</f>
        <v>SIX3-AS1</v>
      </c>
      <c r="B5957" s="6">
        <v>9.4905094905094897E-2</v>
      </c>
      <c r="C5957" s="6">
        <v>0.27925220696304998</v>
      </c>
    </row>
    <row r="5958" spans="1:3" s="8" customFormat="1" x14ac:dyDescent="0.2">
      <c r="A5958" s="6" t="str">
        <f>"ZNF654"</f>
        <v>ZNF654</v>
      </c>
      <c r="B5958" s="6">
        <v>9.4905094905094897E-2</v>
      </c>
      <c r="C5958" s="6">
        <v>0.27925220696304998</v>
      </c>
    </row>
    <row r="5959" spans="1:3" s="8" customFormat="1" x14ac:dyDescent="0.2">
      <c r="A5959" s="6" t="str">
        <f>"CLCN5"</f>
        <v>CLCN5</v>
      </c>
      <c r="B5959" s="6">
        <v>9.4905094905094897E-2</v>
      </c>
      <c r="C5959" s="6">
        <v>0.27925220696304998</v>
      </c>
    </row>
    <row r="5960" spans="1:3" s="8" customFormat="1" x14ac:dyDescent="0.2">
      <c r="A5960" s="6" t="str">
        <f>"LTB4R"</f>
        <v>LTB4R</v>
      </c>
      <c r="B5960" s="6">
        <v>9.4905094905094897E-2</v>
      </c>
      <c r="C5960" s="6">
        <v>0.27925220696304998</v>
      </c>
    </row>
    <row r="5961" spans="1:3" s="8" customFormat="1" x14ac:dyDescent="0.2">
      <c r="A5961" s="6" t="str">
        <f>"PIN4"</f>
        <v>PIN4</v>
      </c>
      <c r="B5961" s="6">
        <v>9.4905094905094897E-2</v>
      </c>
      <c r="C5961" s="6">
        <v>0.27925220696304998</v>
      </c>
    </row>
    <row r="5962" spans="1:3" s="8" customFormat="1" x14ac:dyDescent="0.2">
      <c r="A5962" s="6" t="str">
        <f>"DTD1"</f>
        <v>DTD1</v>
      </c>
      <c r="B5962" s="6">
        <v>9.4905094905094897E-2</v>
      </c>
      <c r="C5962" s="6">
        <v>0.27925220696304998</v>
      </c>
    </row>
    <row r="5963" spans="1:3" s="8" customFormat="1" x14ac:dyDescent="0.2">
      <c r="A5963" s="6" t="str">
        <f>"PIGX"</f>
        <v>PIGX</v>
      </c>
      <c r="B5963" s="6">
        <v>9.4905094905094897E-2</v>
      </c>
      <c r="C5963" s="6">
        <v>0.27925220696304998</v>
      </c>
    </row>
    <row r="5964" spans="1:3" s="8" customFormat="1" x14ac:dyDescent="0.2">
      <c r="A5964" s="6" t="str">
        <f>"GTF2H3"</f>
        <v>GTF2H3</v>
      </c>
      <c r="B5964" s="6">
        <v>9.4905094905094897E-2</v>
      </c>
      <c r="C5964" s="6">
        <v>0.27925220696304998</v>
      </c>
    </row>
    <row r="5965" spans="1:3" s="8" customFormat="1" x14ac:dyDescent="0.2">
      <c r="A5965" s="6" t="str">
        <f>"ABL2"</f>
        <v>ABL2</v>
      </c>
      <c r="B5965" s="6">
        <v>9.4905094905094897E-2</v>
      </c>
      <c r="C5965" s="6">
        <v>0.27925220696304998</v>
      </c>
    </row>
    <row r="5966" spans="1:3" s="8" customFormat="1" x14ac:dyDescent="0.2">
      <c r="A5966" s="6" t="str">
        <f>"SMG9"</f>
        <v>SMG9</v>
      </c>
      <c r="B5966" s="6">
        <v>9.4905094905094897E-2</v>
      </c>
      <c r="C5966" s="6">
        <v>0.27925220696304998</v>
      </c>
    </row>
    <row r="5967" spans="1:3" s="8" customFormat="1" x14ac:dyDescent="0.2">
      <c r="A5967" s="6" t="str">
        <f>"PFKM"</f>
        <v>PFKM</v>
      </c>
      <c r="B5967" s="6">
        <v>9.4905094905094897E-2</v>
      </c>
      <c r="C5967" s="6">
        <v>0.27925220696304998</v>
      </c>
    </row>
    <row r="5968" spans="1:3" s="8" customFormat="1" x14ac:dyDescent="0.2">
      <c r="A5968" s="6" t="str">
        <f>"FSD1L"</f>
        <v>FSD1L</v>
      </c>
      <c r="B5968" s="6">
        <v>9.4905094905094897E-2</v>
      </c>
      <c r="C5968" s="6">
        <v>0.27925220696304998</v>
      </c>
    </row>
    <row r="5969" spans="1:3" s="8" customFormat="1" x14ac:dyDescent="0.2">
      <c r="A5969" s="6" t="str">
        <f>"DHRS1"</f>
        <v>DHRS1</v>
      </c>
      <c r="B5969" s="6">
        <v>9.4905094905094897E-2</v>
      </c>
      <c r="C5969" s="6">
        <v>0.27925220696304998</v>
      </c>
    </row>
    <row r="5970" spans="1:3" s="8" customFormat="1" x14ac:dyDescent="0.2">
      <c r="A5970" s="6" t="str">
        <f>"CCDC120"</f>
        <v>CCDC120</v>
      </c>
      <c r="B5970" s="6">
        <v>9.4905094905094897E-2</v>
      </c>
      <c r="C5970" s="6">
        <v>0.27925220696304998</v>
      </c>
    </row>
    <row r="5971" spans="1:3" s="8" customFormat="1" x14ac:dyDescent="0.2">
      <c r="A5971" s="6" t="str">
        <f>"SLITRK6"</f>
        <v>SLITRK6</v>
      </c>
      <c r="B5971" s="6">
        <v>9.4905094905094897E-2</v>
      </c>
      <c r="C5971" s="6">
        <v>0.27925220696304998</v>
      </c>
    </row>
    <row r="5972" spans="1:3" s="8" customFormat="1" x14ac:dyDescent="0.2">
      <c r="A5972" s="6" t="str">
        <f>"LRRC8B"</f>
        <v>LRRC8B</v>
      </c>
      <c r="B5972" s="6">
        <v>9.4905094905094897E-2</v>
      </c>
      <c r="C5972" s="6">
        <v>0.27925220696304998</v>
      </c>
    </row>
    <row r="5973" spans="1:3" s="8" customFormat="1" x14ac:dyDescent="0.2">
      <c r="A5973" s="6" t="str">
        <f>"IKBKB"</f>
        <v>IKBKB</v>
      </c>
      <c r="B5973" s="6">
        <v>9.4905094905094897E-2</v>
      </c>
      <c r="C5973" s="6">
        <v>0.27925220696304998</v>
      </c>
    </row>
    <row r="5974" spans="1:3" s="8" customFormat="1" x14ac:dyDescent="0.2">
      <c r="A5974" s="6" t="str">
        <f>"CBX7"</f>
        <v>CBX7</v>
      </c>
      <c r="B5974" s="6">
        <v>9.4905094905094897E-2</v>
      </c>
      <c r="C5974" s="6">
        <v>0.27925220696304998</v>
      </c>
    </row>
    <row r="5975" spans="1:3" s="8" customFormat="1" x14ac:dyDescent="0.2">
      <c r="A5975" s="6" t="str">
        <f>"FAM20B"</f>
        <v>FAM20B</v>
      </c>
      <c r="B5975" s="6">
        <v>9.4905094905094897E-2</v>
      </c>
      <c r="C5975" s="6">
        <v>0.27925220696304998</v>
      </c>
    </row>
    <row r="5976" spans="1:3" s="8" customFormat="1" x14ac:dyDescent="0.2">
      <c r="A5976" s="6" t="str">
        <f>"GGA2"</f>
        <v>GGA2</v>
      </c>
      <c r="B5976" s="6">
        <v>9.4905094905094897E-2</v>
      </c>
      <c r="C5976" s="6">
        <v>0.27925220696304998</v>
      </c>
    </row>
    <row r="5977" spans="1:3" s="8" customFormat="1" x14ac:dyDescent="0.2">
      <c r="A5977" s="6" t="str">
        <f>"PPP6R1"</f>
        <v>PPP6R1</v>
      </c>
      <c r="B5977" s="6">
        <v>9.4905094905094897E-2</v>
      </c>
      <c r="C5977" s="6">
        <v>0.27925220696304998</v>
      </c>
    </row>
    <row r="5978" spans="1:3" s="8" customFormat="1" x14ac:dyDescent="0.2">
      <c r="A5978" s="6" t="str">
        <f>"AL392023.2"</f>
        <v>AL392023.2</v>
      </c>
      <c r="B5978" s="6">
        <v>9.5000000000000001E-2</v>
      </c>
      <c r="C5978" s="6">
        <v>0.27939120254223099</v>
      </c>
    </row>
    <row r="5979" spans="1:3" s="8" customFormat="1" x14ac:dyDescent="0.2">
      <c r="A5979" s="6" t="str">
        <f>"CDH8"</f>
        <v>CDH8</v>
      </c>
      <c r="B5979" s="6">
        <v>9.5000000000000001E-2</v>
      </c>
      <c r="C5979" s="6">
        <v>0.27939120254223099</v>
      </c>
    </row>
    <row r="5980" spans="1:3" s="8" customFormat="1" x14ac:dyDescent="0.2">
      <c r="A5980" s="6" t="str">
        <f>"CTU1"</f>
        <v>CTU1</v>
      </c>
      <c r="B5980" s="6">
        <v>9.5000000000000001E-2</v>
      </c>
      <c r="C5980" s="6">
        <v>0.27939120254223099</v>
      </c>
    </row>
    <row r="5981" spans="1:3" s="8" customFormat="1" x14ac:dyDescent="0.2">
      <c r="A5981" s="6" t="str">
        <f>"AC124254.2"</f>
        <v>AC124254.2</v>
      </c>
      <c r="B5981" s="6">
        <v>9.5381526104417594E-2</v>
      </c>
      <c r="C5981" s="6">
        <v>0.28046634699332401</v>
      </c>
    </row>
    <row r="5982" spans="1:3" s="8" customFormat="1" x14ac:dyDescent="0.2">
      <c r="A5982" s="6" t="str">
        <f>"AL035420.1"</f>
        <v>AL035420.1</v>
      </c>
      <c r="B5982" s="6">
        <v>9.5904095904095904E-2</v>
      </c>
      <c r="C5982" s="6">
        <v>0.28054859796666398</v>
      </c>
    </row>
    <row r="5983" spans="1:3" s="8" customFormat="1" x14ac:dyDescent="0.2">
      <c r="A5983" s="6" t="str">
        <f>"KCTD19"</f>
        <v>KCTD19</v>
      </c>
      <c r="B5983" s="6">
        <v>9.5904095904095904E-2</v>
      </c>
      <c r="C5983" s="6">
        <v>0.28054859796666398</v>
      </c>
    </row>
    <row r="5984" spans="1:3" s="8" customFormat="1" x14ac:dyDescent="0.2">
      <c r="A5984" s="6" t="str">
        <f>"LRRC32"</f>
        <v>LRRC32</v>
      </c>
      <c r="B5984" s="6">
        <v>9.5904095904095904E-2</v>
      </c>
      <c r="C5984" s="6">
        <v>0.28054859796666398</v>
      </c>
    </row>
    <row r="5985" spans="1:3" s="8" customFormat="1" x14ac:dyDescent="0.2">
      <c r="A5985" s="6" t="str">
        <f>"DLEU7"</f>
        <v>DLEU7</v>
      </c>
      <c r="B5985" s="6">
        <v>9.5904095904095904E-2</v>
      </c>
      <c r="C5985" s="6">
        <v>0.28054859796666398</v>
      </c>
    </row>
    <row r="5986" spans="1:3" s="8" customFormat="1" x14ac:dyDescent="0.2">
      <c r="A5986" s="6" t="str">
        <f>"FBXL16"</f>
        <v>FBXL16</v>
      </c>
      <c r="B5986" s="6">
        <v>9.5904095904095904E-2</v>
      </c>
      <c r="C5986" s="6">
        <v>0.28054859796666398</v>
      </c>
    </row>
    <row r="5987" spans="1:3" s="8" customFormat="1" x14ac:dyDescent="0.2">
      <c r="A5987" s="6" t="str">
        <f>"CLDN15"</f>
        <v>CLDN15</v>
      </c>
      <c r="B5987" s="6">
        <v>9.5904095904095904E-2</v>
      </c>
      <c r="C5987" s="6">
        <v>0.28054859796666398</v>
      </c>
    </row>
    <row r="5988" spans="1:3" s="8" customFormat="1" x14ac:dyDescent="0.2">
      <c r="A5988" s="6" t="str">
        <f>"VAMP1"</f>
        <v>VAMP1</v>
      </c>
      <c r="B5988" s="6">
        <v>9.5904095904095904E-2</v>
      </c>
      <c r="C5988" s="6">
        <v>0.28054859796666398</v>
      </c>
    </row>
    <row r="5989" spans="1:3" s="8" customFormat="1" x14ac:dyDescent="0.2">
      <c r="A5989" s="6" t="str">
        <f>"SNHG9"</f>
        <v>SNHG9</v>
      </c>
      <c r="B5989" s="6">
        <v>9.5904095904095904E-2</v>
      </c>
      <c r="C5989" s="6">
        <v>0.28054859796666398</v>
      </c>
    </row>
    <row r="5990" spans="1:3" s="8" customFormat="1" x14ac:dyDescent="0.2">
      <c r="A5990" s="6" t="str">
        <f>"ACKR2"</f>
        <v>ACKR2</v>
      </c>
      <c r="B5990" s="6">
        <v>9.5904095904095904E-2</v>
      </c>
      <c r="C5990" s="6">
        <v>0.28054859796666398</v>
      </c>
    </row>
    <row r="5991" spans="1:3" s="8" customFormat="1" x14ac:dyDescent="0.2">
      <c r="A5991" s="6" t="str">
        <f>"IL15RA"</f>
        <v>IL15RA</v>
      </c>
      <c r="B5991" s="6">
        <v>9.5904095904095904E-2</v>
      </c>
      <c r="C5991" s="6">
        <v>0.28054859796666398</v>
      </c>
    </row>
    <row r="5992" spans="1:3" s="8" customFormat="1" x14ac:dyDescent="0.2">
      <c r="A5992" s="6" t="str">
        <f>"METTL22"</f>
        <v>METTL22</v>
      </c>
      <c r="B5992" s="6">
        <v>9.5904095904095904E-2</v>
      </c>
      <c r="C5992" s="6">
        <v>0.28054859796666398</v>
      </c>
    </row>
    <row r="5993" spans="1:3" s="8" customFormat="1" x14ac:dyDescent="0.2">
      <c r="A5993" s="6" t="str">
        <f>"PAXX"</f>
        <v>PAXX</v>
      </c>
      <c r="B5993" s="6">
        <v>9.5904095904095904E-2</v>
      </c>
      <c r="C5993" s="6">
        <v>0.28054859796666398</v>
      </c>
    </row>
    <row r="5994" spans="1:3" s="8" customFormat="1" x14ac:dyDescent="0.2">
      <c r="A5994" s="6" t="str">
        <f>"FRG1HP"</f>
        <v>FRG1HP</v>
      </c>
      <c r="B5994" s="6">
        <v>9.5904095904095904E-2</v>
      </c>
      <c r="C5994" s="6">
        <v>0.28054859796666398</v>
      </c>
    </row>
    <row r="5995" spans="1:3" s="8" customFormat="1" x14ac:dyDescent="0.2">
      <c r="A5995" s="6" t="str">
        <f>"BLOC1S5"</f>
        <v>BLOC1S5</v>
      </c>
      <c r="B5995" s="6">
        <v>9.5904095904095904E-2</v>
      </c>
      <c r="C5995" s="6">
        <v>0.28054859796666398</v>
      </c>
    </row>
    <row r="5996" spans="1:3" s="8" customFormat="1" x14ac:dyDescent="0.2">
      <c r="A5996" s="6" t="str">
        <f>"NRP1"</f>
        <v>NRP1</v>
      </c>
      <c r="B5996" s="6">
        <v>9.5904095904095904E-2</v>
      </c>
      <c r="C5996" s="6">
        <v>0.28054859796666398</v>
      </c>
    </row>
    <row r="5997" spans="1:3" s="8" customFormat="1" x14ac:dyDescent="0.2">
      <c r="A5997" s="6" t="str">
        <f>"MTHFSD"</f>
        <v>MTHFSD</v>
      </c>
      <c r="B5997" s="6">
        <v>9.5904095904095904E-2</v>
      </c>
      <c r="C5997" s="6">
        <v>0.28054859796666398</v>
      </c>
    </row>
    <row r="5998" spans="1:3" s="8" customFormat="1" x14ac:dyDescent="0.2">
      <c r="A5998" s="6" t="str">
        <f>"IGHMBP2"</f>
        <v>IGHMBP2</v>
      </c>
      <c r="B5998" s="6">
        <v>9.5904095904095904E-2</v>
      </c>
      <c r="C5998" s="6">
        <v>0.28054859796666398</v>
      </c>
    </row>
    <row r="5999" spans="1:3" s="8" customFormat="1" x14ac:dyDescent="0.2">
      <c r="A5999" s="6" t="str">
        <f>"LIX1L"</f>
        <v>LIX1L</v>
      </c>
      <c r="B5999" s="6">
        <v>9.5904095904095904E-2</v>
      </c>
      <c r="C5999" s="6">
        <v>0.28054859796666398</v>
      </c>
    </row>
    <row r="6000" spans="1:3" s="8" customFormat="1" x14ac:dyDescent="0.2">
      <c r="A6000" s="6" t="str">
        <f>"LUC7L"</f>
        <v>LUC7L</v>
      </c>
      <c r="B6000" s="6">
        <v>9.5904095904095904E-2</v>
      </c>
      <c r="C6000" s="6">
        <v>0.28054859796666398</v>
      </c>
    </row>
    <row r="6001" spans="1:3" s="8" customFormat="1" x14ac:dyDescent="0.2">
      <c r="A6001" s="6" t="str">
        <f>"PYM1"</f>
        <v>PYM1</v>
      </c>
      <c r="B6001" s="6">
        <v>9.5904095904095904E-2</v>
      </c>
      <c r="C6001" s="6">
        <v>0.28054859796666398</v>
      </c>
    </row>
    <row r="6002" spans="1:3" s="8" customFormat="1" x14ac:dyDescent="0.2">
      <c r="A6002" s="6" t="str">
        <f>"SLC49A4"</f>
        <v>SLC49A4</v>
      </c>
      <c r="B6002" s="6">
        <v>9.5904095904095904E-2</v>
      </c>
      <c r="C6002" s="6">
        <v>0.28054859796666398</v>
      </c>
    </row>
    <row r="6003" spans="1:3" s="8" customFormat="1" x14ac:dyDescent="0.2">
      <c r="A6003" s="6" t="str">
        <f>"CCDC12"</f>
        <v>CCDC12</v>
      </c>
      <c r="B6003" s="6">
        <v>9.5904095904095904E-2</v>
      </c>
      <c r="C6003" s="6">
        <v>0.28054859796666398</v>
      </c>
    </row>
    <row r="6004" spans="1:3" s="8" customFormat="1" x14ac:dyDescent="0.2">
      <c r="A6004" s="6" t="str">
        <f>"AP1S1"</f>
        <v>AP1S1</v>
      </c>
      <c r="B6004" s="6">
        <v>9.5904095904095904E-2</v>
      </c>
      <c r="C6004" s="6">
        <v>0.28054859796666398</v>
      </c>
    </row>
    <row r="6005" spans="1:3" s="8" customFormat="1" x14ac:dyDescent="0.2">
      <c r="A6005" s="6" t="str">
        <f>"RNF19A"</f>
        <v>RNF19A</v>
      </c>
      <c r="B6005" s="6">
        <v>9.5904095904095904E-2</v>
      </c>
      <c r="C6005" s="6">
        <v>0.28054859796666398</v>
      </c>
    </row>
    <row r="6006" spans="1:3" s="8" customFormat="1" x14ac:dyDescent="0.2">
      <c r="A6006" s="6" t="str">
        <f>"PBX2"</f>
        <v>PBX2</v>
      </c>
      <c r="B6006" s="6">
        <v>9.5904095904095904E-2</v>
      </c>
      <c r="C6006" s="6">
        <v>0.28054859796666398</v>
      </c>
    </row>
    <row r="6007" spans="1:3" s="8" customFormat="1" x14ac:dyDescent="0.2">
      <c r="A6007" s="6" t="str">
        <f>"BNIP3L"</f>
        <v>BNIP3L</v>
      </c>
      <c r="B6007" s="6">
        <v>9.5904095904095904E-2</v>
      </c>
      <c r="C6007" s="6">
        <v>0.28054859796666398</v>
      </c>
    </row>
    <row r="6008" spans="1:3" s="8" customFormat="1" x14ac:dyDescent="0.2">
      <c r="A6008" s="6" t="str">
        <f>"PTEN"</f>
        <v>PTEN</v>
      </c>
      <c r="B6008" s="6">
        <v>9.5904095904095904E-2</v>
      </c>
      <c r="C6008" s="6">
        <v>0.28054859796666398</v>
      </c>
    </row>
    <row r="6009" spans="1:3" s="8" customFormat="1" x14ac:dyDescent="0.2">
      <c r="A6009" s="6" t="str">
        <f>"GOLPH3"</f>
        <v>GOLPH3</v>
      </c>
      <c r="B6009" s="6">
        <v>9.5904095904095904E-2</v>
      </c>
      <c r="C6009" s="6">
        <v>0.28054859796666398</v>
      </c>
    </row>
    <row r="6010" spans="1:3" s="8" customFormat="1" x14ac:dyDescent="0.2">
      <c r="A6010" s="6" t="str">
        <f>"CFH"</f>
        <v>CFH</v>
      </c>
      <c r="B6010" s="6">
        <v>9.5904095904095904E-2</v>
      </c>
      <c r="C6010" s="6">
        <v>0.28054859796666398</v>
      </c>
    </row>
    <row r="6011" spans="1:3" s="8" customFormat="1" x14ac:dyDescent="0.2">
      <c r="A6011" s="6" t="str">
        <f>"DUOX1"</f>
        <v>DUOX1</v>
      </c>
      <c r="B6011" s="6">
        <v>9.5904095904095904E-2</v>
      </c>
      <c r="C6011" s="6">
        <v>0.28054859796666398</v>
      </c>
    </row>
    <row r="6012" spans="1:3" s="8" customFormat="1" x14ac:dyDescent="0.2">
      <c r="A6012" s="6" t="str">
        <f>"KIAA1522"</f>
        <v>KIAA1522</v>
      </c>
      <c r="B6012" s="6">
        <v>9.5904095904095904E-2</v>
      </c>
      <c r="C6012" s="6">
        <v>0.28054859796666398</v>
      </c>
    </row>
    <row r="6013" spans="1:3" s="8" customFormat="1" x14ac:dyDescent="0.2">
      <c r="A6013" s="6" t="str">
        <f>"Z69720.1"</f>
        <v>Z69720.1</v>
      </c>
      <c r="B6013" s="6">
        <v>9.6000000000000002E-2</v>
      </c>
      <c r="C6013" s="6">
        <v>0.280689058862653</v>
      </c>
    </row>
    <row r="6014" spans="1:3" s="8" customFormat="1" x14ac:dyDescent="0.2">
      <c r="A6014" s="6" t="str">
        <f>"GSTT2"</f>
        <v>GSTT2</v>
      </c>
      <c r="B6014" s="6">
        <v>9.6000000000000002E-2</v>
      </c>
      <c r="C6014" s="6">
        <v>0.280689058862653</v>
      </c>
    </row>
    <row r="6015" spans="1:3" s="8" customFormat="1" x14ac:dyDescent="0.2">
      <c r="A6015" s="6" t="str">
        <f>"RPS2P46"</f>
        <v>RPS2P46</v>
      </c>
      <c r="B6015" s="6">
        <v>9.6000000000000002E-2</v>
      </c>
      <c r="C6015" s="6">
        <v>0.280689058862653</v>
      </c>
    </row>
    <row r="6016" spans="1:3" s="8" customFormat="1" x14ac:dyDescent="0.2">
      <c r="A6016" s="6" t="str">
        <f>"Z99716.2"</f>
        <v>Z99716.2</v>
      </c>
      <c r="B6016" s="6">
        <v>9.6212896622313193E-2</v>
      </c>
      <c r="C6016" s="6">
        <v>0.28126476711666698</v>
      </c>
    </row>
    <row r="6017" spans="1:3" s="8" customFormat="1" x14ac:dyDescent="0.2">
      <c r="A6017" s="6" t="str">
        <f>"NCOA3"</f>
        <v>NCOA3</v>
      </c>
      <c r="B6017" s="6">
        <v>9.6288866599799405E-2</v>
      </c>
      <c r="C6017" s="6">
        <v>0.28144006487547701</v>
      </c>
    </row>
    <row r="6018" spans="1:3" s="8" customFormat="1" x14ac:dyDescent="0.2">
      <c r="A6018" s="6" t="str">
        <f>"AC091180.3"</f>
        <v>AC091180.3</v>
      </c>
      <c r="B6018" s="6">
        <v>9.6385542168674704E-2</v>
      </c>
      <c r="C6018" s="6">
        <v>0.28167581410901998</v>
      </c>
    </row>
    <row r="6019" spans="1:3" s="8" customFormat="1" x14ac:dyDescent="0.2">
      <c r="A6019" s="6" t="str">
        <f>"OGFR-AS1"</f>
        <v>OGFR-AS1</v>
      </c>
      <c r="B6019" s="6">
        <v>9.6903096903096897E-2</v>
      </c>
      <c r="C6019" s="6">
        <v>0.28169020597521099</v>
      </c>
    </row>
    <row r="6020" spans="1:3" s="8" customFormat="1" x14ac:dyDescent="0.2">
      <c r="A6020" s="6" t="str">
        <f>"AL359555.1"</f>
        <v>AL359555.1</v>
      </c>
      <c r="B6020" s="6">
        <v>9.6903096903096897E-2</v>
      </c>
      <c r="C6020" s="6">
        <v>0.28169020597521099</v>
      </c>
    </row>
    <row r="6021" spans="1:3" s="8" customFormat="1" x14ac:dyDescent="0.2">
      <c r="A6021" s="6" t="str">
        <f>"STKLD1"</f>
        <v>STKLD1</v>
      </c>
      <c r="B6021" s="6">
        <v>9.6903096903096897E-2</v>
      </c>
      <c r="C6021" s="6">
        <v>0.28169020597521099</v>
      </c>
    </row>
    <row r="6022" spans="1:3" s="8" customFormat="1" x14ac:dyDescent="0.2">
      <c r="A6022" s="6" t="str">
        <f>"BMS1P2"</f>
        <v>BMS1P2</v>
      </c>
      <c r="B6022" s="6">
        <v>9.6903096903096897E-2</v>
      </c>
      <c r="C6022" s="6">
        <v>0.28169020597521099</v>
      </c>
    </row>
    <row r="6023" spans="1:3" s="8" customFormat="1" x14ac:dyDescent="0.2">
      <c r="A6023" s="6" t="str">
        <f>"AL138824.1"</f>
        <v>AL138824.1</v>
      </c>
      <c r="B6023" s="6">
        <v>9.6903096903096897E-2</v>
      </c>
      <c r="C6023" s="6">
        <v>0.28169020597521099</v>
      </c>
    </row>
    <row r="6024" spans="1:3" s="8" customFormat="1" x14ac:dyDescent="0.2">
      <c r="A6024" s="6" t="str">
        <f>"AC046185.3"</f>
        <v>AC046185.3</v>
      </c>
      <c r="B6024" s="6">
        <v>9.6903096903096897E-2</v>
      </c>
      <c r="C6024" s="6">
        <v>0.28169020597521099</v>
      </c>
    </row>
    <row r="6025" spans="1:3" s="8" customFormat="1" x14ac:dyDescent="0.2">
      <c r="A6025" s="6" t="str">
        <f>"AC105101.2"</f>
        <v>AC105101.2</v>
      </c>
      <c r="B6025" s="6">
        <v>9.6903096903096897E-2</v>
      </c>
      <c r="C6025" s="6">
        <v>0.28169020597521099</v>
      </c>
    </row>
    <row r="6026" spans="1:3" s="8" customFormat="1" x14ac:dyDescent="0.2">
      <c r="A6026" s="6" t="str">
        <f>"PCAT14"</f>
        <v>PCAT14</v>
      </c>
      <c r="B6026" s="6">
        <v>9.6903096903096897E-2</v>
      </c>
      <c r="C6026" s="6">
        <v>0.28169020597521099</v>
      </c>
    </row>
    <row r="6027" spans="1:3" s="8" customFormat="1" x14ac:dyDescent="0.2">
      <c r="A6027" s="6" t="str">
        <f>"TRO"</f>
        <v>TRO</v>
      </c>
      <c r="B6027" s="6">
        <v>9.6903096903096897E-2</v>
      </c>
      <c r="C6027" s="6">
        <v>0.28169020597521099</v>
      </c>
    </row>
    <row r="6028" spans="1:3" s="8" customFormat="1" x14ac:dyDescent="0.2">
      <c r="A6028" s="6" t="str">
        <f>"PARGP1"</f>
        <v>PARGP1</v>
      </c>
      <c r="B6028" s="6">
        <v>9.6903096903096897E-2</v>
      </c>
      <c r="C6028" s="6">
        <v>0.28169020597521099</v>
      </c>
    </row>
    <row r="6029" spans="1:3" s="8" customFormat="1" x14ac:dyDescent="0.2">
      <c r="A6029" s="6" t="str">
        <f>"KIRREL1"</f>
        <v>KIRREL1</v>
      </c>
      <c r="B6029" s="6">
        <v>9.6903096903096897E-2</v>
      </c>
      <c r="C6029" s="6">
        <v>0.28169020597521099</v>
      </c>
    </row>
    <row r="6030" spans="1:3" s="8" customFormat="1" x14ac:dyDescent="0.2">
      <c r="A6030" s="6" t="str">
        <f>"RRAGB"</f>
        <v>RRAGB</v>
      </c>
      <c r="B6030" s="6">
        <v>9.6903096903096897E-2</v>
      </c>
      <c r="C6030" s="6">
        <v>0.28169020597521099</v>
      </c>
    </row>
    <row r="6031" spans="1:3" s="8" customFormat="1" x14ac:dyDescent="0.2">
      <c r="A6031" s="6" t="str">
        <f>"LINC01765"</f>
        <v>LINC01765</v>
      </c>
      <c r="B6031" s="6">
        <v>9.6903096903096897E-2</v>
      </c>
      <c r="C6031" s="6">
        <v>0.28169020597521099</v>
      </c>
    </row>
    <row r="6032" spans="1:3" s="8" customFormat="1" x14ac:dyDescent="0.2">
      <c r="A6032" s="6" t="str">
        <f>"LRRC37A3"</f>
        <v>LRRC37A3</v>
      </c>
      <c r="B6032" s="6">
        <v>9.6903096903096897E-2</v>
      </c>
      <c r="C6032" s="6">
        <v>0.28169020597521099</v>
      </c>
    </row>
    <row r="6033" spans="1:3" s="8" customFormat="1" x14ac:dyDescent="0.2">
      <c r="A6033" s="6" t="str">
        <f>"GALT"</f>
        <v>GALT</v>
      </c>
      <c r="B6033" s="6">
        <v>9.6903096903096897E-2</v>
      </c>
      <c r="C6033" s="6">
        <v>0.28169020597521099</v>
      </c>
    </row>
    <row r="6034" spans="1:3" s="8" customFormat="1" x14ac:dyDescent="0.2">
      <c r="A6034" s="6" t="str">
        <f>"ZNF542P"</f>
        <v>ZNF542P</v>
      </c>
      <c r="B6034" s="6">
        <v>9.6903096903096897E-2</v>
      </c>
      <c r="C6034" s="6">
        <v>0.28169020597521099</v>
      </c>
    </row>
    <row r="6035" spans="1:3" s="8" customFormat="1" x14ac:dyDescent="0.2">
      <c r="A6035" s="6" t="str">
        <f>"KCTD21"</f>
        <v>KCTD21</v>
      </c>
      <c r="B6035" s="6">
        <v>9.6903096903096897E-2</v>
      </c>
      <c r="C6035" s="6">
        <v>0.28169020597521099</v>
      </c>
    </row>
    <row r="6036" spans="1:3" s="8" customFormat="1" x14ac:dyDescent="0.2">
      <c r="A6036" s="6" t="str">
        <f>"HEATR3"</f>
        <v>HEATR3</v>
      </c>
      <c r="B6036" s="6">
        <v>9.6903096903096897E-2</v>
      </c>
      <c r="C6036" s="6">
        <v>0.28169020597521099</v>
      </c>
    </row>
    <row r="6037" spans="1:3" s="8" customFormat="1" x14ac:dyDescent="0.2">
      <c r="A6037" s="6" t="str">
        <f>"METTL5"</f>
        <v>METTL5</v>
      </c>
      <c r="B6037" s="6">
        <v>9.6903096903096897E-2</v>
      </c>
      <c r="C6037" s="6">
        <v>0.28169020597521099</v>
      </c>
    </row>
    <row r="6038" spans="1:3" s="8" customFormat="1" x14ac:dyDescent="0.2">
      <c r="A6038" s="6" t="str">
        <f>"SOX15"</f>
        <v>SOX15</v>
      </c>
      <c r="B6038" s="6">
        <v>9.6903096903096897E-2</v>
      </c>
      <c r="C6038" s="6">
        <v>0.28169020597521099</v>
      </c>
    </row>
    <row r="6039" spans="1:3" s="8" customFormat="1" x14ac:dyDescent="0.2">
      <c r="A6039" s="6" t="str">
        <f>"NHLRC3"</f>
        <v>NHLRC3</v>
      </c>
      <c r="B6039" s="6">
        <v>9.6903096903096897E-2</v>
      </c>
      <c r="C6039" s="6">
        <v>0.28169020597521099</v>
      </c>
    </row>
    <row r="6040" spans="1:3" s="8" customFormat="1" x14ac:dyDescent="0.2">
      <c r="A6040" s="6" t="str">
        <f>"ATG4D"</f>
        <v>ATG4D</v>
      </c>
      <c r="B6040" s="6">
        <v>9.6903096903096897E-2</v>
      </c>
      <c r="C6040" s="6">
        <v>0.28169020597521099</v>
      </c>
    </row>
    <row r="6041" spans="1:3" s="8" customFormat="1" x14ac:dyDescent="0.2">
      <c r="A6041" s="6" t="str">
        <f>"FBLN5"</f>
        <v>FBLN5</v>
      </c>
      <c r="B6041" s="6">
        <v>9.6903096903096897E-2</v>
      </c>
      <c r="C6041" s="6">
        <v>0.28169020597521099</v>
      </c>
    </row>
    <row r="6042" spans="1:3" s="8" customFormat="1" x14ac:dyDescent="0.2">
      <c r="A6042" s="6" t="str">
        <f>"HES6"</f>
        <v>HES6</v>
      </c>
      <c r="B6042" s="6">
        <v>9.6903096903096897E-2</v>
      </c>
      <c r="C6042" s="6">
        <v>0.28169020597521099</v>
      </c>
    </row>
    <row r="6043" spans="1:3" s="8" customFormat="1" x14ac:dyDescent="0.2">
      <c r="A6043" s="6" t="str">
        <f>"HDDC2"</f>
        <v>HDDC2</v>
      </c>
      <c r="B6043" s="6">
        <v>9.6903096903096897E-2</v>
      </c>
      <c r="C6043" s="6">
        <v>0.28169020597521099</v>
      </c>
    </row>
    <row r="6044" spans="1:3" s="8" customFormat="1" x14ac:dyDescent="0.2">
      <c r="A6044" s="6" t="str">
        <f>"MVK"</f>
        <v>MVK</v>
      </c>
      <c r="B6044" s="6">
        <v>9.6903096903096897E-2</v>
      </c>
      <c r="C6044" s="6">
        <v>0.28169020597521099</v>
      </c>
    </row>
    <row r="6045" spans="1:3" s="8" customFormat="1" x14ac:dyDescent="0.2">
      <c r="A6045" s="6" t="str">
        <f>"BUB3"</f>
        <v>BUB3</v>
      </c>
      <c r="B6045" s="6">
        <v>9.6903096903096897E-2</v>
      </c>
      <c r="C6045" s="6">
        <v>0.28169020597521099</v>
      </c>
    </row>
    <row r="6046" spans="1:3" s="8" customFormat="1" x14ac:dyDescent="0.2">
      <c r="A6046" s="6" t="str">
        <f>"PQBP1"</f>
        <v>PQBP1</v>
      </c>
      <c r="B6046" s="6">
        <v>9.6903096903096897E-2</v>
      </c>
      <c r="C6046" s="6">
        <v>0.28169020597521099</v>
      </c>
    </row>
    <row r="6047" spans="1:3" s="8" customFormat="1" x14ac:dyDescent="0.2">
      <c r="A6047" s="6" t="str">
        <f>"IL20RB"</f>
        <v>IL20RB</v>
      </c>
      <c r="B6047" s="6">
        <v>9.6903096903096897E-2</v>
      </c>
      <c r="C6047" s="6">
        <v>0.28169020597521099</v>
      </c>
    </row>
    <row r="6048" spans="1:3" s="8" customFormat="1" x14ac:dyDescent="0.2">
      <c r="A6048" s="6" t="str">
        <f>"RABEP1"</f>
        <v>RABEP1</v>
      </c>
      <c r="B6048" s="6">
        <v>9.6903096903096897E-2</v>
      </c>
      <c r="C6048" s="6">
        <v>0.28169020597521099</v>
      </c>
    </row>
    <row r="6049" spans="1:3" s="8" customFormat="1" x14ac:dyDescent="0.2">
      <c r="A6049" s="6" t="str">
        <f>"CAPN13"</f>
        <v>CAPN13</v>
      </c>
      <c r="B6049" s="6">
        <v>9.6903096903096897E-2</v>
      </c>
      <c r="C6049" s="6">
        <v>0.28169020597521099</v>
      </c>
    </row>
    <row r="6050" spans="1:3" s="8" customFormat="1" x14ac:dyDescent="0.2">
      <c r="A6050" s="6" t="str">
        <f>"PRDX5"</f>
        <v>PRDX5</v>
      </c>
      <c r="B6050" s="6">
        <v>9.6903096903096897E-2</v>
      </c>
      <c r="C6050" s="6">
        <v>0.28169020597521099</v>
      </c>
    </row>
    <row r="6051" spans="1:3" s="8" customFormat="1" x14ac:dyDescent="0.2">
      <c r="A6051" s="6" t="str">
        <f>"RDM1P5"</f>
        <v>RDM1P5</v>
      </c>
      <c r="B6051" s="6">
        <v>9.7000000000000003E-2</v>
      </c>
      <c r="C6051" s="6">
        <v>0.28187869773591101</v>
      </c>
    </row>
    <row r="6052" spans="1:3" s="8" customFormat="1" x14ac:dyDescent="0.2">
      <c r="A6052" s="6" t="str">
        <f>"SEPTIN5"</f>
        <v>SEPTIN5</v>
      </c>
      <c r="B6052" s="6">
        <v>9.7000000000000003E-2</v>
      </c>
      <c r="C6052" s="6">
        <v>0.28187869773591101</v>
      </c>
    </row>
    <row r="6053" spans="1:3" s="8" customFormat="1" x14ac:dyDescent="0.2">
      <c r="A6053" s="6" t="str">
        <f>"KCTD9P4"</f>
        <v>KCTD9P4</v>
      </c>
      <c r="B6053" s="6">
        <v>9.70377936670071E-2</v>
      </c>
      <c r="C6053" s="6">
        <v>0.28194193057512401</v>
      </c>
    </row>
    <row r="6054" spans="1:3" s="8" customFormat="1" x14ac:dyDescent="0.2">
      <c r="A6054" s="6" t="str">
        <f>"AL109615.3"</f>
        <v>AL109615.3</v>
      </c>
      <c r="B6054" s="6">
        <v>9.7097097097097101E-2</v>
      </c>
      <c r="C6054" s="6">
        <v>0.281974460009142</v>
      </c>
    </row>
    <row r="6055" spans="1:3" s="8" customFormat="1" x14ac:dyDescent="0.2">
      <c r="A6055" s="6" t="str">
        <f>"AC008105.1"</f>
        <v>AC008105.1</v>
      </c>
      <c r="B6055" s="6">
        <v>9.7097097097097101E-2</v>
      </c>
      <c r="C6055" s="6">
        <v>0.281974460009142</v>
      </c>
    </row>
    <row r="6056" spans="1:3" s="8" customFormat="1" x14ac:dyDescent="0.2">
      <c r="A6056" s="6" t="str">
        <f>"DUBR"</f>
        <v>DUBR</v>
      </c>
      <c r="B6056" s="6">
        <v>9.7097097097097101E-2</v>
      </c>
      <c r="C6056" s="6">
        <v>0.281974460009142</v>
      </c>
    </row>
    <row r="6057" spans="1:3" s="8" customFormat="1" x14ac:dyDescent="0.2">
      <c r="A6057" s="6" t="str">
        <f>"AC021188.1"</f>
        <v>AC021188.1</v>
      </c>
      <c r="B6057" s="6">
        <v>9.7902097902097904E-2</v>
      </c>
      <c r="C6057" s="6">
        <v>0.28272466571037702</v>
      </c>
    </row>
    <row r="6058" spans="1:3" s="8" customFormat="1" x14ac:dyDescent="0.2">
      <c r="A6058" s="6" t="str">
        <f>"SNORD3A"</f>
        <v>SNORD3A</v>
      </c>
      <c r="B6058" s="6">
        <v>9.7902097902097904E-2</v>
      </c>
      <c r="C6058" s="6">
        <v>0.28272466571037702</v>
      </c>
    </row>
    <row r="6059" spans="1:3" s="8" customFormat="1" x14ac:dyDescent="0.2">
      <c r="A6059" s="6" t="str">
        <f>"AGBL1"</f>
        <v>AGBL1</v>
      </c>
      <c r="B6059" s="6">
        <v>9.7902097902097904E-2</v>
      </c>
      <c r="C6059" s="6">
        <v>0.28272466571037702</v>
      </c>
    </row>
    <row r="6060" spans="1:3" s="8" customFormat="1" x14ac:dyDescent="0.2">
      <c r="A6060" s="6" t="str">
        <f>"AL139397.1"</f>
        <v>AL139397.1</v>
      </c>
      <c r="B6060" s="6">
        <v>9.7902097902097904E-2</v>
      </c>
      <c r="C6060" s="6">
        <v>0.28272466571037702</v>
      </c>
    </row>
    <row r="6061" spans="1:3" s="8" customFormat="1" x14ac:dyDescent="0.2">
      <c r="A6061" s="6" t="str">
        <f>"AC109486.3"</f>
        <v>AC109486.3</v>
      </c>
      <c r="B6061" s="6">
        <v>9.7902097902097904E-2</v>
      </c>
      <c r="C6061" s="6">
        <v>0.28272466571037702</v>
      </c>
    </row>
    <row r="6062" spans="1:3" s="8" customFormat="1" x14ac:dyDescent="0.2">
      <c r="A6062" s="6" t="str">
        <f>"RASL12"</f>
        <v>RASL12</v>
      </c>
      <c r="B6062" s="6">
        <v>9.7902097902097904E-2</v>
      </c>
      <c r="C6062" s="6">
        <v>0.28272466571037702</v>
      </c>
    </row>
    <row r="6063" spans="1:3" s="8" customFormat="1" x14ac:dyDescent="0.2">
      <c r="A6063" s="6" t="str">
        <f>"TFAP2E"</f>
        <v>TFAP2E</v>
      </c>
      <c r="B6063" s="6">
        <v>9.7902097902097904E-2</v>
      </c>
      <c r="C6063" s="6">
        <v>0.28272466571037702</v>
      </c>
    </row>
    <row r="6064" spans="1:3" s="8" customFormat="1" x14ac:dyDescent="0.2">
      <c r="A6064" s="6" t="str">
        <f>"GOLGA6L4"</f>
        <v>GOLGA6L4</v>
      </c>
      <c r="B6064" s="6">
        <v>9.7902097902097904E-2</v>
      </c>
      <c r="C6064" s="6">
        <v>0.28272466571037702</v>
      </c>
    </row>
    <row r="6065" spans="1:3" s="8" customFormat="1" x14ac:dyDescent="0.2">
      <c r="A6065" s="6" t="str">
        <f>"AC090371.1"</f>
        <v>AC090371.1</v>
      </c>
      <c r="B6065" s="6">
        <v>9.7902097902097904E-2</v>
      </c>
      <c r="C6065" s="6">
        <v>0.28272466571037702</v>
      </c>
    </row>
    <row r="6066" spans="1:3" s="8" customFormat="1" x14ac:dyDescent="0.2">
      <c r="A6066" s="6" t="str">
        <f>"NAIPP2"</f>
        <v>NAIPP2</v>
      </c>
      <c r="B6066" s="6">
        <v>9.7902097902097904E-2</v>
      </c>
      <c r="C6066" s="6">
        <v>0.28272466571037702</v>
      </c>
    </row>
    <row r="6067" spans="1:3" s="8" customFormat="1" x14ac:dyDescent="0.2">
      <c r="A6067" s="6" t="str">
        <f>"PXN-AS1"</f>
        <v>PXN-AS1</v>
      </c>
      <c r="B6067" s="6">
        <v>9.7902097902097904E-2</v>
      </c>
      <c r="C6067" s="6">
        <v>0.28272466571037702</v>
      </c>
    </row>
    <row r="6068" spans="1:3" s="8" customFormat="1" x14ac:dyDescent="0.2">
      <c r="A6068" s="6" t="str">
        <f>"SDCBP2-AS1"</f>
        <v>SDCBP2-AS1</v>
      </c>
      <c r="B6068" s="6">
        <v>9.7902097902097904E-2</v>
      </c>
      <c r="C6068" s="6">
        <v>0.28272466571037702</v>
      </c>
    </row>
    <row r="6069" spans="1:3" s="8" customFormat="1" x14ac:dyDescent="0.2">
      <c r="A6069" s="6" t="str">
        <f>"ATP8B4"</f>
        <v>ATP8B4</v>
      </c>
      <c r="B6069" s="6">
        <v>9.7902097902097904E-2</v>
      </c>
      <c r="C6069" s="6">
        <v>0.28272466571037702</v>
      </c>
    </row>
    <row r="6070" spans="1:3" s="8" customFormat="1" x14ac:dyDescent="0.2">
      <c r="A6070" s="6" t="str">
        <f>"NBR2"</f>
        <v>NBR2</v>
      </c>
      <c r="B6070" s="6">
        <v>9.7902097902097904E-2</v>
      </c>
      <c r="C6070" s="6">
        <v>0.28272466571037702</v>
      </c>
    </row>
    <row r="6071" spans="1:3" s="8" customFormat="1" x14ac:dyDescent="0.2">
      <c r="A6071" s="6" t="str">
        <f>"STAG3L2"</f>
        <v>STAG3L2</v>
      </c>
      <c r="B6071" s="6">
        <v>9.7902097902097904E-2</v>
      </c>
      <c r="C6071" s="6">
        <v>0.28272466571037702</v>
      </c>
    </row>
    <row r="6072" spans="1:3" s="8" customFormat="1" x14ac:dyDescent="0.2">
      <c r="A6072" s="6" t="str">
        <f>"ZNF136"</f>
        <v>ZNF136</v>
      </c>
      <c r="B6072" s="6">
        <v>9.7902097902097904E-2</v>
      </c>
      <c r="C6072" s="6">
        <v>0.28272466571037702</v>
      </c>
    </row>
    <row r="6073" spans="1:3" s="8" customFormat="1" x14ac:dyDescent="0.2">
      <c r="A6073" s="6" t="str">
        <f>"ARRDC1-AS1"</f>
        <v>ARRDC1-AS1</v>
      </c>
      <c r="B6073" s="6">
        <v>9.7902097902097904E-2</v>
      </c>
      <c r="C6073" s="6">
        <v>0.28272466571037702</v>
      </c>
    </row>
    <row r="6074" spans="1:3" s="8" customFormat="1" x14ac:dyDescent="0.2">
      <c r="A6074" s="6" t="str">
        <f>"RGS10"</f>
        <v>RGS10</v>
      </c>
      <c r="B6074" s="6">
        <v>9.7902097902097904E-2</v>
      </c>
      <c r="C6074" s="6">
        <v>0.28272466571037702</v>
      </c>
    </row>
    <row r="6075" spans="1:3" s="8" customFormat="1" x14ac:dyDescent="0.2">
      <c r="A6075" s="6" t="str">
        <f>"UNKL"</f>
        <v>UNKL</v>
      </c>
      <c r="B6075" s="6">
        <v>9.7902097902097904E-2</v>
      </c>
      <c r="C6075" s="6">
        <v>0.28272466571037702</v>
      </c>
    </row>
    <row r="6076" spans="1:3" s="8" customFormat="1" x14ac:dyDescent="0.2">
      <c r="A6076" s="6" t="str">
        <f>"TMPRSS11A"</f>
        <v>TMPRSS11A</v>
      </c>
      <c r="B6076" s="6">
        <v>9.7902097902097904E-2</v>
      </c>
      <c r="C6076" s="6">
        <v>0.28272466571037702</v>
      </c>
    </row>
    <row r="6077" spans="1:3" s="8" customFormat="1" x14ac:dyDescent="0.2">
      <c r="A6077" s="6" t="str">
        <f>"ITGB1P1"</f>
        <v>ITGB1P1</v>
      </c>
      <c r="B6077" s="6">
        <v>9.7902097902097904E-2</v>
      </c>
      <c r="C6077" s="6">
        <v>0.28272466571037702</v>
      </c>
    </row>
    <row r="6078" spans="1:3" s="8" customFormat="1" x14ac:dyDescent="0.2">
      <c r="A6078" s="6" t="str">
        <f>"SPSB2"</f>
        <v>SPSB2</v>
      </c>
      <c r="B6078" s="6">
        <v>9.7902097902097904E-2</v>
      </c>
      <c r="C6078" s="6">
        <v>0.28272466571037702</v>
      </c>
    </row>
    <row r="6079" spans="1:3" s="8" customFormat="1" x14ac:dyDescent="0.2">
      <c r="A6079" s="6" t="str">
        <f>"YOD1"</f>
        <v>YOD1</v>
      </c>
      <c r="B6079" s="6">
        <v>9.7902097902097904E-2</v>
      </c>
      <c r="C6079" s="6">
        <v>0.28272466571037702</v>
      </c>
    </row>
    <row r="6080" spans="1:3" s="8" customFormat="1" x14ac:dyDescent="0.2">
      <c r="A6080" s="6" t="str">
        <f>"C11orf98"</f>
        <v>C11orf98</v>
      </c>
      <c r="B6080" s="6">
        <v>9.7902097902097904E-2</v>
      </c>
      <c r="C6080" s="6">
        <v>0.28272466571037702</v>
      </c>
    </row>
    <row r="6081" spans="1:3" s="8" customFormat="1" x14ac:dyDescent="0.2">
      <c r="A6081" s="6" t="str">
        <f>"ZNF436"</f>
        <v>ZNF436</v>
      </c>
      <c r="B6081" s="6">
        <v>9.7902097902097904E-2</v>
      </c>
      <c r="C6081" s="6">
        <v>0.28272466571037702</v>
      </c>
    </row>
    <row r="6082" spans="1:3" s="8" customFormat="1" x14ac:dyDescent="0.2">
      <c r="A6082" s="6" t="str">
        <f>"RUFY1"</f>
        <v>RUFY1</v>
      </c>
      <c r="B6082" s="6">
        <v>9.7902097902097904E-2</v>
      </c>
      <c r="C6082" s="6">
        <v>0.28272466571037702</v>
      </c>
    </row>
    <row r="6083" spans="1:3" s="8" customFormat="1" x14ac:dyDescent="0.2">
      <c r="A6083" s="6" t="str">
        <f>"POLR2I"</f>
        <v>POLR2I</v>
      </c>
      <c r="B6083" s="6">
        <v>9.7902097902097904E-2</v>
      </c>
      <c r="C6083" s="6">
        <v>0.28272466571037702</v>
      </c>
    </row>
    <row r="6084" spans="1:3" s="8" customFormat="1" x14ac:dyDescent="0.2">
      <c r="A6084" s="6" t="str">
        <f>"DDX18"</f>
        <v>DDX18</v>
      </c>
      <c r="B6084" s="6">
        <v>9.7902097902097904E-2</v>
      </c>
      <c r="C6084" s="6">
        <v>0.28272466571037702</v>
      </c>
    </row>
    <row r="6085" spans="1:3" s="8" customFormat="1" x14ac:dyDescent="0.2">
      <c r="A6085" s="6" t="str">
        <f>"LTBP3"</f>
        <v>LTBP3</v>
      </c>
      <c r="B6085" s="6">
        <v>9.7902097902097904E-2</v>
      </c>
      <c r="C6085" s="6">
        <v>0.28272466571037702</v>
      </c>
    </row>
    <row r="6086" spans="1:3" s="8" customFormat="1" x14ac:dyDescent="0.2">
      <c r="A6086" s="6" t="str">
        <f>"SH2D4A"</f>
        <v>SH2D4A</v>
      </c>
      <c r="B6086" s="6">
        <v>9.7902097902097904E-2</v>
      </c>
      <c r="C6086" s="6">
        <v>0.28272466571037702</v>
      </c>
    </row>
    <row r="6087" spans="1:3" s="8" customFormat="1" x14ac:dyDescent="0.2">
      <c r="A6087" s="6" t="str">
        <f>"UBE3A"</f>
        <v>UBE3A</v>
      </c>
      <c r="B6087" s="6">
        <v>9.7902097902097904E-2</v>
      </c>
      <c r="C6087" s="6">
        <v>0.28272466571037702</v>
      </c>
    </row>
    <row r="6088" spans="1:3" s="8" customFormat="1" x14ac:dyDescent="0.2">
      <c r="A6088" s="6" t="str">
        <f>"PUM1"</f>
        <v>PUM1</v>
      </c>
      <c r="B6088" s="6">
        <v>9.7902097902097904E-2</v>
      </c>
      <c r="C6088" s="6">
        <v>0.28272466571037702</v>
      </c>
    </row>
    <row r="6089" spans="1:3" s="8" customFormat="1" x14ac:dyDescent="0.2">
      <c r="A6089" s="6" t="str">
        <f>"NCOR2"</f>
        <v>NCOR2</v>
      </c>
      <c r="B6089" s="6">
        <v>9.7902097902097904E-2</v>
      </c>
      <c r="C6089" s="6">
        <v>0.28272466571037702</v>
      </c>
    </row>
    <row r="6090" spans="1:3" s="8" customFormat="1" x14ac:dyDescent="0.2">
      <c r="A6090" s="6" t="str">
        <f>"AGRN"</f>
        <v>AGRN</v>
      </c>
      <c r="B6090" s="6">
        <v>9.7902097902097904E-2</v>
      </c>
      <c r="C6090" s="6">
        <v>0.28272466571037702</v>
      </c>
    </row>
    <row r="6091" spans="1:3" s="8" customFormat="1" x14ac:dyDescent="0.2">
      <c r="A6091" s="6" t="str">
        <f>"GGCTP1"</f>
        <v>GGCTP1</v>
      </c>
      <c r="B6091" s="6">
        <v>9.8000000000000004E-2</v>
      </c>
      <c r="C6091" s="6">
        <v>0.28291446396322401</v>
      </c>
    </row>
    <row r="6092" spans="1:3" s="8" customFormat="1" x14ac:dyDescent="0.2">
      <c r="A6092" s="6" t="str">
        <f>"PPIE"</f>
        <v>PPIE</v>
      </c>
      <c r="B6092" s="6">
        <v>9.8000000000000004E-2</v>
      </c>
      <c r="C6092" s="6">
        <v>0.28291446396322401</v>
      </c>
    </row>
    <row r="6093" spans="1:3" s="8" customFormat="1" x14ac:dyDescent="0.2">
      <c r="A6093" s="6" t="str">
        <f>"GCNT1P1"</f>
        <v>GCNT1P1</v>
      </c>
      <c r="B6093" s="6">
        <v>9.8098098098098094E-2</v>
      </c>
      <c r="C6093" s="6">
        <v>0.28315117481236901</v>
      </c>
    </row>
    <row r="6094" spans="1:3" s="8" customFormat="1" x14ac:dyDescent="0.2">
      <c r="A6094" s="6" t="str">
        <f>"LINC01678"</f>
        <v>LINC01678</v>
      </c>
      <c r="B6094" s="6">
        <v>9.8901098901098897E-2</v>
      </c>
      <c r="C6094" s="6">
        <v>0.28411647166752502</v>
      </c>
    </row>
    <row r="6095" spans="1:3" s="8" customFormat="1" x14ac:dyDescent="0.2">
      <c r="A6095" s="6" t="str">
        <f>"ERMN"</f>
        <v>ERMN</v>
      </c>
      <c r="B6095" s="6">
        <v>9.8901098901098897E-2</v>
      </c>
      <c r="C6095" s="6">
        <v>0.28411647166752502</v>
      </c>
    </row>
    <row r="6096" spans="1:3" s="8" customFormat="1" x14ac:dyDescent="0.2">
      <c r="A6096" s="6" t="str">
        <f>"SLC5A2"</f>
        <v>SLC5A2</v>
      </c>
      <c r="B6096" s="6">
        <v>9.8901098901098897E-2</v>
      </c>
      <c r="C6096" s="6">
        <v>0.28411647166752502</v>
      </c>
    </row>
    <row r="6097" spans="1:3" s="8" customFormat="1" x14ac:dyDescent="0.2">
      <c r="A6097" s="6" t="str">
        <f>"RAB3A"</f>
        <v>RAB3A</v>
      </c>
      <c r="B6097" s="6">
        <v>9.8901098901098897E-2</v>
      </c>
      <c r="C6097" s="6">
        <v>0.28411647166752502</v>
      </c>
    </row>
    <row r="6098" spans="1:3" s="8" customFormat="1" x14ac:dyDescent="0.2">
      <c r="A6098" s="6" t="str">
        <f>"GUSBP14"</f>
        <v>GUSBP14</v>
      </c>
      <c r="B6098" s="6">
        <v>9.8901098901098897E-2</v>
      </c>
      <c r="C6098" s="6">
        <v>0.28411647166752502</v>
      </c>
    </row>
    <row r="6099" spans="1:3" s="8" customFormat="1" x14ac:dyDescent="0.2">
      <c r="A6099" s="6" t="str">
        <f>"ZNF792"</f>
        <v>ZNF792</v>
      </c>
      <c r="B6099" s="6">
        <v>9.8901098901098897E-2</v>
      </c>
      <c r="C6099" s="6">
        <v>0.28411647166752502</v>
      </c>
    </row>
    <row r="6100" spans="1:3" s="8" customFormat="1" x14ac:dyDescent="0.2">
      <c r="A6100" s="6" t="str">
        <f>"CCDC142"</f>
        <v>CCDC142</v>
      </c>
      <c r="B6100" s="6">
        <v>9.8901098901098897E-2</v>
      </c>
      <c r="C6100" s="6">
        <v>0.28411647166752502</v>
      </c>
    </row>
    <row r="6101" spans="1:3" s="8" customFormat="1" x14ac:dyDescent="0.2">
      <c r="A6101" s="6" t="str">
        <f>"DKK3"</f>
        <v>DKK3</v>
      </c>
      <c r="B6101" s="6">
        <v>9.8901098901098897E-2</v>
      </c>
      <c r="C6101" s="6">
        <v>0.28411647166752502</v>
      </c>
    </row>
    <row r="6102" spans="1:3" s="8" customFormat="1" x14ac:dyDescent="0.2">
      <c r="A6102" s="6" t="str">
        <f>"SLC7A4"</f>
        <v>SLC7A4</v>
      </c>
      <c r="B6102" s="6">
        <v>9.8901098901098897E-2</v>
      </c>
      <c r="C6102" s="6">
        <v>0.28411647166752502</v>
      </c>
    </row>
    <row r="6103" spans="1:3" s="8" customFormat="1" x14ac:dyDescent="0.2">
      <c r="A6103" s="6" t="str">
        <f>"GARS1-DT"</f>
        <v>GARS1-DT</v>
      </c>
      <c r="B6103" s="6">
        <v>9.8901098901098897E-2</v>
      </c>
      <c r="C6103" s="6">
        <v>0.28411647166752502</v>
      </c>
    </row>
    <row r="6104" spans="1:3" s="8" customFormat="1" x14ac:dyDescent="0.2">
      <c r="A6104" s="6" t="str">
        <f>"ATXN3"</f>
        <v>ATXN3</v>
      </c>
      <c r="B6104" s="6">
        <v>9.8901098901098897E-2</v>
      </c>
      <c r="C6104" s="6">
        <v>0.28411647166752502</v>
      </c>
    </row>
    <row r="6105" spans="1:3" s="8" customFormat="1" x14ac:dyDescent="0.2">
      <c r="A6105" s="6" t="str">
        <f>"TUBGCP4"</f>
        <v>TUBGCP4</v>
      </c>
      <c r="B6105" s="6">
        <v>9.8901098901098897E-2</v>
      </c>
      <c r="C6105" s="6">
        <v>0.28411647166752502</v>
      </c>
    </row>
    <row r="6106" spans="1:3" s="8" customFormat="1" x14ac:dyDescent="0.2">
      <c r="A6106" s="6" t="str">
        <f>"RAD1"</f>
        <v>RAD1</v>
      </c>
      <c r="B6106" s="6">
        <v>9.8901098901098897E-2</v>
      </c>
      <c r="C6106" s="6">
        <v>0.28411647166752502</v>
      </c>
    </row>
    <row r="6107" spans="1:3" s="8" customFormat="1" x14ac:dyDescent="0.2">
      <c r="A6107" s="6" t="str">
        <f>"CBR3"</f>
        <v>CBR3</v>
      </c>
      <c r="B6107" s="6">
        <v>9.8901098901098897E-2</v>
      </c>
      <c r="C6107" s="6">
        <v>0.28411647166752502</v>
      </c>
    </row>
    <row r="6108" spans="1:3" s="8" customFormat="1" x14ac:dyDescent="0.2">
      <c r="A6108" s="6" t="str">
        <f>"COQ5"</f>
        <v>COQ5</v>
      </c>
      <c r="B6108" s="6">
        <v>9.8901098901098897E-2</v>
      </c>
      <c r="C6108" s="6">
        <v>0.28411647166752502</v>
      </c>
    </row>
    <row r="6109" spans="1:3" s="8" customFormat="1" x14ac:dyDescent="0.2">
      <c r="A6109" s="6" t="str">
        <f>"ZBTB17"</f>
        <v>ZBTB17</v>
      </c>
      <c r="B6109" s="6">
        <v>9.8901098901098897E-2</v>
      </c>
      <c r="C6109" s="6">
        <v>0.28411647166752502</v>
      </c>
    </row>
    <row r="6110" spans="1:3" s="8" customFormat="1" x14ac:dyDescent="0.2">
      <c r="A6110" s="6" t="str">
        <f>"AP2S1"</f>
        <v>AP2S1</v>
      </c>
      <c r="B6110" s="6">
        <v>9.8901098901098897E-2</v>
      </c>
      <c r="C6110" s="6">
        <v>0.28411647166752502</v>
      </c>
    </row>
    <row r="6111" spans="1:3" s="8" customFormat="1" x14ac:dyDescent="0.2">
      <c r="A6111" s="6" t="str">
        <f>"UBR1"</f>
        <v>UBR1</v>
      </c>
      <c r="B6111" s="6">
        <v>9.8901098901098897E-2</v>
      </c>
      <c r="C6111" s="6">
        <v>0.28411647166752502</v>
      </c>
    </row>
    <row r="6112" spans="1:3" s="8" customFormat="1" x14ac:dyDescent="0.2">
      <c r="A6112" s="6" t="str">
        <f>"HECTD3"</f>
        <v>HECTD3</v>
      </c>
      <c r="B6112" s="6">
        <v>9.8901098901098897E-2</v>
      </c>
      <c r="C6112" s="6">
        <v>0.28411647166752502</v>
      </c>
    </row>
    <row r="6113" spans="1:3" s="8" customFormat="1" x14ac:dyDescent="0.2">
      <c r="A6113" s="6" t="str">
        <f>"ODR4"</f>
        <v>ODR4</v>
      </c>
      <c r="B6113" s="6">
        <v>9.8901098901098897E-2</v>
      </c>
      <c r="C6113" s="6">
        <v>0.28411647166752502</v>
      </c>
    </row>
    <row r="6114" spans="1:3" s="8" customFormat="1" x14ac:dyDescent="0.2">
      <c r="A6114" s="6" t="str">
        <f>"GGA3"</f>
        <v>GGA3</v>
      </c>
      <c r="B6114" s="6">
        <v>9.8901098901098897E-2</v>
      </c>
      <c r="C6114" s="6">
        <v>0.28411647166752502</v>
      </c>
    </row>
    <row r="6115" spans="1:3" s="8" customFormat="1" x14ac:dyDescent="0.2">
      <c r="A6115" s="6" t="str">
        <f>"RUNDC1"</f>
        <v>RUNDC1</v>
      </c>
      <c r="B6115" s="6">
        <v>9.8901098901098897E-2</v>
      </c>
      <c r="C6115" s="6">
        <v>0.28411647166752502</v>
      </c>
    </row>
    <row r="6116" spans="1:3" s="8" customFormat="1" x14ac:dyDescent="0.2">
      <c r="A6116" s="6" t="str">
        <f>"RSPH10B"</f>
        <v>RSPH10B</v>
      </c>
      <c r="B6116" s="6">
        <v>9.8901098901098897E-2</v>
      </c>
      <c r="C6116" s="6">
        <v>0.28411647166752502</v>
      </c>
    </row>
    <row r="6117" spans="1:3" s="8" customFormat="1" x14ac:dyDescent="0.2">
      <c r="A6117" s="6" t="str">
        <f>"SETD1B"</f>
        <v>SETD1B</v>
      </c>
      <c r="B6117" s="6">
        <v>9.8901098901098897E-2</v>
      </c>
      <c r="C6117" s="6">
        <v>0.28411647166752502</v>
      </c>
    </row>
    <row r="6118" spans="1:3" s="8" customFormat="1" x14ac:dyDescent="0.2">
      <c r="A6118" s="6" t="str">
        <f>"SLFN13"</f>
        <v>SLFN13</v>
      </c>
      <c r="B6118" s="6">
        <v>9.8901098901098897E-2</v>
      </c>
      <c r="C6118" s="6">
        <v>0.28411647166752502</v>
      </c>
    </row>
    <row r="6119" spans="1:3" s="8" customFormat="1" x14ac:dyDescent="0.2">
      <c r="A6119" s="6" t="str">
        <f>"DBI"</f>
        <v>DBI</v>
      </c>
      <c r="B6119" s="6">
        <v>9.8901098901098897E-2</v>
      </c>
      <c r="C6119" s="6">
        <v>0.28411647166752502</v>
      </c>
    </row>
    <row r="6120" spans="1:3" s="8" customFormat="1" x14ac:dyDescent="0.2">
      <c r="A6120" s="6" t="str">
        <f>"TKT"</f>
        <v>TKT</v>
      </c>
      <c r="B6120" s="6">
        <v>9.8901098901098897E-2</v>
      </c>
      <c r="C6120" s="6">
        <v>0.28411647166752502</v>
      </c>
    </row>
    <row r="6121" spans="1:3" s="8" customFormat="1" x14ac:dyDescent="0.2">
      <c r="A6121" s="6" t="str">
        <f>"CCDC146"</f>
        <v>CCDC146</v>
      </c>
      <c r="B6121" s="6">
        <v>9.8901098901098897E-2</v>
      </c>
      <c r="C6121" s="6">
        <v>0.28411647166752502</v>
      </c>
    </row>
    <row r="6122" spans="1:3" s="8" customFormat="1" x14ac:dyDescent="0.2">
      <c r="A6122" s="6" t="str">
        <f>"ZNF664"</f>
        <v>ZNF664</v>
      </c>
      <c r="B6122" s="6">
        <v>9.8901098901098897E-2</v>
      </c>
      <c r="C6122" s="6">
        <v>0.28411647166752502</v>
      </c>
    </row>
    <row r="6123" spans="1:3" s="8" customFormat="1" x14ac:dyDescent="0.2">
      <c r="A6123" s="6" t="str">
        <f>"OR14J1"</f>
        <v>OR14J1</v>
      </c>
      <c r="B6123" s="6">
        <v>9.9297893681043095E-2</v>
      </c>
      <c r="C6123" s="6">
        <v>0.28520976192215902</v>
      </c>
    </row>
    <row r="6124" spans="1:3" s="8" customFormat="1" x14ac:dyDescent="0.2">
      <c r="A6124" s="6" t="str">
        <f>"AC138627.1"</f>
        <v>AC138627.1</v>
      </c>
      <c r="B6124" s="6">
        <v>9.9900099900099903E-2</v>
      </c>
      <c r="C6124" s="6">
        <v>0.28540103276090201</v>
      </c>
    </row>
    <row r="6125" spans="1:3" s="8" customFormat="1" x14ac:dyDescent="0.2">
      <c r="A6125" s="6" t="str">
        <f>"RPS2P32"</f>
        <v>RPS2P32</v>
      </c>
      <c r="B6125" s="6">
        <v>9.9900099900099903E-2</v>
      </c>
      <c r="C6125" s="6">
        <v>0.28540103276090201</v>
      </c>
    </row>
    <row r="6126" spans="1:3" s="8" customFormat="1" x14ac:dyDescent="0.2">
      <c r="A6126" s="6" t="str">
        <f>"FAM110B"</f>
        <v>FAM110B</v>
      </c>
      <c r="B6126" s="6">
        <v>9.9900099900099903E-2</v>
      </c>
      <c r="C6126" s="6">
        <v>0.28540103276090201</v>
      </c>
    </row>
    <row r="6127" spans="1:3" s="8" customFormat="1" x14ac:dyDescent="0.2">
      <c r="A6127" s="6" t="str">
        <f>"RMI2"</f>
        <v>RMI2</v>
      </c>
      <c r="B6127" s="6">
        <v>9.9900099900099903E-2</v>
      </c>
      <c r="C6127" s="6">
        <v>0.28540103276090201</v>
      </c>
    </row>
    <row r="6128" spans="1:3" s="8" customFormat="1" x14ac:dyDescent="0.2">
      <c r="A6128" s="6" t="str">
        <f>"FGF7P3"</f>
        <v>FGF7P3</v>
      </c>
      <c r="B6128" s="6">
        <v>9.9900099900099903E-2</v>
      </c>
      <c r="C6128" s="6">
        <v>0.28540103276090201</v>
      </c>
    </row>
    <row r="6129" spans="1:3" s="8" customFormat="1" x14ac:dyDescent="0.2">
      <c r="A6129" s="6" t="str">
        <f>"SPP1"</f>
        <v>SPP1</v>
      </c>
      <c r="B6129" s="6">
        <v>9.9900099900099903E-2</v>
      </c>
      <c r="C6129" s="6">
        <v>0.28540103276090201</v>
      </c>
    </row>
    <row r="6130" spans="1:3" s="8" customFormat="1" x14ac:dyDescent="0.2">
      <c r="A6130" s="6" t="str">
        <f>"PRIM1"</f>
        <v>PRIM1</v>
      </c>
      <c r="B6130" s="6">
        <v>9.9900099900099903E-2</v>
      </c>
      <c r="C6130" s="6">
        <v>0.28540103276090201</v>
      </c>
    </row>
    <row r="6131" spans="1:3" s="8" customFormat="1" x14ac:dyDescent="0.2">
      <c r="A6131" s="6" t="str">
        <f>"AL512625.3"</f>
        <v>AL512625.3</v>
      </c>
      <c r="B6131" s="6">
        <v>9.9900099900099903E-2</v>
      </c>
      <c r="C6131" s="6">
        <v>0.28540103276090201</v>
      </c>
    </row>
    <row r="6132" spans="1:3" s="8" customFormat="1" x14ac:dyDescent="0.2">
      <c r="A6132" s="6" t="str">
        <f>"RPS6KL1"</f>
        <v>RPS6KL1</v>
      </c>
      <c r="B6132" s="6">
        <v>9.9900099900099903E-2</v>
      </c>
      <c r="C6132" s="6">
        <v>0.28540103276090201</v>
      </c>
    </row>
    <row r="6133" spans="1:3" s="8" customFormat="1" x14ac:dyDescent="0.2">
      <c r="A6133" s="6" t="str">
        <f>"ZNF559"</f>
        <v>ZNF559</v>
      </c>
      <c r="B6133" s="6">
        <v>9.9900099900099903E-2</v>
      </c>
      <c r="C6133" s="6">
        <v>0.28540103276090201</v>
      </c>
    </row>
    <row r="6134" spans="1:3" s="8" customFormat="1" x14ac:dyDescent="0.2">
      <c r="A6134" s="6" t="str">
        <f>"CCDC148"</f>
        <v>CCDC148</v>
      </c>
      <c r="B6134" s="6">
        <v>9.9900099900099903E-2</v>
      </c>
      <c r="C6134" s="6">
        <v>0.28540103276090201</v>
      </c>
    </row>
    <row r="6135" spans="1:3" s="8" customFormat="1" x14ac:dyDescent="0.2">
      <c r="A6135" s="6" t="str">
        <f>"ZNF417"</f>
        <v>ZNF417</v>
      </c>
      <c r="B6135" s="6">
        <v>9.9900099900099903E-2</v>
      </c>
      <c r="C6135" s="6">
        <v>0.28540103276090201</v>
      </c>
    </row>
    <row r="6136" spans="1:3" s="8" customFormat="1" x14ac:dyDescent="0.2">
      <c r="A6136" s="6" t="str">
        <f>"ZNF227"</f>
        <v>ZNF227</v>
      </c>
      <c r="B6136" s="6">
        <v>9.9900099900099903E-2</v>
      </c>
      <c r="C6136" s="6">
        <v>0.28540103276090201</v>
      </c>
    </row>
    <row r="6137" spans="1:3" s="8" customFormat="1" x14ac:dyDescent="0.2">
      <c r="A6137" s="6" t="str">
        <f>"ZNF75A"</f>
        <v>ZNF75A</v>
      </c>
      <c r="B6137" s="6">
        <v>9.9900099900099903E-2</v>
      </c>
      <c r="C6137" s="6">
        <v>0.28540103276090201</v>
      </c>
    </row>
    <row r="6138" spans="1:3" s="8" customFormat="1" x14ac:dyDescent="0.2">
      <c r="A6138" s="6" t="str">
        <f>"AC006001.3"</f>
        <v>AC006001.3</v>
      </c>
      <c r="B6138" s="6">
        <v>9.9900099900099903E-2</v>
      </c>
      <c r="C6138" s="6">
        <v>0.28540103276090201</v>
      </c>
    </row>
    <row r="6139" spans="1:3" s="8" customFormat="1" x14ac:dyDescent="0.2">
      <c r="A6139" s="6" t="str">
        <f>"PEX11G"</f>
        <v>PEX11G</v>
      </c>
      <c r="B6139" s="6">
        <v>9.9900099900099903E-2</v>
      </c>
      <c r="C6139" s="6">
        <v>0.28540103276090201</v>
      </c>
    </row>
    <row r="6140" spans="1:3" s="8" customFormat="1" x14ac:dyDescent="0.2">
      <c r="A6140" s="6" t="str">
        <f>"FN1"</f>
        <v>FN1</v>
      </c>
      <c r="B6140" s="6">
        <v>9.9900099900099903E-2</v>
      </c>
      <c r="C6140" s="6">
        <v>0.28540103276090201</v>
      </c>
    </row>
    <row r="6141" spans="1:3" s="8" customFormat="1" x14ac:dyDescent="0.2">
      <c r="A6141" s="6" t="str">
        <f>"ARHGAP24"</f>
        <v>ARHGAP24</v>
      </c>
      <c r="B6141" s="6">
        <v>9.9900099900099903E-2</v>
      </c>
      <c r="C6141" s="6">
        <v>0.28540103276090201</v>
      </c>
    </row>
    <row r="6142" spans="1:3" s="8" customFormat="1" x14ac:dyDescent="0.2">
      <c r="A6142" s="6" t="str">
        <f>"TYSND1"</f>
        <v>TYSND1</v>
      </c>
      <c r="B6142" s="6">
        <v>9.9900099900099903E-2</v>
      </c>
      <c r="C6142" s="6">
        <v>0.28540103276090201</v>
      </c>
    </row>
    <row r="6143" spans="1:3" s="8" customFormat="1" x14ac:dyDescent="0.2">
      <c r="A6143" s="6" t="str">
        <f>"TCIM"</f>
        <v>TCIM</v>
      </c>
      <c r="B6143" s="6">
        <v>9.9900099900099903E-2</v>
      </c>
      <c r="C6143" s="6">
        <v>0.28540103276090201</v>
      </c>
    </row>
    <row r="6144" spans="1:3" s="8" customFormat="1" x14ac:dyDescent="0.2">
      <c r="A6144" s="6" t="str">
        <f>"USP20"</f>
        <v>USP20</v>
      </c>
      <c r="B6144" s="6">
        <v>9.9900099900099903E-2</v>
      </c>
      <c r="C6144" s="6">
        <v>0.28540103276090201</v>
      </c>
    </row>
    <row r="6145" spans="1:3" s="8" customFormat="1" x14ac:dyDescent="0.2">
      <c r="A6145" s="6" t="str">
        <f>"SYNGR1"</f>
        <v>SYNGR1</v>
      </c>
      <c r="B6145" s="6">
        <v>9.9900099900099903E-2</v>
      </c>
      <c r="C6145" s="6">
        <v>0.28540103276090201</v>
      </c>
    </row>
    <row r="6146" spans="1:3" s="8" customFormat="1" x14ac:dyDescent="0.2">
      <c r="A6146" s="6" t="str">
        <f>"TFCP2"</f>
        <v>TFCP2</v>
      </c>
      <c r="B6146" s="6">
        <v>9.9900099900099903E-2</v>
      </c>
      <c r="C6146" s="6">
        <v>0.28540103276090201</v>
      </c>
    </row>
    <row r="6147" spans="1:3" s="8" customFormat="1" x14ac:dyDescent="0.2">
      <c r="A6147" s="6" t="str">
        <f>"CAPN15"</f>
        <v>CAPN15</v>
      </c>
      <c r="B6147" s="6">
        <v>9.9900099900099903E-2</v>
      </c>
      <c r="C6147" s="6">
        <v>0.28540103276090201</v>
      </c>
    </row>
    <row r="6148" spans="1:3" s="8" customFormat="1" x14ac:dyDescent="0.2">
      <c r="A6148" s="6" t="str">
        <f>"TRAP1"</f>
        <v>TRAP1</v>
      </c>
      <c r="B6148" s="6">
        <v>9.9900099900099903E-2</v>
      </c>
      <c r="C6148" s="6">
        <v>0.28540103276090201</v>
      </c>
    </row>
    <row r="6149" spans="1:3" s="8" customFormat="1" x14ac:dyDescent="0.2">
      <c r="A6149" s="6" t="str">
        <f>"ZBTB38"</f>
        <v>ZBTB38</v>
      </c>
      <c r="B6149" s="6">
        <v>9.9900099900099903E-2</v>
      </c>
      <c r="C6149" s="6">
        <v>0.28540103276090201</v>
      </c>
    </row>
    <row r="6150" spans="1:3" s="8" customFormat="1" x14ac:dyDescent="0.2">
      <c r="A6150" s="6" t="str">
        <f>"VWA1"</f>
        <v>VWA1</v>
      </c>
      <c r="B6150" s="6">
        <v>9.9900099900099903E-2</v>
      </c>
      <c r="C6150" s="6">
        <v>0.28540103276090201</v>
      </c>
    </row>
    <row r="6151" spans="1:3" s="8" customFormat="1" x14ac:dyDescent="0.2">
      <c r="A6151" s="6" t="str">
        <f>"HK2"</f>
        <v>HK2</v>
      </c>
      <c r="B6151" s="6">
        <v>9.9900099900099903E-2</v>
      </c>
      <c r="C6151" s="6">
        <v>0.28540103276090201</v>
      </c>
    </row>
    <row r="6152" spans="1:3" s="8" customFormat="1" x14ac:dyDescent="0.2">
      <c r="A6152" s="6" t="str">
        <f>"HOMER2"</f>
        <v>HOMER2</v>
      </c>
      <c r="B6152" s="6">
        <v>9.9900099900099903E-2</v>
      </c>
      <c r="C6152" s="6">
        <v>0.28540103276090201</v>
      </c>
    </row>
    <row r="6153" spans="1:3" s="8" customFormat="1" x14ac:dyDescent="0.2">
      <c r="A6153" s="6" t="str">
        <f>"UBE2V1"</f>
        <v>UBE2V1</v>
      </c>
      <c r="B6153" s="6">
        <v>9.9900099900099903E-2</v>
      </c>
      <c r="C6153" s="6">
        <v>0.28540103276090201</v>
      </c>
    </row>
    <row r="6154" spans="1:3" s="8" customFormat="1" x14ac:dyDescent="0.2">
      <c r="A6154" s="6" t="str">
        <f>"ITPR3"</f>
        <v>ITPR3</v>
      </c>
      <c r="B6154" s="6">
        <v>9.9900099900099903E-2</v>
      </c>
      <c r="C6154" s="6">
        <v>0.28540103276090201</v>
      </c>
    </row>
    <row r="6155" spans="1:3" s="8" customFormat="1" x14ac:dyDescent="0.2">
      <c r="A6155" s="6" t="str">
        <f>"RBM47"</f>
        <v>RBM47</v>
      </c>
      <c r="B6155" s="6">
        <v>9.9900099900099903E-2</v>
      </c>
      <c r="C6155" s="6">
        <v>0.28540103276090201</v>
      </c>
    </row>
    <row r="6156" spans="1:3" s="8" customFormat="1" x14ac:dyDescent="0.2">
      <c r="A6156" s="6" t="str">
        <f>"ALOX15"</f>
        <v>ALOX15</v>
      </c>
      <c r="B6156" s="6">
        <v>9.9900099900099903E-2</v>
      </c>
      <c r="C6156" s="6">
        <v>0.28540103276090201</v>
      </c>
    </row>
    <row r="6157" spans="1:3" s="8" customFormat="1" x14ac:dyDescent="0.2">
      <c r="A6157" s="6" t="str">
        <f>"MOGAT3"</f>
        <v>MOGAT3</v>
      </c>
      <c r="B6157" s="6">
        <v>0.100200400801603</v>
      </c>
      <c r="C6157" s="6">
        <v>0.286196151476587</v>
      </c>
    </row>
    <row r="6158" spans="1:3" s="8" customFormat="1" x14ac:dyDescent="0.2">
      <c r="A6158" s="6" t="str">
        <f>"AC012306.2"</f>
        <v>AC012306.2</v>
      </c>
      <c r="B6158" s="6">
        <v>0.100210970464135</v>
      </c>
      <c r="C6158" s="6">
        <v>0.286196151476587</v>
      </c>
    </row>
    <row r="6159" spans="1:3" s="8" customFormat="1" x14ac:dyDescent="0.2">
      <c r="A6159" s="6" t="str">
        <f>"TPPP2"</f>
        <v>TPPP2</v>
      </c>
      <c r="B6159" s="6">
        <v>0.100704934541792</v>
      </c>
      <c r="C6159" s="6">
        <v>0.286301402325284</v>
      </c>
    </row>
    <row r="6160" spans="1:3" s="8" customFormat="1" x14ac:dyDescent="0.2">
      <c r="A6160" s="6" t="str">
        <f>"ATP1A2"</f>
        <v>ATP1A2</v>
      </c>
      <c r="B6160" s="6">
        <v>0.10089910089909999</v>
      </c>
      <c r="C6160" s="6">
        <v>0.286301402325284</v>
      </c>
    </row>
    <row r="6161" spans="1:3" s="8" customFormat="1" x14ac:dyDescent="0.2">
      <c r="A6161" s="6" t="str">
        <f>"CDH5"</f>
        <v>CDH5</v>
      </c>
      <c r="B6161" s="6">
        <v>0.10089910089909999</v>
      </c>
      <c r="C6161" s="6">
        <v>0.286301402325284</v>
      </c>
    </row>
    <row r="6162" spans="1:3" s="8" customFormat="1" x14ac:dyDescent="0.2">
      <c r="A6162" s="6" t="str">
        <f>"IGKV1-5"</f>
        <v>IGKV1-5</v>
      </c>
      <c r="B6162" s="6">
        <v>0.10089910089909999</v>
      </c>
      <c r="C6162" s="6">
        <v>0.286301402325284</v>
      </c>
    </row>
    <row r="6163" spans="1:3" s="8" customFormat="1" x14ac:dyDescent="0.2">
      <c r="A6163" s="6" t="str">
        <f>"BPIFB4"</f>
        <v>BPIFB4</v>
      </c>
      <c r="B6163" s="6">
        <v>0.10089910089909999</v>
      </c>
      <c r="C6163" s="6">
        <v>0.286301402325284</v>
      </c>
    </row>
    <row r="6164" spans="1:3" s="8" customFormat="1" x14ac:dyDescent="0.2">
      <c r="A6164" s="6" t="str">
        <f>"ESAM"</f>
        <v>ESAM</v>
      </c>
      <c r="B6164" s="6">
        <v>0.10089910089909999</v>
      </c>
      <c r="C6164" s="6">
        <v>0.286301402325284</v>
      </c>
    </row>
    <row r="6165" spans="1:3" s="8" customFormat="1" x14ac:dyDescent="0.2">
      <c r="A6165" s="6" t="str">
        <f>"LINC01605"</f>
        <v>LINC01605</v>
      </c>
      <c r="B6165" s="6">
        <v>0.10089910089909999</v>
      </c>
      <c r="C6165" s="6">
        <v>0.286301402325284</v>
      </c>
    </row>
    <row r="6166" spans="1:3" s="8" customFormat="1" x14ac:dyDescent="0.2">
      <c r="A6166" s="6" t="str">
        <f>"LINC01527"</f>
        <v>LINC01527</v>
      </c>
      <c r="B6166" s="6">
        <v>0.10089910089909999</v>
      </c>
      <c r="C6166" s="6">
        <v>0.286301402325284</v>
      </c>
    </row>
    <row r="6167" spans="1:3" s="8" customFormat="1" x14ac:dyDescent="0.2">
      <c r="A6167" s="6" t="str">
        <f>"LILRA4"</f>
        <v>LILRA4</v>
      </c>
      <c r="B6167" s="6">
        <v>0.10089910089909999</v>
      </c>
      <c r="C6167" s="6">
        <v>0.286301402325284</v>
      </c>
    </row>
    <row r="6168" spans="1:3" s="8" customFormat="1" x14ac:dyDescent="0.2">
      <c r="A6168" s="6" t="str">
        <f>"PCDHGA3"</f>
        <v>PCDHGA3</v>
      </c>
      <c r="B6168" s="6">
        <v>0.10089910089909999</v>
      </c>
      <c r="C6168" s="6">
        <v>0.286301402325284</v>
      </c>
    </row>
    <row r="6169" spans="1:3" s="8" customFormat="1" x14ac:dyDescent="0.2">
      <c r="A6169" s="6" t="str">
        <f>"ABCB1"</f>
        <v>ABCB1</v>
      </c>
      <c r="B6169" s="6">
        <v>0.10089910089909999</v>
      </c>
      <c r="C6169" s="6">
        <v>0.286301402325284</v>
      </c>
    </row>
    <row r="6170" spans="1:3" s="8" customFormat="1" x14ac:dyDescent="0.2">
      <c r="A6170" s="6" t="str">
        <f>"TRIM74"</f>
        <v>TRIM74</v>
      </c>
      <c r="B6170" s="6">
        <v>0.10089910089909999</v>
      </c>
      <c r="C6170" s="6">
        <v>0.286301402325284</v>
      </c>
    </row>
    <row r="6171" spans="1:3" s="8" customFormat="1" x14ac:dyDescent="0.2">
      <c r="A6171" s="6" t="str">
        <f>"FAM221B"</f>
        <v>FAM221B</v>
      </c>
      <c r="B6171" s="6">
        <v>0.10089910089909999</v>
      </c>
      <c r="C6171" s="6">
        <v>0.286301402325284</v>
      </c>
    </row>
    <row r="6172" spans="1:3" s="8" customFormat="1" x14ac:dyDescent="0.2">
      <c r="A6172" s="6" t="str">
        <f>"CD2BP2-DT"</f>
        <v>CD2BP2-DT</v>
      </c>
      <c r="B6172" s="6">
        <v>0.10089910089909999</v>
      </c>
      <c r="C6172" s="6">
        <v>0.286301402325284</v>
      </c>
    </row>
    <row r="6173" spans="1:3" s="8" customFormat="1" x14ac:dyDescent="0.2">
      <c r="A6173" s="6" t="str">
        <f>"AC021016.1"</f>
        <v>AC021016.1</v>
      </c>
      <c r="B6173" s="6">
        <v>0.10089910089909999</v>
      </c>
      <c r="C6173" s="6">
        <v>0.286301402325284</v>
      </c>
    </row>
    <row r="6174" spans="1:3" s="8" customFormat="1" x14ac:dyDescent="0.2">
      <c r="A6174" s="6" t="str">
        <f>"FAM111A-DT"</f>
        <v>FAM111A-DT</v>
      </c>
      <c r="B6174" s="6">
        <v>0.10089910089909999</v>
      </c>
      <c r="C6174" s="6">
        <v>0.286301402325284</v>
      </c>
    </row>
    <row r="6175" spans="1:3" s="8" customFormat="1" x14ac:dyDescent="0.2">
      <c r="A6175" s="6" t="str">
        <f>"ADAMTS17"</f>
        <v>ADAMTS17</v>
      </c>
      <c r="B6175" s="6">
        <v>0.10089910089909999</v>
      </c>
      <c r="C6175" s="6">
        <v>0.286301402325284</v>
      </c>
    </row>
    <row r="6176" spans="1:3" s="8" customFormat="1" x14ac:dyDescent="0.2">
      <c r="A6176" s="6" t="str">
        <f>"EPM2A"</f>
        <v>EPM2A</v>
      </c>
      <c r="B6176" s="6">
        <v>0.10089910089909999</v>
      </c>
      <c r="C6176" s="6">
        <v>0.286301402325284</v>
      </c>
    </row>
    <row r="6177" spans="1:3" s="8" customFormat="1" x14ac:dyDescent="0.2">
      <c r="A6177" s="6" t="str">
        <f>"CPT1B"</f>
        <v>CPT1B</v>
      </c>
      <c r="B6177" s="6">
        <v>0.10089910089909999</v>
      </c>
      <c r="C6177" s="6">
        <v>0.286301402325284</v>
      </c>
    </row>
    <row r="6178" spans="1:3" s="8" customFormat="1" x14ac:dyDescent="0.2">
      <c r="A6178" s="6" t="str">
        <f>"ASAH2B"</f>
        <v>ASAH2B</v>
      </c>
      <c r="B6178" s="6">
        <v>0.10089910089909999</v>
      </c>
      <c r="C6178" s="6">
        <v>0.286301402325284</v>
      </c>
    </row>
    <row r="6179" spans="1:3" s="8" customFormat="1" x14ac:dyDescent="0.2">
      <c r="A6179" s="6" t="str">
        <f>"C12orf45"</f>
        <v>C12orf45</v>
      </c>
      <c r="B6179" s="6">
        <v>0.10089910089909999</v>
      </c>
      <c r="C6179" s="6">
        <v>0.286301402325284</v>
      </c>
    </row>
    <row r="6180" spans="1:3" s="8" customFormat="1" x14ac:dyDescent="0.2">
      <c r="A6180" s="6" t="str">
        <f>"DCK"</f>
        <v>DCK</v>
      </c>
      <c r="B6180" s="6">
        <v>0.10089910089909999</v>
      </c>
      <c r="C6180" s="6">
        <v>0.286301402325284</v>
      </c>
    </row>
    <row r="6181" spans="1:3" s="8" customFormat="1" x14ac:dyDescent="0.2">
      <c r="A6181" s="6" t="str">
        <f>"HSD11B1L"</f>
        <v>HSD11B1L</v>
      </c>
      <c r="B6181" s="6">
        <v>0.10089910089909999</v>
      </c>
      <c r="C6181" s="6">
        <v>0.286301402325284</v>
      </c>
    </row>
    <row r="6182" spans="1:3" s="8" customFormat="1" x14ac:dyDescent="0.2">
      <c r="A6182" s="6" t="str">
        <f>"DAGLB"</f>
        <v>DAGLB</v>
      </c>
      <c r="B6182" s="6">
        <v>0.10089910089909999</v>
      </c>
      <c r="C6182" s="6">
        <v>0.286301402325284</v>
      </c>
    </row>
    <row r="6183" spans="1:3" s="8" customFormat="1" x14ac:dyDescent="0.2">
      <c r="A6183" s="6" t="str">
        <f>"MEX3C"</f>
        <v>MEX3C</v>
      </c>
      <c r="B6183" s="6">
        <v>0.10089910089909999</v>
      </c>
      <c r="C6183" s="6">
        <v>0.286301402325284</v>
      </c>
    </row>
    <row r="6184" spans="1:3" s="8" customFormat="1" x14ac:dyDescent="0.2">
      <c r="A6184" s="6" t="str">
        <f>"TANGO2"</f>
        <v>TANGO2</v>
      </c>
      <c r="B6184" s="6">
        <v>0.10089910089909999</v>
      </c>
      <c r="C6184" s="6">
        <v>0.286301402325284</v>
      </c>
    </row>
    <row r="6185" spans="1:3" s="8" customFormat="1" x14ac:dyDescent="0.2">
      <c r="A6185" s="6" t="str">
        <f>"JMJD4"</f>
        <v>JMJD4</v>
      </c>
      <c r="B6185" s="6">
        <v>0.10089910089909999</v>
      </c>
      <c r="C6185" s="6">
        <v>0.286301402325284</v>
      </c>
    </row>
    <row r="6186" spans="1:3" s="8" customFormat="1" x14ac:dyDescent="0.2">
      <c r="A6186" s="6" t="str">
        <f>"PSMA3-AS1"</f>
        <v>PSMA3-AS1</v>
      </c>
      <c r="B6186" s="6">
        <v>0.10089910089909999</v>
      </c>
      <c r="C6186" s="6">
        <v>0.286301402325284</v>
      </c>
    </row>
    <row r="6187" spans="1:3" s="8" customFormat="1" x14ac:dyDescent="0.2">
      <c r="A6187" s="6" t="str">
        <f>"EPHB3"</f>
        <v>EPHB3</v>
      </c>
      <c r="B6187" s="6">
        <v>0.10089910089909999</v>
      </c>
      <c r="C6187" s="6">
        <v>0.286301402325284</v>
      </c>
    </row>
    <row r="6188" spans="1:3" s="8" customFormat="1" x14ac:dyDescent="0.2">
      <c r="A6188" s="6" t="str">
        <f>"LRRC49"</f>
        <v>LRRC49</v>
      </c>
      <c r="B6188" s="6">
        <v>0.10089910089909999</v>
      </c>
      <c r="C6188" s="6">
        <v>0.286301402325284</v>
      </c>
    </row>
    <row r="6189" spans="1:3" s="8" customFormat="1" x14ac:dyDescent="0.2">
      <c r="A6189" s="6" t="str">
        <f>"DCXR"</f>
        <v>DCXR</v>
      </c>
      <c r="B6189" s="6">
        <v>0.10089910089909999</v>
      </c>
      <c r="C6189" s="6">
        <v>0.286301402325284</v>
      </c>
    </row>
    <row r="6190" spans="1:3" s="8" customFormat="1" x14ac:dyDescent="0.2">
      <c r="A6190" s="6" t="str">
        <f>"NAPG"</f>
        <v>NAPG</v>
      </c>
      <c r="B6190" s="6">
        <v>0.10089910089909999</v>
      </c>
      <c r="C6190" s="6">
        <v>0.286301402325284</v>
      </c>
    </row>
    <row r="6191" spans="1:3" s="8" customFormat="1" x14ac:dyDescent="0.2">
      <c r="A6191" s="6" t="str">
        <f>"CGGBP1"</f>
        <v>CGGBP1</v>
      </c>
      <c r="B6191" s="6">
        <v>0.10089910089909999</v>
      </c>
      <c r="C6191" s="6">
        <v>0.286301402325284</v>
      </c>
    </row>
    <row r="6192" spans="1:3" s="8" customFormat="1" x14ac:dyDescent="0.2">
      <c r="A6192" s="6" t="str">
        <f>"DMBT1"</f>
        <v>DMBT1</v>
      </c>
      <c r="B6192" s="6">
        <v>0.10089910089909999</v>
      </c>
      <c r="C6192" s="6">
        <v>0.286301402325284</v>
      </c>
    </row>
    <row r="6193" spans="1:3" s="8" customFormat="1" x14ac:dyDescent="0.2">
      <c r="A6193" s="6" t="str">
        <f>"EIF4A3"</f>
        <v>EIF4A3</v>
      </c>
      <c r="B6193" s="6">
        <v>0.10089910089909999</v>
      </c>
      <c r="C6193" s="6">
        <v>0.286301402325284</v>
      </c>
    </row>
    <row r="6194" spans="1:3" s="8" customFormat="1" x14ac:dyDescent="0.2">
      <c r="A6194" s="6" t="str">
        <f>"LRRC45"</f>
        <v>LRRC45</v>
      </c>
      <c r="B6194" s="6">
        <v>0.10089910089909999</v>
      </c>
      <c r="C6194" s="6">
        <v>0.286301402325284</v>
      </c>
    </row>
    <row r="6195" spans="1:3" s="8" customFormat="1" x14ac:dyDescent="0.2">
      <c r="A6195" s="6" t="str">
        <f>"SPNS2"</f>
        <v>SPNS2</v>
      </c>
      <c r="B6195" s="6">
        <v>0.10089910089909999</v>
      </c>
      <c r="C6195" s="6">
        <v>0.286301402325284</v>
      </c>
    </row>
    <row r="6196" spans="1:3" s="8" customFormat="1" x14ac:dyDescent="0.2">
      <c r="A6196" s="6" t="str">
        <f>"SRSF11"</f>
        <v>SRSF11</v>
      </c>
      <c r="B6196" s="6">
        <v>0.10089910089909999</v>
      </c>
      <c r="C6196" s="6">
        <v>0.286301402325284</v>
      </c>
    </row>
    <row r="6197" spans="1:3" s="8" customFormat="1" x14ac:dyDescent="0.2">
      <c r="A6197" s="6" t="str">
        <f>"PLAAT4"</f>
        <v>PLAAT4</v>
      </c>
      <c r="B6197" s="6">
        <v>0.10089910089909999</v>
      </c>
      <c r="C6197" s="6">
        <v>0.286301402325284</v>
      </c>
    </row>
    <row r="6198" spans="1:3" s="8" customFormat="1" x14ac:dyDescent="0.2">
      <c r="A6198" s="6" t="str">
        <f>"PKM"</f>
        <v>PKM</v>
      </c>
      <c r="B6198" s="6">
        <v>0.10089910089909999</v>
      </c>
      <c r="C6198" s="6">
        <v>0.286301402325284</v>
      </c>
    </row>
    <row r="6199" spans="1:3" s="8" customFormat="1" x14ac:dyDescent="0.2">
      <c r="A6199" s="6" t="str">
        <f>"AC005912.1"</f>
        <v>AC005912.1</v>
      </c>
      <c r="B6199" s="6">
        <v>0.100929614873837</v>
      </c>
      <c r="C6199" s="6">
        <v>0.286341779274212</v>
      </c>
    </row>
    <row r="6200" spans="1:3" s="8" customFormat="1" x14ac:dyDescent="0.2">
      <c r="A6200" s="6" t="str">
        <f>"RAB40A"</f>
        <v>RAB40A</v>
      </c>
      <c r="B6200" s="6">
        <v>0.10100000000000001</v>
      </c>
      <c r="C6200" s="6">
        <v>0.28638529767197901</v>
      </c>
    </row>
    <row r="6201" spans="1:3" s="8" customFormat="1" x14ac:dyDescent="0.2">
      <c r="A6201" s="6" t="str">
        <f>"AC090720.1"</f>
        <v>AC090720.1</v>
      </c>
      <c r="B6201" s="6">
        <v>0.10101010101010099</v>
      </c>
      <c r="C6201" s="6">
        <v>0.28638529767197901</v>
      </c>
    </row>
    <row r="6202" spans="1:3" s="8" customFormat="1" x14ac:dyDescent="0.2">
      <c r="A6202" s="6" t="str">
        <f>"ACSBG1"</f>
        <v>ACSBG1</v>
      </c>
      <c r="B6202" s="6">
        <v>0.10100000000000001</v>
      </c>
      <c r="C6202" s="6">
        <v>0.28638529767197901</v>
      </c>
    </row>
    <row r="6203" spans="1:3" s="8" customFormat="1" x14ac:dyDescent="0.2">
      <c r="A6203" s="6" t="str">
        <f>"NFATC2IP"</f>
        <v>NFATC2IP</v>
      </c>
      <c r="B6203" s="6">
        <v>0.10100000000000001</v>
      </c>
      <c r="C6203" s="6">
        <v>0.28638529767197901</v>
      </c>
    </row>
    <row r="6204" spans="1:3" s="8" customFormat="1" x14ac:dyDescent="0.2">
      <c r="A6204" s="6" t="str">
        <f>"AC112236.2"</f>
        <v>AC112236.2</v>
      </c>
      <c r="B6204" s="6">
        <v>0.10103092783505099</v>
      </c>
      <c r="C6204" s="6">
        <v>0.28639816783033101</v>
      </c>
    </row>
    <row r="6205" spans="1:3" s="8" customFormat="1" x14ac:dyDescent="0.2">
      <c r="A6205" s="6" t="str">
        <f>"DDTL"</f>
        <v>DDTL</v>
      </c>
      <c r="B6205" s="6">
        <v>0.101101101101101</v>
      </c>
      <c r="C6205" s="6">
        <v>0.286550896479974</v>
      </c>
    </row>
    <row r="6206" spans="1:3" s="8" customFormat="1" x14ac:dyDescent="0.2">
      <c r="A6206" s="6" t="str">
        <f>"AC004528.2"</f>
        <v>AC004528.2</v>
      </c>
      <c r="B6206" s="6">
        <v>0.10120240480961901</v>
      </c>
      <c r="C6206" s="6">
        <v>0.28679179470948302</v>
      </c>
    </row>
    <row r="6207" spans="1:3" s="8" customFormat="1" x14ac:dyDescent="0.2">
      <c r="A6207" s="6" t="str">
        <f>"KRT74"</f>
        <v>KRT74</v>
      </c>
      <c r="B6207" s="6">
        <v>0.101898101898101</v>
      </c>
      <c r="C6207" s="6">
        <v>0.286959677094206</v>
      </c>
    </row>
    <row r="6208" spans="1:3" s="8" customFormat="1" x14ac:dyDescent="0.2">
      <c r="A6208" s="6" t="str">
        <f>"AC112206.2"</f>
        <v>AC112206.2</v>
      </c>
      <c r="B6208" s="6">
        <v>0.101898101898101</v>
      </c>
      <c r="C6208" s="6">
        <v>0.286959677094206</v>
      </c>
    </row>
    <row r="6209" spans="1:3" s="8" customFormat="1" x14ac:dyDescent="0.2">
      <c r="A6209" s="6" t="str">
        <f>"LY86-AS1"</f>
        <v>LY86-AS1</v>
      </c>
      <c r="B6209" s="6">
        <v>0.101898101898101</v>
      </c>
      <c r="C6209" s="6">
        <v>0.286959677094206</v>
      </c>
    </row>
    <row r="6210" spans="1:3" s="8" customFormat="1" x14ac:dyDescent="0.2">
      <c r="A6210" s="6" t="str">
        <f>"NKILA"</f>
        <v>NKILA</v>
      </c>
      <c r="B6210" s="6">
        <v>0.101898101898101</v>
      </c>
      <c r="C6210" s="6">
        <v>0.286959677094206</v>
      </c>
    </row>
    <row r="6211" spans="1:3" s="8" customFormat="1" x14ac:dyDescent="0.2">
      <c r="A6211" s="6" t="str">
        <f>"CA10"</f>
        <v>CA10</v>
      </c>
      <c r="B6211" s="6">
        <v>0.101898101898101</v>
      </c>
      <c r="C6211" s="6">
        <v>0.286959677094206</v>
      </c>
    </row>
    <row r="6212" spans="1:3" s="8" customFormat="1" x14ac:dyDescent="0.2">
      <c r="A6212" s="6" t="str">
        <f>"AC099550.1"</f>
        <v>AC099550.1</v>
      </c>
      <c r="B6212" s="6">
        <v>0.101898101898101</v>
      </c>
      <c r="C6212" s="6">
        <v>0.286959677094206</v>
      </c>
    </row>
    <row r="6213" spans="1:3" s="8" customFormat="1" x14ac:dyDescent="0.2">
      <c r="A6213" s="6" t="str">
        <f>"NPIPB6"</f>
        <v>NPIPB6</v>
      </c>
      <c r="B6213" s="6">
        <v>0.101898101898101</v>
      </c>
      <c r="C6213" s="6">
        <v>0.286959677094206</v>
      </c>
    </row>
    <row r="6214" spans="1:3" s="8" customFormat="1" x14ac:dyDescent="0.2">
      <c r="A6214" s="6" t="str">
        <f>"AC104590.1"</f>
        <v>AC104590.1</v>
      </c>
      <c r="B6214" s="6">
        <v>0.101898101898101</v>
      </c>
      <c r="C6214" s="6">
        <v>0.286959677094206</v>
      </c>
    </row>
    <row r="6215" spans="1:3" s="8" customFormat="1" x14ac:dyDescent="0.2">
      <c r="A6215" s="6" t="str">
        <f>"TMEM86B"</f>
        <v>TMEM86B</v>
      </c>
      <c r="B6215" s="6">
        <v>0.101898101898101</v>
      </c>
      <c r="C6215" s="6">
        <v>0.286959677094206</v>
      </c>
    </row>
    <row r="6216" spans="1:3" s="8" customFormat="1" x14ac:dyDescent="0.2">
      <c r="A6216" s="6" t="str">
        <f>"CD5"</f>
        <v>CD5</v>
      </c>
      <c r="B6216" s="6">
        <v>0.101898101898101</v>
      </c>
      <c r="C6216" s="6">
        <v>0.286959677094206</v>
      </c>
    </row>
    <row r="6217" spans="1:3" s="8" customFormat="1" x14ac:dyDescent="0.2">
      <c r="A6217" s="6" t="str">
        <f>"BHLHE40-AS1"</f>
        <v>BHLHE40-AS1</v>
      </c>
      <c r="B6217" s="6">
        <v>0.101898101898101</v>
      </c>
      <c r="C6217" s="6">
        <v>0.286959677094206</v>
      </c>
    </row>
    <row r="6218" spans="1:3" s="8" customFormat="1" x14ac:dyDescent="0.2">
      <c r="A6218" s="6" t="str">
        <f>"QRICH2"</f>
        <v>QRICH2</v>
      </c>
      <c r="B6218" s="6">
        <v>0.101898101898101</v>
      </c>
      <c r="C6218" s="6">
        <v>0.286959677094206</v>
      </c>
    </row>
    <row r="6219" spans="1:3" s="8" customFormat="1" x14ac:dyDescent="0.2">
      <c r="A6219" s="6" t="str">
        <f>"NCR3LG1"</f>
        <v>NCR3LG1</v>
      </c>
      <c r="B6219" s="6">
        <v>0.101898101898101</v>
      </c>
      <c r="C6219" s="6">
        <v>0.286959677094206</v>
      </c>
    </row>
    <row r="6220" spans="1:3" s="8" customFormat="1" x14ac:dyDescent="0.2">
      <c r="A6220" s="6" t="str">
        <f>"POGLUT1"</f>
        <v>POGLUT1</v>
      </c>
      <c r="B6220" s="6">
        <v>0.101898101898101</v>
      </c>
      <c r="C6220" s="6">
        <v>0.286959677094206</v>
      </c>
    </row>
    <row r="6221" spans="1:3" s="8" customFormat="1" x14ac:dyDescent="0.2">
      <c r="A6221" s="6" t="str">
        <f>"SNHG30"</f>
        <v>SNHG30</v>
      </c>
      <c r="B6221" s="6">
        <v>0.101898101898101</v>
      </c>
      <c r="C6221" s="6">
        <v>0.286959677094206</v>
      </c>
    </row>
    <row r="6222" spans="1:3" s="8" customFormat="1" x14ac:dyDescent="0.2">
      <c r="A6222" s="6" t="str">
        <f>"BEX2"</f>
        <v>BEX2</v>
      </c>
      <c r="B6222" s="6">
        <v>0.101898101898101</v>
      </c>
      <c r="C6222" s="6">
        <v>0.286959677094206</v>
      </c>
    </row>
    <row r="6223" spans="1:3" s="8" customFormat="1" x14ac:dyDescent="0.2">
      <c r="A6223" s="6" t="str">
        <f>"KCTD14"</f>
        <v>KCTD14</v>
      </c>
      <c r="B6223" s="6">
        <v>0.101898101898101</v>
      </c>
      <c r="C6223" s="6">
        <v>0.286959677094206</v>
      </c>
    </row>
    <row r="6224" spans="1:3" s="8" customFormat="1" x14ac:dyDescent="0.2">
      <c r="A6224" s="6" t="str">
        <f>"FBXO4"</f>
        <v>FBXO4</v>
      </c>
      <c r="B6224" s="6">
        <v>0.101898101898101</v>
      </c>
      <c r="C6224" s="6">
        <v>0.286959677094206</v>
      </c>
    </row>
    <row r="6225" spans="1:3" s="8" customFormat="1" x14ac:dyDescent="0.2">
      <c r="A6225" s="6" t="str">
        <f>"NUDT18"</f>
        <v>NUDT18</v>
      </c>
      <c r="B6225" s="6">
        <v>0.101898101898101</v>
      </c>
      <c r="C6225" s="6">
        <v>0.286959677094206</v>
      </c>
    </row>
    <row r="6226" spans="1:3" s="8" customFormat="1" x14ac:dyDescent="0.2">
      <c r="A6226" s="6" t="str">
        <f>"MAP2K6"</f>
        <v>MAP2K6</v>
      </c>
      <c r="B6226" s="6">
        <v>0.101898101898101</v>
      </c>
      <c r="C6226" s="6">
        <v>0.286959677094206</v>
      </c>
    </row>
    <row r="6227" spans="1:3" s="8" customFormat="1" x14ac:dyDescent="0.2">
      <c r="A6227" s="6" t="str">
        <f>"MFSD3"</f>
        <v>MFSD3</v>
      </c>
      <c r="B6227" s="6">
        <v>0.101898101898101</v>
      </c>
      <c r="C6227" s="6">
        <v>0.286959677094206</v>
      </c>
    </row>
    <row r="6228" spans="1:3" s="8" customFormat="1" x14ac:dyDescent="0.2">
      <c r="A6228" s="6" t="str">
        <f>"CCDC106"</f>
        <v>CCDC106</v>
      </c>
      <c r="B6228" s="6">
        <v>0.101898101898101</v>
      </c>
      <c r="C6228" s="6">
        <v>0.286959677094206</v>
      </c>
    </row>
    <row r="6229" spans="1:3" s="8" customFormat="1" x14ac:dyDescent="0.2">
      <c r="A6229" s="6" t="str">
        <f>"TRMT61A"</f>
        <v>TRMT61A</v>
      </c>
      <c r="B6229" s="6">
        <v>0.101898101898101</v>
      </c>
      <c r="C6229" s="6">
        <v>0.286959677094206</v>
      </c>
    </row>
    <row r="6230" spans="1:3" s="8" customFormat="1" x14ac:dyDescent="0.2">
      <c r="A6230" s="6" t="str">
        <f>"NUAK2"</f>
        <v>NUAK2</v>
      </c>
      <c r="B6230" s="6">
        <v>0.101898101898101</v>
      </c>
      <c r="C6230" s="6">
        <v>0.286959677094206</v>
      </c>
    </row>
    <row r="6231" spans="1:3" s="8" customFormat="1" x14ac:dyDescent="0.2">
      <c r="A6231" s="6" t="str">
        <f>"CDK17"</f>
        <v>CDK17</v>
      </c>
      <c r="B6231" s="6">
        <v>0.101898101898101</v>
      </c>
      <c r="C6231" s="6">
        <v>0.286959677094206</v>
      </c>
    </row>
    <row r="6232" spans="1:3" s="8" customFormat="1" x14ac:dyDescent="0.2">
      <c r="A6232" s="6" t="str">
        <f>"NFATC2"</f>
        <v>NFATC2</v>
      </c>
      <c r="B6232" s="6">
        <v>0.101898101898101</v>
      </c>
      <c r="C6232" s="6">
        <v>0.286959677094206</v>
      </c>
    </row>
    <row r="6233" spans="1:3" s="8" customFormat="1" x14ac:dyDescent="0.2">
      <c r="A6233" s="6" t="str">
        <f>"SDE2"</f>
        <v>SDE2</v>
      </c>
      <c r="B6233" s="6">
        <v>0.101898101898101</v>
      </c>
      <c r="C6233" s="6">
        <v>0.286959677094206</v>
      </c>
    </row>
    <row r="6234" spans="1:3" s="8" customFormat="1" x14ac:dyDescent="0.2">
      <c r="A6234" s="6" t="str">
        <f>"GTF2H2C"</f>
        <v>GTF2H2C</v>
      </c>
      <c r="B6234" s="6">
        <v>0.101898101898101</v>
      </c>
      <c r="C6234" s="6">
        <v>0.286959677094206</v>
      </c>
    </row>
    <row r="6235" spans="1:3" s="8" customFormat="1" x14ac:dyDescent="0.2">
      <c r="A6235" s="6" t="str">
        <f>"NHLRC2"</f>
        <v>NHLRC2</v>
      </c>
      <c r="B6235" s="6">
        <v>0.101898101898101</v>
      </c>
      <c r="C6235" s="6">
        <v>0.286959677094206</v>
      </c>
    </row>
    <row r="6236" spans="1:3" s="8" customFormat="1" x14ac:dyDescent="0.2">
      <c r="A6236" s="6" t="str">
        <f>"RIOX2"</f>
        <v>RIOX2</v>
      </c>
      <c r="B6236" s="6">
        <v>0.101898101898101</v>
      </c>
      <c r="C6236" s="6">
        <v>0.286959677094206</v>
      </c>
    </row>
    <row r="6237" spans="1:3" s="8" customFormat="1" x14ac:dyDescent="0.2">
      <c r="A6237" s="6" t="str">
        <f>"DHX29"</f>
        <v>DHX29</v>
      </c>
      <c r="B6237" s="6">
        <v>0.101898101898101</v>
      </c>
      <c r="C6237" s="6">
        <v>0.286959677094206</v>
      </c>
    </row>
    <row r="6238" spans="1:3" s="8" customFormat="1" x14ac:dyDescent="0.2">
      <c r="A6238" s="6" t="str">
        <f>"ABCA5"</f>
        <v>ABCA5</v>
      </c>
      <c r="B6238" s="6">
        <v>0.101898101898101</v>
      </c>
      <c r="C6238" s="6">
        <v>0.286959677094206</v>
      </c>
    </row>
    <row r="6239" spans="1:3" s="8" customFormat="1" x14ac:dyDescent="0.2">
      <c r="A6239" s="6" t="str">
        <f>"ABCC1"</f>
        <v>ABCC1</v>
      </c>
      <c r="B6239" s="6">
        <v>0.101898101898101</v>
      </c>
      <c r="C6239" s="6">
        <v>0.286959677094206</v>
      </c>
    </row>
    <row r="6240" spans="1:3" s="8" customFormat="1" x14ac:dyDescent="0.2">
      <c r="A6240" s="6" t="str">
        <f>"TMED4"</f>
        <v>TMED4</v>
      </c>
      <c r="B6240" s="6">
        <v>0.101898101898101</v>
      </c>
      <c r="C6240" s="6">
        <v>0.286959677094206</v>
      </c>
    </row>
    <row r="6241" spans="1:3" s="8" customFormat="1" x14ac:dyDescent="0.2">
      <c r="A6241" s="6" t="str">
        <f>"PTPRK"</f>
        <v>PTPRK</v>
      </c>
      <c r="B6241" s="6">
        <v>0.101898101898101</v>
      </c>
      <c r="C6241" s="6">
        <v>0.286959677094206</v>
      </c>
    </row>
    <row r="6242" spans="1:3" s="8" customFormat="1" x14ac:dyDescent="0.2">
      <c r="A6242" s="6" t="str">
        <f>"MID1IP1"</f>
        <v>MID1IP1</v>
      </c>
      <c r="B6242" s="6">
        <v>0.101898101898101</v>
      </c>
      <c r="C6242" s="6">
        <v>0.286959677094206</v>
      </c>
    </row>
    <row r="6243" spans="1:3" s="8" customFormat="1" x14ac:dyDescent="0.2">
      <c r="A6243" s="6" t="str">
        <f>"MAP4"</f>
        <v>MAP4</v>
      </c>
      <c r="B6243" s="6">
        <v>0.101898101898101</v>
      </c>
      <c r="C6243" s="6">
        <v>0.286959677094206</v>
      </c>
    </row>
    <row r="6244" spans="1:3" s="8" customFormat="1" x14ac:dyDescent="0.2">
      <c r="A6244" s="6" t="str">
        <f>"RCC2"</f>
        <v>RCC2</v>
      </c>
      <c r="B6244" s="6">
        <v>0.101898101898101</v>
      </c>
      <c r="C6244" s="6">
        <v>0.286959677094206</v>
      </c>
    </row>
    <row r="6245" spans="1:3" s="8" customFormat="1" x14ac:dyDescent="0.2">
      <c r="A6245" s="6" t="str">
        <f>"ETV6"</f>
        <v>ETV6</v>
      </c>
      <c r="B6245" s="6">
        <v>0.101898101898101</v>
      </c>
      <c r="C6245" s="6">
        <v>0.286959677094206</v>
      </c>
    </row>
    <row r="6246" spans="1:3" s="8" customFormat="1" x14ac:dyDescent="0.2">
      <c r="A6246" s="6" t="str">
        <f>"AC114763.1"</f>
        <v>AC114763.1</v>
      </c>
      <c r="B6246" s="6">
        <v>0.101992966002344</v>
      </c>
      <c r="C6246" s="6">
        <v>0.28715465898174802</v>
      </c>
    </row>
    <row r="6247" spans="1:3" s="8" customFormat="1" x14ac:dyDescent="0.2">
      <c r="A6247" s="6" t="str">
        <f>"ZFP28"</f>
        <v>ZFP28</v>
      </c>
      <c r="B6247" s="6">
        <v>0.10199999999999999</v>
      </c>
      <c r="C6247" s="6">
        <v>0.28715465898174802</v>
      </c>
    </row>
    <row r="6248" spans="1:3" s="8" customFormat="1" x14ac:dyDescent="0.2">
      <c r="A6248" s="6" t="str">
        <f>"OR7E94P"</f>
        <v>OR7E94P</v>
      </c>
      <c r="B6248" s="6">
        <v>0.10230692076228599</v>
      </c>
      <c r="C6248" s="6">
        <v>0.28792651963573102</v>
      </c>
    </row>
    <row r="6249" spans="1:3" s="8" customFormat="1" x14ac:dyDescent="0.2">
      <c r="A6249" s="6" t="str">
        <f>"LINC01560"</f>
        <v>LINC01560</v>
      </c>
      <c r="B6249" s="6">
        <v>0.10230692076228599</v>
      </c>
      <c r="C6249" s="6">
        <v>0.28792651963573102</v>
      </c>
    </row>
    <row r="6250" spans="1:3" s="8" customFormat="1" x14ac:dyDescent="0.2">
      <c r="A6250" s="6" t="str">
        <f>"AC092969.1"</f>
        <v>AC092969.1</v>
      </c>
      <c r="B6250" s="6">
        <v>0.10289710289710199</v>
      </c>
      <c r="C6250" s="6">
        <v>0.288295515828976</v>
      </c>
    </row>
    <row r="6251" spans="1:3" s="8" customFormat="1" x14ac:dyDescent="0.2">
      <c r="A6251" s="6" t="str">
        <f>"ACSM2B"</f>
        <v>ACSM2B</v>
      </c>
      <c r="B6251" s="6">
        <v>0.10289710289710199</v>
      </c>
      <c r="C6251" s="6">
        <v>0.288295515828976</v>
      </c>
    </row>
    <row r="6252" spans="1:3" s="8" customFormat="1" x14ac:dyDescent="0.2">
      <c r="A6252" s="6" t="str">
        <f>"RHEBP2"</f>
        <v>RHEBP2</v>
      </c>
      <c r="B6252" s="6">
        <v>0.10289710289710199</v>
      </c>
      <c r="C6252" s="6">
        <v>0.288295515828976</v>
      </c>
    </row>
    <row r="6253" spans="1:3" s="8" customFormat="1" x14ac:dyDescent="0.2">
      <c r="A6253" s="6" t="str">
        <f>"AC015871.8"</f>
        <v>AC015871.8</v>
      </c>
      <c r="B6253" s="6">
        <v>0.10289710289710199</v>
      </c>
      <c r="C6253" s="6">
        <v>0.288295515828976</v>
      </c>
    </row>
    <row r="6254" spans="1:3" s="8" customFormat="1" x14ac:dyDescent="0.2">
      <c r="A6254" s="6" t="str">
        <f>"AL391121.1"</f>
        <v>AL391121.1</v>
      </c>
      <c r="B6254" s="6">
        <v>0.102697095435684</v>
      </c>
      <c r="C6254" s="6">
        <v>0.288295515828976</v>
      </c>
    </row>
    <row r="6255" spans="1:3" s="8" customFormat="1" x14ac:dyDescent="0.2">
      <c r="A6255" s="6" t="str">
        <f>"AC105345.1"</f>
        <v>AC105345.1</v>
      </c>
      <c r="B6255" s="6">
        <v>0.10289710289710199</v>
      </c>
      <c r="C6255" s="6">
        <v>0.288295515828976</v>
      </c>
    </row>
    <row r="6256" spans="1:3" s="8" customFormat="1" x14ac:dyDescent="0.2">
      <c r="A6256" s="6" t="str">
        <f>"AP002495.1"</f>
        <v>AP002495.1</v>
      </c>
      <c r="B6256" s="6">
        <v>0.102615694164989</v>
      </c>
      <c r="C6256" s="6">
        <v>0.288295515828976</v>
      </c>
    </row>
    <row r="6257" spans="1:3" s="8" customFormat="1" x14ac:dyDescent="0.2">
      <c r="A6257" s="6" t="str">
        <f>"AL390778.2"</f>
        <v>AL390778.2</v>
      </c>
      <c r="B6257" s="6">
        <v>0.10289710289710199</v>
      </c>
      <c r="C6257" s="6">
        <v>0.288295515828976</v>
      </c>
    </row>
    <row r="6258" spans="1:3" s="8" customFormat="1" x14ac:dyDescent="0.2">
      <c r="A6258" s="6" t="str">
        <f>"TOLLIP-AS1"</f>
        <v>TOLLIP-AS1</v>
      </c>
      <c r="B6258" s="6">
        <v>0.10289710289710199</v>
      </c>
      <c r="C6258" s="6">
        <v>0.288295515828976</v>
      </c>
    </row>
    <row r="6259" spans="1:3" s="8" customFormat="1" x14ac:dyDescent="0.2">
      <c r="A6259" s="6" t="str">
        <f>"ZNF229"</f>
        <v>ZNF229</v>
      </c>
      <c r="B6259" s="6">
        <v>0.10289710289710199</v>
      </c>
      <c r="C6259" s="6">
        <v>0.288295515828976</v>
      </c>
    </row>
    <row r="6260" spans="1:3" s="8" customFormat="1" x14ac:dyDescent="0.2">
      <c r="A6260" s="6" t="str">
        <f>"FPR3"</f>
        <v>FPR3</v>
      </c>
      <c r="B6260" s="6">
        <v>0.10289710289710199</v>
      </c>
      <c r="C6260" s="6">
        <v>0.288295515828976</v>
      </c>
    </row>
    <row r="6261" spans="1:3" s="8" customFormat="1" x14ac:dyDescent="0.2">
      <c r="A6261" s="6" t="str">
        <f>"FOLH1"</f>
        <v>FOLH1</v>
      </c>
      <c r="B6261" s="6">
        <v>0.10289710289710199</v>
      </c>
      <c r="C6261" s="6">
        <v>0.288295515828976</v>
      </c>
    </row>
    <row r="6262" spans="1:3" s="8" customFormat="1" x14ac:dyDescent="0.2">
      <c r="A6262" s="6" t="str">
        <f>"ZNF138"</f>
        <v>ZNF138</v>
      </c>
      <c r="B6262" s="6">
        <v>0.10289710289710199</v>
      </c>
      <c r="C6262" s="6">
        <v>0.288295515828976</v>
      </c>
    </row>
    <row r="6263" spans="1:3" s="8" customFormat="1" x14ac:dyDescent="0.2">
      <c r="A6263" s="6" t="str">
        <f>"ZNF707"</f>
        <v>ZNF707</v>
      </c>
      <c r="B6263" s="6">
        <v>0.10289710289710199</v>
      </c>
      <c r="C6263" s="6">
        <v>0.288295515828976</v>
      </c>
    </row>
    <row r="6264" spans="1:3" s="8" customFormat="1" x14ac:dyDescent="0.2">
      <c r="A6264" s="6" t="str">
        <f>"DTWD2"</f>
        <v>DTWD2</v>
      </c>
      <c r="B6264" s="6">
        <v>0.10289710289710199</v>
      </c>
      <c r="C6264" s="6">
        <v>0.288295515828976</v>
      </c>
    </row>
    <row r="6265" spans="1:3" s="8" customFormat="1" x14ac:dyDescent="0.2">
      <c r="A6265" s="6" t="str">
        <f>"PVR"</f>
        <v>PVR</v>
      </c>
      <c r="B6265" s="6">
        <v>0.10289710289710199</v>
      </c>
      <c r="C6265" s="6">
        <v>0.288295515828976</v>
      </c>
    </row>
    <row r="6266" spans="1:3" s="8" customFormat="1" x14ac:dyDescent="0.2">
      <c r="A6266" s="6" t="str">
        <f>"NRARP"</f>
        <v>NRARP</v>
      </c>
      <c r="B6266" s="6">
        <v>0.10289710289710199</v>
      </c>
      <c r="C6266" s="6">
        <v>0.288295515828976</v>
      </c>
    </row>
    <row r="6267" spans="1:3" s="8" customFormat="1" x14ac:dyDescent="0.2">
      <c r="A6267" s="6" t="str">
        <f>"ABCA3"</f>
        <v>ABCA3</v>
      </c>
      <c r="B6267" s="6">
        <v>0.10289710289710199</v>
      </c>
      <c r="C6267" s="6">
        <v>0.288295515828976</v>
      </c>
    </row>
    <row r="6268" spans="1:3" s="8" customFormat="1" x14ac:dyDescent="0.2">
      <c r="A6268" s="6" t="str">
        <f>"DTD2"</f>
        <v>DTD2</v>
      </c>
      <c r="B6268" s="6">
        <v>0.10289710289710199</v>
      </c>
      <c r="C6268" s="6">
        <v>0.288295515828976</v>
      </c>
    </row>
    <row r="6269" spans="1:3" s="8" customFormat="1" x14ac:dyDescent="0.2">
      <c r="A6269" s="6" t="str">
        <f>"C3orf38"</f>
        <v>C3orf38</v>
      </c>
      <c r="B6269" s="6">
        <v>0.10289710289710199</v>
      </c>
      <c r="C6269" s="6">
        <v>0.288295515828976</v>
      </c>
    </row>
    <row r="6270" spans="1:3" s="8" customFormat="1" x14ac:dyDescent="0.2">
      <c r="A6270" s="6" t="str">
        <f>"LLPH"</f>
        <v>LLPH</v>
      </c>
      <c r="B6270" s="6">
        <v>0.10289710289710199</v>
      </c>
      <c r="C6270" s="6">
        <v>0.288295515828976</v>
      </c>
    </row>
    <row r="6271" spans="1:3" s="8" customFormat="1" x14ac:dyDescent="0.2">
      <c r="A6271" s="6" t="str">
        <f>"CACHD1"</f>
        <v>CACHD1</v>
      </c>
      <c r="B6271" s="6">
        <v>0.10289710289710199</v>
      </c>
      <c r="C6271" s="6">
        <v>0.288295515828976</v>
      </c>
    </row>
    <row r="6272" spans="1:3" s="8" customFormat="1" x14ac:dyDescent="0.2">
      <c r="A6272" s="6" t="str">
        <f>"DNAAF5"</f>
        <v>DNAAF5</v>
      </c>
      <c r="B6272" s="6">
        <v>0.10289710289710199</v>
      </c>
      <c r="C6272" s="6">
        <v>0.288295515828976</v>
      </c>
    </row>
    <row r="6273" spans="1:3" s="8" customFormat="1" x14ac:dyDescent="0.2">
      <c r="A6273" s="6" t="str">
        <f>"YIPF6"</f>
        <v>YIPF6</v>
      </c>
      <c r="B6273" s="6">
        <v>0.10289710289710199</v>
      </c>
      <c r="C6273" s="6">
        <v>0.288295515828976</v>
      </c>
    </row>
    <row r="6274" spans="1:3" s="8" customFormat="1" x14ac:dyDescent="0.2">
      <c r="A6274" s="6" t="str">
        <f>"SMYD2"</f>
        <v>SMYD2</v>
      </c>
      <c r="B6274" s="6">
        <v>0.10289710289710199</v>
      </c>
      <c r="C6274" s="6">
        <v>0.288295515828976</v>
      </c>
    </row>
    <row r="6275" spans="1:3" s="8" customFormat="1" x14ac:dyDescent="0.2">
      <c r="A6275" s="6" t="str">
        <f>"ANKRD13A"</f>
        <v>ANKRD13A</v>
      </c>
      <c r="B6275" s="6">
        <v>0.10289710289710199</v>
      </c>
      <c r="C6275" s="6">
        <v>0.288295515828976</v>
      </c>
    </row>
    <row r="6276" spans="1:3" s="8" customFormat="1" x14ac:dyDescent="0.2">
      <c r="A6276" s="6" t="str">
        <f>"CALCOCO1"</f>
        <v>CALCOCO1</v>
      </c>
      <c r="B6276" s="6">
        <v>0.10289710289710199</v>
      </c>
      <c r="C6276" s="6">
        <v>0.288295515828976</v>
      </c>
    </row>
    <row r="6277" spans="1:3" s="8" customFormat="1" x14ac:dyDescent="0.2">
      <c r="A6277" s="6" t="str">
        <f>"EWSR1"</f>
        <v>EWSR1</v>
      </c>
      <c r="B6277" s="6">
        <v>0.10289710289710199</v>
      </c>
      <c r="C6277" s="6">
        <v>0.288295515828976</v>
      </c>
    </row>
    <row r="6278" spans="1:3" s="8" customFormat="1" x14ac:dyDescent="0.2">
      <c r="A6278" s="6" t="str">
        <f>"ZMYND10"</f>
        <v>ZMYND10</v>
      </c>
      <c r="B6278" s="6">
        <v>0.10299999999999999</v>
      </c>
      <c r="C6278" s="6">
        <v>0.28853783654611997</v>
      </c>
    </row>
    <row r="6279" spans="1:3" s="8" customFormat="1" x14ac:dyDescent="0.2">
      <c r="A6279" s="6" t="str">
        <f>"SSTR5-AS1"</f>
        <v>SSTR5-AS1</v>
      </c>
      <c r="B6279" s="6">
        <v>0.103896103896103</v>
      </c>
      <c r="C6279" s="6">
        <v>0.28975560521952198</v>
      </c>
    </row>
    <row r="6280" spans="1:3" s="8" customFormat="1" x14ac:dyDescent="0.2">
      <c r="A6280" s="6" t="str">
        <f>"NAP1L4P1"</f>
        <v>NAP1L4P1</v>
      </c>
      <c r="B6280" s="6">
        <v>0.103896103896103</v>
      </c>
      <c r="C6280" s="6">
        <v>0.28975560521952198</v>
      </c>
    </row>
    <row r="6281" spans="1:3" s="8" customFormat="1" x14ac:dyDescent="0.2">
      <c r="A6281" s="6" t="str">
        <f>"PTGDS"</f>
        <v>PTGDS</v>
      </c>
      <c r="B6281" s="6">
        <v>0.103896103896103</v>
      </c>
      <c r="C6281" s="6">
        <v>0.28975560521952198</v>
      </c>
    </row>
    <row r="6282" spans="1:3" s="8" customFormat="1" x14ac:dyDescent="0.2">
      <c r="A6282" s="6" t="str">
        <f>"AC007876.1"</f>
        <v>AC007876.1</v>
      </c>
      <c r="B6282" s="6">
        <v>0.103896103896103</v>
      </c>
      <c r="C6282" s="6">
        <v>0.28975560521952198</v>
      </c>
    </row>
    <row r="6283" spans="1:3" s="8" customFormat="1" x14ac:dyDescent="0.2">
      <c r="A6283" s="6" t="str">
        <f>"SPCS2P4"</f>
        <v>SPCS2P4</v>
      </c>
      <c r="B6283" s="6">
        <v>0.103896103896103</v>
      </c>
      <c r="C6283" s="6">
        <v>0.28975560521952198</v>
      </c>
    </row>
    <row r="6284" spans="1:3" s="8" customFormat="1" x14ac:dyDescent="0.2">
      <c r="A6284" s="6" t="str">
        <f>"MSX2"</f>
        <v>MSX2</v>
      </c>
      <c r="B6284" s="6">
        <v>0.103896103896103</v>
      </c>
      <c r="C6284" s="6">
        <v>0.28975560521952198</v>
      </c>
    </row>
    <row r="6285" spans="1:3" s="8" customFormat="1" x14ac:dyDescent="0.2">
      <c r="A6285" s="6" t="str">
        <f>"AC145098.2"</f>
        <v>AC145098.2</v>
      </c>
      <c r="B6285" s="6">
        <v>0.103896103896103</v>
      </c>
      <c r="C6285" s="6">
        <v>0.28975560521952198</v>
      </c>
    </row>
    <row r="6286" spans="1:3" s="8" customFormat="1" x14ac:dyDescent="0.2">
      <c r="A6286" s="6" t="str">
        <f>"AS3MT"</f>
        <v>AS3MT</v>
      </c>
      <c r="B6286" s="6">
        <v>0.103896103896103</v>
      </c>
      <c r="C6286" s="6">
        <v>0.28975560521952198</v>
      </c>
    </row>
    <row r="6287" spans="1:3" s="8" customFormat="1" x14ac:dyDescent="0.2">
      <c r="A6287" s="6" t="str">
        <f>"LINC01609"</f>
        <v>LINC01609</v>
      </c>
      <c r="B6287" s="6">
        <v>0.103896103896103</v>
      </c>
      <c r="C6287" s="6">
        <v>0.28975560521952198</v>
      </c>
    </row>
    <row r="6288" spans="1:3" s="8" customFormat="1" x14ac:dyDescent="0.2">
      <c r="A6288" s="6" t="str">
        <f>"LINC01719"</f>
        <v>LINC01719</v>
      </c>
      <c r="B6288" s="6">
        <v>0.103896103896103</v>
      </c>
      <c r="C6288" s="6">
        <v>0.28975560521952198</v>
      </c>
    </row>
    <row r="6289" spans="1:3" s="8" customFormat="1" x14ac:dyDescent="0.2">
      <c r="A6289" s="6" t="str">
        <f>"DMRTA1"</f>
        <v>DMRTA1</v>
      </c>
      <c r="B6289" s="6">
        <v>0.103896103896103</v>
      </c>
      <c r="C6289" s="6">
        <v>0.28975560521952198</v>
      </c>
    </row>
    <row r="6290" spans="1:3" s="8" customFormat="1" x14ac:dyDescent="0.2">
      <c r="A6290" s="6" t="str">
        <f>"ERCC8"</f>
        <v>ERCC8</v>
      </c>
      <c r="B6290" s="6">
        <v>0.103896103896103</v>
      </c>
      <c r="C6290" s="6">
        <v>0.28975560521952198</v>
      </c>
    </row>
    <row r="6291" spans="1:3" s="8" customFormat="1" x14ac:dyDescent="0.2">
      <c r="A6291" s="6" t="str">
        <f>"MTMR9"</f>
        <v>MTMR9</v>
      </c>
      <c r="B6291" s="6">
        <v>0.103896103896103</v>
      </c>
      <c r="C6291" s="6">
        <v>0.28975560521952198</v>
      </c>
    </row>
    <row r="6292" spans="1:3" s="8" customFormat="1" x14ac:dyDescent="0.2">
      <c r="A6292" s="6" t="str">
        <f>"TAZ"</f>
        <v>TAZ</v>
      </c>
      <c r="B6292" s="6">
        <v>0.103896103896103</v>
      </c>
      <c r="C6292" s="6">
        <v>0.28975560521952198</v>
      </c>
    </row>
    <row r="6293" spans="1:3" s="8" customFormat="1" x14ac:dyDescent="0.2">
      <c r="A6293" s="6" t="str">
        <f>"AP001372.2"</f>
        <v>AP001372.2</v>
      </c>
      <c r="B6293" s="6">
        <v>0.103896103896103</v>
      </c>
      <c r="C6293" s="6">
        <v>0.28975560521952198</v>
      </c>
    </row>
    <row r="6294" spans="1:3" s="8" customFormat="1" x14ac:dyDescent="0.2">
      <c r="A6294" s="6" t="str">
        <f>"HSDL1"</f>
        <v>HSDL1</v>
      </c>
      <c r="B6294" s="6">
        <v>0.103896103896103</v>
      </c>
      <c r="C6294" s="6">
        <v>0.28975560521952198</v>
      </c>
    </row>
    <row r="6295" spans="1:3" s="8" customFormat="1" x14ac:dyDescent="0.2">
      <c r="A6295" s="6" t="str">
        <f>"ATP6V1C2"</f>
        <v>ATP6V1C2</v>
      </c>
      <c r="B6295" s="6">
        <v>0.103896103896103</v>
      </c>
      <c r="C6295" s="6">
        <v>0.28975560521952198</v>
      </c>
    </row>
    <row r="6296" spans="1:3" s="8" customFormat="1" x14ac:dyDescent="0.2">
      <c r="A6296" s="6" t="str">
        <f>"BMPR1B"</f>
        <v>BMPR1B</v>
      </c>
      <c r="B6296" s="6">
        <v>0.103896103896103</v>
      </c>
      <c r="C6296" s="6">
        <v>0.28975560521952198</v>
      </c>
    </row>
    <row r="6297" spans="1:3" s="8" customFormat="1" x14ac:dyDescent="0.2">
      <c r="A6297" s="6" t="str">
        <f>"HSBP1L1"</f>
        <v>HSBP1L1</v>
      </c>
      <c r="B6297" s="6">
        <v>0.103896103896103</v>
      </c>
      <c r="C6297" s="6">
        <v>0.28975560521952198</v>
      </c>
    </row>
    <row r="6298" spans="1:3" s="8" customFormat="1" x14ac:dyDescent="0.2">
      <c r="A6298" s="6" t="str">
        <f>"PPP1R36"</f>
        <v>PPP1R36</v>
      </c>
      <c r="B6298" s="6">
        <v>0.103896103896103</v>
      </c>
      <c r="C6298" s="6">
        <v>0.28975560521952198</v>
      </c>
    </row>
    <row r="6299" spans="1:3" s="8" customFormat="1" x14ac:dyDescent="0.2">
      <c r="A6299" s="6" t="str">
        <f>"PRKAA2"</f>
        <v>PRKAA2</v>
      </c>
      <c r="B6299" s="6">
        <v>0.103896103896103</v>
      </c>
      <c r="C6299" s="6">
        <v>0.28975560521952198</v>
      </c>
    </row>
    <row r="6300" spans="1:3" s="8" customFormat="1" x14ac:dyDescent="0.2">
      <c r="A6300" s="6" t="str">
        <f>"DYNC2LI1"</f>
        <v>DYNC2LI1</v>
      </c>
      <c r="B6300" s="6">
        <v>0.103896103896103</v>
      </c>
      <c r="C6300" s="6">
        <v>0.28975560521952198</v>
      </c>
    </row>
    <row r="6301" spans="1:3" s="8" customFormat="1" x14ac:dyDescent="0.2">
      <c r="A6301" s="6" t="str">
        <f>"HERC1"</f>
        <v>HERC1</v>
      </c>
      <c r="B6301" s="6">
        <v>0.103896103896103</v>
      </c>
      <c r="C6301" s="6">
        <v>0.28975560521952198</v>
      </c>
    </row>
    <row r="6302" spans="1:3" s="8" customFormat="1" x14ac:dyDescent="0.2">
      <c r="A6302" s="6" t="str">
        <f>"MARF1"</f>
        <v>MARF1</v>
      </c>
      <c r="B6302" s="6">
        <v>0.103896103896103</v>
      </c>
      <c r="C6302" s="6">
        <v>0.28975560521952198</v>
      </c>
    </row>
    <row r="6303" spans="1:3" s="8" customFormat="1" x14ac:dyDescent="0.2">
      <c r="A6303" s="6" t="str">
        <f>"SNHG29"</f>
        <v>SNHG29</v>
      </c>
      <c r="B6303" s="6">
        <v>0.103896103896103</v>
      </c>
      <c r="C6303" s="6">
        <v>0.28975560521952198</v>
      </c>
    </row>
    <row r="6304" spans="1:3" s="8" customFormat="1" x14ac:dyDescent="0.2">
      <c r="A6304" s="6" t="str">
        <f>"CBR1"</f>
        <v>CBR1</v>
      </c>
      <c r="B6304" s="6">
        <v>0.103896103896103</v>
      </c>
      <c r="C6304" s="6">
        <v>0.28975560521952198</v>
      </c>
    </row>
    <row r="6305" spans="1:3" s="8" customFormat="1" x14ac:dyDescent="0.2">
      <c r="A6305" s="6" t="str">
        <f>"DNAI4"</f>
        <v>DNAI4</v>
      </c>
      <c r="B6305" s="6">
        <v>0.103896103896103</v>
      </c>
      <c r="C6305" s="6">
        <v>0.28975560521952198</v>
      </c>
    </row>
    <row r="6306" spans="1:3" s="8" customFormat="1" x14ac:dyDescent="0.2">
      <c r="A6306" s="6" t="str">
        <f>"CD44"</f>
        <v>CD44</v>
      </c>
      <c r="B6306" s="6">
        <v>0.103896103896103</v>
      </c>
      <c r="C6306" s="6">
        <v>0.28975560521952198</v>
      </c>
    </row>
    <row r="6307" spans="1:3" s="8" customFormat="1" x14ac:dyDescent="0.2">
      <c r="A6307" s="6" t="str">
        <f>"AL079303.1"</f>
        <v>AL079303.1</v>
      </c>
      <c r="B6307" s="6">
        <v>0.104</v>
      </c>
      <c r="C6307" s="6">
        <v>0.28986146774449101</v>
      </c>
    </row>
    <row r="6308" spans="1:3" s="8" customFormat="1" x14ac:dyDescent="0.2">
      <c r="A6308" s="6" t="str">
        <f>"RPL37A-DT"</f>
        <v>RPL37A-DT</v>
      </c>
      <c r="B6308" s="6">
        <v>0.104</v>
      </c>
      <c r="C6308" s="6">
        <v>0.28986146774449101</v>
      </c>
    </row>
    <row r="6309" spans="1:3" s="8" customFormat="1" x14ac:dyDescent="0.2">
      <c r="A6309" s="6" t="str">
        <f>"ZNRF2"</f>
        <v>ZNRF2</v>
      </c>
      <c r="B6309" s="6">
        <v>0.104</v>
      </c>
      <c r="C6309" s="6">
        <v>0.28986146774449101</v>
      </c>
    </row>
    <row r="6310" spans="1:3" s="8" customFormat="1" x14ac:dyDescent="0.2">
      <c r="A6310" s="6" t="str">
        <f>"ST6GALNAC6"</f>
        <v>ST6GALNAC6</v>
      </c>
      <c r="B6310" s="6">
        <v>0.104</v>
      </c>
      <c r="C6310" s="6">
        <v>0.28986146774449101</v>
      </c>
    </row>
    <row r="6311" spans="1:3" s="8" customFormat="1" x14ac:dyDescent="0.2">
      <c r="A6311" s="6" t="str">
        <f>"LINC02313"</f>
        <v>LINC02313</v>
      </c>
      <c r="B6311" s="6">
        <v>0.10489510489510399</v>
      </c>
      <c r="C6311" s="6">
        <v>0.29083499282174702</v>
      </c>
    </row>
    <row r="6312" spans="1:3" s="8" customFormat="1" x14ac:dyDescent="0.2">
      <c r="A6312" s="6" t="str">
        <f>"AC122688.4"</f>
        <v>AC122688.4</v>
      </c>
      <c r="B6312" s="6">
        <v>0.10489510489510399</v>
      </c>
      <c r="C6312" s="6">
        <v>0.29083499282174702</v>
      </c>
    </row>
    <row r="6313" spans="1:3" s="8" customFormat="1" x14ac:dyDescent="0.2">
      <c r="A6313" s="6" t="str">
        <f>"H1-5"</f>
        <v>H1-5</v>
      </c>
      <c r="B6313" s="6">
        <v>0.10489510489510399</v>
      </c>
      <c r="C6313" s="6">
        <v>0.29083499282174702</v>
      </c>
    </row>
    <row r="6314" spans="1:3" s="8" customFormat="1" x14ac:dyDescent="0.2">
      <c r="A6314" s="6" t="str">
        <f>"ABCC5-AS1"</f>
        <v>ABCC5-AS1</v>
      </c>
      <c r="B6314" s="6">
        <v>0.10489510489510399</v>
      </c>
      <c r="C6314" s="6">
        <v>0.29083499282174702</v>
      </c>
    </row>
    <row r="6315" spans="1:3" s="8" customFormat="1" x14ac:dyDescent="0.2">
      <c r="A6315" s="6" t="str">
        <f>"AC019197.1"</f>
        <v>AC019197.1</v>
      </c>
      <c r="B6315" s="6">
        <v>0.10489510489510399</v>
      </c>
      <c r="C6315" s="6">
        <v>0.29083499282174702</v>
      </c>
    </row>
    <row r="6316" spans="1:3" s="8" customFormat="1" x14ac:dyDescent="0.2">
      <c r="A6316" s="6" t="str">
        <f>"AC020659.1"</f>
        <v>AC020659.1</v>
      </c>
      <c r="B6316" s="6">
        <v>0.10489510489510399</v>
      </c>
      <c r="C6316" s="6">
        <v>0.29083499282174702</v>
      </c>
    </row>
    <row r="6317" spans="1:3" s="8" customFormat="1" x14ac:dyDescent="0.2">
      <c r="A6317" s="6" t="str">
        <f>"CHI3L2"</f>
        <v>CHI3L2</v>
      </c>
      <c r="B6317" s="6">
        <v>0.10489510489510399</v>
      </c>
      <c r="C6317" s="6">
        <v>0.29083499282174702</v>
      </c>
    </row>
    <row r="6318" spans="1:3" s="8" customFormat="1" x14ac:dyDescent="0.2">
      <c r="A6318" s="6" t="str">
        <f>"LRRC4C"</f>
        <v>LRRC4C</v>
      </c>
      <c r="B6318" s="6">
        <v>0.10489510489510399</v>
      </c>
      <c r="C6318" s="6">
        <v>0.29083499282174702</v>
      </c>
    </row>
    <row r="6319" spans="1:3" s="8" customFormat="1" x14ac:dyDescent="0.2">
      <c r="A6319" s="6" t="str">
        <f>"ZNF571-AS1"</f>
        <v>ZNF571-AS1</v>
      </c>
      <c r="B6319" s="6">
        <v>0.10489510489510399</v>
      </c>
      <c r="C6319" s="6">
        <v>0.29083499282174702</v>
      </c>
    </row>
    <row r="6320" spans="1:3" s="8" customFormat="1" x14ac:dyDescent="0.2">
      <c r="A6320" s="6" t="str">
        <f>"CD180"</f>
        <v>CD180</v>
      </c>
      <c r="B6320" s="6">
        <v>0.10489510489510399</v>
      </c>
      <c r="C6320" s="6">
        <v>0.29083499282174702</v>
      </c>
    </row>
    <row r="6321" spans="1:3" s="8" customFormat="1" x14ac:dyDescent="0.2">
      <c r="A6321" s="6" t="str">
        <f>"AC008556.1"</f>
        <v>AC008556.1</v>
      </c>
      <c r="B6321" s="6">
        <v>0.10489510489510399</v>
      </c>
      <c r="C6321" s="6">
        <v>0.29083499282174702</v>
      </c>
    </row>
    <row r="6322" spans="1:3" s="8" customFormat="1" x14ac:dyDescent="0.2">
      <c r="A6322" s="6" t="str">
        <f>"RNF208"</f>
        <v>RNF208</v>
      </c>
      <c r="B6322" s="6">
        <v>0.10489510489510399</v>
      </c>
      <c r="C6322" s="6">
        <v>0.29083499282174702</v>
      </c>
    </row>
    <row r="6323" spans="1:3" s="8" customFormat="1" x14ac:dyDescent="0.2">
      <c r="A6323" s="6" t="str">
        <f>"COQ3"</f>
        <v>COQ3</v>
      </c>
      <c r="B6323" s="6">
        <v>0.10489510489510399</v>
      </c>
      <c r="C6323" s="6">
        <v>0.29083499282174702</v>
      </c>
    </row>
    <row r="6324" spans="1:3" s="8" customFormat="1" x14ac:dyDescent="0.2">
      <c r="A6324" s="6" t="str">
        <f>"TVP23C"</f>
        <v>TVP23C</v>
      </c>
      <c r="B6324" s="6">
        <v>0.10489510489510399</v>
      </c>
      <c r="C6324" s="6">
        <v>0.29083499282174702</v>
      </c>
    </row>
    <row r="6325" spans="1:3" s="8" customFormat="1" x14ac:dyDescent="0.2">
      <c r="A6325" s="6" t="str">
        <f>"LBHD1"</f>
        <v>LBHD1</v>
      </c>
      <c r="B6325" s="6">
        <v>0.10489510489510399</v>
      </c>
      <c r="C6325" s="6">
        <v>0.29083499282174702</v>
      </c>
    </row>
    <row r="6326" spans="1:3" s="8" customFormat="1" x14ac:dyDescent="0.2">
      <c r="A6326" s="6" t="str">
        <f>"VASH1"</f>
        <v>VASH1</v>
      </c>
      <c r="B6326" s="6">
        <v>0.10489510489510399</v>
      </c>
      <c r="C6326" s="6">
        <v>0.29083499282174702</v>
      </c>
    </row>
    <row r="6327" spans="1:3" s="8" customFormat="1" x14ac:dyDescent="0.2">
      <c r="A6327" s="6" t="str">
        <f>"ARHGAP19"</f>
        <v>ARHGAP19</v>
      </c>
      <c r="B6327" s="6">
        <v>0.10489510489510399</v>
      </c>
      <c r="C6327" s="6">
        <v>0.29083499282174702</v>
      </c>
    </row>
    <row r="6328" spans="1:3" s="8" customFormat="1" x14ac:dyDescent="0.2">
      <c r="A6328" s="6" t="str">
        <f>"SPHK1"</f>
        <v>SPHK1</v>
      </c>
      <c r="B6328" s="6">
        <v>0.10489510489510399</v>
      </c>
      <c r="C6328" s="6">
        <v>0.29083499282174702</v>
      </c>
    </row>
    <row r="6329" spans="1:3" s="8" customFormat="1" x14ac:dyDescent="0.2">
      <c r="A6329" s="6" t="str">
        <f>"C11orf80"</f>
        <v>C11orf80</v>
      </c>
      <c r="B6329" s="6">
        <v>0.10489510489510399</v>
      </c>
      <c r="C6329" s="6">
        <v>0.29083499282174702</v>
      </c>
    </row>
    <row r="6330" spans="1:3" s="8" customFormat="1" x14ac:dyDescent="0.2">
      <c r="A6330" s="6" t="str">
        <f>"TRIM65"</f>
        <v>TRIM65</v>
      </c>
      <c r="B6330" s="6">
        <v>0.10489510489510399</v>
      </c>
      <c r="C6330" s="6">
        <v>0.29083499282174702</v>
      </c>
    </row>
    <row r="6331" spans="1:3" s="8" customFormat="1" x14ac:dyDescent="0.2">
      <c r="A6331" s="6" t="str">
        <f>"MSRA"</f>
        <v>MSRA</v>
      </c>
      <c r="B6331" s="6">
        <v>0.10489510489510399</v>
      </c>
      <c r="C6331" s="6">
        <v>0.29083499282174702</v>
      </c>
    </row>
    <row r="6332" spans="1:3" s="8" customFormat="1" x14ac:dyDescent="0.2">
      <c r="A6332" s="6" t="str">
        <f>"SLC48A1"</f>
        <v>SLC48A1</v>
      </c>
      <c r="B6332" s="6">
        <v>0.10489510489510399</v>
      </c>
      <c r="C6332" s="6">
        <v>0.29083499282174702</v>
      </c>
    </row>
    <row r="6333" spans="1:3" s="8" customFormat="1" x14ac:dyDescent="0.2">
      <c r="A6333" s="6" t="str">
        <f>"NGDN"</f>
        <v>NGDN</v>
      </c>
      <c r="B6333" s="6">
        <v>0.10489510489510399</v>
      </c>
      <c r="C6333" s="6">
        <v>0.29083499282174702</v>
      </c>
    </row>
    <row r="6334" spans="1:3" s="8" customFormat="1" x14ac:dyDescent="0.2">
      <c r="A6334" s="6" t="str">
        <f>"RNASEH2B"</f>
        <v>RNASEH2B</v>
      </c>
      <c r="B6334" s="6">
        <v>0.10489510489510399</v>
      </c>
      <c r="C6334" s="6">
        <v>0.29083499282174702</v>
      </c>
    </row>
    <row r="6335" spans="1:3" s="8" customFormat="1" x14ac:dyDescent="0.2">
      <c r="A6335" s="6" t="str">
        <f>"MMGT1"</f>
        <v>MMGT1</v>
      </c>
      <c r="B6335" s="6">
        <v>0.10489510489510399</v>
      </c>
      <c r="C6335" s="6">
        <v>0.29083499282174702</v>
      </c>
    </row>
    <row r="6336" spans="1:3" s="8" customFormat="1" x14ac:dyDescent="0.2">
      <c r="A6336" s="6" t="str">
        <f>"IMPA2"</f>
        <v>IMPA2</v>
      </c>
      <c r="B6336" s="6">
        <v>0.10489510489510399</v>
      </c>
      <c r="C6336" s="6">
        <v>0.29083499282174702</v>
      </c>
    </row>
    <row r="6337" spans="1:3" s="8" customFormat="1" x14ac:dyDescent="0.2">
      <c r="A6337" s="6" t="str">
        <f>"CRAT"</f>
        <v>CRAT</v>
      </c>
      <c r="B6337" s="6">
        <v>0.10489510489510399</v>
      </c>
      <c r="C6337" s="6">
        <v>0.29083499282174702</v>
      </c>
    </row>
    <row r="6338" spans="1:3" s="8" customFormat="1" x14ac:dyDescent="0.2">
      <c r="A6338" s="6" t="str">
        <f>"POLR3H"</f>
        <v>POLR3H</v>
      </c>
      <c r="B6338" s="6">
        <v>0.10489510489510399</v>
      </c>
      <c r="C6338" s="6">
        <v>0.29083499282174702</v>
      </c>
    </row>
    <row r="6339" spans="1:3" s="8" customFormat="1" x14ac:dyDescent="0.2">
      <c r="A6339" s="6" t="str">
        <f>"FBXO11"</f>
        <v>FBXO11</v>
      </c>
      <c r="B6339" s="6">
        <v>0.10489510489510399</v>
      </c>
      <c r="C6339" s="6">
        <v>0.29083499282174702</v>
      </c>
    </row>
    <row r="6340" spans="1:3" s="8" customFormat="1" x14ac:dyDescent="0.2">
      <c r="A6340" s="6" t="str">
        <f>"SPAG1"</f>
        <v>SPAG1</v>
      </c>
      <c r="B6340" s="6">
        <v>0.10489510489510399</v>
      </c>
      <c r="C6340" s="6">
        <v>0.29083499282174702</v>
      </c>
    </row>
    <row r="6341" spans="1:3" s="8" customFormat="1" x14ac:dyDescent="0.2">
      <c r="A6341" s="6" t="str">
        <f>"CFAP52"</f>
        <v>CFAP52</v>
      </c>
      <c r="B6341" s="6">
        <v>0.10489510489510399</v>
      </c>
      <c r="C6341" s="6">
        <v>0.29083499282174702</v>
      </c>
    </row>
    <row r="6342" spans="1:3" s="8" customFormat="1" x14ac:dyDescent="0.2">
      <c r="A6342" s="6" t="str">
        <f>"EIF2S3"</f>
        <v>EIF2S3</v>
      </c>
      <c r="B6342" s="6">
        <v>0.10489510489510399</v>
      </c>
      <c r="C6342" s="6">
        <v>0.29083499282174702</v>
      </c>
    </row>
    <row r="6343" spans="1:3" s="8" customFormat="1" x14ac:dyDescent="0.2">
      <c r="A6343" s="6" t="str">
        <f>"PITPNA"</f>
        <v>PITPNA</v>
      </c>
      <c r="B6343" s="6">
        <v>0.10489510489510399</v>
      </c>
      <c r="C6343" s="6">
        <v>0.29083499282174702</v>
      </c>
    </row>
    <row r="6344" spans="1:3" s="8" customFormat="1" x14ac:dyDescent="0.2">
      <c r="A6344" s="6" t="str">
        <f>"AC092999.1"</f>
        <v>AC092999.1</v>
      </c>
      <c r="B6344" s="6">
        <v>0.10499490316004</v>
      </c>
      <c r="C6344" s="6">
        <v>0.29098817966903001</v>
      </c>
    </row>
    <row r="6345" spans="1:3" s="8" customFormat="1" x14ac:dyDescent="0.2">
      <c r="A6345" s="6" t="str">
        <f>"AL358933.1"</f>
        <v>AL358933.1</v>
      </c>
      <c r="B6345" s="6">
        <v>0.105</v>
      </c>
      <c r="C6345" s="6">
        <v>0.29098817966903001</v>
      </c>
    </row>
    <row r="6346" spans="1:3" s="8" customFormat="1" x14ac:dyDescent="0.2">
      <c r="A6346" s="6" t="str">
        <f>"AC068733.3"</f>
        <v>AC068733.3</v>
      </c>
      <c r="B6346" s="6">
        <v>0.105</v>
      </c>
      <c r="C6346" s="6">
        <v>0.29098817966903001</v>
      </c>
    </row>
    <row r="6347" spans="1:3" s="8" customFormat="1" x14ac:dyDescent="0.2">
      <c r="A6347" s="6" t="str">
        <f>"AP001993.1"</f>
        <v>AP001993.1</v>
      </c>
      <c r="B6347" s="6">
        <v>0.105894105894105</v>
      </c>
      <c r="C6347" s="6">
        <v>0.29203920295513702</v>
      </c>
    </row>
    <row r="6348" spans="1:3" s="8" customFormat="1" x14ac:dyDescent="0.2">
      <c r="A6348" s="6" t="str">
        <f>"CALB2"</f>
        <v>CALB2</v>
      </c>
      <c r="B6348" s="6">
        <v>0.105894105894105</v>
      </c>
      <c r="C6348" s="6">
        <v>0.29203920295513702</v>
      </c>
    </row>
    <row r="6349" spans="1:3" s="8" customFormat="1" x14ac:dyDescent="0.2">
      <c r="A6349" s="6" t="str">
        <f>"SEPTIN7P9"</f>
        <v>SEPTIN7P9</v>
      </c>
      <c r="B6349" s="6">
        <v>0.105894105894105</v>
      </c>
      <c r="C6349" s="6">
        <v>0.29203920295513702</v>
      </c>
    </row>
    <row r="6350" spans="1:3" s="8" customFormat="1" x14ac:dyDescent="0.2">
      <c r="A6350" s="6" t="str">
        <f>"RPGRIP1"</f>
        <v>RPGRIP1</v>
      </c>
      <c r="B6350" s="6">
        <v>0.105894105894105</v>
      </c>
      <c r="C6350" s="6">
        <v>0.29203920295513702</v>
      </c>
    </row>
    <row r="6351" spans="1:3" s="8" customFormat="1" x14ac:dyDescent="0.2">
      <c r="A6351" s="6" t="str">
        <f>"CLMP"</f>
        <v>CLMP</v>
      </c>
      <c r="B6351" s="6">
        <v>0.105894105894105</v>
      </c>
      <c r="C6351" s="6">
        <v>0.29203920295513702</v>
      </c>
    </row>
    <row r="6352" spans="1:3" s="8" customFormat="1" x14ac:dyDescent="0.2">
      <c r="A6352" s="6" t="str">
        <f>"C10orf105"</f>
        <v>C10orf105</v>
      </c>
      <c r="B6352" s="6">
        <v>0.105894105894105</v>
      </c>
      <c r="C6352" s="6">
        <v>0.29203920295513702</v>
      </c>
    </row>
    <row r="6353" spans="1:3" s="8" customFormat="1" x14ac:dyDescent="0.2">
      <c r="A6353" s="6" t="str">
        <f>"LINGO2"</f>
        <v>LINGO2</v>
      </c>
      <c r="B6353" s="6">
        <v>0.105894105894105</v>
      </c>
      <c r="C6353" s="6">
        <v>0.29203920295513702</v>
      </c>
    </row>
    <row r="6354" spans="1:3" s="8" customFormat="1" x14ac:dyDescent="0.2">
      <c r="A6354" s="6" t="str">
        <f>"AC069444.2"</f>
        <v>AC069444.2</v>
      </c>
      <c r="B6354" s="6">
        <v>0.105894105894105</v>
      </c>
      <c r="C6354" s="6">
        <v>0.29203920295513702</v>
      </c>
    </row>
    <row r="6355" spans="1:3" s="8" customFormat="1" x14ac:dyDescent="0.2">
      <c r="A6355" s="6" t="str">
        <f>"AMDHD1"</f>
        <v>AMDHD1</v>
      </c>
      <c r="B6355" s="6">
        <v>0.105894105894105</v>
      </c>
      <c r="C6355" s="6">
        <v>0.29203920295513702</v>
      </c>
    </row>
    <row r="6356" spans="1:3" s="8" customFormat="1" x14ac:dyDescent="0.2">
      <c r="A6356" s="6" t="str">
        <f>"SYDE2"</f>
        <v>SYDE2</v>
      </c>
      <c r="B6356" s="6">
        <v>0.105894105894105</v>
      </c>
      <c r="C6356" s="6">
        <v>0.29203920295513702</v>
      </c>
    </row>
    <row r="6357" spans="1:3" s="8" customFormat="1" x14ac:dyDescent="0.2">
      <c r="A6357" s="6" t="str">
        <f>"SUV39H2"</f>
        <v>SUV39H2</v>
      </c>
      <c r="B6357" s="6">
        <v>0.105894105894105</v>
      </c>
      <c r="C6357" s="6">
        <v>0.29203920295513702</v>
      </c>
    </row>
    <row r="6358" spans="1:3" s="8" customFormat="1" x14ac:dyDescent="0.2">
      <c r="A6358" s="6" t="str">
        <f>"ZNF321P"</f>
        <v>ZNF321P</v>
      </c>
      <c r="B6358" s="6">
        <v>0.105894105894105</v>
      </c>
      <c r="C6358" s="6">
        <v>0.29203920295513702</v>
      </c>
    </row>
    <row r="6359" spans="1:3" s="8" customFormat="1" x14ac:dyDescent="0.2">
      <c r="A6359" s="6" t="str">
        <f>"ZNF805"</f>
        <v>ZNF805</v>
      </c>
      <c r="B6359" s="6">
        <v>0.105894105894105</v>
      </c>
      <c r="C6359" s="6">
        <v>0.29203920295513702</v>
      </c>
    </row>
    <row r="6360" spans="1:3" s="8" customFormat="1" x14ac:dyDescent="0.2">
      <c r="A6360" s="6" t="str">
        <f>"AC019322.4"</f>
        <v>AC019322.4</v>
      </c>
      <c r="B6360" s="6">
        <v>0.105894105894105</v>
      </c>
      <c r="C6360" s="6">
        <v>0.29203920295513702</v>
      </c>
    </row>
    <row r="6361" spans="1:3" s="8" customFormat="1" x14ac:dyDescent="0.2">
      <c r="A6361" s="6" t="str">
        <f>"AIFM2"</f>
        <v>AIFM2</v>
      </c>
      <c r="B6361" s="6">
        <v>0.105894105894105</v>
      </c>
      <c r="C6361" s="6">
        <v>0.29203920295513702</v>
      </c>
    </row>
    <row r="6362" spans="1:3" s="8" customFormat="1" x14ac:dyDescent="0.2">
      <c r="A6362" s="6" t="str">
        <f>"IL18"</f>
        <v>IL18</v>
      </c>
      <c r="B6362" s="6">
        <v>0.105894105894105</v>
      </c>
      <c r="C6362" s="6">
        <v>0.29203920295513702</v>
      </c>
    </row>
    <row r="6363" spans="1:3" s="8" customFormat="1" x14ac:dyDescent="0.2">
      <c r="A6363" s="6" t="str">
        <f>"DAPK3"</f>
        <v>DAPK3</v>
      </c>
      <c r="B6363" s="6">
        <v>0.105894105894105</v>
      </c>
      <c r="C6363" s="6">
        <v>0.29203920295513702</v>
      </c>
    </row>
    <row r="6364" spans="1:3" s="8" customFormat="1" x14ac:dyDescent="0.2">
      <c r="A6364" s="6" t="str">
        <f>"ARHGAP17"</f>
        <v>ARHGAP17</v>
      </c>
      <c r="B6364" s="6">
        <v>0.105894105894105</v>
      </c>
      <c r="C6364" s="6">
        <v>0.29203920295513702</v>
      </c>
    </row>
    <row r="6365" spans="1:3" s="8" customFormat="1" x14ac:dyDescent="0.2">
      <c r="A6365" s="6" t="str">
        <f>"MAN2A1"</f>
        <v>MAN2A1</v>
      </c>
      <c r="B6365" s="6">
        <v>0.105894105894105</v>
      </c>
      <c r="C6365" s="6">
        <v>0.29203920295513702</v>
      </c>
    </row>
    <row r="6366" spans="1:3" s="8" customFormat="1" x14ac:dyDescent="0.2">
      <c r="A6366" s="6" t="str">
        <f>"RGS3"</f>
        <v>RGS3</v>
      </c>
      <c r="B6366" s="6">
        <v>0.105894105894105</v>
      </c>
      <c r="C6366" s="6">
        <v>0.29203920295513702</v>
      </c>
    </row>
    <row r="6367" spans="1:3" s="8" customFormat="1" x14ac:dyDescent="0.2">
      <c r="A6367" s="6" t="str">
        <f>"GBP4"</f>
        <v>GBP4</v>
      </c>
      <c r="B6367" s="6">
        <v>0.105894105894105</v>
      </c>
      <c r="C6367" s="6">
        <v>0.29203920295513702</v>
      </c>
    </row>
    <row r="6368" spans="1:3" s="8" customFormat="1" x14ac:dyDescent="0.2">
      <c r="A6368" s="6" t="str">
        <f>"AGTRAP"</f>
        <v>AGTRAP</v>
      </c>
      <c r="B6368" s="6">
        <v>0.105894105894105</v>
      </c>
      <c r="C6368" s="6">
        <v>0.29203920295513702</v>
      </c>
    </row>
    <row r="6369" spans="1:3" s="8" customFormat="1" x14ac:dyDescent="0.2">
      <c r="A6369" s="6" t="str">
        <f>"DPP8"</f>
        <v>DPP8</v>
      </c>
      <c r="B6369" s="6">
        <v>0.105894105894105</v>
      </c>
      <c r="C6369" s="6">
        <v>0.29203920295513702</v>
      </c>
    </row>
    <row r="6370" spans="1:3" s="8" customFormat="1" x14ac:dyDescent="0.2">
      <c r="A6370" s="6" t="str">
        <f>"LY6D"</f>
        <v>LY6D</v>
      </c>
      <c r="B6370" s="6">
        <v>0.105894105894105</v>
      </c>
      <c r="C6370" s="6">
        <v>0.29203920295513702</v>
      </c>
    </row>
    <row r="6371" spans="1:3" s="8" customFormat="1" x14ac:dyDescent="0.2">
      <c r="A6371" s="6" t="str">
        <f>"GNA15"</f>
        <v>GNA15</v>
      </c>
      <c r="B6371" s="6">
        <v>0.105894105894105</v>
      </c>
      <c r="C6371" s="6">
        <v>0.29203920295513702</v>
      </c>
    </row>
    <row r="6372" spans="1:3" s="8" customFormat="1" x14ac:dyDescent="0.2">
      <c r="A6372" s="6" t="str">
        <f>"RRAGA"</f>
        <v>RRAGA</v>
      </c>
      <c r="B6372" s="6">
        <v>0.105894105894105</v>
      </c>
      <c r="C6372" s="6">
        <v>0.29203920295513702</v>
      </c>
    </row>
    <row r="6373" spans="1:3" s="8" customFormat="1" x14ac:dyDescent="0.2">
      <c r="A6373" s="6" t="str">
        <f>"SH3D19"</f>
        <v>SH3D19</v>
      </c>
      <c r="B6373" s="6">
        <v>0.105894105894105</v>
      </c>
      <c r="C6373" s="6">
        <v>0.29203920295513702</v>
      </c>
    </row>
    <row r="6374" spans="1:3" s="8" customFormat="1" x14ac:dyDescent="0.2">
      <c r="A6374" s="6" t="str">
        <f>"SEC23B"</f>
        <v>SEC23B</v>
      </c>
      <c r="B6374" s="6">
        <v>0.105894105894105</v>
      </c>
      <c r="C6374" s="6">
        <v>0.29203920295513702</v>
      </c>
    </row>
    <row r="6375" spans="1:3" s="8" customFormat="1" x14ac:dyDescent="0.2">
      <c r="A6375" s="6" t="str">
        <f>"TAP1"</f>
        <v>TAP1</v>
      </c>
      <c r="B6375" s="6">
        <v>0.105894105894105</v>
      </c>
      <c r="C6375" s="6">
        <v>0.29203920295513702</v>
      </c>
    </row>
    <row r="6376" spans="1:3" s="8" customFormat="1" x14ac:dyDescent="0.2">
      <c r="A6376" s="6" t="str">
        <f>"HIPK2"</f>
        <v>HIPK2</v>
      </c>
      <c r="B6376" s="6">
        <v>0.105894105894105</v>
      </c>
      <c r="C6376" s="6">
        <v>0.29203920295513702</v>
      </c>
    </row>
    <row r="6377" spans="1:3" s="8" customFormat="1" x14ac:dyDescent="0.2">
      <c r="A6377" s="6" t="str">
        <f>"PPP4R3B"</f>
        <v>PPP4R3B</v>
      </c>
      <c r="B6377" s="6">
        <v>0.105894105894105</v>
      </c>
      <c r="C6377" s="6">
        <v>0.29203920295513702</v>
      </c>
    </row>
    <row r="6378" spans="1:3" s="8" customFormat="1" x14ac:dyDescent="0.2">
      <c r="A6378" s="6" t="str">
        <f>"AL035251.1"</f>
        <v>AL035251.1</v>
      </c>
      <c r="B6378" s="6">
        <v>0.105919003115264</v>
      </c>
      <c r="C6378" s="6">
        <v>0.292062059084023</v>
      </c>
    </row>
    <row r="6379" spans="1:3" s="8" customFormat="1" x14ac:dyDescent="0.2">
      <c r="A6379" s="6" t="str">
        <f>"AL590068.3"</f>
        <v>AL590068.3</v>
      </c>
      <c r="B6379" s="6">
        <v>0.106</v>
      </c>
      <c r="C6379" s="6">
        <v>0.29219376077755099</v>
      </c>
    </row>
    <row r="6380" spans="1:3" s="8" customFormat="1" x14ac:dyDescent="0.2">
      <c r="A6380" s="6" t="str">
        <f>"JMY"</f>
        <v>JMY</v>
      </c>
      <c r="B6380" s="6">
        <v>0.106</v>
      </c>
      <c r="C6380" s="6">
        <v>0.29219376077755099</v>
      </c>
    </row>
    <row r="6381" spans="1:3" s="8" customFormat="1" x14ac:dyDescent="0.2">
      <c r="A6381" s="6" t="str">
        <f>"VWC2L"</f>
        <v>VWC2L</v>
      </c>
      <c r="B6381" s="6">
        <v>0.10689310689310599</v>
      </c>
      <c r="C6381" s="6">
        <v>0.29272829646603199</v>
      </c>
    </row>
    <row r="6382" spans="1:3" s="8" customFormat="1" x14ac:dyDescent="0.2">
      <c r="A6382" s="6" t="str">
        <f>"PRAP1"</f>
        <v>PRAP1</v>
      </c>
      <c r="B6382" s="6">
        <v>0.10689310689310599</v>
      </c>
      <c r="C6382" s="6">
        <v>0.29272829646603199</v>
      </c>
    </row>
    <row r="6383" spans="1:3" s="8" customFormat="1" x14ac:dyDescent="0.2">
      <c r="A6383" s="6" t="str">
        <f>"PPP1R35-AS1"</f>
        <v>PPP1R35-AS1</v>
      </c>
      <c r="B6383" s="6">
        <v>0.10689310689310599</v>
      </c>
      <c r="C6383" s="6">
        <v>0.29272829646603199</v>
      </c>
    </row>
    <row r="6384" spans="1:3" s="8" customFormat="1" x14ac:dyDescent="0.2">
      <c r="A6384" s="6" t="str">
        <f>"AC011337.1"</f>
        <v>AC011337.1</v>
      </c>
      <c r="B6384" s="6">
        <v>0.10655737704918</v>
      </c>
      <c r="C6384" s="6">
        <v>0.29272829646603199</v>
      </c>
    </row>
    <row r="6385" spans="1:3" s="8" customFormat="1" x14ac:dyDescent="0.2">
      <c r="A6385" s="6" t="str">
        <f>"TMPRSS5"</f>
        <v>TMPRSS5</v>
      </c>
      <c r="B6385" s="6">
        <v>0.10689310689310599</v>
      </c>
      <c r="C6385" s="6">
        <v>0.29272829646603199</v>
      </c>
    </row>
    <row r="6386" spans="1:3" s="8" customFormat="1" x14ac:dyDescent="0.2">
      <c r="A6386" s="6" t="str">
        <f>"AL356310.1"</f>
        <v>AL356310.1</v>
      </c>
      <c r="B6386" s="6">
        <v>0.10689310689310599</v>
      </c>
      <c r="C6386" s="6">
        <v>0.29272829646603199</v>
      </c>
    </row>
    <row r="6387" spans="1:3" s="8" customFormat="1" x14ac:dyDescent="0.2">
      <c r="A6387" s="6" t="str">
        <f>"AC017083.3"</f>
        <v>AC017083.3</v>
      </c>
      <c r="B6387" s="6">
        <v>0.10689310689310599</v>
      </c>
      <c r="C6387" s="6">
        <v>0.29272829646603199</v>
      </c>
    </row>
    <row r="6388" spans="1:3" s="8" customFormat="1" x14ac:dyDescent="0.2">
      <c r="A6388" s="6" t="str">
        <f>"CDC25C"</f>
        <v>CDC25C</v>
      </c>
      <c r="B6388" s="6">
        <v>0.10689310689310599</v>
      </c>
      <c r="C6388" s="6">
        <v>0.29272829646603199</v>
      </c>
    </row>
    <row r="6389" spans="1:3" s="8" customFormat="1" x14ac:dyDescent="0.2">
      <c r="A6389" s="6" t="str">
        <f>"DPF1"</f>
        <v>DPF1</v>
      </c>
      <c r="B6389" s="6">
        <v>0.10689310689310599</v>
      </c>
      <c r="C6389" s="6">
        <v>0.29272829646603199</v>
      </c>
    </row>
    <row r="6390" spans="1:3" s="8" customFormat="1" x14ac:dyDescent="0.2">
      <c r="A6390" s="6" t="str">
        <f>"SLC35G2"</f>
        <v>SLC35G2</v>
      </c>
      <c r="B6390" s="6">
        <v>0.10689310689310599</v>
      </c>
      <c r="C6390" s="6">
        <v>0.29272829646603199</v>
      </c>
    </row>
    <row r="6391" spans="1:3" s="8" customFormat="1" x14ac:dyDescent="0.2">
      <c r="A6391" s="6" t="str">
        <f>"ZCWPW2"</f>
        <v>ZCWPW2</v>
      </c>
      <c r="B6391" s="6">
        <v>0.10689310689310599</v>
      </c>
      <c r="C6391" s="6">
        <v>0.29272829646603199</v>
      </c>
    </row>
    <row r="6392" spans="1:3" s="8" customFormat="1" x14ac:dyDescent="0.2">
      <c r="A6392" s="6" t="str">
        <f>"SMIM10L2A"</f>
        <v>SMIM10L2A</v>
      </c>
      <c r="B6392" s="6">
        <v>0.10689310689310599</v>
      </c>
      <c r="C6392" s="6">
        <v>0.29272829646603199</v>
      </c>
    </row>
    <row r="6393" spans="1:3" s="8" customFormat="1" x14ac:dyDescent="0.2">
      <c r="A6393" s="6" t="str">
        <f>"ANKRD31"</f>
        <v>ANKRD31</v>
      </c>
      <c r="B6393" s="6">
        <v>0.10689310689310599</v>
      </c>
      <c r="C6393" s="6">
        <v>0.29272829646603199</v>
      </c>
    </row>
    <row r="6394" spans="1:3" s="8" customFormat="1" x14ac:dyDescent="0.2">
      <c r="A6394" s="6" t="str">
        <f>"AC020741.1"</f>
        <v>AC020741.1</v>
      </c>
      <c r="B6394" s="6">
        <v>0.10689310689310599</v>
      </c>
      <c r="C6394" s="6">
        <v>0.29272829646603199</v>
      </c>
    </row>
    <row r="6395" spans="1:3" s="8" customFormat="1" x14ac:dyDescent="0.2">
      <c r="A6395" s="6" t="str">
        <f>"UBE2T"</f>
        <v>UBE2T</v>
      </c>
      <c r="B6395" s="6">
        <v>0.10689310689310599</v>
      </c>
      <c r="C6395" s="6">
        <v>0.29272829646603199</v>
      </c>
    </row>
    <row r="6396" spans="1:3" s="8" customFormat="1" x14ac:dyDescent="0.2">
      <c r="A6396" s="6" t="str">
        <f>"CCDC167"</f>
        <v>CCDC167</v>
      </c>
      <c r="B6396" s="6">
        <v>0.10689310689310599</v>
      </c>
      <c r="C6396" s="6">
        <v>0.29272829646603199</v>
      </c>
    </row>
    <row r="6397" spans="1:3" s="8" customFormat="1" x14ac:dyDescent="0.2">
      <c r="A6397" s="6" t="str">
        <f>"WARS2-IT1"</f>
        <v>WARS2-IT1</v>
      </c>
      <c r="B6397" s="6">
        <v>0.10689310689310599</v>
      </c>
      <c r="C6397" s="6">
        <v>0.29272829646603199</v>
      </c>
    </row>
    <row r="6398" spans="1:3" s="8" customFormat="1" x14ac:dyDescent="0.2">
      <c r="A6398" s="6" t="str">
        <f>"HTD2"</f>
        <v>HTD2</v>
      </c>
      <c r="B6398" s="6">
        <v>0.10689310689310599</v>
      </c>
      <c r="C6398" s="6">
        <v>0.29272829646603199</v>
      </c>
    </row>
    <row r="6399" spans="1:3" s="8" customFormat="1" x14ac:dyDescent="0.2">
      <c r="A6399" s="6" t="str">
        <f>"ZNF658B"</f>
        <v>ZNF658B</v>
      </c>
      <c r="B6399" s="6">
        <v>0.10689310689310599</v>
      </c>
      <c r="C6399" s="6">
        <v>0.29272829646603199</v>
      </c>
    </row>
    <row r="6400" spans="1:3" s="8" customFormat="1" x14ac:dyDescent="0.2">
      <c r="A6400" s="6" t="str">
        <f>"MPV17L2"</f>
        <v>MPV17L2</v>
      </c>
      <c r="B6400" s="6">
        <v>0.10689310689310599</v>
      </c>
      <c r="C6400" s="6">
        <v>0.29272829646603199</v>
      </c>
    </row>
    <row r="6401" spans="1:3" s="8" customFormat="1" x14ac:dyDescent="0.2">
      <c r="A6401" s="6" t="str">
        <f>"AASS"</f>
        <v>AASS</v>
      </c>
      <c r="B6401" s="6">
        <v>0.10689310689310599</v>
      </c>
      <c r="C6401" s="6">
        <v>0.29272829646603199</v>
      </c>
    </row>
    <row r="6402" spans="1:3" s="8" customFormat="1" x14ac:dyDescent="0.2">
      <c r="A6402" s="6" t="str">
        <f>"CCDC61"</f>
        <v>CCDC61</v>
      </c>
      <c r="B6402" s="6">
        <v>0.10689310689310599</v>
      </c>
      <c r="C6402" s="6">
        <v>0.29272829646603199</v>
      </c>
    </row>
    <row r="6403" spans="1:3" s="8" customFormat="1" x14ac:dyDescent="0.2">
      <c r="A6403" s="6" t="str">
        <f>"LRRC42"</f>
        <v>LRRC42</v>
      </c>
      <c r="B6403" s="6">
        <v>0.10689310689310599</v>
      </c>
      <c r="C6403" s="6">
        <v>0.29272829646603199</v>
      </c>
    </row>
    <row r="6404" spans="1:3" s="8" customFormat="1" x14ac:dyDescent="0.2">
      <c r="A6404" s="6" t="str">
        <f>"THSD4"</f>
        <v>THSD4</v>
      </c>
      <c r="B6404" s="6">
        <v>0.10689310689310599</v>
      </c>
      <c r="C6404" s="6">
        <v>0.29272829646603199</v>
      </c>
    </row>
    <row r="6405" spans="1:3" s="8" customFormat="1" x14ac:dyDescent="0.2">
      <c r="A6405" s="6" t="str">
        <f>"RBM19"</f>
        <v>RBM19</v>
      </c>
      <c r="B6405" s="6">
        <v>0.10689310689310599</v>
      </c>
      <c r="C6405" s="6">
        <v>0.29272829646603199</v>
      </c>
    </row>
    <row r="6406" spans="1:3" s="8" customFormat="1" x14ac:dyDescent="0.2">
      <c r="A6406" s="6" t="str">
        <f>"ARL2BP"</f>
        <v>ARL2BP</v>
      </c>
      <c r="B6406" s="6">
        <v>0.10689310689310599</v>
      </c>
      <c r="C6406" s="6">
        <v>0.29272829646603199</v>
      </c>
    </row>
    <row r="6407" spans="1:3" s="8" customFormat="1" x14ac:dyDescent="0.2">
      <c r="A6407" s="6" t="str">
        <f>"RARS2"</f>
        <v>RARS2</v>
      </c>
      <c r="B6407" s="6">
        <v>0.10689310689310599</v>
      </c>
      <c r="C6407" s="6">
        <v>0.29272829646603199</v>
      </c>
    </row>
    <row r="6408" spans="1:3" s="8" customFormat="1" x14ac:dyDescent="0.2">
      <c r="A6408" s="6" t="str">
        <f>"BHLHE41"</f>
        <v>BHLHE41</v>
      </c>
      <c r="B6408" s="6">
        <v>0.10689310689310599</v>
      </c>
      <c r="C6408" s="6">
        <v>0.29272829646603199</v>
      </c>
    </row>
    <row r="6409" spans="1:3" s="8" customFormat="1" x14ac:dyDescent="0.2">
      <c r="A6409" s="6" t="str">
        <f>"ACAP3"</f>
        <v>ACAP3</v>
      </c>
      <c r="B6409" s="6">
        <v>0.10689310689310599</v>
      </c>
      <c r="C6409" s="6">
        <v>0.29272829646603199</v>
      </c>
    </row>
    <row r="6410" spans="1:3" s="8" customFormat="1" x14ac:dyDescent="0.2">
      <c r="A6410" s="6" t="str">
        <f>"SPAG16"</f>
        <v>SPAG16</v>
      </c>
      <c r="B6410" s="6">
        <v>0.10689310689310599</v>
      </c>
      <c r="C6410" s="6">
        <v>0.29272829646603199</v>
      </c>
    </row>
    <row r="6411" spans="1:3" s="8" customFormat="1" x14ac:dyDescent="0.2">
      <c r="A6411" s="6" t="str">
        <f>"PIGQ"</f>
        <v>PIGQ</v>
      </c>
      <c r="B6411" s="6">
        <v>0.10689310689310599</v>
      </c>
      <c r="C6411" s="6">
        <v>0.29272829646603199</v>
      </c>
    </row>
    <row r="6412" spans="1:3" s="8" customFormat="1" x14ac:dyDescent="0.2">
      <c r="A6412" s="6" t="str">
        <f>"AKR1C3"</f>
        <v>AKR1C3</v>
      </c>
      <c r="B6412" s="6">
        <v>0.10689310689310599</v>
      </c>
      <c r="C6412" s="6">
        <v>0.29272829646603199</v>
      </c>
    </row>
    <row r="6413" spans="1:3" s="8" customFormat="1" x14ac:dyDescent="0.2">
      <c r="A6413" s="6" t="str">
        <f>"RNF6"</f>
        <v>RNF6</v>
      </c>
      <c r="B6413" s="6">
        <v>0.10689310689310599</v>
      </c>
      <c r="C6413" s="6">
        <v>0.29272829646603199</v>
      </c>
    </row>
    <row r="6414" spans="1:3" s="8" customFormat="1" x14ac:dyDescent="0.2">
      <c r="A6414" s="6" t="str">
        <f>"WDR90"</f>
        <v>WDR90</v>
      </c>
      <c r="B6414" s="6">
        <v>0.10689310689310599</v>
      </c>
      <c r="C6414" s="6">
        <v>0.29272829646603199</v>
      </c>
    </row>
    <row r="6415" spans="1:3" s="8" customFormat="1" x14ac:dyDescent="0.2">
      <c r="A6415" s="6" t="str">
        <f>"SCRN1"</f>
        <v>SCRN1</v>
      </c>
      <c r="B6415" s="6">
        <v>0.10689310689310599</v>
      </c>
      <c r="C6415" s="6">
        <v>0.29272829646603199</v>
      </c>
    </row>
    <row r="6416" spans="1:3" s="8" customFormat="1" x14ac:dyDescent="0.2">
      <c r="A6416" s="6" t="str">
        <f>"SNX19"</f>
        <v>SNX19</v>
      </c>
      <c r="B6416" s="6">
        <v>0.10689310689310599</v>
      </c>
      <c r="C6416" s="6">
        <v>0.29272829646603199</v>
      </c>
    </row>
    <row r="6417" spans="1:3" s="8" customFormat="1" x14ac:dyDescent="0.2">
      <c r="A6417" s="6" t="str">
        <f>"WBP11"</f>
        <v>WBP11</v>
      </c>
      <c r="B6417" s="6">
        <v>0.10689310689310599</v>
      </c>
      <c r="C6417" s="6">
        <v>0.29272829646603199</v>
      </c>
    </row>
    <row r="6418" spans="1:3" s="8" customFormat="1" x14ac:dyDescent="0.2">
      <c r="A6418" s="6" t="str">
        <f>"C5orf49"</f>
        <v>C5orf49</v>
      </c>
      <c r="B6418" s="6">
        <v>0.10689310689310599</v>
      </c>
      <c r="C6418" s="6">
        <v>0.29272829646603199</v>
      </c>
    </row>
    <row r="6419" spans="1:3" s="8" customFormat="1" x14ac:dyDescent="0.2">
      <c r="A6419" s="6" t="str">
        <f>"AKR1A1"</f>
        <v>AKR1A1</v>
      </c>
      <c r="B6419" s="6">
        <v>0.10689310689310599</v>
      </c>
      <c r="C6419" s="6">
        <v>0.29272829646603199</v>
      </c>
    </row>
    <row r="6420" spans="1:3" s="8" customFormat="1" x14ac:dyDescent="0.2">
      <c r="A6420" s="6" t="str">
        <f>"KIAA0100"</f>
        <v>KIAA0100</v>
      </c>
      <c r="B6420" s="6">
        <v>0.10689310689310599</v>
      </c>
      <c r="C6420" s="6">
        <v>0.29272829646603199</v>
      </c>
    </row>
    <row r="6421" spans="1:3" s="8" customFormat="1" x14ac:dyDescent="0.2">
      <c r="A6421" s="6" t="str">
        <f>"CIB1"</f>
        <v>CIB1</v>
      </c>
      <c r="B6421" s="6">
        <v>0.10689310689310599</v>
      </c>
      <c r="C6421" s="6">
        <v>0.29272829646603199</v>
      </c>
    </row>
    <row r="6422" spans="1:3" s="8" customFormat="1" x14ac:dyDescent="0.2">
      <c r="A6422" s="6" t="str">
        <f>"RPS6"</f>
        <v>RPS6</v>
      </c>
      <c r="B6422" s="6">
        <v>0.10689310689310599</v>
      </c>
      <c r="C6422" s="6">
        <v>0.29272829646603199</v>
      </c>
    </row>
    <row r="6423" spans="1:3" s="8" customFormat="1" x14ac:dyDescent="0.2">
      <c r="A6423" s="6" t="str">
        <f>"AC024075.1"</f>
        <v>AC024075.1</v>
      </c>
      <c r="B6423" s="6">
        <v>0.107</v>
      </c>
      <c r="C6423" s="6">
        <v>0.29297539707256298</v>
      </c>
    </row>
    <row r="6424" spans="1:3" s="8" customFormat="1" x14ac:dyDescent="0.2">
      <c r="A6424" s="6" t="str">
        <f>"LINC00390"</f>
        <v>LINC00390</v>
      </c>
      <c r="B6424" s="6">
        <v>0.107892107892107</v>
      </c>
      <c r="C6424" s="6">
        <v>0.29381676090674003</v>
      </c>
    </row>
    <row r="6425" spans="1:3" s="8" customFormat="1" x14ac:dyDescent="0.2">
      <c r="A6425" s="6" t="str">
        <f>"CACNG8"</f>
        <v>CACNG8</v>
      </c>
      <c r="B6425" s="6">
        <v>0.107892107892107</v>
      </c>
      <c r="C6425" s="6">
        <v>0.29381676090674003</v>
      </c>
    </row>
    <row r="6426" spans="1:3" s="8" customFormat="1" x14ac:dyDescent="0.2">
      <c r="A6426" s="6" t="str">
        <f>"PAK5"</f>
        <v>PAK5</v>
      </c>
      <c r="B6426" s="6">
        <v>0.107892107892107</v>
      </c>
      <c r="C6426" s="6">
        <v>0.29381676090674003</v>
      </c>
    </row>
    <row r="6427" spans="1:3" s="8" customFormat="1" x14ac:dyDescent="0.2">
      <c r="A6427" s="6" t="str">
        <f>"AP003393.1"</f>
        <v>AP003393.1</v>
      </c>
      <c r="B6427" s="6">
        <v>0.107892107892107</v>
      </c>
      <c r="C6427" s="6">
        <v>0.29381676090674003</v>
      </c>
    </row>
    <row r="6428" spans="1:3" s="8" customFormat="1" x14ac:dyDescent="0.2">
      <c r="A6428" s="6" t="str">
        <f>"AC104472.4"</f>
        <v>AC104472.4</v>
      </c>
      <c r="B6428" s="6">
        <v>0.10762331838564999</v>
      </c>
      <c r="C6428" s="6">
        <v>0.29381676090674003</v>
      </c>
    </row>
    <row r="6429" spans="1:3" s="8" customFormat="1" x14ac:dyDescent="0.2">
      <c r="A6429" s="6" t="str">
        <f>"CLCN1"</f>
        <v>CLCN1</v>
      </c>
      <c r="B6429" s="6">
        <v>0.107892107892107</v>
      </c>
      <c r="C6429" s="6">
        <v>0.29381676090674003</v>
      </c>
    </row>
    <row r="6430" spans="1:3" s="8" customFormat="1" x14ac:dyDescent="0.2">
      <c r="A6430" s="6" t="str">
        <f>"NR2E1"</f>
        <v>NR2E1</v>
      </c>
      <c r="B6430" s="6">
        <v>0.107892107892107</v>
      </c>
      <c r="C6430" s="6">
        <v>0.29381676090674003</v>
      </c>
    </row>
    <row r="6431" spans="1:3" s="8" customFormat="1" x14ac:dyDescent="0.2">
      <c r="A6431" s="6" t="str">
        <f>"AL606534.4"</f>
        <v>AL606534.4</v>
      </c>
      <c r="B6431" s="6">
        <v>0.107892107892107</v>
      </c>
      <c r="C6431" s="6">
        <v>0.29381676090674003</v>
      </c>
    </row>
    <row r="6432" spans="1:3" s="8" customFormat="1" x14ac:dyDescent="0.2">
      <c r="A6432" s="6" t="str">
        <f>"SLAMF1"</f>
        <v>SLAMF1</v>
      </c>
      <c r="B6432" s="6">
        <v>0.107892107892107</v>
      </c>
      <c r="C6432" s="6">
        <v>0.29381676090674003</v>
      </c>
    </row>
    <row r="6433" spans="1:3" s="8" customFormat="1" x14ac:dyDescent="0.2">
      <c r="A6433" s="6" t="str">
        <f>"WASF1"</f>
        <v>WASF1</v>
      </c>
      <c r="B6433" s="6">
        <v>0.107892107892107</v>
      </c>
      <c r="C6433" s="6">
        <v>0.29381676090674003</v>
      </c>
    </row>
    <row r="6434" spans="1:3" s="8" customFormat="1" x14ac:dyDescent="0.2">
      <c r="A6434" s="6" t="str">
        <f>"AC135050.2"</f>
        <v>AC135050.2</v>
      </c>
      <c r="B6434" s="6">
        <v>0.107892107892107</v>
      </c>
      <c r="C6434" s="6">
        <v>0.29381676090674003</v>
      </c>
    </row>
    <row r="6435" spans="1:3" s="8" customFormat="1" x14ac:dyDescent="0.2">
      <c r="A6435" s="6" t="str">
        <f>"C11orf45"</f>
        <v>C11orf45</v>
      </c>
      <c r="B6435" s="6">
        <v>0.107892107892107</v>
      </c>
      <c r="C6435" s="6">
        <v>0.29381676090674003</v>
      </c>
    </row>
    <row r="6436" spans="1:3" s="8" customFormat="1" x14ac:dyDescent="0.2">
      <c r="A6436" s="6" t="str">
        <f>"ATAD5"</f>
        <v>ATAD5</v>
      </c>
      <c r="B6436" s="6">
        <v>0.107892107892107</v>
      </c>
      <c r="C6436" s="6">
        <v>0.29381676090674003</v>
      </c>
    </row>
    <row r="6437" spans="1:3" s="8" customFormat="1" x14ac:dyDescent="0.2">
      <c r="A6437" s="6" t="str">
        <f>"LAG3"</f>
        <v>LAG3</v>
      </c>
      <c r="B6437" s="6">
        <v>0.107892107892107</v>
      </c>
      <c r="C6437" s="6">
        <v>0.29381676090674003</v>
      </c>
    </row>
    <row r="6438" spans="1:3" s="8" customFormat="1" x14ac:dyDescent="0.2">
      <c r="A6438" s="6" t="str">
        <f>"TIMM8A"</f>
        <v>TIMM8A</v>
      </c>
      <c r="B6438" s="6">
        <v>0.107892107892107</v>
      </c>
      <c r="C6438" s="6">
        <v>0.29381676090674003</v>
      </c>
    </row>
    <row r="6439" spans="1:3" s="8" customFormat="1" x14ac:dyDescent="0.2">
      <c r="A6439" s="6" t="str">
        <f>"AL162258.2"</f>
        <v>AL162258.2</v>
      </c>
      <c r="B6439" s="6">
        <v>0.107892107892107</v>
      </c>
      <c r="C6439" s="6">
        <v>0.29381676090674003</v>
      </c>
    </row>
    <row r="6440" spans="1:3" s="8" customFormat="1" x14ac:dyDescent="0.2">
      <c r="A6440" s="6" t="str">
        <f>"EFNA3"</f>
        <v>EFNA3</v>
      </c>
      <c r="B6440" s="6">
        <v>0.107892107892107</v>
      </c>
      <c r="C6440" s="6">
        <v>0.29381676090674003</v>
      </c>
    </row>
    <row r="6441" spans="1:3" s="8" customFormat="1" x14ac:dyDescent="0.2">
      <c r="A6441" s="6" t="str">
        <f>"RBL1"</f>
        <v>RBL1</v>
      </c>
      <c r="B6441" s="6">
        <v>0.107892107892107</v>
      </c>
      <c r="C6441" s="6">
        <v>0.29381676090674003</v>
      </c>
    </row>
    <row r="6442" spans="1:3" s="8" customFormat="1" x14ac:dyDescent="0.2">
      <c r="A6442" s="6" t="str">
        <f>"ANTKMT"</f>
        <v>ANTKMT</v>
      </c>
      <c r="B6442" s="6">
        <v>0.107892107892107</v>
      </c>
      <c r="C6442" s="6">
        <v>0.29381676090674003</v>
      </c>
    </row>
    <row r="6443" spans="1:3" s="8" customFormat="1" x14ac:dyDescent="0.2">
      <c r="A6443" s="6" t="str">
        <f>"TSEN54"</f>
        <v>TSEN54</v>
      </c>
      <c r="B6443" s="6">
        <v>0.107892107892107</v>
      </c>
      <c r="C6443" s="6">
        <v>0.29381676090674003</v>
      </c>
    </row>
    <row r="6444" spans="1:3" s="8" customFormat="1" x14ac:dyDescent="0.2">
      <c r="A6444" s="6" t="str">
        <f>"ZNF814"</f>
        <v>ZNF814</v>
      </c>
      <c r="B6444" s="6">
        <v>0.107892107892107</v>
      </c>
      <c r="C6444" s="6">
        <v>0.29381676090674003</v>
      </c>
    </row>
    <row r="6445" spans="1:3" s="8" customFormat="1" x14ac:dyDescent="0.2">
      <c r="A6445" s="6" t="str">
        <f>"MOSPD2"</f>
        <v>MOSPD2</v>
      </c>
      <c r="B6445" s="6">
        <v>0.107892107892107</v>
      </c>
      <c r="C6445" s="6">
        <v>0.29381676090674003</v>
      </c>
    </row>
    <row r="6446" spans="1:3" s="8" customFormat="1" x14ac:dyDescent="0.2">
      <c r="A6446" s="6" t="str">
        <f>"ZNF324"</f>
        <v>ZNF324</v>
      </c>
      <c r="B6446" s="6">
        <v>0.107892107892107</v>
      </c>
      <c r="C6446" s="6">
        <v>0.29381676090674003</v>
      </c>
    </row>
    <row r="6447" spans="1:3" s="8" customFormat="1" x14ac:dyDescent="0.2">
      <c r="A6447" s="6" t="str">
        <f>"CYTH3"</f>
        <v>CYTH3</v>
      </c>
      <c r="B6447" s="6">
        <v>0.107892107892107</v>
      </c>
      <c r="C6447" s="6">
        <v>0.29381676090674003</v>
      </c>
    </row>
    <row r="6448" spans="1:3" s="8" customFormat="1" x14ac:dyDescent="0.2">
      <c r="A6448" s="6" t="str">
        <f>"TMEM170A"</f>
        <v>TMEM170A</v>
      </c>
      <c r="B6448" s="6">
        <v>0.107892107892107</v>
      </c>
      <c r="C6448" s="6">
        <v>0.29381676090674003</v>
      </c>
    </row>
    <row r="6449" spans="1:3" s="8" customFormat="1" x14ac:dyDescent="0.2">
      <c r="A6449" s="6" t="str">
        <f>"C1orf226"</f>
        <v>C1orf226</v>
      </c>
      <c r="B6449" s="6">
        <v>0.107892107892107</v>
      </c>
      <c r="C6449" s="6">
        <v>0.29381676090674003</v>
      </c>
    </row>
    <row r="6450" spans="1:3" s="8" customFormat="1" x14ac:dyDescent="0.2">
      <c r="A6450" s="6" t="str">
        <f>"COPS4"</f>
        <v>COPS4</v>
      </c>
      <c r="B6450" s="6">
        <v>0.107892107892107</v>
      </c>
      <c r="C6450" s="6">
        <v>0.29381676090674003</v>
      </c>
    </row>
    <row r="6451" spans="1:3" s="8" customFormat="1" x14ac:dyDescent="0.2">
      <c r="A6451" s="6" t="str">
        <f>"MMUT"</f>
        <v>MMUT</v>
      </c>
      <c r="B6451" s="6">
        <v>0.107892107892107</v>
      </c>
      <c r="C6451" s="6">
        <v>0.29381676090674003</v>
      </c>
    </row>
    <row r="6452" spans="1:3" s="8" customFormat="1" x14ac:dyDescent="0.2">
      <c r="A6452" s="6" t="str">
        <f>"DHX16"</f>
        <v>DHX16</v>
      </c>
      <c r="B6452" s="6">
        <v>0.107892107892107</v>
      </c>
      <c r="C6452" s="6">
        <v>0.29381676090674003</v>
      </c>
    </row>
    <row r="6453" spans="1:3" s="8" customFormat="1" x14ac:dyDescent="0.2">
      <c r="A6453" s="6" t="str">
        <f>"JADE2"</f>
        <v>JADE2</v>
      </c>
      <c r="B6453" s="6">
        <v>0.107892107892107</v>
      </c>
      <c r="C6453" s="6">
        <v>0.29381676090674003</v>
      </c>
    </row>
    <row r="6454" spans="1:3" s="8" customFormat="1" x14ac:dyDescent="0.2">
      <c r="A6454" s="6" t="str">
        <f>"RFX3"</f>
        <v>RFX3</v>
      </c>
      <c r="B6454" s="6">
        <v>0.107892107892107</v>
      </c>
      <c r="C6454" s="6">
        <v>0.29381676090674003</v>
      </c>
    </row>
    <row r="6455" spans="1:3" s="8" customFormat="1" x14ac:dyDescent="0.2">
      <c r="A6455" s="6" t="str">
        <f>"SLC5A8"</f>
        <v>SLC5A8</v>
      </c>
      <c r="B6455" s="6">
        <v>0.107892107892107</v>
      </c>
      <c r="C6455" s="6">
        <v>0.29381676090674003</v>
      </c>
    </row>
    <row r="6456" spans="1:3" s="8" customFormat="1" x14ac:dyDescent="0.2">
      <c r="A6456" s="6" t="str">
        <f>"PPP1CC"</f>
        <v>PPP1CC</v>
      </c>
      <c r="B6456" s="6">
        <v>0.107892107892107</v>
      </c>
      <c r="C6456" s="6">
        <v>0.29381676090674003</v>
      </c>
    </row>
    <row r="6457" spans="1:3" s="8" customFormat="1" x14ac:dyDescent="0.2">
      <c r="A6457" s="6" t="str">
        <f>"UBR5"</f>
        <v>UBR5</v>
      </c>
      <c r="B6457" s="6">
        <v>0.107892107892107</v>
      </c>
      <c r="C6457" s="6">
        <v>0.29381676090674003</v>
      </c>
    </row>
    <row r="6458" spans="1:3" s="8" customFormat="1" x14ac:dyDescent="0.2">
      <c r="A6458" s="6" t="str">
        <f>"RPL35A"</f>
        <v>RPL35A</v>
      </c>
      <c r="B6458" s="6">
        <v>0.107892107892107</v>
      </c>
      <c r="C6458" s="6">
        <v>0.29381676090674003</v>
      </c>
    </row>
    <row r="6459" spans="1:3" s="8" customFormat="1" x14ac:dyDescent="0.2">
      <c r="A6459" s="6" t="str">
        <f>"HOOK1"</f>
        <v>HOOK1</v>
      </c>
      <c r="B6459" s="6">
        <v>0.108</v>
      </c>
      <c r="C6459" s="6">
        <v>0.29401950766372498</v>
      </c>
    </row>
    <row r="6460" spans="1:3" s="8" customFormat="1" x14ac:dyDescent="0.2">
      <c r="A6460" s="6" t="str">
        <f>"ANKRD66"</f>
        <v>ANKRD66</v>
      </c>
      <c r="B6460" s="6">
        <v>0.108</v>
      </c>
      <c r="C6460" s="6">
        <v>0.29401950766372498</v>
      </c>
    </row>
    <row r="6461" spans="1:3" s="8" customFormat="1" x14ac:dyDescent="0.2">
      <c r="A6461" s="6" t="str">
        <f>"AC079336.5"</f>
        <v>AC079336.5</v>
      </c>
      <c r="B6461" s="6">
        <v>0.10819672131147499</v>
      </c>
      <c r="C6461" s="6">
        <v>0.29450946556361901</v>
      </c>
    </row>
    <row r="6462" spans="1:3" s="8" customFormat="1" x14ac:dyDescent="0.2">
      <c r="A6462" s="6" t="str">
        <f>"RPL3P4"</f>
        <v>RPL3P4</v>
      </c>
      <c r="B6462" s="6">
        <v>0.10889110889110799</v>
      </c>
      <c r="C6462" s="6">
        <v>0.29530247667200099</v>
      </c>
    </row>
    <row r="6463" spans="1:3" s="8" customFormat="1" x14ac:dyDescent="0.2">
      <c r="A6463" s="6" t="str">
        <f>"KIR2DS4"</f>
        <v>KIR2DS4</v>
      </c>
      <c r="B6463" s="6">
        <v>0.10889110889110799</v>
      </c>
      <c r="C6463" s="6">
        <v>0.29530247667200099</v>
      </c>
    </row>
    <row r="6464" spans="1:3" s="8" customFormat="1" x14ac:dyDescent="0.2">
      <c r="A6464" s="6" t="str">
        <f>"AP003031.1"</f>
        <v>AP003031.1</v>
      </c>
      <c r="B6464" s="6">
        <v>0.10889110889110799</v>
      </c>
      <c r="C6464" s="6">
        <v>0.29530247667200099</v>
      </c>
    </row>
    <row r="6465" spans="1:3" s="8" customFormat="1" x14ac:dyDescent="0.2">
      <c r="A6465" s="6" t="str">
        <f>"LINC01447"</f>
        <v>LINC01447</v>
      </c>
      <c r="B6465" s="6">
        <v>0.10889110889110799</v>
      </c>
      <c r="C6465" s="6">
        <v>0.29530247667200099</v>
      </c>
    </row>
    <row r="6466" spans="1:3" s="8" customFormat="1" x14ac:dyDescent="0.2">
      <c r="A6466" s="6" t="str">
        <f>"AC005865.2"</f>
        <v>AC005865.2</v>
      </c>
      <c r="B6466" s="6">
        <v>0.10889110889110799</v>
      </c>
      <c r="C6466" s="6">
        <v>0.29530247667200099</v>
      </c>
    </row>
    <row r="6467" spans="1:3" s="8" customFormat="1" x14ac:dyDescent="0.2">
      <c r="A6467" s="6" t="str">
        <f>"LINC02352"</f>
        <v>LINC02352</v>
      </c>
      <c r="B6467" s="6">
        <v>0.10889110889110799</v>
      </c>
      <c r="C6467" s="6">
        <v>0.29530247667200099</v>
      </c>
    </row>
    <row r="6468" spans="1:3" s="8" customFormat="1" x14ac:dyDescent="0.2">
      <c r="A6468" s="6" t="str">
        <f>"AL121768.1"</f>
        <v>AL121768.1</v>
      </c>
      <c r="B6468" s="6">
        <v>0.10889110889110799</v>
      </c>
      <c r="C6468" s="6">
        <v>0.29530247667200099</v>
      </c>
    </row>
    <row r="6469" spans="1:3" s="8" customFormat="1" x14ac:dyDescent="0.2">
      <c r="A6469" s="6" t="str">
        <f>"MMP3"</f>
        <v>MMP3</v>
      </c>
      <c r="B6469" s="6">
        <v>0.10889110889110799</v>
      </c>
      <c r="C6469" s="6">
        <v>0.29530247667200099</v>
      </c>
    </row>
    <row r="6470" spans="1:3" s="8" customFormat="1" x14ac:dyDescent="0.2">
      <c r="A6470" s="6" t="str">
        <f>"HKDC1"</f>
        <v>HKDC1</v>
      </c>
      <c r="B6470" s="6">
        <v>0.10889110889110799</v>
      </c>
      <c r="C6470" s="6">
        <v>0.29530247667200099</v>
      </c>
    </row>
    <row r="6471" spans="1:3" s="8" customFormat="1" x14ac:dyDescent="0.2">
      <c r="A6471" s="6" t="str">
        <f>"JCAD"</f>
        <v>JCAD</v>
      </c>
      <c r="B6471" s="6">
        <v>0.10889110889110799</v>
      </c>
      <c r="C6471" s="6">
        <v>0.29530247667200099</v>
      </c>
    </row>
    <row r="6472" spans="1:3" s="8" customFormat="1" x14ac:dyDescent="0.2">
      <c r="A6472" s="6" t="str">
        <f>"CD163L1"</f>
        <v>CD163L1</v>
      </c>
      <c r="B6472" s="6">
        <v>0.10889110889110799</v>
      </c>
      <c r="C6472" s="6">
        <v>0.29530247667200099</v>
      </c>
    </row>
    <row r="6473" spans="1:3" s="8" customFormat="1" x14ac:dyDescent="0.2">
      <c r="A6473" s="6" t="str">
        <f>"SLC22A17"</f>
        <v>SLC22A17</v>
      </c>
      <c r="B6473" s="6">
        <v>0.10889110889110799</v>
      </c>
      <c r="C6473" s="6">
        <v>0.29530247667200099</v>
      </c>
    </row>
    <row r="6474" spans="1:3" s="8" customFormat="1" x14ac:dyDescent="0.2">
      <c r="A6474" s="6" t="str">
        <f>"RAB33B"</f>
        <v>RAB33B</v>
      </c>
      <c r="B6474" s="6">
        <v>0.10889110889110799</v>
      </c>
      <c r="C6474" s="6">
        <v>0.29530247667200099</v>
      </c>
    </row>
    <row r="6475" spans="1:3" s="8" customFormat="1" x14ac:dyDescent="0.2">
      <c r="A6475" s="6" t="str">
        <f>"CD27-AS1"</f>
        <v>CD27-AS1</v>
      </c>
      <c r="B6475" s="6">
        <v>0.10889110889110799</v>
      </c>
      <c r="C6475" s="6">
        <v>0.29530247667200099</v>
      </c>
    </row>
    <row r="6476" spans="1:3" s="8" customFormat="1" x14ac:dyDescent="0.2">
      <c r="A6476" s="6" t="str">
        <f>"UBD"</f>
        <v>UBD</v>
      </c>
      <c r="B6476" s="6">
        <v>0.10889110889110799</v>
      </c>
      <c r="C6476" s="6">
        <v>0.29530247667200099</v>
      </c>
    </row>
    <row r="6477" spans="1:3" s="8" customFormat="1" x14ac:dyDescent="0.2">
      <c r="A6477" s="6" t="str">
        <f>"CLSTN3"</f>
        <v>CLSTN3</v>
      </c>
      <c r="B6477" s="6">
        <v>0.10889110889110799</v>
      </c>
      <c r="C6477" s="6">
        <v>0.29530247667200099</v>
      </c>
    </row>
    <row r="6478" spans="1:3" s="8" customFormat="1" x14ac:dyDescent="0.2">
      <c r="A6478" s="6" t="str">
        <f>"ZNF513"</f>
        <v>ZNF513</v>
      </c>
      <c r="B6478" s="6">
        <v>0.10889110889110799</v>
      </c>
      <c r="C6478" s="6">
        <v>0.29530247667200099</v>
      </c>
    </row>
    <row r="6479" spans="1:3" s="8" customFormat="1" x14ac:dyDescent="0.2">
      <c r="A6479" s="6" t="str">
        <f>"SAYSD1"</f>
        <v>SAYSD1</v>
      </c>
      <c r="B6479" s="6">
        <v>0.10889110889110799</v>
      </c>
      <c r="C6479" s="6">
        <v>0.29530247667200099</v>
      </c>
    </row>
    <row r="6480" spans="1:3" s="8" customFormat="1" x14ac:dyDescent="0.2">
      <c r="A6480" s="6" t="str">
        <f>"SLC5A1"</f>
        <v>SLC5A1</v>
      </c>
      <c r="B6480" s="6">
        <v>0.10889110889110799</v>
      </c>
      <c r="C6480" s="6">
        <v>0.29530247667200099</v>
      </c>
    </row>
    <row r="6481" spans="1:3" s="8" customFormat="1" x14ac:dyDescent="0.2">
      <c r="A6481" s="6" t="str">
        <f>"C4orf33"</f>
        <v>C4orf33</v>
      </c>
      <c r="B6481" s="6">
        <v>0.10889110889110799</v>
      </c>
      <c r="C6481" s="6">
        <v>0.29530247667200099</v>
      </c>
    </row>
    <row r="6482" spans="1:3" s="8" customFormat="1" x14ac:dyDescent="0.2">
      <c r="A6482" s="6" t="str">
        <f>"NSMCE1"</f>
        <v>NSMCE1</v>
      </c>
      <c r="B6482" s="6">
        <v>0.10889110889110799</v>
      </c>
      <c r="C6482" s="6">
        <v>0.29530247667200099</v>
      </c>
    </row>
    <row r="6483" spans="1:3" s="8" customFormat="1" x14ac:dyDescent="0.2">
      <c r="A6483" s="6" t="str">
        <f>"MXI1"</f>
        <v>MXI1</v>
      </c>
      <c r="B6483" s="6">
        <v>0.10889110889110799</v>
      </c>
      <c r="C6483" s="6">
        <v>0.29530247667200099</v>
      </c>
    </row>
    <row r="6484" spans="1:3" s="8" customFormat="1" x14ac:dyDescent="0.2">
      <c r="A6484" s="6" t="str">
        <f>"ZBED5-AS1"</f>
        <v>ZBED5-AS1</v>
      </c>
      <c r="B6484" s="6">
        <v>0.10889110889110799</v>
      </c>
      <c r="C6484" s="6">
        <v>0.29530247667200099</v>
      </c>
    </row>
    <row r="6485" spans="1:3" s="8" customFormat="1" x14ac:dyDescent="0.2">
      <c r="A6485" s="6" t="str">
        <f>"C6orf132"</f>
        <v>C6orf132</v>
      </c>
      <c r="B6485" s="6">
        <v>0.10889110889110799</v>
      </c>
      <c r="C6485" s="6">
        <v>0.29530247667200099</v>
      </c>
    </row>
    <row r="6486" spans="1:3" s="8" customFormat="1" x14ac:dyDescent="0.2">
      <c r="A6486" s="6" t="str">
        <f>"AL590428.1"</f>
        <v>AL590428.1</v>
      </c>
      <c r="B6486" s="6">
        <v>0.109</v>
      </c>
      <c r="C6486" s="6">
        <v>0.29550662966389102</v>
      </c>
    </row>
    <row r="6487" spans="1:3" s="8" customFormat="1" x14ac:dyDescent="0.2">
      <c r="A6487" s="6" t="str">
        <f>"FAM120AOS"</f>
        <v>FAM120AOS</v>
      </c>
      <c r="B6487" s="6">
        <v>0.109</v>
      </c>
      <c r="C6487" s="6">
        <v>0.29550662966389102</v>
      </c>
    </row>
    <row r="6488" spans="1:3" s="8" customFormat="1" x14ac:dyDescent="0.2">
      <c r="A6488" s="6" t="str">
        <f>"AL035425.1"</f>
        <v>AL035425.1</v>
      </c>
      <c r="B6488" s="6">
        <v>0.109890109890109</v>
      </c>
      <c r="C6488" s="6">
        <v>0.29627532847403998</v>
      </c>
    </row>
    <row r="6489" spans="1:3" s="8" customFormat="1" x14ac:dyDescent="0.2">
      <c r="A6489" s="6" t="str">
        <f>"AL158212.2"</f>
        <v>AL158212.2</v>
      </c>
      <c r="B6489" s="6">
        <v>0.109327983951855</v>
      </c>
      <c r="C6489" s="6">
        <v>0.29627532847403998</v>
      </c>
    </row>
    <row r="6490" spans="1:3" s="8" customFormat="1" x14ac:dyDescent="0.2">
      <c r="A6490" s="6" t="str">
        <f>"AC011503.2"</f>
        <v>AC011503.2</v>
      </c>
      <c r="B6490" s="6">
        <v>0.10964467005076101</v>
      </c>
      <c r="C6490" s="6">
        <v>0.29627532847403998</v>
      </c>
    </row>
    <row r="6491" spans="1:3" s="8" customFormat="1" x14ac:dyDescent="0.2">
      <c r="A6491" s="6" t="str">
        <f>"LRRN3"</f>
        <v>LRRN3</v>
      </c>
      <c r="B6491" s="6">
        <v>0.109890109890109</v>
      </c>
      <c r="C6491" s="6">
        <v>0.29627532847403998</v>
      </c>
    </row>
    <row r="6492" spans="1:3" s="8" customFormat="1" x14ac:dyDescent="0.2">
      <c r="A6492" s="6" t="str">
        <f>"AC233723.2"</f>
        <v>AC233723.2</v>
      </c>
      <c r="B6492" s="6">
        <v>0.109327983951855</v>
      </c>
      <c r="C6492" s="6">
        <v>0.29627532847403998</v>
      </c>
    </row>
    <row r="6493" spans="1:3" s="8" customFormat="1" x14ac:dyDescent="0.2">
      <c r="A6493" s="6" t="str">
        <f>"GASAL1"</f>
        <v>GASAL1</v>
      </c>
      <c r="B6493" s="6">
        <v>0.109890109890109</v>
      </c>
      <c r="C6493" s="6">
        <v>0.29627532847403998</v>
      </c>
    </row>
    <row r="6494" spans="1:3" s="8" customFormat="1" x14ac:dyDescent="0.2">
      <c r="A6494" s="6" t="str">
        <f>"RUSC1-AS1"</f>
        <v>RUSC1-AS1</v>
      </c>
      <c r="B6494" s="6">
        <v>0.10964467005076101</v>
      </c>
      <c r="C6494" s="6">
        <v>0.29627532847403998</v>
      </c>
    </row>
    <row r="6495" spans="1:3" s="8" customFormat="1" x14ac:dyDescent="0.2">
      <c r="A6495" s="6" t="str">
        <f>"FGF9"</f>
        <v>FGF9</v>
      </c>
      <c r="B6495" s="6">
        <v>0.109890109890109</v>
      </c>
      <c r="C6495" s="6">
        <v>0.29627532847403998</v>
      </c>
    </row>
    <row r="6496" spans="1:3" s="8" customFormat="1" x14ac:dyDescent="0.2">
      <c r="A6496" s="6" t="str">
        <f>"AL049838.1"</f>
        <v>AL049838.1</v>
      </c>
      <c r="B6496" s="6">
        <v>0.109890109890109</v>
      </c>
      <c r="C6496" s="6">
        <v>0.29627532847403998</v>
      </c>
    </row>
    <row r="6497" spans="1:3" s="8" customFormat="1" x14ac:dyDescent="0.2">
      <c r="A6497" s="6" t="str">
        <f>"CCDC152"</f>
        <v>CCDC152</v>
      </c>
      <c r="B6497" s="6">
        <v>0.109890109890109</v>
      </c>
      <c r="C6497" s="6">
        <v>0.29627532847403998</v>
      </c>
    </row>
    <row r="6498" spans="1:3" s="8" customFormat="1" x14ac:dyDescent="0.2">
      <c r="A6498" s="6" t="str">
        <f>"AL049828.1"</f>
        <v>AL049828.1</v>
      </c>
      <c r="B6498" s="6">
        <v>0.109890109890109</v>
      </c>
      <c r="C6498" s="6">
        <v>0.29627532847403998</v>
      </c>
    </row>
    <row r="6499" spans="1:3" s="8" customFormat="1" x14ac:dyDescent="0.2">
      <c r="A6499" s="6" t="str">
        <f>"ZNF684"</f>
        <v>ZNF684</v>
      </c>
      <c r="B6499" s="6">
        <v>0.109890109890109</v>
      </c>
      <c r="C6499" s="6">
        <v>0.29627532847403998</v>
      </c>
    </row>
    <row r="6500" spans="1:3" s="8" customFormat="1" x14ac:dyDescent="0.2">
      <c r="A6500" s="6" t="str">
        <f>"AC108860.2"</f>
        <v>AC108860.2</v>
      </c>
      <c r="B6500" s="6">
        <v>0.109890109890109</v>
      </c>
      <c r="C6500" s="6">
        <v>0.29627532847403998</v>
      </c>
    </row>
    <row r="6501" spans="1:3" s="8" customFormat="1" x14ac:dyDescent="0.2">
      <c r="A6501" s="6" t="str">
        <f>"FOXC2"</f>
        <v>FOXC2</v>
      </c>
      <c r="B6501" s="6">
        <v>0.109890109890109</v>
      </c>
      <c r="C6501" s="6">
        <v>0.29627532847403998</v>
      </c>
    </row>
    <row r="6502" spans="1:3" s="8" customFormat="1" x14ac:dyDescent="0.2">
      <c r="A6502" s="6" t="str">
        <f>"SLC17A9"</f>
        <v>SLC17A9</v>
      </c>
      <c r="B6502" s="6">
        <v>0.109890109890109</v>
      </c>
      <c r="C6502" s="6">
        <v>0.29627532847403998</v>
      </c>
    </row>
    <row r="6503" spans="1:3" s="8" customFormat="1" x14ac:dyDescent="0.2">
      <c r="A6503" s="6" t="str">
        <f>"ATOH8"</f>
        <v>ATOH8</v>
      </c>
      <c r="B6503" s="6">
        <v>0.109890109890109</v>
      </c>
      <c r="C6503" s="6">
        <v>0.29627532847403998</v>
      </c>
    </row>
    <row r="6504" spans="1:3" s="8" customFormat="1" x14ac:dyDescent="0.2">
      <c r="A6504" s="6" t="str">
        <f>"RIN1"</f>
        <v>RIN1</v>
      </c>
      <c r="B6504" s="6">
        <v>0.109890109890109</v>
      </c>
      <c r="C6504" s="6">
        <v>0.29627532847403998</v>
      </c>
    </row>
    <row r="6505" spans="1:3" s="8" customFormat="1" x14ac:dyDescent="0.2">
      <c r="A6505" s="6" t="str">
        <f>"SNHG18"</f>
        <v>SNHG18</v>
      </c>
      <c r="B6505" s="6">
        <v>0.109890109890109</v>
      </c>
      <c r="C6505" s="6">
        <v>0.29627532847403998</v>
      </c>
    </row>
    <row r="6506" spans="1:3" s="8" customFormat="1" x14ac:dyDescent="0.2">
      <c r="A6506" s="6" t="str">
        <f>"SPTLC3"</f>
        <v>SPTLC3</v>
      </c>
      <c r="B6506" s="6">
        <v>0.109890109890109</v>
      </c>
      <c r="C6506" s="6">
        <v>0.29627532847403998</v>
      </c>
    </row>
    <row r="6507" spans="1:3" s="8" customFormat="1" x14ac:dyDescent="0.2">
      <c r="A6507" s="6" t="str">
        <f>"CCDC85B"</f>
        <v>CCDC85B</v>
      </c>
      <c r="B6507" s="6">
        <v>0.109890109890109</v>
      </c>
      <c r="C6507" s="6">
        <v>0.29627532847403998</v>
      </c>
    </row>
    <row r="6508" spans="1:3" s="8" customFormat="1" x14ac:dyDescent="0.2">
      <c r="A6508" s="6" t="str">
        <f>"C14orf132"</f>
        <v>C14orf132</v>
      </c>
      <c r="B6508" s="6">
        <v>0.109890109890109</v>
      </c>
      <c r="C6508" s="6">
        <v>0.29627532847403998</v>
      </c>
    </row>
    <row r="6509" spans="1:3" s="8" customFormat="1" x14ac:dyDescent="0.2">
      <c r="A6509" s="6" t="str">
        <f>"ACP5"</f>
        <v>ACP5</v>
      </c>
      <c r="B6509" s="6">
        <v>0.109890109890109</v>
      </c>
      <c r="C6509" s="6">
        <v>0.29627532847403998</v>
      </c>
    </row>
    <row r="6510" spans="1:3" s="8" customFormat="1" x14ac:dyDescent="0.2">
      <c r="A6510" s="6" t="str">
        <f>"MTRF1L"</f>
        <v>MTRF1L</v>
      </c>
      <c r="B6510" s="6">
        <v>0.109890109890109</v>
      </c>
      <c r="C6510" s="6">
        <v>0.29627532847403998</v>
      </c>
    </row>
    <row r="6511" spans="1:3" s="8" customFormat="1" x14ac:dyDescent="0.2">
      <c r="A6511" s="6" t="str">
        <f>"GNG10"</f>
        <v>GNG10</v>
      </c>
      <c r="B6511" s="6">
        <v>0.109890109890109</v>
      </c>
      <c r="C6511" s="6">
        <v>0.29627532847403998</v>
      </c>
    </row>
    <row r="6512" spans="1:3" s="8" customFormat="1" x14ac:dyDescent="0.2">
      <c r="A6512" s="6" t="str">
        <f>"TMEM220"</f>
        <v>TMEM220</v>
      </c>
      <c r="B6512" s="6">
        <v>0.109890109890109</v>
      </c>
      <c r="C6512" s="6">
        <v>0.29627532847403998</v>
      </c>
    </row>
    <row r="6513" spans="1:3" s="8" customFormat="1" x14ac:dyDescent="0.2">
      <c r="A6513" s="6" t="str">
        <f>"SLC5A3"</f>
        <v>SLC5A3</v>
      </c>
      <c r="B6513" s="6">
        <v>0.109890109890109</v>
      </c>
      <c r="C6513" s="6">
        <v>0.29627532847403998</v>
      </c>
    </row>
    <row r="6514" spans="1:3" s="8" customFormat="1" x14ac:dyDescent="0.2">
      <c r="A6514" s="6" t="str">
        <f>"AKAP10"</f>
        <v>AKAP10</v>
      </c>
      <c r="B6514" s="6">
        <v>0.109890109890109</v>
      </c>
      <c r="C6514" s="6">
        <v>0.29627532847403998</v>
      </c>
    </row>
    <row r="6515" spans="1:3" s="8" customFormat="1" x14ac:dyDescent="0.2">
      <c r="A6515" s="6" t="str">
        <f>"FCHO2"</f>
        <v>FCHO2</v>
      </c>
      <c r="B6515" s="6">
        <v>0.109890109890109</v>
      </c>
      <c r="C6515" s="6">
        <v>0.29627532847403998</v>
      </c>
    </row>
    <row r="6516" spans="1:3" s="8" customFormat="1" x14ac:dyDescent="0.2">
      <c r="A6516" s="6" t="str">
        <f>"UBE2S"</f>
        <v>UBE2S</v>
      </c>
      <c r="B6516" s="6">
        <v>0.109890109890109</v>
      </c>
      <c r="C6516" s="6">
        <v>0.29627532847403998</v>
      </c>
    </row>
    <row r="6517" spans="1:3" s="8" customFormat="1" x14ac:dyDescent="0.2">
      <c r="A6517" s="6" t="str">
        <f>"SPATA20"</f>
        <v>SPATA20</v>
      </c>
      <c r="B6517" s="6">
        <v>0.109890109890109</v>
      </c>
      <c r="C6517" s="6">
        <v>0.29627532847403998</v>
      </c>
    </row>
    <row r="6518" spans="1:3" s="8" customFormat="1" x14ac:dyDescent="0.2">
      <c r="A6518" s="6" t="str">
        <f>"CKMT1B"</f>
        <v>CKMT1B</v>
      </c>
      <c r="B6518" s="6">
        <v>0.109890109890109</v>
      </c>
      <c r="C6518" s="6">
        <v>0.29627532847403998</v>
      </c>
    </row>
    <row r="6519" spans="1:3" s="8" customFormat="1" x14ac:dyDescent="0.2">
      <c r="A6519" s="6" t="str">
        <f>"HIVEP2"</f>
        <v>HIVEP2</v>
      </c>
      <c r="B6519" s="6">
        <v>0.109890109890109</v>
      </c>
      <c r="C6519" s="6">
        <v>0.29627532847403998</v>
      </c>
    </row>
    <row r="6520" spans="1:3" s="8" customFormat="1" x14ac:dyDescent="0.2">
      <c r="A6520" s="6" t="str">
        <f>"HECA"</f>
        <v>HECA</v>
      </c>
      <c r="B6520" s="6">
        <v>0.109890109890109</v>
      </c>
      <c r="C6520" s="6">
        <v>0.29627532847403998</v>
      </c>
    </row>
    <row r="6521" spans="1:3" s="8" customFormat="1" x14ac:dyDescent="0.2">
      <c r="A6521" s="6" t="str">
        <f>"NDST1"</f>
        <v>NDST1</v>
      </c>
      <c r="B6521" s="6">
        <v>0.109890109890109</v>
      </c>
      <c r="C6521" s="6">
        <v>0.29627532847403998</v>
      </c>
    </row>
    <row r="6522" spans="1:3" s="8" customFormat="1" x14ac:dyDescent="0.2">
      <c r="A6522" s="6" t="str">
        <f>"SETD2"</f>
        <v>SETD2</v>
      </c>
      <c r="B6522" s="6">
        <v>0.109890109890109</v>
      </c>
      <c r="C6522" s="6">
        <v>0.29627532847403998</v>
      </c>
    </row>
    <row r="6523" spans="1:3" s="8" customFormat="1" x14ac:dyDescent="0.2">
      <c r="A6523" s="6" t="str">
        <f>"ACTR3"</f>
        <v>ACTR3</v>
      </c>
      <c r="B6523" s="6">
        <v>0.109890109890109</v>
      </c>
      <c r="C6523" s="6">
        <v>0.29627532847403998</v>
      </c>
    </row>
    <row r="6524" spans="1:3" s="8" customFormat="1" x14ac:dyDescent="0.2">
      <c r="A6524" s="6" t="str">
        <f>"AC010624.1"</f>
        <v>AC010624.1</v>
      </c>
      <c r="B6524" s="6">
        <v>0.11</v>
      </c>
      <c r="C6524" s="6">
        <v>0.29643524904214502</v>
      </c>
    </row>
    <row r="6525" spans="1:3" s="8" customFormat="1" x14ac:dyDescent="0.2">
      <c r="A6525" s="6" t="str">
        <f>"SPATS1"</f>
        <v>SPATS1</v>
      </c>
      <c r="B6525" s="6">
        <v>0.11</v>
      </c>
      <c r="C6525" s="6">
        <v>0.29643524904214502</v>
      </c>
    </row>
    <row r="6526" spans="1:3" s="8" customFormat="1" x14ac:dyDescent="0.2">
      <c r="A6526" s="6" t="str">
        <f>"USP51"</f>
        <v>USP51</v>
      </c>
      <c r="B6526" s="6">
        <v>0.11</v>
      </c>
      <c r="C6526" s="6">
        <v>0.29643524904214502</v>
      </c>
    </row>
    <row r="6527" spans="1:3" s="8" customFormat="1" x14ac:dyDescent="0.2">
      <c r="A6527" s="6" t="str">
        <f>"ACTN1-AS1"</f>
        <v>ACTN1-AS1</v>
      </c>
      <c r="B6527" s="6">
        <v>0.11088911088911001</v>
      </c>
      <c r="C6527" s="6">
        <v>0.29769070624032401</v>
      </c>
    </row>
    <row r="6528" spans="1:3" s="8" customFormat="1" x14ac:dyDescent="0.2">
      <c r="A6528" s="6" t="str">
        <f>"AC096751.2"</f>
        <v>AC096751.2</v>
      </c>
      <c r="B6528" s="6">
        <v>0.11088911088911001</v>
      </c>
      <c r="C6528" s="6">
        <v>0.29769070624032401</v>
      </c>
    </row>
    <row r="6529" spans="1:3" s="8" customFormat="1" x14ac:dyDescent="0.2">
      <c r="A6529" s="6" t="str">
        <f>"AL583722.1"</f>
        <v>AL583722.1</v>
      </c>
      <c r="B6529" s="6">
        <v>0.110775427995971</v>
      </c>
      <c r="C6529" s="6">
        <v>0.29769070624032401</v>
      </c>
    </row>
    <row r="6530" spans="1:3" s="8" customFormat="1" x14ac:dyDescent="0.2">
      <c r="A6530" s="6" t="str">
        <f>"SUGT1P3"</f>
        <v>SUGT1P3</v>
      </c>
      <c r="B6530" s="6">
        <v>0.11088911088911001</v>
      </c>
      <c r="C6530" s="6">
        <v>0.29769070624032401</v>
      </c>
    </row>
    <row r="6531" spans="1:3" s="8" customFormat="1" x14ac:dyDescent="0.2">
      <c r="A6531" s="6" t="str">
        <f>"AC026801.2"</f>
        <v>AC026801.2</v>
      </c>
      <c r="B6531" s="6">
        <v>0.11088911088911001</v>
      </c>
      <c r="C6531" s="6">
        <v>0.29769070624032401</v>
      </c>
    </row>
    <row r="6532" spans="1:3" s="8" customFormat="1" x14ac:dyDescent="0.2">
      <c r="A6532" s="6" t="str">
        <f>"FBXO10"</f>
        <v>FBXO10</v>
      </c>
      <c r="B6532" s="6">
        <v>0.11088911088911001</v>
      </c>
      <c r="C6532" s="6">
        <v>0.29769070624032401</v>
      </c>
    </row>
    <row r="6533" spans="1:3" s="8" customFormat="1" x14ac:dyDescent="0.2">
      <c r="A6533" s="6" t="str">
        <f>"PSAT1"</f>
        <v>PSAT1</v>
      </c>
      <c r="B6533" s="6">
        <v>0.11088911088911001</v>
      </c>
      <c r="C6533" s="6">
        <v>0.29769070624032401</v>
      </c>
    </row>
    <row r="6534" spans="1:3" s="8" customFormat="1" x14ac:dyDescent="0.2">
      <c r="A6534" s="6" t="str">
        <f>"PLCXD1"</f>
        <v>PLCXD1</v>
      </c>
      <c r="B6534" s="6">
        <v>0.11088911088911001</v>
      </c>
      <c r="C6534" s="6">
        <v>0.29769070624032401</v>
      </c>
    </row>
    <row r="6535" spans="1:3" s="8" customFormat="1" x14ac:dyDescent="0.2">
      <c r="A6535" s="6" t="str">
        <f>"CSAD"</f>
        <v>CSAD</v>
      </c>
      <c r="B6535" s="6">
        <v>0.11088911088911001</v>
      </c>
      <c r="C6535" s="6">
        <v>0.29769070624032401</v>
      </c>
    </row>
    <row r="6536" spans="1:3" s="8" customFormat="1" x14ac:dyDescent="0.2">
      <c r="A6536" s="6" t="str">
        <f>"AC092070.2"</f>
        <v>AC092070.2</v>
      </c>
      <c r="B6536" s="6">
        <v>0.11088911088911001</v>
      </c>
      <c r="C6536" s="6">
        <v>0.29769070624032401</v>
      </c>
    </row>
    <row r="6537" spans="1:3" s="8" customFormat="1" x14ac:dyDescent="0.2">
      <c r="A6537" s="6" t="str">
        <f>"SEPSECS"</f>
        <v>SEPSECS</v>
      </c>
      <c r="B6537" s="6">
        <v>0.11088911088911001</v>
      </c>
      <c r="C6537" s="6">
        <v>0.29769070624032401</v>
      </c>
    </row>
    <row r="6538" spans="1:3" s="8" customFormat="1" x14ac:dyDescent="0.2">
      <c r="A6538" s="6" t="str">
        <f>"GTPBP8"</f>
        <v>GTPBP8</v>
      </c>
      <c r="B6538" s="6">
        <v>0.11088911088911001</v>
      </c>
      <c r="C6538" s="6">
        <v>0.29769070624032401</v>
      </c>
    </row>
    <row r="6539" spans="1:3" s="8" customFormat="1" x14ac:dyDescent="0.2">
      <c r="A6539" s="6" t="str">
        <f>"TMCC2"</f>
        <v>TMCC2</v>
      </c>
      <c r="B6539" s="6">
        <v>0.11088911088911001</v>
      </c>
      <c r="C6539" s="6">
        <v>0.29769070624032401</v>
      </c>
    </row>
    <row r="6540" spans="1:3" s="8" customFormat="1" x14ac:dyDescent="0.2">
      <c r="A6540" s="6" t="str">
        <f>"FUT8"</f>
        <v>FUT8</v>
      </c>
      <c r="B6540" s="6">
        <v>0.11088911088911001</v>
      </c>
      <c r="C6540" s="6">
        <v>0.29769070624032401</v>
      </c>
    </row>
    <row r="6541" spans="1:3" s="8" customFormat="1" x14ac:dyDescent="0.2">
      <c r="A6541" s="6" t="str">
        <f>"HDAC10"</f>
        <v>HDAC10</v>
      </c>
      <c r="B6541" s="6">
        <v>0.11088911088911001</v>
      </c>
      <c r="C6541" s="6">
        <v>0.29769070624032401</v>
      </c>
    </row>
    <row r="6542" spans="1:3" s="8" customFormat="1" x14ac:dyDescent="0.2">
      <c r="A6542" s="6" t="str">
        <f>"THBS1"</f>
        <v>THBS1</v>
      </c>
      <c r="B6542" s="6">
        <v>0.11088911088911001</v>
      </c>
      <c r="C6542" s="6">
        <v>0.29769070624032401</v>
      </c>
    </row>
    <row r="6543" spans="1:3" s="8" customFormat="1" x14ac:dyDescent="0.2">
      <c r="A6543" s="6" t="str">
        <f>"LIMK1"</f>
        <v>LIMK1</v>
      </c>
      <c r="B6543" s="6">
        <v>0.11088911088911001</v>
      </c>
      <c r="C6543" s="6">
        <v>0.29769070624032401</v>
      </c>
    </row>
    <row r="6544" spans="1:3" s="8" customFormat="1" x14ac:dyDescent="0.2">
      <c r="A6544" s="6" t="str">
        <f>"MOK"</f>
        <v>MOK</v>
      </c>
      <c r="B6544" s="6">
        <v>0.11088911088911001</v>
      </c>
      <c r="C6544" s="6">
        <v>0.29769070624032401</v>
      </c>
    </row>
    <row r="6545" spans="1:3" s="8" customFormat="1" x14ac:dyDescent="0.2">
      <c r="A6545" s="6" t="str">
        <f>"AKR7A2"</f>
        <v>AKR7A2</v>
      </c>
      <c r="B6545" s="6">
        <v>0.11088911088911001</v>
      </c>
      <c r="C6545" s="6">
        <v>0.29769070624032401</v>
      </c>
    </row>
    <row r="6546" spans="1:3" s="8" customFormat="1" x14ac:dyDescent="0.2">
      <c r="A6546" s="6" t="str">
        <f>"LARP7"</f>
        <v>LARP7</v>
      </c>
      <c r="B6546" s="6">
        <v>0.11088911088911001</v>
      </c>
      <c r="C6546" s="6">
        <v>0.29769070624032401</v>
      </c>
    </row>
    <row r="6547" spans="1:3" s="8" customFormat="1" x14ac:dyDescent="0.2">
      <c r="A6547" s="6" t="str">
        <f>"ITGB5"</f>
        <v>ITGB5</v>
      </c>
      <c r="B6547" s="6">
        <v>0.11088911088911001</v>
      </c>
      <c r="C6547" s="6">
        <v>0.29769070624032401</v>
      </c>
    </row>
    <row r="6548" spans="1:3" s="8" customFormat="1" x14ac:dyDescent="0.2">
      <c r="A6548" s="6" t="str">
        <f>"CFAP221"</f>
        <v>CFAP221</v>
      </c>
      <c r="B6548" s="6">
        <v>0.11088911088911001</v>
      </c>
      <c r="C6548" s="6">
        <v>0.29769070624032401</v>
      </c>
    </row>
    <row r="6549" spans="1:3" s="8" customFormat="1" x14ac:dyDescent="0.2">
      <c r="A6549" s="6" t="str">
        <f>"ATRN"</f>
        <v>ATRN</v>
      </c>
      <c r="B6549" s="6">
        <v>0.11088911088911001</v>
      </c>
      <c r="C6549" s="6">
        <v>0.29769070624032401</v>
      </c>
    </row>
    <row r="6550" spans="1:3" s="8" customFormat="1" x14ac:dyDescent="0.2">
      <c r="A6550" s="6" t="str">
        <f>"LRRC46"</f>
        <v>LRRC46</v>
      </c>
      <c r="B6550" s="6">
        <v>0.11088911088911001</v>
      </c>
      <c r="C6550" s="6">
        <v>0.29769070624032401</v>
      </c>
    </row>
    <row r="6551" spans="1:3" s="8" customFormat="1" x14ac:dyDescent="0.2">
      <c r="A6551" s="6" t="str">
        <f>"SLC39A7"</f>
        <v>SLC39A7</v>
      </c>
      <c r="B6551" s="6">
        <v>0.11088911088911001</v>
      </c>
      <c r="C6551" s="6">
        <v>0.29769070624032401</v>
      </c>
    </row>
    <row r="6552" spans="1:3" s="8" customFormat="1" x14ac:dyDescent="0.2">
      <c r="A6552" s="6" t="str">
        <f>"AC135279.3"</f>
        <v>AC135279.3</v>
      </c>
      <c r="B6552" s="6">
        <v>0.111</v>
      </c>
      <c r="C6552" s="6">
        <v>0.297897435897435</v>
      </c>
    </row>
    <row r="6553" spans="1:3" s="8" customFormat="1" x14ac:dyDescent="0.2">
      <c r="A6553" s="6" t="str">
        <f>"SYNE3"</f>
        <v>SYNE3</v>
      </c>
      <c r="B6553" s="6">
        <v>0.111</v>
      </c>
      <c r="C6553" s="6">
        <v>0.297897435897435</v>
      </c>
    </row>
    <row r="6554" spans="1:3" s="8" customFormat="1" x14ac:dyDescent="0.2">
      <c r="A6554" s="6" t="str">
        <f>"SSTR5"</f>
        <v>SSTR5</v>
      </c>
      <c r="B6554" s="6">
        <v>0.111888111888111</v>
      </c>
      <c r="C6554" s="6">
        <v>0.299276020602458</v>
      </c>
    </row>
    <row r="6555" spans="1:3" s="8" customFormat="1" x14ac:dyDescent="0.2">
      <c r="A6555" s="6" t="str">
        <f>"HTR3B"</f>
        <v>HTR3B</v>
      </c>
      <c r="B6555" s="6">
        <v>0.111888111888111</v>
      </c>
      <c r="C6555" s="6">
        <v>0.299276020602458</v>
      </c>
    </row>
    <row r="6556" spans="1:3" s="8" customFormat="1" x14ac:dyDescent="0.2">
      <c r="A6556" s="6" t="str">
        <f>"FAM171B"</f>
        <v>FAM171B</v>
      </c>
      <c r="B6556" s="6">
        <v>0.111888111888111</v>
      </c>
      <c r="C6556" s="6">
        <v>0.299276020602458</v>
      </c>
    </row>
    <row r="6557" spans="1:3" s="8" customFormat="1" x14ac:dyDescent="0.2">
      <c r="A6557" s="6" t="str">
        <f>"SLC35E2A"</f>
        <v>SLC35E2A</v>
      </c>
      <c r="B6557" s="6">
        <v>0.111888111888111</v>
      </c>
      <c r="C6557" s="6">
        <v>0.299276020602458</v>
      </c>
    </row>
    <row r="6558" spans="1:3" s="8" customFormat="1" x14ac:dyDescent="0.2">
      <c r="A6558" s="6" t="str">
        <f>"DLK2"</f>
        <v>DLK2</v>
      </c>
      <c r="B6558" s="6">
        <v>0.111888111888111</v>
      </c>
      <c r="C6558" s="6">
        <v>0.299276020602458</v>
      </c>
    </row>
    <row r="6559" spans="1:3" s="8" customFormat="1" x14ac:dyDescent="0.2">
      <c r="A6559" s="6" t="str">
        <f>"OR7E14P"</f>
        <v>OR7E14P</v>
      </c>
      <c r="B6559" s="6">
        <v>0.111888111888111</v>
      </c>
      <c r="C6559" s="6">
        <v>0.299276020602458</v>
      </c>
    </row>
    <row r="6560" spans="1:3" s="8" customFormat="1" x14ac:dyDescent="0.2">
      <c r="A6560" s="6" t="str">
        <f>"ADGRB2"</f>
        <v>ADGRB2</v>
      </c>
      <c r="B6560" s="6">
        <v>0.111888111888111</v>
      </c>
      <c r="C6560" s="6">
        <v>0.299276020602458</v>
      </c>
    </row>
    <row r="6561" spans="1:3" s="8" customFormat="1" x14ac:dyDescent="0.2">
      <c r="A6561" s="6" t="str">
        <f>"ARMC7"</f>
        <v>ARMC7</v>
      </c>
      <c r="B6561" s="6">
        <v>0.111888111888111</v>
      </c>
      <c r="C6561" s="6">
        <v>0.299276020602458</v>
      </c>
    </row>
    <row r="6562" spans="1:3" s="8" customFormat="1" x14ac:dyDescent="0.2">
      <c r="A6562" s="6" t="str">
        <f>"ZFAT"</f>
        <v>ZFAT</v>
      </c>
      <c r="B6562" s="6">
        <v>0.111888111888111</v>
      </c>
      <c r="C6562" s="6">
        <v>0.299276020602458</v>
      </c>
    </row>
    <row r="6563" spans="1:3" s="8" customFormat="1" x14ac:dyDescent="0.2">
      <c r="A6563" s="6" t="str">
        <f>"SIPA1"</f>
        <v>SIPA1</v>
      </c>
      <c r="B6563" s="6">
        <v>0.111888111888111</v>
      </c>
      <c r="C6563" s="6">
        <v>0.299276020602458</v>
      </c>
    </row>
    <row r="6564" spans="1:3" s="8" customFormat="1" x14ac:dyDescent="0.2">
      <c r="A6564" s="6" t="str">
        <f>"CCDC89"</f>
        <v>CCDC89</v>
      </c>
      <c r="B6564" s="6">
        <v>0.111888111888111</v>
      </c>
      <c r="C6564" s="6">
        <v>0.299276020602458</v>
      </c>
    </row>
    <row r="6565" spans="1:3" s="8" customFormat="1" x14ac:dyDescent="0.2">
      <c r="A6565" s="6" t="str">
        <f>"SLC9A7"</f>
        <v>SLC9A7</v>
      </c>
      <c r="B6565" s="6">
        <v>0.111888111888111</v>
      </c>
      <c r="C6565" s="6">
        <v>0.299276020602458</v>
      </c>
    </row>
    <row r="6566" spans="1:3" s="8" customFormat="1" x14ac:dyDescent="0.2">
      <c r="A6566" s="6" t="str">
        <f>"PLPP3"</f>
        <v>PLPP3</v>
      </c>
      <c r="B6566" s="6">
        <v>0.111888111888111</v>
      </c>
      <c r="C6566" s="6">
        <v>0.299276020602458</v>
      </c>
    </row>
    <row r="6567" spans="1:3" s="8" customFormat="1" x14ac:dyDescent="0.2">
      <c r="A6567" s="6" t="str">
        <f>"ZNF646"</f>
        <v>ZNF646</v>
      </c>
      <c r="B6567" s="6">
        <v>0.111888111888111</v>
      </c>
      <c r="C6567" s="6">
        <v>0.299276020602458</v>
      </c>
    </row>
    <row r="6568" spans="1:3" s="8" customFormat="1" x14ac:dyDescent="0.2">
      <c r="A6568" s="6" t="str">
        <f>"BEX4"</f>
        <v>BEX4</v>
      </c>
      <c r="B6568" s="6">
        <v>0.111888111888111</v>
      </c>
      <c r="C6568" s="6">
        <v>0.299276020602458</v>
      </c>
    </row>
    <row r="6569" spans="1:3" s="8" customFormat="1" x14ac:dyDescent="0.2">
      <c r="A6569" s="6" t="str">
        <f>"NAA40"</f>
        <v>NAA40</v>
      </c>
      <c r="B6569" s="6">
        <v>0.111888111888111</v>
      </c>
      <c r="C6569" s="6">
        <v>0.299276020602458</v>
      </c>
    </row>
    <row r="6570" spans="1:3" s="8" customFormat="1" x14ac:dyDescent="0.2">
      <c r="A6570" s="6" t="str">
        <f>"PRPF38B"</f>
        <v>PRPF38B</v>
      </c>
      <c r="B6570" s="6">
        <v>0.111888111888111</v>
      </c>
      <c r="C6570" s="6">
        <v>0.299276020602458</v>
      </c>
    </row>
    <row r="6571" spans="1:3" s="8" customFormat="1" x14ac:dyDescent="0.2">
      <c r="A6571" s="6" t="str">
        <f>"ABHD16A"</f>
        <v>ABHD16A</v>
      </c>
      <c r="B6571" s="6">
        <v>0.111888111888111</v>
      </c>
      <c r="C6571" s="6">
        <v>0.299276020602458</v>
      </c>
    </row>
    <row r="6572" spans="1:3" s="8" customFormat="1" x14ac:dyDescent="0.2">
      <c r="A6572" s="6" t="str">
        <f>"CPLANE1"</f>
        <v>CPLANE1</v>
      </c>
      <c r="B6572" s="6">
        <v>0.111888111888111</v>
      </c>
      <c r="C6572" s="6">
        <v>0.299276020602458</v>
      </c>
    </row>
    <row r="6573" spans="1:3" s="8" customFormat="1" x14ac:dyDescent="0.2">
      <c r="A6573" s="6" t="str">
        <f>"EIF2AK2"</f>
        <v>EIF2AK2</v>
      </c>
      <c r="B6573" s="6">
        <v>0.111888111888111</v>
      </c>
      <c r="C6573" s="6">
        <v>0.299276020602458</v>
      </c>
    </row>
    <row r="6574" spans="1:3" s="8" customFormat="1" x14ac:dyDescent="0.2">
      <c r="A6574" s="6" t="str">
        <f>"ACTR2"</f>
        <v>ACTR2</v>
      </c>
      <c r="B6574" s="6">
        <v>0.111888111888111</v>
      </c>
      <c r="C6574" s="6">
        <v>0.299276020602458</v>
      </c>
    </row>
    <row r="6575" spans="1:3" s="8" customFormat="1" x14ac:dyDescent="0.2">
      <c r="A6575" s="6" t="str">
        <f>"CDHR3"</f>
        <v>CDHR3</v>
      </c>
      <c r="B6575" s="6">
        <v>0.111888111888111</v>
      </c>
      <c r="C6575" s="6">
        <v>0.299276020602458</v>
      </c>
    </row>
    <row r="6576" spans="1:3" s="8" customFormat="1" x14ac:dyDescent="0.2">
      <c r="A6576" s="6" t="str">
        <f>"OR10A2"</f>
        <v>OR10A2</v>
      </c>
      <c r="B6576" s="6">
        <v>0.112</v>
      </c>
      <c r="C6576" s="6">
        <v>0.29948418491484102</v>
      </c>
    </row>
    <row r="6577" spans="1:3" s="8" customFormat="1" x14ac:dyDescent="0.2">
      <c r="A6577" s="6" t="str">
        <f>"CPEB4"</f>
        <v>CPEB4</v>
      </c>
      <c r="B6577" s="6">
        <v>0.112</v>
      </c>
      <c r="C6577" s="6">
        <v>0.29948418491484102</v>
      </c>
    </row>
    <row r="6578" spans="1:3" s="8" customFormat="1" x14ac:dyDescent="0.2">
      <c r="A6578" s="6" t="str">
        <f>"AC090001.1"</f>
        <v>AC090001.1</v>
      </c>
      <c r="B6578" s="6">
        <v>0.112224448897795</v>
      </c>
      <c r="C6578" s="6">
        <v>0.30003872729494202</v>
      </c>
    </row>
    <row r="6579" spans="1:3" s="8" customFormat="1" x14ac:dyDescent="0.2">
      <c r="A6579" s="6" t="str">
        <f>"SIRPD"</f>
        <v>SIRPD</v>
      </c>
      <c r="B6579" s="6">
        <v>0.11288711288711201</v>
      </c>
      <c r="C6579" s="6">
        <v>0.30062198894547798</v>
      </c>
    </row>
    <row r="6580" spans="1:3" s="8" customFormat="1" x14ac:dyDescent="0.2">
      <c r="A6580" s="6" t="str">
        <f>"AC015917.2"</f>
        <v>AC015917.2</v>
      </c>
      <c r="B6580" s="6">
        <v>0.112769485903814</v>
      </c>
      <c r="C6580" s="6">
        <v>0.30062198894547798</v>
      </c>
    </row>
    <row r="6581" spans="1:3" s="8" customFormat="1" x14ac:dyDescent="0.2">
      <c r="A6581" s="6" t="str">
        <f>"AL009176.1"</f>
        <v>AL009176.1</v>
      </c>
      <c r="B6581" s="6">
        <v>0.11288711288711201</v>
      </c>
      <c r="C6581" s="6">
        <v>0.30062198894547798</v>
      </c>
    </row>
    <row r="6582" spans="1:3" s="8" customFormat="1" x14ac:dyDescent="0.2">
      <c r="A6582" s="6" t="str">
        <f>"AL590666.2"</f>
        <v>AL590666.2</v>
      </c>
      <c r="B6582" s="6">
        <v>0.11288711288711201</v>
      </c>
      <c r="C6582" s="6">
        <v>0.30062198894547798</v>
      </c>
    </row>
    <row r="6583" spans="1:3" s="8" customFormat="1" x14ac:dyDescent="0.2">
      <c r="A6583" s="6" t="str">
        <f>"TAF1A-AS1"</f>
        <v>TAF1A-AS1</v>
      </c>
      <c r="B6583" s="6">
        <v>0.11288711288711201</v>
      </c>
      <c r="C6583" s="6">
        <v>0.30062198894547798</v>
      </c>
    </row>
    <row r="6584" spans="1:3" s="8" customFormat="1" x14ac:dyDescent="0.2">
      <c r="A6584" s="6" t="str">
        <f>"AL137847.1"</f>
        <v>AL137847.1</v>
      </c>
      <c r="B6584" s="6">
        <v>0.11288711288711201</v>
      </c>
      <c r="C6584" s="6">
        <v>0.30062198894547798</v>
      </c>
    </row>
    <row r="6585" spans="1:3" s="8" customFormat="1" x14ac:dyDescent="0.2">
      <c r="A6585" s="6" t="str">
        <f>"OLFML2B"</f>
        <v>OLFML2B</v>
      </c>
      <c r="B6585" s="6">
        <v>0.11288711288711201</v>
      </c>
      <c r="C6585" s="6">
        <v>0.30062198894547798</v>
      </c>
    </row>
    <row r="6586" spans="1:3" s="8" customFormat="1" x14ac:dyDescent="0.2">
      <c r="A6586" s="6" t="str">
        <f>"AC009123.1"</f>
        <v>AC009123.1</v>
      </c>
      <c r="B6586" s="6">
        <v>0.11288711288711201</v>
      </c>
      <c r="C6586" s="6">
        <v>0.30062198894547798</v>
      </c>
    </row>
    <row r="6587" spans="1:3" s="8" customFormat="1" x14ac:dyDescent="0.2">
      <c r="A6587" s="6" t="str">
        <f>"JAM3"</f>
        <v>JAM3</v>
      </c>
      <c r="B6587" s="6">
        <v>0.11288711288711201</v>
      </c>
      <c r="C6587" s="6">
        <v>0.30062198894547798</v>
      </c>
    </row>
    <row r="6588" spans="1:3" s="8" customFormat="1" x14ac:dyDescent="0.2">
      <c r="A6588" s="6" t="str">
        <f>"AL109811.1"</f>
        <v>AL109811.1</v>
      </c>
      <c r="B6588" s="6">
        <v>0.11288711288711201</v>
      </c>
      <c r="C6588" s="6">
        <v>0.30062198894547798</v>
      </c>
    </row>
    <row r="6589" spans="1:3" s="8" customFormat="1" x14ac:dyDescent="0.2">
      <c r="A6589" s="6" t="str">
        <f>"CA5BP1"</f>
        <v>CA5BP1</v>
      </c>
      <c r="B6589" s="6">
        <v>0.11288711288711201</v>
      </c>
      <c r="C6589" s="6">
        <v>0.30062198894547798</v>
      </c>
    </row>
    <row r="6590" spans="1:3" s="8" customFormat="1" x14ac:dyDescent="0.2">
      <c r="A6590" s="6" t="str">
        <f>"CCDC18"</f>
        <v>CCDC18</v>
      </c>
      <c r="B6590" s="6">
        <v>0.11288711288711201</v>
      </c>
      <c r="C6590" s="6">
        <v>0.30062198894547798</v>
      </c>
    </row>
    <row r="6591" spans="1:3" s="8" customFormat="1" x14ac:dyDescent="0.2">
      <c r="A6591" s="6" t="str">
        <f>"CD320"</f>
        <v>CD320</v>
      </c>
      <c r="B6591" s="6">
        <v>0.11288711288711201</v>
      </c>
      <c r="C6591" s="6">
        <v>0.30062198894547798</v>
      </c>
    </row>
    <row r="6592" spans="1:3" s="8" customFormat="1" x14ac:dyDescent="0.2">
      <c r="A6592" s="6" t="str">
        <f>"SMC2-AS1"</f>
        <v>SMC2-AS1</v>
      </c>
      <c r="B6592" s="6">
        <v>0.11288711288711201</v>
      </c>
      <c r="C6592" s="6">
        <v>0.30062198894547798</v>
      </c>
    </row>
    <row r="6593" spans="1:3" s="8" customFormat="1" x14ac:dyDescent="0.2">
      <c r="A6593" s="6" t="str">
        <f>"KCNN4"</f>
        <v>KCNN4</v>
      </c>
      <c r="B6593" s="6">
        <v>0.11288711288711201</v>
      </c>
      <c r="C6593" s="6">
        <v>0.30062198894547798</v>
      </c>
    </row>
    <row r="6594" spans="1:3" s="8" customFormat="1" x14ac:dyDescent="0.2">
      <c r="A6594" s="6" t="str">
        <f>"THNSL1"</f>
        <v>THNSL1</v>
      </c>
      <c r="B6594" s="6">
        <v>0.11288711288711201</v>
      </c>
      <c r="C6594" s="6">
        <v>0.30062198894547798</v>
      </c>
    </row>
    <row r="6595" spans="1:3" s="8" customFormat="1" x14ac:dyDescent="0.2">
      <c r="A6595" s="6" t="str">
        <f>"MROH9"</f>
        <v>MROH9</v>
      </c>
      <c r="B6595" s="6">
        <v>0.11288711288711201</v>
      </c>
      <c r="C6595" s="6">
        <v>0.30062198894547798</v>
      </c>
    </row>
    <row r="6596" spans="1:3" s="8" customFormat="1" x14ac:dyDescent="0.2">
      <c r="A6596" s="6" t="str">
        <f>"CLK2"</f>
        <v>CLK2</v>
      </c>
      <c r="B6596" s="6">
        <v>0.11288711288711201</v>
      </c>
      <c r="C6596" s="6">
        <v>0.30062198894547798</v>
      </c>
    </row>
    <row r="6597" spans="1:3" s="8" customFormat="1" x14ac:dyDescent="0.2">
      <c r="A6597" s="6" t="str">
        <f>"SYK"</f>
        <v>SYK</v>
      </c>
      <c r="B6597" s="6">
        <v>0.11288711288711201</v>
      </c>
      <c r="C6597" s="6">
        <v>0.30062198894547798</v>
      </c>
    </row>
    <row r="6598" spans="1:3" s="8" customFormat="1" x14ac:dyDescent="0.2">
      <c r="A6598" s="6" t="str">
        <f>"SLC39A11"</f>
        <v>SLC39A11</v>
      </c>
      <c r="B6598" s="6">
        <v>0.11288711288711201</v>
      </c>
      <c r="C6598" s="6">
        <v>0.30062198894547798</v>
      </c>
    </row>
    <row r="6599" spans="1:3" s="8" customFormat="1" x14ac:dyDescent="0.2">
      <c r="A6599" s="6" t="str">
        <f>"APBB1"</f>
        <v>APBB1</v>
      </c>
      <c r="B6599" s="6">
        <v>0.11288711288711201</v>
      </c>
      <c r="C6599" s="6">
        <v>0.30062198894547798</v>
      </c>
    </row>
    <row r="6600" spans="1:3" s="8" customFormat="1" x14ac:dyDescent="0.2">
      <c r="A6600" s="6" t="str">
        <f>"FBP1"</f>
        <v>FBP1</v>
      </c>
      <c r="B6600" s="6">
        <v>0.11288711288711201</v>
      </c>
      <c r="C6600" s="6">
        <v>0.30062198894547798</v>
      </c>
    </row>
    <row r="6601" spans="1:3" s="8" customFormat="1" x14ac:dyDescent="0.2">
      <c r="A6601" s="6" t="str">
        <f>"ATRX"</f>
        <v>ATRX</v>
      </c>
      <c r="B6601" s="6">
        <v>0.11288711288711201</v>
      </c>
      <c r="C6601" s="6">
        <v>0.30062198894547798</v>
      </c>
    </row>
    <row r="6602" spans="1:3" s="8" customFormat="1" x14ac:dyDescent="0.2">
      <c r="A6602" s="6" t="str">
        <f>"EIF4G3"</f>
        <v>EIF4G3</v>
      </c>
      <c r="B6602" s="6">
        <v>0.11288711288711201</v>
      </c>
      <c r="C6602" s="6">
        <v>0.30062198894547798</v>
      </c>
    </row>
    <row r="6603" spans="1:3" s="8" customFormat="1" x14ac:dyDescent="0.2">
      <c r="A6603" s="6" t="str">
        <f>"CYTH2"</f>
        <v>CYTH2</v>
      </c>
      <c r="B6603" s="6">
        <v>0.11288711288711201</v>
      </c>
      <c r="C6603" s="6">
        <v>0.30062198894547798</v>
      </c>
    </row>
    <row r="6604" spans="1:3" s="8" customFormat="1" x14ac:dyDescent="0.2">
      <c r="A6604" s="6" t="str">
        <f>"ALPL"</f>
        <v>ALPL</v>
      </c>
      <c r="B6604" s="6">
        <v>0.11288711288711201</v>
      </c>
      <c r="C6604" s="6">
        <v>0.30062198894547798</v>
      </c>
    </row>
    <row r="6605" spans="1:3" s="8" customFormat="1" x14ac:dyDescent="0.2">
      <c r="A6605" s="6" t="str">
        <f>"AC073439.1"</f>
        <v>AC073439.1</v>
      </c>
      <c r="B6605" s="6">
        <v>0.11293634496919901</v>
      </c>
      <c r="C6605" s="6">
        <v>0.300707554503088</v>
      </c>
    </row>
    <row r="6606" spans="1:3" s="8" customFormat="1" x14ac:dyDescent="0.2">
      <c r="A6606" s="6" t="str">
        <f>"FMR1-IT1"</f>
        <v>FMR1-IT1</v>
      </c>
      <c r="B6606" s="6">
        <v>0.113</v>
      </c>
      <c r="C6606" s="6">
        <v>0.30074042682003899</v>
      </c>
    </row>
    <row r="6607" spans="1:3" s="8" customFormat="1" x14ac:dyDescent="0.2">
      <c r="A6607" s="6" t="str">
        <f>"AC006942.1"</f>
        <v>AC006942.1</v>
      </c>
      <c r="B6607" s="6">
        <v>0.113</v>
      </c>
      <c r="C6607" s="6">
        <v>0.30074042682003899</v>
      </c>
    </row>
    <row r="6608" spans="1:3" s="8" customFormat="1" x14ac:dyDescent="0.2">
      <c r="A6608" s="6" t="str">
        <f>"FAM168A"</f>
        <v>FAM168A</v>
      </c>
      <c r="B6608" s="6">
        <v>0.113</v>
      </c>
      <c r="C6608" s="6">
        <v>0.30074042682003899</v>
      </c>
    </row>
    <row r="6609" spans="1:3" s="8" customFormat="1" x14ac:dyDescent="0.2">
      <c r="A6609" s="6" t="str">
        <f>"AC069287.2"</f>
        <v>AC069287.2</v>
      </c>
      <c r="B6609" s="6">
        <v>0.113070539419087</v>
      </c>
      <c r="C6609" s="6">
        <v>0.30088262184401099</v>
      </c>
    </row>
    <row r="6610" spans="1:3" s="8" customFormat="1" x14ac:dyDescent="0.2">
      <c r="A6610" s="6" t="str">
        <f>"KRT222"</f>
        <v>KRT222</v>
      </c>
      <c r="B6610" s="6">
        <v>0.113886113886113</v>
      </c>
      <c r="C6610" s="6">
        <v>0.30168325196948198</v>
      </c>
    </row>
    <row r="6611" spans="1:3" s="8" customFormat="1" x14ac:dyDescent="0.2">
      <c r="A6611" s="6" t="str">
        <f>"PRSS40A"</f>
        <v>PRSS40A</v>
      </c>
      <c r="B6611" s="6">
        <v>0.11345381526104401</v>
      </c>
      <c r="C6611" s="6">
        <v>0.30168325196948198</v>
      </c>
    </row>
    <row r="6612" spans="1:3" s="8" customFormat="1" x14ac:dyDescent="0.2">
      <c r="A6612" s="6" t="str">
        <f>"SYNGR3"</f>
        <v>SYNGR3</v>
      </c>
      <c r="B6612" s="6">
        <v>0.113886113886113</v>
      </c>
      <c r="C6612" s="6">
        <v>0.30168325196948198</v>
      </c>
    </row>
    <row r="6613" spans="1:3" s="8" customFormat="1" x14ac:dyDescent="0.2">
      <c r="A6613" s="6" t="str">
        <f>"ADAMTS7"</f>
        <v>ADAMTS7</v>
      </c>
      <c r="B6613" s="6">
        <v>0.113886113886113</v>
      </c>
      <c r="C6613" s="6">
        <v>0.30168325196948198</v>
      </c>
    </row>
    <row r="6614" spans="1:3" s="8" customFormat="1" x14ac:dyDescent="0.2">
      <c r="A6614" s="6" t="str">
        <f>"HOXB2"</f>
        <v>HOXB2</v>
      </c>
      <c r="B6614" s="6">
        <v>0.113886113886113</v>
      </c>
      <c r="C6614" s="6">
        <v>0.30168325196948198</v>
      </c>
    </row>
    <row r="6615" spans="1:3" s="8" customFormat="1" x14ac:dyDescent="0.2">
      <c r="A6615" s="6" t="str">
        <f>"MAPK12"</f>
        <v>MAPK12</v>
      </c>
      <c r="B6615" s="6">
        <v>0.113886113886113</v>
      </c>
      <c r="C6615" s="6">
        <v>0.30168325196948198</v>
      </c>
    </row>
    <row r="6616" spans="1:3" s="8" customFormat="1" x14ac:dyDescent="0.2">
      <c r="A6616" s="6" t="str">
        <f>"AC026412.4"</f>
        <v>AC026412.4</v>
      </c>
      <c r="B6616" s="6">
        <v>0.113886113886113</v>
      </c>
      <c r="C6616" s="6">
        <v>0.30168325196948198</v>
      </c>
    </row>
    <row r="6617" spans="1:3" s="8" customFormat="1" x14ac:dyDescent="0.2">
      <c r="A6617" s="6" t="str">
        <f>"ZAP70"</f>
        <v>ZAP70</v>
      </c>
      <c r="B6617" s="6">
        <v>0.113886113886113</v>
      </c>
      <c r="C6617" s="6">
        <v>0.30168325196948198</v>
      </c>
    </row>
    <row r="6618" spans="1:3" s="8" customFormat="1" x14ac:dyDescent="0.2">
      <c r="A6618" s="6" t="str">
        <f>"TUBB2B"</f>
        <v>TUBB2B</v>
      </c>
      <c r="B6618" s="6">
        <v>0.113886113886113</v>
      </c>
      <c r="C6618" s="6">
        <v>0.30168325196948198</v>
      </c>
    </row>
    <row r="6619" spans="1:3" s="8" customFormat="1" x14ac:dyDescent="0.2">
      <c r="A6619" s="6" t="str">
        <f>"STARD4"</f>
        <v>STARD4</v>
      </c>
      <c r="B6619" s="6">
        <v>0.113886113886113</v>
      </c>
      <c r="C6619" s="6">
        <v>0.30168325196948198</v>
      </c>
    </row>
    <row r="6620" spans="1:3" s="8" customFormat="1" x14ac:dyDescent="0.2">
      <c r="A6620" s="6" t="str">
        <f>"SNAPC2"</f>
        <v>SNAPC2</v>
      </c>
      <c r="B6620" s="6">
        <v>0.113886113886113</v>
      </c>
      <c r="C6620" s="6">
        <v>0.30168325196948198</v>
      </c>
    </row>
    <row r="6621" spans="1:3" s="8" customFormat="1" x14ac:dyDescent="0.2">
      <c r="A6621" s="6" t="str">
        <f>"AC211486.1"</f>
        <v>AC211486.1</v>
      </c>
      <c r="B6621" s="6">
        <v>0.113886113886113</v>
      </c>
      <c r="C6621" s="6">
        <v>0.30168325196948198</v>
      </c>
    </row>
    <row r="6622" spans="1:3" s="8" customFormat="1" x14ac:dyDescent="0.2">
      <c r="A6622" s="6" t="str">
        <f>"BCDIN3D"</f>
        <v>BCDIN3D</v>
      </c>
      <c r="B6622" s="6">
        <v>0.113886113886113</v>
      </c>
      <c r="C6622" s="6">
        <v>0.30168325196948198</v>
      </c>
    </row>
    <row r="6623" spans="1:3" s="8" customFormat="1" x14ac:dyDescent="0.2">
      <c r="A6623" s="6" t="str">
        <f>"RASSF4"</f>
        <v>RASSF4</v>
      </c>
      <c r="B6623" s="6">
        <v>0.113886113886113</v>
      </c>
      <c r="C6623" s="6">
        <v>0.30168325196948198</v>
      </c>
    </row>
    <row r="6624" spans="1:3" s="8" customFormat="1" x14ac:dyDescent="0.2">
      <c r="A6624" s="6" t="str">
        <f>"ZNF653"</f>
        <v>ZNF653</v>
      </c>
      <c r="B6624" s="6">
        <v>0.113886113886113</v>
      </c>
      <c r="C6624" s="6">
        <v>0.30168325196948198</v>
      </c>
    </row>
    <row r="6625" spans="1:3" s="8" customFormat="1" x14ac:dyDescent="0.2">
      <c r="A6625" s="6" t="str">
        <f>"SETD4"</f>
        <v>SETD4</v>
      </c>
      <c r="B6625" s="6">
        <v>0.113886113886113</v>
      </c>
      <c r="C6625" s="6">
        <v>0.30168325196948198</v>
      </c>
    </row>
    <row r="6626" spans="1:3" s="8" customFormat="1" x14ac:dyDescent="0.2">
      <c r="A6626" s="6" t="str">
        <f>"IAH1"</f>
        <v>IAH1</v>
      </c>
      <c r="B6626" s="6">
        <v>0.113886113886113</v>
      </c>
      <c r="C6626" s="6">
        <v>0.30168325196948198</v>
      </c>
    </row>
    <row r="6627" spans="1:3" s="8" customFormat="1" x14ac:dyDescent="0.2">
      <c r="A6627" s="6" t="str">
        <f>"BOK"</f>
        <v>BOK</v>
      </c>
      <c r="B6627" s="6">
        <v>0.113886113886113</v>
      </c>
      <c r="C6627" s="6">
        <v>0.30168325196948198</v>
      </c>
    </row>
    <row r="6628" spans="1:3" s="8" customFormat="1" x14ac:dyDescent="0.2">
      <c r="A6628" s="6" t="str">
        <f>"FAM131A"</f>
        <v>FAM131A</v>
      </c>
      <c r="B6628" s="6">
        <v>0.113886113886113</v>
      </c>
      <c r="C6628" s="6">
        <v>0.30168325196948198</v>
      </c>
    </row>
    <row r="6629" spans="1:3" s="8" customFormat="1" x14ac:dyDescent="0.2">
      <c r="A6629" s="6" t="str">
        <f>"MPP5"</f>
        <v>MPP5</v>
      </c>
      <c r="B6629" s="6">
        <v>0.113886113886113</v>
      </c>
      <c r="C6629" s="6">
        <v>0.30168325196948198</v>
      </c>
    </row>
    <row r="6630" spans="1:3" s="8" customFormat="1" x14ac:dyDescent="0.2">
      <c r="A6630" s="6" t="str">
        <f>"ZNF827"</f>
        <v>ZNF827</v>
      </c>
      <c r="B6630" s="6">
        <v>0.113886113886113</v>
      </c>
      <c r="C6630" s="6">
        <v>0.30168325196948198</v>
      </c>
    </row>
    <row r="6631" spans="1:3" s="8" customFormat="1" x14ac:dyDescent="0.2">
      <c r="A6631" s="6" t="str">
        <f>"PDE4A"</f>
        <v>PDE4A</v>
      </c>
      <c r="B6631" s="6">
        <v>0.113886113886113</v>
      </c>
      <c r="C6631" s="6">
        <v>0.30168325196948198</v>
      </c>
    </row>
    <row r="6632" spans="1:3" s="8" customFormat="1" x14ac:dyDescent="0.2">
      <c r="A6632" s="6" t="str">
        <f>"ARRDC4"</f>
        <v>ARRDC4</v>
      </c>
      <c r="B6632" s="6">
        <v>0.113886113886113</v>
      </c>
      <c r="C6632" s="6">
        <v>0.30168325196948198</v>
      </c>
    </row>
    <row r="6633" spans="1:3" s="8" customFormat="1" x14ac:dyDescent="0.2">
      <c r="A6633" s="6" t="str">
        <f>"ULK3"</f>
        <v>ULK3</v>
      </c>
      <c r="B6633" s="6">
        <v>0.113886113886113</v>
      </c>
      <c r="C6633" s="6">
        <v>0.30168325196948198</v>
      </c>
    </row>
    <row r="6634" spans="1:3" s="8" customFormat="1" x14ac:dyDescent="0.2">
      <c r="A6634" s="6" t="str">
        <f>"WDR45"</f>
        <v>WDR45</v>
      </c>
      <c r="B6634" s="6">
        <v>0.113886113886113</v>
      </c>
      <c r="C6634" s="6">
        <v>0.30168325196948198</v>
      </c>
    </row>
    <row r="6635" spans="1:3" s="8" customFormat="1" x14ac:dyDescent="0.2">
      <c r="A6635" s="6" t="str">
        <f>"SRSF7"</f>
        <v>SRSF7</v>
      </c>
      <c r="B6635" s="6">
        <v>0.113886113886113</v>
      </c>
      <c r="C6635" s="6">
        <v>0.30168325196948198</v>
      </c>
    </row>
    <row r="6636" spans="1:3" s="8" customFormat="1" x14ac:dyDescent="0.2">
      <c r="A6636" s="6" t="str">
        <f>"PCCB"</f>
        <v>PCCB</v>
      </c>
      <c r="B6636" s="6">
        <v>0.113886113886113</v>
      </c>
      <c r="C6636" s="6">
        <v>0.30168325196948198</v>
      </c>
    </row>
    <row r="6637" spans="1:3" s="8" customFormat="1" x14ac:dyDescent="0.2">
      <c r="A6637" s="6" t="str">
        <f>"FEM1A"</f>
        <v>FEM1A</v>
      </c>
      <c r="B6637" s="6">
        <v>0.113886113886113</v>
      </c>
      <c r="C6637" s="6">
        <v>0.30168325196948198</v>
      </c>
    </row>
    <row r="6638" spans="1:3" s="8" customFormat="1" x14ac:dyDescent="0.2">
      <c r="A6638" s="6" t="str">
        <f>"EPN3"</f>
        <v>EPN3</v>
      </c>
      <c r="B6638" s="6">
        <v>0.113886113886113</v>
      </c>
      <c r="C6638" s="6">
        <v>0.30168325196948198</v>
      </c>
    </row>
    <row r="6639" spans="1:3" s="8" customFormat="1" x14ac:dyDescent="0.2">
      <c r="A6639" s="6" t="str">
        <f>"UBXN1"</f>
        <v>UBXN1</v>
      </c>
      <c r="B6639" s="6">
        <v>0.113886113886113</v>
      </c>
      <c r="C6639" s="6">
        <v>0.30168325196948198</v>
      </c>
    </row>
    <row r="6640" spans="1:3" s="8" customFormat="1" x14ac:dyDescent="0.2">
      <c r="A6640" s="6" t="str">
        <f>"AL359813.1"</f>
        <v>AL359813.1</v>
      </c>
      <c r="B6640" s="6">
        <v>0.113908872901678</v>
      </c>
      <c r="C6640" s="6">
        <v>0.30169809023996302</v>
      </c>
    </row>
    <row r="6641" spans="1:3" s="8" customFormat="1" x14ac:dyDescent="0.2">
      <c r="A6641" s="6" t="str">
        <f>"AC009133.6"</f>
        <v>AC009133.6</v>
      </c>
      <c r="B6641" s="6">
        <v>0.114</v>
      </c>
      <c r="C6641" s="6">
        <v>0.30184851678963998</v>
      </c>
    </row>
    <row r="6642" spans="1:3" s="8" customFormat="1" x14ac:dyDescent="0.2">
      <c r="A6642" s="6" t="str">
        <f>"ASAH1"</f>
        <v>ASAH1</v>
      </c>
      <c r="B6642" s="6">
        <v>0.114</v>
      </c>
      <c r="C6642" s="6">
        <v>0.30184851678963998</v>
      </c>
    </row>
    <row r="6643" spans="1:3" s="8" customFormat="1" x14ac:dyDescent="0.2">
      <c r="A6643" s="6" t="str">
        <f>"AC010894.4"</f>
        <v>AC010894.4</v>
      </c>
      <c r="B6643" s="6">
        <v>0.11488511488511401</v>
      </c>
      <c r="C6643" s="6">
        <v>0.30296038694359001</v>
      </c>
    </row>
    <row r="6644" spans="1:3" s="8" customFormat="1" x14ac:dyDescent="0.2">
      <c r="A6644" s="6" t="str">
        <f>"AC002451.2"</f>
        <v>AC002451.2</v>
      </c>
      <c r="B6644" s="6">
        <v>0.114788004136504</v>
      </c>
      <c r="C6644" s="6">
        <v>0.30296038694359001</v>
      </c>
    </row>
    <row r="6645" spans="1:3" s="8" customFormat="1" x14ac:dyDescent="0.2">
      <c r="A6645" s="6" t="str">
        <f>"AC010504.1"</f>
        <v>AC010504.1</v>
      </c>
      <c r="B6645" s="6">
        <v>0.11488511488511401</v>
      </c>
      <c r="C6645" s="6">
        <v>0.30296038694359001</v>
      </c>
    </row>
    <row r="6646" spans="1:3" s="8" customFormat="1" x14ac:dyDescent="0.2">
      <c r="A6646" s="6" t="str">
        <f>"CALR3"</f>
        <v>CALR3</v>
      </c>
      <c r="B6646" s="6">
        <v>0.11488511488511401</v>
      </c>
      <c r="C6646" s="6">
        <v>0.30296038694359001</v>
      </c>
    </row>
    <row r="6647" spans="1:3" s="8" customFormat="1" x14ac:dyDescent="0.2">
      <c r="A6647" s="6" t="str">
        <f>"ZNF423"</f>
        <v>ZNF423</v>
      </c>
      <c r="B6647" s="6">
        <v>0.11488511488511401</v>
      </c>
      <c r="C6647" s="6">
        <v>0.30296038694359001</v>
      </c>
    </row>
    <row r="6648" spans="1:3" s="8" customFormat="1" x14ac:dyDescent="0.2">
      <c r="A6648" s="6" t="str">
        <f>"AC073655.2"</f>
        <v>AC073655.2</v>
      </c>
      <c r="B6648" s="6">
        <v>0.11488511488511401</v>
      </c>
      <c r="C6648" s="6">
        <v>0.30296038694359001</v>
      </c>
    </row>
    <row r="6649" spans="1:3" s="8" customFormat="1" x14ac:dyDescent="0.2">
      <c r="A6649" s="6" t="str">
        <f>"Z98883.1"</f>
        <v>Z98883.1</v>
      </c>
      <c r="B6649" s="6">
        <v>0.11488511488511401</v>
      </c>
      <c r="C6649" s="6">
        <v>0.30296038694359001</v>
      </c>
    </row>
    <row r="6650" spans="1:3" s="8" customFormat="1" x14ac:dyDescent="0.2">
      <c r="A6650" s="6" t="str">
        <f>"AC069120.1"</f>
        <v>AC069120.1</v>
      </c>
      <c r="B6650" s="6">
        <v>0.11488511488511401</v>
      </c>
      <c r="C6650" s="6">
        <v>0.30296038694359001</v>
      </c>
    </row>
    <row r="6651" spans="1:3" s="8" customFormat="1" x14ac:dyDescent="0.2">
      <c r="A6651" s="6" t="str">
        <f>"APELA"</f>
        <v>APELA</v>
      </c>
      <c r="B6651" s="6">
        <v>0.11488511488511401</v>
      </c>
      <c r="C6651" s="6">
        <v>0.30296038694359001</v>
      </c>
    </row>
    <row r="6652" spans="1:3" s="8" customFormat="1" x14ac:dyDescent="0.2">
      <c r="A6652" s="6" t="str">
        <f>"AC099343.2"</f>
        <v>AC099343.2</v>
      </c>
      <c r="B6652" s="6">
        <v>0.11488511488511401</v>
      </c>
      <c r="C6652" s="6">
        <v>0.30296038694359001</v>
      </c>
    </row>
    <row r="6653" spans="1:3" s="8" customFormat="1" x14ac:dyDescent="0.2">
      <c r="A6653" s="6" t="str">
        <f>"GTSE1-DT"</f>
        <v>GTSE1-DT</v>
      </c>
      <c r="B6653" s="6">
        <v>0.11488511488511401</v>
      </c>
      <c r="C6653" s="6">
        <v>0.30296038694359001</v>
      </c>
    </row>
    <row r="6654" spans="1:3" s="8" customFormat="1" x14ac:dyDescent="0.2">
      <c r="A6654" s="6" t="str">
        <f>"UBAP1L"</f>
        <v>UBAP1L</v>
      </c>
      <c r="B6654" s="6">
        <v>0.11488511488511401</v>
      </c>
      <c r="C6654" s="6">
        <v>0.30296038694359001</v>
      </c>
    </row>
    <row r="6655" spans="1:3" s="8" customFormat="1" x14ac:dyDescent="0.2">
      <c r="A6655" s="6" t="str">
        <f>"USP3-AS1"</f>
        <v>USP3-AS1</v>
      </c>
      <c r="B6655" s="6">
        <v>0.11488511488511401</v>
      </c>
      <c r="C6655" s="6">
        <v>0.30296038694359001</v>
      </c>
    </row>
    <row r="6656" spans="1:3" s="8" customFormat="1" x14ac:dyDescent="0.2">
      <c r="A6656" s="6" t="str">
        <f>"CPXM2"</f>
        <v>CPXM2</v>
      </c>
      <c r="B6656" s="6">
        <v>0.11488511488511401</v>
      </c>
      <c r="C6656" s="6">
        <v>0.30296038694359001</v>
      </c>
    </row>
    <row r="6657" spans="1:3" s="8" customFormat="1" x14ac:dyDescent="0.2">
      <c r="A6657" s="6" t="str">
        <f>"ANKRD53"</f>
        <v>ANKRD53</v>
      </c>
      <c r="B6657" s="6">
        <v>0.11488511488511401</v>
      </c>
      <c r="C6657" s="6">
        <v>0.30296038694359001</v>
      </c>
    </row>
    <row r="6658" spans="1:3" s="8" customFormat="1" x14ac:dyDescent="0.2">
      <c r="A6658" s="6" t="str">
        <f>"AL035701.1"</f>
        <v>AL035701.1</v>
      </c>
      <c r="B6658" s="6">
        <v>0.11488511488511401</v>
      </c>
      <c r="C6658" s="6">
        <v>0.30296038694359001</v>
      </c>
    </row>
    <row r="6659" spans="1:3" s="8" customFormat="1" x14ac:dyDescent="0.2">
      <c r="A6659" s="6" t="str">
        <f>"ATP8B2"</f>
        <v>ATP8B2</v>
      </c>
      <c r="B6659" s="6">
        <v>0.11488511488511401</v>
      </c>
      <c r="C6659" s="6">
        <v>0.30296038694359001</v>
      </c>
    </row>
    <row r="6660" spans="1:3" s="8" customFormat="1" x14ac:dyDescent="0.2">
      <c r="A6660" s="6" t="str">
        <f>"UPRT"</f>
        <v>UPRT</v>
      </c>
      <c r="B6660" s="6">
        <v>0.11488511488511401</v>
      </c>
      <c r="C6660" s="6">
        <v>0.30296038694359001</v>
      </c>
    </row>
    <row r="6661" spans="1:3" s="8" customFormat="1" x14ac:dyDescent="0.2">
      <c r="A6661" s="6" t="str">
        <f>"PPP2R1B"</f>
        <v>PPP2R1B</v>
      </c>
      <c r="B6661" s="6">
        <v>0.11488511488511401</v>
      </c>
      <c r="C6661" s="6">
        <v>0.30296038694359001</v>
      </c>
    </row>
    <row r="6662" spans="1:3" s="8" customFormat="1" x14ac:dyDescent="0.2">
      <c r="A6662" s="6" t="str">
        <f>"KCTD5"</f>
        <v>KCTD5</v>
      </c>
      <c r="B6662" s="6">
        <v>0.11488511488511401</v>
      </c>
      <c r="C6662" s="6">
        <v>0.30296038694359001</v>
      </c>
    </row>
    <row r="6663" spans="1:3" s="8" customFormat="1" x14ac:dyDescent="0.2">
      <c r="A6663" s="6" t="str">
        <f>"PPP1R12A"</f>
        <v>PPP1R12A</v>
      </c>
      <c r="B6663" s="6">
        <v>0.11488511488511401</v>
      </c>
      <c r="C6663" s="6">
        <v>0.30296038694359001</v>
      </c>
    </row>
    <row r="6664" spans="1:3" s="8" customFormat="1" x14ac:dyDescent="0.2">
      <c r="A6664" s="6" t="str">
        <f>"RGS22"</f>
        <v>RGS22</v>
      </c>
      <c r="B6664" s="6">
        <v>0.11488511488511401</v>
      </c>
      <c r="C6664" s="6">
        <v>0.30296038694359001</v>
      </c>
    </row>
    <row r="6665" spans="1:3" s="8" customFormat="1" x14ac:dyDescent="0.2">
      <c r="A6665" s="6" t="str">
        <f>"SF3B5"</f>
        <v>SF3B5</v>
      </c>
      <c r="B6665" s="6">
        <v>0.11488511488511401</v>
      </c>
      <c r="C6665" s="6">
        <v>0.30296038694359001</v>
      </c>
    </row>
    <row r="6666" spans="1:3" s="8" customFormat="1" x14ac:dyDescent="0.2">
      <c r="A6666" s="6" t="str">
        <f>"RBM12"</f>
        <v>RBM12</v>
      </c>
      <c r="B6666" s="6">
        <v>0.11488511488511401</v>
      </c>
      <c r="C6666" s="6">
        <v>0.30296038694359001</v>
      </c>
    </row>
    <row r="6667" spans="1:3" s="8" customFormat="1" x14ac:dyDescent="0.2">
      <c r="A6667" s="6" t="str">
        <f>"WDR82"</f>
        <v>WDR82</v>
      </c>
      <c r="B6667" s="6">
        <v>0.11488511488511401</v>
      </c>
      <c r="C6667" s="6">
        <v>0.30296038694359001</v>
      </c>
    </row>
    <row r="6668" spans="1:3" s="8" customFormat="1" x14ac:dyDescent="0.2">
      <c r="A6668" s="6" t="str">
        <f>"SPCS1"</f>
        <v>SPCS1</v>
      </c>
      <c r="B6668" s="6">
        <v>0.11488511488511401</v>
      </c>
      <c r="C6668" s="6">
        <v>0.30296038694359001</v>
      </c>
    </row>
    <row r="6669" spans="1:3" s="8" customFormat="1" x14ac:dyDescent="0.2">
      <c r="A6669" s="6" t="str">
        <f>"TPI1"</f>
        <v>TPI1</v>
      </c>
      <c r="B6669" s="6">
        <v>0.11488511488511401</v>
      </c>
      <c r="C6669" s="6">
        <v>0.30296038694359001</v>
      </c>
    </row>
    <row r="6670" spans="1:3" s="8" customFormat="1" x14ac:dyDescent="0.2">
      <c r="A6670" s="6" t="str">
        <f>"AC008073.3"</f>
        <v>AC008073.3</v>
      </c>
      <c r="B6670" s="6">
        <v>0.115884115884115</v>
      </c>
      <c r="C6670" s="6">
        <v>0.303999148695553</v>
      </c>
    </row>
    <row r="6671" spans="1:3" s="8" customFormat="1" x14ac:dyDescent="0.2">
      <c r="A6671" s="6" t="str">
        <f>"ART5"</f>
        <v>ART5</v>
      </c>
      <c r="B6671" s="6">
        <v>0.115884115884115</v>
      </c>
      <c r="C6671" s="6">
        <v>0.303999148695553</v>
      </c>
    </row>
    <row r="6672" spans="1:3" s="8" customFormat="1" x14ac:dyDescent="0.2">
      <c r="A6672" s="6" t="str">
        <f>"MYBPC1"</f>
        <v>MYBPC1</v>
      </c>
      <c r="B6672" s="6">
        <v>0.115884115884115</v>
      </c>
      <c r="C6672" s="6">
        <v>0.303999148695553</v>
      </c>
    </row>
    <row r="6673" spans="1:3" s="8" customFormat="1" x14ac:dyDescent="0.2">
      <c r="A6673" s="6" t="str">
        <f>"LINC02863"</f>
        <v>LINC02863</v>
      </c>
      <c r="B6673" s="6">
        <v>0.115884115884115</v>
      </c>
      <c r="C6673" s="6">
        <v>0.303999148695553</v>
      </c>
    </row>
    <row r="6674" spans="1:3" s="8" customFormat="1" x14ac:dyDescent="0.2">
      <c r="A6674" s="6" t="str">
        <f>"AL158195.1"</f>
        <v>AL158195.1</v>
      </c>
      <c r="B6674" s="6">
        <v>0.115884115884115</v>
      </c>
      <c r="C6674" s="6">
        <v>0.303999148695553</v>
      </c>
    </row>
    <row r="6675" spans="1:3" s="8" customFormat="1" x14ac:dyDescent="0.2">
      <c r="A6675" s="6" t="str">
        <f>"CCDC110"</f>
        <v>CCDC110</v>
      </c>
      <c r="B6675" s="6">
        <v>0.115884115884115</v>
      </c>
      <c r="C6675" s="6">
        <v>0.303999148695553</v>
      </c>
    </row>
    <row r="6676" spans="1:3" s="8" customFormat="1" x14ac:dyDescent="0.2">
      <c r="A6676" s="6" t="str">
        <f>"FNDC1"</f>
        <v>FNDC1</v>
      </c>
      <c r="B6676" s="6">
        <v>0.115884115884115</v>
      </c>
      <c r="C6676" s="6">
        <v>0.303999148695553</v>
      </c>
    </row>
    <row r="6677" spans="1:3" s="8" customFormat="1" x14ac:dyDescent="0.2">
      <c r="A6677" s="6" t="str">
        <f>"CSPG4P12"</f>
        <v>CSPG4P12</v>
      </c>
      <c r="B6677" s="6">
        <v>0.115884115884115</v>
      </c>
      <c r="C6677" s="6">
        <v>0.303999148695553</v>
      </c>
    </row>
    <row r="6678" spans="1:3" s="8" customFormat="1" x14ac:dyDescent="0.2">
      <c r="A6678" s="6" t="str">
        <f>"AC079781.1"</f>
        <v>AC079781.1</v>
      </c>
      <c r="B6678" s="6">
        <v>0.115884115884115</v>
      </c>
      <c r="C6678" s="6">
        <v>0.303999148695553</v>
      </c>
    </row>
    <row r="6679" spans="1:3" s="8" customFormat="1" x14ac:dyDescent="0.2">
      <c r="A6679" s="6" t="str">
        <f>"AL627171.2"</f>
        <v>AL627171.2</v>
      </c>
      <c r="B6679" s="6">
        <v>0.115884115884115</v>
      </c>
      <c r="C6679" s="6">
        <v>0.303999148695553</v>
      </c>
    </row>
    <row r="6680" spans="1:3" s="8" customFormat="1" x14ac:dyDescent="0.2">
      <c r="A6680" s="6" t="str">
        <f>"NPIPB9"</f>
        <v>NPIPB9</v>
      </c>
      <c r="B6680" s="6">
        <v>0.115884115884115</v>
      </c>
      <c r="C6680" s="6">
        <v>0.303999148695553</v>
      </c>
    </row>
    <row r="6681" spans="1:3" s="8" customFormat="1" x14ac:dyDescent="0.2">
      <c r="A6681" s="6" t="str">
        <f>"LINC00621"</f>
        <v>LINC00621</v>
      </c>
      <c r="B6681" s="6">
        <v>0.115884115884115</v>
      </c>
      <c r="C6681" s="6">
        <v>0.303999148695553</v>
      </c>
    </row>
    <row r="6682" spans="1:3" s="8" customFormat="1" x14ac:dyDescent="0.2">
      <c r="A6682" s="6" t="str">
        <f>"FAM229A"</f>
        <v>FAM229A</v>
      </c>
      <c r="B6682" s="6">
        <v>0.115884115884115</v>
      </c>
      <c r="C6682" s="6">
        <v>0.303999148695553</v>
      </c>
    </row>
    <row r="6683" spans="1:3" s="8" customFormat="1" x14ac:dyDescent="0.2">
      <c r="A6683" s="6" t="str">
        <f>"KIF23"</f>
        <v>KIF23</v>
      </c>
      <c r="B6683" s="6">
        <v>0.115884115884115</v>
      </c>
      <c r="C6683" s="6">
        <v>0.303999148695553</v>
      </c>
    </row>
    <row r="6684" spans="1:3" s="8" customFormat="1" x14ac:dyDescent="0.2">
      <c r="A6684" s="6" t="str">
        <f>"CTSK"</f>
        <v>CTSK</v>
      </c>
      <c r="B6684" s="6">
        <v>0.115884115884115</v>
      </c>
      <c r="C6684" s="6">
        <v>0.303999148695553</v>
      </c>
    </row>
    <row r="6685" spans="1:3" s="8" customFormat="1" x14ac:dyDescent="0.2">
      <c r="A6685" s="6" t="str">
        <f>"NPW"</f>
        <v>NPW</v>
      </c>
      <c r="B6685" s="6">
        <v>0.115884115884115</v>
      </c>
      <c r="C6685" s="6">
        <v>0.303999148695553</v>
      </c>
    </row>
    <row r="6686" spans="1:3" s="8" customFormat="1" x14ac:dyDescent="0.2">
      <c r="A6686" s="6" t="str">
        <f>"TMA16"</f>
        <v>TMA16</v>
      </c>
      <c r="B6686" s="6">
        <v>0.115884115884115</v>
      </c>
      <c r="C6686" s="6">
        <v>0.303999148695553</v>
      </c>
    </row>
    <row r="6687" spans="1:3" s="8" customFormat="1" x14ac:dyDescent="0.2">
      <c r="A6687" s="6" t="str">
        <f>"SOX12"</f>
        <v>SOX12</v>
      </c>
      <c r="B6687" s="6">
        <v>0.115884115884115</v>
      </c>
      <c r="C6687" s="6">
        <v>0.303999148695553</v>
      </c>
    </row>
    <row r="6688" spans="1:3" s="8" customFormat="1" x14ac:dyDescent="0.2">
      <c r="A6688" s="6" t="str">
        <f>"ZFPM1"</f>
        <v>ZFPM1</v>
      </c>
      <c r="B6688" s="6">
        <v>0.115884115884115</v>
      </c>
      <c r="C6688" s="6">
        <v>0.303999148695553</v>
      </c>
    </row>
    <row r="6689" spans="1:3" s="8" customFormat="1" x14ac:dyDescent="0.2">
      <c r="A6689" s="6" t="str">
        <f>"JMJD7"</f>
        <v>JMJD7</v>
      </c>
      <c r="B6689" s="6">
        <v>0.115884115884115</v>
      </c>
      <c r="C6689" s="6">
        <v>0.303999148695553</v>
      </c>
    </row>
    <row r="6690" spans="1:3" s="8" customFormat="1" x14ac:dyDescent="0.2">
      <c r="A6690" s="6" t="str">
        <f>"RSRC1"</f>
        <v>RSRC1</v>
      </c>
      <c r="B6690" s="6">
        <v>0.115884115884115</v>
      </c>
      <c r="C6690" s="6">
        <v>0.303999148695553</v>
      </c>
    </row>
    <row r="6691" spans="1:3" s="8" customFormat="1" x14ac:dyDescent="0.2">
      <c r="A6691" s="6" t="str">
        <f>"PGAP1"</f>
        <v>PGAP1</v>
      </c>
      <c r="B6691" s="6">
        <v>0.115884115884115</v>
      </c>
      <c r="C6691" s="6">
        <v>0.303999148695553</v>
      </c>
    </row>
    <row r="6692" spans="1:3" s="8" customFormat="1" x14ac:dyDescent="0.2">
      <c r="A6692" s="6" t="str">
        <f>"AP1S3"</f>
        <v>AP1S3</v>
      </c>
      <c r="B6692" s="6">
        <v>0.115884115884115</v>
      </c>
      <c r="C6692" s="6">
        <v>0.303999148695553</v>
      </c>
    </row>
    <row r="6693" spans="1:3" s="8" customFormat="1" x14ac:dyDescent="0.2">
      <c r="A6693" s="6" t="str">
        <f>"ABHD17B"</f>
        <v>ABHD17B</v>
      </c>
      <c r="B6693" s="6">
        <v>0.115884115884115</v>
      </c>
      <c r="C6693" s="6">
        <v>0.303999148695553</v>
      </c>
    </row>
    <row r="6694" spans="1:3" s="8" customFormat="1" x14ac:dyDescent="0.2">
      <c r="A6694" s="6" t="str">
        <f>"TMPRSS3"</f>
        <v>TMPRSS3</v>
      </c>
      <c r="B6694" s="6">
        <v>0.115884115884115</v>
      </c>
      <c r="C6694" s="6">
        <v>0.303999148695553</v>
      </c>
    </row>
    <row r="6695" spans="1:3" s="8" customFormat="1" x14ac:dyDescent="0.2">
      <c r="A6695" s="6" t="str">
        <f>"TULP4"</f>
        <v>TULP4</v>
      </c>
      <c r="B6695" s="6">
        <v>0.115884115884115</v>
      </c>
      <c r="C6695" s="6">
        <v>0.303999148695553</v>
      </c>
    </row>
    <row r="6696" spans="1:3" s="8" customFormat="1" x14ac:dyDescent="0.2">
      <c r="A6696" s="6" t="str">
        <f>"MYB"</f>
        <v>MYB</v>
      </c>
      <c r="B6696" s="6">
        <v>0.115884115884115</v>
      </c>
      <c r="C6696" s="6">
        <v>0.303999148695553</v>
      </c>
    </row>
    <row r="6697" spans="1:3" s="8" customFormat="1" x14ac:dyDescent="0.2">
      <c r="A6697" s="6" t="str">
        <f>"AGO1"</f>
        <v>AGO1</v>
      </c>
      <c r="B6697" s="6">
        <v>0.115884115884115</v>
      </c>
      <c r="C6697" s="6">
        <v>0.303999148695553</v>
      </c>
    </row>
    <row r="6698" spans="1:3" s="8" customFormat="1" x14ac:dyDescent="0.2">
      <c r="A6698" s="6" t="str">
        <f>"DCTD"</f>
        <v>DCTD</v>
      </c>
      <c r="B6698" s="6">
        <v>0.115884115884115</v>
      </c>
      <c r="C6698" s="6">
        <v>0.303999148695553</v>
      </c>
    </row>
    <row r="6699" spans="1:3" s="8" customFormat="1" x14ac:dyDescent="0.2">
      <c r="A6699" s="6" t="str">
        <f>"PRRG4"</f>
        <v>PRRG4</v>
      </c>
      <c r="B6699" s="6">
        <v>0.115884115884115</v>
      </c>
      <c r="C6699" s="6">
        <v>0.303999148695553</v>
      </c>
    </row>
    <row r="6700" spans="1:3" s="8" customFormat="1" x14ac:dyDescent="0.2">
      <c r="A6700" s="6" t="str">
        <f>"ERMP1"</f>
        <v>ERMP1</v>
      </c>
      <c r="B6700" s="6">
        <v>0.115884115884115</v>
      </c>
      <c r="C6700" s="6">
        <v>0.303999148695553</v>
      </c>
    </row>
    <row r="6701" spans="1:3" s="8" customFormat="1" x14ac:dyDescent="0.2">
      <c r="A6701" s="6" t="str">
        <f>"RAB11FIP4"</f>
        <v>RAB11FIP4</v>
      </c>
      <c r="B6701" s="6">
        <v>0.115884115884115</v>
      </c>
      <c r="C6701" s="6">
        <v>0.303999148695553</v>
      </c>
    </row>
    <row r="6702" spans="1:3" s="8" customFormat="1" x14ac:dyDescent="0.2">
      <c r="A6702" s="6" t="str">
        <f>"BBOF1"</f>
        <v>BBOF1</v>
      </c>
      <c r="B6702" s="6">
        <v>0.115884115884115</v>
      </c>
      <c r="C6702" s="6">
        <v>0.303999148695553</v>
      </c>
    </row>
    <row r="6703" spans="1:3" s="8" customFormat="1" x14ac:dyDescent="0.2">
      <c r="A6703" s="6" t="str">
        <f>"SYAP1"</f>
        <v>SYAP1</v>
      </c>
      <c r="B6703" s="6">
        <v>0.115884115884115</v>
      </c>
      <c r="C6703" s="6">
        <v>0.303999148695553</v>
      </c>
    </row>
    <row r="6704" spans="1:3" s="8" customFormat="1" x14ac:dyDescent="0.2">
      <c r="A6704" s="6" t="str">
        <f>"ESYT2"</f>
        <v>ESYT2</v>
      </c>
      <c r="B6704" s="6">
        <v>0.115884115884115</v>
      </c>
      <c r="C6704" s="6">
        <v>0.303999148695553</v>
      </c>
    </row>
    <row r="6705" spans="1:3" s="8" customFormat="1" x14ac:dyDescent="0.2">
      <c r="A6705" s="6" t="str">
        <f>"LINC01694"</f>
        <v>LINC01694</v>
      </c>
      <c r="B6705" s="6">
        <v>0.115927419354838</v>
      </c>
      <c r="C6705" s="6">
        <v>0.30406738394025701</v>
      </c>
    </row>
    <row r="6706" spans="1:3" s="8" customFormat="1" x14ac:dyDescent="0.2">
      <c r="A6706" s="6" t="str">
        <f>"TMCO4"</f>
        <v>TMCO4</v>
      </c>
      <c r="B6706" s="6">
        <v>0.11600000000000001</v>
      </c>
      <c r="C6706" s="6">
        <v>0.30416701461377799</v>
      </c>
    </row>
    <row r="6707" spans="1:3" s="8" customFormat="1" x14ac:dyDescent="0.2">
      <c r="A6707" s="6" t="str">
        <f>"KDM5A"</f>
        <v>KDM5A</v>
      </c>
      <c r="B6707" s="6">
        <v>0.11600000000000001</v>
      </c>
      <c r="C6707" s="6">
        <v>0.30416701461377799</v>
      </c>
    </row>
    <row r="6708" spans="1:3" s="8" customFormat="1" x14ac:dyDescent="0.2">
      <c r="A6708" s="6" t="str">
        <f>"ADAM20P1"</f>
        <v>ADAM20P1</v>
      </c>
      <c r="B6708" s="6">
        <v>0.116232464929859</v>
      </c>
      <c r="C6708" s="6">
        <v>0.30473112618557502</v>
      </c>
    </row>
    <row r="6709" spans="1:3" s="8" customFormat="1" x14ac:dyDescent="0.2">
      <c r="A6709" s="6" t="str">
        <f>"AL049839.2"</f>
        <v>AL049839.2</v>
      </c>
      <c r="B6709" s="6">
        <v>0.11688311688311601</v>
      </c>
      <c r="C6709" s="6">
        <v>0.30475574247816201</v>
      </c>
    </row>
    <row r="6710" spans="1:3" s="8" customFormat="1" x14ac:dyDescent="0.2">
      <c r="A6710" s="6" t="str">
        <f>"AL161665.1"</f>
        <v>AL161665.1</v>
      </c>
      <c r="B6710" s="6">
        <v>0.11688311688311601</v>
      </c>
      <c r="C6710" s="6">
        <v>0.30475574247816201</v>
      </c>
    </row>
    <row r="6711" spans="1:3" s="8" customFormat="1" x14ac:dyDescent="0.2">
      <c r="A6711" s="6" t="str">
        <f>"BX293535.1"</f>
        <v>BX293535.1</v>
      </c>
      <c r="B6711" s="6">
        <v>0.11688311688311601</v>
      </c>
      <c r="C6711" s="6">
        <v>0.30475574247816201</v>
      </c>
    </row>
    <row r="6712" spans="1:3" s="8" customFormat="1" x14ac:dyDescent="0.2">
      <c r="A6712" s="6" t="str">
        <f>"AC011472.3"</f>
        <v>AC011472.3</v>
      </c>
      <c r="B6712" s="6">
        <v>0.11634904714142399</v>
      </c>
      <c r="C6712" s="6">
        <v>0.30475574247816201</v>
      </c>
    </row>
    <row r="6713" spans="1:3" s="8" customFormat="1" x14ac:dyDescent="0.2">
      <c r="A6713" s="6" t="str">
        <f>"IGKV1D-39"</f>
        <v>IGKV1D-39</v>
      </c>
      <c r="B6713" s="6">
        <v>0.11688311688311601</v>
      </c>
      <c r="C6713" s="6">
        <v>0.30475574247816201</v>
      </c>
    </row>
    <row r="6714" spans="1:3" s="8" customFormat="1" x14ac:dyDescent="0.2">
      <c r="A6714" s="6" t="str">
        <f>"TMEM255A"</f>
        <v>TMEM255A</v>
      </c>
      <c r="B6714" s="6">
        <v>0.11688311688311601</v>
      </c>
      <c r="C6714" s="6">
        <v>0.30475574247816201</v>
      </c>
    </row>
    <row r="6715" spans="1:3" s="8" customFormat="1" x14ac:dyDescent="0.2">
      <c r="A6715" s="6" t="str">
        <f>"AL356234.3"</f>
        <v>AL356234.3</v>
      </c>
      <c r="B6715" s="6">
        <v>0.11688311688311601</v>
      </c>
      <c r="C6715" s="6">
        <v>0.30475574247816201</v>
      </c>
    </row>
    <row r="6716" spans="1:3" s="8" customFormat="1" x14ac:dyDescent="0.2">
      <c r="A6716" s="6" t="str">
        <f>"MOGAT2"</f>
        <v>MOGAT2</v>
      </c>
      <c r="B6716" s="6">
        <v>0.11688311688311601</v>
      </c>
      <c r="C6716" s="6">
        <v>0.30475574247816201</v>
      </c>
    </row>
    <row r="6717" spans="1:3" s="8" customFormat="1" x14ac:dyDescent="0.2">
      <c r="A6717" s="6" t="str">
        <f>"LINC00365"</f>
        <v>LINC00365</v>
      </c>
      <c r="B6717" s="6">
        <v>0.11688311688311601</v>
      </c>
      <c r="C6717" s="6">
        <v>0.30475574247816201</v>
      </c>
    </row>
    <row r="6718" spans="1:3" s="8" customFormat="1" x14ac:dyDescent="0.2">
      <c r="A6718" s="6" t="str">
        <f>"CSRNP3"</f>
        <v>CSRNP3</v>
      </c>
      <c r="B6718" s="6">
        <v>0.11688311688311601</v>
      </c>
      <c r="C6718" s="6">
        <v>0.30475574247816201</v>
      </c>
    </row>
    <row r="6719" spans="1:3" s="8" customFormat="1" x14ac:dyDescent="0.2">
      <c r="A6719" s="6" t="str">
        <f>"CYYR1"</f>
        <v>CYYR1</v>
      </c>
      <c r="B6719" s="6">
        <v>0.11688311688311601</v>
      </c>
      <c r="C6719" s="6">
        <v>0.30475574247816201</v>
      </c>
    </row>
    <row r="6720" spans="1:3" s="8" customFormat="1" x14ac:dyDescent="0.2">
      <c r="A6720" s="6" t="str">
        <f>"AC099063.4"</f>
        <v>AC099063.4</v>
      </c>
      <c r="B6720" s="6">
        <v>0.11688311688311601</v>
      </c>
      <c r="C6720" s="6">
        <v>0.30475574247816201</v>
      </c>
    </row>
    <row r="6721" spans="1:3" s="8" customFormat="1" x14ac:dyDescent="0.2">
      <c r="A6721" s="6" t="str">
        <f>"BTG4"</f>
        <v>BTG4</v>
      </c>
      <c r="B6721" s="6">
        <v>0.11688311688311601</v>
      </c>
      <c r="C6721" s="6">
        <v>0.30475574247816201</v>
      </c>
    </row>
    <row r="6722" spans="1:3" s="8" customFormat="1" x14ac:dyDescent="0.2">
      <c r="A6722" s="6" t="str">
        <f>"PCDHB4"</f>
        <v>PCDHB4</v>
      </c>
      <c r="B6722" s="6">
        <v>0.11688311688311601</v>
      </c>
      <c r="C6722" s="6">
        <v>0.30475574247816201</v>
      </c>
    </row>
    <row r="6723" spans="1:3" s="8" customFormat="1" x14ac:dyDescent="0.2">
      <c r="A6723" s="6" t="str">
        <f>"AC019117.3"</f>
        <v>AC019117.3</v>
      </c>
      <c r="B6723" s="6">
        <v>0.11688311688311601</v>
      </c>
      <c r="C6723" s="6">
        <v>0.30475574247816201</v>
      </c>
    </row>
    <row r="6724" spans="1:3" s="8" customFormat="1" x14ac:dyDescent="0.2">
      <c r="A6724" s="6" t="str">
        <f>"AC105942.1"</f>
        <v>AC105942.1</v>
      </c>
      <c r="B6724" s="6">
        <v>0.11688311688311601</v>
      </c>
      <c r="C6724" s="6">
        <v>0.30475574247816201</v>
      </c>
    </row>
    <row r="6725" spans="1:3" s="8" customFormat="1" x14ac:dyDescent="0.2">
      <c r="A6725" s="6" t="str">
        <f>"CEP135"</f>
        <v>CEP135</v>
      </c>
      <c r="B6725" s="6">
        <v>0.11688311688311601</v>
      </c>
      <c r="C6725" s="6">
        <v>0.30475574247816201</v>
      </c>
    </row>
    <row r="6726" spans="1:3" s="8" customFormat="1" x14ac:dyDescent="0.2">
      <c r="A6726" s="6" t="str">
        <f>"NSUN5P1"</f>
        <v>NSUN5P1</v>
      </c>
      <c r="B6726" s="6">
        <v>0.11688311688311601</v>
      </c>
      <c r="C6726" s="6">
        <v>0.30475574247816201</v>
      </c>
    </row>
    <row r="6727" spans="1:3" s="8" customFormat="1" x14ac:dyDescent="0.2">
      <c r="A6727" s="6" t="str">
        <f>"UBA6-AS1"</f>
        <v>UBA6-AS1</v>
      </c>
      <c r="B6727" s="6">
        <v>0.11688311688311601</v>
      </c>
      <c r="C6727" s="6">
        <v>0.30475574247816201</v>
      </c>
    </row>
    <row r="6728" spans="1:3" s="8" customFormat="1" x14ac:dyDescent="0.2">
      <c r="A6728" s="6" t="str">
        <f>"FAM110C"</f>
        <v>FAM110C</v>
      </c>
      <c r="B6728" s="6">
        <v>0.11688311688311601</v>
      </c>
      <c r="C6728" s="6">
        <v>0.30475574247816201</v>
      </c>
    </row>
    <row r="6729" spans="1:3" s="8" customFormat="1" x14ac:dyDescent="0.2">
      <c r="A6729" s="6" t="str">
        <f>"SGF29"</f>
        <v>SGF29</v>
      </c>
      <c r="B6729" s="6">
        <v>0.11688311688311601</v>
      </c>
      <c r="C6729" s="6">
        <v>0.30475574247816201</v>
      </c>
    </row>
    <row r="6730" spans="1:3" s="8" customFormat="1" x14ac:dyDescent="0.2">
      <c r="A6730" s="6" t="str">
        <f>"ZCCHC7"</f>
        <v>ZCCHC7</v>
      </c>
      <c r="B6730" s="6">
        <v>0.11688311688311601</v>
      </c>
      <c r="C6730" s="6">
        <v>0.30475574247816201</v>
      </c>
    </row>
    <row r="6731" spans="1:3" s="8" customFormat="1" x14ac:dyDescent="0.2">
      <c r="A6731" s="6" t="str">
        <f>"ZMYND12"</f>
        <v>ZMYND12</v>
      </c>
      <c r="B6731" s="6">
        <v>0.11688311688311601</v>
      </c>
      <c r="C6731" s="6">
        <v>0.30475574247816201</v>
      </c>
    </row>
    <row r="6732" spans="1:3" s="8" customFormat="1" x14ac:dyDescent="0.2">
      <c r="A6732" s="6" t="str">
        <f>"TAPT1"</f>
        <v>TAPT1</v>
      </c>
      <c r="B6732" s="6">
        <v>0.11688311688311601</v>
      </c>
      <c r="C6732" s="6">
        <v>0.30475574247816201</v>
      </c>
    </row>
    <row r="6733" spans="1:3" s="8" customFormat="1" x14ac:dyDescent="0.2">
      <c r="A6733" s="6" t="str">
        <f>"RNF34"</f>
        <v>RNF34</v>
      </c>
      <c r="B6733" s="6">
        <v>0.11688311688311601</v>
      </c>
      <c r="C6733" s="6">
        <v>0.30475574247816201</v>
      </c>
    </row>
    <row r="6734" spans="1:3" s="8" customFormat="1" x14ac:dyDescent="0.2">
      <c r="A6734" s="6" t="str">
        <f>"CYP4F3"</f>
        <v>CYP4F3</v>
      </c>
      <c r="B6734" s="6">
        <v>0.11688311688311601</v>
      </c>
      <c r="C6734" s="6">
        <v>0.30475574247816201</v>
      </c>
    </row>
    <row r="6735" spans="1:3" s="8" customFormat="1" x14ac:dyDescent="0.2">
      <c r="A6735" s="6" t="str">
        <f>"RGMB"</f>
        <v>RGMB</v>
      </c>
      <c r="B6735" s="6">
        <v>0.11688311688311601</v>
      </c>
      <c r="C6735" s="6">
        <v>0.30475574247816201</v>
      </c>
    </row>
    <row r="6736" spans="1:3" s="8" customFormat="1" x14ac:dyDescent="0.2">
      <c r="A6736" s="6" t="str">
        <f>"ZNF512B"</f>
        <v>ZNF512B</v>
      </c>
      <c r="B6736" s="6">
        <v>0.11688311688311601</v>
      </c>
      <c r="C6736" s="6">
        <v>0.30475574247816201</v>
      </c>
    </row>
    <row r="6737" spans="1:3" s="8" customFormat="1" x14ac:dyDescent="0.2">
      <c r="A6737" s="6" t="str">
        <f>"FUZ"</f>
        <v>FUZ</v>
      </c>
      <c r="B6737" s="6">
        <v>0.11688311688311601</v>
      </c>
      <c r="C6737" s="6">
        <v>0.30475574247816201</v>
      </c>
    </row>
    <row r="6738" spans="1:3" s="8" customFormat="1" x14ac:dyDescent="0.2">
      <c r="A6738" s="6" t="str">
        <f>"PRDX4"</f>
        <v>PRDX4</v>
      </c>
      <c r="B6738" s="6">
        <v>0.11688311688311601</v>
      </c>
      <c r="C6738" s="6">
        <v>0.30475574247816201</v>
      </c>
    </row>
    <row r="6739" spans="1:3" s="8" customFormat="1" x14ac:dyDescent="0.2">
      <c r="A6739" s="6" t="str">
        <f>"GPC4"</f>
        <v>GPC4</v>
      </c>
      <c r="B6739" s="6">
        <v>0.11688311688311601</v>
      </c>
      <c r="C6739" s="6">
        <v>0.30475574247816201</v>
      </c>
    </row>
    <row r="6740" spans="1:3" s="8" customFormat="1" x14ac:dyDescent="0.2">
      <c r="A6740" s="6" t="str">
        <f>"GNAI1"</f>
        <v>GNAI1</v>
      </c>
      <c r="B6740" s="6">
        <v>0.11688311688311601</v>
      </c>
      <c r="C6740" s="6">
        <v>0.30475574247816201</v>
      </c>
    </row>
    <row r="6741" spans="1:3" s="8" customFormat="1" x14ac:dyDescent="0.2">
      <c r="A6741" s="6" t="str">
        <f>"MTF1"</f>
        <v>MTF1</v>
      </c>
      <c r="B6741" s="6">
        <v>0.11688311688311601</v>
      </c>
      <c r="C6741" s="6">
        <v>0.30475574247816201</v>
      </c>
    </row>
    <row r="6742" spans="1:3" s="8" customFormat="1" x14ac:dyDescent="0.2">
      <c r="A6742" s="6" t="str">
        <f>"TMC6"</f>
        <v>TMC6</v>
      </c>
      <c r="B6742" s="6">
        <v>0.11688311688311601</v>
      </c>
      <c r="C6742" s="6">
        <v>0.30475574247816201</v>
      </c>
    </row>
    <row r="6743" spans="1:3" s="8" customFormat="1" x14ac:dyDescent="0.2">
      <c r="A6743" s="6" t="str">
        <f>"HSPG2"</f>
        <v>HSPG2</v>
      </c>
      <c r="B6743" s="6">
        <v>0.11688311688311601</v>
      </c>
      <c r="C6743" s="6">
        <v>0.30475574247816201</v>
      </c>
    </row>
    <row r="6744" spans="1:3" s="8" customFormat="1" x14ac:dyDescent="0.2">
      <c r="A6744" s="6" t="str">
        <f>"SLC15A2"</f>
        <v>SLC15A2</v>
      </c>
      <c r="B6744" s="6">
        <v>0.11688311688311601</v>
      </c>
      <c r="C6744" s="6">
        <v>0.30475574247816201</v>
      </c>
    </row>
    <row r="6745" spans="1:3" s="8" customFormat="1" x14ac:dyDescent="0.2">
      <c r="A6745" s="6" t="str">
        <f>"DDB1"</f>
        <v>DDB1</v>
      </c>
      <c r="B6745" s="6">
        <v>0.11688311688311601</v>
      </c>
      <c r="C6745" s="6">
        <v>0.30475574247816201</v>
      </c>
    </row>
    <row r="6746" spans="1:3" s="8" customFormat="1" x14ac:dyDescent="0.2">
      <c r="A6746" s="6" t="str">
        <f>"AL513190.1"</f>
        <v>AL513190.1</v>
      </c>
      <c r="B6746" s="6">
        <v>0.11700000000000001</v>
      </c>
      <c r="C6746" s="6">
        <v>0.30501527057079297</v>
      </c>
    </row>
    <row r="6747" spans="1:3" s="8" customFormat="1" x14ac:dyDescent="0.2">
      <c r="A6747" s="6" t="str">
        <f>"AC008481.2"</f>
        <v>AC008481.2</v>
      </c>
      <c r="B6747" s="6">
        <v>0.11722731906218101</v>
      </c>
      <c r="C6747" s="6">
        <v>0.30556258203222603</v>
      </c>
    </row>
    <row r="6748" spans="1:3" s="8" customFormat="1" x14ac:dyDescent="0.2">
      <c r="A6748" s="6" t="str">
        <f>"AC236668.1"</f>
        <v>AC236668.1</v>
      </c>
      <c r="B6748" s="6">
        <v>0.117882117882117</v>
      </c>
      <c r="C6748" s="6">
        <v>0.30631582101952998</v>
      </c>
    </row>
    <row r="6749" spans="1:3" s="8" customFormat="1" x14ac:dyDescent="0.2">
      <c r="A6749" s="6" t="str">
        <f>"AC051619.4"</f>
        <v>AC051619.4</v>
      </c>
      <c r="B6749" s="6">
        <v>0.117882117882117</v>
      </c>
      <c r="C6749" s="6">
        <v>0.30631582101952998</v>
      </c>
    </row>
    <row r="6750" spans="1:3" s="8" customFormat="1" x14ac:dyDescent="0.2">
      <c r="A6750" s="6" t="str">
        <f>"ST6GALNAC3"</f>
        <v>ST6GALNAC3</v>
      </c>
      <c r="B6750" s="6">
        <v>0.117882117882117</v>
      </c>
      <c r="C6750" s="6">
        <v>0.30631582101952998</v>
      </c>
    </row>
    <row r="6751" spans="1:3" s="8" customFormat="1" x14ac:dyDescent="0.2">
      <c r="A6751" s="6" t="str">
        <f>"LAMA1"</f>
        <v>LAMA1</v>
      </c>
      <c r="B6751" s="6">
        <v>0.117882117882117</v>
      </c>
      <c r="C6751" s="6">
        <v>0.30631582101952998</v>
      </c>
    </row>
    <row r="6752" spans="1:3" s="8" customFormat="1" x14ac:dyDescent="0.2">
      <c r="A6752" s="6" t="str">
        <f>"AC115223.1"</f>
        <v>AC115223.1</v>
      </c>
      <c r="B6752" s="6">
        <v>0.117882117882117</v>
      </c>
      <c r="C6752" s="6">
        <v>0.30631582101952998</v>
      </c>
    </row>
    <row r="6753" spans="1:3" s="8" customFormat="1" x14ac:dyDescent="0.2">
      <c r="A6753" s="6" t="str">
        <f>"FAM20C"</f>
        <v>FAM20C</v>
      </c>
      <c r="B6753" s="6">
        <v>0.117882117882117</v>
      </c>
      <c r="C6753" s="6">
        <v>0.30631582101952998</v>
      </c>
    </row>
    <row r="6754" spans="1:3" s="8" customFormat="1" x14ac:dyDescent="0.2">
      <c r="A6754" s="6" t="str">
        <f>"RNASEH2C"</f>
        <v>RNASEH2C</v>
      </c>
      <c r="B6754" s="6">
        <v>0.117882117882117</v>
      </c>
      <c r="C6754" s="6">
        <v>0.30631582101952998</v>
      </c>
    </row>
    <row r="6755" spans="1:3" s="8" customFormat="1" x14ac:dyDescent="0.2">
      <c r="A6755" s="6" t="str">
        <f>"TRIM34"</f>
        <v>TRIM34</v>
      </c>
      <c r="B6755" s="6">
        <v>0.117882117882117</v>
      </c>
      <c r="C6755" s="6">
        <v>0.30631582101952998</v>
      </c>
    </row>
    <row r="6756" spans="1:3" s="8" customFormat="1" x14ac:dyDescent="0.2">
      <c r="A6756" s="6" t="str">
        <f>"KIAA0895L"</f>
        <v>KIAA0895L</v>
      </c>
      <c r="B6756" s="6">
        <v>0.117882117882117</v>
      </c>
      <c r="C6756" s="6">
        <v>0.30631582101952998</v>
      </c>
    </row>
    <row r="6757" spans="1:3" s="8" customFormat="1" x14ac:dyDescent="0.2">
      <c r="A6757" s="6" t="str">
        <f>"LINC02503"</f>
        <v>LINC02503</v>
      </c>
      <c r="B6757" s="6">
        <v>0.117882117882117</v>
      </c>
      <c r="C6757" s="6">
        <v>0.30631582101952998</v>
      </c>
    </row>
    <row r="6758" spans="1:3" s="8" customFormat="1" x14ac:dyDescent="0.2">
      <c r="A6758" s="6" t="str">
        <f>"GAS6"</f>
        <v>GAS6</v>
      </c>
      <c r="B6758" s="6">
        <v>0.117882117882117</v>
      </c>
      <c r="C6758" s="6">
        <v>0.30631582101952998</v>
      </c>
    </row>
    <row r="6759" spans="1:3" s="8" customFormat="1" x14ac:dyDescent="0.2">
      <c r="A6759" s="6" t="str">
        <f>"ZHX3"</f>
        <v>ZHX3</v>
      </c>
      <c r="B6759" s="6">
        <v>0.117882117882117</v>
      </c>
      <c r="C6759" s="6">
        <v>0.30631582101952998</v>
      </c>
    </row>
    <row r="6760" spans="1:3" s="8" customFormat="1" x14ac:dyDescent="0.2">
      <c r="A6760" s="6" t="str">
        <f>"PDHX"</f>
        <v>PDHX</v>
      </c>
      <c r="B6760" s="6">
        <v>0.117882117882117</v>
      </c>
      <c r="C6760" s="6">
        <v>0.30631582101952998</v>
      </c>
    </row>
    <row r="6761" spans="1:3" s="8" customFormat="1" x14ac:dyDescent="0.2">
      <c r="A6761" s="6" t="str">
        <f>"NGLY1"</f>
        <v>NGLY1</v>
      </c>
      <c r="B6761" s="6">
        <v>0.117882117882117</v>
      </c>
      <c r="C6761" s="6">
        <v>0.30631582101952998</v>
      </c>
    </row>
    <row r="6762" spans="1:3" s="8" customFormat="1" x14ac:dyDescent="0.2">
      <c r="A6762" s="6" t="str">
        <f>"UTP6"</f>
        <v>UTP6</v>
      </c>
      <c r="B6762" s="6">
        <v>0.117882117882117</v>
      </c>
      <c r="C6762" s="6">
        <v>0.30631582101952998</v>
      </c>
    </row>
    <row r="6763" spans="1:3" s="8" customFormat="1" x14ac:dyDescent="0.2">
      <c r="A6763" s="6" t="str">
        <f>"SLCO4C1"</f>
        <v>SLCO4C1</v>
      </c>
      <c r="B6763" s="6">
        <v>0.117882117882117</v>
      </c>
      <c r="C6763" s="6">
        <v>0.30631582101952998</v>
      </c>
    </row>
    <row r="6764" spans="1:3" s="8" customFormat="1" x14ac:dyDescent="0.2">
      <c r="A6764" s="6" t="str">
        <f>"UBR2"</f>
        <v>UBR2</v>
      </c>
      <c r="B6764" s="6">
        <v>0.117882117882117</v>
      </c>
      <c r="C6764" s="6">
        <v>0.30631582101952998</v>
      </c>
    </row>
    <row r="6765" spans="1:3" s="8" customFormat="1" x14ac:dyDescent="0.2">
      <c r="A6765" s="6" t="str">
        <f>"SRSF4"</f>
        <v>SRSF4</v>
      </c>
      <c r="B6765" s="6">
        <v>0.117882117882117</v>
      </c>
      <c r="C6765" s="6">
        <v>0.30631582101952998</v>
      </c>
    </row>
    <row r="6766" spans="1:3" s="8" customFormat="1" x14ac:dyDescent="0.2">
      <c r="A6766" s="6" t="str">
        <f>"SPAG17"</f>
        <v>SPAG17</v>
      </c>
      <c r="B6766" s="6">
        <v>0.117882117882117</v>
      </c>
      <c r="C6766" s="6">
        <v>0.30631582101952998</v>
      </c>
    </row>
    <row r="6767" spans="1:3" s="8" customFormat="1" x14ac:dyDescent="0.2">
      <c r="A6767" s="6" t="str">
        <f>"HLA-DPA1"</f>
        <v>HLA-DPA1</v>
      </c>
      <c r="B6767" s="6">
        <v>0.117882117882117</v>
      </c>
      <c r="C6767" s="6">
        <v>0.30631582101952998</v>
      </c>
    </row>
    <row r="6768" spans="1:3" s="8" customFormat="1" x14ac:dyDescent="0.2">
      <c r="A6768" s="6" t="str">
        <f>"CCDC170"</f>
        <v>CCDC170</v>
      </c>
      <c r="B6768" s="6">
        <v>0.117882117882117</v>
      </c>
      <c r="C6768" s="6">
        <v>0.30631582101952998</v>
      </c>
    </row>
    <row r="6769" spans="1:3" s="8" customFormat="1" x14ac:dyDescent="0.2">
      <c r="A6769" s="6" t="str">
        <f>"VPREB3"</f>
        <v>VPREB3</v>
      </c>
      <c r="B6769" s="6">
        <v>0.11888111888111801</v>
      </c>
      <c r="C6769" s="6">
        <v>0.307865330545742</v>
      </c>
    </row>
    <row r="6770" spans="1:3" s="8" customFormat="1" x14ac:dyDescent="0.2">
      <c r="A6770" s="6" t="str">
        <f>"AC241377.2"</f>
        <v>AC241377.2</v>
      </c>
      <c r="B6770" s="6">
        <v>0.11888111888111801</v>
      </c>
      <c r="C6770" s="6">
        <v>0.307865330545742</v>
      </c>
    </row>
    <row r="6771" spans="1:3" s="8" customFormat="1" x14ac:dyDescent="0.2">
      <c r="A6771" s="6" t="str">
        <f>"AC098820.1"</f>
        <v>AC098820.1</v>
      </c>
      <c r="B6771" s="6">
        <v>0.11888111888111801</v>
      </c>
      <c r="C6771" s="6">
        <v>0.307865330545742</v>
      </c>
    </row>
    <row r="6772" spans="1:3" s="8" customFormat="1" x14ac:dyDescent="0.2">
      <c r="A6772" s="6" t="str">
        <f>"SENP3-EIF4A1"</f>
        <v>SENP3-EIF4A1</v>
      </c>
      <c r="B6772" s="6">
        <v>0.11888111888111801</v>
      </c>
      <c r="C6772" s="6">
        <v>0.307865330545742</v>
      </c>
    </row>
    <row r="6773" spans="1:3" s="8" customFormat="1" x14ac:dyDescent="0.2">
      <c r="A6773" s="6" t="str">
        <f>"AC114490.3"</f>
        <v>AC114490.3</v>
      </c>
      <c r="B6773" s="6">
        <v>0.11888111888111801</v>
      </c>
      <c r="C6773" s="6">
        <v>0.307865330545742</v>
      </c>
    </row>
    <row r="6774" spans="1:3" s="8" customFormat="1" x14ac:dyDescent="0.2">
      <c r="A6774" s="6" t="str">
        <f>"LY86"</f>
        <v>LY86</v>
      </c>
      <c r="B6774" s="6">
        <v>0.11888111888111801</v>
      </c>
      <c r="C6774" s="6">
        <v>0.307865330545742</v>
      </c>
    </row>
    <row r="6775" spans="1:3" s="8" customFormat="1" x14ac:dyDescent="0.2">
      <c r="A6775" s="6" t="str">
        <f>"ZNF460"</f>
        <v>ZNF460</v>
      </c>
      <c r="B6775" s="6">
        <v>0.11888111888111801</v>
      </c>
      <c r="C6775" s="6">
        <v>0.307865330545742</v>
      </c>
    </row>
    <row r="6776" spans="1:3" s="8" customFormat="1" x14ac:dyDescent="0.2">
      <c r="A6776" s="6" t="str">
        <f>"RMDN2"</f>
        <v>RMDN2</v>
      </c>
      <c r="B6776" s="6">
        <v>0.11888111888111801</v>
      </c>
      <c r="C6776" s="6">
        <v>0.307865330545742</v>
      </c>
    </row>
    <row r="6777" spans="1:3" s="8" customFormat="1" x14ac:dyDescent="0.2">
      <c r="A6777" s="6" t="str">
        <f>"ELAPOR2"</f>
        <v>ELAPOR2</v>
      </c>
      <c r="B6777" s="6">
        <v>0.11888111888111801</v>
      </c>
      <c r="C6777" s="6">
        <v>0.307865330545742</v>
      </c>
    </row>
    <row r="6778" spans="1:3" s="8" customFormat="1" x14ac:dyDescent="0.2">
      <c r="A6778" s="6" t="str">
        <f>"SNHG1"</f>
        <v>SNHG1</v>
      </c>
      <c r="B6778" s="6">
        <v>0.11888111888111801</v>
      </c>
      <c r="C6778" s="6">
        <v>0.307865330545742</v>
      </c>
    </row>
    <row r="6779" spans="1:3" s="8" customFormat="1" x14ac:dyDescent="0.2">
      <c r="A6779" s="6" t="str">
        <f>"AC005562.1"</f>
        <v>AC005562.1</v>
      </c>
      <c r="B6779" s="6">
        <v>0.11888111888111801</v>
      </c>
      <c r="C6779" s="6">
        <v>0.307865330545742</v>
      </c>
    </row>
    <row r="6780" spans="1:3" s="8" customFormat="1" x14ac:dyDescent="0.2">
      <c r="A6780" s="6" t="str">
        <f>"CPSF4"</f>
        <v>CPSF4</v>
      </c>
      <c r="B6780" s="6">
        <v>0.11888111888111801</v>
      </c>
      <c r="C6780" s="6">
        <v>0.307865330545742</v>
      </c>
    </row>
    <row r="6781" spans="1:3" s="8" customFormat="1" x14ac:dyDescent="0.2">
      <c r="A6781" s="6" t="str">
        <f>"POLL"</f>
        <v>POLL</v>
      </c>
      <c r="B6781" s="6">
        <v>0.11888111888111801</v>
      </c>
      <c r="C6781" s="6">
        <v>0.307865330545742</v>
      </c>
    </row>
    <row r="6782" spans="1:3" s="8" customFormat="1" x14ac:dyDescent="0.2">
      <c r="A6782" s="6" t="str">
        <f>"ARMC6"</f>
        <v>ARMC6</v>
      </c>
      <c r="B6782" s="6">
        <v>0.11888111888111801</v>
      </c>
      <c r="C6782" s="6">
        <v>0.307865330545742</v>
      </c>
    </row>
    <row r="6783" spans="1:3" s="8" customFormat="1" x14ac:dyDescent="0.2">
      <c r="A6783" s="6" t="str">
        <f>"PMS2"</f>
        <v>PMS2</v>
      </c>
      <c r="B6783" s="6">
        <v>0.11888111888111801</v>
      </c>
      <c r="C6783" s="6">
        <v>0.307865330545742</v>
      </c>
    </row>
    <row r="6784" spans="1:3" s="8" customFormat="1" x14ac:dyDescent="0.2">
      <c r="A6784" s="6" t="str">
        <f>"TUT4"</f>
        <v>TUT4</v>
      </c>
      <c r="B6784" s="6">
        <v>0.11888111888111801</v>
      </c>
      <c r="C6784" s="6">
        <v>0.307865330545742</v>
      </c>
    </row>
    <row r="6785" spans="1:3" s="8" customFormat="1" x14ac:dyDescent="0.2">
      <c r="A6785" s="6" t="str">
        <f>"PRPF3"</f>
        <v>PRPF3</v>
      </c>
      <c r="B6785" s="6">
        <v>0.11888111888111801</v>
      </c>
      <c r="C6785" s="6">
        <v>0.307865330545742</v>
      </c>
    </row>
    <row r="6786" spans="1:3" s="8" customFormat="1" x14ac:dyDescent="0.2">
      <c r="A6786" s="6" t="str">
        <f>"USP36"</f>
        <v>USP36</v>
      </c>
      <c r="B6786" s="6">
        <v>0.11888111888111801</v>
      </c>
      <c r="C6786" s="6">
        <v>0.307865330545742</v>
      </c>
    </row>
    <row r="6787" spans="1:3" s="8" customFormat="1" x14ac:dyDescent="0.2">
      <c r="A6787" s="6" t="str">
        <f>"SLC33A1"</f>
        <v>SLC33A1</v>
      </c>
      <c r="B6787" s="6">
        <v>0.11888111888111801</v>
      </c>
      <c r="C6787" s="6">
        <v>0.307865330545742</v>
      </c>
    </row>
    <row r="6788" spans="1:3" s="8" customFormat="1" x14ac:dyDescent="0.2">
      <c r="A6788" s="6" t="str">
        <f>"THOC2"</f>
        <v>THOC2</v>
      </c>
      <c r="B6788" s="6">
        <v>0.11888111888111801</v>
      </c>
      <c r="C6788" s="6">
        <v>0.307865330545742</v>
      </c>
    </row>
    <row r="6789" spans="1:3" s="8" customFormat="1" x14ac:dyDescent="0.2">
      <c r="A6789" s="6" t="str">
        <f>"CKAP5"</f>
        <v>CKAP5</v>
      </c>
      <c r="B6789" s="6">
        <v>0.11888111888111801</v>
      </c>
      <c r="C6789" s="6">
        <v>0.307865330545742</v>
      </c>
    </row>
    <row r="6790" spans="1:3" s="8" customFormat="1" x14ac:dyDescent="0.2">
      <c r="A6790" s="6" t="str">
        <f>"SLC9A1"</f>
        <v>SLC9A1</v>
      </c>
      <c r="B6790" s="6">
        <v>0.11888111888111801</v>
      </c>
      <c r="C6790" s="6">
        <v>0.307865330545742</v>
      </c>
    </row>
    <row r="6791" spans="1:3" s="8" customFormat="1" x14ac:dyDescent="0.2">
      <c r="A6791" s="6" t="str">
        <f>"GOLGA2P7"</f>
        <v>GOLGA2P7</v>
      </c>
      <c r="B6791" s="6">
        <v>0.11888111888111801</v>
      </c>
      <c r="C6791" s="6">
        <v>0.307865330545742</v>
      </c>
    </row>
    <row r="6792" spans="1:3" s="8" customFormat="1" x14ac:dyDescent="0.2">
      <c r="A6792" s="6" t="str">
        <f>"CCDC144CP"</f>
        <v>CCDC144CP</v>
      </c>
      <c r="B6792" s="6">
        <v>0.11899999999999999</v>
      </c>
      <c r="C6792" s="6">
        <v>0.30794643119941101</v>
      </c>
    </row>
    <row r="6793" spans="1:3" s="8" customFormat="1" x14ac:dyDescent="0.2">
      <c r="A6793" s="6" t="str">
        <f>"ABCA10"</f>
        <v>ABCA10</v>
      </c>
      <c r="B6793" s="6">
        <v>0.11899999999999999</v>
      </c>
      <c r="C6793" s="6">
        <v>0.30794643119941101</v>
      </c>
    </row>
    <row r="6794" spans="1:3" s="8" customFormat="1" x14ac:dyDescent="0.2">
      <c r="A6794" s="6" t="str">
        <f>"SBNO1-AS1"</f>
        <v>SBNO1-AS1</v>
      </c>
      <c r="B6794" s="6">
        <v>0.11899999999999999</v>
      </c>
      <c r="C6794" s="6">
        <v>0.30794643119941101</v>
      </c>
    </row>
    <row r="6795" spans="1:3" s="8" customFormat="1" x14ac:dyDescent="0.2">
      <c r="A6795" s="6" t="str">
        <f>"AC005034.6"</f>
        <v>AC005034.6</v>
      </c>
      <c r="B6795" s="6">
        <v>0.11899999999999999</v>
      </c>
      <c r="C6795" s="6">
        <v>0.30794643119941101</v>
      </c>
    </row>
    <row r="6796" spans="1:3" s="8" customFormat="1" x14ac:dyDescent="0.2">
      <c r="A6796" s="6" t="str">
        <f>"DPY30"</f>
        <v>DPY30</v>
      </c>
      <c r="B6796" s="6">
        <v>0.11899999999999999</v>
      </c>
      <c r="C6796" s="6">
        <v>0.30794643119941101</v>
      </c>
    </row>
    <row r="6797" spans="1:3" s="8" customFormat="1" x14ac:dyDescent="0.2">
      <c r="A6797" s="6" t="str">
        <f>"AL512603.2"</f>
        <v>AL512603.2</v>
      </c>
      <c r="B6797" s="6">
        <v>0.119880119880119</v>
      </c>
      <c r="C6797" s="6">
        <v>0.309041493618535</v>
      </c>
    </row>
    <row r="6798" spans="1:3" s="8" customFormat="1" x14ac:dyDescent="0.2">
      <c r="A6798" s="6" t="str">
        <f>"COL15A1"</f>
        <v>COL15A1</v>
      </c>
      <c r="B6798" s="6">
        <v>0.119880119880119</v>
      </c>
      <c r="C6798" s="6">
        <v>0.309041493618535</v>
      </c>
    </row>
    <row r="6799" spans="1:3" s="8" customFormat="1" x14ac:dyDescent="0.2">
      <c r="A6799" s="6" t="str">
        <f>"DDN"</f>
        <v>DDN</v>
      </c>
      <c r="B6799" s="6">
        <v>0.119880119880119</v>
      </c>
      <c r="C6799" s="6">
        <v>0.309041493618535</v>
      </c>
    </row>
    <row r="6800" spans="1:3" s="8" customFormat="1" x14ac:dyDescent="0.2">
      <c r="A6800" s="6" t="str">
        <f>"AC092745.2"</f>
        <v>AC092745.2</v>
      </c>
      <c r="B6800" s="6">
        <v>0.119880119880119</v>
      </c>
      <c r="C6800" s="6">
        <v>0.309041493618535</v>
      </c>
    </row>
    <row r="6801" spans="1:3" s="8" customFormat="1" x14ac:dyDescent="0.2">
      <c r="A6801" s="6" t="str">
        <f>"AC078883.1"</f>
        <v>AC078883.1</v>
      </c>
      <c r="B6801" s="6">
        <v>0.119880119880119</v>
      </c>
      <c r="C6801" s="6">
        <v>0.309041493618535</v>
      </c>
    </row>
    <row r="6802" spans="1:3" s="8" customFormat="1" x14ac:dyDescent="0.2">
      <c r="A6802" s="6" t="str">
        <f>"AC034231.1"</f>
        <v>AC034231.1</v>
      </c>
      <c r="B6802" s="6">
        <v>0.119880119880119</v>
      </c>
      <c r="C6802" s="6">
        <v>0.309041493618535</v>
      </c>
    </row>
    <row r="6803" spans="1:3" s="8" customFormat="1" x14ac:dyDescent="0.2">
      <c r="A6803" s="6" t="str">
        <f>"BX640514.2"</f>
        <v>BX640514.2</v>
      </c>
      <c r="B6803" s="6">
        <v>0.119880119880119</v>
      </c>
      <c r="C6803" s="6">
        <v>0.309041493618535</v>
      </c>
    </row>
    <row r="6804" spans="1:3" s="8" customFormat="1" x14ac:dyDescent="0.2">
      <c r="A6804" s="6" t="str">
        <f>"SCG2"</f>
        <v>SCG2</v>
      </c>
      <c r="B6804" s="6">
        <v>0.119880119880119</v>
      </c>
      <c r="C6804" s="6">
        <v>0.309041493618535</v>
      </c>
    </row>
    <row r="6805" spans="1:3" s="8" customFormat="1" x14ac:dyDescent="0.2">
      <c r="A6805" s="6" t="str">
        <f>"ZNF433-AS1"</f>
        <v>ZNF433-AS1</v>
      </c>
      <c r="B6805" s="6">
        <v>0.119880119880119</v>
      </c>
      <c r="C6805" s="6">
        <v>0.309041493618535</v>
      </c>
    </row>
    <row r="6806" spans="1:3" s="8" customFormat="1" x14ac:dyDescent="0.2">
      <c r="A6806" s="6" t="str">
        <f>"ZNF132"</f>
        <v>ZNF132</v>
      </c>
      <c r="B6806" s="6">
        <v>0.119880119880119</v>
      </c>
      <c r="C6806" s="6">
        <v>0.309041493618535</v>
      </c>
    </row>
    <row r="6807" spans="1:3" s="8" customFormat="1" x14ac:dyDescent="0.2">
      <c r="A6807" s="6" t="str">
        <f>"ZNF529"</f>
        <v>ZNF529</v>
      </c>
      <c r="B6807" s="6">
        <v>0.119880119880119</v>
      </c>
      <c r="C6807" s="6">
        <v>0.309041493618535</v>
      </c>
    </row>
    <row r="6808" spans="1:3" s="8" customFormat="1" x14ac:dyDescent="0.2">
      <c r="A6808" s="6" t="str">
        <f>"C3orf52"</f>
        <v>C3orf52</v>
      </c>
      <c r="B6808" s="6">
        <v>0.119880119880119</v>
      </c>
      <c r="C6808" s="6">
        <v>0.309041493618535</v>
      </c>
    </row>
    <row r="6809" spans="1:3" s="8" customFormat="1" x14ac:dyDescent="0.2">
      <c r="A6809" s="6" t="str">
        <f>"RHBDD3"</f>
        <v>RHBDD3</v>
      </c>
      <c r="B6809" s="6">
        <v>0.119880119880119</v>
      </c>
      <c r="C6809" s="6">
        <v>0.309041493618535</v>
      </c>
    </row>
    <row r="6810" spans="1:3" s="8" customFormat="1" x14ac:dyDescent="0.2">
      <c r="A6810" s="6" t="str">
        <f>"LIN54"</f>
        <v>LIN54</v>
      </c>
      <c r="B6810" s="6">
        <v>0.119880119880119</v>
      </c>
      <c r="C6810" s="6">
        <v>0.309041493618535</v>
      </c>
    </row>
    <row r="6811" spans="1:3" s="8" customFormat="1" x14ac:dyDescent="0.2">
      <c r="A6811" s="6" t="str">
        <f>"NBPF12"</f>
        <v>NBPF12</v>
      </c>
      <c r="B6811" s="6">
        <v>0.119880119880119</v>
      </c>
      <c r="C6811" s="6">
        <v>0.309041493618535</v>
      </c>
    </row>
    <row r="6812" spans="1:3" s="8" customFormat="1" x14ac:dyDescent="0.2">
      <c r="A6812" s="6" t="str">
        <f>"KIAA2026"</f>
        <v>KIAA2026</v>
      </c>
      <c r="B6812" s="6">
        <v>0.119880119880119</v>
      </c>
      <c r="C6812" s="6">
        <v>0.309041493618535</v>
      </c>
    </row>
    <row r="6813" spans="1:3" s="8" customFormat="1" x14ac:dyDescent="0.2">
      <c r="A6813" s="6" t="str">
        <f>"LIG1"</f>
        <v>LIG1</v>
      </c>
      <c r="B6813" s="6">
        <v>0.119880119880119</v>
      </c>
      <c r="C6813" s="6">
        <v>0.309041493618535</v>
      </c>
    </row>
    <row r="6814" spans="1:3" s="8" customFormat="1" x14ac:dyDescent="0.2">
      <c r="A6814" s="6" t="str">
        <f>"MTIF2"</f>
        <v>MTIF2</v>
      </c>
      <c r="B6814" s="6">
        <v>0.119880119880119</v>
      </c>
      <c r="C6814" s="6">
        <v>0.309041493618535</v>
      </c>
    </row>
    <row r="6815" spans="1:3" s="8" customFormat="1" x14ac:dyDescent="0.2">
      <c r="A6815" s="6" t="str">
        <f>"POLR1A"</f>
        <v>POLR1A</v>
      </c>
      <c r="B6815" s="6">
        <v>0.119880119880119</v>
      </c>
      <c r="C6815" s="6">
        <v>0.309041493618535</v>
      </c>
    </row>
    <row r="6816" spans="1:3" s="8" customFormat="1" x14ac:dyDescent="0.2">
      <c r="A6816" s="6" t="str">
        <f>"RBFOX2"</f>
        <v>RBFOX2</v>
      </c>
      <c r="B6816" s="6">
        <v>0.119880119880119</v>
      </c>
      <c r="C6816" s="6">
        <v>0.309041493618535</v>
      </c>
    </row>
    <row r="6817" spans="1:3" s="8" customFormat="1" x14ac:dyDescent="0.2">
      <c r="A6817" s="6" t="str">
        <f>"HDAC5"</f>
        <v>HDAC5</v>
      </c>
      <c r="B6817" s="6">
        <v>0.119880119880119</v>
      </c>
      <c r="C6817" s="6">
        <v>0.309041493618535</v>
      </c>
    </row>
    <row r="6818" spans="1:3" s="8" customFormat="1" x14ac:dyDescent="0.2">
      <c r="A6818" s="6" t="str">
        <f>"JMJD8"</f>
        <v>JMJD8</v>
      </c>
      <c r="B6818" s="6">
        <v>0.119880119880119</v>
      </c>
      <c r="C6818" s="6">
        <v>0.309041493618535</v>
      </c>
    </row>
    <row r="6819" spans="1:3" s="8" customFormat="1" x14ac:dyDescent="0.2">
      <c r="A6819" s="6" t="str">
        <f>"DNAI1"</f>
        <v>DNAI1</v>
      </c>
      <c r="B6819" s="6">
        <v>0.119880119880119</v>
      </c>
      <c r="C6819" s="6">
        <v>0.309041493618535</v>
      </c>
    </row>
    <row r="6820" spans="1:3" s="8" customFormat="1" x14ac:dyDescent="0.2">
      <c r="A6820" s="6" t="str">
        <f>"KMT2E"</f>
        <v>KMT2E</v>
      </c>
      <c r="B6820" s="6">
        <v>0.119880119880119</v>
      </c>
      <c r="C6820" s="6">
        <v>0.309041493618535</v>
      </c>
    </row>
    <row r="6821" spans="1:3" s="8" customFormat="1" x14ac:dyDescent="0.2">
      <c r="A6821" s="6" t="str">
        <f>"PYGL"</f>
        <v>PYGL</v>
      </c>
      <c r="B6821" s="6">
        <v>0.119880119880119</v>
      </c>
      <c r="C6821" s="6">
        <v>0.309041493618535</v>
      </c>
    </row>
    <row r="6822" spans="1:3" s="8" customFormat="1" x14ac:dyDescent="0.2">
      <c r="A6822" s="6" t="str">
        <f>"RNF10"</f>
        <v>RNF10</v>
      </c>
      <c r="B6822" s="6">
        <v>0.119880119880119</v>
      </c>
      <c r="C6822" s="6">
        <v>0.309041493618535</v>
      </c>
    </row>
    <row r="6823" spans="1:3" s="8" customFormat="1" x14ac:dyDescent="0.2">
      <c r="A6823" s="6" t="str">
        <f>"AC012378.2"</f>
        <v>AC012378.2</v>
      </c>
      <c r="B6823" s="6">
        <v>0.12</v>
      </c>
      <c r="C6823" s="6">
        <v>0.309259856368166</v>
      </c>
    </row>
    <row r="6824" spans="1:3" s="8" customFormat="1" x14ac:dyDescent="0.2">
      <c r="A6824" s="6" t="str">
        <f>"AC010894.1"</f>
        <v>AC010894.1</v>
      </c>
      <c r="B6824" s="6">
        <v>0.12</v>
      </c>
      <c r="C6824" s="6">
        <v>0.309259856368166</v>
      </c>
    </row>
    <row r="6825" spans="1:3" s="8" customFormat="1" x14ac:dyDescent="0.2">
      <c r="A6825" s="6" t="str">
        <f>"AL138976.2"</f>
        <v>AL138976.2</v>
      </c>
      <c r="B6825" s="6">
        <v>0.12012012012011999</v>
      </c>
      <c r="C6825" s="6">
        <v>0.30952406098947699</v>
      </c>
    </row>
    <row r="6826" spans="1:3" s="8" customFormat="1" x14ac:dyDescent="0.2">
      <c r="A6826" s="6" t="str">
        <f>"AC000085.1"</f>
        <v>AC000085.1</v>
      </c>
      <c r="B6826" s="6">
        <v>0.120855614973262</v>
      </c>
      <c r="C6826" s="6">
        <v>0.31047888716600303</v>
      </c>
    </row>
    <row r="6827" spans="1:3" s="8" customFormat="1" x14ac:dyDescent="0.2">
      <c r="A6827" s="6" t="str">
        <f>"AC018467.1"</f>
        <v>AC018467.1</v>
      </c>
      <c r="B6827" s="6">
        <v>0.12087912087912001</v>
      </c>
      <c r="C6827" s="6">
        <v>0.31047888716600303</v>
      </c>
    </row>
    <row r="6828" spans="1:3" s="8" customFormat="1" x14ac:dyDescent="0.2">
      <c r="A6828" s="6" t="str">
        <f>"AL139349.1"</f>
        <v>AL139349.1</v>
      </c>
      <c r="B6828" s="6">
        <v>0.12084592145015099</v>
      </c>
      <c r="C6828" s="6">
        <v>0.31047888716600303</v>
      </c>
    </row>
    <row r="6829" spans="1:3" s="8" customFormat="1" x14ac:dyDescent="0.2">
      <c r="A6829" s="6" t="str">
        <f>"AC112487.1"</f>
        <v>AC112487.1</v>
      </c>
      <c r="B6829" s="6">
        <v>0.12087912087912001</v>
      </c>
      <c r="C6829" s="6">
        <v>0.31047888716600303</v>
      </c>
    </row>
    <row r="6830" spans="1:3" s="8" customFormat="1" x14ac:dyDescent="0.2">
      <c r="A6830" s="6" t="str">
        <f>"AC034154.1"</f>
        <v>AC034154.1</v>
      </c>
      <c r="B6830" s="6">
        <v>0.12087912087912001</v>
      </c>
      <c r="C6830" s="6">
        <v>0.31047888716600303</v>
      </c>
    </row>
    <row r="6831" spans="1:3" s="8" customFormat="1" x14ac:dyDescent="0.2">
      <c r="A6831" s="6" t="str">
        <f>"AC139495.1"</f>
        <v>AC139495.1</v>
      </c>
      <c r="B6831" s="6">
        <v>0.12087912087912001</v>
      </c>
      <c r="C6831" s="6">
        <v>0.31047888716600303</v>
      </c>
    </row>
    <row r="6832" spans="1:3" s="8" customFormat="1" x14ac:dyDescent="0.2">
      <c r="A6832" s="6" t="str">
        <f>"XKR9"</f>
        <v>XKR9</v>
      </c>
      <c r="B6832" s="6">
        <v>0.12087912087912001</v>
      </c>
      <c r="C6832" s="6">
        <v>0.31047888716600303</v>
      </c>
    </row>
    <row r="6833" spans="1:3" s="8" customFormat="1" x14ac:dyDescent="0.2">
      <c r="A6833" s="6" t="str">
        <f>"RMRP"</f>
        <v>RMRP</v>
      </c>
      <c r="B6833" s="6">
        <v>0.12087912087912001</v>
      </c>
      <c r="C6833" s="6">
        <v>0.31047888716600303</v>
      </c>
    </row>
    <row r="6834" spans="1:3" s="8" customFormat="1" x14ac:dyDescent="0.2">
      <c r="A6834" s="6" t="str">
        <f>"Z99572.1"</f>
        <v>Z99572.1</v>
      </c>
      <c r="B6834" s="6">
        <v>0.12087912087912001</v>
      </c>
      <c r="C6834" s="6">
        <v>0.31047888716600303</v>
      </c>
    </row>
    <row r="6835" spans="1:3" s="8" customFormat="1" x14ac:dyDescent="0.2">
      <c r="A6835" s="6" t="str">
        <f>"AP002026.1"</f>
        <v>AP002026.1</v>
      </c>
      <c r="B6835" s="6">
        <v>0.12087912087912001</v>
      </c>
      <c r="C6835" s="6">
        <v>0.31047888716600303</v>
      </c>
    </row>
    <row r="6836" spans="1:3" s="8" customFormat="1" x14ac:dyDescent="0.2">
      <c r="A6836" s="6" t="str">
        <f>"RRN3P3"</f>
        <v>RRN3P3</v>
      </c>
      <c r="B6836" s="6">
        <v>0.12087912087912001</v>
      </c>
      <c r="C6836" s="6">
        <v>0.31047888716600303</v>
      </c>
    </row>
    <row r="6837" spans="1:3" s="8" customFormat="1" x14ac:dyDescent="0.2">
      <c r="A6837" s="6" t="str">
        <f>"ZNF213-AS1"</f>
        <v>ZNF213-AS1</v>
      </c>
      <c r="B6837" s="6">
        <v>0.12087912087912001</v>
      </c>
      <c r="C6837" s="6">
        <v>0.31047888716600303</v>
      </c>
    </row>
    <row r="6838" spans="1:3" s="8" customFormat="1" x14ac:dyDescent="0.2">
      <c r="A6838" s="6" t="str">
        <f>"PELI2"</f>
        <v>PELI2</v>
      </c>
      <c r="B6838" s="6">
        <v>0.12087912087912001</v>
      </c>
      <c r="C6838" s="6">
        <v>0.31047888716600303</v>
      </c>
    </row>
    <row r="6839" spans="1:3" s="8" customFormat="1" x14ac:dyDescent="0.2">
      <c r="A6839" s="6" t="str">
        <f>"CDK5RAP1"</f>
        <v>CDK5RAP1</v>
      </c>
      <c r="B6839" s="6">
        <v>0.12087912087912001</v>
      </c>
      <c r="C6839" s="6">
        <v>0.31047888716600303</v>
      </c>
    </row>
    <row r="6840" spans="1:3" s="8" customFormat="1" x14ac:dyDescent="0.2">
      <c r="A6840" s="6" t="str">
        <f>"ANKRA2"</f>
        <v>ANKRA2</v>
      </c>
      <c r="B6840" s="6">
        <v>0.12087912087912001</v>
      </c>
      <c r="C6840" s="6">
        <v>0.31047888716600303</v>
      </c>
    </row>
    <row r="6841" spans="1:3" s="8" customFormat="1" x14ac:dyDescent="0.2">
      <c r="A6841" s="6" t="str">
        <f>"TP53I13"</f>
        <v>TP53I13</v>
      </c>
      <c r="B6841" s="6">
        <v>0.12087912087912001</v>
      </c>
      <c r="C6841" s="6">
        <v>0.31047888716600303</v>
      </c>
    </row>
    <row r="6842" spans="1:3" s="8" customFormat="1" x14ac:dyDescent="0.2">
      <c r="A6842" s="6" t="str">
        <f>"LRRC43"</f>
        <v>LRRC43</v>
      </c>
      <c r="B6842" s="6">
        <v>0.12087912087912001</v>
      </c>
      <c r="C6842" s="6">
        <v>0.31047888716600303</v>
      </c>
    </row>
    <row r="6843" spans="1:3" s="8" customFormat="1" x14ac:dyDescent="0.2">
      <c r="A6843" s="6" t="str">
        <f>"PPP1R14C"</f>
        <v>PPP1R14C</v>
      </c>
      <c r="B6843" s="6">
        <v>0.12087912087912001</v>
      </c>
      <c r="C6843" s="6">
        <v>0.31047888716600303</v>
      </c>
    </row>
    <row r="6844" spans="1:3" s="8" customFormat="1" x14ac:dyDescent="0.2">
      <c r="A6844" s="6" t="str">
        <f>"LRRC58"</f>
        <v>LRRC58</v>
      </c>
      <c r="B6844" s="6">
        <v>0.12087912087912001</v>
      </c>
      <c r="C6844" s="6">
        <v>0.31047888716600303</v>
      </c>
    </row>
    <row r="6845" spans="1:3" s="8" customFormat="1" x14ac:dyDescent="0.2">
      <c r="A6845" s="6" t="str">
        <f>"GON4L"</f>
        <v>GON4L</v>
      </c>
      <c r="B6845" s="6">
        <v>0.12087912087912001</v>
      </c>
      <c r="C6845" s="6">
        <v>0.31047888716600303</v>
      </c>
    </row>
    <row r="6846" spans="1:3" s="8" customFormat="1" x14ac:dyDescent="0.2">
      <c r="A6846" s="6" t="str">
        <f>"SLFN5"</f>
        <v>SLFN5</v>
      </c>
      <c r="B6846" s="6">
        <v>0.12087912087912001</v>
      </c>
      <c r="C6846" s="6">
        <v>0.31047888716600303</v>
      </c>
    </row>
    <row r="6847" spans="1:3" s="8" customFormat="1" x14ac:dyDescent="0.2">
      <c r="A6847" s="6" t="str">
        <f>"PIFO"</f>
        <v>PIFO</v>
      </c>
      <c r="B6847" s="6">
        <v>0.12087912087912001</v>
      </c>
      <c r="C6847" s="6">
        <v>0.31047888716600303</v>
      </c>
    </row>
    <row r="6848" spans="1:3" s="8" customFormat="1" x14ac:dyDescent="0.2">
      <c r="A6848" s="6" t="str">
        <f>"CWC27"</f>
        <v>CWC27</v>
      </c>
      <c r="B6848" s="6">
        <v>0.121</v>
      </c>
      <c r="C6848" s="6">
        <v>0.31074397546370602</v>
      </c>
    </row>
    <row r="6849" spans="1:3" s="8" customFormat="1" x14ac:dyDescent="0.2">
      <c r="A6849" s="6" t="str">
        <f>"AL359551.1"</f>
        <v>AL359551.1</v>
      </c>
      <c r="B6849" s="6">
        <v>0.121121121121121</v>
      </c>
      <c r="C6849" s="6">
        <v>0.311009607738579</v>
      </c>
    </row>
    <row r="6850" spans="1:3" s="8" customFormat="1" x14ac:dyDescent="0.2">
      <c r="A6850" s="6" t="str">
        <f>"AC018845.3"</f>
        <v>AC018845.3</v>
      </c>
      <c r="B6850" s="6">
        <v>0.121848739495798</v>
      </c>
      <c r="C6850" s="6">
        <v>0.31176969669841298</v>
      </c>
    </row>
    <row r="6851" spans="1:3" s="8" customFormat="1" x14ac:dyDescent="0.2">
      <c r="A6851" s="6" t="str">
        <f>"SPATA21"</f>
        <v>SPATA21</v>
      </c>
      <c r="B6851" s="6">
        <v>0.121878121878121</v>
      </c>
      <c r="C6851" s="6">
        <v>0.31176969669841298</v>
      </c>
    </row>
    <row r="6852" spans="1:3" s="8" customFormat="1" x14ac:dyDescent="0.2">
      <c r="A6852" s="6" t="str">
        <f>"FETUB"</f>
        <v>FETUB</v>
      </c>
      <c r="B6852" s="6">
        <v>0.121878121878121</v>
      </c>
      <c r="C6852" s="6">
        <v>0.31176969669841298</v>
      </c>
    </row>
    <row r="6853" spans="1:3" s="8" customFormat="1" x14ac:dyDescent="0.2">
      <c r="A6853" s="6" t="str">
        <f>"SMTNL2"</f>
        <v>SMTNL2</v>
      </c>
      <c r="B6853" s="6">
        <v>0.121878121878121</v>
      </c>
      <c r="C6853" s="6">
        <v>0.31176969669841298</v>
      </c>
    </row>
    <row r="6854" spans="1:3" s="8" customFormat="1" x14ac:dyDescent="0.2">
      <c r="A6854" s="6" t="str">
        <f>"SRD5A3-AS1"</f>
        <v>SRD5A3-AS1</v>
      </c>
      <c r="B6854" s="6">
        <v>0.121878121878121</v>
      </c>
      <c r="C6854" s="6">
        <v>0.31176969669841298</v>
      </c>
    </row>
    <row r="6855" spans="1:3" s="8" customFormat="1" x14ac:dyDescent="0.2">
      <c r="A6855" s="6" t="str">
        <f>"AC016907.2"</f>
        <v>AC016907.2</v>
      </c>
      <c r="B6855" s="6">
        <v>0.121878121878121</v>
      </c>
      <c r="C6855" s="6">
        <v>0.31176969669841298</v>
      </c>
    </row>
    <row r="6856" spans="1:3" s="8" customFormat="1" x14ac:dyDescent="0.2">
      <c r="A6856" s="6" t="str">
        <f>"TEPP"</f>
        <v>TEPP</v>
      </c>
      <c r="B6856" s="6">
        <v>0.121878121878121</v>
      </c>
      <c r="C6856" s="6">
        <v>0.31176969669841298</v>
      </c>
    </row>
    <row r="6857" spans="1:3" s="8" customFormat="1" x14ac:dyDescent="0.2">
      <c r="A6857" s="6" t="str">
        <f>"ATE1-AS1"</f>
        <v>ATE1-AS1</v>
      </c>
      <c r="B6857" s="6">
        <v>0.121878121878121</v>
      </c>
      <c r="C6857" s="6">
        <v>0.31176969669841298</v>
      </c>
    </row>
    <row r="6858" spans="1:3" s="8" customFormat="1" x14ac:dyDescent="0.2">
      <c r="A6858" s="6" t="str">
        <f>"AL583827.1"</f>
        <v>AL583827.1</v>
      </c>
      <c r="B6858" s="6">
        <v>0.121867881548974</v>
      </c>
      <c r="C6858" s="6">
        <v>0.31176969669841298</v>
      </c>
    </row>
    <row r="6859" spans="1:3" s="8" customFormat="1" x14ac:dyDescent="0.2">
      <c r="A6859" s="6" t="str">
        <f>"AC145124.1"</f>
        <v>AC145124.1</v>
      </c>
      <c r="B6859" s="6">
        <v>0.121878121878121</v>
      </c>
      <c r="C6859" s="6">
        <v>0.31176969669841298</v>
      </c>
    </row>
    <row r="6860" spans="1:3" s="8" customFormat="1" x14ac:dyDescent="0.2">
      <c r="A6860" s="6" t="str">
        <f>"PWP2"</f>
        <v>PWP2</v>
      </c>
      <c r="B6860" s="6">
        <v>0.121878121878121</v>
      </c>
      <c r="C6860" s="6">
        <v>0.31176969669841298</v>
      </c>
    </row>
    <row r="6861" spans="1:3" s="8" customFormat="1" x14ac:dyDescent="0.2">
      <c r="A6861" s="6" t="str">
        <f>"AC005962.2"</f>
        <v>AC005962.2</v>
      </c>
      <c r="B6861" s="6">
        <v>0.121878121878121</v>
      </c>
      <c r="C6861" s="6">
        <v>0.31176969669841298</v>
      </c>
    </row>
    <row r="6862" spans="1:3" s="8" customFormat="1" x14ac:dyDescent="0.2">
      <c r="A6862" s="6" t="str">
        <f>"PM20D2"</f>
        <v>PM20D2</v>
      </c>
      <c r="B6862" s="6">
        <v>0.121878121878121</v>
      </c>
      <c r="C6862" s="6">
        <v>0.31176969669841298</v>
      </c>
    </row>
    <row r="6863" spans="1:3" s="8" customFormat="1" x14ac:dyDescent="0.2">
      <c r="A6863" s="6" t="str">
        <f>"PRKACB"</f>
        <v>PRKACB</v>
      </c>
      <c r="B6863" s="6">
        <v>0.121878121878121</v>
      </c>
      <c r="C6863" s="6">
        <v>0.31176969669841298</v>
      </c>
    </row>
    <row r="6864" spans="1:3" s="8" customFormat="1" x14ac:dyDescent="0.2">
      <c r="A6864" s="6" t="str">
        <f>"CBLC"</f>
        <v>CBLC</v>
      </c>
      <c r="B6864" s="6">
        <v>0.121878121878121</v>
      </c>
      <c r="C6864" s="6">
        <v>0.31176969669841298</v>
      </c>
    </row>
    <row r="6865" spans="1:3" s="8" customFormat="1" x14ac:dyDescent="0.2">
      <c r="A6865" s="6" t="str">
        <f>"FAM27C"</f>
        <v>FAM27C</v>
      </c>
      <c r="B6865" s="6">
        <v>0.121878121878121</v>
      </c>
      <c r="C6865" s="6">
        <v>0.31176969669841298</v>
      </c>
    </row>
    <row r="6866" spans="1:3" s="8" customFormat="1" x14ac:dyDescent="0.2">
      <c r="A6866" s="6" t="str">
        <f>"AC106791.1"</f>
        <v>AC106791.1</v>
      </c>
      <c r="B6866" s="6">
        <v>0.121878121878121</v>
      </c>
      <c r="C6866" s="6">
        <v>0.31176969669841298</v>
      </c>
    </row>
    <row r="6867" spans="1:3" s="8" customFormat="1" x14ac:dyDescent="0.2">
      <c r="A6867" s="6" t="str">
        <f>"RHOT1"</f>
        <v>RHOT1</v>
      </c>
      <c r="B6867" s="6">
        <v>0.121878121878121</v>
      </c>
      <c r="C6867" s="6">
        <v>0.31176969669841298</v>
      </c>
    </row>
    <row r="6868" spans="1:3" s="8" customFormat="1" x14ac:dyDescent="0.2">
      <c r="A6868" s="6" t="str">
        <f>"MTX2"</f>
        <v>MTX2</v>
      </c>
      <c r="B6868" s="6">
        <v>0.121878121878121</v>
      </c>
      <c r="C6868" s="6">
        <v>0.31176969669841298</v>
      </c>
    </row>
    <row r="6869" spans="1:3" s="8" customFormat="1" x14ac:dyDescent="0.2">
      <c r="A6869" s="6" t="str">
        <f>"NR4A1"</f>
        <v>NR4A1</v>
      </c>
      <c r="B6869" s="6">
        <v>0.121878121878121</v>
      </c>
      <c r="C6869" s="6">
        <v>0.31176969669841298</v>
      </c>
    </row>
    <row r="6870" spans="1:3" s="8" customFormat="1" x14ac:dyDescent="0.2">
      <c r="A6870" s="6" t="str">
        <f>"TMPO"</f>
        <v>TMPO</v>
      </c>
      <c r="B6870" s="6">
        <v>0.121878121878121</v>
      </c>
      <c r="C6870" s="6">
        <v>0.31176969669841298</v>
      </c>
    </row>
    <row r="6871" spans="1:3" s="8" customFormat="1" x14ac:dyDescent="0.2">
      <c r="A6871" s="6" t="str">
        <f>"SLC1A4"</f>
        <v>SLC1A4</v>
      </c>
      <c r="B6871" s="6">
        <v>0.121878121878121</v>
      </c>
      <c r="C6871" s="6">
        <v>0.31176969669841298</v>
      </c>
    </row>
    <row r="6872" spans="1:3" s="8" customFormat="1" x14ac:dyDescent="0.2">
      <c r="A6872" s="6" t="str">
        <f>"PEDS1"</f>
        <v>PEDS1</v>
      </c>
      <c r="B6872" s="6">
        <v>0.121878121878121</v>
      </c>
      <c r="C6872" s="6">
        <v>0.31176969669841298</v>
      </c>
    </row>
    <row r="6873" spans="1:3" s="8" customFormat="1" x14ac:dyDescent="0.2">
      <c r="A6873" s="6" t="str">
        <f>"PAQR4"</f>
        <v>PAQR4</v>
      </c>
      <c r="B6873" s="6">
        <v>0.121878121878121</v>
      </c>
      <c r="C6873" s="6">
        <v>0.31176969669841298</v>
      </c>
    </row>
    <row r="6874" spans="1:3" s="8" customFormat="1" x14ac:dyDescent="0.2">
      <c r="A6874" s="6" t="str">
        <f>"ZDHHC20"</f>
        <v>ZDHHC20</v>
      </c>
      <c r="B6874" s="6">
        <v>0.121878121878121</v>
      </c>
      <c r="C6874" s="6">
        <v>0.31176969669841298</v>
      </c>
    </row>
    <row r="6875" spans="1:3" s="8" customFormat="1" x14ac:dyDescent="0.2">
      <c r="A6875" s="6" t="str">
        <f>"C6orf89"</f>
        <v>C6orf89</v>
      </c>
      <c r="B6875" s="6">
        <v>0.121878121878121</v>
      </c>
      <c r="C6875" s="6">
        <v>0.31176969669841298</v>
      </c>
    </row>
    <row r="6876" spans="1:3" s="8" customFormat="1" x14ac:dyDescent="0.2">
      <c r="A6876" s="6" t="str">
        <f>"AP3S2"</f>
        <v>AP3S2</v>
      </c>
      <c r="B6876" s="6">
        <v>0.122</v>
      </c>
      <c r="C6876" s="6">
        <v>0.31203607272727202</v>
      </c>
    </row>
    <row r="6877" spans="1:3" s="8" customFormat="1" x14ac:dyDescent="0.2">
      <c r="A6877" s="6" t="str">
        <f>"ZNF732"</f>
        <v>ZNF732</v>
      </c>
      <c r="B6877" s="6">
        <v>0.12287712287712201</v>
      </c>
      <c r="C6877" s="6">
        <v>0.31264235691959602</v>
      </c>
    </row>
    <row r="6878" spans="1:3" s="8" customFormat="1" x14ac:dyDescent="0.2">
      <c r="A6878" s="6" t="str">
        <f>"AC103871.1"</f>
        <v>AC103871.1</v>
      </c>
      <c r="B6878" s="6">
        <v>0.122860020140986</v>
      </c>
      <c r="C6878" s="6">
        <v>0.31264235691959602</v>
      </c>
    </row>
    <row r="6879" spans="1:3" s="8" customFormat="1" x14ac:dyDescent="0.2">
      <c r="A6879" s="6" t="str">
        <f>"ZNF833P"</f>
        <v>ZNF833P</v>
      </c>
      <c r="B6879" s="6">
        <v>0.12287712287712201</v>
      </c>
      <c r="C6879" s="6">
        <v>0.31264235691959602</v>
      </c>
    </row>
    <row r="6880" spans="1:3" s="8" customFormat="1" x14ac:dyDescent="0.2">
      <c r="A6880" s="6" t="str">
        <f>"PYHIN1"</f>
        <v>PYHIN1</v>
      </c>
      <c r="B6880" s="6">
        <v>0.12287712287712201</v>
      </c>
      <c r="C6880" s="6">
        <v>0.31264235691959602</v>
      </c>
    </row>
    <row r="6881" spans="1:3" s="8" customFormat="1" x14ac:dyDescent="0.2">
      <c r="A6881" s="6" t="str">
        <f>"HS3ST3A1"</f>
        <v>HS3ST3A1</v>
      </c>
      <c r="B6881" s="6">
        <v>0.12287712287712201</v>
      </c>
      <c r="C6881" s="6">
        <v>0.31264235691959602</v>
      </c>
    </row>
    <row r="6882" spans="1:3" s="8" customFormat="1" x14ac:dyDescent="0.2">
      <c r="A6882" s="6" t="str">
        <f>"FRG1-DT"</f>
        <v>FRG1-DT</v>
      </c>
      <c r="B6882" s="6">
        <v>0.12287712287712201</v>
      </c>
      <c r="C6882" s="6">
        <v>0.31264235691959602</v>
      </c>
    </row>
    <row r="6883" spans="1:3" s="8" customFormat="1" x14ac:dyDescent="0.2">
      <c r="A6883" s="6" t="str">
        <f>"C12orf60"</f>
        <v>C12orf60</v>
      </c>
      <c r="B6883" s="6">
        <v>0.12287712287712201</v>
      </c>
      <c r="C6883" s="6">
        <v>0.31264235691959602</v>
      </c>
    </row>
    <row r="6884" spans="1:3" s="8" customFormat="1" x14ac:dyDescent="0.2">
      <c r="A6884" s="6" t="str">
        <f>"TSIX"</f>
        <v>TSIX</v>
      </c>
      <c r="B6884" s="6">
        <v>0.12287712287712201</v>
      </c>
      <c r="C6884" s="6">
        <v>0.31264235691959602</v>
      </c>
    </row>
    <row r="6885" spans="1:3" s="8" customFormat="1" x14ac:dyDescent="0.2">
      <c r="A6885" s="6" t="str">
        <f>"ZKSCAN3"</f>
        <v>ZKSCAN3</v>
      </c>
      <c r="B6885" s="6">
        <v>0.12287712287712201</v>
      </c>
      <c r="C6885" s="6">
        <v>0.31264235691959602</v>
      </c>
    </row>
    <row r="6886" spans="1:3" s="8" customFormat="1" x14ac:dyDescent="0.2">
      <c r="A6886" s="6" t="str">
        <f>"AL158212.3"</f>
        <v>AL158212.3</v>
      </c>
      <c r="B6886" s="6">
        <v>0.12287712287712201</v>
      </c>
      <c r="C6886" s="6">
        <v>0.31264235691959602</v>
      </c>
    </row>
    <row r="6887" spans="1:3" s="8" customFormat="1" x14ac:dyDescent="0.2">
      <c r="A6887" s="6" t="str">
        <f>"TMEM117"</f>
        <v>TMEM117</v>
      </c>
      <c r="B6887" s="6">
        <v>0.12287712287712201</v>
      </c>
      <c r="C6887" s="6">
        <v>0.31264235691959602</v>
      </c>
    </row>
    <row r="6888" spans="1:3" s="8" customFormat="1" x14ac:dyDescent="0.2">
      <c r="A6888" s="6" t="str">
        <f>"KIAA0825"</f>
        <v>KIAA0825</v>
      </c>
      <c r="B6888" s="6">
        <v>0.12287712287712201</v>
      </c>
      <c r="C6888" s="6">
        <v>0.31264235691959602</v>
      </c>
    </row>
    <row r="6889" spans="1:3" s="8" customFormat="1" x14ac:dyDescent="0.2">
      <c r="A6889" s="6" t="str">
        <f>"C19orf48"</f>
        <v>C19orf48</v>
      </c>
      <c r="B6889" s="6">
        <v>0.12287712287712201</v>
      </c>
      <c r="C6889" s="6">
        <v>0.31264235691959602</v>
      </c>
    </row>
    <row r="6890" spans="1:3" s="8" customFormat="1" x14ac:dyDescent="0.2">
      <c r="A6890" s="6" t="str">
        <f>"AC018647.2"</f>
        <v>AC018647.2</v>
      </c>
      <c r="B6890" s="6">
        <v>0.12287712287712201</v>
      </c>
      <c r="C6890" s="6">
        <v>0.31264235691959602</v>
      </c>
    </row>
    <row r="6891" spans="1:3" s="8" customFormat="1" x14ac:dyDescent="0.2">
      <c r="A6891" s="6" t="str">
        <f>"DARS2"</f>
        <v>DARS2</v>
      </c>
      <c r="B6891" s="6">
        <v>0.12287712287712201</v>
      </c>
      <c r="C6891" s="6">
        <v>0.31264235691959602</v>
      </c>
    </row>
    <row r="6892" spans="1:3" s="8" customFormat="1" x14ac:dyDescent="0.2">
      <c r="A6892" s="6" t="str">
        <f>"SFT2D3"</f>
        <v>SFT2D3</v>
      </c>
      <c r="B6892" s="6">
        <v>0.12287712287712201</v>
      </c>
      <c r="C6892" s="6">
        <v>0.31264235691959602</v>
      </c>
    </row>
    <row r="6893" spans="1:3" s="8" customFormat="1" x14ac:dyDescent="0.2">
      <c r="A6893" s="6" t="str">
        <f>"CIAPIN1"</f>
        <v>CIAPIN1</v>
      </c>
      <c r="B6893" s="6">
        <v>0.12287712287712201</v>
      </c>
      <c r="C6893" s="6">
        <v>0.31264235691959602</v>
      </c>
    </row>
    <row r="6894" spans="1:3" s="8" customFormat="1" x14ac:dyDescent="0.2">
      <c r="A6894" s="6" t="str">
        <f>"FNIP2"</f>
        <v>FNIP2</v>
      </c>
      <c r="B6894" s="6">
        <v>0.12287712287712201</v>
      </c>
      <c r="C6894" s="6">
        <v>0.31264235691959602</v>
      </c>
    </row>
    <row r="6895" spans="1:3" s="8" customFormat="1" x14ac:dyDescent="0.2">
      <c r="A6895" s="6" t="str">
        <f>"C4B"</f>
        <v>C4B</v>
      </c>
      <c r="B6895" s="6">
        <v>0.12287712287712201</v>
      </c>
      <c r="C6895" s="6">
        <v>0.31264235691959602</v>
      </c>
    </row>
    <row r="6896" spans="1:3" s="8" customFormat="1" x14ac:dyDescent="0.2">
      <c r="A6896" s="6" t="str">
        <f>"PUDP"</f>
        <v>PUDP</v>
      </c>
      <c r="B6896" s="6">
        <v>0.12287712287712201</v>
      </c>
      <c r="C6896" s="6">
        <v>0.31264235691959602</v>
      </c>
    </row>
    <row r="6897" spans="1:3" s="8" customFormat="1" x14ac:dyDescent="0.2">
      <c r="A6897" s="6" t="str">
        <f>"TPM2"</f>
        <v>TPM2</v>
      </c>
      <c r="B6897" s="6">
        <v>0.12287712287712201</v>
      </c>
      <c r="C6897" s="6">
        <v>0.31264235691959602</v>
      </c>
    </row>
    <row r="6898" spans="1:3" s="8" customFormat="1" x14ac:dyDescent="0.2">
      <c r="A6898" s="6" t="str">
        <f>"RTL10"</f>
        <v>RTL10</v>
      </c>
      <c r="B6898" s="6">
        <v>0.12287712287712201</v>
      </c>
      <c r="C6898" s="6">
        <v>0.31264235691959602</v>
      </c>
    </row>
    <row r="6899" spans="1:3" s="8" customFormat="1" x14ac:dyDescent="0.2">
      <c r="A6899" s="6" t="str">
        <f>"SLC30A1"</f>
        <v>SLC30A1</v>
      </c>
      <c r="B6899" s="6">
        <v>0.12287712287712201</v>
      </c>
      <c r="C6899" s="6">
        <v>0.31264235691959602</v>
      </c>
    </row>
    <row r="6900" spans="1:3" s="8" customFormat="1" x14ac:dyDescent="0.2">
      <c r="A6900" s="6" t="str">
        <f>"PAX9"</f>
        <v>PAX9</v>
      </c>
      <c r="B6900" s="6">
        <v>0.12287712287712201</v>
      </c>
      <c r="C6900" s="6">
        <v>0.31264235691959602</v>
      </c>
    </row>
    <row r="6901" spans="1:3" s="8" customFormat="1" x14ac:dyDescent="0.2">
      <c r="A6901" s="6" t="str">
        <f>"CWC15"</f>
        <v>CWC15</v>
      </c>
      <c r="B6901" s="6">
        <v>0.12287712287712201</v>
      </c>
      <c r="C6901" s="6">
        <v>0.31264235691959602</v>
      </c>
    </row>
    <row r="6902" spans="1:3" s="8" customFormat="1" x14ac:dyDescent="0.2">
      <c r="A6902" s="6" t="str">
        <f>"PNPLA4"</f>
        <v>PNPLA4</v>
      </c>
      <c r="B6902" s="6">
        <v>0.12287712287712201</v>
      </c>
      <c r="C6902" s="6">
        <v>0.31264235691959602</v>
      </c>
    </row>
    <row r="6903" spans="1:3" s="8" customFormat="1" x14ac:dyDescent="0.2">
      <c r="A6903" s="6" t="str">
        <f>"RPS6KA2"</f>
        <v>RPS6KA2</v>
      </c>
      <c r="B6903" s="6">
        <v>0.12287712287712201</v>
      </c>
      <c r="C6903" s="6">
        <v>0.31264235691959602</v>
      </c>
    </row>
    <row r="6904" spans="1:3" s="8" customFormat="1" x14ac:dyDescent="0.2">
      <c r="A6904" s="6" t="str">
        <f>"SLC9A8"</f>
        <v>SLC9A8</v>
      </c>
      <c r="B6904" s="6">
        <v>0.12287712287712201</v>
      </c>
      <c r="C6904" s="6">
        <v>0.31264235691959602</v>
      </c>
    </row>
    <row r="6905" spans="1:3" s="8" customFormat="1" x14ac:dyDescent="0.2">
      <c r="A6905" s="6" t="str">
        <f>"ACVR1B"</f>
        <v>ACVR1B</v>
      </c>
      <c r="B6905" s="6">
        <v>0.12287712287712201</v>
      </c>
      <c r="C6905" s="6">
        <v>0.31264235691959602</v>
      </c>
    </row>
    <row r="6906" spans="1:3" s="8" customFormat="1" x14ac:dyDescent="0.2">
      <c r="A6906" s="6" t="str">
        <f>"TRPM4"</f>
        <v>TRPM4</v>
      </c>
      <c r="B6906" s="6">
        <v>0.12287712287712201</v>
      </c>
      <c r="C6906" s="6">
        <v>0.31264235691959602</v>
      </c>
    </row>
    <row r="6907" spans="1:3" s="8" customFormat="1" x14ac:dyDescent="0.2">
      <c r="A6907" s="6" t="str">
        <f>"SRD5A3"</f>
        <v>SRD5A3</v>
      </c>
      <c r="B6907" s="6">
        <v>0.12287712287712201</v>
      </c>
      <c r="C6907" s="6">
        <v>0.31264235691959602</v>
      </c>
    </row>
    <row r="6908" spans="1:3" s="8" customFormat="1" x14ac:dyDescent="0.2">
      <c r="A6908" s="6" t="str">
        <f>"RCAN3"</f>
        <v>RCAN3</v>
      </c>
      <c r="B6908" s="6">
        <v>0.12287712287712201</v>
      </c>
      <c r="C6908" s="6">
        <v>0.31264235691959602</v>
      </c>
    </row>
    <row r="6909" spans="1:3" s="8" customFormat="1" x14ac:dyDescent="0.2">
      <c r="A6909" s="6" t="str">
        <f>"PRRC2C"</f>
        <v>PRRC2C</v>
      </c>
      <c r="B6909" s="6">
        <v>0.12287712287712201</v>
      </c>
      <c r="C6909" s="6">
        <v>0.31264235691959602</v>
      </c>
    </row>
    <row r="6910" spans="1:3" s="8" customFormat="1" x14ac:dyDescent="0.2">
      <c r="A6910" s="6" t="str">
        <f>"EIF4B"</f>
        <v>EIF4B</v>
      </c>
      <c r="B6910" s="6">
        <v>0.12287712287712201</v>
      </c>
      <c r="C6910" s="6">
        <v>0.31264235691959602</v>
      </c>
    </row>
    <row r="6911" spans="1:3" s="8" customFormat="1" x14ac:dyDescent="0.2">
      <c r="A6911" s="6" t="str">
        <f>"CFB"</f>
        <v>CFB</v>
      </c>
      <c r="B6911" s="6">
        <v>0.12287712287712201</v>
      </c>
      <c r="C6911" s="6">
        <v>0.31264235691959602</v>
      </c>
    </row>
    <row r="6912" spans="1:3" s="8" customFormat="1" x14ac:dyDescent="0.2">
      <c r="A6912" s="6" t="str">
        <f>"WFDC2"</f>
        <v>WFDC2</v>
      </c>
      <c r="B6912" s="6">
        <v>0.12287712287712201</v>
      </c>
      <c r="C6912" s="6">
        <v>0.31264235691959602</v>
      </c>
    </row>
    <row r="6913" spans="1:3" s="8" customFormat="1" x14ac:dyDescent="0.2">
      <c r="A6913" s="6" t="str">
        <f>"AC074135.1"</f>
        <v>AC074135.1</v>
      </c>
      <c r="B6913" s="6">
        <v>0.123</v>
      </c>
      <c r="C6913" s="6">
        <v>0.31268353332369497</v>
      </c>
    </row>
    <row r="6914" spans="1:3" s="8" customFormat="1" x14ac:dyDescent="0.2">
      <c r="A6914" s="6" t="str">
        <f>"HOMER3-AS1"</f>
        <v>HOMER3-AS1</v>
      </c>
      <c r="B6914" s="6">
        <v>0.123</v>
      </c>
      <c r="C6914" s="6">
        <v>0.31268353332369497</v>
      </c>
    </row>
    <row r="6915" spans="1:3" s="8" customFormat="1" x14ac:dyDescent="0.2">
      <c r="A6915" s="6" t="str">
        <f>"RTL9"</f>
        <v>RTL9</v>
      </c>
      <c r="B6915" s="6">
        <v>0.123</v>
      </c>
      <c r="C6915" s="6">
        <v>0.31268353332369497</v>
      </c>
    </row>
    <row r="6916" spans="1:3" s="8" customFormat="1" x14ac:dyDescent="0.2">
      <c r="A6916" s="6" t="str">
        <f>"AC100835.2"</f>
        <v>AC100835.2</v>
      </c>
      <c r="B6916" s="6">
        <v>0.123</v>
      </c>
      <c r="C6916" s="6">
        <v>0.31268353332369497</v>
      </c>
    </row>
    <row r="6917" spans="1:3" s="8" customFormat="1" x14ac:dyDescent="0.2">
      <c r="A6917" s="6" t="str">
        <f>"SOWAHCP5"</f>
        <v>SOWAHCP5</v>
      </c>
      <c r="B6917" s="6">
        <v>0.123</v>
      </c>
      <c r="C6917" s="6">
        <v>0.31268353332369497</v>
      </c>
    </row>
    <row r="6918" spans="1:3" s="8" customFormat="1" x14ac:dyDescent="0.2">
      <c r="A6918" s="6" t="str">
        <f>"NUDT4"</f>
        <v>NUDT4</v>
      </c>
      <c r="B6918" s="6">
        <v>0.123</v>
      </c>
      <c r="C6918" s="6">
        <v>0.31268353332369497</v>
      </c>
    </row>
    <row r="6919" spans="1:3" s="8" customFormat="1" x14ac:dyDescent="0.2">
      <c r="A6919" s="6" t="str">
        <f>"AL358075.2"</f>
        <v>AL358075.2</v>
      </c>
      <c r="B6919" s="6">
        <v>0.123217922606924</v>
      </c>
      <c r="C6919" s="6">
        <v>0.31319224503037901</v>
      </c>
    </row>
    <row r="6920" spans="1:3" s="8" customFormat="1" x14ac:dyDescent="0.2">
      <c r="A6920" s="6" t="str">
        <f>"DMBT1L1"</f>
        <v>DMBT1L1</v>
      </c>
      <c r="B6920" s="6">
        <v>0.123246492985971</v>
      </c>
      <c r="C6920" s="6">
        <v>0.31321958847598302</v>
      </c>
    </row>
    <row r="6921" spans="1:3" s="8" customFormat="1" x14ac:dyDescent="0.2">
      <c r="A6921" s="6" t="str">
        <f>"AC134775.1"</f>
        <v>AC134775.1</v>
      </c>
      <c r="B6921" s="6">
        <v>0.12361809045226101</v>
      </c>
      <c r="C6921" s="6">
        <v>0.31359599225997098</v>
      </c>
    </row>
    <row r="6922" spans="1:3" s="8" customFormat="1" x14ac:dyDescent="0.2">
      <c r="A6922" s="6" t="str">
        <f>"C5orf52"</f>
        <v>C5orf52</v>
      </c>
      <c r="B6922" s="6">
        <v>0.123876123876123</v>
      </c>
      <c r="C6922" s="6">
        <v>0.31359599225997098</v>
      </c>
    </row>
    <row r="6923" spans="1:3" s="8" customFormat="1" x14ac:dyDescent="0.2">
      <c r="A6923" s="6" t="str">
        <f>"AL359962.3"</f>
        <v>AL359962.3</v>
      </c>
      <c r="B6923" s="6">
        <v>0.123876123876123</v>
      </c>
      <c r="C6923" s="6">
        <v>0.31359599225997098</v>
      </c>
    </row>
    <row r="6924" spans="1:3" s="8" customFormat="1" x14ac:dyDescent="0.2">
      <c r="A6924" s="6" t="str">
        <f>"PAX5"</f>
        <v>PAX5</v>
      </c>
      <c r="B6924" s="6">
        <v>0.123876123876123</v>
      </c>
      <c r="C6924" s="6">
        <v>0.31359599225997098</v>
      </c>
    </row>
    <row r="6925" spans="1:3" s="8" customFormat="1" x14ac:dyDescent="0.2">
      <c r="A6925" s="6" t="str">
        <f>"SLC10A1"</f>
        <v>SLC10A1</v>
      </c>
      <c r="B6925" s="6">
        <v>0.123876123876123</v>
      </c>
      <c r="C6925" s="6">
        <v>0.31359599225997098</v>
      </c>
    </row>
    <row r="6926" spans="1:3" s="8" customFormat="1" x14ac:dyDescent="0.2">
      <c r="A6926" s="6" t="str">
        <f>"AC034213.1"</f>
        <v>AC034213.1</v>
      </c>
      <c r="B6926" s="6">
        <v>0.123876123876123</v>
      </c>
      <c r="C6926" s="6">
        <v>0.31359599225997098</v>
      </c>
    </row>
    <row r="6927" spans="1:3" s="8" customFormat="1" x14ac:dyDescent="0.2">
      <c r="A6927" s="6" t="str">
        <f>"ABCB5"</f>
        <v>ABCB5</v>
      </c>
      <c r="B6927" s="6">
        <v>0.123876123876123</v>
      </c>
      <c r="C6927" s="6">
        <v>0.31359599225997098</v>
      </c>
    </row>
    <row r="6928" spans="1:3" s="8" customFormat="1" x14ac:dyDescent="0.2">
      <c r="A6928" s="6" t="str">
        <f>"RYR2"</f>
        <v>RYR2</v>
      </c>
      <c r="B6928" s="6">
        <v>0.123876123876123</v>
      </c>
      <c r="C6928" s="6">
        <v>0.31359599225997098</v>
      </c>
    </row>
    <row r="6929" spans="1:3" s="8" customFormat="1" x14ac:dyDescent="0.2">
      <c r="A6929" s="6" t="str">
        <f>"LINC01934"</f>
        <v>LINC01934</v>
      </c>
      <c r="B6929" s="6">
        <v>0.123876123876123</v>
      </c>
      <c r="C6929" s="6">
        <v>0.31359599225997098</v>
      </c>
    </row>
    <row r="6930" spans="1:3" s="8" customFormat="1" x14ac:dyDescent="0.2">
      <c r="A6930" s="6" t="str">
        <f>"HHATL"</f>
        <v>HHATL</v>
      </c>
      <c r="B6930" s="6">
        <v>0.123876123876123</v>
      </c>
      <c r="C6930" s="6">
        <v>0.31359599225997098</v>
      </c>
    </row>
    <row r="6931" spans="1:3" s="8" customFormat="1" x14ac:dyDescent="0.2">
      <c r="A6931" s="6" t="str">
        <f>"AL117327.1"</f>
        <v>AL117327.1</v>
      </c>
      <c r="B6931" s="6">
        <v>0.123876123876123</v>
      </c>
      <c r="C6931" s="6">
        <v>0.31359599225997098</v>
      </c>
    </row>
    <row r="6932" spans="1:3" s="8" customFormat="1" x14ac:dyDescent="0.2">
      <c r="A6932" s="6" t="str">
        <f>"LRRC2"</f>
        <v>LRRC2</v>
      </c>
      <c r="B6932" s="6">
        <v>0.123876123876123</v>
      </c>
      <c r="C6932" s="6">
        <v>0.31359599225997098</v>
      </c>
    </row>
    <row r="6933" spans="1:3" s="8" customFormat="1" x14ac:dyDescent="0.2">
      <c r="A6933" s="6" t="str">
        <f>"C11orf53"</f>
        <v>C11orf53</v>
      </c>
      <c r="B6933" s="6">
        <v>0.123876123876123</v>
      </c>
      <c r="C6933" s="6">
        <v>0.31359599225997098</v>
      </c>
    </row>
    <row r="6934" spans="1:3" s="8" customFormat="1" x14ac:dyDescent="0.2">
      <c r="A6934" s="6" t="str">
        <f>"ZNRD1ASP"</f>
        <v>ZNRD1ASP</v>
      </c>
      <c r="B6934" s="6">
        <v>0.123876123876123</v>
      </c>
      <c r="C6934" s="6">
        <v>0.31359599225997098</v>
      </c>
    </row>
    <row r="6935" spans="1:3" s="8" customFormat="1" x14ac:dyDescent="0.2">
      <c r="A6935" s="6" t="str">
        <f>"ARHGAP11A"</f>
        <v>ARHGAP11A</v>
      </c>
      <c r="B6935" s="6">
        <v>0.123876123876123</v>
      </c>
      <c r="C6935" s="6">
        <v>0.31359599225997098</v>
      </c>
    </row>
    <row r="6936" spans="1:3" s="8" customFormat="1" x14ac:dyDescent="0.2">
      <c r="A6936" s="6" t="str">
        <f>"AC068631.2"</f>
        <v>AC068631.2</v>
      </c>
      <c r="B6936" s="6">
        <v>0.123876123876123</v>
      </c>
      <c r="C6936" s="6">
        <v>0.31359599225997098</v>
      </c>
    </row>
    <row r="6937" spans="1:3" s="8" customFormat="1" x14ac:dyDescent="0.2">
      <c r="A6937" s="6" t="str">
        <f>"H2BC20P"</f>
        <v>H2BC20P</v>
      </c>
      <c r="B6937" s="6">
        <v>0.123876123876123</v>
      </c>
      <c r="C6937" s="6">
        <v>0.31359599225997098</v>
      </c>
    </row>
    <row r="6938" spans="1:3" s="8" customFormat="1" x14ac:dyDescent="0.2">
      <c r="A6938" s="6" t="str">
        <f>"SLC19A2"</f>
        <v>SLC19A2</v>
      </c>
      <c r="B6938" s="6">
        <v>0.123876123876123</v>
      </c>
      <c r="C6938" s="6">
        <v>0.31359599225997098</v>
      </c>
    </row>
    <row r="6939" spans="1:3" s="8" customFormat="1" x14ac:dyDescent="0.2">
      <c r="A6939" s="6" t="str">
        <f>"TFB2M"</f>
        <v>TFB2M</v>
      </c>
      <c r="B6939" s="6">
        <v>0.123876123876123</v>
      </c>
      <c r="C6939" s="6">
        <v>0.31359599225997098</v>
      </c>
    </row>
    <row r="6940" spans="1:3" s="8" customFormat="1" x14ac:dyDescent="0.2">
      <c r="A6940" s="6" t="str">
        <f>"MEMO1"</f>
        <v>MEMO1</v>
      </c>
      <c r="B6940" s="6">
        <v>0.123876123876123</v>
      </c>
      <c r="C6940" s="6">
        <v>0.31359599225997098</v>
      </c>
    </row>
    <row r="6941" spans="1:3" s="8" customFormat="1" x14ac:dyDescent="0.2">
      <c r="A6941" s="6" t="str">
        <f>"BOLA2B"</f>
        <v>BOLA2B</v>
      </c>
      <c r="B6941" s="6">
        <v>0.123876123876123</v>
      </c>
      <c r="C6941" s="6">
        <v>0.31359599225997098</v>
      </c>
    </row>
    <row r="6942" spans="1:3" s="8" customFormat="1" x14ac:dyDescent="0.2">
      <c r="A6942" s="6" t="str">
        <f>"SNHG6"</f>
        <v>SNHG6</v>
      </c>
      <c r="B6942" s="6">
        <v>0.123876123876123</v>
      </c>
      <c r="C6942" s="6">
        <v>0.31359599225997098</v>
      </c>
    </row>
    <row r="6943" spans="1:3" s="8" customFormat="1" x14ac:dyDescent="0.2">
      <c r="A6943" s="6" t="str">
        <f>"EFNB3"</f>
        <v>EFNB3</v>
      </c>
      <c r="B6943" s="6">
        <v>0.123876123876123</v>
      </c>
      <c r="C6943" s="6">
        <v>0.31359599225997098</v>
      </c>
    </row>
    <row r="6944" spans="1:3" s="8" customFormat="1" x14ac:dyDescent="0.2">
      <c r="A6944" s="6" t="str">
        <f>"UTP3"</f>
        <v>UTP3</v>
      </c>
      <c r="B6944" s="6">
        <v>0.123876123876123</v>
      </c>
      <c r="C6944" s="6">
        <v>0.31359599225997098</v>
      </c>
    </row>
    <row r="6945" spans="1:3" s="8" customFormat="1" x14ac:dyDescent="0.2">
      <c r="A6945" s="6" t="str">
        <f>"UBA6"</f>
        <v>UBA6</v>
      </c>
      <c r="B6945" s="6">
        <v>0.123876123876123</v>
      </c>
      <c r="C6945" s="6">
        <v>0.31359599225997098</v>
      </c>
    </row>
    <row r="6946" spans="1:3" s="8" customFormat="1" x14ac:dyDescent="0.2">
      <c r="A6946" s="6" t="str">
        <f>"RB1"</f>
        <v>RB1</v>
      </c>
      <c r="B6946" s="6">
        <v>0.123876123876123</v>
      </c>
      <c r="C6946" s="6">
        <v>0.31359599225997098</v>
      </c>
    </row>
    <row r="6947" spans="1:3" s="8" customFormat="1" x14ac:dyDescent="0.2">
      <c r="A6947" s="6" t="str">
        <f>"TUBA4B"</f>
        <v>TUBA4B</v>
      </c>
      <c r="B6947" s="6">
        <v>0.123876123876123</v>
      </c>
      <c r="C6947" s="6">
        <v>0.31359599225997098</v>
      </c>
    </row>
    <row r="6948" spans="1:3" s="8" customFormat="1" x14ac:dyDescent="0.2">
      <c r="A6948" s="6" t="str">
        <f>"AC073389.2"</f>
        <v>AC073389.2</v>
      </c>
      <c r="B6948" s="6">
        <v>0.12487512487512401</v>
      </c>
      <c r="C6948" s="6">
        <v>0.31463020429921101</v>
      </c>
    </row>
    <row r="6949" spans="1:3" s="8" customFormat="1" x14ac:dyDescent="0.2">
      <c r="A6949" s="6" t="str">
        <f>"AC005632.6"</f>
        <v>AC005632.6</v>
      </c>
      <c r="B6949" s="6">
        <v>0.12487512487512401</v>
      </c>
      <c r="C6949" s="6">
        <v>0.31463020429921101</v>
      </c>
    </row>
    <row r="6950" spans="1:3" s="8" customFormat="1" x14ac:dyDescent="0.2">
      <c r="A6950" s="6" t="str">
        <f>"PKN2-AS1"</f>
        <v>PKN2-AS1</v>
      </c>
      <c r="B6950" s="6">
        <v>0.12487512487512401</v>
      </c>
      <c r="C6950" s="6">
        <v>0.31463020429921101</v>
      </c>
    </row>
    <row r="6951" spans="1:3" s="8" customFormat="1" x14ac:dyDescent="0.2">
      <c r="A6951" s="6" t="str">
        <f>"NNMT"</f>
        <v>NNMT</v>
      </c>
      <c r="B6951" s="6">
        <v>0.12487512487512401</v>
      </c>
      <c r="C6951" s="6">
        <v>0.31463020429921101</v>
      </c>
    </row>
    <row r="6952" spans="1:3" s="8" customFormat="1" x14ac:dyDescent="0.2">
      <c r="A6952" s="6" t="str">
        <f>"LUZP2"</f>
        <v>LUZP2</v>
      </c>
      <c r="B6952" s="6">
        <v>0.12487512487512401</v>
      </c>
      <c r="C6952" s="6">
        <v>0.31463020429921101</v>
      </c>
    </row>
    <row r="6953" spans="1:3" s="8" customFormat="1" x14ac:dyDescent="0.2">
      <c r="A6953" s="6" t="str">
        <f>"AC008035.1"</f>
        <v>AC008035.1</v>
      </c>
      <c r="B6953" s="6">
        <v>0.12487512487512401</v>
      </c>
      <c r="C6953" s="6">
        <v>0.31463020429921101</v>
      </c>
    </row>
    <row r="6954" spans="1:3" s="8" customFormat="1" x14ac:dyDescent="0.2">
      <c r="A6954" s="6" t="str">
        <f>"AC092803.1"</f>
        <v>AC092803.1</v>
      </c>
      <c r="B6954" s="6">
        <v>0.12487512487512401</v>
      </c>
      <c r="C6954" s="6">
        <v>0.31463020429921101</v>
      </c>
    </row>
    <row r="6955" spans="1:3" s="8" customFormat="1" x14ac:dyDescent="0.2">
      <c r="A6955" s="6" t="str">
        <f>"AC079061.1"</f>
        <v>AC079061.1</v>
      </c>
      <c r="B6955" s="6">
        <v>0.12487512487512401</v>
      </c>
      <c r="C6955" s="6">
        <v>0.31463020429921101</v>
      </c>
    </row>
    <row r="6956" spans="1:3" s="8" customFormat="1" x14ac:dyDescent="0.2">
      <c r="A6956" s="6" t="str">
        <f>"AC015908.6"</f>
        <v>AC015908.6</v>
      </c>
      <c r="B6956" s="6">
        <v>0.12487512487512401</v>
      </c>
      <c r="C6956" s="6">
        <v>0.31463020429921101</v>
      </c>
    </row>
    <row r="6957" spans="1:3" s="8" customFormat="1" x14ac:dyDescent="0.2">
      <c r="A6957" s="6" t="str">
        <f>"IRS3P"</f>
        <v>IRS3P</v>
      </c>
      <c r="B6957" s="6">
        <v>0.12487512487512401</v>
      </c>
      <c r="C6957" s="6">
        <v>0.31463020429921101</v>
      </c>
    </row>
    <row r="6958" spans="1:3" s="8" customFormat="1" x14ac:dyDescent="0.2">
      <c r="A6958" s="6" t="str">
        <f>"DPP4"</f>
        <v>DPP4</v>
      </c>
      <c r="B6958" s="6">
        <v>0.12487512487512401</v>
      </c>
      <c r="C6958" s="6">
        <v>0.31463020429921101</v>
      </c>
    </row>
    <row r="6959" spans="1:3" s="8" customFormat="1" x14ac:dyDescent="0.2">
      <c r="A6959" s="6" t="str">
        <f>"PMS2P3"</f>
        <v>PMS2P3</v>
      </c>
      <c r="B6959" s="6">
        <v>0.12487512487512401</v>
      </c>
      <c r="C6959" s="6">
        <v>0.31463020429921101</v>
      </c>
    </row>
    <row r="6960" spans="1:3" s="8" customFormat="1" x14ac:dyDescent="0.2">
      <c r="A6960" s="6" t="str">
        <f>"SLC25A19"</f>
        <v>SLC25A19</v>
      </c>
      <c r="B6960" s="6">
        <v>0.12487512487512401</v>
      </c>
      <c r="C6960" s="6">
        <v>0.31463020429921101</v>
      </c>
    </row>
    <row r="6961" spans="1:3" s="8" customFormat="1" x14ac:dyDescent="0.2">
      <c r="A6961" s="6" t="str">
        <f>"CES3"</f>
        <v>CES3</v>
      </c>
      <c r="B6961" s="6">
        <v>0.12487512487512401</v>
      </c>
      <c r="C6961" s="6">
        <v>0.31463020429921101</v>
      </c>
    </row>
    <row r="6962" spans="1:3" s="8" customFormat="1" x14ac:dyDescent="0.2">
      <c r="A6962" s="6" t="str">
        <f>"SPAG5"</f>
        <v>SPAG5</v>
      </c>
      <c r="B6962" s="6">
        <v>0.12487512487512401</v>
      </c>
      <c r="C6962" s="6">
        <v>0.31463020429921101</v>
      </c>
    </row>
    <row r="6963" spans="1:3" s="8" customFormat="1" x14ac:dyDescent="0.2">
      <c r="A6963" s="6" t="str">
        <f>"TRMT10A"</f>
        <v>TRMT10A</v>
      </c>
      <c r="B6963" s="6">
        <v>0.12487512487512401</v>
      </c>
      <c r="C6963" s="6">
        <v>0.31463020429921101</v>
      </c>
    </row>
    <row r="6964" spans="1:3" s="8" customFormat="1" x14ac:dyDescent="0.2">
      <c r="A6964" s="6" t="str">
        <f>"POLI"</f>
        <v>POLI</v>
      </c>
      <c r="B6964" s="6">
        <v>0.12487512487512401</v>
      </c>
      <c r="C6964" s="6">
        <v>0.31463020429921101</v>
      </c>
    </row>
    <row r="6965" spans="1:3" s="8" customFormat="1" x14ac:dyDescent="0.2">
      <c r="A6965" s="6" t="str">
        <f>"BCAR3"</f>
        <v>BCAR3</v>
      </c>
      <c r="B6965" s="6">
        <v>0.12487512487512401</v>
      </c>
      <c r="C6965" s="6">
        <v>0.31463020429921101</v>
      </c>
    </row>
    <row r="6966" spans="1:3" s="8" customFormat="1" x14ac:dyDescent="0.2">
      <c r="A6966" s="6" t="str">
        <f>"ITPR1"</f>
        <v>ITPR1</v>
      </c>
      <c r="B6966" s="6">
        <v>0.12487512487512401</v>
      </c>
      <c r="C6966" s="6">
        <v>0.31463020429921101</v>
      </c>
    </row>
    <row r="6967" spans="1:3" s="8" customFormat="1" x14ac:dyDescent="0.2">
      <c r="A6967" s="6" t="str">
        <f>"METTL14"</f>
        <v>METTL14</v>
      </c>
      <c r="B6967" s="6">
        <v>0.12487512487512401</v>
      </c>
      <c r="C6967" s="6">
        <v>0.31463020429921101</v>
      </c>
    </row>
    <row r="6968" spans="1:3" s="8" customFormat="1" x14ac:dyDescent="0.2">
      <c r="A6968" s="6" t="str">
        <f>"HHAT"</f>
        <v>HHAT</v>
      </c>
      <c r="B6968" s="6">
        <v>0.12487512487512401</v>
      </c>
      <c r="C6968" s="6">
        <v>0.31463020429921101</v>
      </c>
    </row>
    <row r="6969" spans="1:3" s="8" customFormat="1" x14ac:dyDescent="0.2">
      <c r="A6969" s="6" t="str">
        <f>"CC2D1B"</f>
        <v>CC2D1B</v>
      </c>
      <c r="B6969" s="6">
        <v>0.12487512487512401</v>
      </c>
      <c r="C6969" s="6">
        <v>0.31463020429921101</v>
      </c>
    </row>
    <row r="6970" spans="1:3" s="8" customFormat="1" x14ac:dyDescent="0.2">
      <c r="A6970" s="6" t="str">
        <f>"ZNF358"</f>
        <v>ZNF358</v>
      </c>
      <c r="B6970" s="6">
        <v>0.12487512487512401</v>
      </c>
      <c r="C6970" s="6">
        <v>0.31463020429921101</v>
      </c>
    </row>
    <row r="6971" spans="1:3" s="8" customFormat="1" x14ac:dyDescent="0.2">
      <c r="A6971" s="6" t="str">
        <f>"DYNC1LI1"</f>
        <v>DYNC1LI1</v>
      </c>
      <c r="B6971" s="6">
        <v>0.12487512487512401</v>
      </c>
      <c r="C6971" s="6">
        <v>0.31463020429921101</v>
      </c>
    </row>
    <row r="6972" spans="1:3" s="8" customFormat="1" x14ac:dyDescent="0.2">
      <c r="A6972" s="6" t="str">
        <f>"EHMT2"</f>
        <v>EHMT2</v>
      </c>
      <c r="B6972" s="6">
        <v>0.12487512487512401</v>
      </c>
      <c r="C6972" s="6">
        <v>0.31463020429921101</v>
      </c>
    </row>
    <row r="6973" spans="1:3" s="8" customFormat="1" x14ac:dyDescent="0.2">
      <c r="A6973" s="6" t="str">
        <f>"SART3"</f>
        <v>SART3</v>
      </c>
      <c r="B6973" s="6">
        <v>0.12487512487512401</v>
      </c>
      <c r="C6973" s="6">
        <v>0.31463020429921101</v>
      </c>
    </row>
    <row r="6974" spans="1:3" s="8" customFormat="1" x14ac:dyDescent="0.2">
      <c r="A6974" s="6" t="str">
        <f>"CCDC39"</f>
        <v>CCDC39</v>
      </c>
      <c r="B6974" s="6">
        <v>0.12487512487512401</v>
      </c>
      <c r="C6974" s="6">
        <v>0.31463020429921101</v>
      </c>
    </row>
    <row r="6975" spans="1:3" s="8" customFormat="1" x14ac:dyDescent="0.2">
      <c r="A6975" s="6" t="str">
        <f>"MEIS2"</f>
        <v>MEIS2</v>
      </c>
      <c r="B6975" s="6">
        <v>0.12487512487512401</v>
      </c>
      <c r="C6975" s="6">
        <v>0.31463020429921101</v>
      </c>
    </row>
    <row r="6976" spans="1:3" s="8" customFormat="1" x14ac:dyDescent="0.2">
      <c r="A6976" s="6" t="str">
        <f>"SLC35A2"</f>
        <v>SLC35A2</v>
      </c>
      <c r="B6976" s="6">
        <v>0.12487512487512401</v>
      </c>
      <c r="C6976" s="6">
        <v>0.31463020429921101</v>
      </c>
    </row>
    <row r="6977" spans="1:3" s="8" customFormat="1" x14ac:dyDescent="0.2">
      <c r="A6977" s="6" t="str">
        <f>"CYB5A"</f>
        <v>CYB5A</v>
      </c>
      <c r="B6977" s="6">
        <v>0.12487512487512401</v>
      </c>
      <c r="C6977" s="6">
        <v>0.31463020429921101</v>
      </c>
    </row>
    <row r="6978" spans="1:3" s="8" customFormat="1" x14ac:dyDescent="0.2">
      <c r="A6978" s="6" t="str">
        <f>"ABR"</f>
        <v>ABR</v>
      </c>
      <c r="B6978" s="6">
        <v>0.12487512487512401</v>
      </c>
      <c r="C6978" s="6">
        <v>0.31463020429921101</v>
      </c>
    </row>
    <row r="6979" spans="1:3" s="8" customFormat="1" x14ac:dyDescent="0.2">
      <c r="A6979" s="6" t="str">
        <f>"MVP"</f>
        <v>MVP</v>
      </c>
      <c r="B6979" s="6">
        <v>0.12487512487512401</v>
      </c>
      <c r="C6979" s="6">
        <v>0.31463020429921101</v>
      </c>
    </row>
    <row r="6980" spans="1:3" s="8" customFormat="1" x14ac:dyDescent="0.2">
      <c r="A6980" s="6" t="str">
        <f>"HSPB1"</f>
        <v>HSPB1</v>
      </c>
      <c r="B6980" s="6">
        <v>0.12487512487512401</v>
      </c>
      <c r="C6980" s="6">
        <v>0.31463020429921101</v>
      </c>
    </row>
    <row r="6981" spans="1:3" s="8" customFormat="1" x14ac:dyDescent="0.2">
      <c r="A6981" s="6" t="str">
        <f>"SBSPON"</f>
        <v>SBSPON</v>
      </c>
      <c r="B6981" s="6">
        <v>0.125</v>
      </c>
      <c r="C6981" s="6">
        <v>0.31480951016900599</v>
      </c>
    </row>
    <row r="6982" spans="1:3" s="8" customFormat="1" x14ac:dyDescent="0.2">
      <c r="A6982" s="6" t="str">
        <f>"LAIR1"</f>
        <v>LAIR1</v>
      </c>
      <c r="B6982" s="6">
        <v>0.125</v>
      </c>
      <c r="C6982" s="6">
        <v>0.31480951016900599</v>
      </c>
    </row>
    <row r="6983" spans="1:3" s="8" customFormat="1" x14ac:dyDescent="0.2">
      <c r="A6983" s="6" t="str">
        <f>"TRAF3IP1"</f>
        <v>TRAF3IP1</v>
      </c>
      <c r="B6983" s="6">
        <v>0.125</v>
      </c>
      <c r="C6983" s="6">
        <v>0.31480951016900599</v>
      </c>
    </row>
    <row r="6984" spans="1:3" s="8" customFormat="1" x14ac:dyDescent="0.2">
      <c r="A6984" s="6" t="str">
        <f>"CDIPTOSP"</f>
        <v>CDIPTOSP</v>
      </c>
      <c r="B6984" s="6">
        <v>0.12512613521695201</v>
      </c>
      <c r="C6984" s="6">
        <v>0.31503693609033401</v>
      </c>
    </row>
    <row r="6985" spans="1:3" s="8" customFormat="1" x14ac:dyDescent="0.2">
      <c r="A6985" s="6" t="str">
        <f>"PVRIG2P"</f>
        <v>PVRIG2P</v>
      </c>
      <c r="B6985" s="6">
        <v>0.125125125125125</v>
      </c>
      <c r="C6985" s="6">
        <v>0.31503693609033401</v>
      </c>
    </row>
    <row r="6986" spans="1:3" s="8" customFormat="1" x14ac:dyDescent="0.2">
      <c r="A6986" s="6" t="str">
        <f>"AC074044.1"</f>
        <v>AC074044.1</v>
      </c>
      <c r="B6986" s="6">
        <v>0.125874125874125</v>
      </c>
      <c r="C6986" s="6">
        <v>0.31529496144880698</v>
      </c>
    </row>
    <row r="6987" spans="1:3" s="8" customFormat="1" x14ac:dyDescent="0.2">
      <c r="A6987" s="6" t="str">
        <f>"TFAP2B"</f>
        <v>TFAP2B</v>
      </c>
      <c r="B6987" s="6">
        <v>0.125874125874125</v>
      </c>
      <c r="C6987" s="6">
        <v>0.31529496144880698</v>
      </c>
    </row>
    <row r="6988" spans="1:3" s="8" customFormat="1" x14ac:dyDescent="0.2">
      <c r="A6988" s="6" t="str">
        <f>"OSR2"</f>
        <v>OSR2</v>
      </c>
      <c r="B6988" s="6">
        <v>0.125874125874125</v>
      </c>
      <c r="C6988" s="6">
        <v>0.31529496144880698</v>
      </c>
    </row>
    <row r="6989" spans="1:3" s="8" customFormat="1" x14ac:dyDescent="0.2">
      <c r="A6989" s="6" t="str">
        <f>"AC008946.1"</f>
        <v>AC008946.1</v>
      </c>
      <c r="B6989" s="6">
        <v>0.12565997888067501</v>
      </c>
      <c r="C6989" s="6">
        <v>0.31529496144880698</v>
      </c>
    </row>
    <row r="6990" spans="1:3" s="8" customFormat="1" x14ac:dyDescent="0.2">
      <c r="A6990" s="6" t="str">
        <f>"AC127024.7"</f>
        <v>AC127024.7</v>
      </c>
      <c r="B6990" s="6">
        <v>0.12567713976164599</v>
      </c>
      <c r="C6990" s="6">
        <v>0.31529496144880698</v>
      </c>
    </row>
    <row r="6991" spans="1:3" s="8" customFormat="1" x14ac:dyDescent="0.2">
      <c r="A6991" s="6" t="str">
        <f>"PCDH11Y"</f>
        <v>PCDH11Y</v>
      </c>
      <c r="B6991" s="6">
        <v>0.125874125874125</v>
      </c>
      <c r="C6991" s="6">
        <v>0.31529496144880698</v>
      </c>
    </row>
    <row r="6992" spans="1:3" s="8" customFormat="1" x14ac:dyDescent="0.2">
      <c r="A6992" s="6" t="str">
        <f>"AC026150.1"</f>
        <v>AC026150.1</v>
      </c>
      <c r="B6992" s="6">
        <v>0.125260960334029</v>
      </c>
      <c r="C6992" s="6">
        <v>0.31529496144880698</v>
      </c>
    </row>
    <row r="6993" spans="1:3" s="8" customFormat="1" x14ac:dyDescent="0.2">
      <c r="A6993" s="6" t="str">
        <f>"C17orf50"</f>
        <v>C17orf50</v>
      </c>
      <c r="B6993" s="6">
        <v>0.125874125874125</v>
      </c>
      <c r="C6993" s="6">
        <v>0.31529496144880698</v>
      </c>
    </row>
    <row r="6994" spans="1:3" s="8" customFormat="1" x14ac:dyDescent="0.2">
      <c r="A6994" s="6" t="str">
        <f>"OR5AS1"</f>
        <v>OR5AS1</v>
      </c>
      <c r="B6994" s="6">
        <v>0.125874125874125</v>
      </c>
      <c r="C6994" s="6">
        <v>0.31529496144880698</v>
      </c>
    </row>
    <row r="6995" spans="1:3" s="8" customFormat="1" x14ac:dyDescent="0.2">
      <c r="A6995" s="6" t="str">
        <f>"CSRP3-AS1"</f>
        <v>CSRP3-AS1</v>
      </c>
      <c r="B6995" s="6">
        <v>0.125874125874125</v>
      </c>
      <c r="C6995" s="6">
        <v>0.31529496144880698</v>
      </c>
    </row>
    <row r="6996" spans="1:3" s="8" customFormat="1" x14ac:dyDescent="0.2">
      <c r="A6996" s="6" t="str">
        <f>"RAB42"</f>
        <v>RAB42</v>
      </c>
      <c r="B6996" s="6">
        <v>0.125874125874125</v>
      </c>
      <c r="C6996" s="6">
        <v>0.31529496144880698</v>
      </c>
    </row>
    <row r="6997" spans="1:3" s="8" customFormat="1" x14ac:dyDescent="0.2">
      <c r="A6997" s="6" t="str">
        <f>"BOLA2"</f>
        <v>BOLA2</v>
      </c>
      <c r="B6997" s="6">
        <v>0.125874125874125</v>
      </c>
      <c r="C6997" s="6">
        <v>0.31529496144880698</v>
      </c>
    </row>
    <row r="6998" spans="1:3" s="8" customFormat="1" x14ac:dyDescent="0.2">
      <c r="A6998" s="6" t="str">
        <f>"AC092111.1"</f>
        <v>AC092111.1</v>
      </c>
      <c r="B6998" s="6">
        <v>0.125874125874125</v>
      </c>
      <c r="C6998" s="6">
        <v>0.31529496144880698</v>
      </c>
    </row>
    <row r="6999" spans="1:3" s="8" customFormat="1" x14ac:dyDescent="0.2">
      <c r="A6999" s="6" t="str">
        <f>"PRX"</f>
        <v>PRX</v>
      </c>
      <c r="B6999" s="6">
        <v>0.125874125874125</v>
      </c>
      <c r="C6999" s="6">
        <v>0.31529496144880698</v>
      </c>
    </row>
    <row r="7000" spans="1:3" s="8" customFormat="1" x14ac:dyDescent="0.2">
      <c r="A7000" s="6" t="str">
        <f>"ABCD2"</f>
        <v>ABCD2</v>
      </c>
      <c r="B7000" s="6">
        <v>0.125874125874125</v>
      </c>
      <c r="C7000" s="6">
        <v>0.31529496144880698</v>
      </c>
    </row>
    <row r="7001" spans="1:3" s="8" customFormat="1" x14ac:dyDescent="0.2">
      <c r="A7001" s="6" t="str">
        <f>"NRSN2-AS1"</f>
        <v>NRSN2-AS1</v>
      </c>
      <c r="B7001" s="6">
        <v>0.125874125874125</v>
      </c>
      <c r="C7001" s="6">
        <v>0.31529496144880698</v>
      </c>
    </row>
    <row r="7002" spans="1:3" s="8" customFormat="1" x14ac:dyDescent="0.2">
      <c r="A7002" s="6" t="str">
        <f>"TMEM80"</f>
        <v>TMEM80</v>
      </c>
      <c r="B7002" s="6">
        <v>0.125874125874125</v>
      </c>
      <c r="C7002" s="6">
        <v>0.31529496144880698</v>
      </c>
    </row>
    <row r="7003" spans="1:3" s="8" customFormat="1" x14ac:dyDescent="0.2">
      <c r="A7003" s="6" t="str">
        <f>"TCTEX1D1"</f>
        <v>TCTEX1D1</v>
      </c>
      <c r="B7003" s="6">
        <v>0.125874125874125</v>
      </c>
      <c r="C7003" s="6">
        <v>0.31529496144880698</v>
      </c>
    </row>
    <row r="7004" spans="1:3" s="8" customFormat="1" x14ac:dyDescent="0.2">
      <c r="A7004" s="6" t="str">
        <f>"SENP1"</f>
        <v>SENP1</v>
      </c>
      <c r="B7004" s="6">
        <v>0.125874125874125</v>
      </c>
      <c r="C7004" s="6">
        <v>0.31529496144880698</v>
      </c>
    </row>
    <row r="7005" spans="1:3" s="8" customFormat="1" x14ac:dyDescent="0.2">
      <c r="A7005" s="6" t="str">
        <f>"ZNRD2"</f>
        <v>ZNRD2</v>
      </c>
      <c r="B7005" s="6">
        <v>0.125874125874125</v>
      </c>
      <c r="C7005" s="6">
        <v>0.31529496144880698</v>
      </c>
    </row>
    <row r="7006" spans="1:3" s="8" customFormat="1" x14ac:dyDescent="0.2">
      <c r="A7006" s="6" t="str">
        <f>"MAPK7"</f>
        <v>MAPK7</v>
      </c>
      <c r="B7006" s="6">
        <v>0.125874125874125</v>
      </c>
      <c r="C7006" s="6">
        <v>0.31529496144880698</v>
      </c>
    </row>
    <row r="7007" spans="1:3" s="8" customFormat="1" x14ac:dyDescent="0.2">
      <c r="A7007" s="6" t="str">
        <f>"PCDH20"</f>
        <v>PCDH20</v>
      </c>
      <c r="B7007" s="6">
        <v>0.125874125874125</v>
      </c>
      <c r="C7007" s="6">
        <v>0.31529496144880698</v>
      </c>
    </row>
    <row r="7008" spans="1:3" s="8" customFormat="1" x14ac:dyDescent="0.2">
      <c r="A7008" s="6" t="str">
        <f>"MTFR1"</f>
        <v>MTFR1</v>
      </c>
      <c r="B7008" s="6">
        <v>0.125874125874125</v>
      </c>
      <c r="C7008" s="6">
        <v>0.31529496144880698</v>
      </c>
    </row>
    <row r="7009" spans="1:3" s="8" customFormat="1" x14ac:dyDescent="0.2">
      <c r="A7009" s="6" t="str">
        <f>"ABCC3"</f>
        <v>ABCC3</v>
      </c>
      <c r="B7009" s="6">
        <v>0.125874125874125</v>
      </c>
      <c r="C7009" s="6">
        <v>0.31529496144880698</v>
      </c>
    </row>
    <row r="7010" spans="1:3" s="8" customFormat="1" x14ac:dyDescent="0.2">
      <c r="A7010" s="6" t="str">
        <f>"ZBTB11"</f>
        <v>ZBTB11</v>
      </c>
      <c r="B7010" s="6">
        <v>0.125874125874125</v>
      </c>
      <c r="C7010" s="6">
        <v>0.31529496144880698</v>
      </c>
    </row>
    <row r="7011" spans="1:3" s="8" customFormat="1" x14ac:dyDescent="0.2">
      <c r="A7011" s="6" t="str">
        <f>"SLC51A"</f>
        <v>SLC51A</v>
      </c>
      <c r="B7011" s="6">
        <v>0.125874125874125</v>
      </c>
      <c r="C7011" s="6">
        <v>0.31529496144880698</v>
      </c>
    </row>
    <row r="7012" spans="1:3" s="8" customFormat="1" x14ac:dyDescent="0.2">
      <c r="A7012" s="6" t="str">
        <f>"NT5C3B"</f>
        <v>NT5C3B</v>
      </c>
      <c r="B7012" s="6">
        <v>0.125874125874125</v>
      </c>
      <c r="C7012" s="6">
        <v>0.31529496144880698</v>
      </c>
    </row>
    <row r="7013" spans="1:3" s="8" customFormat="1" x14ac:dyDescent="0.2">
      <c r="A7013" s="6" t="str">
        <f>"SPHK2"</f>
        <v>SPHK2</v>
      </c>
      <c r="B7013" s="6">
        <v>0.125874125874125</v>
      </c>
      <c r="C7013" s="6">
        <v>0.31529496144880698</v>
      </c>
    </row>
    <row r="7014" spans="1:3" s="8" customFormat="1" x14ac:dyDescent="0.2">
      <c r="A7014" s="6" t="str">
        <f>"CENPC"</f>
        <v>CENPC</v>
      </c>
      <c r="B7014" s="6">
        <v>0.125874125874125</v>
      </c>
      <c r="C7014" s="6">
        <v>0.31529496144880698</v>
      </c>
    </row>
    <row r="7015" spans="1:3" s="8" customFormat="1" x14ac:dyDescent="0.2">
      <c r="A7015" s="6" t="str">
        <f>"OSBPL10"</f>
        <v>OSBPL10</v>
      </c>
      <c r="B7015" s="6">
        <v>0.125874125874125</v>
      </c>
      <c r="C7015" s="6">
        <v>0.31529496144880698</v>
      </c>
    </row>
    <row r="7016" spans="1:3" s="8" customFormat="1" x14ac:dyDescent="0.2">
      <c r="A7016" s="6" t="str">
        <f>"CACTIN"</f>
        <v>CACTIN</v>
      </c>
      <c r="B7016" s="6">
        <v>0.125874125874125</v>
      </c>
      <c r="C7016" s="6">
        <v>0.31529496144880698</v>
      </c>
    </row>
    <row r="7017" spans="1:3" s="8" customFormat="1" x14ac:dyDescent="0.2">
      <c r="A7017" s="6" t="str">
        <f>"MAPKAPK3"</f>
        <v>MAPKAPK3</v>
      </c>
      <c r="B7017" s="6">
        <v>0.125874125874125</v>
      </c>
      <c r="C7017" s="6">
        <v>0.31529496144880698</v>
      </c>
    </row>
    <row r="7018" spans="1:3" s="8" customFormat="1" x14ac:dyDescent="0.2">
      <c r="A7018" s="6" t="str">
        <f>"PEX13"</f>
        <v>PEX13</v>
      </c>
      <c r="B7018" s="6">
        <v>0.125874125874125</v>
      </c>
      <c r="C7018" s="6">
        <v>0.31529496144880698</v>
      </c>
    </row>
    <row r="7019" spans="1:3" s="8" customFormat="1" x14ac:dyDescent="0.2">
      <c r="A7019" s="6" t="str">
        <f>"GALNT6"</f>
        <v>GALNT6</v>
      </c>
      <c r="B7019" s="6">
        <v>0.125874125874125</v>
      </c>
      <c r="C7019" s="6">
        <v>0.31529496144880698</v>
      </c>
    </row>
    <row r="7020" spans="1:3" s="8" customFormat="1" x14ac:dyDescent="0.2">
      <c r="A7020" s="6" t="str">
        <f>"IRF3"</f>
        <v>IRF3</v>
      </c>
      <c r="B7020" s="6">
        <v>0.125874125874125</v>
      </c>
      <c r="C7020" s="6">
        <v>0.31529496144880698</v>
      </c>
    </row>
    <row r="7021" spans="1:3" s="8" customFormat="1" x14ac:dyDescent="0.2">
      <c r="A7021" s="6" t="str">
        <f>"DHRS7"</f>
        <v>DHRS7</v>
      </c>
      <c r="B7021" s="6">
        <v>0.125874125874125</v>
      </c>
      <c r="C7021" s="6">
        <v>0.31529496144880698</v>
      </c>
    </row>
    <row r="7022" spans="1:3" s="8" customFormat="1" x14ac:dyDescent="0.2">
      <c r="A7022" s="6" t="str">
        <f>"KCNRG"</f>
        <v>KCNRG</v>
      </c>
      <c r="B7022" s="6">
        <v>0.126</v>
      </c>
      <c r="C7022" s="6">
        <v>0.31556530408773598</v>
      </c>
    </row>
    <row r="7023" spans="1:3" s="8" customFormat="1" x14ac:dyDescent="0.2">
      <c r="A7023" s="6" t="str">
        <f>"COL8A2"</f>
        <v>COL8A2</v>
      </c>
      <c r="B7023" s="6">
        <v>0.12625250501002</v>
      </c>
      <c r="C7023" s="6">
        <v>0.31615266990831498</v>
      </c>
    </row>
    <row r="7024" spans="1:3" s="8" customFormat="1" x14ac:dyDescent="0.2">
      <c r="A7024" s="6" t="str">
        <f>"MROH2A"</f>
        <v>MROH2A</v>
      </c>
      <c r="B7024" s="6">
        <v>0.12687312687312599</v>
      </c>
      <c r="C7024" s="6">
        <v>0.31653477056428198</v>
      </c>
    </row>
    <row r="7025" spans="1:3" s="8" customFormat="1" x14ac:dyDescent="0.2">
      <c r="A7025" s="6" t="str">
        <f>"AC003086.1"</f>
        <v>AC003086.1</v>
      </c>
      <c r="B7025" s="6">
        <v>0.12687312687312599</v>
      </c>
      <c r="C7025" s="6">
        <v>0.31653477056428198</v>
      </c>
    </row>
    <row r="7026" spans="1:3" s="8" customFormat="1" x14ac:dyDescent="0.2">
      <c r="A7026" s="6" t="str">
        <f>"AL157912.1"</f>
        <v>AL157912.1</v>
      </c>
      <c r="B7026" s="6">
        <v>0.12687312687312599</v>
      </c>
      <c r="C7026" s="6">
        <v>0.31653477056428198</v>
      </c>
    </row>
    <row r="7027" spans="1:3" s="8" customFormat="1" x14ac:dyDescent="0.2">
      <c r="A7027" s="6" t="str">
        <f>"AC083899.1"</f>
        <v>AC083899.1</v>
      </c>
      <c r="B7027" s="6">
        <v>0.12687312687312599</v>
      </c>
      <c r="C7027" s="6">
        <v>0.31653477056428198</v>
      </c>
    </row>
    <row r="7028" spans="1:3" s="8" customFormat="1" x14ac:dyDescent="0.2">
      <c r="A7028" s="6" t="str">
        <f>"AC116913.1"</f>
        <v>AC116913.1</v>
      </c>
      <c r="B7028" s="6">
        <v>0.12687312687312599</v>
      </c>
      <c r="C7028" s="6">
        <v>0.31653477056428198</v>
      </c>
    </row>
    <row r="7029" spans="1:3" s="8" customFormat="1" x14ac:dyDescent="0.2">
      <c r="A7029" s="6" t="str">
        <f>"DLX5"</f>
        <v>DLX5</v>
      </c>
      <c r="B7029" s="6">
        <v>0.12687312687312599</v>
      </c>
      <c r="C7029" s="6">
        <v>0.31653477056428198</v>
      </c>
    </row>
    <row r="7030" spans="1:3" s="8" customFormat="1" x14ac:dyDescent="0.2">
      <c r="A7030" s="6" t="str">
        <f>"GNLY"</f>
        <v>GNLY</v>
      </c>
      <c r="B7030" s="6">
        <v>0.12687312687312599</v>
      </c>
      <c r="C7030" s="6">
        <v>0.31653477056428198</v>
      </c>
    </row>
    <row r="7031" spans="1:3" s="8" customFormat="1" x14ac:dyDescent="0.2">
      <c r="A7031" s="6" t="str">
        <f>"AC078846.1"</f>
        <v>AC078846.1</v>
      </c>
      <c r="B7031" s="6">
        <v>0.12687312687312599</v>
      </c>
      <c r="C7031" s="6">
        <v>0.31653477056428198</v>
      </c>
    </row>
    <row r="7032" spans="1:3" s="8" customFormat="1" x14ac:dyDescent="0.2">
      <c r="A7032" s="6" t="str">
        <f>"AC124067.4"</f>
        <v>AC124067.4</v>
      </c>
      <c r="B7032" s="6">
        <v>0.12687312687312599</v>
      </c>
      <c r="C7032" s="6">
        <v>0.31653477056428198</v>
      </c>
    </row>
    <row r="7033" spans="1:3" s="8" customFormat="1" x14ac:dyDescent="0.2">
      <c r="A7033" s="6" t="str">
        <f>"BDNF-AS"</f>
        <v>BDNF-AS</v>
      </c>
      <c r="B7033" s="6">
        <v>0.12687312687312599</v>
      </c>
      <c r="C7033" s="6">
        <v>0.31653477056428198</v>
      </c>
    </row>
    <row r="7034" spans="1:3" s="8" customFormat="1" x14ac:dyDescent="0.2">
      <c r="A7034" s="6" t="str">
        <f>"LINC01415"</f>
        <v>LINC01415</v>
      </c>
      <c r="B7034" s="6">
        <v>0.12687312687312599</v>
      </c>
      <c r="C7034" s="6">
        <v>0.31653477056428198</v>
      </c>
    </row>
    <row r="7035" spans="1:3" s="8" customFormat="1" x14ac:dyDescent="0.2">
      <c r="A7035" s="6" t="str">
        <f>"MRPL1"</f>
        <v>MRPL1</v>
      </c>
      <c r="B7035" s="6">
        <v>0.12687312687312599</v>
      </c>
      <c r="C7035" s="6">
        <v>0.31653477056428198</v>
      </c>
    </row>
    <row r="7036" spans="1:3" s="8" customFormat="1" x14ac:dyDescent="0.2">
      <c r="A7036" s="6" t="str">
        <f>"COMMD3-BMI1"</f>
        <v>COMMD3-BMI1</v>
      </c>
      <c r="B7036" s="6">
        <v>0.12687312687312599</v>
      </c>
      <c r="C7036" s="6">
        <v>0.31653477056428198</v>
      </c>
    </row>
    <row r="7037" spans="1:3" s="8" customFormat="1" x14ac:dyDescent="0.2">
      <c r="A7037" s="6" t="str">
        <f>"DPY19L3"</f>
        <v>DPY19L3</v>
      </c>
      <c r="B7037" s="6">
        <v>0.12687312687312599</v>
      </c>
      <c r="C7037" s="6">
        <v>0.31653477056428198</v>
      </c>
    </row>
    <row r="7038" spans="1:3" s="8" customFormat="1" x14ac:dyDescent="0.2">
      <c r="A7038" s="6" t="str">
        <f>"LY75-CD302"</f>
        <v>LY75-CD302</v>
      </c>
      <c r="B7038" s="6">
        <v>0.12687312687312599</v>
      </c>
      <c r="C7038" s="6">
        <v>0.31653477056428198</v>
      </c>
    </row>
    <row r="7039" spans="1:3" s="8" customFormat="1" x14ac:dyDescent="0.2">
      <c r="A7039" s="6" t="str">
        <f>"CDK18"</f>
        <v>CDK18</v>
      </c>
      <c r="B7039" s="6">
        <v>0.12687312687312599</v>
      </c>
      <c r="C7039" s="6">
        <v>0.31653477056428198</v>
      </c>
    </row>
    <row r="7040" spans="1:3" s="8" customFormat="1" x14ac:dyDescent="0.2">
      <c r="A7040" s="6" t="str">
        <f>"NADSYN1"</f>
        <v>NADSYN1</v>
      </c>
      <c r="B7040" s="6">
        <v>0.12687312687312599</v>
      </c>
      <c r="C7040" s="6">
        <v>0.31653477056428198</v>
      </c>
    </row>
    <row r="7041" spans="1:3" s="8" customFormat="1" x14ac:dyDescent="0.2">
      <c r="A7041" s="6" t="str">
        <f>"TRIM27"</f>
        <v>TRIM27</v>
      </c>
      <c r="B7041" s="6">
        <v>0.12687312687312599</v>
      </c>
      <c r="C7041" s="6">
        <v>0.31653477056428198</v>
      </c>
    </row>
    <row r="7042" spans="1:3" s="8" customFormat="1" x14ac:dyDescent="0.2">
      <c r="A7042" s="6" t="str">
        <f>"VWA2"</f>
        <v>VWA2</v>
      </c>
      <c r="B7042" s="6">
        <v>0.12687312687312599</v>
      </c>
      <c r="C7042" s="6">
        <v>0.31653477056428198</v>
      </c>
    </row>
    <row r="7043" spans="1:3" s="8" customFormat="1" x14ac:dyDescent="0.2">
      <c r="A7043" s="6" t="str">
        <f>"VPS25"</f>
        <v>VPS25</v>
      </c>
      <c r="B7043" s="6">
        <v>0.12687312687312599</v>
      </c>
      <c r="C7043" s="6">
        <v>0.31653477056428198</v>
      </c>
    </row>
    <row r="7044" spans="1:3" s="8" customFormat="1" x14ac:dyDescent="0.2">
      <c r="A7044" s="6" t="str">
        <f>"ELAC2"</f>
        <v>ELAC2</v>
      </c>
      <c r="B7044" s="6">
        <v>0.12687312687312599</v>
      </c>
      <c r="C7044" s="6">
        <v>0.31653477056428198</v>
      </c>
    </row>
    <row r="7045" spans="1:3" s="8" customFormat="1" x14ac:dyDescent="0.2">
      <c r="A7045" s="6" t="str">
        <f>"LTBP4"</f>
        <v>LTBP4</v>
      </c>
      <c r="B7045" s="6">
        <v>0.12687312687312599</v>
      </c>
      <c r="C7045" s="6">
        <v>0.31653477056428198</v>
      </c>
    </row>
    <row r="7046" spans="1:3" s="8" customFormat="1" x14ac:dyDescent="0.2">
      <c r="A7046" s="6" t="str">
        <f>"ATP2B1"</f>
        <v>ATP2B1</v>
      </c>
      <c r="B7046" s="6">
        <v>0.12687312687312599</v>
      </c>
      <c r="C7046" s="6">
        <v>0.31653477056428198</v>
      </c>
    </row>
    <row r="7047" spans="1:3" s="8" customFormat="1" x14ac:dyDescent="0.2">
      <c r="A7047" s="6" t="str">
        <f>"DTX3L"</f>
        <v>DTX3L</v>
      </c>
      <c r="B7047" s="6">
        <v>0.12687312687312599</v>
      </c>
      <c r="C7047" s="6">
        <v>0.31653477056428198</v>
      </c>
    </row>
    <row r="7048" spans="1:3" s="8" customFormat="1" x14ac:dyDescent="0.2">
      <c r="A7048" s="6" t="str">
        <f>"DAW1"</f>
        <v>DAW1</v>
      </c>
      <c r="B7048" s="6">
        <v>0.12687312687312599</v>
      </c>
      <c r="C7048" s="6">
        <v>0.31653477056428198</v>
      </c>
    </row>
    <row r="7049" spans="1:3" s="8" customFormat="1" x14ac:dyDescent="0.2">
      <c r="A7049" s="6" t="str">
        <f>"FER1L6"</f>
        <v>FER1L6</v>
      </c>
      <c r="B7049" s="6">
        <v>0.12687312687312599</v>
      </c>
      <c r="C7049" s="6">
        <v>0.31653477056428198</v>
      </c>
    </row>
    <row r="7050" spans="1:3" s="8" customFormat="1" x14ac:dyDescent="0.2">
      <c r="A7050" s="6" t="str">
        <f>"BCL2L10"</f>
        <v>BCL2L10</v>
      </c>
      <c r="B7050" s="6">
        <v>0.127</v>
      </c>
      <c r="C7050" s="6">
        <v>0.316761418439716</v>
      </c>
    </row>
    <row r="7051" spans="1:3" s="8" customFormat="1" x14ac:dyDescent="0.2">
      <c r="A7051" s="6" t="str">
        <f>"C1orf158"</f>
        <v>C1orf158</v>
      </c>
      <c r="B7051" s="6">
        <v>0.127</v>
      </c>
      <c r="C7051" s="6">
        <v>0.316761418439716</v>
      </c>
    </row>
    <row r="7052" spans="1:3" s="8" customFormat="1" x14ac:dyDescent="0.2">
      <c r="A7052" s="6" t="str">
        <f>"RHOQP3"</f>
        <v>RHOQP3</v>
      </c>
      <c r="B7052" s="6">
        <v>0.12714429868819299</v>
      </c>
      <c r="C7052" s="6">
        <v>0.31707635060745898</v>
      </c>
    </row>
    <row r="7053" spans="1:3" s="8" customFormat="1" x14ac:dyDescent="0.2">
      <c r="A7053" s="6" t="str">
        <f>"SPATA41"</f>
        <v>SPATA41</v>
      </c>
      <c r="B7053" s="6">
        <v>0.127187864644107</v>
      </c>
      <c r="C7053" s="6">
        <v>0.317140018704195</v>
      </c>
    </row>
    <row r="7054" spans="1:3" s="8" customFormat="1" x14ac:dyDescent="0.2">
      <c r="A7054" s="6" t="str">
        <f>"IGHV3-15"</f>
        <v>IGHV3-15</v>
      </c>
      <c r="B7054" s="6">
        <v>0.12787212787212701</v>
      </c>
      <c r="C7054" s="6">
        <v>0.317450726599392</v>
      </c>
    </row>
    <row r="7055" spans="1:3" s="8" customFormat="1" x14ac:dyDescent="0.2">
      <c r="A7055" s="6" t="str">
        <f>"TRBV28"</f>
        <v>TRBV28</v>
      </c>
      <c r="B7055" s="6">
        <v>0.12787212787212701</v>
      </c>
      <c r="C7055" s="6">
        <v>0.317450726599392</v>
      </c>
    </row>
    <row r="7056" spans="1:3" s="8" customFormat="1" x14ac:dyDescent="0.2">
      <c r="A7056" s="6" t="str">
        <f>"IHO1"</f>
        <v>IHO1</v>
      </c>
      <c r="B7056" s="6">
        <v>0.127843986998916</v>
      </c>
      <c r="C7056" s="6">
        <v>0.317450726599392</v>
      </c>
    </row>
    <row r="7057" spans="1:3" s="8" customFormat="1" x14ac:dyDescent="0.2">
      <c r="A7057" s="6" t="str">
        <f>"AL157893.2"</f>
        <v>AL157893.2</v>
      </c>
      <c r="B7057" s="6">
        <v>0.127615062761506</v>
      </c>
      <c r="C7057" s="6">
        <v>0.317450726599392</v>
      </c>
    </row>
    <row r="7058" spans="1:3" s="8" customFormat="1" x14ac:dyDescent="0.2">
      <c r="A7058" s="6" t="str">
        <f>"AC105052.4"</f>
        <v>AC105052.4</v>
      </c>
      <c r="B7058" s="6">
        <v>0.12787212787212701</v>
      </c>
      <c r="C7058" s="6">
        <v>0.317450726599392</v>
      </c>
    </row>
    <row r="7059" spans="1:3" s="8" customFormat="1" x14ac:dyDescent="0.2">
      <c r="A7059" s="6" t="str">
        <f>"MPPED1"</f>
        <v>MPPED1</v>
      </c>
      <c r="B7059" s="6">
        <v>0.12787212787212701</v>
      </c>
      <c r="C7059" s="6">
        <v>0.317450726599392</v>
      </c>
    </row>
    <row r="7060" spans="1:3" s="8" customFormat="1" x14ac:dyDescent="0.2">
      <c r="A7060" s="6" t="str">
        <f>"ZRANB2-AS2"</f>
        <v>ZRANB2-AS2</v>
      </c>
      <c r="B7060" s="6">
        <v>0.12787212787212701</v>
      </c>
      <c r="C7060" s="6">
        <v>0.317450726599392</v>
      </c>
    </row>
    <row r="7061" spans="1:3" s="8" customFormat="1" x14ac:dyDescent="0.2">
      <c r="A7061" s="6" t="str">
        <f>"SYN3"</f>
        <v>SYN3</v>
      </c>
      <c r="B7061" s="6">
        <v>0.12787212787212701</v>
      </c>
      <c r="C7061" s="6">
        <v>0.317450726599392</v>
      </c>
    </row>
    <row r="7062" spans="1:3" s="8" customFormat="1" x14ac:dyDescent="0.2">
      <c r="A7062" s="6" t="str">
        <f>"ZNF815P"</f>
        <v>ZNF815P</v>
      </c>
      <c r="B7062" s="6">
        <v>0.12787212787212701</v>
      </c>
      <c r="C7062" s="6">
        <v>0.317450726599392</v>
      </c>
    </row>
    <row r="7063" spans="1:3" s="8" customFormat="1" x14ac:dyDescent="0.2">
      <c r="A7063" s="6" t="str">
        <f>"CCDC7"</f>
        <v>CCDC7</v>
      </c>
      <c r="B7063" s="6">
        <v>0.12787212787212701</v>
      </c>
      <c r="C7063" s="6">
        <v>0.317450726599392</v>
      </c>
    </row>
    <row r="7064" spans="1:3" s="8" customFormat="1" x14ac:dyDescent="0.2">
      <c r="A7064" s="6" t="str">
        <f>"DCT"</f>
        <v>DCT</v>
      </c>
      <c r="B7064" s="6">
        <v>0.12787212787212701</v>
      </c>
      <c r="C7064" s="6">
        <v>0.317450726599392</v>
      </c>
    </row>
    <row r="7065" spans="1:3" s="8" customFormat="1" x14ac:dyDescent="0.2">
      <c r="A7065" s="6" t="str">
        <f>"GPLD1"</f>
        <v>GPLD1</v>
      </c>
      <c r="B7065" s="6">
        <v>0.12787212787212701</v>
      </c>
      <c r="C7065" s="6">
        <v>0.317450726599392</v>
      </c>
    </row>
    <row r="7066" spans="1:3" s="8" customFormat="1" x14ac:dyDescent="0.2">
      <c r="A7066" s="6" t="str">
        <f>"AC092171.5"</f>
        <v>AC092171.5</v>
      </c>
      <c r="B7066" s="6">
        <v>0.12787212787212701</v>
      </c>
      <c r="C7066" s="6">
        <v>0.317450726599392</v>
      </c>
    </row>
    <row r="7067" spans="1:3" s="8" customFormat="1" x14ac:dyDescent="0.2">
      <c r="A7067" s="6" t="str">
        <f>"POLR1G"</f>
        <v>POLR1G</v>
      </c>
      <c r="B7067" s="6">
        <v>0.12787212787212701</v>
      </c>
      <c r="C7067" s="6">
        <v>0.317450726599392</v>
      </c>
    </row>
    <row r="7068" spans="1:3" s="8" customFormat="1" x14ac:dyDescent="0.2">
      <c r="A7068" s="6" t="str">
        <f>"TSPY26P"</f>
        <v>TSPY26P</v>
      </c>
      <c r="B7068" s="6">
        <v>0.12787212787212701</v>
      </c>
      <c r="C7068" s="6">
        <v>0.317450726599392</v>
      </c>
    </row>
    <row r="7069" spans="1:3" s="8" customFormat="1" x14ac:dyDescent="0.2">
      <c r="A7069" s="6" t="str">
        <f>"AC009237.14"</f>
        <v>AC009237.14</v>
      </c>
      <c r="B7069" s="6">
        <v>0.12787212787212701</v>
      </c>
      <c r="C7069" s="6">
        <v>0.317450726599392</v>
      </c>
    </row>
    <row r="7070" spans="1:3" s="8" customFormat="1" x14ac:dyDescent="0.2">
      <c r="A7070" s="6" t="str">
        <f>"CLDN8"</f>
        <v>CLDN8</v>
      </c>
      <c r="B7070" s="6">
        <v>0.12787212787212701</v>
      </c>
      <c r="C7070" s="6">
        <v>0.317450726599392</v>
      </c>
    </row>
    <row r="7071" spans="1:3" s="8" customFormat="1" x14ac:dyDescent="0.2">
      <c r="A7071" s="6" t="str">
        <f>"CACNA1D"</f>
        <v>CACNA1D</v>
      </c>
      <c r="B7071" s="6">
        <v>0.12787212787212701</v>
      </c>
      <c r="C7071" s="6">
        <v>0.317450726599392</v>
      </c>
    </row>
    <row r="7072" spans="1:3" s="8" customFormat="1" x14ac:dyDescent="0.2">
      <c r="A7072" s="6" t="str">
        <f>"CEP170"</f>
        <v>CEP170</v>
      </c>
      <c r="B7072" s="6">
        <v>0.12787212787212701</v>
      </c>
      <c r="C7072" s="6">
        <v>0.317450726599392</v>
      </c>
    </row>
    <row r="7073" spans="1:3" s="8" customFormat="1" x14ac:dyDescent="0.2">
      <c r="A7073" s="6" t="str">
        <f>"RABGGTA"</f>
        <v>RABGGTA</v>
      </c>
      <c r="B7073" s="6">
        <v>0.12787212787212701</v>
      </c>
      <c r="C7073" s="6">
        <v>0.317450726599392</v>
      </c>
    </row>
    <row r="7074" spans="1:3" s="8" customFormat="1" x14ac:dyDescent="0.2">
      <c r="A7074" s="6" t="str">
        <f>"TCP11L2"</f>
        <v>TCP11L2</v>
      </c>
      <c r="B7074" s="6">
        <v>0.12787212787212701</v>
      </c>
      <c r="C7074" s="6">
        <v>0.317450726599392</v>
      </c>
    </row>
    <row r="7075" spans="1:3" s="8" customFormat="1" x14ac:dyDescent="0.2">
      <c r="A7075" s="6" t="str">
        <f>"CHASERR"</f>
        <v>CHASERR</v>
      </c>
      <c r="B7075" s="6">
        <v>0.12787212787212701</v>
      </c>
      <c r="C7075" s="6">
        <v>0.317450726599392</v>
      </c>
    </row>
    <row r="7076" spans="1:3" s="8" customFormat="1" x14ac:dyDescent="0.2">
      <c r="A7076" s="6" t="str">
        <f>"CCDC93"</f>
        <v>CCDC93</v>
      </c>
      <c r="B7076" s="6">
        <v>0.12787212787212701</v>
      </c>
      <c r="C7076" s="6">
        <v>0.317450726599392</v>
      </c>
    </row>
    <row r="7077" spans="1:3" s="8" customFormat="1" x14ac:dyDescent="0.2">
      <c r="A7077" s="6" t="str">
        <f>"R3HDM2"</f>
        <v>R3HDM2</v>
      </c>
      <c r="B7077" s="6">
        <v>0.12787212787212701</v>
      </c>
      <c r="C7077" s="6">
        <v>0.317450726599392</v>
      </c>
    </row>
    <row r="7078" spans="1:3" s="8" customFormat="1" x14ac:dyDescent="0.2">
      <c r="A7078" s="6" t="str">
        <f>"CEP104"</f>
        <v>CEP104</v>
      </c>
      <c r="B7078" s="6">
        <v>0.12787212787212701</v>
      </c>
      <c r="C7078" s="6">
        <v>0.317450726599392</v>
      </c>
    </row>
    <row r="7079" spans="1:3" s="8" customFormat="1" x14ac:dyDescent="0.2">
      <c r="A7079" s="6" t="str">
        <f>"SUMO1"</f>
        <v>SUMO1</v>
      </c>
      <c r="B7079" s="6">
        <v>0.12787212787212701</v>
      </c>
      <c r="C7079" s="6">
        <v>0.317450726599392</v>
      </c>
    </row>
    <row r="7080" spans="1:3" s="8" customFormat="1" x14ac:dyDescent="0.2">
      <c r="A7080" s="6" t="str">
        <f>"YAP1"</f>
        <v>YAP1</v>
      </c>
      <c r="B7080" s="6">
        <v>0.12787212787212701</v>
      </c>
      <c r="C7080" s="6">
        <v>0.317450726599392</v>
      </c>
    </row>
    <row r="7081" spans="1:3" s="8" customFormat="1" x14ac:dyDescent="0.2">
      <c r="A7081" s="6" t="str">
        <f>"SLC39A9"</f>
        <v>SLC39A9</v>
      </c>
      <c r="B7081" s="6">
        <v>0.12787212787212701</v>
      </c>
      <c r="C7081" s="6">
        <v>0.317450726599392</v>
      </c>
    </row>
    <row r="7082" spans="1:3" s="8" customFormat="1" x14ac:dyDescent="0.2">
      <c r="A7082" s="6" t="str">
        <f>"KREMEN1"</f>
        <v>KREMEN1</v>
      </c>
      <c r="B7082" s="6">
        <v>0.12787212787212701</v>
      </c>
      <c r="C7082" s="6">
        <v>0.317450726599392</v>
      </c>
    </row>
    <row r="7083" spans="1:3" s="8" customFormat="1" x14ac:dyDescent="0.2">
      <c r="A7083" s="6" t="str">
        <f>"CTSA"</f>
        <v>CTSA</v>
      </c>
      <c r="B7083" s="6">
        <v>0.12787212787212701</v>
      </c>
      <c r="C7083" s="6">
        <v>0.317450726599392</v>
      </c>
    </row>
    <row r="7084" spans="1:3" s="8" customFormat="1" x14ac:dyDescent="0.2">
      <c r="A7084" s="6" t="str">
        <f>"STEAP3"</f>
        <v>STEAP3</v>
      </c>
      <c r="B7084" s="6">
        <v>0.12787212787212701</v>
      </c>
      <c r="C7084" s="6">
        <v>0.317450726599392</v>
      </c>
    </row>
    <row r="7085" spans="1:3" s="8" customFormat="1" x14ac:dyDescent="0.2">
      <c r="A7085" s="6" t="str">
        <f>"SPAG5-AS1"</f>
        <v>SPAG5-AS1</v>
      </c>
      <c r="B7085" s="6">
        <v>0.128</v>
      </c>
      <c r="C7085" s="6">
        <v>0.31758882460843701</v>
      </c>
    </row>
    <row r="7086" spans="1:3" s="8" customFormat="1" x14ac:dyDescent="0.2">
      <c r="A7086" s="6" t="str">
        <f>"AC080112.4"</f>
        <v>AC080112.4</v>
      </c>
      <c r="B7086" s="6">
        <v>0.128</v>
      </c>
      <c r="C7086" s="6">
        <v>0.31758882460843701</v>
      </c>
    </row>
    <row r="7087" spans="1:3" s="8" customFormat="1" x14ac:dyDescent="0.2">
      <c r="A7087" s="6" t="str">
        <f>"AP5S1"</f>
        <v>AP5S1</v>
      </c>
      <c r="B7087" s="6">
        <v>0.128</v>
      </c>
      <c r="C7087" s="6">
        <v>0.31758882460843701</v>
      </c>
    </row>
    <row r="7088" spans="1:3" s="8" customFormat="1" x14ac:dyDescent="0.2">
      <c r="A7088" s="6" t="str">
        <f>"ARMC4"</f>
        <v>ARMC4</v>
      </c>
      <c r="B7088" s="6">
        <v>0.128</v>
      </c>
      <c r="C7088" s="6">
        <v>0.31758882460843701</v>
      </c>
    </row>
    <row r="7089" spans="1:3" s="8" customFormat="1" x14ac:dyDescent="0.2">
      <c r="A7089" s="6" t="str">
        <f>"WDR38"</f>
        <v>WDR38</v>
      </c>
      <c r="B7089" s="6">
        <v>0.12812812812812799</v>
      </c>
      <c r="C7089" s="6">
        <v>0.31786187993862902</v>
      </c>
    </row>
    <row r="7090" spans="1:3" s="8" customFormat="1" x14ac:dyDescent="0.2">
      <c r="A7090" s="6" t="str">
        <f>"LINC01767"</f>
        <v>LINC01767</v>
      </c>
      <c r="B7090" s="6">
        <v>0.128871128871128</v>
      </c>
      <c r="C7090" s="6">
        <v>0.31817887251754101</v>
      </c>
    </row>
    <row r="7091" spans="1:3" s="8" customFormat="1" x14ac:dyDescent="0.2">
      <c r="A7091" s="6" t="str">
        <f>"RPS26P6"</f>
        <v>RPS26P6</v>
      </c>
      <c r="B7091" s="6">
        <v>0.128871128871128</v>
      </c>
      <c r="C7091" s="6">
        <v>0.31817887251754101</v>
      </c>
    </row>
    <row r="7092" spans="1:3" s="8" customFormat="1" x14ac:dyDescent="0.2">
      <c r="A7092" s="6" t="str">
        <f>"HTRA4"</f>
        <v>HTRA4</v>
      </c>
      <c r="B7092" s="6">
        <v>0.128871128871128</v>
      </c>
      <c r="C7092" s="6">
        <v>0.31817887251754101</v>
      </c>
    </row>
    <row r="7093" spans="1:3" s="8" customFormat="1" x14ac:dyDescent="0.2">
      <c r="A7093" s="6" t="str">
        <f>"GNGT1"</f>
        <v>GNGT1</v>
      </c>
      <c r="B7093" s="6">
        <v>0.128871128871128</v>
      </c>
      <c r="C7093" s="6">
        <v>0.31817887251754101</v>
      </c>
    </row>
    <row r="7094" spans="1:3" s="8" customFormat="1" x14ac:dyDescent="0.2">
      <c r="A7094" s="6" t="str">
        <f>"RRN3P2"</f>
        <v>RRN3P2</v>
      </c>
      <c r="B7094" s="6">
        <v>0.128385155466399</v>
      </c>
      <c r="C7094" s="6">
        <v>0.31817887251754101</v>
      </c>
    </row>
    <row r="7095" spans="1:3" s="8" customFormat="1" x14ac:dyDescent="0.2">
      <c r="A7095" s="6" t="str">
        <f>"CLEC3B"</f>
        <v>CLEC3B</v>
      </c>
      <c r="B7095" s="6">
        <v>0.128871128871128</v>
      </c>
      <c r="C7095" s="6">
        <v>0.31817887251754101</v>
      </c>
    </row>
    <row r="7096" spans="1:3" s="8" customFormat="1" x14ac:dyDescent="0.2">
      <c r="A7096" s="6" t="str">
        <f>"OIP5"</f>
        <v>OIP5</v>
      </c>
      <c r="B7096" s="6">
        <v>0.128871128871128</v>
      </c>
      <c r="C7096" s="6">
        <v>0.31817887251754101</v>
      </c>
    </row>
    <row r="7097" spans="1:3" s="8" customFormat="1" x14ac:dyDescent="0.2">
      <c r="A7097" s="6" t="str">
        <f>"FOXI3"</f>
        <v>FOXI3</v>
      </c>
      <c r="B7097" s="6">
        <v>0.12841253791708701</v>
      </c>
      <c r="C7097" s="6">
        <v>0.31817887251754101</v>
      </c>
    </row>
    <row r="7098" spans="1:3" s="8" customFormat="1" x14ac:dyDescent="0.2">
      <c r="A7098" s="6" t="str">
        <f>"DBIL5P"</f>
        <v>DBIL5P</v>
      </c>
      <c r="B7098" s="6">
        <v>0.128871128871128</v>
      </c>
      <c r="C7098" s="6">
        <v>0.31817887251754101</v>
      </c>
    </row>
    <row r="7099" spans="1:3" s="8" customFormat="1" x14ac:dyDescent="0.2">
      <c r="A7099" s="6" t="str">
        <f>"ZNF436-AS1"</f>
        <v>ZNF436-AS1</v>
      </c>
      <c r="B7099" s="6">
        <v>0.128871128871128</v>
      </c>
      <c r="C7099" s="6">
        <v>0.31817887251754101</v>
      </c>
    </row>
    <row r="7100" spans="1:3" s="8" customFormat="1" x14ac:dyDescent="0.2">
      <c r="A7100" s="6" t="str">
        <f>"ULBP2"</f>
        <v>ULBP2</v>
      </c>
      <c r="B7100" s="6">
        <v>0.128871128871128</v>
      </c>
      <c r="C7100" s="6">
        <v>0.31817887251754101</v>
      </c>
    </row>
    <row r="7101" spans="1:3" s="8" customFormat="1" x14ac:dyDescent="0.2">
      <c r="A7101" s="6" t="str">
        <f>"NIPSNAP3B"</f>
        <v>NIPSNAP3B</v>
      </c>
      <c r="B7101" s="6">
        <v>0.128871128871128</v>
      </c>
      <c r="C7101" s="6">
        <v>0.31817887251754101</v>
      </c>
    </row>
    <row r="7102" spans="1:3" s="8" customFormat="1" x14ac:dyDescent="0.2">
      <c r="A7102" s="6" t="str">
        <f>"ZNF571"</f>
        <v>ZNF571</v>
      </c>
      <c r="B7102" s="6">
        <v>0.128871128871128</v>
      </c>
      <c r="C7102" s="6">
        <v>0.31817887251754101</v>
      </c>
    </row>
    <row r="7103" spans="1:3" s="8" customFormat="1" x14ac:dyDescent="0.2">
      <c r="A7103" s="6" t="str">
        <f>"RGS7BP"</f>
        <v>RGS7BP</v>
      </c>
      <c r="B7103" s="6">
        <v>0.128871128871128</v>
      </c>
      <c r="C7103" s="6">
        <v>0.31817887251754101</v>
      </c>
    </row>
    <row r="7104" spans="1:3" s="8" customFormat="1" x14ac:dyDescent="0.2">
      <c r="A7104" s="6" t="str">
        <f>"RAPGEF3"</f>
        <v>RAPGEF3</v>
      </c>
      <c r="B7104" s="6">
        <v>0.128871128871128</v>
      </c>
      <c r="C7104" s="6">
        <v>0.31817887251754101</v>
      </c>
    </row>
    <row r="7105" spans="1:3" s="8" customFormat="1" x14ac:dyDescent="0.2">
      <c r="A7105" s="6" t="str">
        <f>"SNX11"</f>
        <v>SNX11</v>
      </c>
      <c r="B7105" s="6">
        <v>0.128871128871128</v>
      </c>
      <c r="C7105" s="6">
        <v>0.31817887251754101</v>
      </c>
    </row>
    <row r="7106" spans="1:3" s="8" customFormat="1" x14ac:dyDescent="0.2">
      <c r="A7106" s="6" t="str">
        <f>"TUBGCP5"</f>
        <v>TUBGCP5</v>
      </c>
      <c r="B7106" s="6">
        <v>0.128871128871128</v>
      </c>
      <c r="C7106" s="6">
        <v>0.31817887251754101</v>
      </c>
    </row>
    <row r="7107" spans="1:3" s="8" customFormat="1" x14ac:dyDescent="0.2">
      <c r="A7107" s="6" t="str">
        <f>"GRTP1"</f>
        <v>GRTP1</v>
      </c>
      <c r="B7107" s="6">
        <v>0.128871128871128</v>
      </c>
      <c r="C7107" s="6">
        <v>0.31817887251754101</v>
      </c>
    </row>
    <row r="7108" spans="1:3" s="8" customFormat="1" x14ac:dyDescent="0.2">
      <c r="A7108" s="6" t="str">
        <f>"IRAK4"</f>
        <v>IRAK4</v>
      </c>
      <c r="B7108" s="6">
        <v>0.128871128871128</v>
      </c>
      <c r="C7108" s="6">
        <v>0.31817887251754101</v>
      </c>
    </row>
    <row r="7109" spans="1:3" s="8" customFormat="1" x14ac:dyDescent="0.2">
      <c r="A7109" s="6" t="str">
        <f>"SPIRE1"</f>
        <v>SPIRE1</v>
      </c>
      <c r="B7109" s="6">
        <v>0.128871128871128</v>
      </c>
      <c r="C7109" s="6">
        <v>0.31817887251754101</v>
      </c>
    </row>
    <row r="7110" spans="1:3" s="8" customFormat="1" x14ac:dyDescent="0.2">
      <c r="A7110" s="6" t="str">
        <f>"SLC25A22"</f>
        <v>SLC25A22</v>
      </c>
      <c r="B7110" s="6">
        <v>0.128871128871128</v>
      </c>
      <c r="C7110" s="6">
        <v>0.31817887251754101</v>
      </c>
    </row>
    <row r="7111" spans="1:3" s="8" customFormat="1" x14ac:dyDescent="0.2">
      <c r="A7111" s="6" t="str">
        <f>"TMEM11"</f>
        <v>TMEM11</v>
      </c>
      <c r="B7111" s="6">
        <v>0.128871128871128</v>
      </c>
      <c r="C7111" s="6">
        <v>0.31817887251754101</v>
      </c>
    </row>
    <row r="7112" spans="1:3" s="8" customFormat="1" x14ac:dyDescent="0.2">
      <c r="A7112" s="6" t="str">
        <f>"MORC2"</f>
        <v>MORC2</v>
      </c>
      <c r="B7112" s="6">
        <v>0.128871128871128</v>
      </c>
      <c r="C7112" s="6">
        <v>0.31817887251754101</v>
      </c>
    </row>
    <row r="7113" spans="1:3" s="8" customFormat="1" x14ac:dyDescent="0.2">
      <c r="A7113" s="6" t="str">
        <f>"C11orf16"</f>
        <v>C11orf16</v>
      </c>
      <c r="B7113" s="6">
        <v>0.128871128871128</v>
      </c>
      <c r="C7113" s="6">
        <v>0.31817887251754101</v>
      </c>
    </row>
    <row r="7114" spans="1:3" s="8" customFormat="1" x14ac:dyDescent="0.2">
      <c r="A7114" s="6" t="str">
        <f>"FRMPD2"</f>
        <v>FRMPD2</v>
      </c>
      <c r="B7114" s="6">
        <v>0.128871128871128</v>
      </c>
      <c r="C7114" s="6">
        <v>0.31817887251754101</v>
      </c>
    </row>
    <row r="7115" spans="1:3" s="8" customFormat="1" x14ac:dyDescent="0.2">
      <c r="A7115" s="6" t="str">
        <f>"CLDN12"</f>
        <v>CLDN12</v>
      </c>
      <c r="B7115" s="6">
        <v>0.128871128871128</v>
      </c>
      <c r="C7115" s="6">
        <v>0.31817887251754101</v>
      </c>
    </row>
    <row r="7116" spans="1:3" s="8" customFormat="1" x14ac:dyDescent="0.2">
      <c r="A7116" s="6" t="str">
        <f>"TEX2"</f>
        <v>TEX2</v>
      </c>
      <c r="B7116" s="6">
        <v>0.128871128871128</v>
      </c>
      <c r="C7116" s="6">
        <v>0.31817887251754101</v>
      </c>
    </row>
    <row r="7117" spans="1:3" s="8" customFormat="1" x14ac:dyDescent="0.2">
      <c r="A7117" s="6" t="str">
        <f>"TTC22"</f>
        <v>TTC22</v>
      </c>
      <c r="B7117" s="6">
        <v>0.128871128871128</v>
      </c>
      <c r="C7117" s="6">
        <v>0.31817887251754101</v>
      </c>
    </row>
    <row r="7118" spans="1:3" s="8" customFormat="1" x14ac:dyDescent="0.2">
      <c r="A7118" s="6" t="str">
        <f>"SLC2A4RG"</f>
        <v>SLC2A4RG</v>
      </c>
      <c r="B7118" s="6">
        <v>0.128871128871128</v>
      </c>
      <c r="C7118" s="6">
        <v>0.31817887251754101</v>
      </c>
    </row>
    <row r="7119" spans="1:3" s="8" customFormat="1" x14ac:dyDescent="0.2">
      <c r="A7119" s="6" t="str">
        <f>"TRAPPC8"</f>
        <v>TRAPPC8</v>
      </c>
      <c r="B7119" s="6">
        <v>0.128871128871128</v>
      </c>
      <c r="C7119" s="6">
        <v>0.31817887251754101</v>
      </c>
    </row>
    <row r="7120" spans="1:3" s="8" customFormat="1" x14ac:dyDescent="0.2">
      <c r="A7120" s="6" t="str">
        <f>"PGM2L1"</f>
        <v>PGM2L1</v>
      </c>
      <c r="B7120" s="6">
        <v>0.128871128871128</v>
      </c>
      <c r="C7120" s="6">
        <v>0.31817887251754101</v>
      </c>
    </row>
    <row r="7121" spans="1:3" s="8" customFormat="1" x14ac:dyDescent="0.2">
      <c r="A7121" s="6" t="str">
        <f>"CCDC114"</f>
        <v>CCDC114</v>
      </c>
      <c r="B7121" s="6">
        <v>0.128871128871128</v>
      </c>
      <c r="C7121" s="6">
        <v>0.31817887251754101</v>
      </c>
    </row>
    <row r="7122" spans="1:3" s="8" customFormat="1" x14ac:dyDescent="0.2">
      <c r="A7122" s="6" t="str">
        <f>"MIA2"</f>
        <v>MIA2</v>
      </c>
      <c r="B7122" s="6">
        <v>0.128871128871128</v>
      </c>
      <c r="C7122" s="6">
        <v>0.31817887251754101</v>
      </c>
    </row>
    <row r="7123" spans="1:3" s="8" customFormat="1" x14ac:dyDescent="0.2">
      <c r="A7123" s="6" t="str">
        <f>"NET1"</f>
        <v>NET1</v>
      </c>
      <c r="B7123" s="6">
        <v>0.128871128871128</v>
      </c>
      <c r="C7123" s="6">
        <v>0.31817887251754101</v>
      </c>
    </row>
    <row r="7124" spans="1:3" s="8" customFormat="1" x14ac:dyDescent="0.2">
      <c r="A7124" s="6" t="str">
        <f>"MAST4"</f>
        <v>MAST4</v>
      </c>
      <c r="B7124" s="6">
        <v>0.129</v>
      </c>
      <c r="C7124" s="6">
        <v>0.31845233749824498</v>
      </c>
    </row>
    <row r="7125" spans="1:3" s="8" customFormat="1" x14ac:dyDescent="0.2">
      <c r="A7125" s="6" t="str">
        <f>"AL137779.2"</f>
        <v>AL137779.2</v>
      </c>
      <c r="B7125" s="6">
        <v>0.12912912912912899</v>
      </c>
      <c r="C7125" s="6">
        <v>0.318726362521982</v>
      </c>
    </row>
    <row r="7126" spans="1:3" s="8" customFormat="1" x14ac:dyDescent="0.2">
      <c r="A7126" s="6" t="str">
        <f>"RSPO4"</f>
        <v>RSPO4</v>
      </c>
      <c r="B7126" s="6">
        <v>0.129870129870129</v>
      </c>
      <c r="C7126" s="6">
        <v>0.31903274149711602</v>
      </c>
    </row>
    <row r="7127" spans="1:3" s="8" customFormat="1" x14ac:dyDescent="0.2">
      <c r="A7127" s="6" t="str">
        <f>"LINC02739"</f>
        <v>LINC02739</v>
      </c>
      <c r="B7127" s="6">
        <v>0.129870129870129</v>
      </c>
      <c r="C7127" s="6">
        <v>0.31903274149711602</v>
      </c>
    </row>
    <row r="7128" spans="1:3" s="8" customFormat="1" x14ac:dyDescent="0.2">
      <c r="A7128" s="6" t="str">
        <f>"AC092268.1"</f>
        <v>AC092268.1</v>
      </c>
      <c r="B7128" s="6">
        <v>0.129870129870129</v>
      </c>
      <c r="C7128" s="6">
        <v>0.31903274149711602</v>
      </c>
    </row>
    <row r="7129" spans="1:3" s="8" customFormat="1" x14ac:dyDescent="0.2">
      <c r="A7129" s="6" t="str">
        <f>"AC122718.1"</f>
        <v>AC122718.1</v>
      </c>
      <c r="B7129" s="6">
        <v>0.129870129870129</v>
      </c>
      <c r="C7129" s="6">
        <v>0.31903274149711602</v>
      </c>
    </row>
    <row r="7130" spans="1:3" s="8" customFormat="1" x14ac:dyDescent="0.2">
      <c r="A7130" s="6" t="str">
        <f>"DBH-AS1"</f>
        <v>DBH-AS1</v>
      </c>
      <c r="B7130" s="6">
        <v>0.129870129870129</v>
      </c>
      <c r="C7130" s="6">
        <v>0.31903274149711602</v>
      </c>
    </row>
    <row r="7131" spans="1:3" s="8" customFormat="1" x14ac:dyDescent="0.2">
      <c r="A7131" s="6" t="str">
        <f>"AC040169.4"</f>
        <v>AC040169.4</v>
      </c>
      <c r="B7131" s="6">
        <v>0.129870129870129</v>
      </c>
      <c r="C7131" s="6">
        <v>0.31903274149711602</v>
      </c>
    </row>
    <row r="7132" spans="1:3" s="8" customFormat="1" x14ac:dyDescent="0.2">
      <c r="A7132" s="6" t="str">
        <f>"AC008752.2"</f>
        <v>AC008752.2</v>
      </c>
      <c r="B7132" s="6">
        <v>0.129870129870129</v>
      </c>
      <c r="C7132" s="6">
        <v>0.31903274149711602</v>
      </c>
    </row>
    <row r="7133" spans="1:3" s="8" customFormat="1" x14ac:dyDescent="0.2">
      <c r="A7133" s="6" t="str">
        <f>"AC234031.1"</f>
        <v>AC234031.1</v>
      </c>
      <c r="B7133" s="6">
        <v>0.12955465587044501</v>
      </c>
      <c r="C7133" s="6">
        <v>0.31903274149711602</v>
      </c>
    </row>
    <row r="7134" spans="1:3" s="8" customFormat="1" x14ac:dyDescent="0.2">
      <c r="A7134" s="6" t="str">
        <f>"TIE1"</f>
        <v>TIE1</v>
      </c>
      <c r="B7134" s="6">
        <v>0.129870129870129</v>
      </c>
      <c r="C7134" s="6">
        <v>0.31903274149711602</v>
      </c>
    </row>
    <row r="7135" spans="1:3" s="8" customFormat="1" x14ac:dyDescent="0.2">
      <c r="A7135" s="6" t="str">
        <f>"COL11A2"</f>
        <v>COL11A2</v>
      </c>
      <c r="B7135" s="6">
        <v>0.129870129870129</v>
      </c>
      <c r="C7135" s="6">
        <v>0.31903274149711602</v>
      </c>
    </row>
    <row r="7136" spans="1:3" s="8" customFormat="1" x14ac:dyDescent="0.2">
      <c r="A7136" s="6" t="str">
        <f>"C10orf53"</f>
        <v>C10orf53</v>
      </c>
      <c r="B7136" s="6">
        <v>0.129870129870129</v>
      </c>
      <c r="C7136" s="6">
        <v>0.31903274149711602</v>
      </c>
    </row>
    <row r="7137" spans="1:3" s="8" customFormat="1" x14ac:dyDescent="0.2">
      <c r="A7137" s="6" t="str">
        <f>"AFF2"</f>
        <v>AFF2</v>
      </c>
      <c r="B7137" s="6">
        <v>0.129870129870129</v>
      </c>
      <c r="C7137" s="6">
        <v>0.31903274149711602</v>
      </c>
    </row>
    <row r="7138" spans="1:3" s="8" customFormat="1" x14ac:dyDescent="0.2">
      <c r="A7138" s="6" t="str">
        <f>"AC133555.5"</f>
        <v>AC133555.5</v>
      </c>
      <c r="B7138" s="6">
        <v>0.129870129870129</v>
      </c>
      <c r="C7138" s="6">
        <v>0.31903274149711602</v>
      </c>
    </row>
    <row r="7139" spans="1:3" s="8" customFormat="1" x14ac:dyDescent="0.2">
      <c r="A7139" s="6" t="str">
        <f>"AC018638.5"</f>
        <v>AC018638.5</v>
      </c>
      <c r="B7139" s="6">
        <v>0.129870129870129</v>
      </c>
      <c r="C7139" s="6">
        <v>0.31903274149711602</v>
      </c>
    </row>
    <row r="7140" spans="1:3" s="8" customFormat="1" x14ac:dyDescent="0.2">
      <c r="A7140" s="6" t="str">
        <f>"PCDHB13"</f>
        <v>PCDHB13</v>
      </c>
      <c r="B7140" s="6">
        <v>0.129870129870129</v>
      </c>
      <c r="C7140" s="6">
        <v>0.31903274149711602</v>
      </c>
    </row>
    <row r="7141" spans="1:3" s="8" customFormat="1" x14ac:dyDescent="0.2">
      <c r="A7141" s="6" t="str">
        <f>"CAVIN2"</f>
        <v>CAVIN2</v>
      </c>
      <c r="B7141" s="6">
        <v>0.129870129870129</v>
      </c>
      <c r="C7141" s="6">
        <v>0.31903274149711602</v>
      </c>
    </row>
    <row r="7142" spans="1:3" s="8" customFormat="1" x14ac:dyDescent="0.2">
      <c r="A7142" s="6" t="str">
        <f>"MPI"</f>
        <v>MPI</v>
      </c>
      <c r="B7142" s="6">
        <v>0.129870129870129</v>
      </c>
      <c r="C7142" s="6">
        <v>0.31903274149711602</v>
      </c>
    </row>
    <row r="7143" spans="1:3" s="8" customFormat="1" x14ac:dyDescent="0.2">
      <c r="A7143" s="6" t="str">
        <f>"AC006059.2"</f>
        <v>AC006059.2</v>
      </c>
      <c r="B7143" s="6">
        <v>0.129870129870129</v>
      </c>
      <c r="C7143" s="6">
        <v>0.31903274149711602</v>
      </c>
    </row>
    <row r="7144" spans="1:3" s="8" customFormat="1" x14ac:dyDescent="0.2">
      <c r="A7144" s="6" t="str">
        <f>"MAP3K20"</f>
        <v>MAP3K20</v>
      </c>
      <c r="B7144" s="6">
        <v>0.129870129870129</v>
      </c>
      <c r="C7144" s="6">
        <v>0.31903274149711602</v>
      </c>
    </row>
    <row r="7145" spans="1:3" s="8" customFormat="1" x14ac:dyDescent="0.2">
      <c r="A7145" s="6" t="str">
        <f>"DMPK"</f>
        <v>DMPK</v>
      </c>
      <c r="B7145" s="6">
        <v>0.129870129870129</v>
      </c>
      <c r="C7145" s="6">
        <v>0.31903274149711602</v>
      </c>
    </row>
    <row r="7146" spans="1:3" s="8" customFormat="1" x14ac:dyDescent="0.2">
      <c r="A7146" s="6" t="str">
        <f>"NT5E"</f>
        <v>NT5E</v>
      </c>
      <c r="B7146" s="6">
        <v>0.129870129870129</v>
      </c>
      <c r="C7146" s="6">
        <v>0.31903274149711602</v>
      </c>
    </row>
    <row r="7147" spans="1:3" s="8" customFormat="1" x14ac:dyDescent="0.2">
      <c r="A7147" s="6" t="str">
        <f>"ZFYVE1"</f>
        <v>ZFYVE1</v>
      </c>
      <c r="B7147" s="6">
        <v>0.129870129870129</v>
      </c>
      <c r="C7147" s="6">
        <v>0.31903274149711602</v>
      </c>
    </row>
    <row r="7148" spans="1:3" s="8" customFormat="1" x14ac:dyDescent="0.2">
      <c r="A7148" s="6" t="str">
        <f>"RPL36A-HNRNPH2"</f>
        <v>RPL36A-HNRNPH2</v>
      </c>
      <c r="B7148" s="6">
        <v>0.129870129870129</v>
      </c>
      <c r="C7148" s="6">
        <v>0.31903274149711602</v>
      </c>
    </row>
    <row r="7149" spans="1:3" s="8" customFormat="1" x14ac:dyDescent="0.2">
      <c r="A7149" s="6" t="str">
        <f>"ZNF445"</f>
        <v>ZNF445</v>
      </c>
      <c r="B7149" s="6">
        <v>0.129870129870129</v>
      </c>
      <c r="C7149" s="6">
        <v>0.31903274149711602</v>
      </c>
    </row>
    <row r="7150" spans="1:3" s="8" customFormat="1" x14ac:dyDescent="0.2">
      <c r="A7150" s="6" t="str">
        <f>"DYNLT3"</f>
        <v>DYNLT3</v>
      </c>
      <c r="B7150" s="6">
        <v>0.129870129870129</v>
      </c>
      <c r="C7150" s="6">
        <v>0.31903274149711602</v>
      </c>
    </row>
    <row r="7151" spans="1:3" s="8" customFormat="1" x14ac:dyDescent="0.2">
      <c r="A7151" s="6" t="str">
        <f>"CFAP20DC"</f>
        <v>CFAP20DC</v>
      </c>
      <c r="B7151" s="6">
        <v>0.129870129870129</v>
      </c>
      <c r="C7151" s="6">
        <v>0.31903274149711602</v>
      </c>
    </row>
    <row r="7152" spans="1:3" s="8" customFormat="1" x14ac:dyDescent="0.2">
      <c r="A7152" s="6" t="str">
        <f>"DMAP1"</f>
        <v>DMAP1</v>
      </c>
      <c r="B7152" s="6">
        <v>0.129870129870129</v>
      </c>
      <c r="C7152" s="6">
        <v>0.31903274149711602</v>
      </c>
    </row>
    <row r="7153" spans="1:3" s="8" customFormat="1" x14ac:dyDescent="0.2">
      <c r="A7153" s="6" t="str">
        <f>"HEY1"</f>
        <v>HEY1</v>
      </c>
      <c r="B7153" s="6">
        <v>0.129870129870129</v>
      </c>
      <c r="C7153" s="6">
        <v>0.31903274149711602</v>
      </c>
    </row>
    <row r="7154" spans="1:3" s="8" customFormat="1" x14ac:dyDescent="0.2">
      <c r="A7154" s="6" t="str">
        <f>"SMG5"</f>
        <v>SMG5</v>
      </c>
      <c r="B7154" s="6">
        <v>0.129870129870129</v>
      </c>
      <c r="C7154" s="6">
        <v>0.31903274149711602</v>
      </c>
    </row>
    <row r="7155" spans="1:3" s="8" customFormat="1" x14ac:dyDescent="0.2">
      <c r="A7155" s="6" t="str">
        <f>"TOGARAM2"</f>
        <v>TOGARAM2</v>
      </c>
      <c r="B7155" s="6">
        <v>0.129870129870129</v>
      </c>
      <c r="C7155" s="6">
        <v>0.31903274149711602</v>
      </c>
    </row>
    <row r="7156" spans="1:3" s="8" customFormat="1" x14ac:dyDescent="0.2">
      <c r="A7156" s="6" t="str">
        <f>"CLTB"</f>
        <v>CLTB</v>
      </c>
      <c r="B7156" s="6">
        <v>0.129870129870129</v>
      </c>
      <c r="C7156" s="6">
        <v>0.31903274149711602</v>
      </c>
    </row>
    <row r="7157" spans="1:3" s="8" customFormat="1" x14ac:dyDescent="0.2">
      <c r="A7157" s="6" t="str">
        <f>"COPA"</f>
        <v>COPA</v>
      </c>
      <c r="B7157" s="6">
        <v>0.129870129870129</v>
      </c>
      <c r="C7157" s="6">
        <v>0.31903274149711602</v>
      </c>
    </row>
    <row r="7158" spans="1:3" s="8" customFormat="1" x14ac:dyDescent="0.2">
      <c r="A7158" s="6" t="str">
        <f>"CTSS"</f>
        <v>CTSS</v>
      </c>
      <c r="B7158" s="6">
        <v>0.129870129870129</v>
      </c>
      <c r="C7158" s="6">
        <v>0.31903274149711602</v>
      </c>
    </row>
    <row r="7159" spans="1:3" s="8" customFormat="1" x14ac:dyDescent="0.2">
      <c r="A7159" s="6" t="str">
        <f>"CALM2"</f>
        <v>CALM2</v>
      </c>
      <c r="B7159" s="6">
        <v>0.129870129870129</v>
      </c>
      <c r="C7159" s="6">
        <v>0.31903274149711602</v>
      </c>
    </row>
    <row r="7160" spans="1:3" s="8" customFormat="1" x14ac:dyDescent="0.2">
      <c r="A7160" s="6" t="str">
        <f>"AC026803.2"</f>
        <v>AC026803.2</v>
      </c>
      <c r="B7160" s="6">
        <v>0.13</v>
      </c>
      <c r="C7160" s="6">
        <v>0.31917341524713699</v>
      </c>
    </row>
    <row r="7161" spans="1:3" s="8" customFormat="1" x14ac:dyDescent="0.2">
      <c r="A7161" s="6" t="str">
        <f>"AL136309.2"</f>
        <v>AL136309.2</v>
      </c>
      <c r="B7161" s="6">
        <v>0.13</v>
      </c>
      <c r="C7161" s="6">
        <v>0.31917341524713699</v>
      </c>
    </row>
    <row r="7162" spans="1:3" s="8" customFormat="1" x14ac:dyDescent="0.2">
      <c r="A7162" s="6" t="str">
        <f>"AC005481.1"</f>
        <v>AC005481.1</v>
      </c>
      <c r="B7162" s="6">
        <v>0.13</v>
      </c>
      <c r="C7162" s="6">
        <v>0.31917341524713699</v>
      </c>
    </row>
    <row r="7163" spans="1:3" s="8" customFormat="1" x14ac:dyDescent="0.2">
      <c r="A7163" s="6" t="str">
        <f>"PXN"</f>
        <v>PXN</v>
      </c>
      <c r="B7163" s="6">
        <v>0.13</v>
      </c>
      <c r="C7163" s="6">
        <v>0.31917341524713699</v>
      </c>
    </row>
    <row r="7164" spans="1:3" s="8" customFormat="1" x14ac:dyDescent="0.2">
      <c r="A7164" s="6" t="str">
        <f>"MGAT4D"</f>
        <v>MGAT4D</v>
      </c>
      <c r="B7164" s="6">
        <v>0.13013013013013</v>
      </c>
      <c r="C7164" s="6">
        <v>0.31942054259119002</v>
      </c>
    </row>
    <row r="7165" spans="1:3" s="8" customFormat="1" x14ac:dyDescent="0.2">
      <c r="A7165" s="6" t="str">
        <f>"AL357075.3"</f>
        <v>AL357075.3</v>
      </c>
      <c r="B7165" s="6">
        <v>0.130136986301369</v>
      </c>
      <c r="C7165" s="6">
        <v>0.31942054259119002</v>
      </c>
    </row>
    <row r="7166" spans="1:3" s="8" customFormat="1" x14ac:dyDescent="0.2">
      <c r="A7166" s="6" t="str">
        <f>"IGHV3-48"</f>
        <v>IGHV3-48</v>
      </c>
      <c r="B7166" s="6">
        <v>0.13086913086912999</v>
      </c>
      <c r="C7166" s="6">
        <v>0.32001151400400402</v>
      </c>
    </row>
    <row r="7167" spans="1:3" s="8" customFormat="1" x14ac:dyDescent="0.2">
      <c r="A7167" s="6" t="str">
        <f>"AL022326.1"</f>
        <v>AL022326.1</v>
      </c>
      <c r="B7167" s="6">
        <v>0.13086913086912999</v>
      </c>
      <c r="C7167" s="6">
        <v>0.32001151400400402</v>
      </c>
    </row>
    <row r="7168" spans="1:3" s="8" customFormat="1" x14ac:dyDescent="0.2">
      <c r="A7168" s="6" t="str">
        <f>"A1BG-AS1"</f>
        <v>A1BG-AS1</v>
      </c>
      <c r="B7168" s="6">
        <v>0.13086913086912999</v>
      </c>
      <c r="C7168" s="6">
        <v>0.32001151400400402</v>
      </c>
    </row>
    <row r="7169" spans="1:3" s="8" customFormat="1" x14ac:dyDescent="0.2">
      <c r="A7169" s="6" t="str">
        <f>"AC010883.1"</f>
        <v>AC010883.1</v>
      </c>
      <c r="B7169" s="6">
        <v>0.13086913086912999</v>
      </c>
      <c r="C7169" s="6">
        <v>0.32001151400400402</v>
      </c>
    </row>
    <row r="7170" spans="1:3" s="8" customFormat="1" x14ac:dyDescent="0.2">
      <c r="A7170" s="6" t="str">
        <f>"SEC14L6"</f>
        <v>SEC14L6</v>
      </c>
      <c r="B7170" s="6">
        <v>0.13086913086912999</v>
      </c>
      <c r="C7170" s="6">
        <v>0.32001151400400402</v>
      </c>
    </row>
    <row r="7171" spans="1:3" s="8" customFormat="1" x14ac:dyDescent="0.2">
      <c r="A7171" s="6" t="str">
        <f>"MT1L"</f>
        <v>MT1L</v>
      </c>
      <c r="B7171" s="6">
        <v>0.13086913086912999</v>
      </c>
      <c r="C7171" s="6">
        <v>0.32001151400400402</v>
      </c>
    </row>
    <row r="7172" spans="1:3" s="8" customFormat="1" x14ac:dyDescent="0.2">
      <c r="A7172" s="6" t="str">
        <f>"HSF2BP"</f>
        <v>HSF2BP</v>
      </c>
      <c r="B7172" s="6">
        <v>0.13086913086912999</v>
      </c>
      <c r="C7172" s="6">
        <v>0.32001151400400402</v>
      </c>
    </row>
    <row r="7173" spans="1:3" s="8" customFormat="1" x14ac:dyDescent="0.2">
      <c r="A7173" s="6" t="str">
        <f>"AL118558.3"</f>
        <v>AL118558.3</v>
      </c>
      <c r="B7173" s="6">
        <v>0.13086913086912999</v>
      </c>
      <c r="C7173" s="6">
        <v>0.32001151400400402</v>
      </c>
    </row>
    <row r="7174" spans="1:3" s="8" customFormat="1" x14ac:dyDescent="0.2">
      <c r="A7174" s="6" t="str">
        <f>"AC009237.3"</f>
        <v>AC009237.3</v>
      </c>
      <c r="B7174" s="6">
        <v>0.13086913086912999</v>
      </c>
      <c r="C7174" s="6">
        <v>0.32001151400400402</v>
      </c>
    </row>
    <row r="7175" spans="1:3" s="8" customFormat="1" x14ac:dyDescent="0.2">
      <c r="A7175" s="6" t="str">
        <f>"MMEL1"</f>
        <v>MMEL1</v>
      </c>
      <c r="B7175" s="6">
        <v>0.13086913086912999</v>
      </c>
      <c r="C7175" s="6">
        <v>0.32001151400400402</v>
      </c>
    </row>
    <row r="7176" spans="1:3" s="8" customFormat="1" x14ac:dyDescent="0.2">
      <c r="A7176" s="6" t="str">
        <f>"MMACHC"</f>
        <v>MMACHC</v>
      </c>
      <c r="B7176" s="6">
        <v>0.13086913086912999</v>
      </c>
      <c r="C7176" s="6">
        <v>0.32001151400400402</v>
      </c>
    </row>
    <row r="7177" spans="1:3" s="8" customFormat="1" x14ac:dyDescent="0.2">
      <c r="A7177" s="6" t="str">
        <f>"ZNF569"</f>
        <v>ZNF569</v>
      </c>
      <c r="B7177" s="6">
        <v>0.13086913086912999</v>
      </c>
      <c r="C7177" s="6">
        <v>0.32001151400400402</v>
      </c>
    </row>
    <row r="7178" spans="1:3" s="8" customFormat="1" x14ac:dyDescent="0.2">
      <c r="A7178" s="6" t="str">
        <f>"AC012321.1"</f>
        <v>AC012321.1</v>
      </c>
      <c r="B7178" s="6">
        <v>0.13086913086912999</v>
      </c>
      <c r="C7178" s="6">
        <v>0.32001151400400402</v>
      </c>
    </row>
    <row r="7179" spans="1:3" s="8" customFormat="1" x14ac:dyDescent="0.2">
      <c r="A7179" s="6" t="str">
        <f>"UHRF2"</f>
        <v>UHRF2</v>
      </c>
      <c r="B7179" s="6">
        <v>0.13086913086912999</v>
      </c>
      <c r="C7179" s="6">
        <v>0.32001151400400402</v>
      </c>
    </row>
    <row r="7180" spans="1:3" s="8" customFormat="1" x14ac:dyDescent="0.2">
      <c r="A7180" s="6" t="str">
        <f>"LSM6"</f>
        <v>LSM6</v>
      </c>
      <c r="B7180" s="6">
        <v>0.13086913086912999</v>
      </c>
      <c r="C7180" s="6">
        <v>0.32001151400400402</v>
      </c>
    </row>
    <row r="7181" spans="1:3" s="8" customFormat="1" x14ac:dyDescent="0.2">
      <c r="A7181" s="6" t="str">
        <f>"USP13"</f>
        <v>USP13</v>
      </c>
      <c r="B7181" s="6">
        <v>0.13086913086912999</v>
      </c>
      <c r="C7181" s="6">
        <v>0.32001151400400402</v>
      </c>
    </row>
    <row r="7182" spans="1:3" s="8" customFormat="1" x14ac:dyDescent="0.2">
      <c r="A7182" s="6" t="str">
        <f>"STK19"</f>
        <v>STK19</v>
      </c>
      <c r="B7182" s="6">
        <v>0.13086913086912999</v>
      </c>
      <c r="C7182" s="6">
        <v>0.32001151400400402</v>
      </c>
    </row>
    <row r="7183" spans="1:3" s="8" customFormat="1" x14ac:dyDescent="0.2">
      <c r="A7183" s="6" t="str">
        <f>"COLCA2"</f>
        <v>COLCA2</v>
      </c>
      <c r="B7183" s="6">
        <v>0.13086913086912999</v>
      </c>
      <c r="C7183" s="6">
        <v>0.32001151400400402</v>
      </c>
    </row>
    <row r="7184" spans="1:3" s="8" customFormat="1" x14ac:dyDescent="0.2">
      <c r="A7184" s="6" t="str">
        <f>"ZNF189"</f>
        <v>ZNF189</v>
      </c>
      <c r="B7184" s="6">
        <v>0.13086913086912999</v>
      </c>
      <c r="C7184" s="6">
        <v>0.32001151400400402</v>
      </c>
    </row>
    <row r="7185" spans="1:3" s="8" customFormat="1" x14ac:dyDescent="0.2">
      <c r="A7185" s="6" t="str">
        <f>"CLASRP"</f>
        <v>CLASRP</v>
      </c>
      <c r="B7185" s="6">
        <v>0.13086913086912999</v>
      </c>
      <c r="C7185" s="6">
        <v>0.32001151400400402</v>
      </c>
    </row>
    <row r="7186" spans="1:3" s="8" customFormat="1" x14ac:dyDescent="0.2">
      <c r="A7186" s="6" t="str">
        <f>"CHCHD3"</f>
        <v>CHCHD3</v>
      </c>
      <c r="B7186" s="6">
        <v>0.13086913086912999</v>
      </c>
      <c r="C7186" s="6">
        <v>0.32001151400400402</v>
      </c>
    </row>
    <row r="7187" spans="1:3" s="8" customFormat="1" x14ac:dyDescent="0.2">
      <c r="A7187" s="6" t="str">
        <f>"OSBPL6"</f>
        <v>OSBPL6</v>
      </c>
      <c r="B7187" s="6">
        <v>0.13086913086912999</v>
      </c>
      <c r="C7187" s="6">
        <v>0.32001151400400402</v>
      </c>
    </row>
    <row r="7188" spans="1:3" s="8" customFormat="1" x14ac:dyDescent="0.2">
      <c r="A7188" s="6" t="str">
        <f>"HHLA2"</f>
        <v>HHLA2</v>
      </c>
      <c r="B7188" s="6">
        <v>0.13086913086912999</v>
      </c>
      <c r="C7188" s="6">
        <v>0.32001151400400402</v>
      </c>
    </row>
    <row r="7189" spans="1:3" s="8" customFormat="1" x14ac:dyDescent="0.2">
      <c r="A7189" s="6" t="str">
        <f>"DPCD"</f>
        <v>DPCD</v>
      </c>
      <c r="B7189" s="6">
        <v>0.13086913086912999</v>
      </c>
      <c r="C7189" s="6">
        <v>0.32001151400400402</v>
      </c>
    </row>
    <row r="7190" spans="1:3" s="8" customFormat="1" x14ac:dyDescent="0.2">
      <c r="A7190" s="6" t="str">
        <f>"LAMC1"</f>
        <v>LAMC1</v>
      </c>
      <c r="B7190" s="6">
        <v>0.13086913086912999</v>
      </c>
      <c r="C7190" s="6">
        <v>0.32001151400400402</v>
      </c>
    </row>
    <row r="7191" spans="1:3" s="8" customFormat="1" x14ac:dyDescent="0.2">
      <c r="A7191" s="6" t="str">
        <f>"NDFIP1"</f>
        <v>NDFIP1</v>
      </c>
      <c r="B7191" s="6">
        <v>0.13086913086912999</v>
      </c>
      <c r="C7191" s="6">
        <v>0.32001151400400402</v>
      </c>
    </row>
    <row r="7192" spans="1:3" s="8" customFormat="1" x14ac:dyDescent="0.2">
      <c r="A7192" s="6" t="str">
        <f>"TMBIM1"</f>
        <v>TMBIM1</v>
      </c>
      <c r="B7192" s="6">
        <v>0.13086913086912999</v>
      </c>
      <c r="C7192" s="6">
        <v>0.32001151400400402</v>
      </c>
    </row>
    <row r="7193" spans="1:3" s="8" customFormat="1" x14ac:dyDescent="0.2">
      <c r="A7193" s="6" t="str">
        <f>"TMPRSS11F"</f>
        <v>TMPRSS11F</v>
      </c>
      <c r="B7193" s="6">
        <v>0.13100000000000001</v>
      </c>
      <c r="C7193" s="6">
        <v>0.32028698553948798</v>
      </c>
    </row>
    <row r="7194" spans="1:3" s="8" customFormat="1" x14ac:dyDescent="0.2">
      <c r="A7194" s="6" t="str">
        <f>"CCKAR"</f>
        <v>CCKAR</v>
      </c>
      <c r="B7194" s="6">
        <v>0.13186813186813101</v>
      </c>
      <c r="C7194" s="6">
        <v>0.32098134423715802</v>
      </c>
    </row>
    <row r="7195" spans="1:3" s="8" customFormat="1" x14ac:dyDescent="0.2">
      <c r="A7195" s="6" t="str">
        <f>"AC079322.1"</f>
        <v>AC079322.1</v>
      </c>
      <c r="B7195" s="6">
        <v>0.13171225937183301</v>
      </c>
      <c r="C7195" s="6">
        <v>0.32098134423715802</v>
      </c>
    </row>
    <row r="7196" spans="1:3" s="8" customFormat="1" x14ac:dyDescent="0.2">
      <c r="A7196" s="6" t="str">
        <f>"LINC01460"</f>
        <v>LINC01460</v>
      </c>
      <c r="B7196" s="6">
        <v>0.13186813186813101</v>
      </c>
      <c r="C7196" s="6">
        <v>0.32098134423715802</v>
      </c>
    </row>
    <row r="7197" spans="1:3" s="8" customFormat="1" x14ac:dyDescent="0.2">
      <c r="A7197" s="6" t="str">
        <f>"AL354993.1"</f>
        <v>AL354993.1</v>
      </c>
      <c r="B7197" s="6">
        <v>0.13186813186813101</v>
      </c>
      <c r="C7197" s="6">
        <v>0.32098134423715802</v>
      </c>
    </row>
    <row r="7198" spans="1:3" s="8" customFormat="1" x14ac:dyDescent="0.2">
      <c r="A7198" s="6" t="str">
        <f>"PCDHA11"</f>
        <v>PCDHA11</v>
      </c>
      <c r="B7198" s="6">
        <v>0.13186813186813101</v>
      </c>
      <c r="C7198" s="6">
        <v>0.32098134423715802</v>
      </c>
    </row>
    <row r="7199" spans="1:3" s="8" customFormat="1" x14ac:dyDescent="0.2">
      <c r="A7199" s="6" t="str">
        <f>"CCDC169"</f>
        <v>CCDC169</v>
      </c>
      <c r="B7199" s="6">
        <v>0.13186813186813101</v>
      </c>
      <c r="C7199" s="6">
        <v>0.32098134423715802</v>
      </c>
    </row>
    <row r="7200" spans="1:3" s="8" customFormat="1" x14ac:dyDescent="0.2">
      <c r="A7200" s="6" t="str">
        <f>"PIPOX"</f>
        <v>PIPOX</v>
      </c>
      <c r="B7200" s="6">
        <v>0.13186813186813101</v>
      </c>
      <c r="C7200" s="6">
        <v>0.32098134423715802</v>
      </c>
    </row>
    <row r="7201" spans="1:3" s="8" customFormat="1" x14ac:dyDescent="0.2">
      <c r="A7201" s="6" t="str">
        <f>"MMRN2"</f>
        <v>MMRN2</v>
      </c>
      <c r="B7201" s="6">
        <v>0.13186813186813101</v>
      </c>
      <c r="C7201" s="6">
        <v>0.32098134423715802</v>
      </c>
    </row>
    <row r="7202" spans="1:3" s="8" customFormat="1" x14ac:dyDescent="0.2">
      <c r="A7202" s="6" t="str">
        <f>"CCDC3"</f>
        <v>CCDC3</v>
      </c>
      <c r="B7202" s="6">
        <v>0.13186813186813101</v>
      </c>
      <c r="C7202" s="6">
        <v>0.32098134423715802</v>
      </c>
    </row>
    <row r="7203" spans="1:3" s="8" customFormat="1" x14ac:dyDescent="0.2">
      <c r="A7203" s="6" t="str">
        <f>"CST1"</f>
        <v>CST1</v>
      </c>
      <c r="B7203" s="6">
        <v>0.13186813186813101</v>
      </c>
      <c r="C7203" s="6">
        <v>0.32098134423715802</v>
      </c>
    </row>
    <row r="7204" spans="1:3" s="8" customFormat="1" x14ac:dyDescent="0.2">
      <c r="A7204" s="6" t="str">
        <f>"IRF2-DT"</f>
        <v>IRF2-DT</v>
      </c>
      <c r="B7204" s="6">
        <v>0.13186813186813101</v>
      </c>
      <c r="C7204" s="6">
        <v>0.32098134423715802</v>
      </c>
    </row>
    <row r="7205" spans="1:3" s="8" customFormat="1" x14ac:dyDescent="0.2">
      <c r="A7205" s="6" t="str">
        <f>"ANKRD36B"</f>
        <v>ANKRD36B</v>
      </c>
      <c r="B7205" s="6">
        <v>0.13186813186813101</v>
      </c>
      <c r="C7205" s="6">
        <v>0.32098134423715802</v>
      </c>
    </row>
    <row r="7206" spans="1:3" s="8" customFormat="1" x14ac:dyDescent="0.2">
      <c r="A7206" s="6" t="str">
        <f>"CIB2"</f>
        <v>CIB2</v>
      </c>
      <c r="B7206" s="6">
        <v>0.13186813186813101</v>
      </c>
      <c r="C7206" s="6">
        <v>0.32098134423715802</v>
      </c>
    </row>
    <row r="7207" spans="1:3" s="8" customFormat="1" x14ac:dyDescent="0.2">
      <c r="A7207" s="6" t="str">
        <f>"NT5DC3"</f>
        <v>NT5DC3</v>
      </c>
      <c r="B7207" s="6">
        <v>0.13186813186813101</v>
      </c>
      <c r="C7207" s="6">
        <v>0.32098134423715802</v>
      </c>
    </row>
    <row r="7208" spans="1:3" s="8" customFormat="1" x14ac:dyDescent="0.2">
      <c r="A7208" s="6" t="str">
        <f>"ZNF347"</f>
        <v>ZNF347</v>
      </c>
      <c r="B7208" s="6">
        <v>0.13186813186813101</v>
      </c>
      <c r="C7208" s="6">
        <v>0.32098134423715802</v>
      </c>
    </row>
    <row r="7209" spans="1:3" s="8" customFormat="1" x14ac:dyDescent="0.2">
      <c r="A7209" s="6" t="str">
        <f>"NUBPL"</f>
        <v>NUBPL</v>
      </c>
      <c r="B7209" s="6">
        <v>0.13186813186813101</v>
      </c>
      <c r="C7209" s="6">
        <v>0.32098134423715802</v>
      </c>
    </row>
    <row r="7210" spans="1:3" s="8" customFormat="1" x14ac:dyDescent="0.2">
      <c r="A7210" s="6" t="str">
        <f>"SPRY1"</f>
        <v>SPRY1</v>
      </c>
      <c r="B7210" s="6">
        <v>0.13186813186813101</v>
      </c>
      <c r="C7210" s="6">
        <v>0.32098134423715802</v>
      </c>
    </row>
    <row r="7211" spans="1:3" s="8" customFormat="1" x14ac:dyDescent="0.2">
      <c r="A7211" s="6" t="str">
        <f>"ARMH1"</f>
        <v>ARMH1</v>
      </c>
      <c r="B7211" s="6">
        <v>0.13186813186813101</v>
      </c>
      <c r="C7211" s="6">
        <v>0.32098134423715802</v>
      </c>
    </row>
    <row r="7212" spans="1:3" s="8" customFormat="1" x14ac:dyDescent="0.2">
      <c r="A7212" s="6" t="str">
        <f>"CD4"</f>
        <v>CD4</v>
      </c>
      <c r="B7212" s="6">
        <v>0.13186813186813101</v>
      </c>
      <c r="C7212" s="6">
        <v>0.32098134423715802</v>
      </c>
    </row>
    <row r="7213" spans="1:3" s="8" customFormat="1" x14ac:dyDescent="0.2">
      <c r="A7213" s="6" t="str">
        <f>"SLC30A6"</f>
        <v>SLC30A6</v>
      </c>
      <c r="B7213" s="6">
        <v>0.13186813186813101</v>
      </c>
      <c r="C7213" s="6">
        <v>0.32098134423715802</v>
      </c>
    </row>
    <row r="7214" spans="1:3" s="8" customFormat="1" x14ac:dyDescent="0.2">
      <c r="A7214" s="6" t="str">
        <f>"PTPRM"</f>
        <v>PTPRM</v>
      </c>
      <c r="B7214" s="6">
        <v>0.13186813186813101</v>
      </c>
      <c r="C7214" s="6">
        <v>0.32098134423715802</v>
      </c>
    </row>
    <row r="7215" spans="1:3" s="8" customFormat="1" x14ac:dyDescent="0.2">
      <c r="A7215" s="6" t="str">
        <f>"NIT1"</f>
        <v>NIT1</v>
      </c>
      <c r="B7215" s="6">
        <v>0.13186813186813101</v>
      </c>
      <c r="C7215" s="6">
        <v>0.32098134423715802</v>
      </c>
    </row>
    <row r="7216" spans="1:3" s="8" customFormat="1" x14ac:dyDescent="0.2">
      <c r="A7216" s="6" t="str">
        <f>"UQCC1"</f>
        <v>UQCC1</v>
      </c>
      <c r="B7216" s="6">
        <v>0.13186813186813101</v>
      </c>
      <c r="C7216" s="6">
        <v>0.32098134423715802</v>
      </c>
    </row>
    <row r="7217" spans="1:3" s="8" customFormat="1" x14ac:dyDescent="0.2">
      <c r="A7217" s="6" t="str">
        <f>"ICE1"</f>
        <v>ICE1</v>
      </c>
      <c r="B7217" s="6">
        <v>0.13186813186813101</v>
      </c>
      <c r="C7217" s="6">
        <v>0.32098134423715802</v>
      </c>
    </row>
    <row r="7218" spans="1:3" s="8" customFormat="1" x14ac:dyDescent="0.2">
      <c r="A7218" s="6" t="str">
        <f>"GTPBP2"</f>
        <v>GTPBP2</v>
      </c>
      <c r="B7218" s="6">
        <v>0.13186813186813101</v>
      </c>
      <c r="C7218" s="6">
        <v>0.32098134423715802</v>
      </c>
    </row>
    <row r="7219" spans="1:3" s="8" customFormat="1" x14ac:dyDescent="0.2">
      <c r="A7219" s="6" t="str">
        <f>"RDH11"</f>
        <v>RDH11</v>
      </c>
      <c r="B7219" s="6">
        <v>0.13186813186813101</v>
      </c>
      <c r="C7219" s="6">
        <v>0.32098134423715802</v>
      </c>
    </row>
    <row r="7220" spans="1:3" s="8" customFormat="1" x14ac:dyDescent="0.2">
      <c r="A7220" s="6" t="str">
        <f>"TEKT2"</f>
        <v>TEKT2</v>
      </c>
      <c r="B7220" s="6">
        <v>0.13186813186813101</v>
      </c>
      <c r="C7220" s="6">
        <v>0.32098134423715802</v>
      </c>
    </row>
    <row r="7221" spans="1:3" s="8" customFormat="1" x14ac:dyDescent="0.2">
      <c r="A7221" s="6" t="str">
        <f>"SMC3"</f>
        <v>SMC3</v>
      </c>
      <c r="B7221" s="6">
        <v>0.13186813186813101</v>
      </c>
      <c r="C7221" s="6">
        <v>0.32098134423715802</v>
      </c>
    </row>
    <row r="7222" spans="1:3" s="8" customFormat="1" x14ac:dyDescent="0.2">
      <c r="A7222" s="6" t="str">
        <f>"WFDC21P"</f>
        <v>WFDC21P</v>
      </c>
      <c r="B7222" s="6">
        <v>0.13186813186813101</v>
      </c>
      <c r="C7222" s="6">
        <v>0.32098134423715802</v>
      </c>
    </row>
    <row r="7223" spans="1:3" s="8" customFormat="1" x14ac:dyDescent="0.2">
      <c r="A7223" s="6" t="str">
        <f>"USP10"</f>
        <v>USP10</v>
      </c>
      <c r="B7223" s="6">
        <v>0.13186813186813101</v>
      </c>
      <c r="C7223" s="6">
        <v>0.32098134423715802</v>
      </c>
    </row>
    <row r="7224" spans="1:3" s="8" customFormat="1" x14ac:dyDescent="0.2">
      <c r="A7224" s="6" t="str">
        <f>"OSBPL2"</f>
        <v>OSBPL2</v>
      </c>
      <c r="B7224" s="6">
        <v>0.13186813186813101</v>
      </c>
      <c r="C7224" s="6">
        <v>0.32098134423715802</v>
      </c>
    </row>
    <row r="7225" spans="1:3" s="8" customFormat="1" x14ac:dyDescent="0.2">
      <c r="A7225" s="6" t="str">
        <f>"SCNN1B"</f>
        <v>SCNN1B</v>
      </c>
      <c r="B7225" s="6">
        <v>0.13186813186813101</v>
      </c>
      <c r="C7225" s="6">
        <v>0.32098134423715802</v>
      </c>
    </row>
    <row r="7226" spans="1:3" s="8" customFormat="1" x14ac:dyDescent="0.2">
      <c r="A7226" s="6" t="str">
        <f>"STAM-AS1"</f>
        <v>STAM-AS1</v>
      </c>
      <c r="B7226" s="6">
        <v>0.132725430597771</v>
      </c>
      <c r="C7226" s="6">
        <v>0.32225319508078099</v>
      </c>
    </row>
    <row r="7227" spans="1:3" s="8" customFormat="1" x14ac:dyDescent="0.2">
      <c r="A7227" s="6" t="str">
        <f>"AC091181.2"</f>
        <v>AC091181.2</v>
      </c>
      <c r="B7227" s="6">
        <v>0.132867132867132</v>
      </c>
      <c r="C7227" s="6">
        <v>0.32225319508078099</v>
      </c>
    </row>
    <row r="7228" spans="1:3" s="8" customFormat="1" x14ac:dyDescent="0.2">
      <c r="A7228" s="6" t="str">
        <f>"AC135050.7"</f>
        <v>AC135050.7</v>
      </c>
      <c r="B7228" s="6">
        <v>0.132867132867132</v>
      </c>
      <c r="C7228" s="6">
        <v>0.32225319508078099</v>
      </c>
    </row>
    <row r="7229" spans="1:3" s="8" customFormat="1" x14ac:dyDescent="0.2">
      <c r="A7229" s="6" t="str">
        <f>"GCM1"</f>
        <v>GCM1</v>
      </c>
      <c r="B7229" s="6">
        <v>0.132867132867132</v>
      </c>
      <c r="C7229" s="6">
        <v>0.32225319508078099</v>
      </c>
    </row>
    <row r="7230" spans="1:3" s="8" customFormat="1" x14ac:dyDescent="0.2">
      <c r="A7230" s="6" t="str">
        <f>"KRT8P33"</f>
        <v>KRT8P33</v>
      </c>
      <c r="B7230" s="6">
        <v>0.13285883748517199</v>
      </c>
      <c r="C7230" s="6">
        <v>0.32225319508078099</v>
      </c>
    </row>
    <row r="7231" spans="1:3" s="8" customFormat="1" x14ac:dyDescent="0.2">
      <c r="A7231" s="6" t="str">
        <f>"AC092296.2"</f>
        <v>AC092296.2</v>
      </c>
      <c r="B7231" s="6">
        <v>0.132867132867132</v>
      </c>
      <c r="C7231" s="6">
        <v>0.32225319508078099</v>
      </c>
    </row>
    <row r="7232" spans="1:3" s="8" customFormat="1" x14ac:dyDescent="0.2">
      <c r="A7232" s="6" t="str">
        <f>"MBLAC1"</f>
        <v>MBLAC1</v>
      </c>
      <c r="B7232" s="6">
        <v>0.132867132867132</v>
      </c>
      <c r="C7232" s="6">
        <v>0.32225319508078099</v>
      </c>
    </row>
    <row r="7233" spans="1:3" s="8" customFormat="1" x14ac:dyDescent="0.2">
      <c r="A7233" s="6" t="str">
        <f>"ATG4C"</f>
        <v>ATG4C</v>
      </c>
      <c r="B7233" s="6">
        <v>0.132867132867132</v>
      </c>
      <c r="C7233" s="6">
        <v>0.32225319508078099</v>
      </c>
    </row>
    <row r="7234" spans="1:3" s="8" customFormat="1" x14ac:dyDescent="0.2">
      <c r="A7234" s="6" t="str">
        <f>"AC005726.1"</f>
        <v>AC005726.1</v>
      </c>
      <c r="B7234" s="6">
        <v>0.132867132867132</v>
      </c>
      <c r="C7234" s="6">
        <v>0.32225319508078099</v>
      </c>
    </row>
    <row r="7235" spans="1:3" s="8" customFormat="1" x14ac:dyDescent="0.2">
      <c r="A7235" s="6" t="str">
        <f>"ARHGAP27P1-BPTFP1-KPNA2P3"</f>
        <v>ARHGAP27P1-BPTFP1-KPNA2P3</v>
      </c>
      <c r="B7235" s="6">
        <v>0.132867132867132</v>
      </c>
      <c r="C7235" s="6">
        <v>0.32225319508078099</v>
      </c>
    </row>
    <row r="7236" spans="1:3" s="8" customFormat="1" x14ac:dyDescent="0.2">
      <c r="A7236" s="6" t="str">
        <f>"FBXO30"</f>
        <v>FBXO30</v>
      </c>
      <c r="B7236" s="6">
        <v>0.132867132867132</v>
      </c>
      <c r="C7236" s="6">
        <v>0.32225319508078099</v>
      </c>
    </row>
    <row r="7237" spans="1:3" s="8" customFormat="1" x14ac:dyDescent="0.2">
      <c r="A7237" s="6" t="str">
        <f>"AMN"</f>
        <v>AMN</v>
      </c>
      <c r="B7237" s="6">
        <v>0.132867132867132</v>
      </c>
      <c r="C7237" s="6">
        <v>0.32225319508078099</v>
      </c>
    </row>
    <row r="7238" spans="1:3" s="8" customFormat="1" x14ac:dyDescent="0.2">
      <c r="A7238" s="6" t="str">
        <f>"TYW3"</f>
        <v>TYW3</v>
      </c>
      <c r="B7238" s="6">
        <v>0.132867132867132</v>
      </c>
      <c r="C7238" s="6">
        <v>0.32225319508078099</v>
      </c>
    </row>
    <row r="7239" spans="1:3" s="8" customFormat="1" x14ac:dyDescent="0.2">
      <c r="A7239" s="6" t="str">
        <f>"ZNF766"</f>
        <v>ZNF766</v>
      </c>
      <c r="B7239" s="6">
        <v>0.132867132867132</v>
      </c>
      <c r="C7239" s="6">
        <v>0.32225319508078099</v>
      </c>
    </row>
    <row r="7240" spans="1:3" s="8" customFormat="1" x14ac:dyDescent="0.2">
      <c r="A7240" s="6" t="str">
        <f>"KIFBP"</f>
        <v>KIFBP</v>
      </c>
      <c r="B7240" s="6">
        <v>0.132867132867132</v>
      </c>
      <c r="C7240" s="6">
        <v>0.32225319508078099</v>
      </c>
    </row>
    <row r="7241" spans="1:3" s="8" customFormat="1" x14ac:dyDescent="0.2">
      <c r="A7241" s="6" t="str">
        <f>"DCTPP1"</f>
        <v>DCTPP1</v>
      </c>
      <c r="B7241" s="6">
        <v>0.132867132867132</v>
      </c>
      <c r="C7241" s="6">
        <v>0.32225319508078099</v>
      </c>
    </row>
    <row r="7242" spans="1:3" s="8" customFormat="1" x14ac:dyDescent="0.2">
      <c r="A7242" s="6" t="str">
        <f>"ACY1"</f>
        <v>ACY1</v>
      </c>
      <c r="B7242" s="6">
        <v>0.132867132867132</v>
      </c>
      <c r="C7242" s="6">
        <v>0.32225319508078099</v>
      </c>
    </row>
    <row r="7243" spans="1:3" s="8" customFormat="1" x14ac:dyDescent="0.2">
      <c r="A7243" s="6" t="str">
        <f>"MARCHF10"</f>
        <v>MARCHF10</v>
      </c>
      <c r="B7243" s="6">
        <v>0.132867132867132</v>
      </c>
      <c r="C7243" s="6">
        <v>0.32225319508078099</v>
      </c>
    </row>
    <row r="7244" spans="1:3" s="8" customFormat="1" x14ac:dyDescent="0.2">
      <c r="A7244" s="6" t="str">
        <f>"STRIP1"</f>
        <v>STRIP1</v>
      </c>
      <c r="B7244" s="6">
        <v>0.132867132867132</v>
      </c>
      <c r="C7244" s="6">
        <v>0.32225319508078099</v>
      </c>
    </row>
    <row r="7245" spans="1:3" s="8" customFormat="1" x14ac:dyDescent="0.2">
      <c r="A7245" s="6" t="str">
        <f>"TMEM214"</f>
        <v>TMEM214</v>
      </c>
      <c r="B7245" s="6">
        <v>0.132867132867132</v>
      </c>
      <c r="C7245" s="6">
        <v>0.32225319508078099</v>
      </c>
    </row>
    <row r="7246" spans="1:3" s="8" customFormat="1" x14ac:dyDescent="0.2">
      <c r="A7246" s="6" t="str">
        <f>"STOML3"</f>
        <v>STOML3</v>
      </c>
      <c r="B7246" s="6">
        <v>0.132867132867132</v>
      </c>
      <c r="C7246" s="6">
        <v>0.32225319508078099</v>
      </c>
    </row>
    <row r="7247" spans="1:3" s="8" customFormat="1" x14ac:dyDescent="0.2">
      <c r="A7247" s="6" t="str">
        <f>"METTL9"</f>
        <v>METTL9</v>
      </c>
      <c r="B7247" s="6">
        <v>0.132867132867132</v>
      </c>
      <c r="C7247" s="6">
        <v>0.32225319508078099</v>
      </c>
    </row>
    <row r="7248" spans="1:3" s="8" customFormat="1" x14ac:dyDescent="0.2">
      <c r="A7248" s="6" t="str">
        <f>"KPNA4"</f>
        <v>KPNA4</v>
      </c>
      <c r="B7248" s="6">
        <v>0.132867132867132</v>
      </c>
      <c r="C7248" s="6">
        <v>0.32225319508078099</v>
      </c>
    </row>
    <row r="7249" spans="1:3" s="8" customFormat="1" x14ac:dyDescent="0.2">
      <c r="A7249" s="6" t="str">
        <f>"TP53BP1"</f>
        <v>TP53BP1</v>
      </c>
      <c r="B7249" s="6">
        <v>0.132867132867132</v>
      </c>
      <c r="C7249" s="6">
        <v>0.32225319508078099</v>
      </c>
    </row>
    <row r="7250" spans="1:3" s="8" customFormat="1" x14ac:dyDescent="0.2">
      <c r="A7250" s="6" t="str">
        <f>"DDX17"</f>
        <v>DDX17</v>
      </c>
      <c r="B7250" s="6">
        <v>0.132867132867132</v>
      </c>
      <c r="C7250" s="6">
        <v>0.32225319508078099</v>
      </c>
    </row>
    <row r="7251" spans="1:3" s="8" customFormat="1" x14ac:dyDescent="0.2">
      <c r="A7251" s="6" t="str">
        <f>"RPL4"</f>
        <v>RPL4</v>
      </c>
      <c r="B7251" s="6">
        <v>0.132867132867132</v>
      </c>
      <c r="C7251" s="6">
        <v>0.32225319508078099</v>
      </c>
    </row>
    <row r="7252" spans="1:3" s="8" customFormat="1" x14ac:dyDescent="0.2">
      <c r="A7252" s="6" t="str">
        <f>"AL583808.1"</f>
        <v>AL583808.1</v>
      </c>
      <c r="B7252" s="6">
        <v>0.13319878910191699</v>
      </c>
      <c r="C7252" s="6">
        <v>0.32301303372888002</v>
      </c>
    </row>
    <row r="7253" spans="1:3" s="8" customFormat="1" x14ac:dyDescent="0.2">
      <c r="A7253" s="6" t="str">
        <f>"BX284668.2"</f>
        <v>BX284668.2</v>
      </c>
      <c r="B7253" s="6">
        <v>0.133866133866133</v>
      </c>
      <c r="C7253" s="6">
        <v>0.323560425828467</v>
      </c>
    </row>
    <row r="7254" spans="1:3" s="8" customFormat="1" x14ac:dyDescent="0.2">
      <c r="A7254" s="6" t="str">
        <f>"KRT75"</f>
        <v>KRT75</v>
      </c>
      <c r="B7254" s="6">
        <v>0.133866133866133</v>
      </c>
      <c r="C7254" s="6">
        <v>0.323560425828467</v>
      </c>
    </row>
    <row r="7255" spans="1:3" s="8" customFormat="1" x14ac:dyDescent="0.2">
      <c r="A7255" s="6" t="str">
        <f>"AC104411.1"</f>
        <v>AC104411.1</v>
      </c>
      <c r="B7255" s="6">
        <v>0.133668341708542</v>
      </c>
      <c r="C7255" s="6">
        <v>0.323560425828467</v>
      </c>
    </row>
    <row r="7256" spans="1:3" s="8" customFormat="1" x14ac:dyDescent="0.2">
      <c r="A7256" s="6" t="str">
        <f>"ANGPTL6"</f>
        <v>ANGPTL6</v>
      </c>
      <c r="B7256" s="6">
        <v>0.133866133866133</v>
      </c>
      <c r="C7256" s="6">
        <v>0.323560425828467</v>
      </c>
    </row>
    <row r="7257" spans="1:3" s="8" customFormat="1" x14ac:dyDescent="0.2">
      <c r="A7257" s="6" t="str">
        <f>"AC010883.3"</f>
        <v>AC010883.3</v>
      </c>
      <c r="B7257" s="6">
        <v>0.133866133866133</v>
      </c>
      <c r="C7257" s="6">
        <v>0.323560425828467</v>
      </c>
    </row>
    <row r="7258" spans="1:3" s="8" customFormat="1" x14ac:dyDescent="0.2">
      <c r="A7258" s="6" t="str">
        <f>"CATSPER3"</f>
        <v>CATSPER3</v>
      </c>
      <c r="B7258" s="6">
        <v>0.133744855967078</v>
      </c>
      <c r="C7258" s="6">
        <v>0.323560425828467</v>
      </c>
    </row>
    <row r="7259" spans="1:3" s="8" customFormat="1" x14ac:dyDescent="0.2">
      <c r="A7259" s="6" t="str">
        <f>"LINC01783"</f>
        <v>LINC01783</v>
      </c>
      <c r="B7259" s="6">
        <v>0.133866133866133</v>
      </c>
      <c r="C7259" s="6">
        <v>0.323560425828467</v>
      </c>
    </row>
    <row r="7260" spans="1:3" s="8" customFormat="1" x14ac:dyDescent="0.2">
      <c r="A7260" s="6" t="str">
        <f>"CPHL1P"</f>
        <v>CPHL1P</v>
      </c>
      <c r="B7260" s="6">
        <v>0.133866133866133</v>
      </c>
      <c r="C7260" s="6">
        <v>0.323560425828467</v>
      </c>
    </row>
    <row r="7261" spans="1:3" s="8" customFormat="1" x14ac:dyDescent="0.2">
      <c r="A7261" s="6" t="str">
        <f>"AC072061.1"</f>
        <v>AC072061.1</v>
      </c>
      <c r="B7261" s="6">
        <v>0.133866133866133</v>
      </c>
      <c r="C7261" s="6">
        <v>0.323560425828467</v>
      </c>
    </row>
    <row r="7262" spans="1:3" s="8" customFormat="1" x14ac:dyDescent="0.2">
      <c r="A7262" s="6" t="str">
        <f>"IL7"</f>
        <v>IL7</v>
      </c>
      <c r="B7262" s="6">
        <v>0.133866133866133</v>
      </c>
      <c r="C7262" s="6">
        <v>0.323560425828467</v>
      </c>
    </row>
    <row r="7263" spans="1:3" s="8" customFormat="1" x14ac:dyDescent="0.2">
      <c r="A7263" s="6" t="str">
        <f>"AL138756.1"</f>
        <v>AL138756.1</v>
      </c>
      <c r="B7263" s="6">
        <v>0.133866133866133</v>
      </c>
      <c r="C7263" s="6">
        <v>0.323560425828467</v>
      </c>
    </row>
    <row r="7264" spans="1:3" s="8" customFormat="1" x14ac:dyDescent="0.2">
      <c r="A7264" s="6" t="str">
        <f>"FAM201A"</f>
        <v>FAM201A</v>
      </c>
      <c r="B7264" s="6">
        <v>0.133866133866133</v>
      </c>
      <c r="C7264" s="6">
        <v>0.323560425828467</v>
      </c>
    </row>
    <row r="7265" spans="1:3" s="8" customFormat="1" x14ac:dyDescent="0.2">
      <c r="A7265" s="6" t="str">
        <f>"AC027644.3"</f>
        <v>AC027644.3</v>
      </c>
      <c r="B7265" s="6">
        <v>0.133866133866133</v>
      </c>
      <c r="C7265" s="6">
        <v>0.323560425828467</v>
      </c>
    </row>
    <row r="7266" spans="1:3" s="8" customFormat="1" x14ac:dyDescent="0.2">
      <c r="A7266" s="6" t="str">
        <f>"MARVELD1"</f>
        <v>MARVELD1</v>
      </c>
      <c r="B7266" s="6">
        <v>0.133866133866133</v>
      </c>
      <c r="C7266" s="6">
        <v>0.323560425828467</v>
      </c>
    </row>
    <row r="7267" spans="1:3" s="8" customFormat="1" x14ac:dyDescent="0.2">
      <c r="A7267" s="6" t="str">
        <f>"AKTIP"</f>
        <v>AKTIP</v>
      </c>
      <c r="B7267" s="6">
        <v>0.133866133866133</v>
      </c>
      <c r="C7267" s="6">
        <v>0.323560425828467</v>
      </c>
    </row>
    <row r="7268" spans="1:3" s="8" customFormat="1" x14ac:dyDescent="0.2">
      <c r="A7268" s="6" t="str">
        <f>"BTG3"</f>
        <v>BTG3</v>
      </c>
      <c r="B7268" s="6">
        <v>0.133866133866133</v>
      </c>
      <c r="C7268" s="6">
        <v>0.323560425828467</v>
      </c>
    </row>
    <row r="7269" spans="1:3" s="8" customFormat="1" x14ac:dyDescent="0.2">
      <c r="A7269" s="6" t="str">
        <f>"BCL2L15"</f>
        <v>BCL2L15</v>
      </c>
      <c r="B7269" s="6">
        <v>0.133866133866133</v>
      </c>
      <c r="C7269" s="6">
        <v>0.323560425828467</v>
      </c>
    </row>
    <row r="7270" spans="1:3" s="8" customFormat="1" x14ac:dyDescent="0.2">
      <c r="A7270" s="6" t="str">
        <f>"KNOP1"</f>
        <v>KNOP1</v>
      </c>
      <c r="B7270" s="6">
        <v>0.133866133866133</v>
      </c>
      <c r="C7270" s="6">
        <v>0.323560425828467</v>
      </c>
    </row>
    <row r="7271" spans="1:3" s="8" customFormat="1" x14ac:dyDescent="0.2">
      <c r="A7271" s="6" t="str">
        <f>"PRPF38A"</f>
        <v>PRPF38A</v>
      </c>
      <c r="B7271" s="6">
        <v>0.133866133866133</v>
      </c>
      <c r="C7271" s="6">
        <v>0.323560425828467</v>
      </c>
    </row>
    <row r="7272" spans="1:3" s="8" customFormat="1" x14ac:dyDescent="0.2">
      <c r="A7272" s="6" t="str">
        <f>"VPS37C"</f>
        <v>VPS37C</v>
      </c>
      <c r="B7272" s="6">
        <v>0.133866133866133</v>
      </c>
      <c r="C7272" s="6">
        <v>0.323560425828467</v>
      </c>
    </row>
    <row r="7273" spans="1:3" s="8" customFormat="1" x14ac:dyDescent="0.2">
      <c r="A7273" s="6" t="str">
        <f>"NKX3-1"</f>
        <v>NKX3-1</v>
      </c>
      <c r="B7273" s="6">
        <v>0.133866133866133</v>
      </c>
      <c r="C7273" s="6">
        <v>0.323560425828467</v>
      </c>
    </row>
    <row r="7274" spans="1:3" s="8" customFormat="1" x14ac:dyDescent="0.2">
      <c r="A7274" s="6" t="str">
        <f>"DLAT"</f>
        <v>DLAT</v>
      </c>
      <c r="B7274" s="6">
        <v>0.133866133866133</v>
      </c>
      <c r="C7274" s="6">
        <v>0.323560425828467</v>
      </c>
    </row>
    <row r="7275" spans="1:3" s="8" customFormat="1" x14ac:dyDescent="0.2">
      <c r="A7275" s="6" t="str">
        <f>"HYDIN"</f>
        <v>HYDIN</v>
      </c>
      <c r="B7275" s="6">
        <v>0.133866133866133</v>
      </c>
      <c r="C7275" s="6">
        <v>0.323560425828467</v>
      </c>
    </row>
    <row r="7276" spans="1:3" s="8" customFormat="1" x14ac:dyDescent="0.2">
      <c r="A7276" s="6" t="str">
        <f>"DYNLL1"</f>
        <v>DYNLL1</v>
      </c>
      <c r="B7276" s="6">
        <v>0.133866133866133</v>
      </c>
      <c r="C7276" s="6">
        <v>0.323560425828467</v>
      </c>
    </row>
    <row r="7277" spans="1:3" s="8" customFormat="1" x14ac:dyDescent="0.2">
      <c r="A7277" s="6" t="str">
        <f>"ATP6V1G2"</f>
        <v>ATP6V1G2</v>
      </c>
      <c r="B7277" s="6">
        <v>0.13400000000000001</v>
      </c>
      <c r="C7277" s="6">
        <v>0.323750480901346</v>
      </c>
    </row>
    <row r="7278" spans="1:3" s="8" customFormat="1" x14ac:dyDescent="0.2">
      <c r="A7278" s="6" t="str">
        <f>"LRRC73"</f>
        <v>LRRC73</v>
      </c>
      <c r="B7278" s="6">
        <v>0.13400000000000001</v>
      </c>
      <c r="C7278" s="6">
        <v>0.323750480901346</v>
      </c>
    </row>
    <row r="7279" spans="1:3" s="8" customFormat="1" x14ac:dyDescent="0.2">
      <c r="A7279" s="6" t="str">
        <f>"RPS4X"</f>
        <v>RPS4X</v>
      </c>
      <c r="B7279" s="6">
        <v>0.13400000000000001</v>
      </c>
      <c r="C7279" s="6">
        <v>0.323750480901346</v>
      </c>
    </row>
    <row r="7280" spans="1:3" s="8" customFormat="1" x14ac:dyDescent="0.2">
      <c r="A7280" s="6" t="str">
        <f>"AC098487.1"</f>
        <v>AC098487.1</v>
      </c>
      <c r="B7280" s="6">
        <v>0.134134134134134</v>
      </c>
      <c r="C7280" s="6">
        <v>0.32403003360552401</v>
      </c>
    </row>
    <row r="7281" spans="1:3" s="8" customFormat="1" x14ac:dyDescent="0.2">
      <c r="A7281" s="6" t="str">
        <f>"NARF-IT1"</f>
        <v>NARF-IT1</v>
      </c>
      <c r="B7281" s="6">
        <v>0.13486513486513399</v>
      </c>
      <c r="C7281" s="6">
        <v>0.324725254206289</v>
      </c>
    </row>
    <row r="7282" spans="1:3" s="8" customFormat="1" x14ac:dyDescent="0.2">
      <c r="A7282" s="6" t="str">
        <f>"COL19A1"</f>
        <v>COL19A1</v>
      </c>
      <c r="B7282" s="6">
        <v>0.13486513486513399</v>
      </c>
      <c r="C7282" s="6">
        <v>0.324725254206289</v>
      </c>
    </row>
    <row r="7283" spans="1:3" s="8" customFormat="1" x14ac:dyDescent="0.2">
      <c r="A7283" s="6" t="str">
        <f>"AC018678.1"</f>
        <v>AC018678.1</v>
      </c>
      <c r="B7283" s="6">
        <v>0.13486513486513399</v>
      </c>
      <c r="C7283" s="6">
        <v>0.324725254206289</v>
      </c>
    </row>
    <row r="7284" spans="1:3" s="8" customFormat="1" x14ac:dyDescent="0.2">
      <c r="A7284" s="6" t="str">
        <f>"NRADDP"</f>
        <v>NRADDP</v>
      </c>
      <c r="B7284" s="6">
        <v>0.13486513486513399</v>
      </c>
      <c r="C7284" s="6">
        <v>0.324725254206289</v>
      </c>
    </row>
    <row r="7285" spans="1:3" s="8" customFormat="1" x14ac:dyDescent="0.2">
      <c r="A7285" s="6" t="str">
        <f>"LINC01409"</f>
        <v>LINC01409</v>
      </c>
      <c r="B7285" s="6">
        <v>0.13486513486513399</v>
      </c>
      <c r="C7285" s="6">
        <v>0.324725254206289</v>
      </c>
    </row>
    <row r="7286" spans="1:3" s="8" customFormat="1" x14ac:dyDescent="0.2">
      <c r="A7286" s="6" t="str">
        <f>"CYBRD1"</f>
        <v>CYBRD1</v>
      </c>
      <c r="B7286" s="6">
        <v>0.13486513486513399</v>
      </c>
      <c r="C7286" s="6">
        <v>0.324725254206289</v>
      </c>
    </row>
    <row r="7287" spans="1:3" s="8" customFormat="1" x14ac:dyDescent="0.2">
      <c r="A7287" s="6" t="str">
        <f>"LINC01278"</f>
        <v>LINC01278</v>
      </c>
      <c r="B7287" s="6">
        <v>0.13486513486513399</v>
      </c>
      <c r="C7287" s="6">
        <v>0.324725254206289</v>
      </c>
    </row>
    <row r="7288" spans="1:3" s="8" customFormat="1" x14ac:dyDescent="0.2">
      <c r="A7288" s="6" t="str">
        <f>"GAS5"</f>
        <v>GAS5</v>
      </c>
      <c r="B7288" s="6">
        <v>0.13486513486513399</v>
      </c>
      <c r="C7288" s="6">
        <v>0.324725254206289</v>
      </c>
    </row>
    <row r="7289" spans="1:3" s="8" customFormat="1" x14ac:dyDescent="0.2">
      <c r="A7289" s="6" t="str">
        <f>"HERC3"</f>
        <v>HERC3</v>
      </c>
      <c r="B7289" s="6">
        <v>0.13486513486513399</v>
      </c>
      <c r="C7289" s="6">
        <v>0.324725254206289</v>
      </c>
    </row>
    <row r="7290" spans="1:3" s="8" customFormat="1" x14ac:dyDescent="0.2">
      <c r="A7290" s="6" t="str">
        <f>"TMUB2"</f>
        <v>TMUB2</v>
      </c>
      <c r="B7290" s="6">
        <v>0.13486513486513399</v>
      </c>
      <c r="C7290" s="6">
        <v>0.324725254206289</v>
      </c>
    </row>
    <row r="7291" spans="1:3" s="8" customFormat="1" x14ac:dyDescent="0.2">
      <c r="A7291" s="6" t="str">
        <f>"LAMTOR3"</f>
        <v>LAMTOR3</v>
      </c>
      <c r="B7291" s="6">
        <v>0.13486513486513399</v>
      </c>
      <c r="C7291" s="6">
        <v>0.324725254206289</v>
      </c>
    </row>
    <row r="7292" spans="1:3" s="8" customFormat="1" x14ac:dyDescent="0.2">
      <c r="A7292" s="6" t="str">
        <f>"ARHGAP44"</f>
        <v>ARHGAP44</v>
      </c>
      <c r="B7292" s="6">
        <v>0.13486513486513399</v>
      </c>
      <c r="C7292" s="6">
        <v>0.324725254206289</v>
      </c>
    </row>
    <row r="7293" spans="1:3" s="8" customFormat="1" x14ac:dyDescent="0.2">
      <c r="A7293" s="6" t="str">
        <f>"IGSF8"</f>
        <v>IGSF8</v>
      </c>
      <c r="B7293" s="6">
        <v>0.13486513486513399</v>
      </c>
      <c r="C7293" s="6">
        <v>0.324725254206289</v>
      </c>
    </row>
    <row r="7294" spans="1:3" s="8" customFormat="1" x14ac:dyDescent="0.2">
      <c r="A7294" s="6" t="str">
        <f>"AGBL2"</f>
        <v>AGBL2</v>
      </c>
      <c r="B7294" s="6">
        <v>0.13486513486513399</v>
      </c>
      <c r="C7294" s="6">
        <v>0.324725254206289</v>
      </c>
    </row>
    <row r="7295" spans="1:3" s="8" customFormat="1" x14ac:dyDescent="0.2">
      <c r="A7295" s="6" t="str">
        <f>"SENP2"</f>
        <v>SENP2</v>
      </c>
      <c r="B7295" s="6">
        <v>0.13486513486513399</v>
      </c>
      <c r="C7295" s="6">
        <v>0.324725254206289</v>
      </c>
    </row>
    <row r="7296" spans="1:3" s="8" customFormat="1" x14ac:dyDescent="0.2">
      <c r="A7296" s="6" t="str">
        <f>"SIK2"</f>
        <v>SIK2</v>
      </c>
      <c r="B7296" s="6">
        <v>0.13486513486513399</v>
      </c>
      <c r="C7296" s="6">
        <v>0.324725254206289</v>
      </c>
    </row>
    <row r="7297" spans="1:3" s="8" customFormat="1" x14ac:dyDescent="0.2">
      <c r="A7297" s="6" t="str">
        <f>"UBA2"</f>
        <v>UBA2</v>
      </c>
      <c r="B7297" s="6">
        <v>0.13486513486513399</v>
      </c>
      <c r="C7297" s="6">
        <v>0.324725254206289</v>
      </c>
    </row>
    <row r="7298" spans="1:3" s="8" customFormat="1" x14ac:dyDescent="0.2">
      <c r="A7298" s="6" t="str">
        <f>"NRP2"</f>
        <v>NRP2</v>
      </c>
      <c r="B7298" s="6">
        <v>0.13486513486513399</v>
      </c>
      <c r="C7298" s="6">
        <v>0.324725254206289</v>
      </c>
    </row>
    <row r="7299" spans="1:3" s="8" customFormat="1" x14ac:dyDescent="0.2">
      <c r="A7299" s="6" t="str">
        <f>"TRIP11"</f>
        <v>TRIP11</v>
      </c>
      <c r="B7299" s="6">
        <v>0.13486513486513399</v>
      </c>
      <c r="C7299" s="6">
        <v>0.324725254206289</v>
      </c>
    </row>
    <row r="7300" spans="1:3" s="8" customFormat="1" x14ac:dyDescent="0.2">
      <c r="A7300" s="6" t="str">
        <f>"PEX19"</f>
        <v>PEX19</v>
      </c>
      <c r="B7300" s="6">
        <v>0.13486513486513399</v>
      </c>
      <c r="C7300" s="6">
        <v>0.324725254206289</v>
      </c>
    </row>
    <row r="7301" spans="1:3" s="8" customFormat="1" x14ac:dyDescent="0.2">
      <c r="A7301" s="6" t="str">
        <f>"RNPEP"</f>
        <v>RNPEP</v>
      </c>
      <c r="B7301" s="6">
        <v>0.13486513486513399</v>
      </c>
      <c r="C7301" s="6">
        <v>0.324725254206289</v>
      </c>
    </row>
    <row r="7302" spans="1:3" s="8" customFormat="1" x14ac:dyDescent="0.2">
      <c r="A7302" s="6" t="str">
        <f>"SERPINF1"</f>
        <v>SERPINF1</v>
      </c>
      <c r="B7302" s="6">
        <v>0.13486513486513399</v>
      </c>
      <c r="C7302" s="6">
        <v>0.324725254206289</v>
      </c>
    </row>
    <row r="7303" spans="1:3" s="8" customFormat="1" x14ac:dyDescent="0.2">
      <c r="A7303" s="6" t="str">
        <f>"STRN4"</f>
        <v>STRN4</v>
      </c>
      <c r="B7303" s="6">
        <v>0.13486513486513399</v>
      </c>
      <c r="C7303" s="6">
        <v>0.324725254206289</v>
      </c>
    </row>
    <row r="7304" spans="1:3" s="8" customFormat="1" x14ac:dyDescent="0.2">
      <c r="A7304" s="6" t="str">
        <f>"CLDN1"</f>
        <v>CLDN1</v>
      </c>
      <c r="B7304" s="6">
        <v>0.13486513486513399</v>
      </c>
      <c r="C7304" s="6">
        <v>0.324725254206289</v>
      </c>
    </row>
    <row r="7305" spans="1:3" s="8" customFormat="1" x14ac:dyDescent="0.2">
      <c r="A7305" s="6" t="str">
        <f>"CCDC86"</f>
        <v>CCDC86</v>
      </c>
      <c r="B7305" s="6">
        <v>0.13500000000000001</v>
      </c>
      <c r="C7305" s="6">
        <v>0.32496098562628301</v>
      </c>
    </row>
    <row r="7306" spans="1:3" s="8" customFormat="1" x14ac:dyDescent="0.2">
      <c r="A7306" s="6" t="str">
        <f>"GFM2"</f>
        <v>GFM2</v>
      </c>
      <c r="B7306" s="6">
        <v>0.13500000000000001</v>
      </c>
      <c r="C7306" s="6">
        <v>0.32496098562628301</v>
      </c>
    </row>
    <row r="7307" spans="1:3" s="8" customFormat="1" x14ac:dyDescent="0.2">
      <c r="A7307" s="6" t="str">
        <f>"SIRLNT"</f>
        <v>SIRLNT</v>
      </c>
      <c r="B7307" s="6">
        <v>0.135135135135135</v>
      </c>
      <c r="C7307" s="6">
        <v>0.32524174872929301</v>
      </c>
    </row>
    <row r="7308" spans="1:3" s="8" customFormat="1" x14ac:dyDescent="0.2">
      <c r="A7308" s="6" t="str">
        <f>"RN7SL138P"</f>
        <v>RN7SL138P</v>
      </c>
      <c r="B7308" s="6">
        <v>0.13586413586413501</v>
      </c>
      <c r="C7308" s="6">
        <v>0.32637089686269999</v>
      </c>
    </row>
    <row r="7309" spans="1:3" s="8" customFormat="1" x14ac:dyDescent="0.2">
      <c r="A7309" s="6" t="str">
        <f>"ACHE"</f>
        <v>ACHE</v>
      </c>
      <c r="B7309" s="6">
        <v>0.13586413586413501</v>
      </c>
      <c r="C7309" s="6">
        <v>0.32637089686269999</v>
      </c>
    </row>
    <row r="7310" spans="1:3" s="8" customFormat="1" x14ac:dyDescent="0.2">
      <c r="A7310" s="6" t="str">
        <f>"AL121820.2"</f>
        <v>AL121820.2</v>
      </c>
      <c r="B7310" s="6">
        <v>0.13586413586413501</v>
      </c>
      <c r="C7310" s="6">
        <v>0.32637089686269999</v>
      </c>
    </row>
    <row r="7311" spans="1:3" s="8" customFormat="1" x14ac:dyDescent="0.2">
      <c r="A7311" s="6" t="str">
        <f>"DPH6"</f>
        <v>DPH6</v>
      </c>
      <c r="B7311" s="6">
        <v>0.13586413586413501</v>
      </c>
      <c r="C7311" s="6">
        <v>0.32637089686269999</v>
      </c>
    </row>
    <row r="7312" spans="1:3" s="8" customFormat="1" x14ac:dyDescent="0.2">
      <c r="A7312" s="6" t="str">
        <f>"CA11"</f>
        <v>CA11</v>
      </c>
      <c r="B7312" s="6">
        <v>0.13586413586413501</v>
      </c>
      <c r="C7312" s="6">
        <v>0.32637089686269999</v>
      </c>
    </row>
    <row r="7313" spans="1:3" s="8" customFormat="1" x14ac:dyDescent="0.2">
      <c r="A7313" s="6" t="str">
        <f>"PCDHAC1"</f>
        <v>PCDHAC1</v>
      </c>
      <c r="B7313" s="6">
        <v>0.13586413586413501</v>
      </c>
      <c r="C7313" s="6">
        <v>0.32637089686269999</v>
      </c>
    </row>
    <row r="7314" spans="1:3" s="8" customFormat="1" x14ac:dyDescent="0.2">
      <c r="A7314" s="6" t="str">
        <f>"AC008674.1"</f>
        <v>AC008674.1</v>
      </c>
      <c r="B7314" s="6">
        <v>0.13586413586413501</v>
      </c>
      <c r="C7314" s="6">
        <v>0.32637089686269999</v>
      </c>
    </row>
    <row r="7315" spans="1:3" s="8" customFormat="1" x14ac:dyDescent="0.2">
      <c r="A7315" s="6" t="str">
        <f>"SLC7A11"</f>
        <v>SLC7A11</v>
      </c>
      <c r="B7315" s="6">
        <v>0.13586413586413501</v>
      </c>
      <c r="C7315" s="6">
        <v>0.32637089686269999</v>
      </c>
    </row>
    <row r="7316" spans="1:3" s="8" customFormat="1" x14ac:dyDescent="0.2">
      <c r="A7316" s="6" t="str">
        <f>"ITSN1"</f>
        <v>ITSN1</v>
      </c>
      <c r="B7316" s="6">
        <v>0.13586413586413501</v>
      </c>
      <c r="C7316" s="6">
        <v>0.32637089686269999</v>
      </c>
    </row>
    <row r="7317" spans="1:3" s="8" customFormat="1" x14ac:dyDescent="0.2">
      <c r="A7317" s="6" t="str">
        <f>"BCOR"</f>
        <v>BCOR</v>
      </c>
      <c r="B7317" s="6">
        <v>0.13586413586413501</v>
      </c>
      <c r="C7317" s="6">
        <v>0.32637089686269999</v>
      </c>
    </row>
    <row r="7318" spans="1:3" s="8" customFormat="1" x14ac:dyDescent="0.2">
      <c r="A7318" s="6" t="str">
        <f>"PWP1"</f>
        <v>PWP1</v>
      </c>
      <c r="B7318" s="6">
        <v>0.13586413586413501</v>
      </c>
      <c r="C7318" s="6">
        <v>0.32637089686269999</v>
      </c>
    </row>
    <row r="7319" spans="1:3" s="8" customFormat="1" x14ac:dyDescent="0.2">
      <c r="A7319" s="6" t="str">
        <f>"DNAI3"</f>
        <v>DNAI3</v>
      </c>
      <c r="B7319" s="6">
        <v>0.13586413586413501</v>
      </c>
      <c r="C7319" s="6">
        <v>0.32637089686269999</v>
      </c>
    </row>
    <row r="7320" spans="1:3" s="8" customFormat="1" x14ac:dyDescent="0.2">
      <c r="A7320" s="6" t="str">
        <f>"HSPD1"</f>
        <v>HSPD1</v>
      </c>
      <c r="B7320" s="6">
        <v>0.13586413586413501</v>
      </c>
      <c r="C7320" s="6">
        <v>0.32637089686269999</v>
      </c>
    </row>
    <row r="7321" spans="1:3" s="8" customFormat="1" x14ac:dyDescent="0.2">
      <c r="A7321" s="6" t="str">
        <f>"AZGP1"</f>
        <v>AZGP1</v>
      </c>
      <c r="B7321" s="6">
        <v>0.13586413586413501</v>
      </c>
      <c r="C7321" s="6">
        <v>0.32637089686269999</v>
      </c>
    </row>
    <row r="7322" spans="1:3" s="8" customFormat="1" x14ac:dyDescent="0.2">
      <c r="A7322" s="6" t="str">
        <f>"AC117378.1"</f>
        <v>AC117378.1</v>
      </c>
      <c r="B7322" s="6">
        <v>0.13600000000000001</v>
      </c>
      <c r="C7322" s="6">
        <v>0.32656343028813301</v>
      </c>
    </row>
    <row r="7323" spans="1:3" s="8" customFormat="1" x14ac:dyDescent="0.2">
      <c r="A7323" s="6" t="str">
        <f>"MNX1"</f>
        <v>MNX1</v>
      </c>
      <c r="B7323" s="6">
        <v>0.13600000000000001</v>
      </c>
      <c r="C7323" s="6">
        <v>0.32656343028813301</v>
      </c>
    </row>
    <row r="7324" spans="1:3" s="8" customFormat="1" x14ac:dyDescent="0.2">
      <c r="A7324" s="6" t="str">
        <f>"SUSD1"</f>
        <v>SUSD1</v>
      </c>
      <c r="B7324" s="6">
        <v>0.13600000000000001</v>
      </c>
      <c r="C7324" s="6">
        <v>0.32656343028813301</v>
      </c>
    </row>
    <row r="7325" spans="1:3" s="8" customFormat="1" x14ac:dyDescent="0.2">
      <c r="A7325" s="6" t="str">
        <f>"AC099661.1"</f>
        <v>AC099661.1</v>
      </c>
      <c r="B7325" s="6">
        <v>0.13604060913705501</v>
      </c>
      <c r="C7325" s="6">
        <v>0.32661633957755098</v>
      </c>
    </row>
    <row r="7326" spans="1:3" s="8" customFormat="1" x14ac:dyDescent="0.2">
      <c r="A7326" s="6" t="str">
        <f>"AC092811.1"</f>
        <v>AC092811.1</v>
      </c>
      <c r="B7326" s="6">
        <v>0.13608870967741901</v>
      </c>
      <c r="C7326" s="6">
        <v>0.32668721787955501</v>
      </c>
    </row>
    <row r="7327" spans="1:3" s="8" customFormat="1" x14ac:dyDescent="0.2">
      <c r="A7327" s="6" t="str">
        <f>"AC116407.3"</f>
        <v>AC116407.3</v>
      </c>
      <c r="B7327" s="6">
        <v>0.136409227683049</v>
      </c>
      <c r="C7327" s="6">
        <v>0.32733968969006999</v>
      </c>
    </row>
    <row r="7328" spans="1:3" s="8" customFormat="1" x14ac:dyDescent="0.2">
      <c r="A7328" s="6" t="str">
        <f>"SEC14L1P1"</f>
        <v>SEC14L1P1</v>
      </c>
      <c r="B7328" s="6">
        <v>0.136863136863136</v>
      </c>
      <c r="C7328" s="6">
        <v>0.32733968969006999</v>
      </c>
    </row>
    <row r="7329" spans="1:3" s="8" customFormat="1" x14ac:dyDescent="0.2">
      <c r="A7329" s="6" t="str">
        <f>"AL118505.1"</f>
        <v>AL118505.1</v>
      </c>
      <c r="B7329" s="6">
        <v>0.136863136863136</v>
      </c>
      <c r="C7329" s="6">
        <v>0.32733968969006999</v>
      </c>
    </row>
    <row r="7330" spans="1:3" s="8" customFormat="1" x14ac:dyDescent="0.2">
      <c r="A7330" s="6" t="str">
        <f>"AKAP5"</f>
        <v>AKAP5</v>
      </c>
      <c r="B7330" s="6">
        <v>0.136863136863136</v>
      </c>
      <c r="C7330" s="6">
        <v>0.32733968969006999</v>
      </c>
    </row>
    <row r="7331" spans="1:3" s="8" customFormat="1" x14ac:dyDescent="0.2">
      <c r="A7331" s="6" t="str">
        <f>"TSLP"</f>
        <v>TSLP</v>
      </c>
      <c r="B7331" s="6">
        <v>0.136863136863136</v>
      </c>
      <c r="C7331" s="6">
        <v>0.32733968969006999</v>
      </c>
    </row>
    <row r="7332" spans="1:3" s="8" customFormat="1" x14ac:dyDescent="0.2">
      <c r="A7332" s="6" t="str">
        <f>"LY6G6C"</f>
        <v>LY6G6C</v>
      </c>
      <c r="B7332" s="6">
        <v>0.136863136863136</v>
      </c>
      <c r="C7332" s="6">
        <v>0.32733968969006999</v>
      </c>
    </row>
    <row r="7333" spans="1:3" s="8" customFormat="1" x14ac:dyDescent="0.2">
      <c r="A7333" s="6" t="str">
        <f>"PNMA8C"</f>
        <v>PNMA8C</v>
      </c>
      <c r="B7333" s="6">
        <v>0.136863136863136</v>
      </c>
      <c r="C7333" s="6">
        <v>0.32733968969006999</v>
      </c>
    </row>
    <row r="7334" spans="1:3" s="8" customFormat="1" x14ac:dyDescent="0.2">
      <c r="A7334" s="6" t="str">
        <f>"CCDC102B"</f>
        <v>CCDC102B</v>
      </c>
      <c r="B7334" s="6">
        <v>0.136863136863136</v>
      </c>
      <c r="C7334" s="6">
        <v>0.32733968969006999</v>
      </c>
    </row>
    <row r="7335" spans="1:3" s="8" customFormat="1" x14ac:dyDescent="0.2">
      <c r="A7335" s="6" t="str">
        <f>"BMS1P4"</f>
        <v>BMS1P4</v>
      </c>
      <c r="B7335" s="6">
        <v>0.136863136863136</v>
      </c>
      <c r="C7335" s="6">
        <v>0.32733968969006999</v>
      </c>
    </row>
    <row r="7336" spans="1:3" s="8" customFormat="1" x14ac:dyDescent="0.2">
      <c r="A7336" s="6" t="str">
        <f>"AC010203.1"</f>
        <v>AC010203.1</v>
      </c>
      <c r="B7336" s="6">
        <v>0.136863136863136</v>
      </c>
      <c r="C7336" s="6">
        <v>0.32733968969006999</v>
      </c>
    </row>
    <row r="7337" spans="1:3" s="8" customFormat="1" x14ac:dyDescent="0.2">
      <c r="A7337" s="6" t="str">
        <f>"NKG7"</f>
        <v>NKG7</v>
      </c>
      <c r="B7337" s="6">
        <v>0.136863136863136</v>
      </c>
      <c r="C7337" s="6">
        <v>0.32733968969006999</v>
      </c>
    </row>
    <row r="7338" spans="1:3" s="8" customFormat="1" x14ac:dyDescent="0.2">
      <c r="A7338" s="6" t="str">
        <f>"CD99P1"</f>
        <v>CD99P1</v>
      </c>
      <c r="B7338" s="6">
        <v>0.136863136863136</v>
      </c>
      <c r="C7338" s="6">
        <v>0.32733968969006999</v>
      </c>
    </row>
    <row r="7339" spans="1:3" s="8" customFormat="1" x14ac:dyDescent="0.2">
      <c r="A7339" s="6" t="str">
        <f>"PITPNM2"</f>
        <v>PITPNM2</v>
      </c>
      <c r="B7339" s="6">
        <v>0.136863136863136</v>
      </c>
      <c r="C7339" s="6">
        <v>0.32733968969006999</v>
      </c>
    </row>
    <row r="7340" spans="1:3" s="8" customFormat="1" x14ac:dyDescent="0.2">
      <c r="A7340" s="6" t="str">
        <f>"LINC02701"</f>
        <v>LINC02701</v>
      </c>
      <c r="B7340" s="6">
        <v>0.136863136863136</v>
      </c>
      <c r="C7340" s="6">
        <v>0.32733968969006999</v>
      </c>
    </row>
    <row r="7341" spans="1:3" s="8" customFormat="1" x14ac:dyDescent="0.2">
      <c r="A7341" s="6" t="str">
        <f>"LRRC40"</f>
        <v>LRRC40</v>
      </c>
      <c r="B7341" s="6">
        <v>0.136863136863136</v>
      </c>
      <c r="C7341" s="6">
        <v>0.32733968969006999</v>
      </c>
    </row>
    <row r="7342" spans="1:3" s="8" customFormat="1" x14ac:dyDescent="0.2">
      <c r="A7342" s="6" t="str">
        <f>"CLHC1"</f>
        <v>CLHC1</v>
      </c>
      <c r="B7342" s="6">
        <v>0.136863136863136</v>
      </c>
      <c r="C7342" s="6">
        <v>0.32733968969006999</v>
      </c>
    </row>
    <row r="7343" spans="1:3" s="8" customFormat="1" x14ac:dyDescent="0.2">
      <c r="A7343" s="6" t="str">
        <f>"PARD6B"</f>
        <v>PARD6B</v>
      </c>
      <c r="B7343" s="6">
        <v>0.136863136863136</v>
      </c>
      <c r="C7343" s="6">
        <v>0.32733968969006999</v>
      </c>
    </row>
    <row r="7344" spans="1:3" s="8" customFormat="1" x14ac:dyDescent="0.2">
      <c r="A7344" s="6" t="str">
        <f>"CNNM2"</f>
        <v>CNNM2</v>
      </c>
      <c r="B7344" s="6">
        <v>0.136863136863136</v>
      </c>
      <c r="C7344" s="6">
        <v>0.32733968969006999</v>
      </c>
    </row>
    <row r="7345" spans="1:3" s="8" customFormat="1" x14ac:dyDescent="0.2">
      <c r="A7345" s="6" t="str">
        <f>"FAM160A2"</f>
        <v>FAM160A2</v>
      </c>
      <c r="B7345" s="6">
        <v>0.136863136863136</v>
      </c>
      <c r="C7345" s="6">
        <v>0.32733968969006999</v>
      </c>
    </row>
    <row r="7346" spans="1:3" s="8" customFormat="1" x14ac:dyDescent="0.2">
      <c r="A7346" s="6" t="str">
        <f>"GGT7"</f>
        <v>GGT7</v>
      </c>
      <c r="B7346" s="6">
        <v>0.136863136863136</v>
      </c>
      <c r="C7346" s="6">
        <v>0.32733968969006999</v>
      </c>
    </row>
    <row r="7347" spans="1:3" s="8" customFormat="1" x14ac:dyDescent="0.2">
      <c r="A7347" s="6" t="str">
        <f>"HLA-DQA1"</f>
        <v>HLA-DQA1</v>
      </c>
      <c r="B7347" s="6">
        <v>0.136863136863136</v>
      </c>
      <c r="C7347" s="6">
        <v>0.32733968969006999</v>
      </c>
    </row>
    <row r="7348" spans="1:3" s="8" customFormat="1" x14ac:dyDescent="0.2">
      <c r="A7348" s="6" t="str">
        <f>"HSPB11"</f>
        <v>HSPB11</v>
      </c>
      <c r="B7348" s="6">
        <v>0.136863136863136</v>
      </c>
      <c r="C7348" s="6">
        <v>0.32733968969006999</v>
      </c>
    </row>
    <row r="7349" spans="1:3" s="8" customFormat="1" x14ac:dyDescent="0.2">
      <c r="A7349" s="6" t="str">
        <f>"SLC11A2"</f>
        <v>SLC11A2</v>
      </c>
      <c r="B7349" s="6">
        <v>0.136863136863136</v>
      </c>
      <c r="C7349" s="6">
        <v>0.32733968969006999</v>
      </c>
    </row>
    <row r="7350" spans="1:3" s="8" customFormat="1" x14ac:dyDescent="0.2">
      <c r="A7350" s="6" t="str">
        <f>"ATP5F1E"</f>
        <v>ATP5F1E</v>
      </c>
      <c r="B7350" s="6">
        <v>0.136863136863136</v>
      </c>
      <c r="C7350" s="6">
        <v>0.32733968969006999</v>
      </c>
    </row>
    <row r="7351" spans="1:3" s="8" customFormat="1" x14ac:dyDescent="0.2">
      <c r="A7351" s="6" t="str">
        <f>"OIP5-AS1"</f>
        <v>OIP5-AS1</v>
      </c>
      <c r="B7351" s="6">
        <v>0.136863136863136</v>
      </c>
      <c r="C7351" s="6">
        <v>0.32733968969006999</v>
      </c>
    </row>
    <row r="7352" spans="1:3" s="8" customFormat="1" x14ac:dyDescent="0.2">
      <c r="A7352" s="6" t="str">
        <f>"RAB11A"</f>
        <v>RAB11A</v>
      </c>
      <c r="B7352" s="6">
        <v>0.136863136863136</v>
      </c>
      <c r="C7352" s="6">
        <v>0.32733968969006999</v>
      </c>
    </row>
    <row r="7353" spans="1:3" s="8" customFormat="1" x14ac:dyDescent="0.2">
      <c r="A7353" s="6" t="str">
        <f>"NIBAN1"</f>
        <v>NIBAN1</v>
      </c>
      <c r="B7353" s="6">
        <v>0.136863136863136</v>
      </c>
      <c r="C7353" s="6">
        <v>0.32733968969006999</v>
      </c>
    </row>
    <row r="7354" spans="1:3" s="8" customFormat="1" x14ac:dyDescent="0.2">
      <c r="A7354" s="6" t="str">
        <f>"AC104109.2"</f>
        <v>AC104109.2</v>
      </c>
      <c r="B7354" s="6">
        <v>0.13700000000000001</v>
      </c>
      <c r="C7354" s="6">
        <v>0.32757791677998299</v>
      </c>
    </row>
    <row r="7355" spans="1:3" s="8" customFormat="1" x14ac:dyDescent="0.2">
      <c r="A7355" s="6" t="str">
        <f>"MVB12B"</f>
        <v>MVB12B</v>
      </c>
      <c r="B7355" s="6">
        <v>0.13700000000000001</v>
      </c>
      <c r="C7355" s="6">
        <v>0.32757791677998299</v>
      </c>
    </row>
    <row r="7356" spans="1:3" s="8" customFormat="1" x14ac:dyDescent="0.2">
      <c r="A7356" s="6" t="str">
        <f>"TPH2"</f>
        <v>TPH2</v>
      </c>
      <c r="B7356" s="6">
        <v>0.13710879284649699</v>
      </c>
      <c r="C7356" s="6">
        <v>0.32779347565096001</v>
      </c>
    </row>
    <row r="7357" spans="1:3" s="8" customFormat="1" x14ac:dyDescent="0.2">
      <c r="A7357" s="6" t="str">
        <f>"MAPK8IP1P2"</f>
        <v>MAPK8IP1P2</v>
      </c>
      <c r="B7357" s="6">
        <v>0.137274549098196</v>
      </c>
      <c r="C7357" s="6">
        <v>0.328145142923149</v>
      </c>
    </row>
    <row r="7358" spans="1:3" s="8" customFormat="1" x14ac:dyDescent="0.2">
      <c r="A7358" s="6" t="str">
        <f>"AC073111.2"</f>
        <v>AC073111.2</v>
      </c>
      <c r="B7358" s="6">
        <v>0.137862137862137</v>
      </c>
      <c r="C7358" s="6">
        <v>0.32821118767503799</v>
      </c>
    </row>
    <row r="7359" spans="1:3" s="8" customFormat="1" x14ac:dyDescent="0.2">
      <c r="A7359" s="6" t="str">
        <f>"AC007998.2"</f>
        <v>AC007998.2</v>
      </c>
      <c r="B7359" s="6">
        <v>0.137862137862137</v>
      </c>
      <c r="C7359" s="6">
        <v>0.32821118767503799</v>
      </c>
    </row>
    <row r="7360" spans="1:3" s="8" customFormat="1" x14ac:dyDescent="0.2">
      <c r="A7360" s="6" t="str">
        <f>"AL078587.2"</f>
        <v>AL078587.2</v>
      </c>
      <c r="B7360" s="6">
        <v>0.137862137862137</v>
      </c>
      <c r="C7360" s="6">
        <v>0.32821118767503799</v>
      </c>
    </row>
    <row r="7361" spans="1:3" s="8" customFormat="1" x14ac:dyDescent="0.2">
      <c r="A7361" s="6" t="str">
        <f>"ISL2"</f>
        <v>ISL2</v>
      </c>
      <c r="B7361" s="6">
        <v>0.137862137862137</v>
      </c>
      <c r="C7361" s="6">
        <v>0.32821118767503799</v>
      </c>
    </row>
    <row r="7362" spans="1:3" s="8" customFormat="1" x14ac:dyDescent="0.2">
      <c r="A7362" s="6" t="str">
        <f>"AL356421.2"</f>
        <v>AL356421.2</v>
      </c>
      <c r="B7362" s="6">
        <v>0.137862137862137</v>
      </c>
      <c r="C7362" s="6">
        <v>0.32821118767503799</v>
      </c>
    </row>
    <row r="7363" spans="1:3" s="8" customFormat="1" x14ac:dyDescent="0.2">
      <c r="A7363" s="6" t="str">
        <f>"AC011498.7"</f>
        <v>AC011498.7</v>
      </c>
      <c r="B7363" s="6">
        <v>0.137862137862137</v>
      </c>
      <c r="C7363" s="6">
        <v>0.32821118767503799</v>
      </c>
    </row>
    <row r="7364" spans="1:3" s="8" customFormat="1" x14ac:dyDescent="0.2">
      <c r="A7364" s="6" t="str">
        <f>"TMED7-TICAM2"</f>
        <v>TMED7-TICAM2</v>
      </c>
      <c r="B7364" s="6">
        <v>0.137862137862137</v>
      </c>
      <c r="C7364" s="6">
        <v>0.32821118767503799</v>
      </c>
    </row>
    <row r="7365" spans="1:3" s="8" customFormat="1" x14ac:dyDescent="0.2">
      <c r="A7365" s="6" t="str">
        <f>"AC110079.1"</f>
        <v>AC110079.1</v>
      </c>
      <c r="B7365" s="6">
        <v>0.137862137862137</v>
      </c>
      <c r="C7365" s="6">
        <v>0.32821118767503799</v>
      </c>
    </row>
    <row r="7366" spans="1:3" s="8" customFormat="1" x14ac:dyDescent="0.2">
      <c r="A7366" s="6" t="str">
        <f>"ZNF232"</f>
        <v>ZNF232</v>
      </c>
      <c r="B7366" s="6">
        <v>0.137862137862137</v>
      </c>
      <c r="C7366" s="6">
        <v>0.32821118767503799</v>
      </c>
    </row>
    <row r="7367" spans="1:3" s="8" customFormat="1" x14ac:dyDescent="0.2">
      <c r="A7367" s="6" t="str">
        <f>"MUTYH"</f>
        <v>MUTYH</v>
      </c>
      <c r="B7367" s="6">
        <v>0.137862137862137</v>
      </c>
      <c r="C7367" s="6">
        <v>0.32821118767503799</v>
      </c>
    </row>
    <row r="7368" spans="1:3" s="8" customFormat="1" x14ac:dyDescent="0.2">
      <c r="A7368" s="6" t="str">
        <f>"C1orf131"</f>
        <v>C1orf131</v>
      </c>
      <c r="B7368" s="6">
        <v>0.137862137862137</v>
      </c>
      <c r="C7368" s="6">
        <v>0.32821118767503799</v>
      </c>
    </row>
    <row r="7369" spans="1:3" s="8" customFormat="1" x14ac:dyDescent="0.2">
      <c r="A7369" s="6" t="str">
        <f>"COL16A1"</f>
        <v>COL16A1</v>
      </c>
      <c r="B7369" s="6">
        <v>0.137862137862137</v>
      </c>
      <c r="C7369" s="6">
        <v>0.32821118767503799</v>
      </c>
    </row>
    <row r="7370" spans="1:3" s="8" customFormat="1" x14ac:dyDescent="0.2">
      <c r="A7370" s="6" t="str">
        <f>"CCDC14"</f>
        <v>CCDC14</v>
      </c>
      <c r="B7370" s="6">
        <v>0.137862137862137</v>
      </c>
      <c r="C7370" s="6">
        <v>0.32821118767503799</v>
      </c>
    </row>
    <row r="7371" spans="1:3" s="8" customFormat="1" x14ac:dyDescent="0.2">
      <c r="A7371" s="6" t="str">
        <f>"TADA2A"</f>
        <v>TADA2A</v>
      </c>
      <c r="B7371" s="6">
        <v>0.137862137862137</v>
      </c>
      <c r="C7371" s="6">
        <v>0.32821118767503799</v>
      </c>
    </row>
    <row r="7372" spans="1:3" s="8" customFormat="1" x14ac:dyDescent="0.2">
      <c r="A7372" s="6" t="str">
        <f>"POP5"</f>
        <v>POP5</v>
      </c>
      <c r="B7372" s="6">
        <v>0.137862137862137</v>
      </c>
      <c r="C7372" s="6">
        <v>0.32821118767503799</v>
      </c>
    </row>
    <row r="7373" spans="1:3" s="8" customFormat="1" x14ac:dyDescent="0.2">
      <c r="A7373" s="6" t="str">
        <f>"CTPS2"</f>
        <v>CTPS2</v>
      </c>
      <c r="B7373" s="6">
        <v>0.137862137862137</v>
      </c>
      <c r="C7373" s="6">
        <v>0.32821118767503799</v>
      </c>
    </row>
    <row r="7374" spans="1:3" s="8" customFormat="1" x14ac:dyDescent="0.2">
      <c r="A7374" s="6" t="str">
        <f>"ADCY3"</f>
        <v>ADCY3</v>
      </c>
      <c r="B7374" s="6">
        <v>0.137862137862137</v>
      </c>
      <c r="C7374" s="6">
        <v>0.32821118767503799</v>
      </c>
    </row>
    <row r="7375" spans="1:3" s="8" customFormat="1" x14ac:dyDescent="0.2">
      <c r="A7375" s="6" t="str">
        <f>"RAP2C"</f>
        <v>RAP2C</v>
      </c>
      <c r="B7375" s="6">
        <v>0.137862137862137</v>
      </c>
      <c r="C7375" s="6">
        <v>0.32821118767503799</v>
      </c>
    </row>
    <row r="7376" spans="1:3" s="8" customFormat="1" x14ac:dyDescent="0.2">
      <c r="A7376" s="6" t="str">
        <f>"HPS6"</f>
        <v>HPS6</v>
      </c>
      <c r="B7376" s="6">
        <v>0.137862137862137</v>
      </c>
      <c r="C7376" s="6">
        <v>0.32821118767503799</v>
      </c>
    </row>
    <row r="7377" spans="1:3" s="8" customFormat="1" x14ac:dyDescent="0.2">
      <c r="A7377" s="6" t="str">
        <f>"CNGA4"</f>
        <v>CNGA4</v>
      </c>
      <c r="B7377" s="6">
        <v>0.137862137862137</v>
      </c>
      <c r="C7377" s="6">
        <v>0.32821118767503799</v>
      </c>
    </row>
    <row r="7378" spans="1:3" s="8" customFormat="1" x14ac:dyDescent="0.2">
      <c r="A7378" s="6" t="str">
        <f>"SGK3"</f>
        <v>SGK3</v>
      </c>
      <c r="B7378" s="6">
        <v>0.137862137862137</v>
      </c>
      <c r="C7378" s="6">
        <v>0.32821118767503799</v>
      </c>
    </row>
    <row r="7379" spans="1:3" s="8" customFormat="1" x14ac:dyDescent="0.2">
      <c r="A7379" s="6" t="str">
        <f>"NATD1"</f>
        <v>NATD1</v>
      </c>
      <c r="B7379" s="6">
        <v>0.137862137862137</v>
      </c>
      <c r="C7379" s="6">
        <v>0.32821118767503799</v>
      </c>
    </row>
    <row r="7380" spans="1:3" s="8" customFormat="1" x14ac:dyDescent="0.2">
      <c r="A7380" s="6" t="str">
        <f>"KCTD20"</f>
        <v>KCTD20</v>
      </c>
      <c r="B7380" s="6">
        <v>0.137862137862137</v>
      </c>
      <c r="C7380" s="6">
        <v>0.32821118767503799</v>
      </c>
    </row>
    <row r="7381" spans="1:3" s="8" customFormat="1" x14ac:dyDescent="0.2">
      <c r="A7381" s="6" t="str">
        <f>"KCTD3"</f>
        <v>KCTD3</v>
      </c>
      <c r="B7381" s="6">
        <v>0.137862137862137</v>
      </c>
      <c r="C7381" s="6">
        <v>0.32821118767503799</v>
      </c>
    </row>
    <row r="7382" spans="1:3" s="8" customFormat="1" x14ac:dyDescent="0.2">
      <c r="A7382" s="6" t="str">
        <f>"FOXK1"</f>
        <v>FOXK1</v>
      </c>
      <c r="B7382" s="6">
        <v>0.137862137862137</v>
      </c>
      <c r="C7382" s="6">
        <v>0.32821118767503799</v>
      </c>
    </row>
    <row r="7383" spans="1:3" s="8" customFormat="1" x14ac:dyDescent="0.2">
      <c r="A7383" s="6" t="str">
        <f>"CLUAP1"</f>
        <v>CLUAP1</v>
      </c>
      <c r="B7383" s="6">
        <v>0.137862137862137</v>
      </c>
      <c r="C7383" s="6">
        <v>0.32821118767503799</v>
      </c>
    </row>
    <row r="7384" spans="1:3" s="8" customFormat="1" x14ac:dyDescent="0.2">
      <c r="A7384" s="6" t="str">
        <f>"SLC6A8"</f>
        <v>SLC6A8</v>
      </c>
      <c r="B7384" s="6">
        <v>0.137862137862137</v>
      </c>
      <c r="C7384" s="6">
        <v>0.32821118767503799</v>
      </c>
    </row>
    <row r="7385" spans="1:3" s="8" customFormat="1" x14ac:dyDescent="0.2">
      <c r="A7385" s="6" t="str">
        <f>"IRF6"</f>
        <v>IRF6</v>
      </c>
      <c r="B7385" s="6">
        <v>0.137862137862137</v>
      </c>
      <c r="C7385" s="6">
        <v>0.32821118767503799</v>
      </c>
    </row>
    <row r="7386" spans="1:3" s="8" customFormat="1" x14ac:dyDescent="0.2">
      <c r="A7386" s="6" t="str">
        <f>"RBM39"</f>
        <v>RBM39</v>
      </c>
      <c r="B7386" s="6">
        <v>0.137862137862137</v>
      </c>
      <c r="C7386" s="6">
        <v>0.32821118767503799</v>
      </c>
    </row>
    <row r="7387" spans="1:3" s="8" customFormat="1" x14ac:dyDescent="0.2">
      <c r="A7387" s="6" t="str">
        <f>"KRT15"</f>
        <v>KRT15</v>
      </c>
      <c r="B7387" s="6">
        <v>0.137862137862137</v>
      </c>
      <c r="C7387" s="6">
        <v>0.32821118767503799</v>
      </c>
    </row>
    <row r="7388" spans="1:3" s="8" customFormat="1" x14ac:dyDescent="0.2">
      <c r="A7388" s="6" t="str">
        <f>"C16orf95"</f>
        <v>C16orf95</v>
      </c>
      <c r="B7388" s="6">
        <v>0.13800000000000001</v>
      </c>
      <c r="C7388" s="6">
        <v>0.32845046020573898</v>
      </c>
    </row>
    <row r="7389" spans="1:3" s="8" customFormat="1" x14ac:dyDescent="0.2">
      <c r="A7389" s="6" t="str">
        <f>"PITPNM1"</f>
        <v>PITPNM1</v>
      </c>
      <c r="B7389" s="6">
        <v>0.13800000000000001</v>
      </c>
      <c r="C7389" s="6">
        <v>0.32845046020573898</v>
      </c>
    </row>
    <row r="7390" spans="1:3" s="8" customFormat="1" x14ac:dyDescent="0.2">
      <c r="A7390" s="6" t="str">
        <f>"HPN"</f>
        <v>HPN</v>
      </c>
      <c r="B7390" s="6">
        <v>0.13886113886113799</v>
      </c>
      <c r="C7390" s="6">
        <v>0.32929659686234097</v>
      </c>
    </row>
    <row r="7391" spans="1:3" s="8" customFormat="1" x14ac:dyDescent="0.2">
      <c r="A7391" s="6" t="str">
        <f>"AARD"</f>
        <v>AARD</v>
      </c>
      <c r="B7391" s="6">
        <v>0.13886113886113799</v>
      </c>
      <c r="C7391" s="6">
        <v>0.32929659686234097</v>
      </c>
    </row>
    <row r="7392" spans="1:3" s="8" customFormat="1" x14ac:dyDescent="0.2">
      <c r="A7392" s="6" t="str">
        <f>"GAS6-DT"</f>
        <v>GAS6-DT</v>
      </c>
      <c r="B7392" s="6">
        <v>0.13886113886113799</v>
      </c>
      <c r="C7392" s="6">
        <v>0.32929659686234097</v>
      </c>
    </row>
    <row r="7393" spans="1:3" s="8" customFormat="1" x14ac:dyDescent="0.2">
      <c r="A7393" s="6" t="str">
        <f>"AL359878.1"</f>
        <v>AL359878.1</v>
      </c>
      <c r="B7393" s="6">
        <v>0.13855421686746899</v>
      </c>
      <c r="C7393" s="6">
        <v>0.32929659686234097</v>
      </c>
    </row>
    <row r="7394" spans="1:3" s="8" customFormat="1" x14ac:dyDescent="0.2">
      <c r="A7394" s="6" t="str">
        <f>"AC073270.2"</f>
        <v>AC073270.2</v>
      </c>
      <c r="B7394" s="6">
        <v>0.13855421686746899</v>
      </c>
      <c r="C7394" s="6">
        <v>0.32929659686234097</v>
      </c>
    </row>
    <row r="7395" spans="1:3" s="8" customFormat="1" x14ac:dyDescent="0.2">
      <c r="A7395" s="6" t="str">
        <f>"AL021807.1"</f>
        <v>AL021807.1</v>
      </c>
      <c r="B7395" s="6">
        <v>0.13886113886113799</v>
      </c>
      <c r="C7395" s="6">
        <v>0.32929659686234097</v>
      </c>
    </row>
    <row r="7396" spans="1:3" s="8" customFormat="1" x14ac:dyDescent="0.2">
      <c r="A7396" s="6" t="str">
        <f>"CBARP"</f>
        <v>CBARP</v>
      </c>
      <c r="B7396" s="6">
        <v>0.13886113886113799</v>
      </c>
      <c r="C7396" s="6">
        <v>0.32929659686234097</v>
      </c>
    </row>
    <row r="7397" spans="1:3" s="8" customFormat="1" x14ac:dyDescent="0.2">
      <c r="A7397" s="6" t="str">
        <f>"AC079174.2"</f>
        <v>AC079174.2</v>
      </c>
      <c r="B7397" s="6">
        <v>0.13841524573721101</v>
      </c>
      <c r="C7397" s="6">
        <v>0.32929659686234097</v>
      </c>
    </row>
    <row r="7398" spans="1:3" s="8" customFormat="1" x14ac:dyDescent="0.2">
      <c r="A7398" s="6" t="str">
        <f>"PLCL1"</f>
        <v>PLCL1</v>
      </c>
      <c r="B7398" s="6">
        <v>0.13886113886113799</v>
      </c>
      <c r="C7398" s="6">
        <v>0.32929659686234097</v>
      </c>
    </row>
    <row r="7399" spans="1:3" s="8" customFormat="1" x14ac:dyDescent="0.2">
      <c r="A7399" s="6" t="str">
        <f>"AL662884.3"</f>
        <v>AL662884.3</v>
      </c>
      <c r="B7399" s="6">
        <v>0.13886113886113799</v>
      </c>
      <c r="C7399" s="6">
        <v>0.32929659686234097</v>
      </c>
    </row>
    <row r="7400" spans="1:3" s="8" customFormat="1" x14ac:dyDescent="0.2">
      <c r="A7400" s="6" t="str">
        <f>"MOCS1"</f>
        <v>MOCS1</v>
      </c>
      <c r="B7400" s="6">
        <v>0.13886113886113799</v>
      </c>
      <c r="C7400" s="6">
        <v>0.32929659686234097</v>
      </c>
    </row>
    <row r="7401" spans="1:3" s="8" customFormat="1" x14ac:dyDescent="0.2">
      <c r="A7401" s="6" t="str">
        <f>"IQCH-AS1"</f>
        <v>IQCH-AS1</v>
      </c>
      <c r="B7401" s="6">
        <v>0.13886113886113799</v>
      </c>
      <c r="C7401" s="6">
        <v>0.32929659686234097</v>
      </c>
    </row>
    <row r="7402" spans="1:3" s="8" customFormat="1" x14ac:dyDescent="0.2">
      <c r="A7402" s="6" t="str">
        <f>"ZFP30"</f>
        <v>ZFP30</v>
      </c>
      <c r="B7402" s="6">
        <v>0.13886113886113799</v>
      </c>
      <c r="C7402" s="6">
        <v>0.32929659686234097</v>
      </c>
    </row>
    <row r="7403" spans="1:3" s="8" customFormat="1" x14ac:dyDescent="0.2">
      <c r="A7403" s="6" t="str">
        <f>"SUPV3L1"</f>
        <v>SUPV3L1</v>
      </c>
      <c r="B7403" s="6">
        <v>0.13886113886113799</v>
      </c>
      <c r="C7403" s="6">
        <v>0.32929659686234097</v>
      </c>
    </row>
    <row r="7404" spans="1:3" s="8" customFormat="1" x14ac:dyDescent="0.2">
      <c r="A7404" s="6" t="str">
        <f>"MTR"</f>
        <v>MTR</v>
      </c>
      <c r="B7404" s="6">
        <v>0.13886113886113799</v>
      </c>
      <c r="C7404" s="6">
        <v>0.32929659686234097</v>
      </c>
    </row>
    <row r="7405" spans="1:3" s="8" customFormat="1" x14ac:dyDescent="0.2">
      <c r="A7405" s="6" t="str">
        <f>"ATP6V0E2"</f>
        <v>ATP6V0E2</v>
      </c>
      <c r="B7405" s="6">
        <v>0.13886113886113799</v>
      </c>
      <c r="C7405" s="6">
        <v>0.32929659686234097</v>
      </c>
    </row>
    <row r="7406" spans="1:3" s="8" customFormat="1" x14ac:dyDescent="0.2">
      <c r="A7406" s="6" t="str">
        <f>"MAP3K3"</f>
        <v>MAP3K3</v>
      </c>
      <c r="B7406" s="6">
        <v>0.13886113886113799</v>
      </c>
      <c r="C7406" s="6">
        <v>0.32929659686234097</v>
      </c>
    </row>
    <row r="7407" spans="1:3" s="8" customFormat="1" x14ac:dyDescent="0.2">
      <c r="A7407" s="6" t="str">
        <f>"DTX3"</f>
        <v>DTX3</v>
      </c>
      <c r="B7407" s="6">
        <v>0.13886113886113799</v>
      </c>
      <c r="C7407" s="6">
        <v>0.32929659686234097</v>
      </c>
    </row>
    <row r="7408" spans="1:3" s="8" customFormat="1" x14ac:dyDescent="0.2">
      <c r="A7408" s="6" t="str">
        <f>"CHD7"</f>
        <v>CHD7</v>
      </c>
      <c r="B7408" s="6">
        <v>0.13886113886113799</v>
      </c>
      <c r="C7408" s="6">
        <v>0.32929659686234097</v>
      </c>
    </row>
    <row r="7409" spans="1:3" s="8" customFormat="1" x14ac:dyDescent="0.2">
      <c r="A7409" s="6" t="str">
        <f>"TMEM185B"</f>
        <v>TMEM185B</v>
      </c>
      <c r="B7409" s="6">
        <v>0.13886113886113799</v>
      </c>
      <c r="C7409" s="6">
        <v>0.32929659686234097</v>
      </c>
    </row>
    <row r="7410" spans="1:3" s="8" customFormat="1" x14ac:dyDescent="0.2">
      <c r="A7410" s="6" t="str">
        <f>"TMEM107"</f>
        <v>TMEM107</v>
      </c>
      <c r="B7410" s="6">
        <v>0.13886113886113799</v>
      </c>
      <c r="C7410" s="6">
        <v>0.32929659686234097</v>
      </c>
    </row>
    <row r="7411" spans="1:3" s="8" customFormat="1" x14ac:dyDescent="0.2">
      <c r="A7411" s="6" t="str">
        <f>"RABAC1"</f>
        <v>RABAC1</v>
      </c>
      <c r="B7411" s="6">
        <v>0.13886113886113799</v>
      </c>
      <c r="C7411" s="6">
        <v>0.32929659686234097</v>
      </c>
    </row>
    <row r="7412" spans="1:3" s="8" customFormat="1" x14ac:dyDescent="0.2">
      <c r="A7412" s="6" t="str">
        <f>"NSUN7"</f>
        <v>NSUN7</v>
      </c>
      <c r="B7412" s="6">
        <v>0.13886113886113799</v>
      </c>
      <c r="C7412" s="6">
        <v>0.32929659686234097</v>
      </c>
    </row>
    <row r="7413" spans="1:3" s="8" customFormat="1" x14ac:dyDescent="0.2">
      <c r="A7413" s="6" t="str">
        <f>"FAM214A"</f>
        <v>FAM214A</v>
      </c>
      <c r="B7413" s="6">
        <v>0.13886113886113799</v>
      </c>
      <c r="C7413" s="6">
        <v>0.32929659686234097</v>
      </c>
    </row>
    <row r="7414" spans="1:3" s="8" customFormat="1" x14ac:dyDescent="0.2">
      <c r="A7414" s="6" t="str">
        <f>"PTGES"</f>
        <v>PTGES</v>
      </c>
      <c r="B7414" s="6">
        <v>0.13886113886113799</v>
      </c>
      <c r="C7414" s="6">
        <v>0.32929659686234097</v>
      </c>
    </row>
    <row r="7415" spans="1:3" s="8" customFormat="1" x14ac:dyDescent="0.2">
      <c r="A7415" s="6" t="str">
        <f>"NBL1"</f>
        <v>NBL1</v>
      </c>
      <c r="B7415" s="6">
        <v>0.13886113886113799</v>
      </c>
      <c r="C7415" s="6">
        <v>0.32929659686234097</v>
      </c>
    </row>
    <row r="7416" spans="1:3" s="8" customFormat="1" x14ac:dyDescent="0.2">
      <c r="A7416" s="6" t="str">
        <f>"ELL2"</f>
        <v>ELL2</v>
      </c>
      <c r="B7416" s="6">
        <v>0.13886113886113799</v>
      </c>
      <c r="C7416" s="6">
        <v>0.32929659686234097</v>
      </c>
    </row>
    <row r="7417" spans="1:3" s="8" customFormat="1" x14ac:dyDescent="0.2">
      <c r="A7417" s="6" t="str">
        <f>"TPSD1"</f>
        <v>TPSD1</v>
      </c>
      <c r="B7417" s="6">
        <v>0.13927855711422801</v>
      </c>
      <c r="C7417" s="6">
        <v>0.33024192938195701</v>
      </c>
    </row>
    <row r="7418" spans="1:3" s="8" customFormat="1" x14ac:dyDescent="0.2">
      <c r="A7418" s="6" t="str">
        <f>"PF4V1"</f>
        <v>PF4V1</v>
      </c>
      <c r="B7418" s="6">
        <v>0.13941825476429201</v>
      </c>
      <c r="C7418" s="6">
        <v>0.33052859535867901</v>
      </c>
    </row>
    <row r="7419" spans="1:3" s="8" customFormat="1" x14ac:dyDescent="0.2">
      <c r="A7419" s="6" t="str">
        <f>"ARMH2"</f>
        <v>ARMH2</v>
      </c>
      <c r="B7419" s="6">
        <v>0.13986013986013901</v>
      </c>
      <c r="C7419" s="6">
        <v>0.33055116926084599</v>
      </c>
    </row>
    <row r="7420" spans="1:3" s="8" customFormat="1" x14ac:dyDescent="0.2">
      <c r="A7420" s="6" t="str">
        <f>"AC011450.1"</f>
        <v>AC011450.1</v>
      </c>
      <c r="B7420" s="6">
        <v>0.13986013986013901</v>
      </c>
      <c r="C7420" s="6">
        <v>0.33055116926084599</v>
      </c>
    </row>
    <row r="7421" spans="1:3" s="8" customFormat="1" x14ac:dyDescent="0.2">
      <c r="A7421" s="6" t="str">
        <f>"ABALON"</f>
        <v>ABALON</v>
      </c>
      <c r="B7421" s="6">
        <v>0.139835487661574</v>
      </c>
      <c r="C7421" s="6">
        <v>0.33055116926084599</v>
      </c>
    </row>
    <row r="7422" spans="1:3" s="8" customFormat="1" x14ac:dyDescent="0.2">
      <c r="A7422" s="6" t="str">
        <f>"AC090114.3"</f>
        <v>AC090114.3</v>
      </c>
      <c r="B7422" s="6">
        <v>0.13986013986013901</v>
      </c>
      <c r="C7422" s="6">
        <v>0.33055116926084599</v>
      </c>
    </row>
    <row r="7423" spans="1:3" s="8" customFormat="1" x14ac:dyDescent="0.2">
      <c r="A7423" s="6" t="str">
        <f>"IL12RB1"</f>
        <v>IL12RB1</v>
      </c>
      <c r="B7423" s="6">
        <v>0.13986013986013901</v>
      </c>
      <c r="C7423" s="6">
        <v>0.33055116926084599</v>
      </c>
    </row>
    <row r="7424" spans="1:3" s="8" customFormat="1" x14ac:dyDescent="0.2">
      <c r="A7424" s="6" t="str">
        <f>"AL356056.2"</f>
        <v>AL356056.2</v>
      </c>
      <c r="B7424" s="6">
        <v>0.13986013986013901</v>
      </c>
      <c r="C7424" s="6">
        <v>0.33055116926084599</v>
      </c>
    </row>
    <row r="7425" spans="1:3" s="8" customFormat="1" x14ac:dyDescent="0.2">
      <c r="A7425" s="6" t="str">
        <f>"CATSPERG"</f>
        <v>CATSPERG</v>
      </c>
      <c r="B7425" s="6">
        <v>0.13986013986013901</v>
      </c>
      <c r="C7425" s="6">
        <v>0.33055116926084599</v>
      </c>
    </row>
    <row r="7426" spans="1:3" s="8" customFormat="1" x14ac:dyDescent="0.2">
      <c r="A7426" s="6" t="str">
        <f>"COMMD10"</f>
        <v>COMMD10</v>
      </c>
      <c r="B7426" s="6">
        <v>0.13986013986013901</v>
      </c>
      <c r="C7426" s="6">
        <v>0.33055116926084599</v>
      </c>
    </row>
    <row r="7427" spans="1:3" s="8" customFormat="1" x14ac:dyDescent="0.2">
      <c r="A7427" s="6" t="str">
        <f>"SLC52A1"</f>
        <v>SLC52A1</v>
      </c>
      <c r="B7427" s="6">
        <v>0.13986013986013901</v>
      </c>
      <c r="C7427" s="6">
        <v>0.33055116926084599</v>
      </c>
    </row>
    <row r="7428" spans="1:3" s="8" customFormat="1" x14ac:dyDescent="0.2">
      <c r="A7428" s="6" t="str">
        <f>"AP002800.1"</f>
        <v>AP002800.1</v>
      </c>
      <c r="B7428" s="6">
        <v>0.13986013986013901</v>
      </c>
      <c r="C7428" s="6">
        <v>0.33055116926084599</v>
      </c>
    </row>
    <row r="7429" spans="1:3" s="8" customFormat="1" x14ac:dyDescent="0.2">
      <c r="A7429" s="6" t="str">
        <f>"ABCD1"</f>
        <v>ABCD1</v>
      </c>
      <c r="B7429" s="6">
        <v>0.13986013986013901</v>
      </c>
      <c r="C7429" s="6">
        <v>0.33055116926084599</v>
      </c>
    </row>
    <row r="7430" spans="1:3" s="8" customFormat="1" x14ac:dyDescent="0.2">
      <c r="A7430" s="6" t="str">
        <f>"XXYLT1"</f>
        <v>XXYLT1</v>
      </c>
      <c r="B7430" s="6">
        <v>0.13986013986013901</v>
      </c>
      <c r="C7430" s="6">
        <v>0.33055116926084599</v>
      </c>
    </row>
    <row r="7431" spans="1:3" s="8" customFormat="1" x14ac:dyDescent="0.2">
      <c r="A7431" s="6" t="str">
        <f>"CCDC71"</f>
        <v>CCDC71</v>
      </c>
      <c r="B7431" s="6">
        <v>0.13986013986013901</v>
      </c>
      <c r="C7431" s="6">
        <v>0.33055116926084599</v>
      </c>
    </row>
    <row r="7432" spans="1:3" s="8" customFormat="1" x14ac:dyDescent="0.2">
      <c r="A7432" s="6" t="str">
        <f>"MTG1"</f>
        <v>MTG1</v>
      </c>
      <c r="B7432" s="6">
        <v>0.13986013986013901</v>
      </c>
      <c r="C7432" s="6">
        <v>0.33055116926084599</v>
      </c>
    </row>
    <row r="7433" spans="1:3" s="8" customFormat="1" x14ac:dyDescent="0.2">
      <c r="A7433" s="6" t="str">
        <f>"DCTN6"</f>
        <v>DCTN6</v>
      </c>
      <c r="B7433" s="6">
        <v>0.13986013986013901</v>
      </c>
      <c r="C7433" s="6">
        <v>0.33055116926084599</v>
      </c>
    </row>
    <row r="7434" spans="1:3" s="8" customFormat="1" x14ac:dyDescent="0.2">
      <c r="A7434" s="6" t="str">
        <f>"ZPR1"</f>
        <v>ZPR1</v>
      </c>
      <c r="B7434" s="6">
        <v>0.13986013986013901</v>
      </c>
      <c r="C7434" s="6">
        <v>0.33055116926084599</v>
      </c>
    </row>
    <row r="7435" spans="1:3" s="8" customFormat="1" x14ac:dyDescent="0.2">
      <c r="A7435" s="6" t="str">
        <f>"RPS19BP1"</f>
        <v>RPS19BP1</v>
      </c>
      <c r="B7435" s="6">
        <v>0.13986013986013901</v>
      </c>
      <c r="C7435" s="6">
        <v>0.33055116926084599</v>
      </c>
    </row>
    <row r="7436" spans="1:3" s="8" customFormat="1" x14ac:dyDescent="0.2">
      <c r="A7436" s="6" t="str">
        <f>"ANKS6"</f>
        <v>ANKS6</v>
      </c>
      <c r="B7436" s="6">
        <v>0.13986013986013901</v>
      </c>
      <c r="C7436" s="6">
        <v>0.33055116926084599</v>
      </c>
    </row>
    <row r="7437" spans="1:3" s="8" customFormat="1" x14ac:dyDescent="0.2">
      <c r="A7437" s="6" t="str">
        <f>"PPM1L"</f>
        <v>PPM1L</v>
      </c>
      <c r="B7437" s="6">
        <v>0.13986013986013901</v>
      </c>
      <c r="C7437" s="6">
        <v>0.33055116926084599</v>
      </c>
    </row>
    <row r="7438" spans="1:3" s="8" customFormat="1" x14ac:dyDescent="0.2">
      <c r="A7438" s="6" t="str">
        <f>"AKAP11"</f>
        <v>AKAP11</v>
      </c>
      <c r="B7438" s="6">
        <v>0.13986013986013901</v>
      </c>
      <c r="C7438" s="6">
        <v>0.33055116926084599</v>
      </c>
    </row>
    <row r="7439" spans="1:3" s="8" customFormat="1" x14ac:dyDescent="0.2">
      <c r="A7439" s="6" t="str">
        <f>"RHOU"</f>
        <v>RHOU</v>
      </c>
      <c r="B7439" s="6">
        <v>0.13986013986013901</v>
      </c>
      <c r="C7439" s="6">
        <v>0.33055116926084599</v>
      </c>
    </row>
    <row r="7440" spans="1:3" s="8" customFormat="1" x14ac:dyDescent="0.2">
      <c r="A7440" s="6" t="str">
        <f>"BCAS3"</f>
        <v>BCAS3</v>
      </c>
      <c r="B7440" s="6">
        <v>0.13986013986013901</v>
      </c>
      <c r="C7440" s="6">
        <v>0.33055116926084599</v>
      </c>
    </row>
    <row r="7441" spans="1:3" s="8" customFormat="1" x14ac:dyDescent="0.2">
      <c r="A7441" s="6" t="str">
        <f>"ITGB4"</f>
        <v>ITGB4</v>
      </c>
      <c r="B7441" s="6">
        <v>0.13986013986013901</v>
      </c>
      <c r="C7441" s="6">
        <v>0.33055116926084599</v>
      </c>
    </row>
    <row r="7442" spans="1:3" s="8" customFormat="1" x14ac:dyDescent="0.2">
      <c r="A7442" s="6" t="str">
        <f>"TRA2A"</f>
        <v>TRA2A</v>
      </c>
      <c r="B7442" s="6">
        <v>0.14000000000000001</v>
      </c>
      <c r="C7442" s="6">
        <v>0.33083725305738398</v>
      </c>
    </row>
    <row r="7443" spans="1:3" s="8" customFormat="1" x14ac:dyDescent="0.2">
      <c r="A7443" s="6" t="str">
        <f>"CR381653.2"</f>
        <v>CR381653.2</v>
      </c>
      <c r="B7443" s="6">
        <v>0.14002089864158801</v>
      </c>
      <c r="C7443" s="6">
        <v>0.33084217706445601</v>
      </c>
    </row>
    <row r="7444" spans="1:3" s="8" customFormat="1" x14ac:dyDescent="0.2">
      <c r="A7444" s="6" t="str">
        <f>"AL138720.1"</f>
        <v>AL138720.1</v>
      </c>
      <c r="B7444" s="6">
        <v>0.14014014014014001</v>
      </c>
      <c r="C7444" s="6">
        <v>0.33107943359186098</v>
      </c>
    </row>
    <row r="7445" spans="1:3" s="8" customFormat="1" x14ac:dyDescent="0.2">
      <c r="A7445" s="6" t="str">
        <f>"AC011468.5"</f>
        <v>AC011468.5</v>
      </c>
      <c r="B7445" s="6">
        <v>0.14028056112224399</v>
      </c>
      <c r="C7445" s="6">
        <v>0.33136665593411402</v>
      </c>
    </row>
    <row r="7446" spans="1:3" s="8" customFormat="1" x14ac:dyDescent="0.2">
      <c r="A7446" s="6" t="str">
        <f>"CC2D2B"</f>
        <v>CC2D2B</v>
      </c>
      <c r="B7446" s="6">
        <v>0.14085914085914</v>
      </c>
      <c r="C7446" s="6">
        <v>0.331664050999883</v>
      </c>
    </row>
    <row r="7447" spans="1:3" s="8" customFormat="1" x14ac:dyDescent="0.2">
      <c r="A7447" s="6" t="str">
        <f>"AC020951.1"</f>
        <v>AC020951.1</v>
      </c>
      <c r="B7447" s="6">
        <v>0.14085914085914</v>
      </c>
      <c r="C7447" s="6">
        <v>0.331664050999883</v>
      </c>
    </row>
    <row r="7448" spans="1:3" s="8" customFormat="1" x14ac:dyDescent="0.2">
      <c r="A7448" s="6" t="str">
        <f>"FGF17"</f>
        <v>FGF17</v>
      </c>
      <c r="B7448" s="6">
        <v>0.14085914085914</v>
      </c>
      <c r="C7448" s="6">
        <v>0.331664050999883</v>
      </c>
    </row>
    <row r="7449" spans="1:3" s="8" customFormat="1" x14ac:dyDescent="0.2">
      <c r="A7449" s="6" t="str">
        <f>"AL132990.1"</f>
        <v>AL132990.1</v>
      </c>
      <c r="B7449" s="6">
        <v>0.14085914085914</v>
      </c>
      <c r="C7449" s="6">
        <v>0.331664050999883</v>
      </c>
    </row>
    <row r="7450" spans="1:3" s="8" customFormat="1" x14ac:dyDescent="0.2">
      <c r="A7450" s="6" t="str">
        <f>"PRR32"</f>
        <v>PRR32</v>
      </c>
      <c r="B7450" s="6">
        <v>0.14085914085914</v>
      </c>
      <c r="C7450" s="6">
        <v>0.331664050999883</v>
      </c>
    </row>
    <row r="7451" spans="1:3" s="8" customFormat="1" x14ac:dyDescent="0.2">
      <c r="A7451" s="6" t="str">
        <f>"ZMIZ1-AS1"</f>
        <v>ZMIZ1-AS1</v>
      </c>
      <c r="B7451" s="6">
        <v>0.14085914085914</v>
      </c>
      <c r="C7451" s="6">
        <v>0.331664050999883</v>
      </c>
    </row>
    <row r="7452" spans="1:3" s="8" customFormat="1" x14ac:dyDescent="0.2">
      <c r="A7452" s="6" t="str">
        <f>"AL513314.2"</f>
        <v>AL513314.2</v>
      </c>
      <c r="B7452" s="6">
        <v>0.14085914085914</v>
      </c>
      <c r="C7452" s="6">
        <v>0.331664050999883</v>
      </c>
    </row>
    <row r="7453" spans="1:3" s="8" customFormat="1" x14ac:dyDescent="0.2">
      <c r="A7453" s="6" t="str">
        <f>"AC109347.1"</f>
        <v>AC109347.1</v>
      </c>
      <c r="B7453" s="6">
        <v>0.14085914085914</v>
      </c>
      <c r="C7453" s="6">
        <v>0.331664050999883</v>
      </c>
    </row>
    <row r="7454" spans="1:3" s="8" customFormat="1" x14ac:dyDescent="0.2">
      <c r="A7454" s="6" t="str">
        <f>"SMIM35"</f>
        <v>SMIM35</v>
      </c>
      <c r="B7454" s="6">
        <v>0.14085914085914</v>
      </c>
      <c r="C7454" s="6">
        <v>0.331664050999883</v>
      </c>
    </row>
    <row r="7455" spans="1:3" s="8" customFormat="1" x14ac:dyDescent="0.2">
      <c r="A7455" s="6" t="str">
        <f>"ST3GAL3"</f>
        <v>ST3GAL3</v>
      </c>
      <c r="B7455" s="6">
        <v>0.14085914085914</v>
      </c>
      <c r="C7455" s="6">
        <v>0.331664050999883</v>
      </c>
    </row>
    <row r="7456" spans="1:3" s="8" customFormat="1" x14ac:dyDescent="0.2">
      <c r="A7456" s="6" t="str">
        <f>"SLC38A5"</f>
        <v>SLC38A5</v>
      </c>
      <c r="B7456" s="6">
        <v>0.14085914085914</v>
      </c>
      <c r="C7456" s="6">
        <v>0.331664050999883</v>
      </c>
    </row>
    <row r="7457" spans="1:3" s="8" customFormat="1" x14ac:dyDescent="0.2">
      <c r="A7457" s="6" t="str">
        <f>"SLC35F2"</f>
        <v>SLC35F2</v>
      </c>
      <c r="B7457" s="6">
        <v>0.14085914085914</v>
      </c>
      <c r="C7457" s="6">
        <v>0.331664050999883</v>
      </c>
    </row>
    <row r="7458" spans="1:3" s="8" customFormat="1" x14ac:dyDescent="0.2">
      <c r="A7458" s="6" t="str">
        <f>"CAVIN3"</f>
        <v>CAVIN3</v>
      </c>
      <c r="B7458" s="6">
        <v>0.14085914085914</v>
      </c>
      <c r="C7458" s="6">
        <v>0.331664050999883</v>
      </c>
    </row>
    <row r="7459" spans="1:3" s="8" customFormat="1" x14ac:dyDescent="0.2">
      <c r="A7459" s="6" t="str">
        <f>"DXO"</f>
        <v>DXO</v>
      </c>
      <c r="B7459" s="6">
        <v>0.14085914085914</v>
      </c>
      <c r="C7459" s="6">
        <v>0.331664050999883</v>
      </c>
    </row>
    <row r="7460" spans="1:3" s="8" customFormat="1" x14ac:dyDescent="0.2">
      <c r="A7460" s="6" t="str">
        <f>"ZMYM6"</f>
        <v>ZMYM6</v>
      </c>
      <c r="B7460" s="6">
        <v>0.14085914085914</v>
      </c>
      <c r="C7460" s="6">
        <v>0.331664050999883</v>
      </c>
    </row>
    <row r="7461" spans="1:3" s="8" customFormat="1" x14ac:dyDescent="0.2">
      <c r="A7461" s="6" t="str">
        <f>"NMRK1"</f>
        <v>NMRK1</v>
      </c>
      <c r="B7461" s="6">
        <v>0.14085914085914</v>
      </c>
      <c r="C7461" s="6">
        <v>0.331664050999883</v>
      </c>
    </row>
    <row r="7462" spans="1:3" s="8" customFormat="1" x14ac:dyDescent="0.2">
      <c r="A7462" s="6" t="str">
        <f>"PSMB8-AS1"</f>
        <v>PSMB8-AS1</v>
      </c>
      <c r="B7462" s="6">
        <v>0.14085914085914</v>
      </c>
      <c r="C7462" s="6">
        <v>0.331664050999883</v>
      </c>
    </row>
    <row r="7463" spans="1:3" s="8" customFormat="1" x14ac:dyDescent="0.2">
      <c r="A7463" s="6" t="str">
        <f>"NRF1"</f>
        <v>NRF1</v>
      </c>
      <c r="B7463" s="6">
        <v>0.14085914085914</v>
      </c>
      <c r="C7463" s="6">
        <v>0.331664050999883</v>
      </c>
    </row>
    <row r="7464" spans="1:3" s="8" customFormat="1" x14ac:dyDescent="0.2">
      <c r="A7464" s="6" t="str">
        <f>"SPTY2D1"</f>
        <v>SPTY2D1</v>
      </c>
      <c r="B7464" s="6">
        <v>0.14085914085914</v>
      </c>
      <c r="C7464" s="6">
        <v>0.331664050999883</v>
      </c>
    </row>
    <row r="7465" spans="1:3" s="8" customFormat="1" x14ac:dyDescent="0.2">
      <c r="A7465" s="6" t="str">
        <f>"FAM13B"</f>
        <v>FAM13B</v>
      </c>
      <c r="B7465" s="6">
        <v>0.14085914085914</v>
      </c>
      <c r="C7465" s="6">
        <v>0.331664050999883</v>
      </c>
    </row>
    <row r="7466" spans="1:3" s="8" customFormat="1" x14ac:dyDescent="0.2">
      <c r="A7466" s="6" t="str">
        <f>"AK3"</f>
        <v>AK3</v>
      </c>
      <c r="B7466" s="6">
        <v>0.14085914085914</v>
      </c>
      <c r="C7466" s="6">
        <v>0.331664050999883</v>
      </c>
    </row>
    <row r="7467" spans="1:3" s="8" customFormat="1" x14ac:dyDescent="0.2">
      <c r="A7467" s="6" t="str">
        <f>"HEXIM1"</f>
        <v>HEXIM1</v>
      </c>
      <c r="B7467" s="6">
        <v>0.14085914085914</v>
      </c>
      <c r="C7467" s="6">
        <v>0.331664050999883</v>
      </c>
    </row>
    <row r="7468" spans="1:3" s="8" customFormat="1" x14ac:dyDescent="0.2">
      <c r="A7468" s="6" t="str">
        <f>"SERPINB4"</f>
        <v>SERPINB4</v>
      </c>
      <c r="B7468" s="6">
        <v>0.14085914085914</v>
      </c>
      <c r="C7468" s="6">
        <v>0.331664050999883</v>
      </c>
    </row>
    <row r="7469" spans="1:3" s="8" customFormat="1" x14ac:dyDescent="0.2">
      <c r="A7469" s="6" t="str">
        <f>"RPL13"</f>
        <v>RPL13</v>
      </c>
      <c r="B7469" s="6">
        <v>0.14085914085914</v>
      </c>
      <c r="C7469" s="6">
        <v>0.331664050999883</v>
      </c>
    </row>
    <row r="7470" spans="1:3" s="8" customFormat="1" x14ac:dyDescent="0.2">
      <c r="A7470" s="6" t="str">
        <f>"AC091178.2"</f>
        <v>AC091178.2</v>
      </c>
      <c r="B7470" s="6">
        <v>0.14099999999999999</v>
      </c>
      <c r="C7470" s="6">
        <v>0.33195126522961499</v>
      </c>
    </row>
    <row r="7471" spans="1:3" s="8" customFormat="1" x14ac:dyDescent="0.2">
      <c r="A7471" s="6" t="str">
        <f>"ZNF418"</f>
        <v>ZNF418</v>
      </c>
      <c r="B7471" s="6">
        <v>0.14114114114114101</v>
      </c>
      <c r="C7471" s="6">
        <v>0.33219459588084899</v>
      </c>
    </row>
    <row r="7472" spans="1:3" s="8" customFormat="1" x14ac:dyDescent="0.2">
      <c r="A7472" s="6" t="str">
        <f>"SPIN2B"</f>
        <v>SPIN2B</v>
      </c>
      <c r="B7472" s="6">
        <v>0.14114114114114101</v>
      </c>
      <c r="C7472" s="6">
        <v>0.33219459588084899</v>
      </c>
    </row>
    <row r="7473" spans="1:3" s="8" customFormat="1" x14ac:dyDescent="0.2">
      <c r="A7473" s="6" t="str">
        <f>"AC005070.3"</f>
        <v>AC005070.3</v>
      </c>
      <c r="B7473" s="6">
        <v>0.141858141858141</v>
      </c>
      <c r="C7473" s="6">
        <v>0.333035189109955</v>
      </c>
    </row>
    <row r="7474" spans="1:3" s="8" customFormat="1" x14ac:dyDescent="0.2">
      <c r="A7474" s="6" t="str">
        <f>"AC053513.1"</f>
        <v>AC053513.1</v>
      </c>
      <c r="B7474" s="6">
        <v>0.141858141858141</v>
      </c>
      <c r="C7474" s="6">
        <v>0.333035189109955</v>
      </c>
    </row>
    <row r="7475" spans="1:3" s="8" customFormat="1" x14ac:dyDescent="0.2">
      <c r="A7475" s="6" t="str">
        <f>"PRSS35"</f>
        <v>PRSS35</v>
      </c>
      <c r="B7475" s="6">
        <v>0.141858141858141</v>
      </c>
      <c r="C7475" s="6">
        <v>0.333035189109955</v>
      </c>
    </row>
    <row r="7476" spans="1:3" s="8" customFormat="1" x14ac:dyDescent="0.2">
      <c r="A7476" s="6" t="str">
        <f>"BDNF"</f>
        <v>BDNF</v>
      </c>
      <c r="B7476" s="6">
        <v>0.141858141858141</v>
      </c>
      <c r="C7476" s="6">
        <v>0.333035189109955</v>
      </c>
    </row>
    <row r="7477" spans="1:3" s="8" customFormat="1" x14ac:dyDescent="0.2">
      <c r="A7477" s="6" t="str">
        <f>"FOXD2-AS1"</f>
        <v>FOXD2-AS1</v>
      </c>
      <c r="B7477" s="6">
        <v>0.141858141858141</v>
      </c>
      <c r="C7477" s="6">
        <v>0.333035189109955</v>
      </c>
    </row>
    <row r="7478" spans="1:3" s="8" customFormat="1" x14ac:dyDescent="0.2">
      <c r="A7478" s="6" t="str">
        <f>"PTGER3"</f>
        <v>PTGER3</v>
      </c>
      <c r="B7478" s="6">
        <v>0.141858141858141</v>
      </c>
      <c r="C7478" s="6">
        <v>0.333035189109955</v>
      </c>
    </row>
    <row r="7479" spans="1:3" s="8" customFormat="1" x14ac:dyDescent="0.2">
      <c r="A7479" s="6" t="str">
        <f>"LINC02767"</f>
        <v>LINC02767</v>
      </c>
      <c r="B7479" s="6">
        <v>0.141858141858141</v>
      </c>
      <c r="C7479" s="6">
        <v>0.333035189109955</v>
      </c>
    </row>
    <row r="7480" spans="1:3" s="8" customFormat="1" x14ac:dyDescent="0.2">
      <c r="A7480" s="6" t="str">
        <f>"ZNF419"</f>
        <v>ZNF419</v>
      </c>
      <c r="B7480" s="6">
        <v>0.141858141858141</v>
      </c>
      <c r="C7480" s="6">
        <v>0.333035189109955</v>
      </c>
    </row>
    <row r="7481" spans="1:3" s="8" customFormat="1" x14ac:dyDescent="0.2">
      <c r="A7481" s="6" t="str">
        <f>"BX284668.5"</f>
        <v>BX284668.5</v>
      </c>
      <c r="B7481" s="6">
        <v>0.141858141858141</v>
      </c>
      <c r="C7481" s="6">
        <v>0.333035189109955</v>
      </c>
    </row>
    <row r="7482" spans="1:3" s="8" customFormat="1" x14ac:dyDescent="0.2">
      <c r="A7482" s="6" t="str">
        <f>"PPM1K"</f>
        <v>PPM1K</v>
      </c>
      <c r="B7482" s="6">
        <v>0.141858141858141</v>
      </c>
      <c r="C7482" s="6">
        <v>0.333035189109955</v>
      </c>
    </row>
    <row r="7483" spans="1:3" s="8" customFormat="1" x14ac:dyDescent="0.2">
      <c r="A7483" s="6" t="str">
        <f>"FBXL19"</f>
        <v>FBXL19</v>
      </c>
      <c r="B7483" s="6">
        <v>0.141858141858141</v>
      </c>
      <c r="C7483" s="6">
        <v>0.333035189109955</v>
      </c>
    </row>
    <row r="7484" spans="1:3" s="8" customFormat="1" x14ac:dyDescent="0.2">
      <c r="A7484" s="6" t="str">
        <f>"VPS72"</f>
        <v>VPS72</v>
      </c>
      <c r="B7484" s="6">
        <v>0.141858141858141</v>
      </c>
      <c r="C7484" s="6">
        <v>0.333035189109955</v>
      </c>
    </row>
    <row r="7485" spans="1:3" s="8" customFormat="1" x14ac:dyDescent="0.2">
      <c r="A7485" s="6" t="str">
        <f>"SLBP"</f>
        <v>SLBP</v>
      </c>
      <c r="B7485" s="6">
        <v>0.141858141858141</v>
      </c>
      <c r="C7485" s="6">
        <v>0.333035189109955</v>
      </c>
    </row>
    <row r="7486" spans="1:3" s="8" customFormat="1" x14ac:dyDescent="0.2">
      <c r="A7486" s="6" t="str">
        <f>"DCAKD"</f>
        <v>DCAKD</v>
      </c>
      <c r="B7486" s="6">
        <v>0.141858141858141</v>
      </c>
      <c r="C7486" s="6">
        <v>0.333035189109955</v>
      </c>
    </row>
    <row r="7487" spans="1:3" s="8" customFormat="1" x14ac:dyDescent="0.2">
      <c r="A7487" s="6" t="str">
        <f>"TP53I3"</f>
        <v>TP53I3</v>
      </c>
      <c r="B7487" s="6">
        <v>0.141858141858141</v>
      </c>
      <c r="C7487" s="6">
        <v>0.333035189109955</v>
      </c>
    </row>
    <row r="7488" spans="1:3" s="8" customFormat="1" x14ac:dyDescent="0.2">
      <c r="A7488" s="6" t="str">
        <f>"MBOAT2"</f>
        <v>MBOAT2</v>
      </c>
      <c r="B7488" s="6">
        <v>0.141858141858141</v>
      </c>
      <c r="C7488" s="6">
        <v>0.333035189109955</v>
      </c>
    </row>
    <row r="7489" spans="1:3" s="8" customFormat="1" x14ac:dyDescent="0.2">
      <c r="A7489" s="6" t="str">
        <f>"FDFT1"</f>
        <v>FDFT1</v>
      </c>
      <c r="B7489" s="6">
        <v>0.141858141858141</v>
      </c>
      <c r="C7489" s="6">
        <v>0.333035189109955</v>
      </c>
    </row>
    <row r="7490" spans="1:3" s="8" customFormat="1" x14ac:dyDescent="0.2">
      <c r="A7490" s="6" t="str">
        <f>"PIK3R3"</f>
        <v>PIK3R3</v>
      </c>
      <c r="B7490" s="6">
        <v>0.141858141858141</v>
      </c>
      <c r="C7490" s="6">
        <v>0.333035189109955</v>
      </c>
    </row>
    <row r="7491" spans="1:3" s="8" customFormat="1" x14ac:dyDescent="0.2">
      <c r="A7491" s="6" t="str">
        <f>"CCDC17"</f>
        <v>CCDC17</v>
      </c>
      <c r="B7491" s="6">
        <v>0.141858141858141</v>
      </c>
      <c r="C7491" s="6">
        <v>0.333035189109955</v>
      </c>
    </row>
    <row r="7492" spans="1:3" s="8" customFormat="1" x14ac:dyDescent="0.2">
      <c r="A7492" s="6" t="str">
        <f>"PNMA3"</f>
        <v>PNMA3</v>
      </c>
      <c r="B7492" s="6">
        <v>0.14214214214214199</v>
      </c>
      <c r="C7492" s="6">
        <v>0.333657379178671</v>
      </c>
    </row>
    <row r="7493" spans="1:3" s="8" customFormat="1" x14ac:dyDescent="0.2">
      <c r="A7493" s="6" t="str">
        <f>"AL591503.1"</f>
        <v>AL591503.1</v>
      </c>
      <c r="B7493" s="6">
        <v>0.14218749999999999</v>
      </c>
      <c r="C7493" s="6">
        <v>0.33371930058729299</v>
      </c>
    </row>
    <row r="7494" spans="1:3" s="8" customFormat="1" x14ac:dyDescent="0.2">
      <c r="A7494" s="6" t="str">
        <f>"SPX"</f>
        <v>SPX</v>
      </c>
      <c r="B7494" s="6">
        <v>0.14285714285714199</v>
      </c>
      <c r="C7494" s="6">
        <v>0.33430928932658999</v>
      </c>
    </row>
    <row r="7495" spans="1:3" s="8" customFormat="1" x14ac:dyDescent="0.2">
      <c r="A7495" s="6" t="str">
        <f>"ZBTB32"</f>
        <v>ZBTB32</v>
      </c>
      <c r="B7495" s="6">
        <v>0.14285714285714199</v>
      </c>
      <c r="C7495" s="6">
        <v>0.33430928932658999</v>
      </c>
    </row>
    <row r="7496" spans="1:3" s="8" customFormat="1" x14ac:dyDescent="0.2">
      <c r="A7496" s="6" t="str">
        <f>"SPATA20P1"</f>
        <v>SPATA20P1</v>
      </c>
      <c r="B7496" s="6">
        <v>0.14285714285714199</v>
      </c>
      <c r="C7496" s="6">
        <v>0.33430928932658999</v>
      </c>
    </row>
    <row r="7497" spans="1:3" s="8" customFormat="1" x14ac:dyDescent="0.2">
      <c r="A7497" s="6" t="str">
        <f>"AC112702.1"</f>
        <v>AC112702.1</v>
      </c>
      <c r="B7497" s="6">
        <v>0.14285714285714199</v>
      </c>
      <c r="C7497" s="6">
        <v>0.33430928932658999</v>
      </c>
    </row>
    <row r="7498" spans="1:3" s="8" customFormat="1" x14ac:dyDescent="0.2">
      <c r="A7498" s="6" t="str">
        <f>"CDC26P1"</f>
        <v>CDC26P1</v>
      </c>
      <c r="B7498" s="6">
        <v>0.14285714285714199</v>
      </c>
      <c r="C7498" s="6">
        <v>0.33430928932658999</v>
      </c>
    </row>
    <row r="7499" spans="1:3" s="8" customFormat="1" x14ac:dyDescent="0.2">
      <c r="A7499" s="6" t="str">
        <f>"MGC16275"</f>
        <v>MGC16275</v>
      </c>
      <c r="B7499" s="6">
        <v>0.14285714285714199</v>
      </c>
      <c r="C7499" s="6">
        <v>0.33430928932658999</v>
      </c>
    </row>
    <row r="7500" spans="1:3" s="8" customFormat="1" x14ac:dyDescent="0.2">
      <c r="A7500" s="6" t="str">
        <f>"LINC02489"</f>
        <v>LINC02489</v>
      </c>
      <c r="B7500" s="6">
        <v>0.14285714285714199</v>
      </c>
      <c r="C7500" s="6">
        <v>0.33430928932658999</v>
      </c>
    </row>
    <row r="7501" spans="1:3" s="8" customFormat="1" x14ac:dyDescent="0.2">
      <c r="A7501" s="6" t="str">
        <f>"AP003119.3"</f>
        <v>AP003119.3</v>
      </c>
      <c r="B7501" s="6">
        <v>0.14285714285714199</v>
      </c>
      <c r="C7501" s="6">
        <v>0.33430928932658999</v>
      </c>
    </row>
    <row r="7502" spans="1:3" s="8" customFormat="1" x14ac:dyDescent="0.2">
      <c r="A7502" s="6" t="str">
        <f>"CCDC144B"</f>
        <v>CCDC144B</v>
      </c>
      <c r="B7502" s="6">
        <v>0.14285714285714199</v>
      </c>
      <c r="C7502" s="6">
        <v>0.33430928932658999</v>
      </c>
    </row>
    <row r="7503" spans="1:3" s="8" customFormat="1" x14ac:dyDescent="0.2">
      <c r="A7503" s="6" t="str">
        <f>"STARD7-AS1"</f>
        <v>STARD7-AS1</v>
      </c>
      <c r="B7503" s="6">
        <v>0.14285714285714199</v>
      </c>
      <c r="C7503" s="6">
        <v>0.33430928932658999</v>
      </c>
    </row>
    <row r="7504" spans="1:3" s="8" customFormat="1" x14ac:dyDescent="0.2">
      <c r="A7504" s="6" t="str">
        <f>"HSF4"</f>
        <v>HSF4</v>
      </c>
      <c r="B7504" s="6">
        <v>0.14285714285714199</v>
      </c>
      <c r="C7504" s="6">
        <v>0.33430928932658999</v>
      </c>
    </row>
    <row r="7505" spans="1:3" s="8" customFormat="1" x14ac:dyDescent="0.2">
      <c r="A7505" s="6" t="str">
        <f>"FRMD4A"</f>
        <v>FRMD4A</v>
      </c>
      <c r="B7505" s="6">
        <v>0.14285714285714199</v>
      </c>
      <c r="C7505" s="6">
        <v>0.33430928932658999</v>
      </c>
    </row>
    <row r="7506" spans="1:3" s="8" customFormat="1" x14ac:dyDescent="0.2">
      <c r="A7506" s="6" t="str">
        <f>"PAQR7"</f>
        <v>PAQR7</v>
      </c>
      <c r="B7506" s="6">
        <v>0.14285714285714199</v>
      </c>
      <c r="C7506" s="6">
        <v>0.33430928932658999</v>
      </c>
    </row>
    <row r="7507" spans="1:3" s="8" customFormat="1" x14ac:dyDescent="0.2">
      <c r="A7507" s="6" t="str">
        <f>"HS2ST1"</f>
        <v>HS2ST1</v>
      </c>
      <c r="B7507" s="6">
        <v>0.14285714285714199</v>
      </c>
      <c r="C7507" s="6">
        <v>0.33430928932658999</v>
      </c>
    </row>
    <row r="7508" spans="1:3" s="8" customFormat="1" x14ac:dyDescent="0.2">
      <c r="A7508" s="6" t="str">
        <f>"USP43"</f>
        <v>USP43</v>
      </c>
      <c r="B7508" s="6">
        <v>0.14285714285714199</v>
      </c>
      <c r="C7508" s="6">
        <v>0.33430928932658999</v>
      </c>
    </row>
    <row r="7509" spans="1:3" s="8" customFormat="1" x14ac:dyDescent="0.2">
      <c r="A7509" s="6" t="str">
        <f>"VARS2"</f>
        <v>VARS2</v>
      </c>
      <c r="B7509" s="6">
        <v>0.14285714285714199</v>
      </c>
      <c r="C7509" s="6">
        <v>0.33430928932658999</v>
      </c>
    </row>
    <row r="7510" spans="1:3" s="8" customFormat="1" x14ac:dyDescent="0.2">
      <c r="A7510" s="6" t="str">
        <f>"LSM12"</f>
        <v>LSM12</v>
      </c>
      <c r="B7510" s="6">
        <v>0.14285714285714199</v>
      </c>
      <c r="C7510" s="6">
        <v>0.33430928932658999</v>
      </c>
    </row>
    <row r="7511" spans="1:3" s="8" customFormat="1" x14ac:dyDescent="0.2">
      <c r="A7511" s="6" t="str">
        <f>"CHCHD10"</f>
        <v>CHCHD10</v>
      </c>
      <c r="B7511" s="6">
        <v>0.14285714285714199</v>
      </c>
      <c r="C7511" s="6">
        <v>0.33430928932658999</v>
      </c>
    </row>
    <row r="7512" spans="1:3" s="8" customFormat="1" x14ac:dyDescent="0.2">
      <c r="A7512" s="6" t="str">
        <f>"OSTF1"</f>
        <v>OSTF1</v>
      </c>
      <c r="B7512" s="6">
        <v>0.14285714285714199</v>
      </c>
      <c r="C7512" s="6">
        <v>0.33430928932658999</v>
      </c>
    </row>
    <row r="7513" spans="1:3" s="8" customFormat="1" x14ac:dyDescent="0.2">
      <c r="A7513" s="6" t="str">
        <f>"FEM1B"</f>
        <v>FEM1B</v>
      </c>
      <c r="B7513" s="6">
        <v>0.14285714285714199</v>
      </c>
      <c r="C7513" s="6">
        <v>0.33430928932658999</v>
      </c>
    </row>
    <row r="7514" spans="1:3" s="8" customFormat="1" x14ac:dyDescent="0.2">
      <c r="A7514" s="6" t="str">
        <f>"TMEM245"</f>
        <v>TMEM245</v>
      </c>
      <c r="B7514" s="6">
        <v>0.14285714285714199</v>
      </c>
      <c r="C7514" s="6">
        <v>0.33430928932658999</v>
      </c>
    </row>
    <row r="7515" spans="1:3" s="8" customFormat="1" x14ac:dyDescent="0.2">
      <c r="A7515" s="6" t="str">
        <f>"RHBDD2"</f>
        <v>RHBDD2</v>
      </c>
      <c r="B7515" s="6">
        <v>0.14285714285714199</v>
      </c>
      <c r="C7515" s="6">
        <v>0.33430928932658999</v>
      </c>
    </row>
    <row r="7516" spans="1:3" s="8" customFormat="1" x14ac:dyDescent="0.2">
      <c r="A7516" s="6" t="str">
        <f>"MINAR1"</f>
        <v>MINAR1</v>
      </c>
      <c r="B7516" s="6">
        <v>0.14299999999999999</v>
      </c>
      <c r="C7516" s="6">
        <v>0.33459906852960702</v>
      </c>
    </row>
    <row r="7517" spans="1:3" s="8" customFormat="1" x14ac:dyDescent="0.2">
      <c r="A7517" s="6" t="str">
        <f>"PRH2"</f>
        <v>PRH2</v>
      </c>
      <c r="B7517" s="6">
        <v>0.14385614385614301</v>
      </c>
      <c r="C7517" s="6">
        <v>0.33544177609951298</v>
      </c>
    </row>
    <row r="7518" spans="1:3" s="8" customFormat="1" x14ac:dyDescent="0.2">
      <c r="A7518" s="6" t="str">
        <f>"TMSB15B"</f>
        <v>TMSB15B</v>
      </c>
      <c r="B7518" s="6">
        <v>0.14385614385614301</v>
      </c>
      <c r="C7518" s="6">
        <v>0.33544177609951298</v>
      </c>
    </row>
    <row r="7519" spans="1:3" s="8" customFormat="1" x14ac:dyDescent="0.2">
      <c r="A7519" s="6" t="str">
        <f>"AC016355.1"</f>
        <v>AC016355.1</v>
      </c>
      <c r="B7519" s="6">
        <v>0.14385614385614301</v>
      </c>
      <c r="C7519" s="6">
        <v>0.33544177609951298</v>
      </c>
    </row>
    <row r="7520" spans="1:3" s="8" customFormat="1" x14ac:dyDescent="0.2">
      <c r="A7520" s="6" t="str">
        <f>"AL035252.5"</f>
        <v>AL035252.5</v>
      </c>
      <c r="B7520" s="6">
        <v>0.14385614385614301</v>
      </c>
      <c r="C7520" s="6">
        <v>0.33544177609951298</v>
      </c>
    </row>
    <row r="7521" spans="1:3" s="8" customFormat="1" x14ac:dyDescent="0.2">
      <c r="A7521" s="6" t="str">
        <f>"AC005324.2"</f>
        <v>AC005324.2</v>
      </c>
      <c r="B7521" s="6">
        <v>0.14385614385614301</v>
      </c>
      <c r="C7521" s="6">
        <v>0.33544177609951298</v>
      </c>
    </row>
    <row r="7522" spans="1:3" s="8" customFormat="1" x14ac:dyDescent="0.2">
      <c r="A7522" s="6" t="str">
        <f>"PNCK"</f>
        <v>PNCK</v>
      </c>
      <c r="B7522" s="6">
        <v>0.14385614385614301</v>
      </c>
      <c r="C7522" s="6">
        <v>0.33544177609951298</v>
      </c>
    </row>
    <row r="7523" spans="1:3" s="8" customFormat="1" x14ac:dyDescent="0.2">
      <c r="A7523" s="6" t="str">
        <f>"BPIFA2"</f>
        <v>BPIFA2</v>
      </c>
      <c r="B7523" s="6">
        <v>0.14385614385614301</v>
      </c>
      <c r="C7523" s="6">
        <v>0.33544177609951298</v>
      </c>
    </row>
    <row r="7524" spans="1:3" s="8" customFormat="1" x14ac:dyDescent="0.2">
      <c r="A7524" s="6" t="str">
        <f>"TMEM186"</f>
        <v>TMEM186</v>
      </c>
      <c r="B7524" s="6">
        <v>0.14385614385614301</v>
      </c>
      <c r="C7524" s="6">
        <v>0.33544177609951298</v>
      </c>
    </row>
    <row r="7525" spans="1:3" s="8" customFormat="1" x14ac:dyDescent="0.2">
      <c r="A7525" s="6" t="str">
        <f>"CABLES2"</f>
        <v>CABLES2</v>
      </c>
      <c r="B7525" s="6">
        <v>0.14385614385614301</v>
      </c>
      <c r="C7525" s="6">
        <v>0.33544177609951298</v>
      </c>
    </row>
    <row r="7526" spans="1:3" s="8" customFormat="1" x14ac:dyDescent="0.2">
      <c r="A7526" s="6" t="str">
        <f>"ZNF549"</f>
        <v>ZNF549</v>
      </c>
      <c r="B7526" s="6">
        <v>0.14385614385614301</v>
      </c>
      <c r="C7526" s="6">
        <v>0.33544177609951298</v>
      </c>
    </row>
    <row r="7527" spans="1:3" s="8" customFormat="1" x14ac:dyDescent="0.2">
      <c r="A7527" s="6" t="str">
        <f>"ITPR2"</f>
        <v>ITPR2</v>
      </c>
      <c r="B7527" s="6">
        <v>0.14385614385614301</v>
      </c>
      <c r="C7527" s="6">
        <v>0.33544177609951298</v>
      </c>
    </row>
    <row r="7528" spans="1:3" s="8" customFormat="1" x14ac:dyDescent="0.2">
      <c r="A7528" s="6" t="str">
        <f>"CUTALP"</f>
        <v>CUTALP</v>
      </c>
      <c r="B7528" s="6">
        <v>0.14385614385614301</v>
      </c>
      <c r="C7528" s="6">
        <v>0.33544177609951298</v>
      </c>
    </row>
    <row r="7529" spans="1:3" s="8" customFormat="1" x14ac:dyDescent="0.2">
      <c r="A7529" s="6" t="str">
        <f>"UNG"</f>
        <v>UNG</v>
      </c>
      <c r="B7529" s="6">
        <v>0.14385614385614301</v>
      </c>
      <c r="C7529" s="6">
        <v>0.33544177609951298</v>
      </c>
    </row>
    <row r="7530" spans="1:3" s="8" customFormat="1" x14ac:dyDescent="0.2">
      <c r="A7530" s="6" t="str">
        <f>"ZFP62"</f>
        <v>ZFP62</v>
      </c>
      <c r="B7530" s="6">
        <v>0.14385614385614301</v>
      </c>
      <c r="C7530" s="6">
        <v>0.33544177609951298</v>
      </c>
    </row>
    <row r="7531" spans="1:3" s="8" customFormat="1" x14ac:dyDescent="0.2">
      <c r="A7531" s="6" t="str">
        <f>"YJU2"</f>
        <v>YJU2</v>
      </c>
      <c r="B7531" s="6">
        <v>0.14385614385614301</v>
      </c>
      <c r="C7531" s="6">
        <v>0.33544177609951298</v>
      </c>
    </row>
    <row r="7532" spans="1:3" s="8" customFormat="1" x14ac:dyDescent="0.2">
      <c r="A7532" s="6" t="str">
        <f>"CAAP1"</f>
        <v>CAAP1</v>
      </c>
      <c r="B7532" s="6">
        <v>0.14385614385614301</v>
      </c>
      <c r="C7532" s="6">
        <v>0.33544177609951298</v>
      </c>
    </row>
    <row r="7533" spans="1:3" s="8" customFormat="1" x14ac:dyDescent="0.2">
      <c r="A7533" s="6" t="str">
        <f>"PAN3"</f>
        <v>PAN3</v>
      </c>
      <c r="B7533" s="6">
        <v>0.14385614385614301</v>
      </c>
      <c r="C7533" s="6">
        <v>0.33544177609951298</v>
      </c>
    </row>
    <row r="7534" spans="1:3" s="8" customFormat="1" x14ac:dyDescent="0.2">
      <c r="A7534" s="6" t="str">
        <f>"PHF14"</f>
        <v>PHF14</v>
      </c>
      <c r="B7534" s="6">
        <v>0.14385614385614301</v>
      </c>
      <c r="C7534" s="6">
        <v>0.33544177609951298</v>
      </c>
    </row>
    <row r="7535" spans="1:3" s="8" customFormat="1" x14ac:dyDescent="0.2">
      <c r="A7535" s="6" t="str">
        <f>"AKR1B1"</f>
        <v>AKR1B1</v>
      </c>
      <c r="B7535" s="6">
        <v>0.14385614385614301</v>
      </c>
      <c r="C7535" s="6">
        <v>0.33544177609951298</v>
      </c>
    </row>
    <row r="7536" spans="1:3" s="8" customFormat="1" x14ac:dyDescent="0.2">
      <c r="A7536" s="6" t="str">
        <f>"ZFYVE26"</f>
        <v>ZFYVE26</v>
      </c>
      <c r="B7536" s="6">
        <v>0.14385614385614301</v>
      </c>
      <c r="C7536" s="6">
        <v>0.33544177609951298</v>
      </c>
    </row>
    <row r="7537" spans="1:3" s="8" customFormat="1" x14ac:dyDescent="0.2">
      <c r="A7537" s="6" t="str">
        <f>"POP4"</f>
        <v>POP4</v>
      </c>
      <c r="B7537" s="6">
        <v>0.14385614385614301</v>
      </c>
      <c r="C7537" s="6">
        <v>0.33544177609951298</v>
      </c>
    </row>
    <row r="7538" spans="1:3" s="8" customFormat="1" x14ac:dyDescent="0.2">
      <c r="A7538" s="6" t="str">
        <f>"FAM111A"</f>
        <v>FAM111A</v>
      </c>
      <c r="B7538" s="6">
        <v>0.14385614385614301</v>
      </c>
      <c r="C7538" s="6">
        <v>0.33544177609951298</v>
      </c>
    </row>
    <row r="7539" spans="1:3" s="8" customFormat="1" x14ac:dyDescent="0.2">
      <c r="A7539" s="6" t="str">
        <f>"ERG28"</f>
        <v>ERG28</v>
      </c>
      <c r="B7539" s="6">
        <v>0.14385614385614301</v>
      </c>
      <c r="C7539" s="6">
        <v>0.33544177609951298</v>
      </c>
    </row>
    <row r="7540" spans="1:3" s="8" customFormat="1" x14ac:dyDescent="0.2">
      <c r="A7540" s="6" t="str">
        <f>"COQ8A"</f>
        <v>COQ8A</v>
      </c>
      <c r="B7540" s="6">
        <v>0.14385614385614301</v>
      </c>
      <c r="C7540" s="6">
        <v>0.33544177609951298</v>
      </c>
    </row>
    <row r="7541" spans="1:3" s="8" customFormat="1" x14ac:dyDescent="0.2">
      <c r="A7541" s="6" t="str">
        <f>"GON7"</f>
        <v>GON7</v>
      </c>
      <c r="B7541" s="6">
        <v>0.14385614385614301</v>
      </c>
      <c r="C7541" s="6">
        <v>0.33544177609951298</v>
      </c>
    </row>
    <row r="7542" spans="1:3" s="8" customFormat="1" x14ac:dyDescent="0.2">
      <c r="A7542" s="6" t="str">
        <f>"GNE"</f>
        <v>GNE</v>
      </c>
      <c r="B7542" s="6">
        <v>0.14385614385614301</v>
      </c>
      <c r="C7542" s="6">
        <v>0.33544177609951298</v>
      </c>
    </row>
    <row r="7543" spans="1:3" s="8" customFormat="1" x14ac:dyDescent="0.2">
      <c r="A7543" s="6" t="str">
        <f>"AC023906.3"</f>
        <v>AC023906.3</v>
      </c>
      <c r="B7543" s="6">
        <v>0.14399999999999999</v>
      </c>
      <c r="C7543" s="6">
        <v>0.33573269689737401</v>
      </c>
    </row>
    <row r="7544" spans="1:3" s="8" customFormat="1" x14ac:dyDescent="0.2">
      <c r="A7544" s="6" t="str">
        <f>"AC109460.2"</f>
        <v>AC109460.2</v>
      </c>
      <c r="B7544" s="6">
        <v>0.14428857715430801</v>
      </c>
      <c r="C7544" s="6">
        <v>0.33636090954280201</v>
      </c>
    </row>
    <row r="7545" spans="1:3" s="8" customFormat="1" x14ac:dyDescent="0.2">
      <c r="A7545" s="6" t="str">
        <f>"AC123023.1"</f>
        <v>AC123023.1</v>
      </c>
      <c r="B7545" s="6">
        <v>0.144855144855144</v>
      </c>
      <c r="C7545" s="6">
        <v>0.33652171583205998</v>
      </c>
    </row>
    <row r="7546" spans="1:3" s="8" customFormat="1" x14ac:dyDescent="0.2">
      <c r="A7546" s="6" t="str">
        <f>"TSPEAR-AS2"</f>
        <v>TSPEAR-AS2</v>
      </c>
      <c r="B7546" s="6">
        <v>0.14457831325301199</v>
      </c>
      <c r="C7546" s="6">
        <v>0.33652171583205998</v>
      </c>
    </row>
    <row r="7547" spans="1:3" s="8" customFormat="1" x14ac:dyDescent="0.2">
      <c r="A7547" s="6" t="str">
        <f>"AC092198.1"</f>
        <v>AC092198.1</v>
      </c>
      <c r="B7547" s="6">
        <v>0.144855144855144</v>
      </c>
      <c r="C7547" s="6">
        <v>0.33652171583205998</v>
      </c>
    </row>
    <row r="7548" spans="1:3" s="8" customFormat="1" x14ac:dyDescent="0.2">
      <c r="A7548" s="6" t="str">
        <f>"FGF1"</f>
        <v>FGF1</v>
      </c>
      <c r="B7548" s="6">
        <v>0.144855144855144</v>
      </c>
      <c r="C7548" s="6">
        <v>0.33652171583205998</v>
      </c>
    </row>
    <row r="7549" spans="1:3" s="8" customFormat="1" x14ac:dyDescent="0.2">
      <c r="A7549" s="6" t="str">
        <f>"SCGB2B2"</f>
        <v>SCGB2B2</v>
      </c>
      <c r="B7549" s="6">
        <v>0.144855144855144</v>
      </c>
      <c r="C7549" s="6">
        <v>0.33652171583205998</v>
      </c>
    </row>
    <row r="7550" spans="1:3" s="8" customFormat="1" x14ac:dyDescent="0.2">
      <c r="A7550" s="6" t="str">
        <f>"GOLGA7B"</f>
        <v>GOLGA7B</v>
      </c>
      <c r="B7550" s="6">
        <v>0.144855144855144</v>
      </c>
      <c r="C7550" s="6">
        <v>0.33652171583205998</v>
      </c>
    </row>
    <row r="7551" spans="1:3" s="8" customFormat="1" x14ac:dyDescent="0.2">
      <c r="A7551" s="6" t="str">
        <f>"TBX3"</f>
        <v>TBX3</v>
      </c>
      <c r="B7551" s="6">
        <v>0.144855144855144</v>
      </c>
      <c r="C7551" s="6">
        <v>0.33652171583205998</v>
      </c>
    </row>
    <row r="7552" spans="1:3" s="8" customFormat="1" x14ac:dyDescent="0.2">
      <c r="A7552" s="6" t="str">
        <f>"ITGA7"</f>
        <v>ITGA7</v>
      </c>
      <c r="B7552" s="6">
        <v>0.144855144855144</v>
      </c>
      <c r="C7552" s="6">
        <v>0.33652171583205998</v>
      </c>
    </row>
    <row r="7553" spans="1:3" s="8" customFormat="1" x14ac:dyDescent="0.2">
      <c r="A7553" s="6" t="str">
        <f>"LILRB5"</f>
        <v>LILRB5</v>
      </c>
      <c r="B7553" s="6">
        <v>0.144855144855144</v>
      </c>
      <c r="C7553" s="6">
        <v>0.33652171583205998</v>
      </c>
    </row>
    <row r="7554" spans="1:3" s="8" customFormat="1" x14ac:dyDescent="0.2">
      <c r="A7554" s="6" t="str">
        <f>"TUBB3"</f>
        <v>TUBB3</v>
      </c>
      <c r="B7554" s="6">
        <v>0.144855144855144</v>
      </c>
      <c r="C7554" s="6">
        <v>0.33652171583205998</v>
      </c>
    </row>
    <row r="7555" spans="1:3" s="8" customFormat="1" x14ac:dyDescent="0.2">
      <c r="A7555" s="6" t="str">
        <f>"C17orf113"</f>
        <v>C17orf113</v>
      </c>
      <c r="B7555" s="6">
        <v>0.144855144855144</v>
      </c>
      <c r="C7555" s="6">
        <v>0.33652171583205998</v>
      </c>
    </row>
    <row r="7556" spans="1:3" s="8" customFormat="1" x14ac:dyDescent="0.2">
      <c r="A7556" s="6" t="str">
        <f>"SNHG10"</f>
        <v>SNHG10</v>
      </c>
      <c r="B7556" s="6">
        <v>0.144855144855144</v>
      </c>
      <c r="C7556" s="6">
        <v>0.33652171583205998</v>
      </c>
    </row>
    <row r="7557" spans="1:3" s="8" customFormat="1" x14ac:dyDescent="0.2">
      <c r="A7557" s="6" t="str">
        <f>"AP003498.2"</f>
        <v>AP003498.2</v>
      </c>
      <c r="B7557" s="6">
        <v>0.144855144855144</v>
      </c>
      <c r="C7557" s="6">
        <v>0.33652171583205998</v>
      </c>
    </row>
    <row r="7558" spans="1:3" s="8" customFormat="1" x14ac:dyDescent="0.2">
      <c r="A7558" s="6" t="str">
        <f>"RGPD6"</f>
        <v>RGPD6</v>
      </c>
      <c r="B7558" s="6">
        <v>0.144855144855144</v>
      </c>
      <c r="C7558" s="6">
        <v>0.33652171583205998</v>
      </c>
    </row>
    <row r="7559" spans="1:3" s="8" customFormat="1" x14ac:dyDescent="0.2">
      <c r="A7559" s="6" t="str">
        <f>"MON1A"</f>
        <v>MON1A</v>
      </c>
      <c r="B7559" s="6">
        <v>0.144855144855144</v>
      </c>
      <c r="C7559" s="6">
        <v>0.33652171583205998</v>
      </c>
    </row>
    <row r="7560" spans="1:3" s="8" customFormat="1" x14ac:dyDescent="0.2">
      <c r="A7560" s="6" t="str">
        <f>"TTC23"</f>
        <v>TTC23</v>
      </c>
      <c r="B7560" s="6">
        <v>0.144855144855144</v>
      </c>
      <c r="C7560" s="6">
        <v>0.33652171583205998</v>
      </c>
    </row>
    <row r="7561" spans="1:3" s="8" customFormat="1" x14ac:dyDescent="0.2">
      <c r="A7561" s="6" t="str">
        <f>"AFG3L1P"</f>
        <v>AFG3L1P</v>
      </c>
      <c r="B7561" s="6">
        <v>0.144855144855144</v>
      </c>
      <c r="C7561" s="6">
        <v>0.33652171583205998</v>
      </c>
    </row>
    <row r="7562" spans="1:3" s="8" customFormat="1" x14ac:dyDescent="0.2">
      <c r="A7562" s="6" t="str">
        <f>"UMODL1-AS1"</f>
        <v>UMODL1-AS1</v>
      </c>
      <c r="B7562" s="6">
        <v>0.144855144855144</v>
      </c>
      <c r="C7562" s="6">
        <v>0.33652171583205998</v>
      </c>
    </row>
    <row r="7563" spans="1:3" s="8" customFormat="1" x14ac:dyDescent="0.2">
      <c r="A7563" s="6" t="str">
        <f>"NINJ2-AS1"</f>
        <v>NINJ2-AS1</v>
      </c>
      <c r="B7563" s="6">
        <v>0.144855144855144</v>
      </c>
      <c r="C7563" s="6">
        <v>0.33652171583205998</v>
      </c>
    </row>
    <row r="7564" spans="1:3" s="8" customFormat="1" x14ac:dyDescent="0.2">
      <c r="A7564" s="6" t="str">
        <f>"GSTA4"</f>
        <v>GSTA4</v>
      </c>
      <c r="B7564" s="6">
        <v>0.144855144855144</v>
      </c>
      <c r="C7564" s="6">
        <v>0.33652171583205998</v>
      </c>
    </row>
    <row r="7565" spans="1:3" s="8" customFormat="1" x14ac:dyDescent="0.2">
      <c r="A7565" s="6" t="str">
        <f>"SLC22A5"</f>
        <v>SLC22A5</v>
      </c>
      <c r="B7565" s="6">
        <v>0.144855144855144</v>
      </c>
      <c r="C7565" s="6">
        <v>0.33652171583205998</v>
      </c>
    </row>
    <row r="7566" spans="1:3" s="8" customFormat="1" x14ac:dyDescent="0.2">
      <c r="A7566" s="6" t="str">
        <f>"EPC2"</f>
        <v>EPC2</v>
      </c>
      <c r="B7566" s="6">
        <v>0.144855144855144</v>
      </c>
      <c r="C7566" s="6">
        <v>0.33652171583205998</v>
      </c>
    </row>
    <row r="7567" spans="1:3" s="8" customFormat="1" x14ac:dyDescent="0.2">
      <c r="A7567" s="6" t="str">
        <f>"PZP"</f>
        <v>PZP</v>
      </c>
      <c r="B7567" s="6">
        <v>0.144855144855144</v>
      </c>
      <c r="C7567" s="6">
        <v>0.33652171583205998</v>
      </c>
    </row>
    <row r="7568" spans="1:3" s="8" customFormat="1" x14ac:dyDescent="0.2">
      <c r="A7568" s="6" t="str">
        <f>"NT5C3A"</f>
        <v>NT5C3A</v>
      </c>
      <c r="B7568" s="6">
        <v>0.144855144855144</v>
      </c>
      <c r="C7568" s="6">
        <v>0.33652171583205998</v>
      </c>
    </row>
    <row r="7569" spans="1:3" s="8" customFormat="1" x14ac:dyDescent="0.2">
      <c r="A7569" s="6" t="str">
        <f>"UBR3"</f>
        <v>UBR3</v>
      </c>
      <c r="B7569" s="6">
        <v>0.144855144855144</v>
      </c>
      <c r="C7569" s="6">
        <v>0.33652171583205998</v>
      </c>
    </row>
    <row r="7570" spans="1:3" s="8" customFormat="1" x14ac:dyDescent="0.2">
      <c r="A7570" s="6" t="str">
        <f>"PLXNB2"</f>
        <v>PLXNB2</v>
      </c>
      <c r="B7570" s="6">
        <v>0.144855144855144</v>
      </c>
      <c r="C7570" s="6">
        <v>0.33652171583205998</v>
      </c>
    </row>
    <row r="7571" spans="1:3" s="8" customFormat="1" x14ac:dyDescent="0.2">
      <c r="A7571" s="6" t="str">
        <f>"CLCN7"</f>
        <v>CLCN7</v>
      </c>
      <c r="B7571" s="6">
        <v>0.14499999999999999</v>
      </c>
      <c r="C7571" s="6">
        <v>0.33681373844121498</v>
      </c>
    </row>
    <row r="7572" spans="1:3" s="8" customFormat="1" x14ac:dyDescent="0.2">
      <c r="A7572" s="6" t="str">
        <f>"TBX10"</f>
        <v>TBX10</v>
      </c>
      <c r="B7572" s="6">
        <v>0.14529058116232399</v>
      </c>
      <c r="C7572" s="6">
        <v>0.33739957463791798</v>
      </c>
    </row>
    <row r="7573" spans="1:3" s="8" customFormat="1" x14ac:dyDescent="0.2">
      <c r="A7573" s="6" t="str">
        <f>"AL391001.1"</f>
        <v>AL391001.1</v>
      </c>
      <c r="B7573" s="6">
        <v>0.14529058116232399</v>
      </c>
      <c r="C7573" s="6">
        <v>0.33739957463791798</v>
      </c>
    </row>
    <row r="7574" spans="1:3" s="8" customFormat="1" x14ac:dyDescent="0.2">
      <c r="A7574" s="6" t="str">
        <f>"AC023421.2"</f>
        <v>AC023421.2</v>
      </c>
      <c r="B7574" s="6">
        <v>0.145854145854145</v>
      </c>
      <c r="C7574" s="6">
        <v>0.33754926305597499</v>
      </c>
    </row>
    <row r="7575" spans="1:3" s="8" customFormat="1" x14ac:dyDescent="0.2">
      <c r="A7575" s="6" t="str">
        <f>"ACSM2A"</f>
        <v>ACSM2A</v>
      </c>
      <c r="B7575" s="6">
        <v>0.145854145854145</v>
      </c>
      <c r="C7575" s="6">
        <v>0.33754926305597499</v>
      </c>
    </row>
    <row r="7576" spans="1:3" s="8" customFormat="1" x14ac:dyDescent="0.2">
      <c r="A7576" s="6" t="str">
        <f>"MROH3P"</f>
        <v>MROH3P</v>
      </c>
      <c r="B7576" s="6">
        <v>0.145854145854145</v>
      </c>
      <c r="C7576" s="6">
        <v>0.33754926305597499</v>
      </c>
    </row>
    <row r="7577" spans="1:3" s="8" customFormat="1" x14ac:dyDescent="0.2">
      <c r="A7577" s="6" t="str">
        <f>"SIGLEC6"</f>
        <v>SIGLEC6</v>
      </c>
      <c r="B7577" s="6">
        <v>0.145854145854145</v>
      </c>
      <c r="C7577" s="6">
        <v>0.33754926305597499</v>
      </c>
    </row>
    <row r="7578" spans="1:3" s="8" customFormat="1" x14ac:dyDescent="0.2">
      <c r="A7578" s="6" t="str">
        <f>"FBXO43"</f>
        <v>FBXO43</v>
      </c>
      <c r="B7578" s="6">
        <v>0.145854145854145</v>
      </c>
      <c r="C7578" s="6">
        <v>0.33754926305597499</v>
      </c>
    </row>
    <row r="7579" spans="1:3" s="8" customFormat="1" x14ac:dyDescent="0.2">
      <c r="A7579" s="6" t="str">
        <f>"NACAD"</f>
        <v>NACAD</v>
      </c>
      <c r="B7579" s="6">
        <v>0.145854145854145</v>
      </c>
      <c r="C7579" s="6">
        <v>0.33754926305597499</v>
      </c>
    </row>
    <row r="7580" spans="1:3" s="8" customFormat="1" x14ac:dyDescent="0.2">
      <c r="A7580" s="6" t="str">
        <f>"AL365295.1"</f>
        <v>AL365295.1</v>
      </c>
      <c r="B7580" s="6">
        <v>0.145854145854145</v>
      </c>
      <c r="C7580" s="6">
        <v>0.33754926305597499</v>
      </c>
    </row>
    <row r="7581" spans="1:3" s="8" customFormat="1" x14ac:dyDescent="0.2">
      <c r="A7581" s="6" t="str">
        <f>"AC114341.2"</f>
        <v>AC114341.2</v>
      </c>
      <c r="B7581" s="6">
        <v>0.145854145854145</v>
      </c>
      <c r="C7581" s="6">
        <v>0.33754926305597499</v>
      </c>
    </row>
    <row r="7582" spans="1:3" s="8" customFormat="1" x14ac:dyDescent="0.2">
      <c r="A7582" s="6" t="str">
        <f>"SLC25A27"</f>
        <v>SLC25A27</v>
      </c>
      <c r="B7582" s="6">
        <v>0.145854145854145</v>
      </c>
      <c r="C7582" s="6">
        <v>0.33754926305597499</v>
      </c>
    </row>
    <row r="7583" spans="1:3" s="8" customFormat="1" x14ac:dyDescent="0.2">
      <c r="A7583" s="6" t="str">
        <f>"PLCD4"</f>
        <v>PLCD4</v>
      </c>
      <c r="B7583" s="6">
        <v>0.145854145854145</v>
      </c>
      <c r="C7583" s="6">
        <v>0.33754926305597499</v>
      </c>
    </row>
    <row r="7584" spans="1:3" s="8" customFormat="1" x14ac:dyDescent="0.2">
      <c r="A7584" s="6" t="str">
        <f>"MGP"</f>
        <v>MGP</v>
      </c>
      <c r="B7584" s="6">
        <v>0.145854145854145</v>
      </c>
      <c r="C7584" s="6">
        <v>0.33754926305597499</v>
      </c>
    </row>
    <row r="7585" spans="1:3" s="8" customFormat="1" x14ac:dyDescent="0.2">
      <c r="A7585" s="6" t="str">
        <f>"ABHD8"</f>
        <v>ABHD8</v>
      </c>
      <c r="B7585" s="6">
        <v>0.145854145854145</v>
      </c>
      <c r="C7585" s="6">
        <v>0.33754926305597499</v>
      </c>
    </row>
    <row r="7586" spans="1:3" s="8" customFormat="1" x14ac:dyDescent="0.2">
      <c r="A7586" s="6" t="str">
        <f>"FBXL8"</f>
        <v>FBXL8</v>
      </c>
      <c r="B7586" s="6">
        <v>0.145854145854145</v>
      </c>
      <c r="C7586" s="6">
        <v>0.33754926305597499</v>
      </c>
    </row>
    <row r="7587" spans="1:3" s="8" customFormat="1" x14ac:dyDescent="0.2">
      <c r="A7587" s="6" t="str">
        <f>"NINL"</f>
        <v>NINL</v>
      </c>
      <c r="B7587" s="6">
        <v>0.145854145854145</v>
      </c>
      <c r="C7587" s="6">
        <v>0.33754926305597499</v>
      </c>
    </row>
    <row r="7588" spans="1:3" s="8" customFormat="1" x14ac:dyDescent="0.2">
      <c r="A7588" s="6" t="str">
        <f>"BEX3"</f>
        <v>BEX3</v>
      </c>
      <c r="B7588" s="6">
        <v>0.145854145854145</v>
      </c>
      <c r="C7588" s="6">
        <v>0.33754926305597499</v>
      </c>
    </row>
    <row r="7589" spans="1:3" s="8" customFormat="1" x14ac:dyDescent="0.2">
      <c r="A7589" s="6" t="str">
        <f>"ZNF446"</f>
        <v>ZNF446</v>
      </c>
      <c r="B7589" s="6">
        <v>0.145854145854145</v>
      </c>
      <c r="C7589" s="6">
        <v>0.33754926305597499</v>
      </c>
    </row>
    <row r="7590" spans="1:3" s="8" customFormat="1" x14ac:dyDescent="0.2">
      <c r="A7590" s="6" t="str">
        <f>"RBAK"</f>
        <v>RBAK</v>
      </c>
      <c r="B7590" s="6">
        <v>0.145854145854145</v>
      </c>
      <c r="C7590" s="6">
        <v>0.33754926305597499</v>
      </c>
    </row>
    <row r="7591" spans="1:3" s="8" customFormat="1" x14ac:dyDescent="0.2">
      <c r="A7591" s="6" t="str">
        <f>"GATC"</f>
        <v>GATC</v>
      </c>
      <c r="B7591" s="6">
        <v>0.145854145854145</v>
      </c>
      <c r="C7591" s="6">
        <v>0.33754926305597499</v>
      </c>
    </row>
    <row r="7592" spans="1:3" s="8" customFormat="1" x14ac:dyDescent="0.2">
      <c r="A7592" s="6" t="str">
        <f>"MAP3K9"</f>
        <v>MAP3K9</v>
      </c>
      <c r="B7592" s="6">
        <v>0.145854145854145</v>
      </c>
      <c r="C7592" s="6">
        <v>0.33754926305597499</v>
      </c>
    </row>
    <row r="7593" spans="1:3" s="8" customFormat="1" x14ac:dyDescent="0.2">
      <c r="A7593" s="6" t="str">
        <f>"CHCHD7"</f>
        <v>CHCHD7</v>
      </c>
      <c r="B7593" s="6">
        <v>0.145854145854145</v>
      </c>
      <c r="C7593" s="6">
        <v>0.33754926305597499</v>
      </c>
    </row>
    <row r="7594" spans="1:3" s="8" customFormat="1" x14ac:dyDescent="0.2">
      <c r="A7594" s="6" t="str">
        <f>"LAMP3"</f>
        <v>LAMP3</v>
      </c>
      <c r="B7594" s="6">
        <v>0.145854145854145</v>
      </c>
      <c r="C7594" s="6">
        <v>0.33754926305597499</v>
      </c>
    </row>
    <row r="7595" spans="1:3" s="8" customFormat="1" x14ac:dyDescent="0.2">
      <c r="A7595" s="6" t="str">
        <f>"SNRPD1"</f>
        <v>SNRPD1</v>
      </c>
      <c r="B7595" s="6">
        <v>0.145854145854145</v>
      </c>
      <c r="C7595" s="6">
        <v>0.33754926305597499</v>
      </c>
    </row>
    <row r="7596" spans="1:3" s="8" customFormat="1" x14ac:dyDescent="0.2">
      <c r="A7596" s="6" t="str">
        <f>"AGFG2"</f>
        <v>AGFG2</v>
      </c>
      <c r="B7596" s="6">
        <v>0.145854145854145</v>
      </c>
      <c r="C7596" s="6">
        <v>0.33754926305597499</v>
      </c>
    </row>
    <row r="7597" spans="1:3" s="8" customFormat="1" x14ac:dyDescent="0.2">
      <c r="A7597" s="6" t="str">
        <f>"HERC2"</f>
        <v>HERC2</v>
      </c>
      <c r="B7597" s="6">
        <v>0.145854145854145</v>
      </c>
      <c r="C7597" s="6">
        <v>0.33754926305597499</v>
      </c>
    </row>
    <row r="7598" spans="1:3" s="8" customFormat="1" x14ac:dyDescent="0.2">
      <c r="A7598" s="6" t="str">
        <f>"TSPAN14"</f>
        <v>TSPAN14</v>
      </c>
      <c r="B7598" s="6">
        <v>0.145854145854145</v>
      </c>
      <c r="C7598" s="6">
        <v>0.33754926305597499</v>
      </c>
    </row>
    <row r="7599" spans="1:3" s="8" customFormat="1" x14ac:dyDescent="0.2">
      <c r="A7599" s="6" t="str">
        <f>"BCL2L1"</f>
        <v>BCL2L1</v>
      </c>
      <c r="B7599" s="6">
        <v>0.145854145854145</v>
      </c>
      <c r="C7599" s="6">
        <v>0.33754926305597499</v>
      </c>
    </row>
    <row r="7600" spans="1:3" s="8" customFormat="1" x14ac:dyDescent="0.2">
      <c r="A7600" s="6" t="str">
        <f>"ADGRF3"</f>
        <v>ADGRF3</v>
      </c>
      <c r="B7600" s="6">
        <v>0.14599999999999999</v>
      </c>
      <c r="C7600" s="6">
        <v>0.33775345349296099</v>
      </c>
    </row>
    <row r="7601" spans="1:3" s="8" customFormat="1" x14ac:dyDescent="0.2">
      <c r="A7601" s="6" t="str">
        <f>"RNFT1-DT"</f>
        <v>RNFT1-DT</v>
      </c>
      <c r="B7601" s="6">
        <v>0.14599999999999999</v>
      </c>
      <c r="C7601" s="6">
        <v>0.33775345349296099</v>
      </c>
    </row>
    <row r="7602" spans="1:3" s="8" customFormat="1" x14ac:dyDescent="0.2">
      <c r="A7602" s="6" t="str">
        <f>"VTI1A"</f>
        <v>VTI1A</v>
      </c>
      <c r="B7602" s="6">
        <v>0.14599999999999999</v>
      </c>
      <c r="C7602" s="6">
        <v>0.33775345349296099</v>
      </c>
    </row>
    <row r="7603" spans="1:3" s="8" customFormat="1" x14ac:dyDescent="0.2">
      <c r="A7603" s="6" t="str">
        <f>"VAMP2"</f>
        <v>VAMP2</v>
      </c>
      <c r="B7603" s="6">
        <v>0.14614614614614599</v>
      </c>
      <c r="C7603" s="6">
        <v>0.33804707101207998</v>
      </c>
    </row>
    <row r="7604" spans="1:3" s="8" customFormat="1" x14ac:dyDescent="0.2">
      <c r="A7604" s="6" t="str">
        <f>"RN7SL274P"</f>
        <v>RN7SL274P</v>
      </c>
      <c r="B7604" s="6">
        <v>0.14685314685314599</v>
      </c>
      <c r="C7604" s="6">
        <v>0.33882594036927299</v>
      </c>
    </row>
    <row r="7605" spans="1:3" s="8" customFormat="1" x14ac:dyDescent="0.2">
      <c r="A7605" s="6" t="str">
        <f>"AC011978.2"</f>
        <v>AC011978.2</v>
      </c>
      <c r="B7605" s="6">
        <v>0.146868250539956</v>
      </c>
      <c r="C7605" s="6">
        <v>0.33882594036927299</v>
      </c>
    </row>
    <row r="7606" spans="1:3" s="8" customFormat="1" x14ac:dyDescent="0.2">
      <c r="A7606" s="6" t="str">
        <f>"AL606834.2"</f>
        <v>AL606834.2</v>
      </c>
      <c r="B7606" s="6">
        <v>0.14673366834170801</v>
      </c>
      <c r="C7606" s="6">
        <v>0.33882594036927299</v>
      </c>
    </row>
    <row r="7607" spans="1:3" s="8" customFormat="1" x14ac:dyDescent="0.2">
      <c r="A7607" s="6" t="str">
        <f>"EPHA10"</f>
        <v>EPHA10</v>
      </c>
      <c r="B7607" s="6">
        <v>0.14685314685314599</v>
      </c>
      <c r="C7607" s="6">
        <v>0.33882594036927299</v>
      </c>
    </row>
    <row r="7608" spans="1:3" s="8" customFormat="1" x14ac:dyDescent="0.2">
      <c r="A7608" s="6" t="str">
        <f>"SPOCK3"</f>
        <v>SPOCK3</v>
      </c>
      <c r="B7608" s="6">
        <v>0.14685314685314599</v>
      </c>
      <c r="C7608" s="6">
        <v>0.33882594036927299</v>
      </c>
    </row>
    <row r="7609" spans="1:3" s="8" customFormat="1" x14ac:dyDescent="0.2">
      <c r="A7609" s="6" t="str">
        <f>"PCAT7"</f>
        <v>PCAT7</v>
      </c>
      <c r="B7609" s="6">
        <v>0.14685314685314599</v>
      </c>
      <c r="C7609" s="6">
        <v>0.33882594036927299</v>
      </c>
    </row>
    <row r="7610" spans="1:3" s="8" customFormat="1" x14ac:dyDescent="0.2">
      <c r="A7610" s="6" t="str">
        <f>"TRPV2"</f>
        <v>TRPV2</v>
      </c>
      <c r="B7610" s="6">
        <v>0.14685314685314599</v>
      </c>
      <c r="C7610" s="6">
        <v>0.33882594036927299</v>
      </c>
    </row>
    <row r="7611" spans="1:3" s="8" customFormat="1" x14ac:dyDescent="0.2">
      <c r="A7611" s="6" t="str">
        <f>"AC139256.1"</f>
        <v>AC139256.1</v>
      </c>
      <c r="B7611" s="6">
        <v>0.14685314685314599</v>
      </c>
      <c r="C7611" s="6">
        <v>0.33882594036927299</v>
      </c>
    </row>
    <row r="7612" spans="1:3" s="8" customFormat="1" x14ac:dyDescent="0.2">
      <c r="A7612" s="6" t="str">
        <f>"LINC00476"</f>
        <v>LINC00476</v>
      </c>
      <c r="B7612" s="6">
        <v>0.14685314685314599</v>
      </c>
      <c r="C7612" s="6">
        <v>0.33882594036927299</v>
      </c>
    </row>
    <row r="7613" spans="1:3" s="8" customFormat="1" x14ac:dyDescent="0.2">
      <c r="A7613" s="6" t="str">
        <f>"POC1B-GALNT4"</f>
        <v>POC1B-GALNT4</v>
      </c>
      <c r="B7613" s="6">
        <v>0.14685314685314599</v>
      </c>
      <c r="C7613" s="6">
        <v>0.33882594036927299</v>
      </c>
    </row>
    <row r="7614" spans="1:3" s="8" customFormat="1" x14ac:dyDescent="0.2">
      <c r="A7614" s="6" t="str">
        <f>"GATA3"</f>
        <v>GATA3</v>
      </c>
      <c r="B7614" s="6">
        <v>0.14685314685314599</v>
      </c>
      <c r="C7614" s="6">
        <v>0.33882594036927299</v>
      </c>
    </row>
    <row r="7615" spans="1:3" s="8" customFormat="1" x14ac:dyDescent="0.2">
      <c r="A7615" s="6" t="str">
        <f>"FBXL12"</f>
        <v>FBXL12</v>
      </c>
      <c r="B7615" s="6">
        <v>0.14685314685314599</v>
      </c>
      <c r="C7615" s="6">
        <v>0.33882594036927299</v>
      </c>
    </row>
    <row r="7616" spans="1:3" s="8" customFormat="1" x14ac:dyDescent="0.2">
      <c r="A7616" s="6" t="str">
        <f>"PDK4"</f>
        <v>PDK4</v>
      </c>
      <c r="B7616" s="6">
        <v>0.14685314685314599</v>
      </c>
      <c r="C7616" s="6">
        <v>0.33882594036927299</v>
      </c>
    </row>
    <row r="7617" spans="1:3" s="8" customFormat="1" x14ac:dyDescent="0.2">
      <c r="A7617" s="6" t="str">
        <f>"SLC25A28"</f>
        <v>SLC25A28</v>
      </c>
      <c r="B7617" s="6">
        <v>0.14685314685314599</v>
      </c>
      <c r="C7617" s="6">
        <v>0.33882594036927299</v>
      </c>
    </row>
    <row r="7618" spans="1:3" s="8" customFormat="1" x14ac:dyDescent="0.2">
      <c r="A7618" s="6" t="str">
        <f>"RRAS2"</f>
        <v>RRAS2</v>
      </c>
      <c r="B7618" s="6">
        <v>0.14685314685314599</v>
      </c>
      <c r="C7618" s="6">
        <v>0.33882594036927299</v>
      </c>
    </row>
    <row r="7619" spans="1:3" s="8" customFormat="1" x14ac:dyDescent="0.2">
      <c r="A7619" s="6" t="str">
        <f>"ARID2"</f>
        <v>ARID2</v>
      </c>
      <c r="B7619" s="6">
        <v>0.14685314685314599</v>
      </c>
      <c r="C7619" s="6">
        <v>0.33882594036927299</v>
      </c>
    </row>
    <row r="7620" spans="1:3" s="8" customFormat="1" x14ac:dyDescent="0.2">
      <c r="A7620" s="6" t="str">
        <f>"SLC25A10"</f>
        <v>SLC25A10</v>
      </c>
      <c r="B7620" s="6">
        <v>0.14685314685314599</v>
      </c>
      <c r="C7620" s="6">
        <v>0.33882594036927299</v>
      </c>
    </row>
    <row r="7621" spans="1:3" s="8" customFormat="1" x14ac:dyDescent="0.2">
      <c r="A7621" s="6" t="str">
        <f>"RAB3D"</f>
        <v>RAB3D</v>
      </c>
      <c r="B7621" s="6">
        <v>0.14685314685314599</v>
      </c>
      <c r="C7621" s="6">
        <v>0.33882594036927299</v>
      </c>
    </row>
    <row r="7622" spans="1:3" s="8" customFormat="1" x14ac:dyDescent="0.2">
      <c r="A7622" s="6" t="str">
        <f>"TCTN1"</f>
        <v>TCTN1</v>
      </c>
      <c r="B7622" s="6">
        <v>0.14685314685314599</v>
      </c>
      <c r="C7622" s="6">
        <v>0.33882594036927299</v>
      </c>
    </row>
    <row r="7623" spans="1:3" s="8" customFormat="1" x14ac:dyDescent="0.2">
      <c r="A7623" s="6" t="str">
        <f>"DYNLT1"</f>
        <v>DYNLT1</v>
      </c>
      <c r="B7623" s="6">
        <v>0.14685314685314599</v>
      </c>
      <c r="C7623" s="6">
        <v>0.33882594036927299</v>
      </c>
    </row>
    <row r="7624" spans="1:3" s="8" customFormat="1" x14ac:dyDescent="0.2">
      <c r="A7624" s="6" t="str">
        <f>"CH17-340M24.3"</f>
        <v>CH17-340M24.3</v>
      </c>
      <c r="B7624" s="6">
        <v>0.14699999999999999</v>
      </c>
      <c r="C7624" s="6">
        <v>0.33904092339978997</v>
      </c>
    </row>
    <row r="7625" spans="1:3" s="8" customFormat="1" x14ac:dyDescent="0.2">
      <c r="A7625" s="6" t="str">
        <f>"ANKRD6"</f>
        <v>ANKRD6</v>
      </c>
      <c r="B7625" s="6">
        <v>0.14699999999999999</v>
      </c>
      <c r="C7625" s="6">
        <v>0.33904092339978997</v>
      </c>
    </row>
    <row r="7626" spans="1:3" s="8" customFormat="1" x14ac:dyDescent="0.2">
      <c r="A7626" s="6" t="str">
        <f>"AL360014.1"</f>
        <v>AL360014.1</v>
      </c>
      <c r="B7626" s="6">
        <v>0.147029204431017</v>
      </c>
      <c r="C7626" s="6">
        <v>0.33906380730688501</v>
      </c>
    </row>
    <row r="7627" spans="1:3" s="8" customFormat="1" x14ac:dyDescent="0.2">
      <c r="A7627" s="6" t="str">
        <f>"LRRTM4"</f>
        <v>LRRTM4</v>
      </c>
      <c r="B7627" s="6">
        <v>0.14785214785214701</v>
      </c>
      <c r="C7627" s="6">
        <v>0.34002513311956101</v>
      </c>
    </row>
    <row r="7628" spans="1:3" s="8" customFormat="1" x14ac:dyDescent="0.2">
      <c r="A7628" s="6" t="str">
        <f>"LINC00608"</f>
        <v>LINC00608</v>
      </c>
      <c r="B7628" s="6">
        <v>0.14785214785214701</v>
      </c>
      <c r="C7628" s="6">
        <v>0.34002513311956101</v>
      </c>
    </row>
    <row r="7629" spans="1:3" s="8" customFormat="1" x14ac:dyDescent="0.2">
      <c r="A7629" s="6" t="str">
        <f>"AC025171.5"</f>
        <v>AC025171.5</v>
      </c>
      <c r="B7629" s="6">
        <v>0.14785214785214701</v>
      </c>
      <c r="C7629" s="6">
        <v>0.34002513311956101</v>
      </c>
    </row>
    <row r="7630" spans="1:3" s="8" customFormat="1" x14ac:dyDescent="0.2">
      <c r="A7630" s="6" t="str">
        <f>"TBX21"</f>
        <v>TBX21</v>
      </c>
      <c r="B7630" s="6">
        <v>0.14785214785214701</v>
      </c>
      <c r="C7630" s="6">
        <v>0.34002513311956101</v>
      </c>
    </row>
    <row r="7631" spans="1:3" s="8" customFormat="1" x14ac:dyDescent="0.2">
      <c r="A7631" s="6" t="str">
        <f>"TMEM225B"</f>
        <v>TMEM225B</v>
      </c>
      <c r="B7631" s="6">
        <v>0.14785214785214701</v>
      </c>
      <c r="C7631" s="6">
        <v>0.34002513311956101</v>
      </c>
    </row>
    <row r="7632" spans="1:3" s="8" customFormat="1" x14ac:dyDescent="0.2">
      <c r="A7632" s="6" t="str">
        <f>"NMRAL2P"</f>
        <v>NMRAL2P</v>
      </c>
      <c r="B7632" s="6">
        <v>0.14785214785214701</v>
      </c>
      <c r="C7632" s="6">
        <v>0.34002513311956101</v>
      </c>
    </row>
    <row r="7633" spans="1:3" s="8" customFormat="1" x14ac:dyDescent="0.2">
      <c r="A7633" s="6" t="str">
        <f>"AC091152.4"</f>
        <v>AC091152.4</v>
      </c>
      <c r="B7633" s="6">
        <v>0.14785214785214701</v>
      </c>
      <c r="C7633" s="6">
        <v>0.34002513311956101</v>
      </c>
    </row>
    <row r="7634" spans="1:3" s="8" customFormat="1" x14ac:dyDescent="0.2">
      <c r="A7634" s="6" t="str">
        <f>"SYT13"</f>
        <v>SYT13</v>
      </c>
      <c r="B7634" s="6">
        <v>0.14785214785214701</v>
      </c>
      <c r="C7634" s="6">
        <v>0.34002513311956101</v>
      </c>
    </row>
    <row r="7635" spans="1:3" s="8" customFormat="1" x14ac:dyDescent="0.2">
      <c r="A7635" s="6" t="str">
        <f>"PCDH17"</f>
        <v>PCDH17</v>
      </c>
      <c r="B7635" s="6">
        <v>0.14785214785214701</v>
      </c>
      <c r="C7635" s="6">
        <v>0.34002513311956101</v>
      </c>
    </row>
    <row r="7636" spans="1:3" s="8" customFormat="1" x14ac:dyDescent="0.2">
      <c r="A7636" s="6" t="str">
        <f>"ZNF501"</f>
        <v>ZNF501</v>
      </c>
      <c r="B7636" s="6">
        <v>0.14785214785214701</v>
      </c>
      <c r="C7636" s="6">
        <v>0.34002513311956101</v>
      </c>
    </row>
    <row r="7637" spans="1:3" s="8" customFormat="1" x14ac:dyDescent="0.2">
      <c r="A7637" s="6" t="str">
        <f>"ZNF124"</f>
        <v>ZNF124</v>
      </c>
      <c r="B7637" s="6">
        <v>0.14785214785214701</v>
      </c>
      <c r="C7637" s="6">
        <v>0.34002513311956101</v>
      </c>
    </row>
    <row r="7638" spans="1:3" s="8" customFormat="1" x14ac:dyDescent="0.2">
      <c r="A7638" s="6" t="str">
        <f>"BORA"</f>
        <v>BORA</v>
      </c>
      <c r="B7638" s="6">
        <v>0.14785214785214701</v>
      </c>
      <c r="C7638" s="6">
        <v>0.34002513311956101</v>
      </c>
    </row>
    <row r="7639" spans="1:3" s="8" customFormat="1" x14ac:dyDescent="0.2">
      <c r="A7639" s="6" t="str">
        <f>"NSMF"</f>
        <v>NSMF</v>
      </c>
      <c r="B7639" s="6">
        <v>0.14785214785214701</v>
      </c>
      <c r="C7639" s="6">
        <v>0.34002513311956101</v>
      </c>
    </row>
    <row r="7640" spans="1:3" s="8" customFormat="1" x14ac:dyDescent="0.2">
      <c r="A7640" s="6" t="str">
        <f>"DUT"</f>
        <v>DUT</v>
      </c>
      <c r="B7640" s="6">
        <v>0.14785214785214701</v>
      </c>
      <c r="C7640" s="6">
        <v>0.34002513311956101</v>
      </c>
    </row>
    <row r="7641" spans="1:3" s="8" customFormat="1" x14ac:dyDescent="0.2">
      <c r="A7641" s="6" t="str">
        <f>"C11orf52"</f>
        <v>C11orf52</v>
      </c>
      <c r="B7641" s="6">
        <v>0.14785214785214701</v>
      </c>
      <c r="C7641" s="6">
        <v>0.34002513311956101</v>
      </c>
    </row>
    <row r="7642" spans="1:3" s="8" customFormat="1" x14ac:dyDescent="0.2">
      <c r="A7642" s="6" t="str">
        <f>"KIF9"</f>
        <v>KIF9</v>
      </c>
      <c r="B7642" s="6">
        <v>0.14785214785214701</v>
      </c>
      <c r="C7642" s="6">
        <v>0.34002513311956101</v>
      </c>
    </row>
    <row r="7643" spans="1:3" s="8" customFormat="1" x14ac:dyDescent="0.2">
      <c r="A7643" s="6" t="str">
        <f>"MMADHC"</f>
        <v>MMADHC</v>
      </c>
      <c r="B7643" s="6">
        <v>0.14785214785214701</v>
      </c>
      <c r="C7643" s="6">
        <v>0.34002513311956101</v>
      </c>
    </row>
    <row r="7644" spans="1:3" s="8" customFormat="1" x14ac:dyDescent="0.2">
      <c r="A7644" s="6" t="str">
        <f>"FUBP3"</f>
        <v>FUBP3</v>
      </c>
      <c r="B7644" s="6">
        <v>0.14785214785214701</v>
      </c>
      <c r="C7644" s="6">
        <v>0.34002513311956101</v>
      </c>
    </row>
    <row r="7645" spans="1:3" s="8" customFormat="1" x14ac:dyDescent="0.2">
      <c r="A7645" s="6" t="str">
        <f>"ATP5PO"</f>
        <v>ATP5PO</v>
      </c>
      <c r="B7645" s="6">
        <v>0.14785214785214701</v>
      </c>
      <c r="C7645" s="6">
        <v>0.34002513311956101</v>
      </c>
    </row>
    <row r="7646" spans="1:3" s="8" customFormat="1" x14ac:dyDescent="0.2">
      <c r="A7646" s="6" t="str">
        <f>"CX3CL1"</f>
        <v>CX3CL1</v>
      </c>
      <c r="B7646" s="6">
        <v>0.14785214785214701</v>
      </c>
      <c r="C7646" s="6">
        <v>0.34002513311956101</v>
      </c>
    </row>
    <row r="7647" spans="1:3" s="8" customFormat="1" x14ac:dyDescent="0.2">
      <c r="A7647" s="6" t="str">
        <f>"SRCAP"</f>
        <v>SRCAP</v>
      </c>
      <c r="B7647" s="6">
        <v>0.14785214785214701</v>
      </c>
      <c r="C7647" s="6">
        <v>0.34002513311956101</v>
      </c>
    </row>
    <row r="7648" spans="1:3" s="8" customFormat="1" x14ac:dyDescent="0.2">
      <c r="A7648" s="6" t="str">
        <f>"LINC02345"</f>
        <v>LINC02345</v>
      </c>
      <c r="B7648" s="6">
        <v>0.14799999999999999</v>
      </c>
      <c r="C7648" s="6">
        <v>0.34023166426983897</v>
      </c>
    </row>
    <row r="7649" spans="1:3" s="8" customFormat="1" x14ac:dyDescent="0.2">
      <c r="A7649" s="6" t="str">
        <f>"ABCF2"</f>
        <v>ABCF2</v>
      </c>
      <c r="B7649" s="6">
        <v>0.14799999999999999</v>
      </c>
      <c r="C7649" s="6">
        <v>0.34023166426983897</v>
      </c>
    </row>
    <row r="7650" spans="1:3" s="8" customFormat="1" x14ac:dyDescent="0.2">
      <c r="A7650" s="6" t="str">
        <f>"PMF1"</f>
        <v>PMF1</v>
      </c>
      <c r="B7650" s="6">
        <v>0.14799999999999999</v>
      </c>
      <c r="C7650" s="6">
        <v>0.34023166426983897</v>
      </c>
    </row>
    <row r="7651" spans="1:3" s="8" customFormat="1" x14ac:dyDescent="0.2">
      <c r="A7651" s="6" t="str">
        <f>"LINC01473"</f>
        <v>LINC01473</v>
      </c>
      <c r="B7651" s="6">
        <v>0.148148148148148</v>
      </c>
      <c r="C7651" s="6">
        <v>0.34052771725974301</v>
      </c>
    </row>
    <row r="7652" spans="1:3" s="8" customFormat="1" x14ac:dyDescent="0.2">
      <c r="A7652" s="6" t="str">
        <f>"GTF2IP23"</f>
        <v>GTF2IP23</v>
      </c>
      <c r="B7652" s="6">
        <v>0.14829659318637201</v>
      </c>
      <c r="C7652" s="6">
        <v>0.34082437519136999</v>
      </c>
    </row>
    <row r="7653" spans="1:3" s="8" customFormat="1" x14ac:dyDescent="0.2">
      <c r="A7653" s="6" t="str">
        <f>"KIF1C-AS1"</f>
        <v>KIF1C-AS1</v>
      </c>
      <c r="B7653" s="6">
        <v>0.14844533600802401</v>
      </c>
      <c r="C7653" s="6">
        <v>0.341073573286239</v>
      </c>
    </row>
    <row r="7654" spans="1:3" s="8" customFormat="1" x14ac:dyDescent="0.2">
      <c r="A7654" s="6" t="str">
        <f>"GCGR"</f>
        <v>GCGR</v>
      </c>
      <c r="B7654" s="6">
        <v>0.148851148851148</v>
      </c>
      <c r="C7654" s="6">
        <v>0.341073573286239</v>
      </c>
    </row>
    <row r="7655" spans="1:3" s="8" customFormat="1" x14ac:dyDescent="0.2">
      <c r="A7655" s="6" t="str">
        <f>"SFTA2"</f>
        <v>SFTA2</v>
      </c>
      <c r="B7655" s="6">
        <v>0.148851148851148</v>
      </c>
      <c r="C7655" s="6">
        <v>0.341073573286239</v>
      </c>
    </row>
    <row r="7656" spans="1:3" s="8" customFormat="1" x14ac:dyDescent="0.2">
      <c r="A7656" s="6" t="str">
        <f>"OR1I1"</f>
        <v>OR1I1</v>
      </c>
      <c r="B7656" s="6">
        <v>0.14844533600802401</v>
      </c>
      <c r="C7656" s="6">
        <v>0.341073573286239</v>
      </c>
    </row>
    <row r="7657" spans="1:3" s="8" customFormat="1" x14ac:dyDescent="0.2">
      <c r="A7657" s="6" t="str">
        <f>"AC092933.1"</f>
        <v>AC092933.1</v>
      </c>
      <c r="B7657" s="6">
        <v>0.14860681114551</v>
      </c>
      <c r="C7657" s="6">
        <v>0.341073573286239</v>
      </c>
    </row>
    <row r="7658" spans="1:3" s="8" customFormat="1" x14ac:dyDescent="0.2">
      <c r="A7658" s="6" t="str">
        <f>"CCDC183"</f>
        <v>CCDC183</v>
      </c>
      <c r="B7658" s="6">
        <v>0.148851148851148</v>
      </c>
      <c r="C7658" s="6">
        <v>0.341073573286239</v>
      </c>
    </row>
    <row r="7659" spans="1:3" s="8" customFormat="1" x14ac:dyDescent="0.2">
      <c r="A7659" s="6" t="str">
        <f>"KCNMB3"</f>
        <v>KCNMB3</v>
      </c>
      <c r="B7659" s="6">
        <v>0.148851148851148</v>
      </c>
      <c r="C7659" s="6">
        <v>0.341073573286239</v>
      </c>
    </row>
    <row r="7660" spans="1:3" s="8" customFormat="1" x14ac:dyDescent="0.2">
      <c r="A7660" s="6" t="str">
        <f>"AL136295.7"</f>
        <v>AL136295.7</v>
      </c>
      <c r="B7660" s="6">
        <v>0.148851148851148</v>
      </c>
      <c r="C7660" s="6">
        <v>0.341073573286239</v>
      </c>
    </row>
    <row r="7661" spans="1:3" s="8" customFormat="1" x14ac:dyDescent="0.2">
      <c r="A7661" s="6" t="str">
        <f>"EIF5A2"</f>
        <v>EIF5A2</v>
      </c>
      <c r="B7661" s="6">
        <v>0.148851148851148</v>
      </c>
      <c r="C7661" s="6">
        <v>0.341073573286239</v>
      </c>
    </row>
    <row r="7662" spans="1:3" s="8" customFormat="1" x14ac:dyDescent="0.2">
      <c r="A7662" s="6" t="str">
        <f>"FAM66B"</f>
        <v>FAM66B</v>
      </c>
      <c r="B7662" s="6">
        <v>0.148851148851148</v>
      </c>
      <c r="C7662" s="6">
        <v>0.341073573286239</v>
      </c>
    </row>
    <row r="7663" spans="1:3" s="8" customFormat="1" x14ac:dyDescent="0.2">
      <c r="A7663" s="6" t="str">
        <f>"LINC02875"</f>
        <v>LINC02875</v>
      </c>
      <c r="B7663" s="6">
        <v>0.148851148851148</v>
      </c>
      <c r="C7663" s="6">
        <v>0.341073573286239</v>
      </c>
    </row>
    <row r="7664" spans="1:3" s="8" customFormat="1" x14ac:dyDescent="0.2">
      <c r="A7664" s="6" t="str">
        <f>"POC1A"</f>
        <v>POC1A</v>
      </c>
      <c r="B7664" s="6">
        <v>0.148851148851148</v>
      </c>
      <c r="C7664" s="6">
        <v>0.341073573286239</v>
      </c>
    </row>
    <row r="7665" spans="1:3" s="8" customFormat="1" x14ac:dyDescent="0.2">
      <c r="A7665" s="6" t="str">
        <f>"APBB3"</f>
        <v>APBB3</v>
      </c>
      <c r="B7665" s="6">
        <v>0.148851148851148</v>
      </c>
      <c r="C7665" s="6">
        <v>0.341073573286239</v>
      </c>
    </row>
    <row r="7666" spans="1:3" s="8" customFormat="1" x14ac:dyDescent="0.2">
      <c r="A7666" s="6" t="str">
        <f>"DCDC2"</f>
        <v>DCDC2</v>
      </c>
      <c r="B7666" s="6">
        <v>0.148851148851148</v>
      </c>
      <c r="C7666" s="6">
        <v>0.341073573286239</v>
      </c>
    </row>
    <row r="7667" spans="1:3" s="8" customFormat="1" x14ac:dyDescent="0.2">
      <c r="A7667" s="6" t="str">
        <f>"AC079781.5"</f>
        <v>AC079781.5</v>
      </c>
      <c r="B7667" s="6">
        <v>0.148851148851148</v>
      </c>
      <c r="C7667" s="6">
        <v>0.341073573286239</v>
      </c>
    </row>
    <row r="7668" spans="1:3" s="8" customFormat="1" x14ac:dyDescent="0.2">
      <c r="A7668" s="6" t="str">
        <f>"TEPSIN"</f>
        <v>TEPSIN</v>
      </c>
      <c r="B7668" s="6">
        <v>0.148851148851148</v>
      </c>
      <c r="C7668" s="6">
        <v>0.341073573286239</v>
      </c>
    </row>
    <row r="7669" spans="1:3" s="8" customFormat="1" x14ac:dyDescent="0.2">
      <c r="A7669" s="6" t="str">
        <f>"DPH1"</f>
        <v>DPH1</v>
      </c>
      <c r="B7669" s="6">
        <v>0.148851148851148</v>
      </c>
      <c r="C7669" s="6">
        <v>0.341073573286239</v>
      </c>
    </row>
    <row r="7670" spans="1:3" s="8" customFormat="1" x14ac:dyDescent="0.2">
      <c r="A7670" s="6" t="str">
        <f>"BX255925.3"</f>
        <v>BX255925.3</v>
      </c>
      <c r="B7670" s="6">
        <v>0.148851148851148</v>
      </c>
      <c r="C7670" s="6">
        <v>0.341073573286239</v>
      </c>
    </row>
    <row r="7671" spans="1:3" s="8" customFormat="1" x14ac:dyDescent="0.2">
      <c r="A7671" s="6" t="str">
        <f>"AASDHPPT"</f>
        <v>AASDHPPT</v>
      </c>
      <c r="B7671" s="6">
        <v>0.148851148851148</v>
      </c>
      <c r="C7671" s="6">
        <v>0.341073573286239</v>
      </c>
    </row>
    <row r="7672" spans="1:3" s="8" customFormat="1" x14ac:dyDescent="0.2">
      <c r="A7672" s="6" t="str">
        <f>"ATG16L1"</f>
        <v>ATG16L1</v>
      </c>
      <c r="B7672" s="6">
        <v>0.148851148851148</v>
      </c>
      <c r="C7672" s="6">
        <v>0.341073573286239</v>
      </c>
    </row>
    <row r="7673" spans="1:3" s="8" customFormat="1" x14ac:dyDescent="0.2">
      <c r="A7673" s="6" t="str">
        <f>"PPP1R13B"</f>
        <v>PPP1R13B</v>
      </c>
      <c r="B7673" s="6">
        <v>0.148851148851148</v>
      </c>
      <c r="C7673" s="6">
        <v>0.341073573286239</v>
      </c>
    </row>
    <row r="7674" spans="1:3" s="8" customFormat="1" x14ac:dyDescent="0.2">
      <c r="A7674" s="6" t="str">
        <f>"MPZL2"</f>
        <v>MPZL2</v>
      </c>
      <c r="B7674" s="6">
        <v>0.148851148851148</v>
      </c>
      <c r="C7674" s="6">
        <v>0.341073573286239</v>
      </c>
    </row>
    <row r="7675" spans="1:3" s="8" customFormat="1" x14ac:dyDescent="0.2">
      <c r="A7675" s="6" t="str">
        <f>"SPAG6"</f>
        <v>SPAG6</v>
      </c>
      <c r="B7675" s="6">
        <v>0.148851148851148</v>
      </c>
      <c r="C7675" s="6">
        <v>0.341073573286239</v>
      </c>
    </row>
    <row r="7676" spans="1:3" s="8" customFormat="1" x14ac:dyDescent="0.2">
      <c r="A7676" s="6" t="str">
        <f>"ARHGAP27"</f>
        <v>ARHGAP27</v>
      </c>
      <c r="B7676" s="6">
        <v>0.14899999999999999</v>
      </c>
      <c r="C7676" s="6">
        <v>0.341370162866449</v>
      </c>
    </row>
    <row r="7677" spans="1:3" s="8" customFormat="1" x14ac:dyDescent="0.2">
      <c r="A7677" s="6" t="str">
        <f>"AC016394.2"</f>
        <v>AC016394.2</v>
      </c>
      <c r="B7677" s="6">
        <v>0.14923747276688401</v>
      </c>
      <c r="C7677" s="6">
        <v>0.341869687484744</v>
      </c>
    </row>
    <row r="7678" spans="1:3" s="8" customFormat="1" x14ac:dyDescent="0.2">
      <c r="A7678" s="6" t="str">
        <f>"AF196972.1"</f>
        <v>AF196972.1</v>
      </c>
      <c r="B7678" s="6">
        <v>0.14985014985014899</v>
      </c>
      <c r="C7678" s="6">
        <v>0.34224769904728303</v>
      </c>
    </row>
    <row r="7679" spans="1:3" s="8" customFormat="1" x14ac:dyDescent="0.2">
      <c r="A7679" s="6" t="str">
        <f>"ZFPM2"</f>
        <v>ZFPM2</v>
      </c>
      <c r="B7679" s="6">
        <v>0.14985014985014899</v>
      </c>
      <c r="C7679" s="6">
        <v>0.34224769904728303</v>
      </c>
    </row>
    <row r="7680" spans="1:3" s="8" customFormat="1" x14ac:dyDescent="0.2">
      <c r="A7680" s="6" t="str">
        <f>"FTH1P2"</f>
        <v>FTH1P2</v>
      </c>
      <c r="B7680" s="6">
        <v>0.14985014985014899</v>
      </c>
      <c r="C7680" s="6">
        <v>0.34224769904728303</v>
      </c>
    </row>
    <row r="7681" spans="1:3" s="8" customFormat="1" x14ac:dyDescent="0.2">
      <c r="A7681" s="6" t="str">
        <f>"RORA-AS1"</f>
        <v>RORA-AS1</v>
      </c>
      <c r="B7681" s="6">
        <v>0.14985014985014899</v>
      </c>
      <c r="C7681" s="6">
        <v>0.34224769904728303</v>
      </c>
    </row>
    <row r="7682" spans="1:3" s="8" customFormat="1" x14ac:dyDescent="0.2">
      <c r="A7682" s="6" t="str">
        <f>"LINC01426"</f>
        <v>LINC01426</v>
      </c>
      <c r="B7682" s="6">
        <v>0.14985014985014899</v>
      </c>
      <c r="C7682" s="6">
        <v>0.34224769904728303</v>
      </c>
    </row>
    <row r="7683" spans="1:3" s="8" customFormat="1" x14ac:dyDescent="0.2">
      <c r="A7683" s="6" t="str">
        <f>"LINC01347"</f>
        <v>LINC01347</v>
      </c>
      <c r="B7683" s="6">
        <v>0.14985014985014899</v>
      </c>
      <c r="C7683" s="6">
        <v>0.34224769904728303</v>
      </c>
    </row>
    <row r="7684" spans="1:3" s="8" customFormat="1" x14ac:dyDescent="0.2">
      <c r="A7684" s="6" t="str">
        <f>"ZNF169"</f>
        <v>ZNF169</v>
      </c>
      <c r="B7684" s="6">
        <v>0.14985014985014899</v>
      </c>
      <c r="C7684" s="6">
        <v>0.34224769904728303</v>
      </c>
    </row>
    <row r="7685" spans="1:3" s="8" customFormat="1" x14ac:dyDescent="0.2">
      <c r="A7685" s="6" t="str">
        <f>"MMP13"</f>
        <v>MMP13</v>
      </c>
      <c r="B7685" s="6">
        <v>0.14985014985014899</v>
      </c>
      <c r="C7685" s="6">
        <v>0.34224769904728303</v>
      </c>
    </row>
    <row r="7686" spans="1:3" s="8" customFormat="1" x14ac:dyDescent="0.2">
      <c r="A7686" s="6" t="str">
        <f>"ATP5MF-PTCD1"</f>
        <v>ATP5MF-PTCD1</v>
      </c>
      <c r="B7686" s="6">
        <v>0.14985014985014899</v>
      </c>
      <c r="C7686" s="6">
        <v>0.34224769904728303</v>
      </c>
    </row>
    <row r="7687" spans="1:3" s="8" customFormat="1" x14ac:dyDescent="0.2">
      <c r="A7687" s="6" t="str">
        <f>"FAM133B"</f>
        <v>FAM133B</v>
      </c>
      <c r="B7687" s="6">
        <v>0.14985014985014899</v>
      </c>
      <c r="C7687" s="6">
        <v>0.34224769904728303</v>
      </c>
    </row>
    <row r="7688" spans="1:3" s="8" customFormat="1" x14ac:dyDescent="0.2">
      <c r="A7688" s="6" t="str">
        <f>"SARM1"</f>
        <v>SARM1</v>
      </c>
      <c r="B7688" s="6">
        <v>0.14985014985014899</v>
      </c>
      <c r="C7688" s="6">
        <v>0.34224769904728303</v>
      </c>
    </row>
    <row r="7689" spans="1:3" s="8" customFormat="1" x14ac:dyDescent="0.2">
      <c r="A7689" s="6" t="str">
        <f>"FBXO15"</f>
        <v>FBXO15</v>
      </c>
      <c r="B7689" s="6">
        <v>0.14985014985014899</v>
      </c>
      <c r="C7689" s="6">
        <v>0.34224769904728303</v>
      </c>
    </row>
    <row r="7690" spans="1:3" s="8" customFormat="1" x14ac:dyDescent="0.2">
      <c r="A7690" s="6" t="str">
        <f>"DDX19A"</f>
        <v>DDX19A</v>
      </c>
      <c r="B7690" s="6">
        <v>0.14985014985014899</v>
      </c>
      <c r="C7690" s="6">
        <v>0.34224769904728303</v>
      </c>
    </row>
    <row r="7691" spans="1:3" s="8" customFormat="1" x14ac:dyDescent="0.2">
      <c r="A7691" s="6" t="str">
        <f>"PRKCZ"</f>
        <v>PRKCZ</v>
      </c>
      <c r="B7691" s="6">
        <v>0.14985014985014899</v>
      </c>
      <c r="C7691" s="6">
        <v>0.34224769904728303</v>
      </c>
    </row>
    <row r="7692" spans="1:3" s="8" customFormat="1" x14ac:dyDescent="0.2">
      <c r="A7692" s="6" t="str">
        <f>"RBMS2"</f>
        <v>RBMS2</v>
      </c>
      <c r="B7692" s="6">
        <v>0.14985014985014899</v>
      </c>
      <c r="C7692" s="6">
        <v>0.34224769904728303</v>
      </c>
    </row>
    <row r="7693" spans="1:3" s="8" customFormat="1" x14ac:dyDescent="0.2">
      <c r="A7693" s="6" t="str">
        <f>"KIF1B"</f>
        <v>KIF1B</v>
      </c>
      <c r="B7693" s="6">
        <v>0.14985014985014899</v>
      </c>
      <c r="C7693" s="6">
        <v>0.34224769904728303</v>
      </c>
    </row>
    <row r="7694" spans="1:3" s="8" customFormat="1" x14ac:dyDescent="0.2">
      <c r="A7694" s="6" t="str">
        <f>"MTMR10"</f>
        <v>MTMR10</v>
      </c>
      <c r="B7694" s="6">
        <v>0.14985014985014899</v>
      </c>
      <c r="C7694" s="6">
        <v>0.34224769904728303</v>
      </c>
    </row>
    <row r="7695" spans="1:3" s="8" customFormat="1" x14ac:dyDescent="0.2">
      <c r="A7695" s="6" t="str">
        <f>"C7orf57"</f>
        <v>C7orf57</v>
      </c>
      <c r="B7695" s="6">
        <v>0.14985014985014899</v>
      </c>
      <c r="C7695" s="6">
        <v>0.34224769904728303</v>
      </c>
    </row>
    <row r="7696" spans="1:3" s="8" customFormat="1" x14ac:dyDescent="0.2">
      <c r="A7696" s="6" t="str">
        <f>"TMEM67"</f>
        <v>TMEM67</v>
      </c>
      <c r="B7696" s="6">
        <v>0.14985014985014899</v>
      </c>
      <c r="C7696" s="6">
        <v>0.34224769904728303</v>
      </c>
    </row>
    <row r="7697" spans="1:3" s="8" customFormat="1" x14ac:dyDescent="0.2">
      <c r="A7697" s="6" t="str">
        <f>"ZNF219"</f>
        <v>ZNF219</v>
      </c>
      <c r="B7697" s="6">
        <v>0.14985014985014899</v>
      </c>
      <c r="C7697" s="6">
        <v>0.34224769904728303</v>
      </c>
    </row>
    <row r="7698" spans="1:3" s="8" customFormat="1" x14ac:dyDescent="0.2">
      <c r="A7698" s="6" t="str">
        <f>"C7orf50"</f>
        <v>C7orf50</v>
      </c>
      <c r="B7698" s="6">
        <v>0.14985014985014899</v>
      </c>
      <c r="C7698" s="6">
        <v>0.34224769904728303</v>
      </c>
    </row>
    <row r="7699" spans="1:3" s="8" customFormat="1" x14ac:dyDescent="0.2">
      <c r="A7699" s="6" t="str">
        <f>"TSPO"</f>
        <v>TSPO</v>
      </c>
      <c r="B7699" s="6">
        <v>0.14985014985014899</v>
      </c>
      <c r="C7699" s="6">
        <v>0.34224769904728303</v>
      </c>
    </row>
    <row r="7700" spans="1:3" s="8" customFormat="1" x14ac:dyDescent="0.2">
      <c r="A7700" s="6" t="str">
        <f>"CMTM4"</f>
        <v>CMTM4</v>
      </c>
      <c r="B7700" s="6">
        <v>0.14985014985014899</v>
      </c>
      <c r="C7700" s="6">
        <v>0.34224769904728303</v>
      </c>
    </row>
    <row r="7701" spans="1:3" s="8" customFormat="1" x14ac:dyDescent="0.2">
      <c r="A7701" s="6" t="str">
        <f>"AP003390.1"</f>
        <v>AP003390.1</v>
      </c>
      <c r="B7701" s="6">
        <v>0.15015015015015001</v>
      </c>
      <c r="C7701" s="6">
        <v>0.34288834288834202</v>
      </c>
    </row>
    <row r="7702" spans="1:3" s="8" customFormat="1" x14ac:dyDescent="0.2">
      <c r="A7702" s="6" t="str">
        <f>"AC011447.7"</f>
        <v>AC011447.7</v>
      </c>
      <c r="B7702" s="6">
        <v>0.15020161290322501</v>
      </c>
      <c r="C7702" s="6">
        <v>0.34296132467086299</v>
      </c>
    </row>
    <row r="7703" spans="1:3" s="8" customFormat="1" x14ac:dyDescent="0.2">
      <c r="A7703" s="6" t="str">
        <f>"GSTM5"</f>
        <v>GSTM5</v>
      </c>
      <c r="B7703" s="6">
        <v>0.15084915084914999</v>
      </c>
      <c r="C7703" s="6">
        <v>0.343414224304954</v>
      </c>
    </row>
    <row r="7704" spans="1:3" s="8" customFormat="1" x14ac:dyDescent="0.2">
      <c r="A7704" s="6" t="str">
        <f>"UPK3A"</f>
        <v>UPK3A</v>
      </c>
      <c r="B7704" s="6">
        <v>0.15084915084914999</v>
      </c>
      <c r="C7704" s="6">
        <v>0.343414224304954</v>
      </c>
    </row>
    <row r="7705" spans="1:3" s="8" customFormat="1" x14ac:dyDescent="0.2">
      <c r="A7705" s="6" t="str">
        <f>"EHD4-AS1"</f>
        <v>EHD4-AS1</v>
      </c>
      <c r="B7705" s="6">
        <v>0.15084915084914999</v>
      </c>
      <c r="C7705" s="6">
        <v>0.343414224304954</v>
      </c>
    </row>
    <row r="7706" spans="1:3" s="8" customFormat="1" x14ac:dyDescent="0.2">
      <c r="A7706" s="6" t="str">
        <f>"AC092903.2"</f>
        <v>AC092903.2</v>
      </c>
      <c r="B7706" s="6">
        <v>0.15084915084914999</v>
      </c>
      <c r="C7706" s="6">
        <v>0.343414224304954</v>
      </c>
    </row>
    <row r="7707" spans="1:3" s="8" customFormat="1" x14ac:dyDescent="0.2">
      <c r="A7707" s="6" t="str">
        <f>"AC079145.1"</f>
        <v>AC079145.1</v>
      </c>
      <c r="B7707" s="6">
        <v>0.15084915084914999</v>
      </c>
      <c r="C7707" s="6">
        <v>0.343414224304954</v>
      </c>
    </row>
    <row r="7708" spans="1:3" s="8" customFormat="1" x14ac:dyDescent="0.2">
      <c r="A7708" s="6" t="str">
        <f>"Z99496.1"</f>
        <v>Z99496.1</v>
      </c>
      <c r="B7708" s="6">
        <v>0.15084915084914999</v>
      </c>
      <c r="C7708" s="6">
        <v>0.343414224304954</v>
      </c>
    </row>
    <row r="7709" spans="1:3" s="8" customFormat="1" x14ac:dyDescent="0.2">
      <c r="A7709" s="6" t="str">
        <f>"NLRC3"</f>
        <v>NLRC3</v>
      </c>
      <c r="B7709" s="6">
        <v>0.15084915084914999</v>
      </c>
      <c r="C7709" s="6">
        <v>0.343414224304954</v>
      </c>
    </row>
    <row r="7710" spans="1:3" s="8" customFormat="1" x14ac:dyDescent="0.2">
      <c r="A7710" s="6" t="str">
        <f>"LINC00885"</f>
        <v>LINC00885</v>
      </c>
      <c r="B7710" s="6">
        <v>0.15084915084914999</v>
      </c>
      <c r="C7710" s="6">
        <v>0.343414224304954</v>
      </c>
    </row>
    <row r="7711" spans="1:3" s="8" customFormat="1" x14ac:dyDescent="0.2">
      <c r="A7711" s="6" t="str">
        <f>"LAT"</f>
        <v>LAT</v>
      </c>
      <c r="B7711" s="6">
        <v>0.15084915084914999</v>
      </c>
      <c r="C7711" s="6">
        <v>0.343414224304954</v>
      </c>
    </row>
    <row r="7712" spans="1:3" s="8" customFormat="1" x14ac:dyDescent="0.2">
      <c r="A7712" s="6" t="str">
        <f>"ZNF225"</f>
        <v>ZNF225</v>
      </c>
      <c r="B7712" s="6">
        <v>0.15084915084914999</v>
      </c>
      <c r="C7712" s="6">
        <v>0.343414224304954</v>
      </c>
    </row>
    <row r="7713" spans="1:3" s="8" customFormat="1" x14ac:dyDescent="0.2">
      <c r="A7713" s="6" t="str">
        <f>"TTC23L"</f>
        <v>TTC23L</v>
      </c>
      <c r="B7713" s="6">
        <v>0.15084915084914999</v>
      </c>
      <c r="C7713" s="6">
        <v>0.343414224304954</v>
      </c>
    </row>
    <row r="7714" spans="1:3" s="8" customFormat="1" x14ac:dyDescent="0.2">
      <c r="A7714" s="6" t="str">
        <f>"ABCA4"</f>
        <v>ABCA4</v>
      </c>
      <c r="B7714" s="6">
        <v>0.15084915084914999</v>
      </c>
      <c r="C7714" s="6">
        <v>0.343414224304954</v>
      </c>
    </row>
    <row r="7715" spans="1:3" s="8" customFormat="1" x14ac:dyDescent="0.2">
      <c r="A7715" s="6" t="str">
        <f>"RTL5"</f>
        <v>RTL5</v>
      </c>
      <c r="B7715" s="6">
        <v>0.15084915084914999</v>
      </c>
      <c r="C7715" s="6">
        <v>0.343414224304954</v>
      </c>
    </row>
    <row r="7716" spans="1:3" s="8" customFormat="1" x14ac:dyDescent="0.2">
      <c r="A7716" s="6" t="str">
        <f>"HDDC3"</f>
        <v>HDDC3</v>
      </c>
      <c r="B7716" s="6">
        <v>0.15084915084914999</v>
      </c>
      <c r="C7716" s="6">
        <v>0.343414224304954</v>
      </c>
    </row>
    <row r="7717" spans="1:3" s="8" customFormat="1" x14ac:dyDescent="0.2">
      <c r="A7717" s="6" t="str">
        <f>"ETHE1"</f>
        <v>ETHE1</v>
      </c>
      <c r="B7717" s="6">
        <v>0.15084915084914999</v>
      </c>
      <c r="C7717" s="6">
        <v>0.343414224304954</v>
      </c>
    </row>
    <row r="7718" spans="1:3" s="8" customFormat="1" x14ac:dyDescent="0.2">
      <c r="A7718" s="6" t="str">
        <f>"PDE4D"</f>
        <v>PDE4D</v>
      </c>
      <c r="B7718" s="6">
        <v>0.15084915084914999</v>
      </c>
      <c r="C7718" s="6">
        <v>0.343414224304954</v>
      </c>
    </row>
    <row r="7719" spans="1:3" s="8" customFormat="1" x14ac:dyDescent="0.2">
      <c r="A7719" s="6" t="str">
        <f>"ANKRD10"</f>
        <v>ANKRD10</v>
      </c>
      <c r="B7719" s="6">
        <v>0.15084915084914999</v>
      </c>
      <c r="C7719" s="6">
        <v>0.343414224304954</v>
      </c>
    </row>
    <row r="7720" spans="1:3" s="8" customFormat="1" x14ac:dyDescent="0.2">
      <c r="A7720" s="6" t="str">
        <f>"NEURL4"</f>
        <v>NEURL4</v>
      </c>
      <c r="B7720" s="6">
        <v>0.15084915084914999</v>
      </c>
      <c r="C7720" s="6">
        <v>0.343414224304954</v>
      </c>
    </row>
    <row r="7721" spans="1:3" s="8" customFormat="1" x14ac:dyDescent="0.2">
      <c r="A7721" s="6" t="str">
        <f>"TCEANC2"</f>
        <v>TCEANC2</v>
      </c>
      <c r="B7721" s="6">
        <v>0.15084915084914999</v>
      </c>
      <c r="C7721" s="6">
        <v>0.343414224304954</v>
      </c>
    </row>
    <row r="7722" spans="1:3" s="8" customFormat="1" x14ac:dyDescent="0.2">
      <c r="A7722" s="6" t="str">
        <f>"SEMA4C"</f>
        <v>SEMA4C</v>
      </c>
      <c r="B7722" s="6">
        <v>0.15084915084914999</v>
      </c>
      <c r="C7722" s="6">
        <v>0.343414224304954</v>
      </c>
    </row>
    <row r="7723" spans="1:3" s="8" customFormat="1" x14ac:dyDescent="0.2">
      <c r="A7723" s="6" t="str">
        <f>"KMT2B"</f>
        <v>KMT2B</v>
      </c>
      <c r="B7723" s="6">
        <v>0.15084915084914999</v>
      </c>
      <c r="C7723" s="6">
        <v>0.343414224304954</v>
      </c>
    </row>
    <row r="7724" spans="1:3" s="8" customFormat="1" x14ac:dyDescent="0.2">
      <c r="A7724" s="6" t="str">
        <f>"TAB3"</f>
        <v>TAB3</v>
      </c>
      <c r="B7724" s="6">
        <v>0.15084915084914999</v>
      </c>
      <c r="C7724" s="6">
        <v>0.343414224304954</v>
      </c>
    </row>
    <row r="7725" spans="1:3" s="8" customFormat="1" x14ac:dyDescent="0.2">
      <c r="A7725" s="6" t="str">
        <f>"PRDX1"</f>
        <v>PRDX1</v>
      </c>
      <c r="B7725" s="6">
        <v>0.15084915084914999</v>
      </c>
      <c r="C7725" s="6">
        <v>0.343414224304954</v>
      </c>
    </row>
    <row r="7726" spans="1:3" s="8" customFormat="1" x14ac:dyDescent="0.2">
      <c r="A7726" s="6" t="str">
        <f>"AC003965.1"</f>
        <v>AC003965.1</v>
      </c>
      <c r="B7726" s="6">
        <v>0.15115115115115099</v>
      </c>
      <c r="C7726" s="6">
        <v>0.34405719635493098</v>
      </c>
    </row>
    <row r="7727" spans="1:3" s="8" customFormat="1" x14ac:dyDescent="0.2">
      <c r="A7727" s="6" t="str">
        <f>"AC092506.1"</f>
        <v>AC092506.1</v>
      </c>
      <c r="B7727" s="6">
        <v>0.15184815184815101</v>
      </c>
      <c r="C7727" s="6">
        <v>0.34470667468343602</v>
      </c>
    </row>
    <row r="7728" spans="1:3" s="8" customFormat="1" x14ac:dyDescent="0.2">
      <c r="A7728" s="6" t="str">
        <f>"CCER2"</f>
        <v>CCER2</v>
      </c>
      <c r="B7728" s="6">
        <v>0.15184815184815101</v>
      </c>
      <c r="C7728" s="6">
        <v>0.34470667468343602</v>
      </c>
    </row>
    <row r="7729" spans="1:3" s="8" customFormat="1" x14ac:dyDescent="0.2">
      <c r="A7729" s="6" t="str">
        <f>"AL359764.2"</f>
        <v>AL359764.2</v>
      </c>
      <c r="B7729" s="6">
        <v>0.15184815184815101</v>
      </c>
      <c r="C7729" s="6">
        <v>0.34470667468343602</v>
      </c>
    </row>
    <row r="7730" spans="1:3" s="8" customFormat="1" x14ac:dyDescent="0.2">
      <c r="A7730" s="6" t="str">
        <f>"AC092807.3"</f>
        <v>AC092807.3</v>
      </c>
      <c r="B7730" s="6">
        <v>0.15184815184815101</v>
      </c>
      <c r="C7730" s="6">
        <v>0.34470667468343602</v>
      </c>
    </row>
    <row r="7731" spans="1:3" s="8" customFormat="1" x14ac:dyDescent="0.2">
      <c r="A7731" s="6" t="str">
        <f>"AL356108.1"</f>
        <v>AL356108.1</v>
      </c>
      <c r="B7731" s="6">
        <v>0.151483050847457</v>
      </c>
      <c r="C7731" s="6">
        <v>0.34470667468343602</v>
      </c>
    </row>
    <row r="7732" spans="1:3" s="8" customFormat="1" x14ac:dyDescent="0.2">
      <c r="A7732" s="6" t="str">
        <f>"SGCE"</f>
        <v>SGCE</v>
      </c>
      <c r="B7732" s="6">
        <v>0.15184815184815101</v>
      </c>
      <c r="C7732" s="6">
        <v>0.34470667468343602</v>
      </c>
    </row>
    <row r="7733" spans="1:3" s="8" customFormat="1" x14ac:dyDescent="0.2">
      <c r="A7733" s="6" t="str">
        <f>"AC004233.4"</f>
        <v>AC004233.4</v>
      </c>
      <c r="B7733" s="6">
        <v>0.15184815184815101</v>
      </c>
      <c r="C7733" s="6">
        <v>0.34470667468343602</v>
      </c>
    </row>
    <row r="7734" spans="1:3" s="8" customFormat="1" x14ac:dyDescent="0.2">
      <c r="A7734" s="6" t="str">
        <f>"BEX5"</f>
        <v>BEX5</v>
      </c>
      <c r="B7734" s="6">
        <v>0.15184815184815101</v>
      </c>
      <c r="C7734" s="6">
        <v>0.34470667468343602</v>
      </c>
    </row>
    <row r="7735" spans="1:3" s="8" customFormat="1" x14ac:dyDescent="0.2">
      <c r="A7735" s="6" t="str">
        <f>"FGD1"</f>
        <v>FGD1</v>
      </c>
      <c r="B7735" s="6">
        <v>0.15184815184815101</v>
      </c>
      <c r="C7735" s="6">
        <v>0.34470667468343602</v>
      </c>
    </row>
    <row r="7736" spans="1:3" s="8" customFormat="1" x14ac:dyDescent="0.2">
      <c r="A7736" s="6" t="str">
        <f>"GAS6-AS1"</f>
        <v>GAS6-AS1</v>
      </c>
      <c r="B7736" s="6">
        <v>0.15184815184815101</v>
      </c>
      <c r="C7736" s="6">
        <v>0.34470667468343602</v>
      </c>
    </row>
    <row r="7737" spans="1:3" s="8" customFormat="1" x14ac:dyDescent="0.2">
      <c r="A7737" s="6" t="str">
        <f>"GOLGA8O"</f>
        <v>GOLGA8O</v>
      </c>
      <c r="B7737" s="6">
        <v>0.15184815184815101</v>
      </c>
      <c r="C7737" s="6">
        <v>0.34470667468343602</v>
      </c>
    </row>
    <row r="7738" spans="1:3" s="8" customFormat="1" x14ac:dyDescent="0.2">
      <c r="A7738" s="6" t="str">
        <f>"SLC35G1"</f>
        <v>SLC35G1</v>
      </c>
      <c r="B7738" s="6">
        <v>0.15184815184815101</v>
      </c>
      <c r="C7738" s="6">
        <v>0.34470667468343602</v>
      </c>
    </row>
    <row r="7739" spans="1:3" s="8" customFormat="1" x14ac:dyDescent="0.2">
      <c r="A7739" s="6" t="str">
        <f>"XPC-AS1"</f>
        <v>XPC-AS1</v>
      </c>
      <c r="B7739" s="6">
        <v>0.15184815184815101</v>
      </c>
      <c r="C7739" s="6">
        <v>0.34470667468343602</v>
      </c>
    </row>
    <row r="7740" spans="1:3" s="8" customFormat="1" x14ac:dyDescent="0.2">
      <c r="A7740" s="6" t="str">
        <f>"RTL8C"</f>
        <v>RTL8C</v>
      </c>
      <c r="B7740" s="6">
        <v>0.15184815184815101</v>
      </c>
      <c r="C7740" s="6">
        <v>0.34470667468343602</v>
      </c>
    </row>
    <row r="7741" spans="1:3" s="8" customFormat="1" x14ac:dyDescent="0.2">
      <c r="A7741" s="6" t="str">
        <f>"MANBA"</f>
        <v>MANBA</v>
      </c>
      <c r="B7741" s="6">
        <v>0.15184815184815101</v>
      </c>
      <c r="C7741" s="6">
        <v>0.34470667468343602</v>
      </c>
    </row>
    <row r="7742" spans="1:3" s="8" customFormat="1" x14ac:dyDescent="0.2">
      <c r="A7742" s="6" t="str">
        <f>"MRAP2"</f>
        <v>MRAP2</v>
      </c>
      <c r="B7742" s="6">
        <v>0.15184815184815101</v>
      </c>
      <c r="C7742" s="6">
        <v>0.34470667468343602</v>
      </c>
    </row>
    <row r="7743" spans="1:3" s="8" customFormat="1" x14ac:dyDescent="0.2">
      <c r="A7743" s="6" t="str">
        <f>"CIDEB"</f>
        <v>CIDEB</v>
      </c>
      <c r="B7743" s="6">
        <v>0.15184815184815101</v>
      </c>
      <c r="C7743" s="6">
        <v>0.34470667468343602</v>
      </c>
    </row>
    <row r="7744" spans="1:3" s="8" customFormat="1" x14ac:dyDescent="0.2">
      <c r="A7744" s="6" t="str">
        <f>"LINC00511"</f>
        <v>LINC00511</v>
      </c>
      <c r="B7744" s="6">
        <v>0.15184815184815101</v>
      </c>
      <c r="C7744" s="6">
        <v>0.34470667468343602</v>
      </c>
    </row>
    <row r="7745" spans="1:3" s="8" customFormat="1" x14ac:dyDescent="0.2">
      <c r="A7745" s="6" t="str">
        <f>"HIP1R"</f>
        <v>HIP1R</v>
      </c>
      <c r="B7745" s="6">
        <v>0.15184815184815101</v>
      </c>
      <c r="C7745" s="6">
        <v>0.34470667468343602</v>
      </c>
    </row>
    <row r="7746" spans="1:3" s="8" customFormat="1" x14ac:dyDescent="0.2">
      <c r="A7746" s="6" t="str">
        <f>"SUPT6H"</f>
        <v>SUPT6H</v>
      </c>
      <c r="B7746" s="6">
        <v>0.15184815184815101</v>
      </c>
      <c r="C7746" s="6">
        <v>0.34470667468343602</v>
      </c>
    </row>
    <row r="7747" spans="1:3" s="8" customFormat="1" x14ac:dyDescent="0.2">
      <c r="A7747" s="6" t="str">
        <f>"TSPAN6"</f>
        <v>TSPAN6</v>
      </c>
      <c r="B7747" s="6">
        <v>0.15184815184815101</v>
      </c>
      <c r="C7747" s="6">
        <v>0.34470667468343602</v>
      </c>
    </row>
    <row r="7748" spans="1:3" s="8" customFormat="1" x14ac:dyDescent="0.2">
      <c r="A7748" s="6" t="str">
        <f>"KIR2DL4"</f>
        <v>KIR2DL4</v>
      </c>
      <c r="B7748" s="6">
        <v>0.152847152847152</v>
      </c>
      <c r="C7748" s="6">
        <v>0.34599180428222598</v>
      </c>
    </row>
    <row r="7749" spans="1:3" s="8" customFormat="1" x14ac:dyDescent="0.2">
      <c r="A7749" s="6" t="str">
        <f>"AC012313.3"</f>
        <v>AC012313.3</v>
      </c>
      <c r="B7749" s="6">
        <v>0.152847152847152</v>
      </c>
      <c r="C7749" s="6">
        <v>0.34599180428222598</v>
      </c>
    </row>
    <row r="7750" spans="1:3" s="8" customFormat="1" x14ac:dyDescent="0.2">
      <c r="A7750" s="6" t="str">
        <f>"AC010655.4"</f>
        <v>AC010655.4</v>
      </c>
      <c r="B7750" s="6">
        <v>0.152847152847152</v>
      </c>
      <c r="C7750" s="6">
        <v>0.34599180428222598</v>
      </c>
    </row>
    <row r="7751" spans="1:3" s="8" customFormat="1" x14ac:dyDescent="0.2">
      <c r="A7751" s="6" t="str">
        <f>"AP002954.2"</f>
        <v>AP002954.2</v>
      </c>
      <c r="B7751" s="6">
        <v>0.152847152847152</v>
      </c>
      <c r="C7751" s="6">
        <v>0.34599180428222598</v>
      </c>
    </row>
    <row r="7752" spans="1:3" s="8" customFormat="1" x14ac:dyDescent="0.2">
      <c r="A7752" s="6" t="str">
        <f>"AC005304.2"</f>
        <v>AC005304.2</v>
      </c>
      <c r="B7752" s="6">
        <v>0.152847152847152</v>
      </c>
      <c r="C7752" s="6">
        <v>0.34599180428222598</v>
      </c>
    </row>
    <row r="7753" spans="1:3" s="8" customFormat="1" x14ac:dyDescent="0.2">
      <c r="A7753" s="6" t="str">
        <f>"AC087741.1"</f>
        <v>AC087741.1</v>
      </c>
      <c r="B7753" s="6">
        <v>0.152847152847152</v>
      </c>
      <c r="C7753" s="6">
        <v>0.34599180428222598</v>
      </c>
    </row>
    <row r="7754" spans="1:3" s="8" customFormat="1" x14ac:dyDescent="0.2">
      <c r="A7754" s="6" t="str">
        <f>"LRRC37B"</f>
        <v>LRRC37B</v>
      </c>
      <c r="B7754" s="6">
        <v>0.152847152847152</v>
      </c>
      <c r="C7754" s="6">
        <v>0.34599180428222598</v>
      </c>
    </row>
    <row r="7755" spans="1:3" s="8" customFormat="1" x14ac:dyDescent="0.2">
      <c r="A7755" s="6" t="str">
        <f>"SPN"</f>
        <v>SPN</v>
      </c>
      <c r="B7755" s="6">
        <v>0.152847152847152</v>
      </c>
      <c r="C7755" s="6">
        <v>0.34599180428222598</v>
      </c>
    </row>
    <row r="7756" spans="1:3" s="8" customFormat="1" x14ac:dyDescent="0.2">
      <c r="A7756" s="6" t="str">
        <f>"ITGB3BP"</f>
        <v>ITGB3BP</v>
      </c>
      <c r="B7756" s="6">
        <v>0.152847152847152</v>
      </c>
      <c r="C7756" s="6">
        <v>0.34599180428222598</v>
      </c>
    </row>
    <row r="7757" spans="1:3" s="8" customFormat="1" x14ac:dyDescent="0.2">
      <c r="A7757" s="6" t="str">
        <f>"HSD3B7"</f>
        <v>HSD3B7</v>
      </c>
      <c r="B7757" s="6">
        <v>0.152847152847152</v>
      </c>
      <c r="C7757" s="6">
        <v>0.34599180428222598</v>
      </c>
    </row>
    <row r="7758" spans="1:3" s="8" customFormat="1" x14ac:dyDescent="0.2">
      <c r="A7758" s="6" t="str">
        <f>"C12orf76"</f>
        <v>C12orf76</v>
      </c>
      <c r="B7758" s="6">
        <v>0.152847152847152</v>
      </c>
      <c r="C7758" s="6">
        <v>0.34599180428222598</v>
      </c>
    </row>
    <row r="7759" spans="1:3" s="8" customFormat="1" x14ac:dyDescent="0.2">
      <c r="A7759" s="6" t="str">
        <f>"ZNF558"</f>
        <v>ZNF558</v>
      </c>
      <c r="B7759" s="6">
        <v>0.152847152847152</v>
      </c>
      <c r="C7759" s="6">
        <v>0.34599180428222598</v>
      </c>
    </row>
    <row r="7760" spans="1:3" s="8" customFormat="1" x14ac:dyDescent="0.2">
      <c r="A7760" s="6" t="str">
        <f>"SETDB2"</f>
        <v>SETDB2</v>
      </c>
      <c r="B7760" s="6">
        <v>0.152847152847152</v>
      </c>
      <c r="C7760" s="6">
        <v>0.34599180428222598</v>
      </c>
    </row>
    <row r="7761" spans="1:3" s="8" customFormat="1" x14ac:dyDescent="0.2">
      <c r="A7761" s="6" t="str">
        <f>"CEP43"</f>
        <v>CEP43</v>
      </c>
      <c r="B7761" s="6">
        <v>0.152847152847152</v>
      </c>
      <c r="C7761" s="6">
        <v>0.34599180428222598</v>
      </c>
    </row>
    <row r="7762" spans="1:3" s="8" customFormat="1" x14ac:dyDescent="0.2">
      <c r="A7762" s="6" t="str">
        <f>"SDAD1"</f>
        <v>SDAD1</v>
      </c>
      <c r="B7762" s="6">
        <v>0.152847152847152</v>
      </c>
      <c r="C7762" s="6">
        <v>0.34599180428222598</v>
      </c>
    </row>
    <row r="7763" spans="1:3" s="8" customFormat="1" x14ac:dyDescent="0.2">
      <c r="A7763" s="6" t="str">
        <f>"CFAP61"</f>
        <v>CFAP61</v>
      </c>
      <c r="B7763" s="6">
        <v>0.152847152847152</v>
      </c>
      <c r="C7763" s="6">
        <v>0.34599180428222598</v>
      </c>
    </row>
    <row r="7764" spans="1:3" s="8" customFormat="1" x14ac:dyDescent="0.2">
      <c r="A7764" s="6" t="str">
        <f>"TCERG1"</f>
        <v>TCERG1</v>
      </c>
      <c r="B7764" s="6">
        <v>0.152847152847152</v>
      </c>
      <c r="C7764" s="6">
        <v>0.34599180428222598</v>
      </c>
    </row>
    <row r="7765" spans="1:3" s="8" customFormat="1" x14ac:dyDescent="0.2">
      <c r="A7765" s="6" t="str">
        <f>"PEX6"</f>
        <v>PEX6</v>
      </c>
      <c r="B7765" s="6">
        <v>0.152847152847152</v>
      </c>
      <c r="C7765" s="6">
        <v>0.34599180428222598</v>
      </c>
    </row>
    <row r="7766" spans="1:3" s="8" customFormat="1" x14ac:dyDescent="0.2">
      <c r="A7766" s="6" t="str">
        <f>"GFM1"</f>
        <v>GFM1</v>
      </c>
      <c r="B7766" s="6">
        <v>0.152847152847152</v>
      </c>
      <c r="C7766" s="6">
        <v>0.34599180428222598</v>
      </c>
    </row>
    <row r="7767" spans="1:3" s="8" customFormat="1" x14ac:dyDescent="0.2">
      <c r="A7767" s="6" t="str">
        <f>"CAPN7"</f>
        <v>CAPN7</v>
      </c>
      <c r="B7767" s="6">
        <v>0.152847152847152</v>
      </c>
      <c r="C7767" s="6">
        <v>0.34599180428222598</v>
      </c>
    </row>
    <row r="7768" spans="1:3" s="8" customFormat="1" x14ac:dyDescent="0.2">
      <c r="A7768" s="6" t="str">
        <f>"NCOA1"</f>
        <v>NCOA1</v>
      </c>
      <c r="B7768" s="6">
        <v>0.152847152847152</v>
      </c>
      <c r="C7768" s="6">
        <v>0.34599180428222598</v>
      </c>
    </row>
    <row r="7769" spans="1:3" s="8" customFormat="1" x14ac:dyDescent="0.2">
      <c r="A7769" s="6" t="str">
        <f>"SUN2"</f>
        <v>SUN2</v>
      </c>
      <c r="B7769" s="6">
        <v>0.152847152847152</v>
      </c>
      <c r="C7769" s="6">
        <v>0.34599180428222598</v>
      </c>
    </row>
    <row r="7770" spans="1:3" s="8" customFormat="1" x14ac:dyDescent="0.2">
      <c r="A7770" s="6" t="str">
        <f>"AC009063.2"</f>
        <v>AC009063.2</v>
      </c>
      <c r="B7770" s="6">
        <v>0.153</v>
      </c>
      <c r="C7770" s="6">
        <v>0.34629321663019602</v>
      </c>
    </row>
    <row r="7771" spans="1:3" s="8" customFormat="1" x14ac:dyDescent="0.2">
      <c r="A7771" s="6" t="str">
        <f>"IGKV3-11"</f>
        <v>IGKV3-11</v>
      </c>
      <c r="B7771" s="6">
        <v>0.15384615384615299</v>
      </c>
      <c r="C7771" s="6">
        <v>0.34695790294097301</v>
      </c>
    </row>
    <row r="7772" spans="1:3" s="8" customFormat="1" x14ac:dyDescent="0.2">
      <c r="A7772" s="6" t="str">
        <f>"PTPRN2-AS1"</f>
        <v>PTPRN2-AS1</v>
      </c>
      <c r="B7772" s="6">
        <v>0.15384615384615299</v>
      </c>
      <c r="C7772" s="6">
        <v>0.34695790294097301</v>
      </c>
    </row>
    <row r="7773" spans="1:3" s="8" customFormat="1" x14ac:dyDescent="0.2">
      <c r="A7773" s="6" t="str">
        <f>"AC080188.2"</f>
        <v>AC080188.2</v>
      </c>
      <c r="B7773" s="6">
        <v>0.15384615384615299</v>
      </c>
      <c r="C7773" s="6">
        <v>0.34695790294097301</v>
      </c>
    </row>
    <row r="7774" spans="1:3" s="8" customFormat="1" x14ac:dyDescent="0.2">
      <c r="A7774" s="6" t="str">
        <f>"AL591043.2"</f>
        <v>AL591043.2</v>
      </c>
      <c r="B7774" s="6">
        <v>0.15384615384615299</v>
      </c>
      <c r="C7774" s="6">
        <v>0.34695790294097301</v>
      </c>
    </row>
    <row r="7775" spans="1:3" s="8" customFormat="1" x14ac:dyDescent="0.2">
      <c r="A7775" s="6" t="str">
        <f>"AC005082.1"</f>
        <v>AC005082.1</v>
      </c>
      <c r="B7775" s="6">
        <v>0.15384615384615299</v>
      </c>
      <c r="C7775" s="6">
        <v>0.34695790294097301</v>
      </c>
    </row>
    <row r="7776" spans="1:3" s="8" customFormat="1" x14ac:dyDescent="0.2">
      <c r="A7776" s="6" t="str">
        <f>"HDAC2-AS2"</f>
        <v>HDAC2-AS2</v>
      </c>
      <c r="B7776" s="6">
        <v>0.15384615384615299</v>
      </c>
      <c r="C7776" s="6">
        <v>0.34695790294097301</v>
      </c>
    </row>
    <row r="7777" spans="1:3" s="8" customFormat="1" x14ac:dyDescent="0.2">
      <c r="A7777" s="6" t="str">
        <f>"SGPP1"</f>
        <v>SGPP1</v>
      </c>
      <c r="B7777" s="6">
        <v>0.15384615384615299</v>
      </c>
      <c r="C7777" s="6">
        <v>0.34695790294097301</v>
      </c>
    </row>
    <row r="7778" spans="1:3" s="8" customFormat="1" x14ac:dyDescent="0.2">
      <c r="A7778" s="6" t="str">
        <f>"HERC2P7"</f>
        <v>HERC2P7</v>
      </c>
      <c r="B7778" s="6">
        <v>0.15384615384615299</v>
      </c>
      <c r="C7778" s="6">
        <v>0.34695790294097301</v>
      </c>
    </row>
    <row r="7779" spans="1:3" s="8" customFormat="1" x14ac:dyDescent="0.2">
      <c r="A7779" s="6" t="str">
        <f>"KIF4A"</f>
        <v>KIF4A</v>
      </c>
      <c r="B7779" s="6">
        <v>0.15384615384615299</v>
      </c>
      <c r="C7779" s="6">
        <v>0.34695790294097301</v>
      </c>
    </row>
    <row r="7780" spans="1:3" s="8" customFormat="1" x14ac:dyDescent="0.2">
      <c r="A7780" s="6" t="str">
        <f>"FGF13"</f>
        <v>FGF13</v>
      </c>
      <c r="B7780" s="6">
        <v>0.15384615384615299</v>
      </c>
      <c r="C7780" s="6">
        <v>0.34695790294097301</v>
      </c>
    </row>
    <row r="7781" spans="1:3" s="8" customFormat="1" x14ac:dyDescent="0.2">
      <c r="A7781" s="6" t="str">
        <f>"ZNF10"</f>
        <v>ZNF10</v>
      </c>
      <c r="B7781" s="6">
        <v>0.15384615384615299</v>
      </c>
      <c r="C7781" s="6">
        <v>0.34695790294097301</v>
      </c>
    </row>
    <row r="7782" spans="1:3" s="8" customFormat="1" x14ac:dyDescent="0.2">
      <c r="A7782" s="6" t="str">
        <f>"TONSL"</f>
        <v>TONSL</v>
      </c>
      <c r="B7782" s="6">
        <v>0.15384615384615299</v>
      </c>
      <c r="C7782" s="6">
        <v>0.34695790294097301</v>
      </c>
    </row>
    <row r="7783" spans="1:3" s="8" customFormat="1" x14ac:dyDescent="0.2">
      <c r="A7783" s="6" t="str">
        <f>"SDS"</f>
        <v>SDS</v>
      </c>
      <c r="B7783" s="6">
        <v>0.15384615384615299</v>
      </c>
      <c r="C7783" s="6">
        <v>0.34695790294097301</v>
      </c>
    </row>
    <row r="7784" spans="1:3" s="8" customFormat="1" x14ac:dyDescent="0.2">
      <c r="A7784" s="6" t="str">
        <f>"TRMT11"</f>
        <v>TRMT11</v>
      </c>
      <c r="B7784" s="6">
        <v>0.15384615384615299</v>
      </c>
      <c r="C7784" s="6">
        <v>0.34695790294097301</v>
      </c>
    </row>
    <row r="7785" spans="1:3" s="8" customFormat="1" x14ac:dyDescent="0.2">
      <c r="A7785" s="6" t="str">
        <f>"NIPAL1"</f>
        <v>NIPAL1</v>
      </c>
      <c r="B7785" s="6">
        <v>0.15384615384615299</v>
      </c>
      <c r="C7785" s="6">
        <v>0.34695790294097301</v>
      </c>
    </row>
    <row r="7786" spans="1:3" s="8" customFormat="1" x14ac:dyDescent="0.2">
      <c r="A7786" s="6" t="str">
        <f>"CD6"</f>
        <v>CD6</v>
      </c>
      <c r="B7786" s="6">
        <v>0.15384615384615299</v>
      </c>
      <c r="C7786" s="6">
        <v>0.34695790294097301</v>
      </c>
    </row>
    <row r="7787" spans="1:3" s="8" customFormat="1" x14ac:dyDescent="0.2">
      <c r="A7787" s="6" t="str">
        <f>"POLR1E"</f>
        <v>POLR1E</v>
      </c>
      <c r="B7787" s="6">
        <v>0.15384615384615299</v>
      </c>
      <c r="C7787" s="6">
        <v>0.34695790294097301</v>
      </c>
    </row>
    <row r="7788" spans="1:3" s="8" customFormat="1" x14ac:dyDescent="0.2">
      <c r="A7788" s="6" t="str">
        <f>"LIPE"</f>
        <v>LIPE</v>
      </c>
      <c r="B7788" s="6">
        <v>0.15384615384615299</v>
      </c>
      <c r="C7788" s="6">
        <v>0.34695790294097301</v>
      </c>
    </row>
    <row r="7789" spans="1:3" s="8" customFormat="1" x14ac:dyDescent="0.2">
      <c r="A7789" s="6" t="str">
        <f>"SLIT1"</f>
        <v>SLIT1</v>
      </c>
      <c r="B7789" s="6">
        <v>0.15384615384615299</v>
      </c>
      <c r="C7789" s="6">
        <v>0.34695790294097301</v>
      </c>
    </row>
    <row r="7790" spans="1:3" s="8" customFormat="1" x14ac:dyDescent="0.2">
      <c r="A7790" s="6" t="str">
        <f>"GPR160"</f>
        <v>GPR160</v>
      </c>
      <c r="B7790" s="6">
        <v>0.15384615384615299</v>
      </c>
      <c r="C7790" s="6">
        <v>0.34695790294097301</v>
      </c>
    </row>
    <row r="7791" spans="1:3" s="8" customFormat="1" x14ac:dyDescent="0.2">
      <c r="A7791" s="6" t="str">
        <f>"SMPDL3A"</f>
        <v>SMPDL3A</v>
      </c>
      <c r="B7791" s="6">
        <v>0.15384615384615299</v>
      </c>
      <c r="C7791" s="6">
        <v>0.34695790294097301</v>
      </c>
    </row>
    <row r="7792" spans="1:3" s="8" customFormat="1" x14ac:dyDescent="0.2">
      <c r="A7792" s="6" t="str">
        <f>"ZDHHC12"</f>
        <v>ZDHHC12</v>
      </c>
      <c r="B7792" s="6">
        <v>0.15384615384615299</v>
      </c>
      <c r="C7792" s="6">
        <v>0.34695790294097301</v>
      </c>
    </row>
    <row r="7793" spans="1:3" s="8" customFormat="1" x14ac:dyDescent="0.2">
      <c r="A7793" s="6" t="str">
        <f>"UBA7"</f>
        <v>UBA7</v>
      </c>
      <c r="B7793" s="6">
        <v>0.15384615384615299</v>
      </c>
      <c r="C7793" s="6">
        <v>0.34695790294097301</v>
      </c>
    </row>
    <row r="7794" spans="1:3" s="8" customFormat="1" x14ac:dyDescent="0.2">
      <c r="A7794" s="6" t="str">
        <f>"CHKA"</f>
        <v>CHKA</v>
      </c>
      <c r="B7794" s="6">
        <v>0.15384615384615299</v>
      </c>
      <c r="C7794" s="6">
        <v>0.34695790294097301</v>
      </c>
    </row>
    <row r="7795" spans="1:3" s="8" customFormat="1" x14ac:dyDescent="0.2">
      <c r="A7795" s="6" t="str">
        <f>"RBM14"</f>
        <v>RBM14</v>
      </c>
      <c r="B7795" s="6">
        <v>0.15384615384615299</v>
      </c>
      <c r="C7795" s="6">
        <v>0.34695790294097301</v>
      </c>
    </row>
    <row r="7796" spans="1:3" s="8" customFormat="1" x14ac:dyDescent="0.2">
      <c r="A7796" s="6" t="str">
        <f>"CDH3"</f>
        <v>CDH3</v>
      </c>
      <c r="B7796" s="6">
        <v>0.15384615384615299</v>
      </c>
      <c r="C7796" s="6">
        <v>0.34695790294097301</v>
      </c>
    </row>
    <row r="7797" spans="1:3" s="8" customFormat="1" x14ac:dyDescent="0.2">
      <c r="A7797" s="6" t="str">
        <f>"SRSF6"</f>
        <v>SRSF6</v>
      </c>
      <c r="B7797" s="6">
        <v>0.15384615384615299</v>
      </c>
      <c r="C7797" s="6">
        <v>0.34695790294097301</v>
      </c>
    </row>
    <row r="7798" spans="1:3" s="8" customFormat="1" x14ac:dyDescent="0.2">
      <c r="A7798" s="6" t="str">
        <f>"SGSM3"</f>
        <v>SGSM3</v>
      </c>
      <c r="B7798" s="6">
        <v>0.15384615384615299</v>
      </c>
      <c r="C7798" s="6">
        <v>0.34695790294097301</v>
      </c>
    </row>
    <row r="7799" spans="1:3" s="8" customFormat="1" x14ac:dyDescent="0.2">
      <c r="A7799" s="6" t="str">
        <f>"HTATSF1P2"</f>
        <v>HTATSF1P2</v>
      </c>
      <c r="B7799" s="6">
        <v>0.154</v>
      </c>
      <c r="C7799" s="6">
        <v>0.347171282051282</v>
      </c>
    </row>
    <row r="7800" spans="1:3" s="8" customFormat="1" x14ac:dyDescent="0.2">
      <c r="A7800" s="6" t="str">
        <f>"AC006040.1"</f>
        <v>AC006040.1</v>
      </c>
      <c r="B7800" s="6">
        <v>0.154</v>
      </c>
      <c r="C7800" s="6">
        <v>0.347171282051282</v>
      </c>
    </row>
    <row r="7801" spans="1:3" s="8" customFormat="1" x14ac:dyDescent="0.2">
      <c r="A7801" s="6" t="str">
        <f>"AC012360.3"</f>
        <v>AC012360.3</v>
      </c>
      <c r="B7801" s="6">
        <v>0.154</v>
      </c>
      <c r="C7801" s="6">
        <v>0.347171282051282</v>
      </c>
    </row>
    <row r="7802" spans="1:3" s="8" customFormat="1" x14ac:dyDescent="0.2">
      <c r="A7802" s="6" t="str">
        <f>"AC092614.1"</f>
        <v>AC092614.1</v>
      </c>
      <c r="B7802" s="6">
        <v>0.15415415415415401</v>
      </c>
      <c r="C7802" s="6">
        <v>0.34747425287099598</v>
      </c>
    </row>
    <row r="7803" spans="1:3" s="8" customFormat="1" x14ac:dyDescent="0.2">
      <c r="A7803" s="6" t="str">
        <f>"IGLV3-21"</f>
        <v>IGLV3-21</v>
      </c>
      <c r="B7803" s="6">
        <v>0.15484515484515399</v>
      </c>
      <c r="C7803" s="6">
        <v>0.34800577745362998</v>
      </c>
    </row>
    <row r="7804" spans="1:3" s="8" customFormat="1" x14ac:dyDescent="0.2">
      <c r="A7804" s="6" t="str">
        <f>"AL136366.1"</f>
        <v>AL136366.1</v>
      </c>
      <c r="B7804" s="6">
        <v>0.15484515484515399</v>
      </c>
      <c r="C7804" s="6">
        <v>0.34800577745362998</v>
      </c>
    </row>
    <row r="7805" spans="1:3" s="8" customFormat="1" x14ac:dyDescent="0.2">
      <c r="A7805" s="6" t="str">
        <f>"CHIT1"</f>
        <v>CHIT1</v>
      </c>
      <c r="B7805" s="6">
        <v>0.15484515484515399</v>
      </c>
      <c r="C7805" s="6">
        <v>0.34800577745362998</v>
      </c>
    </row>
    <row r="7806" spans="1:3" s="8" customFormat="1" x14ac:dyDescent="0.2">
      <c r="A7806" s="6" t="str">
        <f>"AC010531.6"</f>
        <v>AC010531.6</v>
      </c>
      <c r="B7806" s="6">
        <v>0.15470171890798701</v>
      </c>
      <c r="C7806" s="6">
        <v>0.34800577745362998</v>
      </c>
    </row>
    <row r="7807" spans="1:3" s="8" customFormat="1" x14ac:dyDescent="0.2">
      <c r="A7807" s="6" t="str">
        <f>"SEC22B4P"</f>
        <v>SEC22B4P</v>
      </c>
      <c r="B7807" s="6">
        <v>0.15462868769074201</v>
      </c>
      <c r="C7807" s="6">
        <v>0.34800577745362998</v>
      </c>
    </row>
    <row r="7808" spans="1:3" s="8" customFormat="1" x14ac:dyDescent="0.2">
      <c r="A7808" s="6" t="str">
        <f>"AC010336.1"</f>
        <v>AC010336.1</v>
      </c>
      <c r="B7808" s="6">
        <v>0.15447991761071</v>
      </c>
      <c r="C7808" s="6">
        <v>0.34800577745362998</v>
      </c>
    </row>
    <row r="7809" spans="1:3" s="8" customFormat="1" x14ac:dyDescent="0.2">
      <c r="A7809" s="6" t="str">
        <f>"MTUS2"</f>
        <v>MTUS2</v>
      </c>
      <c r="B7809" s="6">
        <v>0.15484515484515399</v>
      </c>
      <c r="C7809" s="6">
        <v>0.34800577745362998</v>
      </c>
    </row>
    <row r="7810" spans="1:3" s="8" customFormat="1" x14ac:dyDescent="0.2">
      <c r="A7810" s="6" t="str">
        <f>"AL162231.1"</f>
        <v>AL162231.1</v>
      </c>
      <c r="B7810" s="6">
        <v>0.15484515484515399</v>
      </c>
      <c r="C7810" s="6">
        <v>0.34800577745362998</v>
      </c>
    </row>
    <row r="7811" spans="1:3" s="8" customFormat="1" x14ac:dyDescent="0.2">
      <c r="A7811" s="6" t="str">
        <f>"AC110285.6"</f>
        <v>AC110285.6</v>
      </c>
      <c r="B7811" s="6">
        <v>0.15484515484515399</v>
      </c>
      <c r="C7811" s="6">
        <v>0.34800577745362998</v>
      </c>
    </row>
    <row r="7812" spans="1:3" s="8" customFormat="1" x14ac:dyDescent="0.2">
      <c r="A7812" s="6" t="str">
        <f>"AC007066.2"</f>
        <v>AC007066.2</v>
      </c>
      <c r="B7812" s="6">
        <v>0.15484515484515399</v>
      </c>
      <c r="C7812" s="6">
        <v>0.34800577745362998</v>
      </c>
    </row>
    <row r="7813" spans="1:3" s="8" customFormat="1" x14ac:dyDescent="0.2">
      <c r="A7813" s="6" t="str">
        <f>"AC009113.1"</f>
        <v>AC009113.1</v>
      </c>
      <c r="B7813" s="6">
        <v>0.15484515484515399</v>
      </c>
      <c r="C7813" s="6">
        <v>0.34800577745362998</v>
      </c>
    </row>
    <row r="7814" spans="1:3" s="8" customFormat="1" x14ac:dyDescent="0.2">
      <c r="A7814" s="6" t="str">
        <f>"CKS1B"</f>
        <v>CKS1B</v>
      </c>
      <c r="B7814" s="6">
        <v>0.15484515484515399</v>
      </c>
      <c r="C7814" s="6">
        <v>0.34800577745362998</v>
      </c>
    </row>
    <row r="7815" spans="1:3" s="8" customFormat="1" x14ac:dyDescent="0.2">
      <c r="A7815" s="6" t="str">
        <f>"ZMYND19"</f>
        <v>ZMYND19</v>
      </c>
      <c r="B7815" s="6">
        <v>0.15484515484515399</v>
      </c>
      <c r="C7815" s="6">
        <v>0.34800577745362998</v>
      </c>
    </row>
    <row r="7816" spans="1:3" s="8" customFormat="1" x14ac:dyDescent="0.2">
      <c r="A7816" s="6" t="str">
        <f>"MSTO1"</f>
        <v>MSTO1</v>
      </c>
      <c r="B7816" s="6">
        <v>0.15484515484515399</v>
      </c>
      <c r="C7816" s="6">
        <v>0.34800577745362998</v>
      </c>
    </row>
    <row r="7817" spans="1:3" s="8" customFormat="1" x14ac:dyDescent="0.2">
      <c r="A7817" s="6" t="str">
        <f>"GCHFR"</f>
        <v>GCHFR</v>
      </c>
      <c r="B7817" s="6">
        <v>0.15484515484515399</v>
      </c>
      <c r="C7817" s="6">
        <v>0.34800577745362998</v>
      </c>
    </row>
    <row r="7818" spans="1:3" s="8" customFormat="1" x14ac:dyDescent="0.2">
      <c r="A7818" s="6" t="str">
        <f>"WDR77"</f>
        <v>WDR77</v>
      </c>
      <c r="B7818" s="6">
        <v>0.15484515484515399</v>
      </c>
      <c r="C7818" s="6">
        <v>0.34800577745362998</v>
      </c>
    </row>
    <row r="7819" spans="1:3" s="8" customFormat="1" x14ac:dyDescent="0.2">
      <c r="A7819" s="6" t="str">
        <f>"RRP1B"</f>
        <v>RRP1B</v>
      </c>
      <c r="B7819" s="6">
        <v>0.15484515484515399</v>
      </c>
      <c r="C7819" s="6">
        <v>0.34800577745362998</v>
      </c>
    </row>
    <row r="7820" spans="1:3" s="8" customFormat="1" x14ac:dyDescent="0.2">
      <c r="A7820" s="6" t="str">
        <f>"FMR1"</f>
        <v>FMR1</v>
      </c>
      <c r="B7820" s="6">
        <v>0.15484515484515399</v>
      </c>
      <c r="C7820" s="6">
        <v>0.34800577745362998</v>
      </c>
    </row>
    <row r="7821" spans="1:3" s="8" customFormat="1" x14ac:dyDescent="0.2">
      <c r="A7821" s="6" t="str">
        <f>"AVL9"</f>
        <v>AVL9</v>
      </c>
      <c r="B7821" s="6">
        <v>0.15484515484515399</v>
      </c>
      <c r="C7821" s="6">
        <v>0.34800577745362998</v>
      </c>
    </row>
    <row r="7822" spans="1:3" s="8" customFormat="1" x14ac:dyDescent="0.2">
      <c r="A7822" s="6" t="str">
        <f>"ULK1"</f>
        <v>ULK1</v>
      </c>
      <c r="B7822" s="6">
        <v>0.15484515484515399</v>
      </c>
      <c r="C7822" s="6">
        <v>0.34800577745362998</v>
      </c>
    </row>
    <row r="7823" spans="1:3" s="8" customFormat="1" x14ac:dyDescent="0.2">
      <c r="A7823" s="6" t="str">
        <f>"VAV1"</f>
        <v>VAV1</v>
      </c>
      <c r="B7823" s="6">
        <v>0.15484515484515399</v>
      </c>
      <c r="C7823" s="6">
        <v>0.34800577745362998</v>
      </c>
    </row>
    <row r="7824" spans="1:3" s="8" customFormat="1" x14ac:dyDescent="0.2">
      <c r="A7824" s="6" t="str">
        <f>"PRR13"</f>
        <v>PRR13</v>
      </c>
      <c r="B7824" s="6">
        <v>0.15484515484515399</v>
      </c>
      <c r="C7824" s="6">
        <v>0.34800577745362998</v>
      </c>
    </row>
    <row r="7825" spans="1:3" s="8" customFormat="1" x14ac:dyDescent="0.2">
      <c r="A7825" s="6" t="str">
        <f>"S100A11"</f>
        <v>S100A11</v>
      </c>
      <c r="B7825" s="6">
        <v>0.15484515484515399</v>
      </c>
      <c r="C7825" s="6">
        <v>0.34800577745362998</v>
      </c>
    </row>
    <row r="7826" spans="1:3" s="8" customFormat="1" x14ac:dyDescent="0.2">
      <c r="A7826" s="6" t="str">
        <f>"UROC1"</f>
        <v>UROC1</v>
      </c>
      <c r="B7826" s="6">
        <v>0.155</v>
      </c>
      <c r="C7826" s="6">
        <v>0.34808684546615498</v>
      </c>
    </row>
    <row r="7827" spans="1:3" s="8" customFormat="1" x14ac:dyDescent="0.2">
      <c r="A7827" s="6" t="str">
        <f>"AC112484.3"</f>
        <v>AC112484.3</v>
      </c>
      <c r="B7827" s="6">
        <v>0.155</v>
      </c>
      <c r="C7827" s="6">
        <v>0.34808684546615498</v>
      </c>
    </row>
    <row r="7828" spans="1:3" s="8" customFormat="1" x14ac:dyDescent="0.2">
      <c r="A7828" s="6" t="str">
        <f>"AL162377.3"</f>
        <v>AL162377.3</v>
      </c>
      <c r="B7828" s="6">
        <v>0.155</v>
      </c>
      <c r="C7828" s="6">
        <v>0.34808684546615498</v>
      </c>
    </row>
    <row r="7829" spans="1:3" s="8" customFormat="1" x14ac:dyDescent="0.2">
      <c r="A7829" s="6" t="str">
        <f>"AL139289.1"</f>
        <v>AL139289.1</v>
      </c>
      <c r="B7829" s="6">
        <v>0.155</v>
      </c>
      <c r="C7829" s="6">
        <v>0.34808684546615498</v>
      </c>
    </row>
    <row r="7830" spans="1:3" s="8" customFormat="1" x14ac:dyDescent="0.2">
      <c r="A7830" s="6" t="str">
        <f>"ZBED8"</f>
        <v>ZBED8</v>
      </c>
      <c r="B7830" s="6">
        <v>0.155</v>
      </c>
      <c r="C7830" s="6">
        <v>0.34808684546615498</v>
      </c>
    </row>
    <row r="7831" spans="1:3" s="8" customFormat="1" x14ac:dyDescent="0.2">
      <c r="A7831" s="6" t="str">
        <f>"TNRC18"</f>
        <v>TNRC18</v>
      </c>
      <c r="B7831" s="6">
        <v>0.155</v>
      </c>
      <c r="C7831" s="6">
        <v>0.34808684546615498</v>
      </c>
    </row>
    <row r="7832" spans="1:3" s="8" customFormat="1" x14ac:dyDescent="0.2">
      <c r="A7832" s="6" t="str">
        <f>"OTOF"</f>
        <v>OTOF</v>
      </c>
      <c r="B7832" s="6">
        <v>0.15584415584415501</v>
      </c>
      <c r="C7832" s="6">
        <v>0.34895754951784402</v>
      </c>
    </row>
    <row r="7833" spans="1:3" s="8" customFormat="1" x14ac:dyDescent="0.2">
      <c r="A7833" s="6" t="str">
        <f>"AL512413.1"</f>
        <v>AL512413.1</v>
      </c>
      <c r="B7833" s="6">
        <v>0.15584415584415501</v>
      </c>
      <c r="C7833" s="6">
        <v>0.34895754951784402</v>
      </c>
    </row>
    <row r="7834" spans="1:3" s="8" customFormat="1" x14ac:dyDescent="0.2">
      <c r="A7834" s="6" t="str">
        <f>"SLC22A3"</f>
        <v>SLC22A3</v>
      </c>
      <c r="B7834" s="6">
        <v>0.15584415584415501</v>
      </c>
      <c r="C7834" s="6">
        <v>0.34895754951784402</v>
      </c>
    </row>
    <row r="7835" spans="1:3" s="8" customFormat="1" x14ac:dyDescent="0.2">
      <c r="A7835" s="6" t="str">
        <f>"AC008507.3"</f>
        <v>AC008507.3</v>
      </c>
      <c r="B7835" s="6">
        <v>0.15584415584415501</v>
      </c>
      <c r="C7835" s="6">
        <v>0.34895754951784402</v>
      </c>
    </row>
    <row r="7836" spans="1:3" s="8" customFormat="1" x14ac:dyDescent="0.2">
      <c r="A7836" s="6" t="str">
        <f>"GPC2"</f>
        <v>GPC2</v>
      </c>
      <c r="B7836" s="6">
        <v>0.15584415584415501</v>
      </c>
      <c r="C7836" s="6">
        <v>0.34895754951784402</v>
      </c>
    </row>
    <row r="7837" spans="1:3" s="8" customFormat="1" x14ac:dyDescent="0.2">
      <c r="A7837" s="6" t="str">
        <f>"AL662884.2"</f>
        <v>AL662884.2</v>
      </c>
      <c r="B7837" s="6">
        <v>0.15584415584415501</v>
      </c>
      <c r="C7837" s="6">
        <v>0.34895754951784402</v>
      </c>
    </row>
    <row r="7838" spans="1:3" s="8" customFormat="1" x14ac:dyDescent="0.2">
      <c r="A7838" s="6" t="str">
        <f>"PEDS1-UBE2V1"</f>
        <v>PEDS1-UBE2V1</v>
      </c>
      <c r="B7838" s="6">
        <v>0.15584415584415501</v>
      </c>
      <c r="C7838" s="6">
        <v>0.34895754951784402</v>
      </c>
    </row>
    <row r="7839" spans="1:3" s="8" customFormat="1" x14ac:dyDescent="0.2">
      <c r="A7839" s="6" t="str">
        <f>"AC092910.3"</f>
        <v>AC092910.3</v>
      </c>
      <c r="B7839" s="6">
        <v>0.15584415584415501</v>
      </c>
      <c r="C7839" s="6">
        <v>0.34895754951784402</v>
      </c>
    </row>
    <row r="7840" spans="1:3" s="8" customFormat="1" x14ac:dyDescent="0.2">
      <c r="A7840" s="6" t="str">
        <f>"CKAP2L"</f>
        <v>CKAP2L</v>
      </c>
      <c r="B7840" s="6">
        <v>0.15584415584415501</v>
      </c>
      <c r="C7840" s="6">
        <v>0.34895754951784402</v>
      </c>
    </row>
    <row r="7841" spans="1:3" s="8" customFormat="1" x14ac:dyDescent="0.2">
      <c r="A7841" s="6" t="str">
        <f>"SH3GL3"</f>
        <v>SH3GL3</v>
      </c>
      <c r="B7841" s="6">
        <v>0.15584415584415501</v>
      </c>
      <c r="C7841" s="6">
        <v>0.34895754951784402</v>
      </c>
    </row>
    <row r="7842" spans="1:3" s="8" customFormat="1" x14ac:dyDescent="0.2">
      <c r="A7842" s="6" t="str">
        <f>"AL121753.2"</f>
        <v>AL121753.2</v>
      </c>
      <c r="B7842" s="6">
        <v>0.15584415584415501</v>
      </c>
      <c r="C7842" s="6">
        <v>0.34895754951784402</v>
      </c>
    </row>
    <row r="7843" spans="1:3" s="8" customFormat="1" x14ac:dyDescent="0.2">
      <c r="A7843" s="6" t="str">
        <f>"UNC80"</f>
        <v>UNC80</v>
      </c>
      <c r="B7843" s="6">
        <v>0.15584415584415501</v>
      </c>
      <c r="C7843" s="6">
        <v>0.34895754951784402</v>
      </c>
    </row>
    <row r="7844" spans="1:3" s="8" customFormat="1" x14ac:dyDescent="0.2">
      <c r="A7844" s="6" t="str">
        <f>"NUDT6"</f>
        <v>NUDT6</v>
      </c>
      <c r="B7844" s="6">
        <v>0.15584415584415501</v>
      </c>
      <c r="C7844" s="6">
        <v>0.34895754951784402</v>
      </c>
    </row>
    <row r="7845" spans="1:3" s="8" customFormat="1" x14ac:dyDescent="0.2">
      <c r="A7845" s="6" t="str">
        <f>"MAP3K2-DT"</f>
        <v>MAP3K2-DT</v>
      </c>
      <c r="B7845" s="6">
        <v>0.15584415584415501</v>
      </c>
      <c r="C7845" s="6">
        <v>0.34895754951784402</v>
      </c>
    </row>
    <row r="7846" spans="1:3" s="8" customFormat="1" x14ac:dyDescent="0.2">
      <c r="A7846" s="6" t="str">
        <f>"TMEM39B"</f>
        <v>TMEM39B</v>
      </c>
      <c r="B7846" s="6">
        <v>0.15584415584415501</v>
      </c>
      <c r="C7846" s="6">
        <v>0.34895754951784402</v>
      </c>
    </row>
    <row r="7847" spans="1:3" s="8" customFormat="1" x14ac:dyDescent="0.2">
      <c r="A7847" s="6" t="str">
        <f>"POMZP3"</f>
        <v>POMZP3</v>
      </c>
      <c r="B7847" s="6">
        <v>0.15584415584415501</v>
      </c>
      <c r="C7847" s="6">
        <v>0.34895754951784402</v>
      </c>
    </row>
    <row r="7848" spans="1:3" s="8" customFormat="1" x14ac:dyDescent="0.2">
      <c r="A7848" s="6" t="str">
        <f>"DCUN1D1"</f>
        <v>DCUN1D1</v>
      </c>
      <c r="B7848" s="6">
        <v>0.15584415584415501</v>
      </c>
      <c r="C7848" s="6">
        <v>0.34895754951784402</v>
      </c>
    </row>
    <row r="7849" spans="1:3" s="8" customFormat="1" x14ac:dyDescent="0.2">
      <c r="A7849" s="6" t="str">
        <f>"FRYL"</f>
        <v>FRYL</v>
      </c>
      <c r="B7849" s="6">
        <v>0.15584415584415501</v>
      </c>
      <c r="C7849" s="6">
        <v>0.34895754951784402</v>
      </c>
    </row>
    <row r="7850" spans="1:3" s="8" customFormat="1" x14ac:dyDescent="0.2">
      <c r="A7850" s="6" t="str">
        <f>"TTC39A"</f>
        <v>TTC39A</v>
      </c>
      <c r="B7850" s="6">
        <v>0.15584415584415501</v>
      </c>
      <c r="C7850" s="6">
        <v>0.34895754951784402</v>
      </c>
    </row>
    <row r="7851" spans="1:3" s="8" customFormat="1" x14ac:dyDescent="0.2">
      <c r="A7851" s="6" t="str">
        <f>"MTREX"</f>
        <v>MTREX</v>
      </c>
      <c r="B7851" s="6">
        <v>0.15584415584415501</v>
      </c>
      <c r="C7851" s="6">
        <v>0.34895754951784402</v>
      </c>
    </row>
    <row r="7852" spans="1:3" s="8" customFormat="1" x14ac:dyDescent="0.2">
      <c r="A7852" s="6" t="str">
        <f>"UBL3"</f>
        <v>UBL3</v>
      </c>
      <c r="B7852" s="6">
        <v>0.15584415584415501</v>
      </c>
      <c r="C7852" s="6">
        <v>0.34895754951784402</v>
      </c>
    </row>
    <row r="7853" spans="1:3" s="8" customFormat="1" x14ac:dyDescent="0.2">
      <c r="A7853" s="6" t="str">
        <f>"STARD7"</f>
        <v>STARD7</v>
      </c>
      <c r="B7853" s="6">
        <v>0.15584415584415501</v>
      </c>
      <c r="C7853" s="6">
        <v>0.34895754951784402</v>
      </c>
    </row>
    <row r="7854" spans="1:3" s="8" customFormat="1" x14ac:dyDescent="0.2">
      <c r="A7854" s="6" t="str">
        <f>"TMSB10"</f>
        <v>TMSB10</v>
      </c>
      <c r="B7854" s="6">
        <v>0.15584415584415501</v>
      </c>
      <c r="C7854" s="6">
        <v>0.34895754951784402</v>
      </c>
    </row>
    <row r="7855" spans="1:3" s="8" customFormat="1" x14ac:dyDescent="0.2">
      <c r="A7855" s="6" t="str">
        <f>"AC016168.4"</f>
        <v>AC016168.4</v>
      </c>
      <c r="B7855" s="6">
        <v>0.156</v>
      </c>
      <c r="C7855" s="6">
        <v>0.34921756842775298</v>
      </c>
    </row>
    <row r="7856" spans="1:3" s="8" customFormat="1" x14ac:dyDescent="0.2">
      <c r="A7856" s="6" t="str">
        <f>"TNIP2"</f>
        <v>TNIP2</v>
      </c>
      <c r="B7856" s="6">
        <v>0.156</v>
      </c>
      <c r="C7856" s="6">
        <v>0.34921756842775298</v>
      </c>
    </row>
    <row r="7857" spans="1:3" s="8" customFormat="1" x14ac:dyDescent="0.2">
      <c r="A7857" s="6" t="str">
        <f>"AC113349.2"</f>
        <v>AC113349.2</v>
      </c>
      <c r="B7857" s="6">
        <v>0.156843156843156</v>
      </c>
      <c r="C7857" s="6">
        <v>0.35025781939675699</v>
      </c>
    </row>
    <row r="7858" spans="1:3" s="8" customFormat="1" x14ac:dyDescent="0.2">
      <c r="A7858" s="6" t="str">
        <f>"ZNF534"</f>
        <v>ZNF534</v>
      </c>
      <c r="B7858" s="6">
        <v>0.156843156843156</v>
      </c>
      <c r="C7858" s="6">
        <v>0.35025781939675699</v>
      </c>
    </row>
    <row r="7859" spans="1:3" s="8" customFormat="1" x14ac:dyDescent="0.2">
      <c r="A7859" s="6" t="str">
        <f>"ZBED2"</f>
        <v>ZBED2</v>
      </c>
      <c r="B7859" s="6">
        <v>0.156843156843156</v>
      </c>
      <c r="C7859" s="6">
        <v>0.35025781939675699</v>
      </c>
    </row>
    <row r="7860" spans="1:3" s="8" customFormat="1" x14ac:dyDescent="0.2">
      <c r="A7860" s="6" t="str">
        <f>"AC083862.2"</f>
        <v>AC083862.2</v>
      </c>
      <c r="B7860" s="6">
        <v>0.156843156843156</v>
      </c>
      <c r="C7860" s="6">
        <v>0.35025781939675699</v>
      </c>
    </row>
    <row r="7861" spans="1:3" s="8" customFormat="1" x14ac:dyDescent="0.2">
      <c r="A7861" s="6" t="str">
        <f>"AC010255.1"</f>
        <v>AC010255.1</v>
      </c>
      <c r="B7861" s="6">
        <v>0.156843156843156</v>
      </c>
      <c r="C7861" s="6">
        <v>0.35025781939675699</v>
      </c>
    </row>
    <row r="7862" spans="1:3" s="8" customFormat="1" x14ac:dyDescent="0.2">
      <c r="A7862" s="6" t="str">
        <f>"ZP3"</f>
        <v>ZP3</v>
      </c>
      <c r="B7862" s="6">
        <v>0.156843156843156</v>
      </c>
      <c r="C7862" s="6">
        <v>0.35025781939675699</v>
      </c>
    </row>
    <row r="7863" spans="1:3" s="8" customFormat="1" x14ac:dyDescent="0.2">
      <c r="A7863" s="6" t="str">
        <f>"TMEM191A"</f>
        <v>TMEM191A</v>
      </c>
      <c r="B7863" s="6">
        <v>0.156843156843156</v>
      </c>
      <c r="C7863" s="6">
        <v>0.35025781939675699</v>
      </c>
    </row>
    <row r="7864" spans="1:3" s="8" customFormat="1" x14ac:dyDescent="0.2">
      <c r="A7864" s="6" t="str">
        <f>"CD84"</f>
        <v>CD84</v>
      </c>
      <c r="B7864" s="6">
        <v>0.156843156843156</v>
      </c>
      <c r="C7864" s="6">
        <v>0.35025781939675699</v>
      </c>
    </row>
    <row r="7865" spans="1:3" s="8" customFormat="1" x14ac:dyDescent="0.2">
      <c r="A7865" s="6" t="str">
        <f>"SBF2-AS1"</f>
        <v>SBF2-AS1</v>
      </c>
      <c r="B7865" s="6">
        <v>0.156843156843156</v>
      </c>
      <c r="C7865" s="6">
        <v>0.35025781939675699</v>
      </c>
    </row>
    <row r="7866" spans="1:3" s="8" customFormat="1" x14ac:dyDescent="0.2">
      <c r="A7866" s="6" t="str">
        <f>"PRKAR2A-AS1"</f>
        <v>PRKAR2A-AS1</v>
      </c>
      <c r="B7866" s="6">
        <v>0.156843156843156</v>
      </c>
      <c r="C7866" s="6">
        <v>0.35025781939675699</v>
      </c>
    </row>
    <row r="7867" spans="1:3" s="8" customFormat="1" x14ac:dyDescent="0.2">
      <c r="A7867" s="6" t="str">
        <f>"DUS3L"</f>
        <v>DUS3L</v>
      </c>
      <c r="B7867" s="6">
        <v>0.156843156843156</v>
      </c>
      <c r="C7867" s="6">
        <v>0.35025781939675699</v>
      </c>
    </row>
    <row r="7868" spans="1:3" s="8" customFormat="1" x14ac:dyDescent="0.2">
      <c r="A7868" s="6" t="str">
        <f>"SPR"</f>
        <v>SPR</v>
      </c>
      <c r="B7868" s="6">
        <v>0.156843156843156</v>
      </c>
      <c r="C7868" s="6">
        <v>0.35025781939675699</v>
      </c>
    </row>
    <row r="7869" spans="1:3" s="8" customFormat="1" x14ac:dyDescent="0.2">
      <c r="A7869" s="6" t="str">
        <f>"QTRT2"</f>
        <v>QTRT2</v>
      </c>
      <c r="B7869" s="6">
        <v>0.156843156843156</v>
      </c>
      <c r="C7869" s="6">
        <v>0.35025781939675699</v>
      </c>
    </row>
    <row r="7870" spans="1:3" s="8" customFormat="1" x14ac:dyDescent="0.2">
      <c r="A7870" s="6" t="str">
        <f>"NRDE2"</f>
        <v>NRDE2</v>
      </c>
      <c r="B7870" s="6">
        <v>0.156843156843156</v>
      </c>
      <c r="C7870" s="6">
        <v>0.35025781939675699</v>
      </c>
    </row>
    <row r="7871" spans="1:3" s="8" customFormat="1" x14ac:dyDescent="0.2">
      <c r="A7871" s="6" t="str">
        <f>"ZNF710-AS1"</f>
        <v>ZNF710-AS1</v>
      </c>
      <c r="B7871" s="6">
        <v>0.156843156843156</v>
      </c>
      <c r="C7871" s="6">
        <v>0.35025781939675699</v>
      </c>
    </row>
    <row r="7872" spans="1:3" s="8" customFormat="1" x14ac:dyDescent="0.2">
      <c r="A7872" s="6" t="str">
        <f>"CDK20"</f>
        <v>CDK20</v>
      </c>
      <c r="B7872" s="6">
        <v>0.156843156843156</v>
      </c>
      <c r="C7872" s="6">
        <v>0.35025781939675699</v>
      </c>
    </row>
    <row r="7873" spans="1:3" s="8" customFormat="1" x14ac:dyDescent="0.2">
      <c r="A7873" s="6" t="str">
        <f>"RRM1"</f>
        <v>RRM1</v>
      </c>
      <c r="B7873" s="6">
        <v>0.156843156843156</v>
      </c>
      <c r="C7873" s="6">
        <v>0.35025781939675699</v>
      </c>
    </row>
    <row r="7874" spans="1:3" s="8" customFormat="1" x14ac:dyDescent="0.2">
      <c r="A7874" s="6" t="str">
        <f>"HEATR5A"</f>
        <v>HEATR5A</v>
      </c>
      <c r="B7874" s="6">
        <v>0.156843156843156</v>
      </c>
      <c r="C7874" s="6">
        <v>0.35025781939675699</v>
      </c>
    </row>
    <row r="7875" spans="1:3" s="8" customFormat="1" x14ac:dyDescent="0.2">
      <c r="A7875" s="6" t="str">
        <f>"TPP1"</f>
        <v>TPP1</v>
      </c>
      <c r="B7875" s="6">
        <v>0.156843156843156</v>
      </c>
      <c r="C7875" s="6">
        <v>0.35025781939675699</v>
      </c>
    </row>
    <row r="7876" spans="1:3" s="8" customFormat="1" x14ac:dyDescent="0.2">
      <c r="A7876" s="6" t="str">
        <f>"AC078802.1"</f>
        <v>AC078802.1</v>
      </c>
      <c r="B7876" s="6">
        <v>0.157</v>
      </c>
      <c r="C7876" s="6">
        <v>0.35056355555555502</v>
      </c>
    </row>
    <row r="7877" spans="1:3" s="8" customFormat="1" x14ac:dyDescent="0.2">
      <c r="A7877" s="6" t="str">
        <f>"NME8"</f>
        <v>NME8</v>
      </c>
      <c r="B7877" s="6">
        <v>0.15784215784215699</v>
      </c>
      <c r="C7877" s="6">
        <v>0.351640251298176</v>
      </c>
    </row>
    <row r="7878" spans="1:3" s="8" customFormat="1" x14ac:dyDescent="0.2">
      <c r="A7878" s="6" t="str">
        <f>"GS1-24F4.2"</f>
        <v>GS1-24F4.2</v>
      </c>
      <c r="B7878" s="6">
        <v>0.15784215784215699</v>
      </c>
      <c r="C7878" s="6">
        <v>0.351640251298176</v>
      </c>
    </row>
    <row r="7879" spans="1:3" s="8" customFormat="1" x14ac:dyDescent="0.2">
      <c r="A7879" s="6" t="str">
        <f>"SYDE1"</f>
        <v>SYDE1</v>
      </c>
      <c r="B7879" s="6">
        <v>0.15784215784215699</v>
      </c>
      <c r="C7879" s="6">
        <v>0.351640251298176</v>
      </c>
    </row>
    <row r="7880" spans="1:3" s="8" customFormat="1" x14ac:dyDescent="0.2">
      <c r="A7880" s="6" t="str">
        <f>"AC073389.1"</f>
        <v>AC073389.1</v>
      </c>
      <c r="B7880" s="6">
        <v>0.15778474399164</v>
      </c>
      <c r="C7880" s="6">
        <v>0.351640251298176</v>
      </c>
    </row>
    <row r="7881" spans="1:3" s="8" customFormat="1" x14ac:dyDescent="0.2">
      <c r="A7881" s="6" t="str">
        <f>"AL391840.3"</f>
        <v>AL391840.3</v>
      </c>
      <c r="B7881" s="6">
        <v>0.15784215784215699</v>
      </c>
      <c r="C7881" s="6">
        <v>0.351640251298176</v>
      </c>
    </row>
    <row r="7882" spans="1:3" s="8" customFormat="1" x14ac:dyDescent="0.2">
      <c r="A7882" s="6" t="str">
        <f>"CYP4F23P"</f>
        <v>CYP4F23P</v>
      </c>
      <c r="B7882" s="6">
        <v>0.15784215784215699</v>
      </c>
      <c r="C7882" s="6">
        <v>0.351640251298176</v>
      </c>
    </row>
    <row r="7883" spans="1:3" s="8" customFormat="1" x14ac:dyDescent="0.2">
      <c r="A7883" s="6" t="str">
        <f>"UNC5CL"</f>
        <v>UNC5CL</v>
      </c>
      <c r="B7883" s="6">
        <v>0.15784215784215699</v>
      </c>
      <c r="C7883" s="6">
        <v>0.351640251298176</v>
      </c>
    </row>
    <row r="7884" spans="1:3" s="8" customFormat="1" x14ac:dyDescent="0.2">
      <c r="A7884" s="6" t="str">
        <f>"FUOM"</f>
        <v>FUOM</v>
      </c>
      <c r="B7884" s="6">
        <v>0.15784215784215699</v>
      </c>
      <c r="C7884" s="6">
        <v>0.351640251298176</v>
      </c>
    </row>
    <row r="7885" spans="1:3" s="8" customFormat="1" x14ac:dyDescent="0.2">
      <c r="A7885" s="6" t="str">
        <f>"ITGA9-AS1"</f>
        <v>ITGA9-AS1</v>
      </c>
      <c r="B7885" s="6">
        <v>0.15784215784215699</v>
      </c>
      <c r="C7885" s="6">
        <v>0.351640251298176</v>
      </c>
    </row>
    <row r="7886" spans="1:3" s="8" customFormat="1" x14ac:dyDescent="0.2">
      <c r="A7886" s="6" t="str">
        <f>"WDR76"</f>
        <v>WDR76</v>
      </c>
      <c r="B7886" s="6">
        <v>0.15784215784215699</v>
      </c>
      <c r="C7886" s="6">
        <v>0.351640251298176</v>
      </c>
    </row>
    <row r="7887" spans="1:3" s="8" customFormat="1" x14ac:dyDescent="0.2">
      <c r="A7887" s="6" t="str">
        <f>"CD3E"</f>
        <v>CD3E</v>
      </c>
      <c r="B7887" s="6">
        <v>0.15784215784215699</v>
      </c>
      <c r="C7887" s="6">
        <v>0.351640251298176</v>
      </c>
    </row>
    <row r="7888" spans="1:3" s="8" customFormat="1" x14ac:dyDescent="0.2">
      <c r="A7888" s="6" t="str">
        <f>"NAB2"</f>
        <v>NAB2</v>
      </c>
      <c r="B7888" s="6">
        <v>0.15784215784215699</v>
      </c>
      <c r="C7888" s="6">
        <v>0.351640251298176</v>
      </c>
    </row>
    <row r="7889" spans="1:3" s="8" customFormat="1" x14ac:dyDescent="0.2">
      <c r="A7889" s="6" t="str">
        <f>"SNHG32"</f>
        <v>SNHG32</v>
      </c>
      <c r="B7889" s="6">
        <v>0.15784215784215699</v>
      </c>
      <c r="C7889" s="6">
        <v>0.351640251298176</v>
      </c>
    </row>
    <row r="7890" spans="1:3" s="8" customFormat="1" x14ac:dyDescent="0.2">
      <c r="A7890" s="6" t="str">
        <f>"RAB3GAP2"</f>
        <v>RAB3GAP2</v>
      </c>
      <c r="B7890" s="6">
        <v>0.15784215784215699</v>
      </c>
      <c r="C7890" s="6">
        <v>0.351640251298176</v>
      </c>
    </row>
    <row r="7891" spans="1:3" s="8" customFormat="1" x14ac:dyDescent="0.2">
      <c r="A7891" s="6" t="str">
        <f>"USP40"</f>
        <v>USP40</v>
      </c>
      <c r="B7891" s="6">
        <v>0.15784215784215699</v>
      </c>
      <c r="C7891" s="6">
        <v>0.351640251298176</v>
      </c>
    </row>
    <row r="7892" spans="1:3" s="8" customFormat="1" x14ac:dyDescent="0.2">
      <c r="A7892" s="6" t="str">
        <f>"ATP11B"</f>
        <v>ATP11B</v>
      </c>
      <c r="B7892" s="6">
        <v>0.15784215784215699</v>
      </c>
      <c r="C7892" s="6">
        <v>0.351640251298176</v>
      </c>
    </row>
    <row r="7893" spans="1:3" s="8" customFormat="1" x14ac:dyDescent="0.2">
      <c r="A7893" s="6" t="str">
        <f>"CFAP126"</f>
        <v>CFAP126</v>
      </c>
      <c r="B7893" s="6">
        <v>0.15784215784215699</v>
      </c>
      <c r="C7893" s="6">
        <v>0.351640251298176</v>
      </c>
    </row>
    <row r="7894" spans="1:3" s="8" customFormat="1" x14ac:dyDescent="0.2">
      <c r="A7894" s="6" t="str">
        <f>"HLA-DPB1"</f>
        <v>HLA-DPB1</v>
      </c>
      <c r="B7894" s="6">
        <v>0.15784215784215699</v>
      </c>
      <c r="C7894" s="6">
        <v>0.351640251298176</v>
      </c>
    </row>
    <row r="7895" spans="1:3" s="8" customFormat="1" x14ac:dyDescent="0.2">
      <c r="A7895" s="6" t="str">
        <f>"TMEM253"</f>
        <v>TMEM253</v>
      </c>
      <c r="B7895" s="6">
        <v>0.158</v>
      </c>
      <c r="C7895" s="6">
        <v>0.35185815602836801</v>
      </c>
    </row>
    <row r="7896" spans="1:3" s="8" customFormat="1" x14ac:dyDescent="0.2">
      <c r="A7896" s="6" t="str">
        <f>"FAM186B"</f>
        <v>FAM186B</v>
      </c>
      <c r="B7896" s="6">
        <v>0.158</v>
      </c>
      <c r="C7896" s="6">
        <v>0.35185815602836801</v>
      </c>
    </row>
    <row r="7897" spans="1:3" s="8" customFormat="1" x14ac:dyDescent="0.2">
      <c r="A7897" s="6" t="str">
        <f>"IGSF22"</f>
        <v>IGSF22</v>
      </c>
      <c r="B7897" s="6">
        <v>0.158</v>
      </c>
      <c r="C7897" s="6">
        <v>0.35185815602836801</v>
      </c>
    </row>
    <row r="7898" spans="1:3" s="8" customFormat="1" x14ac:dyDescent="0.2">
      <c r="A7898" s="6" t="str">
        <f>"AC044802.1"</f>
        <v>AC044802.1</v>
      </c>
      <c r="B7898" s="6">
        <v>0.15827338129496399</v>
      </c>
      <c r="C7898" s="6">
        <v>0.35242232957966901</v>
      </c>
    </row>
    <row r="7899" spans="1:3" s="8" customFormat="1" x14ac:dyDescent="0.2">
      <c r="A7899" s="6" t="str">
        <f>"Z93930.3"</f>
        <v>Z93930.3</v>
      </c>
      <c r="B7899" s="6">
        <v>0.158316633266533</v>
      </c>
      <c r="C7899" s="6">
        <v>0.35247400346400498</v>
      </c>
    </row>
    <row r="7900" spans="1:3" s="8" customFormat="1" x14ac:dyDescent="0.2">
      <c r="A7900" s="6" t="str">
        <f>"AF186192.2"</f>
        <v>AF186192.2</v>
      </c>
      <c r="B7900" s="6">
        <v>0.15884115884115799</v>
      </c>
      <c r="C7900" s="6">
        <v>0.35257042881380102</v>
      </c>
    </row>
    <row r="7901" spans="1:3" s="8" customFormat="1" x14ac:dyDescent="0.2">
      <c r="A7901" s="6" t="str">
        <f>"PPP5D1"</f>
        <v>PPP5D1</v>
      </c>
      <c r="B7901" s="6">
        <v>0.15884115884115799</v>
      </c>
      <c r="C7901" s="6">
        <v>0.35257042881380102</v>
      </c>
    </row>
    <row r="7902" spans="1:3" s="8" customFormat="1" x14ac:dyDescent="0.2">
      <c r="A7902" s="6" t="str">
        <f>"AC006978.2"</f>
        <v>AC006978.2</v>
      </c>
      <c r="B7902" s="6">
        <v>0.15884115884115799</v>
      </c>
      <c r="C7902" s="6">
        <v>0.35257042881380102</v>
      </c>
    </row>
    <row r="7903" spans="1:3" s="8" customFormat="1" x14ac:dyDescent="0.2">
      <c r="A7903" s="6" t="str">
        <f>"RIMS3"</f>
        <v>RIMS3</v>
      </c>
      <c r="B7903" s="6">
        <v>0.15884115884115799</v>
      </c>
      <c r="C7903" s="6">
        <v>0.35257042881380102</v>
      </c>
    </row>
    <row r="7904" spans="1:3" s="8" customFormat="1" x14ac:dyDescent="0.2">
      <c r="A7904" s="6" t="str">
        <f>"AL355987.4"</f>
        <v>AL355987.4</v>
      </c>
      <c r="B7904" s="6">
        <v>0.15884115884115799</v>
      </c>
      <c r="C7904" s="6">
        <v>0.35257042881380102</v>
      </c>
    </row>
    <row r="7905" spans="1:3" s="8" customFormat="1" x14ac:dyDescent="0.2">
      <c r="A7905" s="6" t="str">
        <f>"AC124852.1"</f>
        <v>AC124852.1</v>
      </c>
      <c r="B7905" s="6">
        <v>0.15884115884115799</v>
      </c>
      <c r="C7905" s="6">
        <v>0.35257042881380102</v>
      </c>
    </row>
    <row r="7906" spans="1:3" s="8" customFormat="1" x14ac:dyDescent="0.2">
      <c r="A7906" s="6" t="str">
        <f>"AC006460.1"</f>
        <v>AC006460.1</v>
      </c>
      <c r="B7906" s="6">
        <v>0.15884115884115799</v>
      </c>
      <c r="C7906" s="6">
        <v>0.35257042881380102</v>
      </c>
    </row>
    <row r="7907" spans="1:3" s="8" customFormat="1" x14ac:dyDescent="0.2">
      <c r="A7907" s="6" t="str">
        <f>"PPIEL"</f>
        <v>PPIEL</v>
      </c>
      <c r="B7907" s="6">
        <v>0.15884115884115799</v>
      </c>
      <c r="C7907" s="6">
        <v>0.35257042881380102</v>
      </c>
    </row>
    <row r="7908" spans="1:3" s="8" customFormat="1" x14ac:dyDescent="0.2">
      <c r="A7908" s="6" t="str">
        <f>"AC091271.1"</f>
        <v>AC091271.1</v>
      </c>
      <c r="B7908" s="6">
        <v>0.15884115884115799</v>
      </c>
      <c r="C7908" s="6">
        <v>0.35257042881380102</v>
      </c>
    </row>
    <row r="7909" spans="1:3" s="8" customFormat="1" x14ac:dyDescent="0.2">
      <c r="A7909" s="6" t="str">
        <f>"ZNRF2P1"</f>
        <v>ZNRF2P1</v>
      </c>
      <c r="B7909" s="6">
        <v>0.15884115884115799</v>
      </c>
      <c r="C7909" s="6">
        <v>0.35257042881380102</v>
      </c>
    </row>
    <row r="7910" spans="1:3" s="8" customFormat="1" x14ac:dyDescent="0.2">
      <c r="A7910" s="6" t="str">
        <f>"AC011511.4"</f>
        <v>AC011511.4</v>
      </c>
      <c r="B7910" s="6">
        <v>0.15884115884115799</v>
      </c>
      <c r="C7910" s="6">
        <v>0.35257042881380102</v>
      </c>
    </row>
    <row r="7911" spans="1:3" s="8" customFormat="1" x14ac:dyDescent="0.2">
      <c r="A7911" s="6" t="str">
        <f>"ST3GAL5"</f>
        <v>ST3GAL5</v>
      </c>
      <c r="B7911" s="6">
        <v>0.15884115884115799</v>
      </c>
      <c r="C7911" s="6">
        <v>0.35257042881380102</v>
      </c>
    </row>
    <row r="7912" spans="1:3" s="8" customFormat="1" x14ac:dyDescent="0.2">
      <c r="A7912" s="6" t="str">
        <f>"CIBAR1"</f>
        <v>CIBAR1</v>
      </c>
      <c r="B7912" s="6">
        <v>0.15884115884115799</v>
      </c>
      <c r="C7912" s="6">
        <v>0.35257042881380102</v>
      </c>
    </row>
    <row r="7913" spans="1:3" s="8" customFormat="1" x14ac:dyDescent="0.2">
      <c r="A7913" s="6" t="str">
        <f>"LINC01559"</f>
        <v>LINC01559</v>
      </c>
      <c r="B7913" s="6">
        <v>0.15884115884115799</v>
      </c>
      <c r="C7913" s="6">
        <v>0.35257042881380102</v>
      </c>
    </row>
    <row r="7914" spans="1:3" s="8" customFormat="1" x14ac:dyDescent="0.2">
      <c r="A7914" s="6" t="str">
        <f>"NRIP1"</f>
        <v>NRIP1</v>
      </c>
      <c r="B7914" s="6">
        <v>0.15884115884115799</v>
      </c>
      <c r="C7914" s="6">
        <v>0.35257042881380102</v>
      </c>
    </row>
    <row r="7915" spans="1:3" s="8" customFormat="1" x14ac:dyDescent="0.2">
      <c r="A7915" s="6" t="str">
        <f>"MORC4"</f>
        <v>MORC4</v>
      </c>
      <c r="B7915" s="6">
        <v>0.15884115884115799</v>
      </c>
      <c r="C7915" s="6">
        <v>0.35257042881380102</v>
      </c>
    </row>
    <row r="7916" spans="1:3" s="8" customFormat="1" x14ac:dyDescent="0.2">
      <c r="A7916" s="6" t="str">
        <f>"KDM2B"</f>
        <v>KDM2B</v>
      </c>
      <c r="B7916" s="6">
        <v>0.15884115884115799</v>
      </c>
      <c r="C7916" s="6">
        <v>0.35257042881380102</v>
      </c>
    </row>
    <row r="7917" spans="1:3" s="8" customFormat="1" x14ac:dyDescent="0.2">
      <c r="A7917" s="6" t="str">
        <f>"TCF4"</f>
        <v>TCF4</v>
      </c>
      <c r="B7917" s="6">
        <v>0.15884115884115799</v>
      </c>
      <c r="C7917" s="6">
        <v>0.35257042881380102</v>
      </c>
    </row>
    <row r="7918" spans="1:3" s="8" customFormat="1" x14ac:dyDescent="0.2">
      <c r="A7918" s="6" t="str">
        <f>"TEP1"</f>
        <v>TEP1</v>
      </c>
      <c r="B7918" s="6">
        <v>0.15884115884115799</v>
      </c>
      <c r="C7918" s="6">
        <v>0.35257042881380102</v>
      </c>
    </row>
    <row r="7919" spans="1:3" s="8" customFormat="1" x14ac:dyDescent="0.2">
      <c r="A7919" s="6" t="str">
        <f>"MORC3"</f>
        <v>MORC3</v>
      </c>
      <c r="B7919" s="6">
        <v>0.15884115884115799</v>
      </c>
      <c r="C7919" s="6">
        <v>0.35257042881380102</v>
      </c>
    </row>
    <row r="7920" spans="1:3" s="8" customFormat="1" x14ac:dyDescent="0.2">
      <c r="A7920" s="6" t="str">
        <f>"ATIC"</f>
        <v>ATIC</v>
      </c>
      <c r="B7920" s="6">
        <v>0.15884115884115799</v>
      </c>
      <c r="C7920" s="6">
        <v>0.35257042881380102</v>
      </c>
    </row>
    <row r="7921" spans="1:3" s="8" customFormat="1" x14ac:dyDescent="0.2">
      <c r="A7921" s="6" t="str">
        <f>"NCALD"</f>
        <v>NCALD</v>
      </c>
      <c r="B7921" s="6">
        <v>0.15884115884115799</v>
      </c>
      <c r="C7921" s="6">
        <v>0.35257042881380102</v>
      </c>
    </row>
    <row r="7922" spans="1:3" s="8" customFormat="1" x14ac:dyDescent="0.2">
      <c r="A7922" s="6" t="str">
        <f>"GPATCH8"</f>
        <v>GPATCH8</v>
      </c>
      <c r="B7922" s="6">
        <v>0.15884115884115799</v>
      </c>
      <c r="C7922" s="6">
        <v>0.35257042881380102</v>
      </c>
    </row>
    <row r="7923" spans="1:3" s="8" customFormat="1" x14ac:dyDescent="0.2">
      <c r="A7923" s="6" t="str">
        <f>"LAMP2"</f>
        <v>LAMP2</v>
      </c>
      <c r="B7923" s="6">
        <v>0.15884115884115799</v>
      </c>
      <c r="C7923" s="6">
        <v>0.35257042881380102</v>
      </c>
    </row>
    <row r="7924" spans="1:3" s="8" customFormat="1" x14ac:dyDescent="0.2">
      <c r="A7924" s="6" t="str">
        <f>"SLC22A4"</f>
        <v>SLC22A4</v>
      </c>
      <c r="B7924" s="6">
        <v>0.159</v>
      </c>
      <c r="C7924" s="6">
        <v>0.35287845513063198</v>
      </c>
    </row>
    <row r="7925" spans="1:3" s="8" customFormat="1" x14ac:dyDescent="0.2">
      <c r="A7925" s="6" t="str">
        <f>"SLC5A11"</f>
        <v>SLC5A11</v>
      </c>
      <c r="B7925" s="6">
        <v>0.15959595959595901</v>
      </c>
      <c r="C7925" s="6">
        <v>0.35371625605705598</v>
      </c>
    </row>
    <row r="7926" spans="1:3" s="8" customFormat="1" x14ac:dyDescent="0.2">
      <c r="A7926" s="6" t="str">
        <f>"AJ003147.3"</f>
        <v>AJ003147.3</v>
      </c>
      <c r="B7926" s="6">
        <v>0.15984015984015901</v>
      </c>
      <c r="C7926" s="6">
        <v>0.35371625605705598</v>
      </c>
    </row>
    <row r="7927" spans="1:3" s="8" customFormat="1" x14ac:dyDescent="0.2">
      <c r="A7927" s="6" t="str">
        <f>"AL049776.1"</f>
        <v>AL049776.1</v>
      </c>
      <c r="B7927" s="6">
        <v>0.15958549222797899</v>
      </c>
      <c r="C7927" s="6">
        <v>0.35371625605705598</v>
      </c>
    </row>
    <row r="7928" spans="1:3" s="8" customFormat="1" x14ac:dyDescent="0.2">
      <c r="A7928" s="6" t="str">
        <f>"CERS1"</f>
        <v>CERS1</v>
      </c>
      <c r="B7928" s="6">
        <v>0.15984015984015901</v>
      </c>
      <c r="C7928" s="6">
        <v>0.35371625605705598</v>
      </c>
    </row>
    <row r="7929" spans="1:3" s="8" customFormat="1" x14ac:dyDescent="0.2">
      <c r="A7929" s="6" t="str">
        <f>"NCAPH"</f>
        <v>NCAPH</v>
      </c>
      <c r="B7929" s="6">
        <v>0.15984015984015901</v>
      </c>
      <c r="C7929" s="6">
        <v>0.35371625605705598</v>
      </c>
    </row>
    <row r="7930" spans="1:3" s="8" customFormat="1" x14ac:dyDescent="0.2">
      <c r="A7930" s="6" t="str">
        <f>"AC092058.1"</f>
        <v>AC092058.1</v>
      </c>
      <c r="B7930" s="6">
        <v>0.15984015984015901</v>
      </c>
      <c r="C7930" s="6">
        <v>0.35371625605705598</v>
      </c>
    </row>
    <row r="7931" spans="1:3" s="8" customFormat="1" x14ac:dyDescent="0.2">
      <c r="A7931" s="6" t="str">
        <f>"RANGRF"</f>
        <v>RANGRF</v>
      </c>
      <c r="B7931" s="6">
        <v>0.15984015984015901</v>
      </c>
      <c r="C7931" s="6">
        <v>0.35371625605705598</v>
      </c>
    </row>
    <row r="7932" spans="1:3" s="8" customFormat="1" x14ac:dyDescent="0.2">
      <c r="A7932" s="6" t="str">
        <f>"EP400P1"</f>
        <v>EP400P1</v>
      </c>
      <c r="B7932" s="6">
        <v>0.15984015984015901</v>
      </c>
      <c r="C7932" s="6">
        <v>0.35371625605705598</v>
      </c>
    </row>
    <row r="7933" spans="1:3" s="8" customFormat="1" x14ac:dyDescent="0.2">
      <c r="A7933" s="6" t="str">
        <f>"CCT6B"</f>
        <v>CCT6B</v>
      </c>
      <c r="B7933" s="6">
        <v>0.15984015984015901</v>
      </c>
      <c r="C7933" s="6">
        <v>0.35371625605705598</v>
      </c>
    </row>
    <row r="7934" spans="1:3" s="8" customFormat="1" x14ac:dyDescent="0.2">
      <c r="A7934" s="6" t="str">
        <f>"NIFK"</f>
        <v>NIFK</v>
      </c>
      <c r="B7934" s="6">
        <v>0.15984015984015901</v>
      </c>
      <c r="C7934" s="6">
        <v>0.35371625605705598</v>
      </c>
    </row>
    <row r="7935" spans="1:3" s="8" customFormat="1" x14ac:dyDescent="0.2">
      <c r="A7935" s="6" t="str">
        <f>"FBXW8"</f>
        <v>FBXW8</v>
      </c>
      <c r="B7935" s="6">
        <v>0.15984015984015901</v>
      </c>
      <c r="C7935" s="6">
        <v>0.35371625605705598</v>
      </c>
    </row>
    <row r="7936" spans="1:3" s="8" customFormat="1" x14ac:dyDescent="0.2">
      <c r="A7936" s="6" t="str">
        <f>"RUNX3"</f>
        <v>RUNX3</v>
      </c>
      <c r="B7936" s="6">
        <v>0.15984015984015901</v>
      </c>
      <c r="C7936" s="6">
        <v>0.35371625605705598</v>
      </c>
    </row>
    <row r="7937" spans="1:3" s="8" customFormat="1" x14ac:dyDescent="0.2">
      <c r="A7937" s="6" t="str">
        <f>"ARVCF"</f>
        <v>ARVCF</v>
      </c>
      <c r="B7937" s="6">
        <v>0.15984015984015901</v>
      </c>
      <c r="C7937" s="6">
        <v>0.35371625605705598</v>
      </c>
    </row>
    <row r="7938" spans="1:3" s="8" customFormat="1" x14ac:dyDescent="0.2">
      <c r="A7938" s="6" t="str">
        <f>"KCTD9"</f>
        <v>KCTD9</v>
      </c>
      <c r="B7938" s="6">
        <v>0.15984015984015901</v>
      </c>
      <c r="C7938" s="6">
        <v>0.35371625605705598</v>
      </c>
    </row>
    <row r="7939" spans="1:3" s="8" customFormat="1" x14ac:dyDescent="0.2">
      <c r="A7939" s="6" t="str">
        <f>"DDHD2"</f>
        <v>DDHD2</v>
      </c>
      <c r="B7939" s="6">
        <v>0.15984015984015901</v>
      </c>
      <c r="C7939" s="6">
        <v>0.35371625605705598</v>
      </c>
    </row>
    <row r="7940" spans="1:3" s="8" customFormat="1" x14ac:dyDescent="0.2">
      <c r="A7940" s="6" t="str">
        <f>"GOLGA1"</f>
        <v>GOLGA1</v>
      </c>
      <c r="B7940" s="6">
        <v>0.15984015984015901</v>
      </c>
      <c r="C7940" s="6">
        <v>0.35371625605705598</v>
      </c>
    </row>
    <row r="7941" spans="1:3" s="8" customFormat="1" x14ac:dyDescent="0.2">
      <c r="A7941" s="6" t="str">
        <f>"TDP2"</f>
        <v>TDP2</v>
      </c>
      <c r="B7941" s="6">
        <v>0.15984015984015901</v>
      </c>
      <c r="C7941" s="6">
        <v>0.35371625605705598</v>
      </c>
    </row>
    <row r="7942" spans="1:3" s="8" customFormat="1" x14ac:dyDescent="0.2">
      <c r="A7942" s="6" t="str">
        <f>"NUDCD3"</f>
        <v>NUDCD3</v>
      </c>
      <c r="B7942" s="6">
        <v>0.15984015984015901</v>
      </c>
      <c r="C7942" s="6">
        <v>0.35371625605705598</v>
      </c>
    </row>
    <row r="7943" spans="1:3" s="8" customFormat="1" x14ac:dyDescent="0.2">
      <c r="A7943" s="6" t="str">
        <f>"RUSF1"</f>
        <v>RUSF1</v>
      </c>
      <c r="B7943" s="6">
        <v>0.15984015984015901</v>
      </c>
      <c r="C7943" s="6">
        <v>0.35371625605705598</v>
      </c>
    </row>
    <row r="7944" spans="1:3" s="8" customFormat="1" x14ac:dyDescent="0.2">
      <c r="A7944" s="6" t="str">
        <f>"AP1G2"</f>
        <v>AP1G2</v>
      </c>
      <c r="B7944" s="6">
        <v>0.15984015984015901</v>
      </c>
      <c r="C7944" s="6">
        <v>0.35371625605705598</v>
      </c>
    </row>
    <row r="7945" spans="1:3" s="8" customFormat="1" x14ac:dyDescent="0.2">
      <c r="A7945" s="6" t="str">
        <f>"EIF6"</f>
        <v>EIF6</v>
      </c>
      <c r="B7945" s="6">
        <v>0.15984015984015901</v>
      </c>
      <c r="C7945" s="6">
        <v>0.35371625605705598</v>
      </c>
    </row>
    <row r="7946" spans="1:3" s="8" customFormat="1" x14ac:dyDescent="0.2">
      <c r="A7946" s="6" t="str">
        <f>"MAP3K2"</f>
        <v>MAP3K2</v>
      </c>
      <c r="B7946" s="6">
        <v>0.15984015984015901</v>
      </c>
      <c r="C7946" s="6">
        <v>0.35371625605705598</v>
      </c>
    </row>
    <row r="7947" spans="1:3" s="8" customFormat="1" x14ac:dyDescent="0.2">
      <c r="A7947" s="6" t="str">
        <f>"SF1"</f>
        <v>SF1</v>
      </c>
      <c r="B7947" s="6">
        <v>0.15984015984015901</v>
      </c>
      <c r="C7947" s="6">
        <v>0.35371625605705598</v>
      </c>
    </row>
    <row r="7948" spans="1:3" s="8" customFormat="1" x14ac:dyDescent="0.2">
      <c r="A7948" s="6" t="str">
        <f>"FRG1GP"</f>
        <v>FRG1GP</v>
      </c>
      <c r="B7948" s="6">
        <v>0.15995975855130701</v>
      </c>
      <c r="C7948" s="6">
        <v>0.35393637779869003</v>
      </c>
    </row>
    <row r="7949" spans="1:3" s="8" customFormat="1" x14ac:dyDescent="0.2">
      <c r="A7949" s="6" t="str">
        <f>"IRF2BP2"</f>
        <v>IRF2BP2</v>
      </c>
      <c r="B7949" s="6">
        <v>0.16</v>
      </c>
      <c r="C7949" s="6">
        <v>0.35398087569199699</v>
      </c>
    </row>
    <row r="7950" spans="1:3" s="8" customFormat="1" x14ac:dyDescent="0.2">
      <c r="A7950" s="6" t="str">
        <f>"LINC01303"</f>
        <v>LINC01303</v>
      </c>
      <c r="B7950" s="6">
        <v>0.16083916083916</v>
      </c>
      <c r="C7950" s="6">
        <v>0.35463270272047698</v>
      </c>
    </row>
    <row r="7951" spans="1:3" s="8" customFormat="1" x14ac:dyDescent="0.2">
      <c r="A7951" s="6" t="str">
        <f>"AL021920.2"</f>
        <v>AL021920.2</v>
      </c>
      <c r="B7951" s="6">
        <v>0.16083916083916</v>
      </c>
      <c r="C7951" s="6">
        <v>0.35463270272047698</v>
      </c>
    </row>
    <row r="7952" spans="1:3" s="8" customFormat="1" x14ac:dyDescent="0.2">
      <c r="A7952" s="6" t="str">
        <f>"AC020658.6"</f>
        <v>AC020658.6</v>
      </c>
      <c r="B7952" s="6">
        <v>0.16083916083916</v>
      </c>
      <c r="C7952" s="6">
        <v>0.35463270272047698</v>
      </c>
    </row>
    <row r="7953" spans="1:3" s="8" customFormat="1" x14ac:dyDescent="0.2">
      <c r="A7953" s="6" t="str">
        <f>"HEMGN"</f>
        <v>HEMGN</v>
      </c>
      <c r="B7953" s="6">
        <v>0.16083916083916</v>
      </c>
      <c r="C7953" s="6">
        <v>0.35463270272047698</v>
      </c>
    </row>
    <row r="7954" spans="1:3" s="8" customFormat="1" x14ac:dyDescent="0.2">
      <c r="A7954" s="6" t="str">
        <f>"AC004528.1"</f>
        <v>AC004528.1</v>
      </c>
      <c r="B7954" s="6">
        <v>0.16032064128256501</v>
      </c>
      <c r="C7954" s="6">
        <v>0.35463270272047698</v>
      </c>
    </row>
    <row r="7955" spans="1:3" s="8" customFormat="1" x14ac:dyDescent="0.2">
      <c r="A7955" s="6" t="str">
        <f>"AL121888.1"</f>
        <v>AL121888.1</v>
      </c>
      <c r="B7955" s="6">
        <v>0.16083916083916</v>
      </c>
      <c r="C7955" s="6">
        <v>0.35463270272047698</v>
      </c>
    </row>
    <row r="7956" spans="1:3" s="8" customFormat="1" x14ac:dyDescent="0.2">
      <c r="A7956" s="6" t="str">
        <f>"AC005520.1"</f>
        <v>AC005520.1</v>
      </c>
      <c r="B7956" s="6">
        <v>0.16083916083916</v>
      </c>
      <c r="C7956" s="6">
        <v>0.35463270272047698</v>
      </c>
    </row>
    <row r="7957" spans="1:3" s="8" customFormat="1" x14ac:dyDescent="0.2">
      <c r="A7957" s="6" t="str">
        <f>"AP005329.3"</f>
        <v>AP005329.3</v>
      </c>
      <c r="B7957" s="6">
        <v>0.16083916083916</v>
      </c>
      <c r="C7957" s="6">
        <v>0.35463270272047698</v>
      </c>
    </row>
    <row r="7958" spans="1:3" s="8" customFormat="1" x14ac:dyDescent="0.2">
      <c r="A7958" s="6" t="str">
        <f>"AL592295.4"</f>
        <v>AL592295.4</v>
      </c>
      <c r="B7958" s="6">
        <v>0.16083916083916</v>
      </c>
      <c r="C7958" s="6">
        <v>0.35463270272047698</v>
      </c>
    </row>
    <row r="7959" spans="1:3" s="8" customFormat="1" x14ac:dyDescent="0.2">
      <c r="A7959" s="6" t="str">
        <f>"ZNF232-AS1"</f>
        <v>ZNF232-AS1</v>
      </c>
      <c r="B7959" s="6">
        <v>0.16083916083916</v>
      </c>
      <c r="C7959" s="6">
        <v>0.35463270272047698</v>
      </c>
    </row>
    <row r="7960" spans="1:3" s="8" customFormat="1" x14ac:dyDescent="0.2">
      <c r="A7960" s="6" t="str">
        <f>"AL590065.1"</f>
        <v>AL590065.1</v>
      </c>
      <c r="B7960" s="6">
        <v>0.16083916083916</v>
      </c>
      <c r="C7960" s="6">
        <v>0.35463270272047698</v>
      </c>
    </row>
    <row r="7961" spans="1:3" s="8" customFormat="1" x14ac:dyDescent="0.2">
      <c r="A7961" s="6" t="str">
        <f>"LINC02822"</f>
        <v>LINC02822</v>
      </c>
      <c r="B7961" s="6">
        <v>0.16083916083916</v>
      </c>
      <c r="C7961" s="6">
        <v>0.35463270272047698</v>
      </c>
    </row>
    <row r="7962" spans="1:3" s="8" customFormat="1" x14ac:dyDescent="0.2">
      <c r="A7962" s="6" t="str">
        <f>"HCN3"</f>
        <v>HCN3</v>
      </c>
      <c r="B7962" s="6">
        <v>0.16083916083916</v>
      </c>
      <c r="C7962" s="6">
        <v>0.35463270272047698</v>
      </c>
    </row>
    <row r="7963" spans="1:3" s="8" customFormat="1" x14ac:dyDescent="0.2">
      <c r="A7963" s="6" t="str">
        <f>"CD96"</f>
        <v>CD96</v>
      </c>
      <c r="B7963" s="6">
        <v>0.16083916083916</v>
      </c>
      <c r="C7963" s="6">
        <v>0.35463270272047698</v>
      </c>
    </row>
    <row r="7964" spans="1:3" s="8" customFormat="1" x14ac:dyDescent="0.2">
      <c r="A7964" s="6" t="str">
        <f>"ANXA9"</f>
        <v>ANXA9</v>
      </c>
      <c r="B7964" s="6">
        <v>0.16083916083916</v>
      </c>
      <c r="C7964" s="6">
        <v>0.35463270272047698</v>
      </c>
    </row>
    <row r="7965" spans="1:3" s="8" customFormat="1" x14ac:dyDescent="0.2">
      <c r="A7965" s="6" t="str">
        <f>"PID1"</f>
        <v>PID1</v>
      </c>
      <c r="B7965" s="6">
        <v>0.16083916083916</v>
      </c>
      <c r="C7965" s="6">
        <v>0.35463270272047698</v>
      </c>
    </row>
    <row r="7966" spans="1:3" s="8" customFormat="1" x14ac:dyDescent="0.2">
      <c r="A7966" s="6" t="str">
        <f>"COL6A1"</f>
        <v>COL6A1</v>
      </c>
      <c r="B7966" s="6">
        <v>0.16083916083916</v>
      </c>
      <c r="C7966" s="6">
        <v>0.35463270272047698</v>
      </c>
    </row>
    <row r="7967" spans="1:3" s="8" customFormat="1" x14ac:dyDescent="0.2">
      <c r="A7967" s="6" t="str">
        <f>"RMI1"</f>
        <v>RMI1</v>
      </c>
      <c r="B7967" s="6">
        <v>0.16083916083916</v>
      </c>
      <c r="C7967" s="6">
        <v>0.35463270272047698</v>
      </c>
    </row>
    <row r="7968" spans="1:3" s="8" customFormat="1" x14ac:dyDescent="0.2">
      <c r="A7968" s="6" t="str">
        <f>"TMEM209"</f>
        <v>TMEM209</v>
      </c>
      <c r="B7968" s="6">
        <v>0.16083916083916</v>
      </c>
      <c r="C7968" s="6">
        <v>0.35463270272047698</v>
      </c>
    </row>
    <row r="7969" spans="1:3" s="8" customFormat="1" x14ac:dyDescent="0.2">
      <c r="A7969" s="6" t="str">
        <f>"METTL17"</f>
        <v>METTL17</v>
      </c>
      <c r="B7969" s="6">
        <v>0.16083916083916</v>
      </c>
      <c r="C7969" s="6">
        <v>0.35463270272047698</v>
      </c>
    </row>
    <row r="7970" spans="1:3" s="8" customFormat="1" x14ac:dyDescent="0.2">
      <c r="A7970" s="6" t="str">
        <f>"B3GNT9"</f>
        <v>B3GNT9</v>
      </c>
      <c r="B7970" s="6">
        <v>0.16083916083916</v>
      </c>
      <c r="C7970" s="6">
        <v>0.35463270272047698</v>
      </c>
    </row>
    <row r="7971" spans="1:3" s="8" customFormat="1" x14ac:dyDescent="0.2">
      <c r="A7971" s="6" t="str">
        <f>"CLDN23"</f>
        <v>CLDN23</v>
      </c>
      <c r="B7971" s="6">
        <v>0.16083916083916</v>
      </c>
      <c r="C7971" s="6">
        <v>0.35463270272047698</v>
      </c>
    </row>
    <row r="7972" spans="1:3" s="8" customFormat="1" x14ac:dyDescent="0.2">
      <c r="A7972" s="6" t="str">
        <f>"MARVELD3"</f>
        <v>MARVELD3</v>
      </c>
      <c r="B7972" s="6">
        <v>0.16083916083916</v>
      </c>
      <c r="C7972" s="6">
        <v>0.35463270272047698</v>
      </c>
    </row>
    <row r="7973" spans="1:3" s="8" customFormat="1" x14ac:dyDescent="0.2">
      <c r="A7973" s="6" t="str">
        <f>"ZBED1"</f>
        <v>ZBED1</v>
      </c>
      <c r="B7973" s="6">
        <v>0.16083916083916</v>
      </c>
      <c r="C7973" s="6">
        <v>0.35463270272047698</v>
      </c>
    </row>
    <row r="7974" spans="1:3" s="8" customFormat="1" x14ac:dyDescent="0.2">
      <c r="A7974" s="6" t="str">
        <f>"EPPK1"</f>
        <v>EPPK1</v>
      </c>
      <c r="B7974" s="6">
        <v>0.16083916083916</v>
      </c>
      <c r="C7974" s="6">
        <v>0.35463270272047698</v>
      </c>
    </row>
    <row r="7975" spans="1:3" s="8" customFormat="1" x14ac:dyDescent="0.2">
      <c r="A7975" s="6" t="str">
        <f>"WDR6"</f>
        <v>WDR6</v>
      </c>
      <c r="B7975" s="6">
        <v>0.16083916083916</v>
      </c>
      <c r="C7975" s="6">
        <v>0.35463270272047698</v>
      </c>
    </row>
    <row r="7976" spans="1:3" s="8" customFormat="1" x14ac:dyDescent="0.2">
      <c r="A7976" s="6" t="str">
        <f>"HSP90AB1"</f>
        <v>HSP90AB1</v>
      </c>
      <c r="B7976" s="6">
        <v>0.16083916083916</v>
      </c>
      <c r="C7976" s="6">
        <v>0.35463270272047698</v>
      </c>
    </row>
    <row r="7977" spans="1:3" s="8" customFormat="1" x14ac:dyDescent="0.2">
      <c r="A7977" s="6" t="str">
        <f>"AC015910.1"</f>
        <v>AC015910.1</v>
      </c>
      <c r="B7977" s="6">
        <v>0.161</v>
      </c>
      <c r="C7977" s="6">
        <v>0.35485384808222598</v>
      </c>
    </row>
    <row r="7978" spans="1:3" s="8" customFormat="1" x14ac:dyDescent="0.2">
      <c r="A7978" s="6" t="str">
        <f>"AC073254.1"</f>
        <v>AC073254.1</v>
      </c>
      <c r="B7978" s="6">
        <v>0.161</v>
      </c>
      <c r="C7978" s="6">
        <v>0.35485384808222598</v>
      </c>
    </row>
    <row r="7979" spans="1:3" s="8" customFormat="1" x14ac:dyDescent="0.2">
      <c r="A7979" s="6" t="str">
        <f>"AC080079.2"</f>
        <v>AC080079.2</v>
      </c>
      <c r="B7979" s="6">
        <v>0.160965794768611</v>
      </c>
      <c r="C7979" s="6">
        <v>0.35485384808222598</v>
      </c>
    </row>
    <row r="7980" spans="1:3" s="8" customFormat="1" x14ac:dyDescent="0.2">
      <c r="A7980" s="6" t="str">
        <f>"AL132780.4"</f>
        <v>AL132780.4</v>
      </c>
      <c r="B7980" s="6">
        <v>0.16125760649087201</v>
      </c>
      <c r="C7980" s="6">
        <v>0.35537708391220602</v>
      </c>
    </row>
    <row r="7981" spans="1:3" s="8" customFormat="1" x14ac:dyDescent="0.2">
      <c r="A7981" s="6" t="str">
        <f>"AC145285.6"</f>
        <v>AC145285.6</v>
      </c>
      <c r="B7981" s="6">
        <v>0.16145833333333301</v>
      </c>
      <c r="C7981" s="6">
        <v>0.35577485380116902</v>
      </c>
    </row>
    <row r="7982" spans="1:3" s="8" customFormat="1" x14ac:dyDescent="0.2">
      <c r="A7982" s="6" t="str">
        <f>"AL022069.2"</f>
        <v>AL022069.2</v>
      </c>
      <c r="B7982" s="6">
        <v>0.16183816183816099</v>
      </c>
      <c r="C7982" s="6">
        <v>0.35580923202828602</v>
      </c>
    </row>
    <row r="7983" spans="1:3" s="8" customFormat="1" x14ac:dyDescent="0.2">
      <c r="A7983" s="6" t="str">
        <f>"AL391834.2"</f>
        <v>AL391834.2</v>
      </c>
      <c r="B7983" s="6">
        <v>0.16183816183816099</v>
      </c>
      <c r="C7983" s="6">
        <v>0.35580923202828602</v>
      </c>
    </row>
    <row r="7984" spans="1:3" s="8" customFormat="1" x14ac:dyDescent="0.2">
      <c r="A7984" s="6" t="str">
        <f>"AL360181.2"</f>
        <v>AL360181.2</v>
      </c>
      <c r="B7984" s="6">
        <v>0.16183816183816099</v>
      </c>
      <c r="C7984" s="6">
        <v>0.35580923202828602</v>
      </c>
    </row>
    <row r="7985" spans="1:3" s="8" customFormat="1" x14ac:dyDescent="0.2">
      <c r="A7985" s="6" t="str">
        <f>"AC121757.2"</f>
        <v>AC121757.2</v>
      </c>
      <c r="B7985" s="6">
        <v>0.16183816183816099</v>
      </c>
      <c r="C7985" s="6">
        <v>0.35580923202828602</v>
      </c>
    </row>
    <row r="7986" spans="1:3" s="8" customFormat="1" x14ac:dyDescent="0.2">
      <c r="A7986" s="6" t="str">
        <f>"AC137834.1"</f>
        <v>AC137834.1</v>
      </c>
      <c r="B7986" s="6">
        <v>0.16183816183816099</v>
      </c>
      <c r="C7986" s="6">
        <v>0.35580923202828602</v>
      </c>
    </row>
    <row r="7987" spans="1:3" s="8" customFormat="1" x14ac:dyDescent="0.2">
      <c r="A7987" s="6" t="str">
        <f>"PUS10"</f>
        <v>PUS10</v>
      </c>
      <c r="B7987" s="6">
        <v>0.16183816183816099</v>
      </c>
      <c r="C7987" s="6">
        <v>0.35580923202828602</v>
      </c>
    </row>
    <row r="7988" spans="1:3" s="8" customFormat="1" x14ac:dyDescent="0.2">
      <c r="A7988" s="6" t="str">
        <f>"ERI2"</f>
        <v>ERI2</v>
      </c>
      <c r="B7988" s="6">
        <v>0.16183816183816099</v>
      </c>
      <c r="C7988" s="6">
        <v>0.35580923202828602</v>
      </c>
    </row>
    <row r="7989" spans="1:3" s="8" customFormat="1" x14ac:dyDescent="0.2">
      <c r="A7989" s="6" t="str">
        <f>"COMMD2"</f>
        <v>COMMD2</v>
      </c>
      <c r="B7989" s="6">
        <v>0.16183816183816099</v>
      </c>
      <c r="C7989" s="6">
        <v>0.35580923202828602</v>
      </c>
    </row>
    <row r="7990" spans="1:3" s="8" customFormat="1" x14ac:dyDescent="0.2">
      <c r="A7990" s="6" t="str">
        <f>"CIAO3"</f>
        <v>CIAO3</v>
      </c>
      <c r="B7990" s="6">
        <v>0.16183816183816099</v>
      </c>
      <c r="C7990" s="6">
        <v>0.35580923202828602</v>
      </c>
    </row>
    <row r="7991" spans="1:3" s="8" customFormat="1" x14ac:dyDescent="0.2">
      <c r="A7991" s="6" t="str">
        <f>"DDAH2"</f>
        <v>DDAH2</v>
      </c>
      <c r="B7991" s="6">
        <v>0.16183816183816099</v>
      </c>
      <c r="C7991" s="6">
        <v>0.35580923202828602</v>
      </c>
    </row>
    <row r="7992" spans="1:3" s="8" customFormat="1" x14ac:dyDescent="0.2">
      <c r="A7992" s="6" t="str">
        <f>"ZRANB1"</f>
        <v>ZRANB1</v>
      </c>
      <c r="B7992" s="6">
        <v>0.16183816183816099</v>
      </c>
      <c r="C7992" s="6">
        <v>0.35580923202828602</v>
      </c>
    </row>
    <row r="7993" spans="1:3" s="8" customFormat="1" x14ac:dyDescent="0.2">
      <c r="A7993" s="6" t="str">
        <f>"COPS7A"</f>
        <v>COPS7A</v>
      </c>
      <c r="B7993" s="6">
        <v>0.16183816183816099</v>
      </c>
      <c r="C7993" s="6">
        <v>0.35580923202828602</v>
      </c>
    </row>
    <row r="7994" spans="1:3" s="8" customFormat="1" x14ac:dyDescent="0.2">
      <c r="A7994" s="6" t="str">
        <f>"SLC7A8"</f>
        <v>SLC7A8</v>
      </c>
      <c r="B7994" s="6">
        <v>0.16183816183816099</v>
      </c>
      <c r="C7994" s="6">
        <v>0.35580923202828602</v>
      </c>
    </row>
    <row r="7995" spans="1:3" s="8" customFormat="1" x14ac:dyDescent="0.2">
      <c r="A7995" s="6" t="str">
        <f>"EIF3M"</f>
        <v>EIF3M</v>
      </c>
      <c r="B7995" s="6">
        <v>0.16183816183816099</v>
      </c>
      <c r="C7995" s="6">
        <v>0.35580923202828602</v>
      </c>
    </row>
    <row r="7996" spans="1:3" s="8" customFormat="1" x14ac:dyDescent="0.2">
      <c r="A7996" s="6" t="str">
        <f>"SPSB1"</f>
        <v>SPSB1</v>
      </c>
      <c r="B7996" s="6">
        <v>0.16183816183816099</v>
      </c>
      <c r="C7996" s="6">
        <v>0.35580923202828602</v>
      </c>
    </row>
    <row r="7997" spans="1:3" s="8" customFormat="1" x14ac:dyDescent="0.2">
      <c r="A7997" s="6" t="str">
        <f>"ATXN7L3B"</f>
        <v>ATXN7L3B</v>
      </c>
      <c r="B7997" s="6">
        <v>0.16183816183816099</v>
      </c>
      <c r="C7997" s="6">
        <v>0.35580923202828602</v>
      </c>
    </row>
    <row r="7998" spans="1:3" s="8" customFormat="1" x14ac:dyDescent="0.2">
      <c r="A7998" s="6" t="str">
        <f>"LMAN2"</f>
        <v>LMAN2</v>
      </c>
      <c r="B7998" s="6">
        <v>0.16183816183816099</v>
      </c>
      <c r="C7998" s="6">
        <v>0.35580923202828602</v>
      </c>
    </row>
    <row r="7999" spans="1:3" s="8" customFormat="1" x14ac:dyDescent="0.2">
      <c r="A7999" s="6" t="str">
        <f>"METTL7A"</f>
        <v>METTL7A</v>
      </c>
      <c r="B7999" s="6">
        <v>0.16183816183816099</v>
      </c>
      <c r="C7999" s="6">
        <v>0.35580923202828602</v>
      </c>
    </row>
    <row r="8000" spans="1:3" s="8" customFormat="1" x14ac:dyDescent="0.2">
      <c r="A8000" s="6" t="str">
        <f>"RGS17P1"</f>
        <v>RGS17P1</v>
      </c>
      <c r="B8000" s="6">
        <v>0.16200000000000001</v>
      </c>
      <c r="C8000" s="6">
        <v>0.356076</v>
      </c>
    </row>
    <row r="8001" spans="1:3" s="8" customFormat="1" x14ac:dyDescent="0.2">
      <c r="A8001" s="6" t="str">
        <f>"AL359979.2"</f>
        <v>AL359979.2</v>
      </c>
      <c r="B8001" s="6">
        <v>0.16200000000000001</v>
      </c>
      <c r="C8001" s="6">
        <v>0.356076</v>
      </c>
    </row>
    <row r="8002" spans="1:3" s="8" customFormat="1" x14ac:dyDescent="0.2">
      <c r="A8002" s="6" t="str">
        <f>"ADCYAP1"</f>
        <v>ADCYAP1</v>
      </c>
      <c r="B8002" s="6">
        <v>0.16283716283716199</v>
      </c>
      <c r="C8002" s="6">
        <v>0.35729082497238202</v>
      </c>
    </row>
    <row r="8003" spans="1:3" s="8" customFormat="1" x14ac:dyDescent="0.2">
      <c r="A8003" s="6" t="str">
        <f>"AC090617.5"</f>
        <v>AC090617.5</v>
      </c>
      <c r="B8003" s="6">
        <v>0.16283716283716199</v>
      </c>
      <c r="C8003" s="6">
        <v>0.35729082497238202</v>
      </c>
    </row>
    <row r="8004" spans="1:3" s="8" customFormat="1" x14ac:dyDescent="0.2">
      <c r="A8004" s="6" t="str">
        <f>"GRM4"</f>
        <v>GRM4</v>
      </c>
      <c r="B8004" s="6">
        <v>0.16283716283716199</v>
      </c>
      <c r="C8004" s="6">
        <v>0.35729082497238202</v>
      </c>
    </row>
    <row r="8005" spans="1:3" s="8" customFormat="1" x14ac:dyDescent="0.2">
      <c r="A8005" s="6" t="str">
        <f>"AL161663.1"</f>
        <v>AL161663.1</v>
      </c>
      <c r="B8005" s="6">
        <v>0.16283716283716199</v>
      </c>
      <c r="C8005" s="6">
        <v>0.35729082497238202</v>
      </c>
    </row>
    <row r="8006" spans="1:3" s="8" customFormat="1" x14ac:dyDescent="0.2">
      <c r="A8006" s="6" t="str">
        <f>"GAS1RR"</f>
        <v>GAS1RR</v>
      </c>
      <c r="B8006" s="6">
        <v>0.16283716283716199</v>
      </c>
      <c r="C8006" s="6">
        <v>0.35729082497238202</v>
      </c>
    </row>
    <row r="8007" spans="1:3" s="8" customFormat="1" x14ac:dyDescent="0.2">
      <c r="A8007" s="6" t="str">
        <f>"ERO1B"</f>
        <v>ERO1B</v>
      </c>
      <c r="B8007" s="6">
        <v>0.16283716283716199</v>
      </c>
      <c r="C8007" s="6">
        <v>0.35729082497238202</v>
      </c>
    </row>
    <row r="8008" spans="1:3" s="8" customFormat="1" x14ac:dyDescent="0.2">
      <c r="A8008" s="6" t="str">
        <f>"SNX25"</f>
        <v>SNX25</v>
      </c>
      <c r="B8008" s="6">
        <v>0.16283716283716199</v>
      </c>
      <c r="C8008" s="6">
        <v>0.35729082497238202</v>
      </c>
    </row>
    <row r="8009" spans="1:3" s="8" customFormat="1" x14ac:dyDescent="0.2">
      <c r="A8009" s="6" t="str">
        <f>"TNS2"</f>
        <v>TNS2</v>
      </c>
      <c r="B8009" s="6">
        <v>0.16283716283716199</v>
      </c>
      <c r="C8009" s="6">
        <v>0.35729082497238202</v>
      </c>
    </row>
    <row r="8010" spans="1:3" s="8" customFormat="1" x14ac:dyDescent="0.2">
      <c r="A8010" s="6" t="str">
        <f>"HYAL2"</f>
        <v>HYAL2</v>
      </c>
      <c r="B8010" s="6">
        <v>0.16283716283716199</v>
      </c>
      <c r="C8010" s="6">
        <v>0.35729082497238202</v>
      </c>
    </row>
    <row r="8011" spans="1:3" s="8" customFormat="1" x14ac:dyDescent="0.2">
      <c r="A8011" s="6" t="str">
        <f>"LRRC26"</f>
        <v>LRRC26</v>
      </c>
      <c r="B8011" s="6">
        <v>0.16283716283716199</v>
      </c>
      <c r="C8011" s="6">
        <v>0.35729082497238202</v>
      </c>
    </row>
    <row r="8012" spans="1:3" s="8" customFormat="1" x14ac:dyDescent="0.2">
      <c r="A8012" s="6" t="str">
        <f>"PKD1P4"</f>
        <v>PKD1P4</v>
      </c>
      <c r="B8012" s="6">
        <v>0.16283716283716199</v>
      </c>
      <c r="C8012" s="6">
        <v>0.35729082497238202</v>
      </c>
    </row>
    <row r="8013" spans="1:3" s="8" customFormat="1" x14ac:dyDescent="0.2">
      <c r="A8013" s="6" t="str">
        <f>"TNRC6A"</f>
        <v>TNRC6A</v>
      </c>
      <c r="B8013" s="6">
        <v>0.16283716283716199</v>
      </c>
      <c r="C8013" s="6">
        <v>0.35729082497238202</v>
      </c>
    </row>
    <row r="8014" spans="1:3" s="8" customFormat="1" x14ac:dyDescent="0.2">
      <c r="A8014" s="6" t="str">
        <f>"RAB5IF"</f>
        <v>RAB5IF</v>
      </c>
      <c r="B8014" s="6">
        <v>0.16283716283716199</v>
      </c>
      <c r="C8014" s="6">
        <v>0.35729082497238202</v>
      </c>
    </row>
    <row r="8015" spans="1:3" s="8" customFormat="1" x14ac:dyDescent="0.2">
      <c r="A8015" s="6" t="str">
        <f>"ZMYND8"</f>
        <v>ZMYND8</v>
      </c>
      <c r="B8015" s="6">
        <v>0.16283716283716199</v>
      </c>
      <c r="C8015" s="6">
        <v>0.35729082497238202</v>
      </c>
    </row>
    <row r="8016" spans="1:3" s="8" customFormat="1" x14ac:dyDescent="0.2">
      <c r="A8016" s="6" t="str">
        <f>"AC000120.1"</f>
        <v>AC000120.1</v>
      </c>
      <c r="B8016" s="6">
        <v>0.16300000000000001</v>
      </c>
      <c r="C8016" s="6">
        <v>0.35755888223552801</v>
      </c>
    </row>
    <row r="8017" spans="1:3" s="8" customFormat="1" x14ac:dyDescent="0.2">
      <c r="A8017" s="6" t="str">
        <f>"SH3GL1"</f>
        <v>SH3GL1</v>
      </c>
      <c r="B8017" s="6">
        <v>0.16300000000000001</v>
      </c>
      <c r="C8017" s="6">
        <v>0.35755888223552801</v>
      </c>
    </row>
    <row r="8018" spans="1:3" s="8" customFormat="1" x14ac:dyDescent="0.2">
      <c r="A8018" s="6" t="str">
        <f>"LINC01811"</f>
        <v>LINC01811</v>
      </c>
      <c r="B8018" s="6">
        <v>0.16383616383616301</v>
      </c>
      <c r="C8018" s="6">
        <v>0.35872184097809701</v>
      </c>
    </row>
    <row r="8019" spans="1:3" s="8" customFormat="1" x14ac:dyDescent="0.2">
      <c r="A8019" s="6" t="str">
        <f>"ABHD1"</f>
        <v>ABHD1</v>
      </c>
      <c r="B8019" s="6">
        <v>0.16383616383616301</v>
      </c>
      <c r="C8019" s="6">
        <v>0.35872184097809701</v>
      </c>
    </row>
    <row r="8020" spans="1:3" s="8" customFormat="1" x14ac:dyDescent="0.2">
      <c r="A8020" s="6" t="str">
        <f>"AC011498.1"</f>
        <v>AC011498.1</v>
      </c>
      <c r="B8020" s="6">
        <v>0.16383616383616301</v>
      </c>
      <c r="C8020" s="6">
        <v>0.35872184097809701</v>
      </c>
    </row>
    <row r="8021" spans="1:3" s="8" customFormat="1" x14ac:dyDescent="0.2">
      <c r="A8021" s="6" t="str">
        <f>"LINC02618"</f>
        <v>LINC02618</v>
      </c>
      <c r="B8021" s="6">
        <v>0.16383616383616301</v>
      </c>
      <c r="C8021" s="6">
        <v>0.35872184097809701</v>
      </c>
    </row>
    <row r="8022" spans="1:3" s="8" customFormat="1" x14ac:dyDescent="0.2">
      <c r="A8022" s="6" t="str">
        <f>"CU639417.5"</f>
        <v>CU639417.5</v>
      </c>
      <c r="B8022" s="6">
        <v>0.16383616383616301</v>
      </c>
      <c r="C8022" s="6">
        <v>0.35872184097809701</v>
      </c>
    </row>
    <row r="8023" spans="1:3" s="8" customFormat="1" x14ac:dyDescent="0.2">
      <c r="A8023" s="6" t="str">
        <f>"ATP8A2"</f>
        <v>ATP8A2</v>
      </c>
      <c r="B8023" s="6">
        <v>0.16383616383616301</v>
      </c>
      <c r="C8023" s="6">
        <v>0.35872184097809701</v>
      </c>
    </row>
    <row r="8024" spans="1:3" s="8" customFormat="1" x14ac:dyDescent="0.2">
      <c r="A8024" s="6" t="str">
        <f>"SMIM13"</f>
        <v>SMIM13</v>
      </c>
      <c r="B8024" s="6">
        <v>0.16383616383616301</v>
      </c>
      <c r="C8024" s="6">
        <v>0.35872184097809701</v>
      </c>
    </row>
    <row r="8025" spans="1:3" s="8" customFormat="1" x14ac:dyDescent="0.2">
      <c r="A8025" s="6" t="str">
        <f>"FEZF1-AS1"</f>
        <v>FEZF1-AS1</v>
      </c>
      <c r="B8025" s="6">
        <v>0.16383616383616301</v>
      </c>
      <c r="C8025" s="6">
        <v>0.35872184097809701</v>
      </c>
    </row>
    <row r="8026" spans="1:3" s="8" customFormat="1" x14ac:dyDescent="0.2">
      <c r="A8026" s="6" t="str">
        <f>"TPSB2"</f>
        <v>TPSB2</v>
      </c>
      <c r="B8026" s="6">
        <v>0.16383616383616301</v>
      </c>
      <c r="C8026" s="6">
        <v>0.35872184097809701</v>
      </c>
    </row>
    <row r="8027" spans="1:3" s="8" customFormat="1" x14ac:dyDescent="0.2">
      <c r="A8027" s="6" t="str">
        <f>"KIFC2"</f>
        <v>KIFC2</v>
      </c>
      <c r="B8027" s="6">
        <v>0.16383616383616301</v>
      </c>
      <c r="C8027" s="6">
        <v>0.35872184097809701</v>
      </c>
    </row>
    <row r="8028" spans="1:3" s="8" customFormat="1" x14ac:dyDescent="0.2">
      <c r="A8028" s="6" t="str">
        <f>"ZNF398"</f>
        <v>ZNF398</v>
      </c>
      <c r="B8028" s="6">
        <v>0.16383616383616301</v>
      </c>
      <c r="C8028" s="6">
        <v>0.35872184097809701</v>
      </c>
    </row>
    <row r="8029" spans="1:3" s="8" customFormat="1" x14ac:dyDescent="0.2">
      <c r="A8029" s="6" t="str">
        <f>"GRWD1"</f>
        <v>GRWD1</v>
      </c>
      <c r="B8029" s="6">
        <v>0.16383616383616301</v>
      </c>
      <c r="C8029" s="6">
        <v>0.35872184097809701</v>
      </c>
    </row>
    <row r="8030" spans="1:3" s="8" customFormat="1" x14ac:dyDescent="0.2">
      <c r="A8030" s="6" t="str">
        <f>"TCTN3"</f>
        <v>TCTN3</v>
      </c>
      <c r="B8030" s="6">
        <v>0.16383616383616301</v>
      </c>
      <c r="C8030" s="6">
        <v>0.35872184097809701</v>
      </c>
    </row>
    <row r="8031" spans="1:3" s="8" customFormat="1" x14ac:dyDescent="0.2">
      <c r="A8031" s="6" t="str">
        <f>"ZNRF1"</f>
        <v>ZNRF1</v>
      </c>
      <c r="B8031" s="6">
        <v>0.16383616383616301</v>
      </c>
      <c r="C8031" s="6">
        <v>0.35872184097809701</v>
      </c>
    </row>
    <row r="8032" spans="1:3" s="8" customFormat="1" x14ac:dyDescent="0.2">
      <c r="A8032" s="6" t="str">
        <f>"TCEA3"</f>
        <v>TCEA3</v>
      </c>
      <c r="B8032" s="6">
        <v>0.16383616383616301</v>
      </c>
      <c r="C8032" s="6">
        <v>0.35872184097809701</v>
      </c>
    </row>
    <row r="8033" spans="1:3" s="8" customFormat="1" x14ac:dyDescent="0.2">
      <c r="A8033" s="6" t="str">
        <f>"IGHV3-53"</f>
        <v>IGHV3-53</v>
      </c>
      <c r="B8033" s="6">
        <v>0.16400000000000001</v>
      </c>
      <c r="C8033" s="6">
        <v>0.35899116145898102</v>
      </c>
    </row>
    <row r="8034" spans="1:3" s="8" customFormat="1" x14ac:dyDescent="0.2">
      <c r="A8034" s="6" t="str">
        <f>"HLA-DOB"</f>
        <v>HLA-DOB</v>
      </c>
      <c r="B8034" s="6">
        <v>0.16400000000000001</v>
      </c>
      <c r="C8034" s="6">
        <v>0.35899116145898102</v>
      </c>
    </row>
    <row r="8035" spans="1:3" s="8" customFormat="1" x14ac:dyDescent="0.2">
      <c r="A8035" s="6" t="str">
        <f>"AC008906.1"</f>
        <v>AC008906.1</v>
      </c>
      <c r="B8035" s="6">
        <v>0.16416416416416399</v>
      </c>
      <c r="C8035" s="6">
        <v>0.35930578325400298</v>
      </c>
    </row>
    <row r="8036" spans="1:3" s="8" customFormat="1" x14ac:dyDescent="0.2">
      <c r="A8036" s="6" t="str">
        <f>"SMR3B"</f>
        <v>SMR3B</v>
      </c>
      <c r="B8036" s="6">
        <v>0.16465863453815199</v>
      </c>
      <c r="C8036" s="6">
        <v>0.35969986826278699</v>
      </c>
    </row>
    <row r="8037" spans="1:3" s="8" customFormat="1" x14ac:dyDescent="0.2">
      <c r="A8037" s="6" t="str">
        <f>"IGLV1-47"</f>
        <v>IGLV1-47</v>
      </c>
      <c r="B8037" s="6">
        <v>0.164835164835164</v>
      </c>
      <c r="C8037" s="6">
        <v>0.35969986826278699</v>
      </c>
    </row>
    <row r="8038" spans="1:3" s="8" customFormat="1" x14ac:dyDescent="0.2">
      <c r="A8038" s="6" t="str">
        <f>"YBX1P6"</f>
        <v>YBX1P6</v>
      </c>
      <c r="B8038" s="6">
        <v>0.164835164835164</v>
      </c>
      <c r="C8038" s="6">
        <v>0.35969986826278699</v>
      </c>
    </row>
    <row r="8039" spans="1:3" s="8" customFormat="1" x14ac:dyDescent="0.2">
      <c r="A8039" s="6" t="str">
        <f>"AC010615.2"</f>
        <v>AC010615.2</v>
      </c>
      <c r="B8039" s="6">
        <v>0.164835164835164</v>
      </c>
      <c r="C8039" s="6">
        <v>0.35969986826278699</v>
      </c>
    </row>
    <row r="8040" spans="1:3" s="8" customFormat="1" x14ac:dyDescent="0.2">
      <c r="A8040" s="6" t="str">
        <f>"ANKRD18CP"</f>
        <v>ANKRD18CP</v>
      </c>
      <c r="B8040" s="6">
        <v>0.164835164835164</v>
      </c>
      <c r="C8040" s="6">
        <v>0.35969986826278699</v>
      </c>
    </row>
    <row r="8041" spans="1:3" s="8" customFormat="1" x14ac:dyDescent="0.2">
      <c r="A8041" s="6" t="str">
        <f>"MAP1LC3C"</f>
        <v>MAP1LC3C</v>
      </c>
      <c r="B8041" s="6">
        <v>0.16464646464646401</v>
      </c>
      <c r="C8041" s="6">
        <v>0.35969986826278699</v>
      </c>
    </row>
    <row r="8042" spans="1:3" s="8" customFormat="1" x14ac:dyDescent="0.2">
      <c r="A8042" s="6" t="str">
        <f>"AL671710.1"</f>
        <v>AL671710.1</v>
      </c>
      <c r="B8042" s="6">
        <v>0.16470588235294101</v>
      </c>
      <c r="C8042" s="6">
        <v>0.35969986826278699</v>
      </c>
    </row>
    <row r="8043" spans="1:3" s="8" customFormat="1" x14ac:dyDescent="0.2">
      <c r="A8043" s="6" t="str">
        <f>"AC147067.1"</f>
        <v>AC147067.1</v>
      </c>
      <c r="B8043" s="6">
        <v>0.164835164835164</v>
      </c>
      <c r="C8043" s="6">
        <v>0.35969986826278699</v>
      </c>
    </row>
    <row r="8044" spans="1:3" s="8" customFormat="1" x14ac:dyDescent="0.2">
      <c r="A8044" s="6" t="str">
        <f>"Z95114.3"</f>
        <v>Z95114.3</v>
      </c>
      <c r="B8044" s="6">
        <v>0.164835164835164</v>
      </c>
      <c r="C8044" s="6">
        <v>0.35969986826278699</v>
      </c>
    </row>
    <row r="8045" spans="1:3" s="8" customFormat="1" x14ac:dyDescent="0.2">
      <c r="A8045" s="6" t="str">
        <f>"AC093911.1"</f>
        <v>AC093911.1</v>
      </c>
      <c r="B8045" s="6">
        <v>0.164835164835164</v>
      </c>
      <c r="C8045" s="6">
        <v>0.35969986826278699</v>
      </c>
    </row>
    <row r="8046" spans="1:3" s="8" customFormat="1" x14ac:dyDescent="0.2">
      <c r="A8046" s="6" t="str">
        <f>"SEPTIN7P2"</f>
        <v>SEPTIN7P2</v>
      </c>
      <c r="B8046" s="6">
        <v>0.164835164835164</v>
      </c>
      <c r="C8046" s="6">
        <v>0.35969986826278699</v>
      </c>
    </row>
    <row r="8047" spans="1:3" s="8" customFormat="1" x14ac:dyDescent="0.2">
      <c r="A8047" s="6" t="str">
        <f>"MRM1"</f>
        <v>MRM1</v>
      </c>
      <c r="B8047" s="6">
        <v>0.164835164835164</v>
      </c>
      <c r="C8047" s="6">
        <v>0.35969986826278699</v>
      </c>
    </row>
    <row r="8048" spans="1:3" s="8" customFormat="1" x14ac:dyDescent="0.2">
      <c r="A8048" s="6" t="str">
        <f>"LINC00332"</f>
        <v>LINC00332</v>
      </c>
      <c r="B8048" s="6">
        <v>0.164835164835164</v>
      </c>
      <c r="C8048" s="6">
        <v>0.35969986826278699</v>
      </c>
    </row>
    <row r="8049" spans="1:3" s="8" customFormat="1" x14ac:dyDescent="0.2">
      <c r="A8049" s="6" t="str">
        <f>"TMEM64"</f>
        <v>TMEM64</v>
      </c>
      <c r="B8049" s="6">
        <v>0.164835164835164</v>
      </c>
      <c r="C8049" s="6">
        <v>0.35969986826278699</v>
      </c>
    </row>
    <row r="8050" spans="1:3" s="8" customFormat="1" x14ac:dyDescent="0.2">
      <c r="A8050" s="6" t="str">
        <f>"DAB2"</f>
        <v>DAB2</v>
      </c>
      <c r="B8050" s="6">
        <v>0.164835164835164</v>
      </c>
      <c r="C8050" s="6">
        <v>0.35969986826278699</v>
      </c>
    </row>
    <row r="8051" spans="1:3" s="8" customFormat="1" x14ac:dyDescent="0.2">
      <c r="A8051" s="6" t="str">
        <f>"SEC22A"</f>
        <v>SEC22A</v>
      </c>
      <c r="B8051" s="6">
        <v>0.164835164835164</v>
      </c>
      <c r="C8051" s="6">
        <v>0.35969986826278699</v>
      </c>
    </row>
    <row r="8052" spans="1:3" s="8" customFormat="1" x14ac:dyDescent="0.2">
      <c r="A8052" s="6" t="str">
        <f>"CASTOR2"</f>
        <v>CASTOR2</v>
      </c>
      <c r="B8052" s="6">
        <v>0.164835164835164</v>
      </c>
      <c r="C8052" s="6">
        <v>0.35969986826278699</v>
      </c>
    </row>
    <row r="8053" spans="1:3" s="8" customFormat="1" x14ac:dyDescent="0.2">
      <c r="A8053" s="6" t="str">
        <f>"EPM2AIP1"</f>
        <v>EPM2AIP1</v>
      </c>
      <c r="B8053" s="6">
        <v>0.164835164835164</v>
      </c>
      <c r="C8053" s="6">
        <v>0.35969986826278699</v>
      </c>
    </row>
    <row r="8054" spans="1:3" s="8" customFormat="1" x14ac:dyDescent="0.2">
      <c r="A8054" s="6" t="str">
        <f>"TP53"</f>
        <v>TP53</v>
      </c>
      <c r="B8054" s="6">
        <v>0.164835164835164</v>
      </c>
      <c r="C8054" s="6">
        <v>0.35969986826278699</v>
      </c>
    </row>
    <row r="8055" spans="1:3" s="8" customFormat="1" x14ac:dyDescent="0.2">
      <c r="A8055" s="6" t="str">
        <f>"CREB3"</f>
        <v>CREB3</v>
      </c>
      <c r="B8055" s="6">
        <v>0.164835164835164</v>
      </c>
      <c r="C8055" s="6">
        <v>0.35969986826278699</v>
      </c>
    </row>
    <row r="8056" spans="1:3" s="8" customFormat="1" x14ac:dyDescent="0.2">
      <c r="A8056" s="6" t="str">
        <f>"ETV3"</f>
        <v>ETV3</v>
      </c>
      <c r="B8056" s="6">
        <v>0.164835164835164</v>
      </c>
      <c r="C8056" s="6">
        <v>0.35969986826278699</v>
      </c>
    </row>
    <row r="8057" spans="1:3" s="8" customFormat="1" x14ac:dyDescent="0.2">
      <c r="A8057" s="6" t="str">
        <f>"TCTA"</f>
        <v>TCTA</v>
      </c>
      <c r="B8057" s="6">
        <v>0.164835164835164</v>
      </c>
      <c r="C8057" s="6">
        <v>0.35969986826278699</v>
      </c>
    </row>
    <row r="8058" spans="1:3" s="8" customFormat="1" x14ac:dyDescent="0.2">
      <c r="A8058" s="6" t="str">
        <f>"IL13RA1"</f>
        <v>IL13RA1</v>
      </c>
      <c r="B8058" s="6">
        <v>0.164835164835164</v>
      </c>
      <c r="C8058" s="6">
        <v>0.35969986826278699</v>
      </c>
    </row>
    <row r="8059" spans="1:3" s="8" customFormat="1" x14ac:dyDescent="0.2">
      <c r="A8059" s="6" t="str">
        <f>"ETS2"</f>
        <v>ETS2</v>
      </c>
      <c r="B8059" s="6">
        <v>0.164835164835164</v>
      </c>
      <c r="C8059" s="6">
        <v>0.35969986826278699</v>
      </c>
    </row>
    <row r="8060" spans="1:3" s="8" customFormat="1" x14ac:dyDescent="0.2">
      <c r="A8060" s="6" t="str">
        <f>"AC073593.2"</f>
        <v>AC073593.2</v>
      </c>
      <c r="B8060" s="6">
        <v>0.16514954486345901</v>
      </c>
      <c r="C8060" s="6">
        <v>0.36034118338243698</v>
      </c>
    </row>
    <row r="8061" spans="1:3" s="8" customFormat="1" x14ac:dyDescent="0.2">
      <c r="A8061" s="6" t="str">
        <f>"C16orf71"</f>
        <v>C16orf71</v>
      </c>
      <c r="B8061" s="6">
        <v>0.16533066132264501</v>
      </c>
      <c r="C8061" s="6">
        <v>0.36069160653813798</v>
      </c>
    </row>
    <row r="8062" spans="1:3" s="8" customFormat="1" x14ac:dyDescent="0.2">
      <c r="A8062" s="6" t="str">
        <f>"AC012087.2"</f>
        <v>AC012087.2</v>
      </c>
      <c r="B8062" s="6">
        <v>0.16583416583416499</v>
      </c>
      <c r="C8062" s="6">
        <v>0.36089455099355999</v>
      </c>
    </row>
    <row r="8063" spans="1:3" s="8" customFormat="1" x14ac:dyDescent="0.2">
      <c r="A8063" s="6" t="str">
        <f>"AC020928.2"</f>
        <v>AC020928.2</v>
      </c>
      <c r="B8063" s="6">
        <v>0.16583416583416499</v>
      </c>
      <c r="C8063" s="6">
        <v>0.36089455099355999</v>
      </c>
    </row>
    <row r="8064" spans="1:3" s="8" customFormat="1" x14ac:dyDescent="0.2">
      <c r="A8064" s="6" t="str">
        <f>"NCAM2"</f>
        <v>NCAM2</v>
      </c>
      <c r="B8064" s="6">
        <v>0.16583416583416499</v>
      </c>
      <c r="C8064" s="6">
        <v>0.36089455099355999</v>
      </c>
    </row>
    <row r="8065" spans="1:3" s="8" customFormat="1" x14ac:dyDescent="0.2">
      <c r="A8065" s="6" t="str">
        <f>"ICAM4"</f>
        <v>ICAM4</v>
      </c>
      <c r="B8065" s="6">
        <v>0.16583416583416499</v>
      </c>
      <c r="C8065" s="6">
        <v>0.36089455099355999</v>
      </c>
    </row>
    <row r="8066" spans="1:3" s="8" customFormat="1" x14ac:dyDescent="0.2">
      <c r="A8066" s="6" t="str">
        <f>"SULT1A2"</f>
        <v>SULT1A2</v>
      </c>
      <c r="B8066" s="6">
        <v>0.16583416583416499</v>
      </c>
      <c r="C8066" s="6">
        <v>0.36089455099355999</v>
      </c>
    </row>
    <row r="8067" spans="1:3" s="8" customFormat="1" x14ac:dyDescent="0.2">
      <c r="A8067" s="6" t="str">
        <f>"ZNF154"</f>
        <v>ZNF154</v>
      </c>
      <c r="B8067" s="6">
        <v>0.16583416583416499</v>
      </c>
      <c r="C8067" s="6">
        <v>0.36089455099355999</v>
      </c>
    </row>
    <row r="8068" spans="1:3" s="8" customFormat="1" x14ac:dyDescent="0.2">
      <c r="A8068" s="6" t="str">
        <f>"C7orf31"</f>
        <v>C7orf31</v>
      </c>
      <c r="B8068" s="6">
        <v>0.16583416583416499</v>
      </c>
      <c r="C8068" s="6">
        <v>0.36089455099355999</v>
      </c>
    </row>
    <row r="8069" spans="1:3" s="8" customFormat="1" x14ac:dyDescent="0.2">
      <c r="A8069" s="6" t="str">
        <f>"AC126474.2"</f>
        <v>AC126474.2</v>
      </c>
      <c r="B8069" s="6">
        <v>0.16583416583416499</v>
      </c>
      <c r="C8069" s="6">
        <v>0.36089455099355999</v>
      </c>
    </row>
    <row r="8070" spans="1:3" s="8" customFormat="1" x14ac:dyDescent="0.2">
      <c r="A8070" s="6" t="str">
        <f>"AL354953.1"</f>
        <v>AL354953.1</v>
      </c>
      <c r="B8070" s="6">
        <v>0.16583416583416499</v>
      </c>
      <c r="C8070" s="6">
        <v>0.36089455099355999</v>
      </c>
    </row>
    <row r="8071" spans="1:3" s="8" customFormat="1" x14ac:dyDescent="0.2">
      <c r="A8071" s="6" t="str">
        <f>"HECTD2"</f>
        <v>HECTD2</v>
      </c>
      <c r="B8071" s="6">
        <v>0.16583416583416499</v>
      </c>
      <c r="C8071" s="6">
        <v>0.36089455099355999</v>
      </c>
    </row>
    <row r="8072" spans="1:3" s="8" customFormat="1" x14ac:dyDescent="0.2">
      <c r="A8072" s="6" t="str">
        <f>"OGG1"</f>
        <v>OGG1</v>
      </c>
      <c r="B8072" s="6">
        <v>0.16583416583416499</v>
      </c>
      <c r="C8072" s="6">
        <v>0.36089455099355999</v>
      </c>
    </row>
    <row r="8073" spans="1:3" s="8" customFormat="1" x14ac:dyDescent="0.2">
      <c r="A8073" s="6" t="str">
        <f>"SLC36A1"</f>
        <v>SLC36A1</v>
      </c>
      <c r="B8073" s="6">
        <v>0.16583416583416499</v>
      </c>
      <c r="C8073" s="6">
        <v>0.36089455099355999</v>
      </c>
    </row>
    <row r="8074" spans="1:3" s="8" customFormat="1" x14ac:dyDescent="0.2">
      <c r="A8074" s="6" t="str">
        <f>"RIOK2"</f>
        <v>RIOK2</v>
      </c>
      <c r="B8074" s="6">
        <v>0.16583416583416499</v>
      </c>
      <c r="C8074" s="6">
        <v>0.36089455099355999</v>
      </c>
    </row>
    <row r="8075" spans="1:3" s="8" customFormat="1" x14ac:dyDescent="0.2">
      <c r="A8075" s="6" t="str">
        <f>"CTDSPL2"</f>
        <v>CTDSPL2</v>
      </c>
      <c r="B8075" s="6">
        <v>0.16583416583416499</v>
      </c>
      <c r="C8075" s="6">
        <v>0.36089455099355999</v>
      </c>
    </row>
    <row r="8076" spans="1:3" s="8" customFormat="1" x14ac:dyDescent="0.2">
      <c r="A8076" s="6" t="str">
        <f>"TPBG"</f>
        <v>TPBG</v>
      </c>
      <c r="B8076" s="6">
        <v>0.16583416583416499</v>
      </c>
      <c r="C8076" s="6">
        <v>0.36089455099355999</v>
      </c>
    </row>
    <row r="8077" spans="1:3" s="8" customFormat="1" x14ac:dyDescent="0.2">
      <c r="A8077" s="6" t="str">
        <f>"MRPL20"</f>
        <v>MRPL20</v>
      </c>
      <c r="B8077" s="6">
        <v>0.16583416583416499</v>
      </c>
      <c r="C8077" s="6">
        <v>0.36089455099355999</v>
      </c>
    </row>
    <row r="8078" spans="1:3" s="8" customFormat="1" x14ac:dyDescent="0.2">
      <c r="A8078" s="6" t="str">
        <f>"FBRSL1"</f>
        <v>FBRSL1</v>
      </c>
      <c r="B8078" s="6">
        <v>0.16583416583416499</v>
      </c>
      <c r="C8078" s="6">
        <v>0.36089455099355999</v>
      </c>
    </row>
    <row r="8079" spans="1:3" s="8" customFormat="1" x14ac:dyDescent="0.2">
      <c r="A8079" s="6" t="str">
        <f>"ATP6V0D1"</f>
        <v>ATP6V0D1</v>
      </c>
      <c r="B8079" s="6">
        <v>0.16583416583416499</v>
      </c>
      <c r="C8079" s="6">
        <v>0.36089455099355999</v>
      </c>
    </row>
    <row r="8080" spans="1:3" s="8" customFormat="1" x14ac:dyDescent="0.2">
      <c r="A8080" s="6" t="str">
        <f>"SSRP1"</f>
        <v>SSRP1</v>
      </c>
      <c r="B8080" s="6">
        <v>0.16583416583416499</v>
      </c>
      <c r="C8080" s="6">
        <v>0.36089455099355999</v>
      </c>
    </row>
    <row r="8081" spans="1:3" s="8" customFormat="1" x14ac:dyDescent="0.2">
      <c r="A8081" s="6" t="str">
        <f>"ARFGEF3"</f>
        <v>ARFGEF3</v>
      </c>
      <c r="B8081" s="6">
        <v>0.16583416583416499</v>
      </c>
      <c r="C8081" s="6">
        <v>0.36089455099355999</v>
      </c>
    </row>
    <row r="8082" spans="1:3" s="8" customFormat="1" x14ac:dyDescent="0.2">
      <c r="A8082" s="6" t="str">
        <f>"JMJD1C-AS1"</f>
        <v>JMJD1C-AS1</v>
      </c>
      <c r="B8082" s="6">
        <v>0.16600000000000001</v>
      </c>
      <c r="C8082" s="6">
        <v>0.36116604800791802</v>
      </c>
    </row>
    <row r="8083" spans="1:3" s="8" customFormat="1" x14ac:dyDescent="0.2">
      <c r="A8083" s="6" t="str">
        <f>"PTGES3"</f>
        <v>PTGES3</v>
      </c>
      <c r="B8083" s="6">
        <v>0.16600000000000001</v>
      </c>
      <c r="C8083" s="6">
        <v>0.36116604800791802</v>
      </c>
    </row>
    <row r="8084" spans="1:3" s="8" customFormat="1" x14ac:dyDescent="0.2">
      <c r="A8084" s="6" t="str">
        <f>"AC119427.1"</f>
        <v>AC119427.1</v>
      </c>
      <c r="B8084" s="6">
        <v>0.166166166166166</v>
      </c>
      <c r="C8084" s="6">
        <v>0.36148284867819602</v>
      </c>
    </row>
    <row r="8085" spans="1:3" s="8" customFormat="1" x14ac:dyDescent="0.2">
      <c r="A8085" s="6" t="str">
        <f>"AC073878.1"</f>
        <v>AC073878.1</v>
      </c>
      <c r="B8085" s="6">
        <v>0.16683316683316601</v>
      </c>
      <c r="C8085" s="6">
        <v>0.36199338667255698</v>
      </c>
    </row>
    <row r="8086" spans="1:3" s="8" customFormat="1" x14ac:dyDescent="0.2">
      <c r="A8086" s="6" t="str">
        <f>"AL139424.3"</f>
        <v>AL139424.3</v>
      </c>
      <c r="B8086" s="6">
        <v>0.16683316683316601</v>
      </c>
      <c r="C8086" s="6">
        <v>0.36199338667255698</v>
      </c>
    </row>
    <row r="8087" spans="1:3" s="8" customFormat="1" x14ac:dyDescent="0.2">
      <c r="A8087" s="6" t="str">
        <f>"CLDN11"</f>
        <v>CLDN11</v>
      </c>
      <c r="B8087" s="6">
        <v>0.16683316683316601</v>
      </c>
      <c r="C8087" s="6">
        <v>0.36199338667255698</v>
      </c>
    </row>
    <row r="8088" spans="1:3" s="8" customFormat="1" x14ac:dyDescent="0.2">
      <c r="A8088" s="6" t="str">
        <f>"DLGAP1-AS5"</f>
        <v>DLGAP1-AS5</v>
      </c>
      <c r="B8088" s="6">
        <v>0.16683316683316601</v>
      </c>
      <c r="C8088" s="6">
        <v>0.36199338667255698</v>
      </c>
    </row>
    <row r="8089" spans="1:3" s="8" customFormat="1" x14ac:dyDescent="0.2">
      <c r="A8089" s="6" t="str">
        <f>"ZRANB3"</f>
        <v>ZRANB3</v>
      </c>
      <c r="B8089" s="6">
        <v>0.16683316683316601</v>
      </c>
      <c r="C8089" s="6">
        <v>0.36199338667255698</v>
      </c>
    </row>
    <row r="8090" spans="1:3" s="8" customFormat="1" x14ac:dyDescent="0.2">
      <c r="A8090" s="6" t="str">
        <f>"KIF7"</f>
        <v>KIF7</v>
      </c>
      <c r="B8090" s="6">
        <v>0.16683316683316601</v>
      </c>
      <c r="C8090" s="6">
        <v>0.36199338667255698</v>
      </c>
    </row>
    <row r="8091" spans="1:3" s="8" customFormat="1" x14ac:dyDescent="0.2">
      <c r="A8091" s="6" t="str">
        <f>"PDIK1L"</f>
        <v>PDIK1L</v>
      </c>
      <c r="B8091" s="6">
        <v>0.16683316683316601</v>
      </c>
      <c r="C8091" s="6">
        <v>0.36199338667255698</v>
      </c>
    </row>
    <row r="8092" spans="1:3" s="8" customFormat="1" x14ac:dyDescent="0.2">
      <c r="A8092" s="6" t="str">
        <f>"PMM1"</f>
        <v>PMM1</v>
      </c>
      <c r="B8092" s="6">
        <v>0.16683316683316601</v>
      </c>
      <c r="C8092" s="6">
        <v>0.36199338667255698</v>
      </c>
    </row>
    <row r="8093" spans="1:3" s="8" customFormat="1" x14ac:dyDescent="0.2">
      <c r="A8093" s="6" t="str">
        <f>"TENT4B"</f>
        <v>TENT4B</v>
      </c>
      <c r="B8093" s="6">
        <v>0.16683316683316601</v>
      </c>
      <c r="C8093" s="6">
        <v>0.36199338667255698</v>
      </c>
    </row>
    <row r="8094" spans="1:3" s="8" customFormat="1" x14ac:dyDescent="0.2">
      <c r="A8094" s="6" t="str">
        <f>"ZNF451"</f>
        <v>ZNF451</v>
      </c>
      <c r="B8094" s="6">
        <v>0.16683316683316601</v>
      </c>
      <c r="C8094" s="6">
        <v>0.36199338667255698</v>
      </c>
    </row>
    <row r="8095" spans="1:3" s="8" customFormat="1" x14ac:dyDescent="0.2">
      <c r="A8095" s="6" t="str">
        <f>"SLC40A1"</f>
        <v>SLC40A1</v>
      </c>
      <c r="B8095" s="6">
        <v>0.16683316683316601</v>
      </c>
      <c r="C8095" s="6">
        <v>0.36199338667255698</v>
      </c>
    </row>
    <row r="8096" spans="1:3" s="8" customFormat="1" x14ac:dyDescent="0.2">
      <c r="A8096" s="6" t="str">
        <f>"SH3BP5L"</f>
        <v>SH3BP5L</v>
      </c>
      <c r="B8096" s="6">
        <v>0.16683316683316601</v>
      </c>
      <c r="C8096" s="6">
        <v>0.36199338667255698</v>
      </c>
    </row>
    <row r="8097" spans="1:3" s="8" customFormat="1" x14ac:dyDescent="0.2">
      <c r="A8097" s="6" t="str">
        <f>"PHACTR2"</f>
        <v>PHACTR2</v>
      </c>
      <c r="B8097" s="6">
        <v>0.16683316683316601</v>
      </c>
      <c r="C8097" s="6">
        <v>0.36199338667255698</v>
      </c>
    </row>
    <row r="8098" spans="1:3" s="8" customFormat="1" x14ac:dyDescent="0.2">
      <c r="A8098" s="6" t="str">
        <f>"PRPF31"</f>
        <v>PRPF31</v>
      </c>
      <c r="B8098" s="6">
        <v>0.16683316683316601</v>
      </c>
      <c r="C8098" s="6">
        <v>0.36199338667255698</v>
      </c>
    </row>
    <row r="8099" spans="1:3" s="8" customFormat="1" x14ac:dyDescent="0.2">
      <c r="A8099" s="6" t="str">
        <f>"NIN"</f>
        <v>NIN</v>
      </c>
      <c r="B8099" s="6">
        <v>0.16683316683316601</v>
      </c>
      <c r="C8099" s="6">
        <v>0.36199338667255698</v>
      </c>
    </row>
    <row r="8100" spans="1:3" s="8" customFormat="1" x14ac:dyDescent="0.2">
      <c r="A8100" s="6" t="str">
        <f>"ILF2"</f>
        <v>ILF2</v>
      </c>
      <c r="B8100" s="6">
        <v>0.16683316683316601</v>
      </c>
      <c r="C8100" s="6">
        <v>0.36199338667255698</v>
      </c>
    </row>
    <row r="8101" spans="1:3" s="8" customFormat="1" x14ac:dyDescent="0.2">
      <c r="A8101" s="6" t="str">
        <f>"LSR"</f>
        <v>LSR</v>
      </c>
      <c r="B8101" s="6">
        <v>0.16683316683316601</v>
      </c>
      <c r="C8101" s="6">
        <v>0.36199338667255698</v>
      </c>
    </row>
    <row r="8102" spans="1:3" s="8" customFormat="1" x14ac:dyDescent="0.2">
      <c r="A8102" s="6" t="str">
        <f>"DTHD1"</f>
        <v>DTHD1</v>
      </c>
      <c r="B8102" s="6">
        <v>0.16683316683316601</v>
      </c>
      <c r="C8102" s="6">
        <v>0.36199338667255698</v>
      </c>
    </row>
    <row r="8103" spans="1:3" s="8" customFormat="1" x14ac:dyDescent="0.2">
      <c r="A8103" s="6" t="str">
        <f>"PALLD"</f>
        <v>PALLD</v>
      </c>
      <c r="B8103" s="6">
        <v>0.16683316683316601</v>
      </c>
      <c r="C8103" s="6">
        <v>0.36199338667255698</v>
      </c>
    </row>
    <row r="8104" spans="1:3" s="8" customFormat="1" x14ac:dyDescent="0.2">
      <c r="A8104" s="6" t="str">
        <f>"ANKRD11"</f>
        <v>ANKRD11</v>
      </c>
      <c r="B8104" s="6">
        <v>0.16683316683316601</v>
      </c>
      <c r="C8104" s="6">
        <v>0.36199338667255698</v>
      </c>
    </row>
    <row r="8105" spans="1:3" s="8" customFormat="1" x14ac:dyDescent="0.2">
      <c r="A8105" s="6" t="str">
        <f>"PGD"</f>
        <v>PGD</v>
      </c>
      <c r="B8105" s="6">
        <v>0.16683316683316601</v>
      </c>
      <c r="C8105" s="6">
        <v>0.36199338667255698</v>
      </c>
    </row>
    <row r="8106" spans="1:3" s="8" customFormat="1" x14ac:dyDescent="0.2">
      <c r="A8106" s="6" t="str">
        <f>"MBD2"</f>
        <v>MBD2</v>
      </c>
      <c r="B8106" s="6">
        <v>0.16700000000000001</v>
      </c>
      <c r="C8106" s="6">
        <v>0.362265975820379</v>
      </c>
    </row>
    <row r="8107" spans="1:3" s="8" customFormat="1" x14ac:dyDescent="0.2">
      <c r="A8107" s="6" t="str">
        <f>"RNPEPL1"</f>
        <v>RNPEPL1</v>
      </c>
      <c r="B8107" s="6">
        <v>0.16700000000000001</v>
      </c>
      <c r="C8107" s="6">
        <v>0.362265975820379</v>
      </c>
    </row>
    <row r="8108" spans="1:3" s="8" customFormat="1" x14ac:dyDescent="0.2">
      <c r="A8108" s="6" t="str">
        <f>"AC026979.2"</f>
        <v>AC026979.2</v>
      </c>
      <c r="B8108" s="6">
        <v>0.16716716716716701</v>
      </c>
      <c r="C8108" s="6">
        <v>0.36258387411711601</v>
      </c>
    </row>
    <row r="8109" spans="1:3" s="8" customFormat="1" x14ac:dyDescent="0.2">
      <c r="A8109" s="6" t="str">
        <f>"RIMS4"</f>
        <v>RIMS4</v>
      </c>
      <c r="B8109" s="6">
        <v>0.16783216783216701</v>
      </c>
      <c r="C8109" s="6">
        <v>0.36308573316447301</v>
      </c>
    </row>
    <row r="8110" spans="1:3" s="8" customFormat="1" x14ac:dyDescent="0.2">
      <c r="A8110" s="6" t="str">
        <f>"AC092569.1"</f>
        <v>AC092569.1</v>
      </c>
      <c r="B8110" s="6">
        <v>0.16783216783216701</v>
      </c>
      <c r="C8110" s="6">
        <v>0.36308573316447301</v>
      </c>
    </row>
    <row r="8111" spans="1:3" s="8" customFormat="1" x14ac:dyDescent="0.2">
      <c r="A8111" s="6" t="str">
        <f>"NDP"</f>
        <v>NDP</v>
      </c>
      <c r="B8111" s="6">
        <v>0.16783216783216701</v>
      </c>
      <c r="C8111" s="6">
        <v>0.36308573316447301</v>
      </c>
    </row>
    <row r="8112" spans="1:3" s="8" customFormat="1" x14ac:dyDescent="0.2">
      <c r="A8112" s="6" t="str">
        <f>"GUCY2F"</f>
        <v>GUCY2F</v>
      </c>
      <c r="B8112" s="6">
        <v>0.16783216783216701</v>
      </c>
      <c r="C8112" s="6">
        <v>0.36308573316447301</v>
      </c>
    </row>
    <row r="8113" spans="1:3" s="8" customFormat="1" x14ac:dyDescent="0.2">
      <c r="A8113" s="6" t="str">
        <f>"AC069200.1"</f>
        <v>AC069200.1</v>
      </c>
      <c r="B8113" s="6">
        <v>0.16783216783216701</v>
      </c>
      <c r="C8113" s="6">
        <v>0.36308573316447301</v>
      </c>
    </row>
    <row r="8114" spans="1:3" s="8" customFormat="1" x14ac:dyDescent="0.2">
      <c r="A8114" s="6" t="str">
        <f>"DOK2"</f>
        <v>DOK2</v>
      </c>
      <c r="B8114" s="6">
        <v>0.16783216783216701</v>
      </c>
      <c r="C8114" s="6">
        <v>0.36308573316447301</v>
      </c>
    </row>
    <row r="8115" spans="1:3" s="8" customFormat="1" x14ac:dyDescent="0.2">
      <c r="A8115" s="6" t="str">
        <f>"AC026471.1"</f>
        <v>AC026471.1</v>
      </c>
      <c r="B8115" s="6">
        <v>0.16783216783216701</v>
      </c>
      <c r="C8115" s="6">
        <v>0.36308573316447301</v>
      </c>
    </row>
    <row r="8116" spans="1:3" s="8" customFormat="1" x14ac:dyDescent="0.2">
      <c r="A8116" s="6" t="str">
        <f>"METTL8"</f>
        <v>METTL8</v>
      </c>
      <c r="B8116" s="6">
        <v>0.16783216783216701</v>
      </c>
      <c r="C8116" s="6">
        <v>0.36308573316447301</v>
      </c>
    </row>
    <row r="8117" spans="1:3" s="8" customFormat="1" x14ac:dyDescent="0.2">
      <c r="A8117" s="6" t="str">
        <f>"AC110619.1"</f>
        <v>AC110619.1</v>
      </c>
      <c r="B8117" s="6">
        <v>0.16783216783216701</v>
      </c>
      <c r="C8117" s="6">
        <v>0.36308573316447301</v>
      </c>
    </row>
    <row r="8118" spans="1:3" s="8" customFormat="1" x14ac:dyDescent="0.2">
      <c r="A8118" s="6" t="str">
        <f>"ZBTB14"</f>
        <v>ZBTB14</v>
      </c>
      <c r="B8118" s="6">
        <v>0.16783216783216701</v>
      </c>
      <c r="C8118" s="6">
        <v>0.36308573316447301</v>
      </c>
    </row>
    <row r="8119" spans="1:3" s="8" customFormat="1" x14ac:dyDescent="0.2">
      <c r="A8119" s="6" t="str">
        <f>"CUEDC2"</f>
        <v>CUEDC2</v>
      </c>
      <c r="B8119" s="6">
        <v>0.16783216783216701</v>
      </c>
      <c r="C8119" s="6">
        <v>0.36308573316447301</v>
      </c>
    </row>
    <row r="8120" spans="1:3" s="8" customFormat="1" x14ac:dyDescent="0.2">
      <c r="A8120" s="6" t="str">
        <f>"PLCD3"</f>
        <v>PLCD3</v>
      </c>
      <c r="B8120" s="6">
        <v>0.16783216783216701</v>
      </c>
      <c r="C8120" s="6">
        <v>0.36308573316447301</v>
      </c>
    </row>
    <row r="8121" spans="1:3" s="8" customFormat="1" x14ac:dyDescent="0.2">
      <c r="A8121" s="6" t="str">
        <f>"SH2D3A"</f>
        <v>SH2D3A</v>
      </c>
      <c r="B8121" s="6">
        <v>0.16783216783216701</v>
      </c>
      <c r="C8121" s="6">
        <v>0.36308573316447301</v>
      </c>
    </row>
    <row r="8122" spans="1:3" s="8" customFormat="1" x14ac:dyDescent="0.2">
      <c r="A8122" s="6" t="str">
        <f>"STAP2"</f>
        <v>STAP2</v>
      </c>
      <c r="B8122" s="6">
        <v>0.16783216783216701</v>
      </c>
      <c r="C8122" s="6">
        <v>0.36308573316447301</v>
      </c>
    </row>
    <row r="8123" spans="1:3" s="8" customFormat="1" x14ac:dyDescent="0.2">
      <c r="A8123" s="6" t="str">
        <f>"BBS2"</f>
        <v>BBS2</v>
      </c>
      <c r="B8123" s="6">
        <v>0.16783216783216701</v>
      </c>
      <c r="C8123" s="6">
        <v>0.36308573316447301</v>
      </c>
    </row>
    <row r="8124" spans="1:3" s="8" customFormat="1" x14ac:dyDescent="0.2">
      <c r="A8124" s="6" t="str">
        <f>"SLC39A6"</f>
        <v>SLC39A6</v>
      </c>
      <c r="B8124" s="6">
        <v>0.16783216783216701</v>
      </c>
      <c r="C8124" s="6">
        <v>0.36308573316447301</v>
      </c>
    </row>
    <row r="8125" spans="1:3" s="8" customFormat="1" x14ac:dyDescent="0.2">
      <c r="A8125" s="6" t="str">
        <f>"RAPGEF1"</f>
        <v>RAPGEF1</v>
      </c>
      <c r="B8125" s="6">
        <v>0.16783216783216701</v>
      </c>
      <c r="C8125" s="6">
        <v>0.36308573316447301</v>
      </c>
    </row>
    <row r="8126" spans="1:3" s="8" customFormat="1" x14ac:dyDescent="0.2">
      <c r="A8126" s="6" t="str">
        <f>"GCN1"</f>
        <v>GCN1</v>
      </c>
      <c r="B8126" s="6">
        <v>0.16783216783216701</v>
      </c>
      <c r="C8126" s="6">
        <v>0.36308573316447301</v>
      </c>
    </row>
    <row r="8127" spans="1:3" s="8" customFormat="1" x14ac:dyDescent="0.2">
      <c r="A8127" s="6" t="str">
        <f>"TSPAN13"</f>
        <v>TSPAN13</v>
      </c>
      <c r="B8127" s="6">
        <v>0.16783216783216701</v>
      </c>
      <c r="C8127" s="6">
        <v>0.36308573316447301</v>
      </c>
    </row>
    <row r="8128" spans="1:3" s="8" customFormat="1" x14ac:dyDescent="0.2">
      <c r="A8128" s="6" t="str">
        <f>"CFAP43"</f>
        <v>CFAP43</v>
      </c>
      <c r="B8128" s="6">
        <v>0.16783216783216701</v>
      </c>
      <c r="C8128" s="6">
        <v>0.36308573316447301</v>
      </c>
    </row>
    <row r="8129" spans="1:3" s="8" customFormat="1" x14ac:dyDescent="0.2">
      <c r="A8129" s="6" t="str">
        <f>"TALDO1"</f>
        <v>TALDO1</v>
      </c>
      <c r="B8129" s="6">
        <v>0.16783216783216701</v>
      </c>
      <c r="C8129" s="6">
        <v>0.36308573316447301</v>
      </c>
    </row>
    <row r="8130" spans="1:3" s="8" customFormat="1" x14ac:dyDescent="0.2">
      <c r="A8130" s="6" t="str">
        <f>"JAK1"</f>
        <v>JAK1</v>
      </c>
      <c r="B8130" s="6">
        <v>0.16800000000000001</v>
      </c>
      <c r="C8130" s="6">
        <v>0.36340410874646301</v>
      </c>
    </row>
    <row r="8131" spans="1:3" s="8" customFormat="1" x14ac:dyDescent="0.2">
      <c r="A8131" s="6" t="str">
        <f>"SERINC4"</f>
        <v>SERINC4</v>
      </c>
      <c r="B8131" s="6">
        <v>0.16816816816816799</v>
      </c>
      <c r="C8131" s="6">
        <v>0.363723132726822</v>
      </c>
    </row>
    <row r="8132" spans="1:3" s="8" customFormat="1" x14ac:dyDescent="0.2">
      <c r="A8132" s="6" t="str">
        <f>"CETN4P"</f>
        <v>CETN4P</v>
      </c>
      <c r="B8132" s="6">
        <v>0.168336673346693</v>
      </c>
      <c r="C8132" s="6">
        <v>0.36404280705057801</v>
      </c>
    </row>
    <row r="8133" spans="1:3" s="8" customFormat="1" x14ac:dyDescent="0.2">
      <c r="A8133" s="6" t="str">
        <f>"AC217774.1"</f>
        <v>AC217774.1</v>
      </c>
      <c r="B8133" s="6">
        <v>0.16867469879517999</v>
      </c>
      <c r="C8133" s="6">
        <v>0.36430571514630899</v>
      </c>
    </row>
    <row r="8134" spans="1:3" s="8" customFormat="1" x14ac:dyDescent="0.2">
      <c r="A8134" s="6" t="str">
        <f>"GTF2IRD2P1"</f>
        <v>GTF2IRD2P1</v>
      </c>
      <c r="B8134" s="6">
        <v>0.168831168831168</v>
      </c>
      <c r="C8134" s="6">
        <v>0.36430571514630899</v>
      </c>
    </row>
    <row r="8135" spans="1:3" s="8" customFormat="1" x14ac:dyDescent="0.2">
      <c r="A8135" s="6" t="str">
        <f>"RPL21P54"</f>
        <v>RPL21P54</v>
      </c>
      <c r="B8135" s="6">
        <v>0.168686868686868</v>
      </c>
      <c r="C8135" s="6">
        <v>0.36430571514630899</v>
      </c>
    </row>
    <row r="8136" spans="1:3" s="8" customFormat="1" x14ac:dyDescent="0.2">
      <c r="A8136" s="6" t="str">
        <f>"AC004554.1"</f>
        <v>AC004554.1</v>
      </c>
      <c r="B8136" s="6">
        <v>0.168831168831168</v>
      </c>
      <c r="C8136" s="6">
        <v>0.36430571514630899</v>
      </c>
    </row>
    <row r="8137" spans="1:3" s="8" customFormat="1" x14ac:dyDescent="0.2">
      <c r="A8137" s="6" t="str">
        <f>"RBM11"</f>
        <v>RBM11</v>
      </c>
      <c r="B8137" s="6">
        <v>0.168831168831168</v>
      </c>
      <c r="C8137" s="6">
        <v>0.36430571514630899</v>
      </c>
    </row>
    <row r="8138" spans="1:3" s="8" customFormat="1" x14ac:dyDescent="0.2">
      <c r="A8138" s="6" t="str">
        <f>"LIPG"</f>
        <v>LIPG</v>
      </c>
      <c r="B8138" s="6">
        <v>0.168831168831168</v>
      </c>
      <c r="C8138" s="6">
        <v>0.36430571514630899</v>
      </c>
    </row>
    <row r="8139" spans="1:3" s="8" customFormat="1" x14ac:dyDescent="0.2">
      <c r="A8139" s="6" t="str">
        <f>"OR7E38P"</f>
        <v>OR7E38P</v>
      </c>
      <c r="B8139" s="6">
        <v>0.168831168831168</v>
      </c>
      <c r="C8139" s="6">
        <v>0.36430571514630899</v>
      </c>
    </row>
    <row r="8140" spans="1:3" s="8" customFormat="1" x14ac:dyDescent="0.2">
      <c r="A8140" s="6" t="str">
        <f>"TMEM176B"</f>
        <v>TMEM176B</v>
      </c>
      <c r="B8140" s="6">
        <v>0.168831168831168</v>
      </c>
      <c r="C8140" s="6">
        <v>0.36430571514630899</v>
      </c>
    </row>
    <row r="8141" spans="1:3" s="8" customFormat="1" x14ac:dyDescent="0.2">
      <c r="A8141" s="6" t="str">
        <f>"CMTM3"</f>
        <v>CMTM3</v>
      </c>
      <c r="B8141" s="6">
        <v>0.168831168831168</v>
      </c>
      <c r="C8141" s="6">
        <v>0.36430571514630899</v>
      </c>
    </row>
    <row r="8142" spans="1:3" s="8" customFormat="1" x14ac:dyDescent="0.2">
      <c r="A8142" s="6" t="str">
        <f>"FBXL6"</f>
        <v>FBXL6</v>
      </c>
      <c r="B8142" s="6">
        <v>0.168831168831168</v>
      </c>
      <c r="C8142" s="6">
        <v>0.36430571514630899</v>
      </c>
    </row>
    <row r="8143" spans="1:3" s="8" customFormat="1" x14ac:dyDescent="0.2">
      <c r="A8143" s="6" t="str">
        <f>"TPRKB"</f>
        <v>TPRKB</v>
      </c>
      <c r="B8143" s="6">
        <v>0.168831168831168</v>
      </c>
      <c r="C8143" s="6">
        <v>0.36430571514630899</v>
      </c>
    </row>
    <row r="8144" spans="1:3" s="8" customFormat="1" x14ac:dyDescent="0.2">
      <c r="A8144" s="6" t="str">
        <f>"ZNF830"</f>
        <v>ZNF830</v>
      </c>
      <c r="B8144" s="6">
        <v>0.168831168831168</v>
      </c>
      <c r="C8144" s="6">
        <v>0.36430571514630899</v>
      </c>
    </row>
    <row r="8145" spans="1:3" s="8" customFormat="1" x14ac:dyDescent="0.2">
      <c r="A8145" s="6" t="str">
        <f>"AMMECR1"</f>
        <v>AMMECR1</v>
      </c>
      <c r="B8145" s="6">
        <v>0.168831168831168</v>
      </c>
      <c r="C8145" s="6">
        <v>0.36430571514630899</v>
      </c>
    </row>
    <row r="8146" spans="1:3" s="8" customFormat="1" x14ac:dyDescent="0.2">
      <c r="A8146" s="6" t="str">
        <f>"AL590004.3"</f>
        <v>AL590004.3</v>
      </c>
      <c r="B8146" s="6">
        <v>0.168831168831168</v>
      </c>
      <c r="C8146" s="6">
        <v>0.36430571514630899</v>
      </c>
    </row>
    <row r="8147" spans="1:3" s="8" customFormat="1" x14ac:dyDescent="0.2">
      <c r="A8147" s="6" t="str">
        <f>"CAPN10"</f>
        <v>CAPN10</v>
      </c>
      <c r="B8147" s="6">
        <v>0.168831168831168</v>
      </c>
      <c r="C8147" s="6">
        <v>0.36430571514630899</v>
      </c>
    </row>
    <row r="8148" spans="1:3" s="8" customFormat="1" x14ac:dyDescent="0.2">
      <c r="A8148" s="6" t="str">
        <f>"NCBP1"</f>
        <v>NCBP1</v>
      </c>
      <c r="B8148" s="6">
        <v>0.168831168831168</v>
      </c>
      <c r="C8148" s="6">
        <v>0.36430571514630899</v>
      </c>
    </row>
    <row r="8149" spans="1:3" s="8" customFormat="1" x14ac:dyDescent="0.2">
      <c r="A8149" s="6" t="str">
        <f>"CDK7"</f>
        <v>CDK7</v>
      </c>
      <c r="B8149" s="6">
        <v>0.168831168831168</v>
      </c>
      <c r="C8149" s="6">
        <v>0.36430571514630899</v>
      </c>
    </row>
    <row r="8150" spans="1:3" s="8" customFormat="1" x14ac:dyDescent="0.2">
      <c r="A8150" s="6" t="str">
        <f>"CD276"</f>
        <v>CD276</v>
      </c>
      <c r="B8150" s="6">
        <v>0.168831168831168</v>
      </c>
      <c r="C8150" s="6">
        <v>0.36430571514630899</v>
      </c>
    </row>
    <row r="8151" spans="1:3" s="8" customFormat="1" x14ac:dyDescent="0.2">
      <c r="A8151" s="6" t="str">
        <f>"AC020915.1"</f>
        <v>AC020915.1</v>
      </c>
      <c r="B8151" s="6">
        <v>0.16900000000000001</v>
      </c>
      <c r="C8151" s="6">
        <v>0.36453581943081398</v>
      </c>
    </row>
    <row r="8152" spans="1:3" s="8" customFormat="1" x14ac:dyDescent="0.2">
      <c r="A8152" s="6" t="str">
        <f>"RTN4R"</f>
        <v>RTN4R</v>
      </c>
      <c r="B8152" s="6">
        <v>0.16900000000000001</v>
      </c>
      <c r="C8152" s="6">
        <v>0.36453581943081398</v>
      </c>
    </row>
    <row r="8153" spans="1:3" s="8" customFormat="1" x14ac:dyDescent="0.2">
      <c r="A8153" s="6" t="str">
        <f>"CFAP91"</f>
        <v>CFAP91</v>
      </c>
      <c r="B8153" s="6">
        <v>0.16900000000000001</v>
      </c>
      <c r="C8153" s="6">
        <v>0.36453581943081398</v>
      </c>
    </row>
    <row r="8154" spans="1:3" s="8" customFormat="1" x14ac:dyDescent="0.2">
      <c r="A8154" s="6" t="str">
        <f>"AL590822.3"</f>
        <v>AL590822.3</v>
      </c>
      <c r="B8154" s="6">
        <v>0.16923076923076899</v>
      </c>
      <c r="C8154" s="6">
        <v>0.36498881959448598</v>
      </c>
    </row>
    <row r="8155" spans="1:3" s="8" customFormat="1" x14ac:dyDescent="0.2">
      <c r="A8155" s="6" t="str">
        <f>"C1QL3"</f>
        <v>C1QL3</v>
      </c>
      <c r="B8155" s="6">
        <v>0.16983016983016899</v>
      </c>
      <c r="C8155" s="6">
        <v>0.36547469175054498</v>
      </c>
    </row>
    <row r="8156" spans="1:3" s="8" customFormat="1" x14ac:dyDescent="0.2">
      <c r="A8156" s="6" t="str">
        <f>"RXFP4"</f>
        <v>RXFP4</v>
      </c>
      <c r="B8156" s="6">
        <v>0.16983016983016899</v>
      </c>
      <c r="C8156" s="6">
        <v>0.36547469175054498</v>
      </c>
    </row>
    <row r="8157" spans="1:3" s="8" customFormat="1" x14ac:dyDescent="0.2">
      <c r="A8157" s="6" t="str">
        <f>"BMP15"</f>
        <v>BMP15</v>
      </c>
      <c r="B8157" s="6">
        <v>0.16983016983016899</v>
      </c>
      <c r="C8157" s="6">
        <v>0.36547469175054498</v>
      </c>
    </row>
    <row r="8158" spans="1:3" s="8" customFormat="1" x14ac:dyDescent="0.2">
      <c r="A8158" s="6" t="str">
        <f>"AC121761.2"</f>
        <v>AC121761.2</v>
      </c>
      <c r="B8158" s="6">
        <v>0.16973415132924299</v>
      </c>
      <c r="C8158" s="6">
        <v>0.36547469175054498</v>
      </c>
    </row>
    <row r="8159" spans="1:3" s="8" customFormat="1" x14ac:dyDescent="0.2">
      <c r="A8159" s="6" t="str">
        <f>"AC091978.1"</f>
        <v>AC091978.1</v>
      </c>
      <c r="B8159" s="6">
        <v>0.16983016983016899</v>
      </c>
      <c r="C8159" s="6">
        <v>0.36547469175054498</v>
      </c>
    </row>
    <row r="8160" spans="1:3" s="8" customFormat="1" x14ac:dyDescent="0.2">
      <c r="A8160" s="6" t="str">
        <f>"AC069366.1"</f>
        <v>AC069366.1</v>
      </c>
      <c r="B8160" s="6">
        <v>0.16983016983016899</v>
      </c>
      <c r="C8160" s="6">
        <v>0.36547469175054498</v>
      </c>
    </row>
    <row r="8161" spans="1:3" s="8" customFormat="1" x14ac:dyDescent="0.2">
      <c r="A8161" s="6" t="str">
        <f>"SWT1"</f>
        <v>SWT1</v>
      </c>
      <c r="B8161" s="6">
        <v>0.16983016983016899</v>
      </c>
      <c r="C8161" s="6">
        <v>0.36547469175054498</v>
      </c>
    </row>
    <row r="8162" spans="1:3" s="8" customFormat="1" x14ac:dyDescent="0.2">
      <c r="A8162" s="6" t="str">
        <f>"HPRT1"</f>
        <v>HPRT1</v>
      </c>
      <c r="B8162" s="6">
        <v>0.16983016983016899</v>
      </c>
      <c r="C8162" s="6">
        <v>0.36547469175054498</v>
      </c>
    </row>
    <row r="8163" spans="1:3" s="8" customFormat="1" x14ac:dyDescent="0.2">
      <c r="A8163" s="6" t="str">
        <f>"RNF207"</f>
        <v>RNF207</v>
      </c>
      <c r="B8163" s="6">
        <v>0.16983016983016899</v>
      </c>
      <c r="C8163" s="6">
        <v>0.36547469175054498</v>
      </c>
    </row>
    <row r="8164" spans="1:3" s="8" customFormat="1" x14ac:dyDescent="0.2">
      <c r="A8164" s="6" t="str">
        <f>"RPTN"</f>
        <v>RPTN</v>
      </c>
      <c r="B8164" s="6">
        <v>0.16983016983016899</v>
      </c>
      <c r="C8164" s="6">
        <v>0.36547469175054498</v>
      </c>
    </row>
    <row r="8165" spans="1:3" s="8" customFormat="1" x14ac:dyDescent="0.2">
      <c r="A8165" s="6" t="str">
        <f>"SPATA33"</f>
        <v>SPATA33</v>
      </c>
      <c r="B8165" s="6">
        <v>0.16983016983016899</v>
      </c>
      <c r="C8165" s="6">
        <v>0.36547469175054498</v>
      </c>
    </row>
    <row r="8166" spans="1:3" s="8" customFormat="1" x14ac:dyDescent="0.2">
      <c r="A8166" s="6" t="str">
        <f>"CIITA"</f>
        <v>CIITA</v>
      </c>
      <c r="B8166" s="6">
        <v>0.16983016983016899</v>
      </c>
      <c r="C8166" s="6">
        <v>0.36547469175054498</v>
      </c>
    </row>
    <row r="8167" spans="1:3" s="8" customFormat="1" x14ac:dyDescent="0.2">
      <c r="A8167" s="6" t="str">
        <f>"U2AF1L5"</f>
        <v>U2AF1L5</v>
      </c>
      <c r="B8167" s="6">
        <v>0.16983016983016899</v>
      </c>
      <c r="C8167" s="6">
        <v>0.36547469175054498</v>
      </c>
    </row>
    <row r="8168" spans="1:3" s="8" customFormat="1" x14ac:dyDescent="0.2">
      <c r="A8168" s="6" t="str">
        <f>"DUSP22"</f>
        <v>DUSP22</v>
      </c>
      <c r="B8168" s="6">
        <v>0.16983016983016899</v>
      </c>
      <c r="C8168" s="6">
        <v>0.36547469175054498</v>
      </c>
    </row>
    <row r="8169" spans="1:3" s="8" customFormat="1" x14ac:dyDescent="0.2">
      <c r="A8169" s="6" t="str">
        <f>"YKT6"</f>
        <v>YKT6</v>
      </c>
      <c r="B8169" s="6">
        <v>0.16983016983016899</v>
      </c>
      <c r="C8169" s="6">
        <v>0.36547469175054498</v>
      </c>
    </row>
    <row r="8170" spans="1:3" s="8" customFormat="1" x14ac:dyDescent="0.2">
      <c r="A8170" s="6" t="str">
        <f>"CREB3L2"</f>
        <v>CREB3L2</v>
      </c>
      <c r="B8170" s="6">
        <v>0.16983016983016899</v>
      </c>
      <c r="C8170" s="6">
        <v>0.36547469175054498</v>
      </c>
    </row>
    <row r="8171" spans="1:3" s="8" customFormat="1" x14ac:dyDescent="0.2">
      <c r="A8171" s="6" t="str">
        <f>"DSG2"</f>
        <v>DSG2</v>
      </c>
      <c r="B8171" s="6">
        <v>0.16983016983016899</v>
      </c>
      <c r="C8171" s="6">
        <v>0.36547469175054498</v>
      </c>
    </row>
    <row r="8172" spans="1:3" s="8" customFormat="1" x14ac:dyDescent="0.2">
      <c r="A8172" s="6" t="str">
        <f>"PLXNB1"</f>
        <v>PLXNB1</v>
      </c>
      <c r="B8172" s="6">
        <v>0.16983016983016899</v>
      </c>
      <c r="C8172" s="6">
        <v>0.36547469175054498</v>
      </c>
    </row>
    <row r="8173" spans="1:3" s="8" customFormat="1" x14ac:dyDescent="0.2">
      <c r="A8173" s="6" t="str">
        <f>"AP001120.5"</f>
        <v>AP001120.5</v>
      </c>
      <c r="B8173" s="6">
        <v>0.16996871741397199</v>
      </c>
      <c r="C8173" s="6">
        <v>0.36572808700529802</v>
      </c>
    </row>
    <row r="8174" spans="1:3" s="8" customFormat="1" x14ac:dyDescent="0.2">
      <c r="A8174" s="6" t="str">
        <f>"IGLV1-51"</f>
        <v>IGLV1-51</v>
      </c>
      <c r="B8174" s="6">
        <v>0.17</v>
      </c>
      <c r="C8174" s="6">
        <v>0.36575064235898602</v>
      </c>
    </row>
    <row r="8175" spans="1:3" s="8" customFormat="1" x14ac:dyDescent="0.2">
      <c r="A8175" s="6" t="str">
        <f>"TEX11"</f>
        <v>TEX11</v>
      </c>
      <c r="B8175" s="6">
        <v>0.17082917082917001</v>
      </c>
      <c r="C8175" s="6">
        <v>0.36632440730001697</v>
      </c>
    </row>
    <row r="8176" spans="1:3" s="8" customFormat="1" x14ac:dyDescent="0.2">
      <c r="A8176" s="6" t="str">
        <f>"AP001267.1"</f>
        <v>AP001267.1</v>
      </c>
      <c r="B8176" s="6">
        <v>0.17082917082917001</v>
      </c>
      <c r="C8176" s="6">
        <v>0.36632440730001697</v>
      </c>
    </row>
    <row r="8177" spans="1:3" s="8" customFormat="1" x14ac:dyDescent="0.2">
      <c r="A8177" s="6" t="str">
        <f>"LINC01892"</f>
        <v>LINC01892</v>
      </c>
      <c r="B8177" s="6">
        <v>0.17082917082917001</v>
      </c>
      <c r="C8177" s="6">
        <v>0.36632440730001697</v>
      </c>
    </row>
    <row r="8178" spans="1:3" s="8" customFormat="1" x14ac:dyDescent="0.2">
      <c r="A8178" s="6" t="str">
        <f>"CLUL1"</f>
        <v>CLUL1</v>
      </c>
      <c r="B8178" s="6">
        <v>0.17082917082917001</v>
      </c>
      <c r="C8178" s="6">
        <v>0.36632440730001697</v>
      </c>
    </row>
    <row r="8179" spans="1:3" s="8" customFormat="1" x14ac:dyDescent="0.2">
      <c r="A8179" s="6" t="str">
        <f>"HROB"</f>
        <v>HROB</v>
      </c>
      <c r="B8179" s="6">
        <v>0.17082917082917001</v>
      </c>
      <c r="C8179" s="6">
        <v>0.36632440730001697</v>
      </c>
    </row>
    <row r="8180" spans="1:3" s="8" customFormat="1" x14ac:dyDescent="0.2">
      <c r="A8180" s="6" t="str">
        <f>"HRH1"</f>
        <v>HRH1</v>
      </c>
      <c r="B8180" s="6">
        <v>0.17082917082917001</v>
      </c>
      <c r="C8180" s="6">
        <v>0.36632440730001697</v>
      </c>
    </row>
    <row r="8181" spans="1:3" s="8" customFormat="1" x14ac:dyDescent="0.2">
      <c r="A8181" s="6" t="str">
        <f>"AC106782.1"</f>
        <v>AC106782.1</v>
      </c>
      <c r="B8181" s="6">
        <v>0.17082917082917001</v>
      </c>
      <c r="C8181" s="6">
        <v>0.36632440730001697</v>
      </c>
    </row>
    <row r="8182" spans="1:3" s="8" customFormat="1" x14ac:dyDescent="0.2">
      <c r="A8182" s="6" t="str">
        <f>"PARVB"</f>
        <v>PARVB</v>
      </c>
      <c r="B8182" s="6">
        <v>0.17082917082917001</v>
      </c>
      <c r="C8182" s="6">
        <v>0.36632440730001697</v>
      </c>
    </row>
    <row r="8183" spans="1:3" s="8" customFormat="1" x14ac:dyDescent="0.2">
      <c r="A8183" s="6" t="str">
        <f>"USP35"</f>
        <v>USP35</v>
      </c>
      <c r="B8183" s="6">
        <v>0.17082917082917001</v>
      </c>
      <c r="C8183" s="6">
        <v>0.36632440730001697</v>
      </c>
    </row>
    <row r="8184" spans="1:3" s="8" customFormat="1" x14ac:dyDescent="0.2">
      <c r="A8184" s="6" t="str">
        <f>"AGBL3"</f>
        <v>AGBL3</v>
      </c>
      <c r="B8184" s="6">
        <v>0.17082917082917001</v>
      </c>
      <c r="C8184" s="6">
        <v>0.36632440730001697</v>
      </c>
    </row>
    <row r="8185" spans="1:3" s="8" customFormat="1" x14ac:dyDescent="0.2">
      <c r="A8185" s="6" t="str">
        <f>"PXDN"</f>
        <v>PXDN</v>
      </c>
      <c r="B8185" s="6">
        <v>0.17082917082917001</v>
      </c>
      <c r="C8185" s="6">
        <v>0.36632440730001697</v>
      </c>
    </row>
    <row r="8186" spans="1:3" s="8" customFormat="1" x14ac:dyDescent="0.2">
      <c r="A8186" s="6" t="str">
        <f>"VAMP4"</f>
        <v>VAMP4</v>
      </c>
      <c r="B8186" s="6">
        <v>0.17082917082917001</v>
      </c>
      <c r="C8186" s="6">
        <v>0.36632440730001697</v>
      </c>
    </row>
    <row r="8187" spans="1:3" s="8" customFormat="1" x14ac:dyDescent="0.2">
      <c r="A8187" s="6" t="str">
        <f>"NGEF"</f>
        <v>NGEF</v>
      </c>
      <c r="B8187" s="6">
        <v>0.17082917082917001</v>
      </c>
      <c r="C8187" s="6">
        <v>0.36632440730001697</v>
      </c>
    </row>
    <row r="8188" spans="1:3" s="8" customFormat="1" x14ac:dyDescent="0.2">
      <c r="A8188" s="6" t="str">
        <f>"RAB23"</f>
        <v>RAB23</v>
      </c>
      <c r="B8188" s="6">
        <v>0.17082917082917001</v>
      </c>
      <c r="C8188" s="6">
        <v>0.36632440730001697</v>
      </c>
    </row>
    <row r="8189" spans="1:3" s="8" customFormat="1" x14ac:dyDescent="0.2">
      <c r="A8189" s="6" t="str">
        <f>"L2HGDH"</f>
        <v>L2HGDH</v>
      </c>
      <c r="B8189" s="6">
        <v>0.17082917082917001</v>
      </c>
      <c r="C8189" s="6">
        <v>0.36632440730001697</v>
      </c>
    </row>
    <row r="8190" spans="1:3" s="8" customFormat="1" x14ac:dyDescent="0.2">
      <c r="A8190" s="6" t="str">
        <f>"TMEM40"</f>
        <v>TMEM40</v>
      </c>
      <c r="B8190" s="6">
        <v>0.17082917082917001</v>
      </c>
      <c r="C8190" s="6">
        <v>0.36632440730001697</v>
      </c>
    </row>
    <row r="8191" spans="1:3" s="8" customFormat="1" x14ac:dyDescent="0.2">
      <c r="A8191" s="6" t="str">
        <f>"ZNF84"</f>
        <v>ZNF84</v>
      </c>
      <c r="B8191" s="6">
        <v>0.17082917082917001</v>
      </c>
      <c r="C8191" s="6">
        <v>0.36632440730001697</v>
      </c>
    </row>
    <row r="8192" spans="1:3" s="8" customFormat="1" x14ac:dyDescent="0.2">
      <c r="A8192" s="6" t="str">
        <f>"ABCB7"</f>
        <v>ABCB7</v>
      </c>
      <c r="B8192" s="6">
        <v>0.17082917082917001</v>
      </c>
      <c r="C8192" s="6">
        <v>0.36632440730001697</v>
      </c>
    </row>
    <row r="8193" spans="1:3" s="8" customFormat="1" x14ac:dyDescent="0.2">
      <c r="A8193" s="6" t="str">
        <f>"CAMSAP2"</f>
        <v>CAMSAP2</v>
      </c>
      <c r="B8193" s="6">
        <v>0.17082917082917001</v>
      </c>
      <c r="C8193" s="6">
        <v>0.36632440730001697</v>
      </c>
    </row>
    <row r="8194" spans="1:3" s="8" customFormat="1" x14ac:dyDescent="0.2">
      <c r="A8194" s="6" t="str">
        <f>"PXMP4"</f>
        <v>PXMP4</v>
      </c>
      <c r="B8194" s="6">
        <v>0.17082917082917001</v>
      </c>
      <c r="C8194" s="6">
        <v>0.36632440730001697</v>
      </c>
    </row>
    <row r="8195" spans="1:3" s="8" customFormat="1" x14ac:dyDescent="0.2">
      <c r="A8195" s="6" t="str">
        <f>"GCNT3"</f>
        <v>GCNT3</v>
      </c>
      <c r="B8195" s="6">
        <v>0.17082917082917001</v>
      </c>
      <c r="C8195" s="6">
        <v>0.36632440730001697</v>
      </c>
    </row>
    <row r="8196" spans="1:3" s="8" customFormat="1" x14ac:dyDescent="0.2">
      <c r="A8196" s="6" t="str">
        <f>"TMX1"</f>
        <v>TMX1</v>
      </c>
      <c r="B8196" s="6">
        <v>0.17082917082917001</v>
      </c>
      <c r="C8196" s="6">
        <v>0.36632440730001697</v>
      </c>
    </row>
    <row r="8197" spans="1:3" s="8" customFormat="1" x14ac:dyDescent="0.2">
      <c r="A8197" s="6" t="str">
        <f>"CBFB"</f>
        <v>CBFB</v>
      </c>
      <c r="B8197" s="6">
        <v>0.17082917082917001</v>
      </c>
      <c r="C8197" s="6">
        <v>0.36632440730001697</v>
      </c>
    </row>
    <row r="8198" spans="1:3" s="8" customFormat="1" x14ac:dyDescent="0.2">
      <c r="A8198" s="6" t="str">
        <f>"ZBTB44"</f>
        <v>ZBTB44</v>
      </c>
      <c r="B8198" s="6">
        <v>0.17082917082917001</v>
      </c>
      <c r="C8198" s="6">
        <v>0.36632440730001697</v>
      </c>
    </row>
    <row r="8199" spans="1:3" s="8" customFormat="1" x14ac:dyDescent="0.2">
      <c r="A8199" s="6" t="str">
        <f>"SLC34A2"</f>
        <v>SLC34A2</v>
      </c>
      <c r="B8199" s="6">
        <v>0.17082917082917001</v>
      </c>
      <c r="C8199" s="6">
        <v>0.36632440730001697</v>
      </c>
    </row>
    <row r="8200" spans="1:3" s="8" customFormat="1" x14ac:dyDescent="0.2">
      <c r="A8200" s="6" t="str">
        <f>"PI4KB"</f>
        <v>PI4KB</v>
      </c>
      <c r="B8200" s="6">
        <v>0.17082917082917001</v>
      </c>
      <c r="C8200" s="6">
        <v>0.36632440730001697</v>
      </c>
    </row>
    <row r="8201" spans="1:3" s="8" customFormat="1" x14ac:dyDescent="0.2">
      <c r="A8201" s="6" t="str">
        <f>"BPIFA1"</f>
        <v>BPIFA1</v>
      </c>
      <c r="B8201" s="6">
        <v>0.17082917082917001</v>
      </c>
      <c r="C8201" s="6">
        <v>0.36632440730001697</v>
      </c>
    </row>
    <row r="8202" spans="1:3" s="8" customFormat="1" x14ac:dyDescent="0.2">
      <c r="A8202" s="6" t="str">
        <f>"AC008522.1"</f>
        <v>AC008522.1</v>
      </c>
      <c r="B8202" s="6">
        <v>0.17090909090909001</v>
      </c>
      <c r="C8202" s="6">
        <v>0.36645109798139902</v>
      </c>
    </row>
    <row r="8203" spans="1:3" s="8" customFormat="1" x14ac:dyDescent="0.2">
      <c r="A8203" s="6" t="str">
        <f>"CAMK2G"</f>
        <v>CAMK2G</v>
      </c>
      <c r="B8203" s="6">
        <v>0.17100000000000001</v>
      </c>
      <c r="C8203" s="6">
        <v>0.36660131675201102</v>
      </c>
    </row>
    <row r="8204" spans="1:3" s="8" customFormat="1" x14ac:dyDescent="0.2">
      <c r="A8204" s="6" t="str">
        <f>"STIM1-AS1"</f>
        <v>STIM1-AS1</v>
      </c>
      <c r="B8204" s="6">
        <v>0.17105263157894701</v>
      </c>
      <c r="C8204" s="6">
        <v>0.36666944699307602</v>
      </c>
    </row>
    <row r="8205" spans="1:3" s="8" customFormat="1" x14ac:dyDescent="0.2">
      <c r="A8205" s="6" t="str">
        <f>"AC090198.1"</f>
        <v>AC090198.1</v>
      </c>
      <c r="B8205" s="6">
        <v>0.171106557377049</v>
      </c>
      <c r="C8205" s="6">
        <v>0.36674033458289002</v>
      </c>
    </row>
    <row r="8206" spans="1:3" s="8" customFormat="1" x14ac:dyDescent="0.2">
      <c r="A8206" s="6" t="str">
        <f>"FO704657.1"</f>
        <v>FO704657.1</v>
      </c>
      <c r="B8206" s="6">
        <v>0.171171171171171</v>
      </c>
      <c r="C8206" s="6">
        <v>0.36683411016134898</v>
      </c>
    </row>
    <row r="8207" spans="1:3" s="8" customFormat="1" x14ac:dyDescent="0.2">
      <c r="A8207" s="6" t="str">
        <f>"HFM1"</f>
        <v>HFM1</v>
      </c>
      <c r="B8207" s="6">
        <v>0.17182817182817101</v>
      </c>
      <c r="C8207" s="6">
        <v>0.36748073138245801</v>
      </c>
    </row>
    <row r="8208" spans="1:3" s="8" customFormat="1" x14ac:dyDescent="0.2">
      <c r="A8208" s="6" t="str">
        <f>"HOXB3"</f>
        <v>HOXB3</v>
      </c>
      <c r="B8208" s="6">
        <v>0.17182817182817101</v>
      </c>
      <c r="C8208" s="6">
        <v>0.36748073138245801</v>
      </c>
    </row>
    <row r="8209" spans="1:3" s="8" customFormat="1" x14ac:dyDescent="0.2">
      <c r="A8209" s="6" t="str">
        <f>"GOLGA6L5P"</f>
        <v>GOLGA6L5P</v>
      </c>
      <c r="B8209" s="6">
        <v>0.17182817182817101</v>
      </c>
      <c r="C8209" s="6">
        <v>0.36748073138245801</v>
      </c>
    </row>
    <row r="8210" spans="1:3" s="8" customFormat="1" x14ac:dyDescent="0.2">
      <c r="A8210" s="6" t="str">
        <f>"TUBGCP3"</f>
        <v>TUBGCP3</v>
      </c>
      <c r="B8210" s="6">
        <v>0.17182817182817101</v>
      </c>
      <c r="C8210" s="6">
        <v>0.36748073138245801</v>
      </c>
    </row>
    <row r="8211" spans="1:3" s="8" customFormat="1" x14ac:dyDescent="0.2">
      <c r="A8211" s="6" t="str">
        <f>"C9orf64"</f>
        <v>C9orf64</v>
      </c>
      <c r="B8211" s="6">
        <v>0.17182817182817101</v>
      </c>
      <c r="C8211" s="6">
        <v>0.36748073138245801</v>
      </c>
    </row>
    <row r="8212" spans="1:3" s="8" customFormat="1" x14ac:dyDescent="0.2">
      <c r="A8212" s="6" t="str">
        <f>"GPKOW"</f>
        <v>GPKOW</v>
      </c>
      <c r="B8212" s="6">
        <v>0.17182817182817101</v>
      </c>
      <c r="C8212" s="6">
        <v>0.36748073138245801</v>
      </c>
    </row>
    <row r="8213" spans="1:3" s="8" customFormat="1" x14ac:dyDescent="0.2">
      <c r="A8213" s="6" t="str">
        <f>"ATF3"</f>
        <v>ATF3</v>
      </c>
      <c r="B8213" s="6">
        <v>0.17182817182817101</v>
      </c>
      <c r="C8213" s="6">
        <v>0.36748073138245801</v>
      </c>
    </row>
    <row r="8214" spans="1:3" s="8" customFormat="1" x14ac:dyDescent="0.2">
      <c r="A8214" s="6" t="str">
        <f>"NBEAL1"</f>
        <v>NBEAL1</v>
      </c>
      <c r="B8214" s="6">
        <v>0.17182817182817101</v>
      </c>
      <c r="C8214" s="6">
        <v>0.36748073138245801</v>
      </c>
    </row>
    <row r="8215" spans="1:3" s="8" customFormat="1" x14ac:dyDescent="0.2">
      <c r="A8215" s="6" t="str">
        <f>"LANCL2"</f>
        <v>LANCL2</v>
      </c>
      <c r="B8215" s="6">
        <v>0.17182817182817101</v>
      </c>
      <c r="C8215" s="6">
        <v>0.36748073138245801</v>
      </c>
    </row>
    <row r="8216" spans="1:3" s="8" customFormat="1" x14ac:dyDescent="0.2">
      <c r="A8216" s="6" t="str">
        <f>"SETD1A"</f>
        <v>SETD1A</v>
      </c>
      <c r="B8216" s="6">
        <v>0.17182817182817101</v>
      </c>
      <c r="C8216" s="6">
        <v>0.36748073138245801</v>
      </c>
    </row>
    <row r="8217" spans="1:3" s="8" customFormat="1" x14ac:dyDescent="0.2">
      <c r="A8217" s="6" t="str">
        <f>"ARID4B"</f>
        <v>ARID4B</v>
      </c>
      <c r="B8217" s="6">
        <v>0.17182817182817101</v>
      </c>
      <c r="C8217" s="6">
        <v>0.36748073138245801</v>
      </c>
    </row>
    <row r="8218" spans="1:3" s="8" customFormat="1" x14ac:dyDescent="0.2">
      <c r="A8218" s="6" t="str">
        <f>"STAT2"</f>
        <v>STAT2</v>
      </c>
      <c r="B8218" s="6">
        <v>0.17182817182817101</v>
      </c>
      <c r="C8218" s="6">
        <v>0.36748073138245801</v>
      </c>
    </row>
    <row r="8219" spans="1:3" s="8" customFormat="1" x14ac:dyDescent="0.2">
      <c r="A8219" s="6" t="str">
        <f>"WASL"</f>
        <v>WASL</v>
      </c>
      <c r="B8219" s="6">
        <v>0.17182817182817101</v>
      </c>
      <c r="C8219" s="6">
        <v>0.36748073138245801</v>
      </c>
    </row>
    <row r="8220" spans="1:3" s="8" customFormat="1" x14ac:dyDescent="0.2">
      <c r="A8220" s="6" t="str">
        <f>"ARPC5"</f>
        <v>ARPC5</v>
      </c>
      <c r="B8220" s="6">
        <v>0.17182817182817101</v>
      </c>
      <c r="C8220" s="6">
        <v>0.36748073138245801</v>
      </c>
    </row>
    <row r="8221" spans="1:3" s="8" customFormat="1" x14ac:dyDescent="0.2">
      <c r="A8221" s="6" t="str">
        <f>"CIZ1"</f>
        <v>CIZ1</v>
      </c>
      <c r="B8221" s="6">
        <v>0.17182817182817101</v>
      </c>
      <c r="C8221" s="6">
        <v>0.36748073138245801</v>
      </c>
    </row>
    <row r="8222" spans="1:3" s="8" customFormat="1" x14ac:dyDescent="0.2">
      <c r="A8222" s="6" t="str">
        <f>"RPL36AL"</f>
        <v>RPL36AL</v>
      </c>
      <c r="B8222" s="6">
        <v>0.17182817182817101</v>
      </c>
      <c r="C8222" s="6">
        <v>0.36748073138245801</v>
      </c>
    </row>
    <row r="8223" spans="1:3" s="8" customFormat="1" x14ac:dyDescent="0.2">
      <c r="A8223" s="6" t="str">
        <f>"RPL23"</f>
        <v>RPL23</v>
      </c>
      <c r="B8223" s="6">
        <v>0.17182817182817101</v>
      </c>
      <c r="C8223" s="6">
        <v>0.36748073138245801</v>
      </c>
    </row>
    <row r="8224" spans="1:3" s="8" customFormat="1" x14ac:dyDescent="0.2">
      <c r="A8224" s="6" t="str">
        <f>"AL109628.2"</f>
        <v>AL109628.2</v>
      </c>
      <c r="B8224" s="6">
        <v>0.171875</v>
      </c>
      <c r="C8224" s="6">
        <v>0.367536179010093</v>
      </c>
    </row>
    <row r="8225" spans="1:3" s="8" customFormat="1" x14ac:dyDescent="0.2">
      <c r="A8225" s="6" t="str">
        <f>"AL731569.1"</f>
        <v>AL731569.1</v>
      </c>
      <c r="B8225" s="6">
        <v>0.17199999999999999</v>
      </c>
      <c r="C8225" s="6">
        <v>0.36775875486381299</v>
      </c>
    </row>
    <row r="8226" spans="1:3" s="8" customFormat="1" x14ac:dyDescent="0.2">
      <c r="A8226" s="6" t="str">
        <f>"WAKMAR2"</f>
        <v>WAKMAR2</v>
      </c>
      <c r="B8226" s="6">
        <v>0.17217217217217201</v>
      </c>
      <c r="C8226" s="6">
        <v>0.36808212467786899</v>
      </c>
    </row>
    <row r="8227" spans="1:3" s="8" customFormat="1" x14ac:dyDescent="0.2">
      <c r="A8227" s="6" t="str">
        <f>"AP002985.1"</f>
        <v>AP002985.1</v>
      </c>
      <c r="B8227" s="6">
        <v>0.17220543806646499</v>
      </c>
      <c r="C8227" s="6">
        <v>0.36810848808177998</v>
      </c>
    </row>
    <row r="8228" spans="1:3" s="8" customFormat="1" x14ac:dyDescent="0.2">
      <c r="A8228" s="6" t="str">
        <f>"AL359183.1"</f>
        <v>AL359183.1</v>
      </c>
      <c r="B8228" s="6">
        <v>0.17234468937875699</v>
      </c>
      <c r="C8228" s="6">
        <v>0.36836137328747598</v>
      </c>
    </row>
    <row r="8229" spans="1:3" s="8" customFormat="1" x14ac:dyDescent="0.2">
      <c r="A8229" s="6" t="str">
        <f>"Z83745.1"</f>
        <v>Z83745.1</v>
      </c>
      <c r="B8229" s="6">
        <v>0.172827172827172</v>
      </c>
      <c r="C8229" s="6">
        <v>0.36872033571863699</v>
      </c>
    </row>
    <row r="8230" spans="1:3" s="8" customFormat="1" x14ac:dyDescent="0.2">
      <c r="A8230" s="6" t="str">
        <f>"DMRTC1B"</f>
        <v>DMRTC1B</v>
      </c>
      <c r="B8230" s="6">
        <v>0.172827172827172</v>
      </c>
      <c r="C8230" s="6">
        <v>0.36872033571863699</v>
      </c>
    </row>
    <row r="8231" spans="1:3" s="8" customFormat="1" x14ac:dyDescent="0.2">
      <c r="A8231" s="6" t="str">
        <f>"AC104596.1"</f>
        <v>AC104596.1</v>
      </c>
      <c r="B8231" s="6">
        <v>0.172827172827172</v>
      </c>
      <c r="C8231" s="6">
        <v>0.36872033571863699</v>
      </c>
    </row>
    <row r="8232" spans="1:3" s="8" customFormat="1" x14ac:dyDescent="0.2">
      <c r="A8232" s="6" t="str">
        <f>"AGMAT"</f>
        <v>AGMAT</v>
      </c>
      <c r="B8232" s="6">
        <v>0.172827172827172</v>
      </c>
      <c r="C8232" s="6">
        <v>0.36872033571863699</v>
      </c>
    </row>
    <row r="8233" spans="1:3" s="8" customFormat="1" x14ac:dyDescent="0.2">
      <c r="A8233" s="6" t="str">
        <f>"AC027290.2"</f>
        <v>AC027290.2</v>
      </c>
      <c r="B8233" s="6">
        <v>0.172827172827172</v>
      </c>
      <c r="C8233" s="6">
        <v>0.36872033571863699</v>
      </c>
    </row>
    <row r="8234" spans="1:3" s="8" customFormat="1" x14ac:dyDescent="0.2">
      <c r="A8234" s="6" t="str">
        <f>"DHODH"</f>
        <v>DHODH</v>
      </c>
      <c r="B8234" s="6">
        <v>0.172827172827172</v>
      </c>
      <c r="C8234" s="6">
        <v>0.36872033571863699</v>
      </c>
    </row>
    <row r="8235" spans="1:3" s="8" customFormat="1" x14ac:dyDescent="0.2">
      <c r="A8235" s="6" t="str">
        <f>"KIAA0319"</f>
        <v>KIAA0319</v>
      </c>
      <c r="B8235" s="6">
        <v>0.172827172827172</v>
      </c>
      <c r="C8235" s="6">
        <v>0.36872033571863699</v>
      </c>
    </row>
    <row r="8236" spans="1:3" s="8" customFormat="1" x14ac:dyDescent="0.2">
      <c r="A8236" s="6" t="str">
        <f>"RPF2"</f>
        <v>RPF2</v>
      </c>
      <c r="B8236" s="6">
        <v>0.172827172827172</v>
      </c>
      <c r="C8236" s="6">
        <v>0.36872033571863699</v>
      </c>
    </row>
    <row r="8237" spans="1:3" s="8" customFormat="1" x14ac:dyDescent="0.2">
      <c r="A8237" s="6" t="str">
        <f>"TYW1"</f>
        <v>TYW1</v>
      </c>
      <c r="B8237" s="6">
        <v>0.172827172827172</v>
      </c>
      <c r="C8237" s="6">
        <v>0.36872033571863699</v>
      </c>
    </row>
    <row r="8238" spans="1:3" s="8" customFormat="1" x14ac:dyDescent="0.2">
      <c r="A8238" s="6" t="str">
        <f>"TIMP3"</f>
        <v>TIMP3</v>
      </c>
      <c r="B8238" s="6">
        <v>0.172827172827172</v>
      </c>
      <c r="C8238" s="6">
        <v>0.36872033571863699</v>
      </c>
    </row>
    <row r="8239" spans="1:3" s="8" customFormat="1" x14ac:dyDescent="0.2">
      <c r="A8239" s="6" t="str">
        <f>"ELN-AS1"</f>
        <v>ELN-AS1</v>
      </c>
      <c r="B8239" s="6">
        <v>0.172827172827172</v>
      </c>
      <c r="C8239" s="6">
        <v>0.36872033571863699</v>
      </c>
    </row>
    <row r="8240" spans="1:3" s="8" customFormat="1" x14ac:dyDescent="0.2">
      <c r="A8240" s="6" t="str">
        <f>"CIC"</f>
        <v>CIC</v>
      </c>
      <c r="B8240" s="6">
        <v>0.172827172827172</v>
      </c>
      <c r="C8240" s="6">
        <v>0.36872033571863699</v>
      </c>
    </row>
    <row r="8241" spans="1:3" s="8" customFormat="1" x14ac:dyDescent="0.2">
      <c r="A8241" s="6" t="str">
        <f>"EFHC1"</f>
        <v>EFHC1</v>
      </c>
      <c r="B8241" s="6">
        <v>0.172827172827172</v>
      </c>
      <c r="C8241" s="6">
        <v>0.36872033571863699</v>
      </c>
    </row>
    <row r="8242" spans="1:3" s="8" customFormat="1" x14ac:dyDescent="0.2">
      <c r="A8242" s="6" t="str">
        <f>"CLDN3"</f>
        <v>CLDN3</v>
      </c>
      <c r="B8242" s="6">
        <v>0.172827172827172</v>
      </c>
      <c r="C8242" s="6">
        <v>0.36872033571863699</v>
      </c>
    </row>
    <row r="8243" spans="1:3" s="8" customFormat="1" x14ac:dyDescent="0.2">
      <c r="A8243" s="6" t="str">
        <f>"FAM216B"</f>
        <v>FAM216B</v>
      </c>
      <c r="B8243" s="6">
        <v>0.172827172827172</v>
      </c>
      <c r="C8243" s="6">
        <v>0.36872033571863699</v>
      </c>
    </row>
    <row r="8244" spans="1:3" s="8" customFormat="1" x14ac:dyDescent="0.2">
      <c r="A8244" s="6" t="str">
        <f>"SERINC3"</f>
        <v>SERINC3</v>
      </c>
      <c r="B8244" s="6">
        <v>0.17299999999999999</v>
      </c>
      <c r="C8244" s="6">
        <v>0.369044279995147</v>
      </c>
    </row>
    <row r="8245" spans="1:3" s="8" customFormat="1" x14ac:dyDescent="0.2">
      <c r="A8245" s="6" t="str">
        <f>"AL160286.2"</f>
        <v>AL160286.2</v>
      </c>
      <c r="B8245" s="6">
        <v>0.173099415204678</v>
      </c>
      <c r="C8245" s="6">
        <v>0.369211561979508</v>
      </c>
    </row>
    <row r="8246" spans="1:3" s="8" customFormat="1" x14ac:dyDescent="0.2">
      <c r="A8246" s="6" t="str">
        <f>"AP001527.2"</f>
        <v>AP001527.2</v>
      </c>
      <c r="B8246" s="6">
        <v>0.17317317317317299</v>
      </c>
      <c r="C8246" s="6">
        <v>0.36932408454542998</v>
      </c>
    </row>
    <row r="8247" spans="1:3" s="8" customFormat="1" x14ac:dyDescent="0.2">
      <c r="A8247" s="6" t="str">
        <f>"AC027601.3"</f>
        <v>AC027601.3</v>
      </c>
      <c r="B8247" s="6">
        <v>0.17382617382617299</v>
      </c>
      <c r="C8247" s="6">
        <v>0.36973018514085398</v>
      </c>
    </row>
    <row r="8248" spans="1:3" s="8" customFormat="1" x14ac:dyDescent="0.2">
      <c r="A8248" s="6" t="str">
        <f>"PDE6G"</f>
        <v>PDE6G</v>
      </c>
      <c r="B8248" s="6">
        <v>0.17382617382617299</v>
      </c>
      <c r="C8248" s="6">
        <v>0.36973018514085398</v>
      </c>
    </row>
    <row r="8249" spans="1:3" s="8" customFormat="1" x14ac:dyDescent="0.2">
      <c r="A8249" s="6" t="str">
        <f>"AL359715.3"</f>
        <v>AL359715.3</v>
      </c>
      <c r="B8249" s="6">
        <v>0.17382617382617299</v>
      </c>
      <c r="C8249" s="6">
        <v>0.36973018514085398</v>
      </c>
    </row>
    <row r="8250" spans="1:3" s="8" customFormat="1" x14ac:dyDescent="0.2">
      <c r="A8250" s="6" t="str">
        <f>"AL021026.1"</f>
        <v>AL021026.1</v>
      </c>
      <c r="B8250" s="6">
        <v>0.17382617382617299</v>
      </c>
      <c r="C8250" s="6">
        <v>0.36973018514085398</v>
      </c>
    </row>
    <row r="8251" spans="1:3" s="8" customFormat="1" x14ac:dyDescent="0.2">
      <c r="A8251" s="6" t="str">
        <f>"NLRP14"</f>
        <v>NLRP14</v>
      </c>
      <c r="B8251" s="6">
        <v>0.17382617382617299</v>
      </c>
      <c r="C8251" s="6">
        <v>0.36973018514085398</v>
      </c>
    </row>
    <row r="8252" spans="1:3" s="8" customFormat="1" x14ac:dyDescent="0.2">
      <c r="A8252" s="6" t="str">
        <f>"CR1L"</f>
        <v>CR1L</v>
      </c>
      <c r="B8252" s="6">
        <v>0.17382617382617299</v>
      </c>
      <c r="C8252" s="6">
        <v>0.36973018514085398</v>
      </c>
    </row>
    <row r="8253" spans="1:3" s="8" customFormat="1" x14ac:dyDescent="0.2">
      <c r="A8253" s="6" t="str">
        <f>"JPH2"</f>
        <v>JPH2</v>
      </c>
      <c r="B8253" s="6">
        <v>0.17382617382617299</v>
      </c>
      <c r="C8253" s="6">
        <v>0.36973018514085398</v>
      </c>
    </row>
    <row r="8254" spans="1:3" s="8" customFormat="1" x14ac:dyDescent="0.2">
      <c r="A8254" s="6" t="str">
        <f>"BPTFP1"</f>
        <v>BPTFP1</v>
      </c>
      <c r="B8254" s="6">
        <v>0.17382617382617299</v>
      </c>
      <c r="C8254" s="6">
        <v>0.36973018514085398</v>
      </c>
    </row>
    <row r="8255" spans="1:3" s="8" customFormat="1" x14ac:dyDescent="0.2">
      <c r="A8255" s="6" t="str">
        <f>"ASAH2"</f>
        <v>ASAH2</v>
      </c>
      <c r="B8255" s="6">
        <v>0.17382617382617299</v>
      </c>
      <c r="C8255" s="6">
        <v>0.36973018514085398</v>
      </c>
    </row>
    <row r="8256" spans="1:3" s="8" customFormat="1" x14ac:dyDescent="0.2">
      <c r="A8256" s="6" t="str">
        <f>"DQX1"</f>
        <v>DQX1</v>
      </c>
      <c r="B8256" s="6">
        <v>0.17382617382617299</v>
      </c>
      <c r="C8256" s="6">
        <v>0.36973018514085398</v>
      </c>
    </row>
    <row r="8257" spans="1:3" s="8" customFormat="1" x14ac:dyDescent="0.2">
      <c r="A8257" s="6" t="str">
        <f>"TSTD3"</f>
        <v>TSTD3</v>
      </c>
      <c r="B8257" s="6">
        <v>0.17382617382617299</v>
      </c>
      <c r="C8257" s="6">
        <v>0.36973018514085398</v>
      </c>
    </row>
    <row r="8258" spans="1:3" s="8" customFormat="1" x14ac:dyDescent="0.2">
      <c r="A8258" s="6" t="str">
        <f>"RASL11A"</f>
        <v>RASL11A</v>
      </c>
      <c r="B8258" s="6">
        <v>0.17382617382617299</v>
      </c>
      <c r="C8258" s="6">
        <v>0.36973018514085398</v>
      </c>
    </row>
    <row r="8259" spans="1:3" s="8" customFormat="1" x14ac:dyDescent="0.2">
      <c r="A8259" s="6" t="str">
        <f>"LSP1P5"</f>
        <v>LSP1P5</v>
      </c>
      <c r="B8259" s="6">
        <v>0.17382617382617299</v>
      </c>
      <c r="C8259" s="6">
        <v>0.36973018514085398</v>
      </c>
    </row>
    <row r="8260" spans="1:3" s="8" customFormat="1" x14ac:dyDescent="0.2">
      <c r="A8260" s="6" t="str">
        <f>"ETV7"</f>
        <v>ETV7</v>
      </c>
      <c r="B8260" s="6">
        <v>0.17382617382617299</v>
      </c>
      <c r="C8260" s="6">
        <v>0.36973018514085398</v>
      </c>
    </row>
    <row r="8261" spans="1:3" s="8" customFormat="1" x14ac:dyDescent="0.2">
      <c r="A8261" s="6" t="str">
        <f>"RPL22L1"</f>
        <v>RPL22L1</v>
      </c>
      <c r="B8261" s="6">
        <v>0.17382617382617299</v>
      </c>
      <c r="C8261" s="6">
        <v>0.36973018514085398</v>
      </c>
    </row>
    <row r="8262" spans="1:3" s="8" customFormat="1" x14ac:dyDescent="0.2">
      <c r="A8262" s="6" t="str">
        <f>"MAP4K2"</f>
        <v>MAP4K2</v>
      </c>
      <c r="B8262" s="6">
        <v>0.17382617382617299</v>
      </c>
      <c r="C8262" s="6">
        <v>0.36973018514085398</v>
      </c>
    </row>
    <row r="8263" spans="1:3" s="8" customFormat="1" x14ac:dyDescent="0.2">
      <c r="A8263" s="6" t="str">
        <f>"TLCD1"</f>
        <v>TLCD1</v>
      </c>
      <c r="B8263" s="6">
        <v>0.17382617382617299</v>
      </c>
      <c r="C8263" s="6">
        <v>0.36973018514085398</v>
      </c>
    </row>
    <row r="8264" spans="1:3" s="8" customFormat="1" x14ac:dyDescent="0.2">
      <c r="A8264" s="6" t="str">
        <f>"ARL4D"</f>
        <v>ARL4D</v>
      </c>
      <c r="B8264" s="6">
        <v>0.17382617382617299</v>
      </c>
      <c r="C8264" s="6">
        <v>0.36973018514085398</v>
      </c>
    </row>
    <row r="8265" spans="1:3" s="8" customFormat="1" x14ac:dyDescent="0.2">
      <c r="A8265" s="6" t="str">
        <f>"AMOTL2"</f>
        <v>AMOTL2</v>
      </c>
      <c r="B8265" s="6">
        <v>0.17382617382617299</v>
      </c>
      <c r="C8265" s="6">
        <v>0.36973018514085398</v>
      </c>
    </row>
    <row r="8266" spans="1:3" s="8" customFormat="1" x14ac:dyDescent="0.2">
      <c r="A8266" s="6" t="str">
        <f>"CHMP4A"</f>
        <v>CHMP4A</v>
      </c>
      <c r="B8266" s="6">
        <v>0.17382617382617299</v>
      </c>
      <c r="C8266" s="6">
        <v>0.36973018514085398</v>
      </c>
    </row>
    <row r="8267" spans="1:3" s="8" customFormat="1" x14ac:dyDescent="0.2">
      <c r="A8267" s="6" t="str">
        <f>"PLLP"</f>
        <v>PLLP</v>
      </c>
      <c r="B8267" s="6">
        <v>0.17382617382617299</v>
      </c>
      <c r="C8267" s="6">
        <v>0.36973018514085398</v>
      </c>
    </row>
    <row r="8268" spans="1:3" s="8" customFormat="1" x14ac:dyDescent="0.2">
      <c r="A8268" s="6" t="str">
        <f>"CFAP77"</f>
        <v>CFAP77</v>
      </c>
      <c r="B8268" s="6">
        <v>0.17382617382617299</v>
      </c>
      <c r="C8268" s="6">
        <v>0.36973018514085398</v>
      </c>
    </row>
    <row r="8269" spans="1:3" s="8" customFormat="1" x14ac:dyDescent="0.2">
      <c r="A8269" s="6" t="str">
        <f>"AC091167.7"</f>
        <v>AC091167.7</v>
      </c>
      <c r="B8269" s="6">
        <v>0.17399999999999999</v>
      </c>
      <c r="C8269" s="6">
        <v>0.37001040029024002</v>
      </c>
    </row>
    <row r="8270" spans="1:3" s="8" customFormat="1" x14ac:dyDescent="0.2">
      <c r="A8270" s="6" t="str">
        <f>"ZFP91-CNTF"</f>
        <v>ZFP91-CNTF</v>
      </c>
      <c r="B8270" s="6">
        <v>0.17399999999999999</v>
      </c>
      <c r="C8270" s="6">
        <v>0.37001040029024002</v>
      </c>
    </row>
    <row r="8271" spans="1:3" s="8" customFormat="1" x14ac:dyDescent="0.2">
      <c r="A8271" s="6" t="str">
        <f>"AC069503.2"</f>
        <v>AC069503.2</v>
      </c>
      <c r="B8271" s="6">
        <v>0.17482517482517401</v>
      </c>
      <c r="C8271" s="6">
        <v>0.37095762931409099</v>
      </c>
    </row>
    <row r="8272" spans="1:3" s="8" customFormat="1" x14ac:dyDescent="0.2">
      <c r="A8272" s="6" t="str">
        <f>"SLC24A5"</f>
        <v>SLC24A5</v>
      </c>
      <c r="B8272" s="6">
        <v>0.17482517482517401</v>
      </c>
      <c r="C8272" s="6">
        <v>0.37095762931409099</v>
      </c>
    </row>
    <row r="8273" spans="1:3" s="8" customFormat="1" x14ac:dyDescent="0.2">
      <c r="A8273" s="6" t="str">
        <f>"LRRC55"</f>
        <v>LRRC55</v>
      </c>
      <c r="B8273" s="6">
        <v>0.17482517482517401</v>
      </c>
      <c r="C8273" s="6">
        <v>0.37095762931409099</v>
      </c>
    </row>
    <row r="8274" spans="1:3" s="8" customFormat="1" x14ac:dyDescent="0.2">
      <c r="A8274" s="6" t="str">
        <f>"LINC01361"</f>
        <v>LINC01361</v>
      </c>
      <c r="B8274" s="6">
        <v>0.17469879518072201</v>
      </c>
      <c r="C8274" s="6">
        <v>0.37095762931409099</v>
      </c>
    </row>
    <row r="8275" spans="1:3" s="8" customFormat="1" x14ac:dyDescent="0.2">
      <c r="A8275" s="6" t="str">
        <f>"RNVU1-7"</f>
        <v>RNVU1-7</v>
      </c>
      <c r="B8275" s="6">
        <v>0.17482517482517401</v>
      </c>
      <c r="C8275" s="6">
        <v>0.37095762931409099</v>
      </c>
    </row>
    <row r="8276" spans="1:3" s="8" customFormat="1" x14ac:dyDescent="0.2">
      <c r="A8276" s="6" t="str">
        <f>"AC090360.1"</f>
        <v>AC090360.1</v>
      </c>
      <c r="B8276" s="6">
        <v>0.17482517482517401</v>
      </c>
      <c r="C8276" s="6">
        <v>0.37095762931409099</v>
      </c>
    </row>
    <row r="8277" spans="1:3" s="8" customFormat="1" x14ac:dyDescent="0.2">
      <c r="A8277" s="6" t="str">
        <f>"LINC00880"</f>
        <v>LINC00880</v>
      </c>
      <c r="B8277" s="6">
        <v>0.17482517482517401</v>
      </c>
      <c r="C8277" s="6">
        <v>0.37095762931409099</v>
      </c>
    </row>
    <row r="8278" spans="1:3" s="8" customFormat="1" x14ac:dyDescent="0.2">
      <c r="A8278" s="6" t="str">
        <f>"HDAC4-AS1"</f>
        <v>HDAC4-AS1</v>
      </c>
      <c r="B8278" s="6">
        <v>0.17482517482517401</v>
      </c>
      <c r="C8278" s="6">
        <v>0.37095762931409099</v>
      </c>
    </row>
    <row r="8279" spans="1:3" s="8" customFormat="1" x14ac:dyDescent="0.2">
      <c r="A8279" s="6" t="str">
        <f>"AL139423.1"</f>
        <v>AL139423.1</v>
      </c>
      <c r="B8279" s="6">
        <v>0.17482517482517401</v>
      </c>
      <c r="C8279" s="6">
        <v>0.37095762931409099</v>
      </c>
    </row>
    <row r="8280" spans="1:3" s="8" customFormat="1" x14ac:dyDescent="0.2">
      <c r="A8280" s="6" t="str">
        <f>"AC116562.3"</f>
        <v>AC116562.3</v>
      </c>
      <c r="B8280" s="6">
        <v>0.17482517482517401</v>
      </c>
      <c r="C8280" s="6">
        <v>0.37095762931409099</v>
      </c>
    </row>
    <row r="8281" spans="1:3" s="8" customFormat="1" x14ac:dyDescent="0.2">
      <c r="A8281" s="6" t="str">
        <f>"ZNF517"</f>
        <v>ZNF517</v>
      </c>
      <c r="B8281" s="6">
        <v>0.17482517482517401</v>
      </c>
      <c r="C8281" s="6">
        <v>0.37095762931409099</v>
      </c>
    </row>
    <row r="8282" spans="1:3" s="8" customFormat="1" x14ac:dyDescent="0.2">
      <c r="A8282" s="6" t="str">
        <f>"ZNF174"</f>
        <v>ZNF174</v>
      </c>
      <c r="B8282" s="6">
        <v>0.17482517482517401</v>
      </c>
      <c r="C8282" s="6">
        <v>0.37095762931409099</v>
      </c>
    </row>
    <row r="8283" spans="1:3" s="8" customFormat="1" x14ac:dyDescent="0.2">
      <c r="A8283" s="6" t="str">
        <f>"C11orf97"</f>
        <v>C11orf97</v>
      </c>
      <c r="B8283" s="6">
        <v>0.17482517482517401</v>
      </c>
      <c r="C8283" s="6">
        <v>0.37095762931409099</v>
      </c>
    </row>
    <row r="8284" spans="1:3" s="8" customFormat="1" x14ac:dyDescent="0.2">
      <c r="A8284" s="6" t="str">
        <f>"ST8SIA4"</f>
        <v>ST8SIA4</v>
      </c>
      <c r="B8284" s="6">
        <v>0.17482517482517401</v>
      </c>
      <c r="C8284" s="6">
        <v>0.37095762931409099</v>
      </c>
    </row>
    <row r="8285" spans="1:3" s="8" customFormat="1" x14ac:dyDescent="0.2">
      <c r="A8285" s="6" t="str">
        <f>"SPINK5"</f>
        <v>SPINK5</v>
      </c>
      <c r="B8285" s="6">
        <v>0.17482517482517401</v>
      </c>
      <c r="C8285" s="6">
        <v>0.37095762931409099</v>
      </c>
    </row>
    <row r="8286" spans="1:3" s="8" customFormat="1" x14ac:dyDescent="0.2">
      <c r="A8286" s="6" t="str">
        <f>"PGPEP1"</f>
        <v>PGPEP1</v>
      </c>
      <c r="B8286" s="6">
        <v>0.17482517482517401</v>
      </c>
      <c r="C8286" s="6">
        <v>0.37095762931409099</v>
      </c>
    </row>
    <row r="8287" spans="1:3" s="8" customFormat="1" x14ac:dyDescent="0.2">
      <c r="A8287" s="6" t="str">
        <f>"TOM1L2"</f>
        <v>TOM1L2</v>
      </c>
      <c r="B8287" s="6">
        <v>0.17482517482517401</v>
      </c>
      <c r="C8287" s="6">
        <v>0.37095762931409099</v>
      </c>
    </row>
    <row r="8288" spans="1:3" s="8" customFormat="1" x14ac:dyDescent="0.2">
      <c r="A8288" s="6" t="str">
        <f>"CTR9"</f>
        <v>CTR9</v>
      </c>
      <c r="B8288" s="6">
        <v>0.17482517482517401</v>
      </c>
      <c r="C8288" s="6">
        <v>0.37095762931409099</v>
      </c>
    </row>
    <row r="8289" spans="1:3" s="8" customFormat="1" x14ac:dyDescent="0.2">
      <c r="A8289" s="6" t="str">
        <f>"AC000068.3"</f>
        <v>AC000068.3</v>
      </c>
      <c r="B8289" s="6">
        <v>0.17515274949083501</v>
      </c>
      <c r="C8289" s="6">
        <v>0.37160786040623101</v>
      </c>
    </row>
    <row r="8290" spans="1:3" s="8" customFormat="1" x14ac:dyDescent="0.2">
      <c r="A8290" s="6" t="str">
        <f>"FRG1JP"</f>
        <v>FRG1JP</v>
      </c>
      <c r="B8290" s="6">
        <v>0.175456389452332</v>
      </c>
      <c r="C8290" s="6">
        <v>0.37220716034863199</v>
      </c>
    </row>
    <row r="8291" spans="1:3" s="8" customFormat="1" x14ac:dyDescent="0.2">
      <c r="A8291" s="6" t="str">
        <f>"RHD"</f>
        <v>RHD</v>
      </c>
      <c r="B8291" s="6">
        <v>0.17582417582417501</v>
      </c>
      <c r="C8291" s="6">
        <v>0.37222397154976</v>
      </c>
    </row>
    <row r="8292" spans="1:3" s="8" customFormat="1" x14ac:dyDescent="0.2">
      <c r="A8292" s="6" t="str">
        <f>"CPNE8-AS1"</f>
        <v>CPNE8-AS1</v>
      </c>
      <c r="B8292" s="6">
        <v>0.17582417582417501</v>
      </c>
      <c r="C8292" s="6">
        <v>0.37222397154976</v>
      </c>
    </row>
    <row r="8293" spans="1:3" s="8" customFormat="1" x14ac:dyDescent="0.2">
      <c r="A8293" s="6" t="str">
        <f>"AC116036.2"</f>
        <v>AC116036.2</v>
      </c>
      <c r="B8293" s="6">
        <v>0.17552657973921701</v>
      </c>
      <c r="C8293" s="6">
        <v>0.37222397154976</v>
      </c>
    </row>
    <row r="8294" spans="1:3" s="8" customFormat="1" x14ac:dyDescent="0.2">
      <c r="A8294" s="6" t="str">
        <f>"LIMS2"</f>
        <v>LIMS2</v>
      </c>
      <c r="B8294" s="6">
        <v>0.17582417582417501</v>
      </c>
      <c r="C8294" s="6">
        <v>0.37222397154976</v>
      </c>
    </row>
    <row r="8295" spans="1:3" s="8" customFormat="1" x14ac:dyDescent="0.2">
      <c r="A8295" s="6" t="str">
        <f>"AC005062.1"</f>
        <v>AC005062.1</v>
      </c>
      <c r="B8295" s="6">
        <v>0.175702811244979</v>
      </c>
      <c r="C8295" s="6">
        <v>0.37222397154976</v>
      </c>
    </row>
    <row r="8296" spans="1:3" s="8" customFormat="1" x14ac:dyDescent="0.2">
      <c r="A8296" s="6" t="str">
        <f>"SAXO1"</f>
        <v>SAXO1</v>
      </c>
      <c r="B8296" s="6">
        <v>0.17582417582417501</v>
      </c>
      <c r="C8296" s="6">
        <v>0.37222397154976</v>
      </c>
    </row>
    <row r="8297" spans="1:3" s="8" customFormat="1" x14ac:dyDescent="0.2">
      <c r="A8297" s="6" t="str">
        <f>"FNDC4"</f>
        <v>FNDC4</v>
      </c>
      <c r="B8297" s="6">
        <v>0.17582417582417501</v>
      </c>
      <c r="C8297" s="6">
        <v>0.37222397154976</v>
      </c>
    </row>
    <row r="8298" spans="1:3" s="8" customFormat="1" x14ac:dyDescent="0.2">
      <c r="A8298" s="6" t="str">
        <f>"AL691482.3"</f>
        <v>AL691482.3</v>
      </c>
      <c r="B8298" s="6">
        <v>0.17582417582417501</v>
      </c>
      <c r="C8298" s="6">
        <v>0.37222397154976</v>
      </c>
    </row>
    <row r="8299" spans="1:3" s="8" customFormat="1" x14ac:dyDescent="0.2">
      <c r="A8299" s="6" t="str">
        <f>"LY6H"</f>
        <v>LY6H</v>
      </c>
      <c r="B8299" s="6">
        <v>0.17582417582417501</v>
      </c>
      <c r="C8299" s="6">
        <v>0.37222397154976</v>
      </c>
    </row>
    <row r="8300" spans="1:3" s="8" customFormat="1" x14ac:dyDescent="0.2">
      <c r="A8300" s="6" t="str">
        <f>"LIF"</f>
        <v>LIF</v>
      </c>
      <c r="B8300" s="6">
        <v>0.17582417582417501</v>
      </c>
      <c r="C8300" s="6">
        <v>0.37222397154976</v>
      </c>
    </row>
    <row r="8301" spans="1:3" s="8" customFormat="1" x14ac:dyDescent="0.2">
      <c r="A8301" s="6" t="str">
        <f>"BBS9"</f>
        <v>BBS9</v>
      </c>
      <c r="B8301" s="6">
        <v>0.17582417582417501</v>
      </c>
      <c r="C8301" s="6">
        <v>0.37222397154976</v>
      </c>
    </row>
    <row r="8302" spans="1:3" s="8" customFormat="1" x14ac:dyDescent="0.2">
      <c r="A8302" s="6" t="str">
        <f>"MT1E"</f>
        <v>MT1E</v>
      </c>
      <c r="B8302" s="6">
        <v>0.17582417582417501</v>
      </c>
      <c r="C8302" s="6">
        <v>0.37222397154976</v>
      </c>
    </row>
    <row r="8303" spans="1:3" s="8" customFormat="1" x14ac:dyDescent="0.2">
      <c r="A8303" s="6" t="str">
        <f>"GPATCH4"</f>
        <v>GPATCH4</v>
      </c>
      <c r="B8303" s="6">
        <v>0.17582417582417501</v>
      </c>
      <c r="C8303" s="6">
        <v>0.37222397154976</v>
      </c>
    </row>
    <row r="8304" spans="1:3" s="8" customFormat="1" x14ac:dyDescent="0.2">
      <c r="A8304" s="6" t="str">
        <f>"CDC73"</f>
        <v>CDC73</v>
      </c>
      <c r="B8304" s="6">
        <v>0.17582417582417501</v>
      </c>
      <c r="C8304" s="6">
        <v>0.37222397154976</v>
      </c>
    </row>
    <row r="8305" spans="1:3" s="8" customFormat="1" x14ac:dyDescent="0.2">
      <c r="A8305" s="6" t="str">
        <f>"NSDHL"</f>
        <v>NSDHL</v>
      </c>
      <c r="B8305" s="6">
        <v>0.17582417582417501</v>
      </c>
      <c r="C8305" s="6">
        <v>0.37222397154976</v>
      </c>
    </row>
    <row r="8306" spans="1:3" s="8" customFormat="1" x14ac:dyDescent="0.2">
      <c r="A8306" s="6" t="str">
        <f>"SPATA17"</f>
        <v>SPATA17</v>
      </c>
      <c r="B8306" s="6">
        <v>0.17582417582417501</v>
      </c>
      <c r="C8306" s="6">
        <v>0.37222397154976</v>
      </c>
    </row>
    <row r="8307" spans="1:3" s="8" customFormat="1" x14ac:dyDescent="0.2">
      <c r="A8307" s="6" t="str">
        <f>"MNS1"</f>
        <v>MNS1</v>
      </c>
      <c r="B8307" s="6">
        <v>0.17582417582417501</v>
      </c>
      <c r="C8307" s="6">
        <v>0.37222397154976</v>
      </c>
    </row>
    <row r="8308" spans="1:3" s="8" customFormat="1" x14ac:dyDescent="0.2">
      <c r="A8308" s="6" t="str">
        <f>"AP002981.1"</f>
        <v>AP002981.1</v>
      </c>
      <c r="B8308" s="6">
        <v>0.175935288169868</v>
      </c>
      <c r="C8308" s="6">
        <v>0.37241436224617402</v>
      </c>
    </row>
    <row r="8309" spans="1:3" s="8" customFormat="1" x14ac:dyDescent="0.2">
      <c r="A8309" s="6" t="str">
        <f>"KF456478.1"</f>
        <v>KF456478.1</v>
      </c>
      <c r="B8309" s="6">
        <v>0.17599999999999999</v>
      </c>
      <c r="C8309" s="6">
        <v>0.37241684717208101</v>
      </c>
    </row>
    <row r="8310" spans="1:3" s="8" customFormat="1" x14ac:dyDescent="0.2">
      <c r="A8310" s="6" t="str">
        <f>"AL139243.1"</f>
        <v>AL139243.1</v>
      </c>
      <c r="B8310" s="6">
        <v>0.175991861648016</v>
      </c>
      <c r="C8310" s="6">
        <v>0.37241684717208101</v>
      </c>
    </row>
    <row r="8311" spans="1:3" s="8" customFormat="1" x14ac:dyDescent="0.2">
      <c r="A8311" s="6" t="str">
        <f>"EIF1AX"</f>
        <v>EIF1AX</v>
      </c>
      <c r="B8311" s="6">
        <v>0.17599999999999999</v>
      </c>
      <c r="C8311" s="6">
        <v>0.37241684717208101</v>
      </c>
    </row>
    <row r="8312" spans="1:3" s="8" customFormat="1" x14ac:dyDescent="0.2">
      <c r="A8312" s="6" t="str">
        <f>"AC137894.4"</f>
        <v>AC137894.4</v>
      </c>
      <c r="B8312" s="6">
        <v>0.17635270541082099</v>
      </c>
      <c r="C8312" s="6">
        <v>0.37311827360653199</v>
      </c>
    </row>
    <row r="8313" spans="1:3" s="8" customFormat="1" x14ac:dyDescent="0.2">
      <c r="A8313" s="6" t="str">
        <f>"AC079354.2"</f>
        <v>AC079354.2</v>
      </c>
      <c r="B8313" s="6">
        <v>0.17640807651434601</v>
      </c>
      <c r="C8313" s="6">
        <v>0.37319052182726897</v>
      </c>
    </row>
    <row r="8314" spans="1:3" s="8" customFormat="1" x14ac:dyDescent="0.2">
      <c r="A8314" s="6" t="str">
        <f>"FAM189A1"</f>
        <v>FAM189A1</v>
      </c>
      <c r="B8314" s="6">
        <v>0.176823176823176</v>
      </c>
      <c r="C8314" s="6">
        <v>0.37321554930485401</v>
      </c>
    </row>
    <row r="8315" spans="1:3" s="8" customFormat="1" x14ac:dyDescent="0.2">
      <c r="A8315" s="6" t="str">
        <f>"CTBP1-AS"</f>
        <v>CTBP1-AS</v>
      </c>
      <c r="B8315" s="6">
        <v>0.176823176823176</v>
      </c>
      <c r="C8315" s="6">
        <v>0.37321554930485401</v>
      </c>
    </row>
    <row r="8316" spans="1:3" s="8" customFormat="1" x14ac:dyDescent="0.2">
      <c r="A8316" s="6" t="str">
        <f>"LINC00839"</f>
        <v>LINC00839</v>
      </c>
      <c r="B8316" s="6">
        <v>0.176823176823176</v>
      </c>
      <c r="C8316" s="6">
        <v>0.37321554930485401</v>
      </c>
    </row>
    <row r="8317" spans="1:3" s="8" customFormat="1" x14ac:dyDescent="0.2">
      <c r="A8317" s="6" t="str">
        <f>"LINC00674"</f>
        <v>LINC00674</v>
      </c>
      <c r="B8317" s="6">
        <v>0.176823176823176</v>
      </c>
      <c r="C8317" s="6">
        <v>0.37321554930485401</v>
      </c>
    </row>
    <row r="8318" spans="1:3" s="8" customFormat="1" x14ac:dyDescent="0.2">
      <c r="A8318" s="6" t="str">
        <f>"ANK2"</f>
        <v>ANK2</v>
      </c>
      <c r="B8318" s="6">
        <v>0.176823176823176</v>
      </c>
      <c r="C8318" s="6">
        <v>0.37321554930485401</v>
      </c>
    </row>
    <row r="8319" spans="1:3" s="8" customFormat="1" x14ac:dyDescent="0.2">
      <c r="A8319" s="6" t="str">
        <f>"AC012254.2"</f>
        <v>AC012254.2</v>
      </c>
      <c r="B8319" s="6">
        <v>0.176823176823176</v>
      </c>
      <c r="C8319" s="6">
        <v>0.37321554930485401</v>
      </c>
    </row>
    <row r="8320" spans="1:3" s="8" customFormat="1" x14ac:dyDescent="0.2">
      <c r="A8320" s="6" t="str">
        <f>"AL158206.1"</f>
        <v>AL158206.1</v>
      </c>
      <c r="B8320" s="6">
        <v>0.176823176823176</v>
      </c>
      <c r="C8320" s="6">
        <v>0.37321554930485401</v>
      </c>
    </row>
    <row r="8321" spans="1:3" s="8" customFormat="1" x14ac:dyDescent="0.2">
      <c r="A8321" s="6" t="str">
        <f>"AK6"</f>
        <v>AK6</v>
      </c>
      <c r="B8321" s="6">
        <v>0.176823176823176</v>
      </c>
      <c r="C8321" s="6">
        <v>0.37321554930485401</v>
      </c>
    </row>
    <row r="8322" spans="1:3" s="8" customFormat="1" x14ac:dyDescent="0.2">
      <c r="A8322" s="6" t="str">
        <f>"ZDHHC11B"</f>
        <v>ZDHHC11B</v>
      </c>
      <c r="B8322" s="6">
        <v>0.176823176823176</v>
      </c>
      <c r="C8322" s="6">
        <v>0.37321554930485401</v>
      </c>
    </row>
    <row r="8323" spans="1:3" s="8" customFormat="1" x14ac:dyDescent="0.2">
      <c r="A8323" s="6" t="str">
        <f>"LRRC8D"</f>
        <v>LRRC8D</v>
      </c>
      <c r="B8323" s="6">
        <v>0.176823176823176</v>
      </c>
      <c r="C8323" s="6">
        <v>0.37321554930485401</v>
      </c>
    </row>
    <row r="8324" spans="1:3" s="8" customFormat="1" x14ac:dyDescent="0.2">
      <c r="A8324" s="6" t="str">
        <f>"RBPMS"</f>
        <v>RBPMS</v>
      </c>
      <c r="B8324" s="6">
        <v>0.176823176823176</v>
      </c>
      <c r="C8324" s="6">
        <v>0.37321554930485401</v>
      </c>
    </row>
    <row r="8325" spans="1:3" s="8" customFormat="1" x14ac:dyDescent="0.2">
      <c r="A8325" s="6" t="str">
        <f>"FAM50A"</f>
        <v>FAM50A</v>
      </c>
      <c r="B8325" s="6">
        <v>0.176823176823176</v>
      </c>
      <c r="C8325" s="6">
        <v>0.37321554930485401</v>
      </c>
    </row>
    <row r="8326" spans="1:3" s="8" customFormat="1" x14ac:dyDescent="0.2">
      <c r="A8326" s="6" t="str">
        <f>"ARPIN"</f>
        <v>ARPIN</v>
      </c>
      <c r="B8326" s="6">
        <v>0.176823176823176</v>
      </c>
      <c r="C8326" s="6">
        <v>0.37321554930485401</v>
      </c>
    </row>
    <row r="8327" spans="1:3" s="8" customFormat="1" x14ac:dyDescent="0.2">
      <c r="A8327" s="6" t="str">
        <f>"CCDC74B"</f>
        <v>CCDC74B</v>
      </c>
      <c r="B8327" s="6">
        <v>0.176823176823176</v>
      </c>
      <c r="C8327" s="6">
        <v>0.37321554930485401</v>
      </c>
    </row>
    <row r="8328" spans="1:3" s="8" customFormat="1" x14ac:dyDescent="0.2">
      <c r="A8328" s="6" t="str">
        <f>"DDX21"</f>
        <v>DDX21</v>
      </c>
      <c r="B8328" s="6">
        <v>0.176823176823176</v>
      </c>
      <c r="C8328" s="6">
        <v>0.37321554930485401</v>
      </c>
    </row>
    <row r="8329" spans="1:3" s="8" customFormat="1" x14ac:dyDescent="0.2">
      <c r="A8329" s="6" t="str">
        <f>"ZNF652"</f>
        <v>ZNF652</v>
      </c>
      <c r="B8329" s="6">
        <v>0.176823176823176</v>
      </c>
      <c r="C8329" s="6">
        <v>0.37321554930485401</v>
      </c>
    </row>
    <row r="8330" spans="1:3" s="8" customFormat="1" x14ac:dyDescent="0.2">
      <c r="A8330" s="6" t="str">
        <f>"COPB1"</f>
        <v>COPB1</v>
      </c>
      <c r="B8330" s="6">
        <v>0.176823176823176</v>
      </c>
      <c r="C8330" s="6">
        <v>0.37321554930485401</v>
      </c>
    </row>
    <row r="8331" spans="1:3" s="8" customFormat="1" x14ac:dyDescent="0.2">
      <c r="A8331" s="6" t="str">
        <f>"GAPVD1"</f>
        <v>GAPVD1</v>
      </c>
      <c r="B8331" s="6">
        <v>0.176823176823176</v>
      </c>
      <c r="C8331" s="6">
        <v>0.37321554930485401</v>
      </c>
    </row>
    <row r="8332" spans="1:3" s="8" customFormat="1" x14ac:dyDescent="0.2">
      <c r="A8332" s="6" t="str">
        <f>"DNAH2"</f>
        <v>DNAH2</v>
      </c>
      <c r="B8332" s="6">
        <v>0.176823176823176</v>
      </c>
      <c r="C8332" s="6">
        <v>0.37321554930485401</v>
      </c>
    </row>
    <row r="8333" spans="1:3" s="8" customFormat="1" x14ac:dyDescent="0.2">
      <c r="A8333" s="6" t="str">
        <f>"KRT8P3"</f>
        <v>KRT8P3</v>
      </c>
      <c r="B8333" s="6">
        <v>0.17686318131256901</v>
      </c>
      <c r="C8333" s="6">
        <v>0.37325518245321898</v>
      </c>
    </row>
    <row r="8334" spans="1:3" s="8" customFormat="1" x14ac:dyDescent="0.2">
      <c r="A8334" s="6" t="str">
        <f>"C7orf25"</f>
        <v>C7orf25</v>
      </c>
      <c r="B8334" s="6">
        <v>0.17699999999999999</v>
      </c>
      <c r="C8334" s="6">
        <v>0.37340947810437902</v>
      </c>
    </row>
    <row r="8335" spans="1:3" s="8" customFormat="1" x14ac:dyDescent="0.2">
      <c r="A8335" s="6" t="str">
        <f>"PPP1R42"</f>
        <v>PPP1R42</v>
      </c>
      <c r="B8335" s="6">
        <v>0.17699999999999999</v>
      </c>
      <c r="C8335" s="6">
        <v>0.37340947810437902</v>
      </c>
    </row>
    <row r="8336" spans="1:3" s="8" customFormat="1" x14ac:dyDescent="0.2">
      <c r="A8336" s="6" t="str">
        <f>"EP300"</f>
        <v>EP300</v>
      </c>
      <c r="B8336" s="6">
        <v>0.17699999999999999</v>
      </c>
      <c r="C8336" s="6">
        <v>0.37340947810437902</v>
      </c>
    </row>
    <row r="8337" spans="1:3" s="8" customFormat="1" x14ac:dyDescent="0.2">
      <c r="A8337" s="6" t="str">
        <f>"LINC01496"</f>
        <v>LINC01496</v>
      </c>
      <c r="B8337" s="6">
        <v>0.177062374245472</v>
      </c>
      <c r="C8337" s="6">
        <v>0.37349625584601598</v>
      </c>
    </row>
    <row r="8338" spans="1:3" s="8" customFormat="1" x14ac:dyDescent="0.2">
      <c r="A8338" s="6" t="str">
        <f>"AC104389.5"</f>
        <v>AC104389.5</v>
      </c>
      <c r="B8338" s="6">
        <v>0.17717717717717699</v>
      </c>
      <c r="C8338" s="6">
        <v>0.37369359283716902</v>
      </c>
    </row>
    <row r="8339" spans="1:3" s="8" customFormat="1" x14ac:dyDescent="0.2">
      <c r="A8339" s="6" t="str">
        <f>"FAM198B-AS1"</f>
        <v>FAM198B-AS1</v>
      </c>
      <c r="B8339" s="6">
        <v>0.17782217782217699</v>
      </c>
      <c r="C8339" s="6">
        <v>0.37447008081738598</v>
      </c>
    </row>
    <row r="8340" spans="1:3" s="8" customFormat="1" x14ac:dyDescent="0.2">
      <c r="A8340" s="6" t="str">
        <f>"AL356740.3"</f>
        <v>AL356740.3</v>
      </c>
      <c r="B8340" s="6">
        <v>0.17782217782217699</v>
      </c>
      <c r="C8340" s="6">
        <v>0.37447008081738598</v>
      </c>
    </row>
    <row r="8341" spans="1:3" s="8" customFormat="1" x14ac:dyDescent="0.2">
      <c r="A8341" s="6" t="str">
        <f>"LINC01882"</f>
        <v>LINC01882</v>
      </c>
      <c r="B8341" s="6">
        <v>0.17782217782217699</v>
      </c>
      <c r="C8341" s="6">
        <v>0.37447008081738598</v>
      </c>
    </row>
    <row r="8342" spans="1:3" s="8" customFormat="1" x14ac:dyDescent="0.2">
      <c r="A8342" s="6" t="str">
        <f>"BX539320.1"</f>
        <v>BX539320.1</v>
      </c>
      <c r="B8342" s="6">
        <v>0.17782217782217699</v>
      </c>
      <c r="C8342" s="6">
        <v>0.37447008081738598</v>
      </c>
    </row>
    <row r="8343" spans="1:3" s="8" customFormat="1" x14ac:dyDescent="0.2">
      <c r="A8343" s="6" t="str">
        <f>"TMEM108"</f>
        <v>TMEM108</v>
      </c>
      <c r="B8343" s="6">
        <v>0.17782217782217699</v>
      </c>
      <c r="C8343" s="6">
        <v>0.37447008081738598</v>
      </c>
    </row>
    <row r="8344" spans="1:3" s="8" customFormat="1" x14ac:dyDescent="0.2">
      <c r="A8344" s="6" t="str">
        <f>"GPR156"</f>
        <v>GPR156</v>
      </c>
      <c r="B8344" s="6">
        <v>0.17782217782217699</v>
      </c>
      <c r="C8344" s="6">
        <v>0.37447008081738598</v>
      </c>
    </row>
    <row r="8345" spans="1:3" s="8" customFormat="1" x14ac:dyDescent="0.2">
      <c r="A8345" s="6" t="str">
        <f>"ITPRIPL1"</f>
        <v>ITPRIPL1</v>
      </c>
      <c r="B8345" s="6">
        <v>0.17782217782217699</v>
      </c>
      <c r="C8345" s="6">
        <v>0.37447008081738598</v>
      </c>
    </row>
    <row r="8346" spans="1:3" s="8" customFormat="1" x14ac:dyDescent="0.2">
      <c r="A8346" s="6" t="str">
        <f>"CCDC149"</f>
        <v>CCDC149</v>
      </c>
      <c r="B8346" s="6">
        <v>0.17782217782217699</v>
      </c>
      <c r="C8346" s="6">
        <v>0.37447008081738598</v>
      </c>
    </row>
    <row r="8347" spans="1:3" s="8" customFormat="1" x14ac:dyDescent="0.2">
      <c r="A8347" s="6" t="str">
        <f>"PAQR8"</f>
        <v>PAQR8</v>
      </c>
      <c r="B8347" s="6">
        <v>0.17782217782217699</v>
      </c>
      <c r="C8347" s="6">
        <v>0.37447008081738598</v>
      </c>
    </row>
    <row r="8348" spans="1:3" s="8" customFormat="1" x14ac:dyDescent="0.2">
      <c r="A8348" s="6" t="str">
        <f>"IMPDH1"</f>
        <v>IMPDH1</v>
      </c>
      <c r="B8348" s="6">
        <v>0.17782217782217699</v>
      </c>
      <c r="C8348" s="6">
        <v>0.37447008081738598</v>
      </c>
    </row>
    <row r="8349" spans="1:3" s="8" customFormat="1" x14ac:dyDescent="0.2">
      <c r="A8349" s="6" t="str">
        <f>"PIBF1"</f>
        <v>PIBF1</v>
      </c>
      <c r="B8349" s="6">
        <v>0.17782217782217699</v>
      </c>
      <c r="C8349" s="6">
        <v>0.37447008081738598</v>
      </c>
    </row>
    <row r="8350" spans="1:3" s="8" customFormat="1" x14ac:dyDescent="0.2">
      <c r="A8350" s="6" t="str">
        <f>"RAPH1"</f>
        <v>RAPH1</v>
      </c>
      <c r="B8350" s="6">
        <v>0.17782217782217699</v>
      </c>
      <c r="C8350" s="6">
        <v>0.37447008081738598</v>
      </c>
    </row>
    <row r="8351" spans="1:3" s="8" customFormat="1" x14ac:dyDescent="0.2">
      <c r="A8351" s="6" t="str">
        <f>"UBE2L6"</f>
        <v>UBE2L6</v>
      </c>
      <c r="B8351" s="6">
        <v>0.17782217782217699</v>
      </c>
      <c r="C8351" s="6">
        <v>0.37447008081738598</v>
      </c>
    </row>
    <row r="8352" spans="1:3" s="8" customFormat="1" x14ac:dyDescent="0.2">
      <c r="A8352" s="6" t="str">
        <f>"FAM226B"</f>
        <v>FAM226B</v>
      </c>
      <c r="B8352" s="6">
        <v>0.17799352750809</v>
      </c>
      <c r="C8352" s="6">
        <v>0.37478603612768102</v>
      </c>
    </row>
    <row r="8353" spans="1:3" s="8" customFormat="1" x14ac:dyDescent="0.2">
      <c r="A8353" s="6" t="str">
        <f>"AC037198.2"</f>
        <v>AC037198.2</v>
      </c>
      <c r="B8353" s="6">
        <v>0.17882117882117801</v>
      </c>
      <c r="C8353" s="6">
        <v>0.37553942534236301</v>
      </c>
    </row>
    <row r="8354" spans="1:3" s="8" customFormat="1" x14ac:dyDescent="0.2">
      <c r="A8354" s="6" t="str">
        <f>"LINC02432"</f>
        <v>LINC02432</v>
      </c>
      <c r="B8354" s="6">
        <v>0.17882117882117801</v>
      </c>
      <c r="C8354" s="6">
        <v>0.37553942534236301</v>
      </c>
    </row>
    <row r="8355" spans="1:3" s="8" customFormat="1" x14ac:dyDescent="0.2">
      <c r="A8355" s="6" t="str">
        <f>"ZNF687-AS1"</f>
        <v>ZNF687-AS1</v>
      </c>
      <c r="B8355" s="6">
        <v>0.17882117882117801</v>
      </c>
      <c r="C8355" s="6">
        <v>0.37553942534236301</v>
      </c>
    </row>
    <row r="8356" spans="1:3" s="8" customFormat="1" x14ac:dyDescent="0.2">
      <c r="A8356" s="6" t="str">
        <f>"CT75"</f>
        <v>CT75</v>
      </c>
      <c r="B8356" s="6">
        <v>0.17882117882117801</v>
      </c>
      <c r="C8356" s="6">
        <v>0.37553942534236301</v>
      </c>
    </row>
    <row r="8357" spans="1:3" s="8" customFormat="1" x14ac:dyDescent="0.2">
      <c r="A8357" s="6" t="str">
        <f>"KRT7-AS"</f>
        <v>KRT7-AS</v>
      </c>
      <c r="B8357" s="6">
        <v>0.17882117882117801</v>
      </c>
      <c r="C8357" s="6">
        <v>0.37553942534236301</v>
      </c>
    </row>
    <row r="8358" spans="1:3" s="8" customFormat="1" x14ac:dyDescent="0.2">
      <c r="A8358" s="6" t="str">
        <f>"HPX"</f>
        <v>HPX</v>
      </c>
      <c r="B8358" s="6">
        <v>0.17882117882117801</v>
      </c>
      <c r="C8358" s="6">
        <v>0.37553942534236301</v>
      </c>
    </row>
    <row r="8359" spans="1:3" s="8" customFormat="1" x14ac:dyDescent="0.2">
      <c r="A8359" s="6" t="str">
        <f>"AC019117.2"</f>
        <v>AC019117.2</v>
      </c>
      <c r="B8359" s="6">
        <v>0.17882117882117801</v>
      </c>
      <c r="C8359" s="6">
        <v>0.37553942534236301</v>
      </c>
    </row>
    <row r="8360" spans="1:3" s="8" customFormat="1" x14ac:dyDescent="0.2">
      <c r="A8360" s="6" t="str">
        <f>"AL512625.1"</f>
        <v>AL512625.1</v>
      </c>
      <c r="B8360" s="6">
        <v>0.17882117882117801</v>
      </c>
      <c r="C8360" s="6">
        <v>0.37553942534236301</v>
      </c>
    </row>
    <row r="8361" spans="1:3" s="8" customFormat="1" x14ac:dyDescent="0.2">
      <c r="A8361" s="6" t="str">
        <f>"AL161421.1"</f>
        <v>AL161421.1</v>
      </c>
      <c r="B8361" s="6">
        <v>0.17882117882117801</v>
      </c>
      <c r="C8361" s="6">
        <v>0.37553942534236301</v>
      </c>
    </row>
    <row r="8362" spans="1:3" s="8" customFormat="1" x14ac:dyDescent="0.2">
      <c r="A8362" s="6" t="str">
        <f>"WASF3"</f>
        <v>WASF3</v>
      </c>
      <c r="B8362" s="6">
        <v>0.17882117882117801</v>
      </c>
      <c r="C8362" s="6">
        <v>0.37553942534236301</v>
      </c>
    </row>
    <row r="8363" spans="1:3" s="8" customFormat="1" x14ac:dyDescent="0.2">
      <c r="A8363" s="6" t="str">
        <f>"ACOT8"</f>
        <v>ACOT8</v>
      </c>
      <c r="B8363" s="6">
        <v>0.17882117882117801</v>
      </c>
      <c r="C8363" s="6">
        <v>0.37553942534236301</v>
      </c>
    </row>
    <row r="8364" spans="1:3" s="8" customFormat="1" x14ac:dyDescent="0.2">
      <c r="A8364" s="6" t="str">
        <f>"BTN2A2"</f>
        <v>BTN2A2</v>
      </c>
      <c r="B8364" s="6">
        <v>0.17882117882117801</v>
      </c>
      <c r="C8364" s="6">
        <v>0.37553942534236301</v>
      </c>
    </row>
    <row r="8365" spans="1:3" s="8" customFormat="1" x14ac:dyDescent="0.2">
      <c r="A8365" s="6" t="str">
        <f>"HEPACAM2"</f>
        <v>HEPACAM2</v>
      </c>
      <c r="B8365" s="6">
        <v>0.17882117882117801</v>
      </c>
      <c r="C8365" s="6">
        <v>0.37553942534236301</v>
      </c>
    </row>
    <row r="8366" spans="1:3" s="8" customFormat="1" x14ac:dyDescent="0.2">
      <c r="A8366" s="6" t="str">
        <f>"TMTC4"</f>
        <v>TMTC4</v>
      </c>
      <c r="B8366" s="6">
        <v>0.17882117882117801</v>
      </c>
      <c r="C8366" s="6">
        <v>0.37553942534236301</v>
      </c>
    </row>
    <row r="8367" spans="1:3" s="8" customFormat="1" x14ac:dyDescent="0.2">
      <c r="A8367" s="6" t="str">
        <f>"SGMS1-AS1"</f>
        <v>SGMS1-AS1</v>
      </c>
      <c r="B8367" s="6">
        <v>0.17882117882117801</v>
      </c>
      <c r="C8367" s="6">
        <v>0.37553942534236301</v>
      </c>
    </row>
    <row r="8368" spans="1:3" s="8" customFormat="1" x14ac:dyDescent="0.2">
      <c r="A8368" s="6" t="str">
        <f>"TRIM5"</f>
        <v>TRIM5</v>
      </c>
      <c r="B8368" s="6">
        <v>0.17882117882117801</v>
      </c>
      <c r="C8368" s="6">
        <v>0.37553942534236301</v>
      </c>
    </row>
    <row r="8369" spans="1:3" s="8" customFormat="1" x14ac:dyDescent="0.2">
      <c r="A8369" s="6" t="str">
        <f>"TRMT44"</f>
        <v>TRMT44</v>
      </c>
      <c r="B8369" s="6">
        <v>0.17882117882117801</v>
      </c>
      <c r="C8369" s="6">
        <v>0.37553942534236301</v>
      </c>
    </row>
    <row r="8370" spans="1:3" s="8" customFormat="1" x14ac:dyDescent="0.2">
      <c r="A8370" s="6" t="str">
        <f>"NKIRAS2"</f>
        <v>NKIRAS2</v>
      </c>
      <c r="B8370" s="6">
        <v>0.17882117882117801</v>
      </c>
      <c r="C8370" s="6">
        <v>0.37553942534236301</v>
      </c>
    </row>
    <row r="8371" spans="1:3" s="8" customFormat="1" x14ac:dyDescent="0.2">
      <c r="A8371" s="6" t="str">
        <f>"FUT6"</f>
        <v>FUT6</v>
      </c>
      <c r="B8371" s="6">
        <v>0.17882117882117801</v>
      </c>
      <c r="C8371" s="6">
        <v>0.37553942534236301</v>
      </c>
    </row>
    <row r="8372" spans="1:3" s="8" customFormat="1" x14ac:dyDescent="0.2">
      <c r="A8372" s="6" t="str">
        <f>"AL121956.7"</f>
        <v>AL121956.7</v>
      </c>
      <c r="B8372" s="6">
        <v>0.17882117882117801</v>
      </c>
      <c r="C8372" s="6">
        <v>0.37553942534236301</v>
      </c>
    </row>
    <row r="8373" spans="1:3" s="8" customFormat="1" x14ac:dyDescent="0.2">
      <c r="A8373" s="6" t="str">
        <f>"SPATA13"</f>
        <v>SPATA13</v>
      </c>
      <c r="B8373" s="6">
        <v>0.17882117882117801</v>
      </c>
      <c r="C8373" s="6">
        <v>0.37553942534236301</v>
      </c>
    </row>
    <row r="8374" spans="1:3" s="8" customFormat="1" x14ac:dyDescent="0.2">
      <c r="A8374" s="6" t="str">
        <f>"ATF4"</f>
        <v>ATF4</v>
      </c>
      <c r="B8374" s="6">
        <v>0.17882117882117801</v>
      </c>
      <c r="C8374" s="6">
        <v>0.37553942534236301</v>
      </c>
    </row>
    <row r="8375" spans="1:3" s="8" customFormat="1" x14ac:dyDescent="0.2">
      <c r="A8375" s="6" t="str">
        <f>"NKRF"</f>
        <v>NKRF</v>
      </c>
      <c r="B8375" s="6">
        <v>0.17899999999999999</v>
      </c>
      <c r="C8375" s="6">
        <v>0.37587007403869099</v>
      </c>
    </row>
    <row r="8376" spans="1:3" s="8" customFormat="1" x14ac:dyDescent="0.2">
      <c r="A8376" s="6" t="str">
        <f>"AC124016.1"</f>
        <v>AC124016.1</v>
      </c>
      <c r="B8376" s="6">
        <v>0.179179179179179</v>
      </c>
      <c r="C8376" s="6">
        <v>0.37620139542527598</v>
      </c>
    </row>
    <row r="8377" spans="1:3" s="8" customFormat="1" x14ac:dyDescent="0.2">
      <c r="A8377" s="6" t="str">
        <f>"AC104564.5"</f>
        <v>AC104564.5</v>
      </c>
      <c r="B8377" s="6">
        <v>0.179820179820179</v>
      </c>
      <c r="C8377" s="6">
        <v>0.37673752436054297</v>
      </c>
    </row>
    <row r="8378" spans="1:3" s="8" customFormat="1" x14ac:dyDescent="0.2">
      <c r="A8378" s="6" t="str">
        <f>"AL591623.1"</f>
        <v>AL591623.1</v>
      </c>
      <c r="B8378" s="6">
        <v>0.17953861584754199</v>
      </c>
      <c r="C8378" s="6">
        <v>0.37673752436054297</v>
      </c>
    </row>
    <row r="8379" spans="1:3" s="8" customFormat="1" x14ac:dyDescent="0.2">
      <c r="A8379" s="6" t="str">
        <f>"RTBDN"</f>
        <v>RTBDN</v>
      </c>
      <c r="B8379" s="6">
        <v>0.179820179820179</v>
      </c>
      <c r="C8379" s="6">
        <v>0.37673752436054297</v>
      </c>
    </row>
    <row r="8380" spans="1:3" s="8" customFormat="1" x14ac:dyDescent="0.2">
      <c r="A8380" s="6" t="str">
        <f>"AP005212.4"</f>
        <v>AP005212.4</v>
      </c>
      <c r="B8380" s="6">
        <v>0.179820179820179</v>
      </c>
      <c r="C8380" s="6">
        <v>0.37673752436054297</v>
      </c>
    </row>
    <row r="8381" spans="1:3" s="8" customFormat="1" x14ac:dyDescent="0.2">
      <c r="A8381" s="6" t="str">
        <f>"AC010618.3"</f>
        <v>AC010618.3</v>
      </c>
      <c r="B8381" s="6">
        <v>0.179713340683572</v>
      </c>
      <c r="C8381" s="6">
        <v>0.37673752436054297</v>
      </c>
    </row>
    <row r="8382" spans="1:3" s="8" customFormat="1" x14ac:dyDescent="0.2">
      <c r="A8382" s="6" t="str">
        <f>"LRRK2-DT"</f>
        <v>LRRK2-DT</v>
      </c>
      <c r="B8382" s="6">
        <v>0.179820179820179</v>
      </c>
      <c r="C8382" s="6">
        <v>0.37673752436054297</v>
      </c>
    </row>
    <row r="8383" spans="1:3" s="8" customFormat="1" x14ac:dyDescent="0.2">
      <c r="A8383" s="6" t="str">
        <f>"CBY2"</f>
        <v>CBY2</v>
      </c>
      <c r="B8383" s="6">
        <v>0.179820179820179</v>
      </c>
      <c r="C8383" s="6">
        <v>0.37673752436054297</v>
      </c>
    </row>
    <row r="8384" spans="1:3" s="8" customFormat="1" x14ac:dyDescent="0.2">
      <c r="A8384" s="6" t="str">
        <f>"ANKRD29"</f>
        <v>ANKRD29</v>
      </c>
      <c r="B8384" s="6">
        <v>0.179820179820179</v>
      </c>
      <c r="C8384" s="6">
        <v>0.37673752436054297</v>
      </c>
    </row>
    <row r="8385" spans="1:3" s="8" customFormat="1" x14ac:dyDescent="0.2">
      <c r="A8385" s="6" t="str">
        <f>"ITGA4"</f>
        <v>ITGA4</v>
      </c>
      <c r="B8385" s="6">
        <v>0.179820179820179</v>
      </c>
      <c r="C8385" s="6">
        <v>0.37673752436054297</v>
      </c>
    </row>
    <row r="8386" spans="1:3" s="8" customFormat="1" x14ac:dyDescent="0.2">
      <c r="A8386" s="6" t="str">
        <f>"ITGB7"</f>
        <v>ITGB7</v>
      </c>
      <c r="B8386" s="6">
        <v>0.179820179820179</v>
      </c>
      <c r="C8386" s="6">
        <v>0.37673752436054297</v>
      </c>
    </row>
    <row r="8387" spans="1:3" s="8" customFormat="1" x14ac:dyDescent="0.2">
      <c r="A8387" s="6" t="str">
        <f>"CES1P1"</f>
        <v>CES1P1</v>
      </c>
      <c r="B8387" s="6">
        <v>0.179820179820179</v>
      </c>
      <c r="C8387" s="6">
        <v>0.37673752436054297</v>
      </c>
    </row>
    <row r="8388" spans="1:3" s="8" customFormat="1" x14ac:dyDescent="0.2">
      <c r="A8388" s="6" t="str">
        <f>"THOC6"</f>
        <v>THOC6</v>
      </c>
      <c r="B8388" s="6">
        <v>0.179820179820179</v>
      </c>
      <c r="C8388" s="6">
        <v>0.37673752436054297</v>
      </c>
    </row>
    <row r="8389" spans="1:3" s="8" customFormat="1" x14ac:dyDescent="0.2">
      <c r="A8389" s="6" t="str">
        <f>"POLR2J4"</f>
        <v>POLR2J4</v>
      </c>
      <c r="B8389" s="6">
        <v>0.179820179820179</v>
      </c>
      <c r="C8389" s="6">
        <v>0.37673752436054297</v>
      </c>
    </row>
    <row r="8390" spans="1:3" s="8" customFormat="1" x14ac:dyDescent="0.2">
      <c r="A8390" s="6" t="str">
        <f>"LINC00665"</f>
        <v>LINC00665</v>
      </c>
      <c r="B8390" s="6">
        <v>0.179820179820179</v>
      </c>
      <c r="C8390" s="6">
        <v>0.37673752436054297</v>
      </c>
    </row>
    <row r="8391" spans="1:3" s="8" customFormat="1" x14ac:dyDescent="0.2">
      <c r="A8391" s="6" t="str">
        <f>"CABCOCO1"</f>
        <v>CABCOCO1</v>
      </c>
      <c r="B8391" s="6">
        <v>0.179820179820179</v>
      </c>
      <c r="C8391" s="6">
        <v>0.37673752436054297</v>
      </c>
    </row>
    <row r="8392" spans="1:3" s="8" customFormat="1" x14ac:dyDescent="0.2">
      <c r="A8392" s="6" t="str">
        <f>"TMOD3"</f>
        <v>TMOD3</v>
      </c>
      <c r="B8392" s="6">
        <v>0.179820179820179</v>
      </c>
      <c r="C8392" s="6">
        <v>0.37673752436054297</v>
      </c>
    </row>
    <row r="8393" spans="1:3" s="8" customFormat="1" x14ac:dyDescent="0.2">
      <c r="A8393" s="6" t="str">
        <f>"HEBP2"</f>
        <v>HEBP2</v>
      </c>
      <c r="B8393" s="6">
        <v>0.179820179820179</v>
      </c>
      <c r="C8393" s="6">
        <v>0.37673752436054297</v>
      </c>
    </row>
    <row r="8394" spans="1:3" s="8" customFormat="1" x14ac:dyDescent="0.2">
      <c r="A8394" s="6" t="str">
        <f>"AZIN1"</f>
        <v>AZIN1</v>
      </c>
      <c r="B8394" s="6">
        <v>0.179820179820179</v>
      </c>
      <c r="C8394" s="6">
        <v>0.37673752436054297</v>
      </c>
    </row>
    <row r="8395" spans="1:3" s="8" customFormat="1" x14ac:dyDescent="0.2">
      <c r="A8395" s="6" t="str">
        <f>"AC005753.3"</f>
        <v>AC005753.3</v>
      </c>
      <c r="B8395" s="6">
        <v>0.18</v>
      </c>
      <c r="C8395" s="6">
        <v>0.37706933523945602</v>
      </c>
    </row>
    <row r="8396" spans="1:3" s="8" customFormat="1" x14ac:dyDescent="0.2">
      <c r="A8396" s="6" t="str">
        <f>"ARL14EPL"</f>
        <v>ARL14EPL</v>
      </c>
      <c r="B8396" s="6">
        <v>0.18002322880371599</v>
      </c>
      <c r="C8396" s="6">
        <v>0.37707307388737898</v>
      </c>
    </row>
    <row r="8397" spans="1:3" s="8" customFormat="1" x14ac:dyDescent="0.2">
      <c r="A8397" s="6" t="str">
        <f>"ESM1"</f>
        <v>ESM1</v>
      </c>
      <c r="B8397" s="6">
        <v>0.18081918081918</v>
      </c>
      <c r="C8397" s="6">
        <v>0.37810970097805602</v>
      </c>
    </row>
    <row r="8398" spans="1:3" s="8" customFormat="1" x14ac:dyDescent="0.2">
      <c r="A8398" s="6" t="str">
        <f>"AL158151.1"</f>
        <v>AL158151.1</v>
      </c>
      <c r="B8398" s="6">
        <v>0.18081918081918</v>
      </c>
      <c r="C8398" s="6">
        <v>0.37810970097805602</v>
      </c>
    </row>
    <row r="8399" spans="1:3" s="8" customFormat="1" x14ac:dyDescent="0.2">
      <c r="A8399" s="6" t="str">
        <f>"AL139011.2"</f>
        <v>AL139011.2</v>
      </c>
      <c r="B8399" s="6">
        <v>0.18081918081918</v>
      </c>
      <c r="C8399" s="6">
        <v>0.37810970097805602</v>
      </c>
    </row>
    <row r="8400" spans="1:3" s="8" customFormat="1" x14ac:dyDescent="0.2">
      <c r="A8400" s="6" t="str">
        <f>"RNASEH1-AS1"</f>
        <v>RNASEH1-AS1</v>
      </c>
      <c r="B8400" s="6">
        <v>0.18081918081918</v>
      </c>
      <c r="C8400" s="6">
        <v>0.37810970097805602</v>
      </c>
    </row>
    <row r="8401" spans="1:3" s="8" customFormat="1" x14ac:dyDescent="0.2">
      <c r="A8401" s="6" t="str">
        <f>"ZNF737"</f>
        <v>ZNF737</v>
      </c>
      <c r="B8401" s="6">
        <v>0.18081918081918</v>
      </c>
      <c r="C8401" s="6">
        <v>0.37810970097805602</v>
      </c>
    </row>
    <row r="8402" spans="1:3" s="8" customFormat="1" x14ac:dyDescent="0.2">
      <c r="A8402" s="6" t="str">
        <f>"EEPD1"</f>
        <v>EEPD1</v>
      </c>
      <c r="B8402" s="6">
        <v>0.18081918081918</v>
      </c>
      <c r="C8402" s="6">
        <v>0.37810970097805602</v>
      </c>
    </row>
    <row r="8403" spans="1:3" s="8" customFormat="1" x14ac:dyDescent="0.2">
      <c r="A8403" s="6" t="str">
        <f>"LSM5"</f>
        <v>LSM5</v>
      </c>
      <c r="B8403" s="6">
        <v>0.18081918081918</v>
      </c>
      <c r="C8403" s="6">
        <v>0.37810970097805602</v>
      </c>
    </row>
    <row r="8404" spans="1:3" s="8" customFormat="1" x14ac:dyDescent="0.2">
      <c r="A8404" s="6" t="str">
        <f>"AC092745.4"</f>
        <v>AC092745.4</v>
      </c>
      <c r="B8404" s="6">
        <v>0.18081918081918</v>
      </c>
      <c r="C8404" s="6">
        <v>0.37810970097805602</v>
      </c>
    </row>
    <row r="8405" spans="1:3" s="8" customFormat="1" x14ac:dyDescent="0.2">
      <c r="A8405" s="6" t="str">
        <f>"PEX16"</f>
        <v>PEX16</v>
      </c>
      <c r="B8405" s="6">
        <v>0.18081918081918</v>
      </c>
      <c r="C8405" s="6">
        <v>0.37810970097805602</v>
      </c>
    </row>
    <row r="8406" spans="1:3" s="8" customFormat="1" x14ac:dyDescent="0.2">
      <c r="A8406" s="6" t="str">
        <f>"FBXL17"</f>
        <v>FBXL17</v>
      </c>
      <c r="B8406" s="6">
        <v>0.18081918081918</v>
      </c>
      <c r="C8406" s="6">
        <v>0.37810970097805602</v>
      </c>
    </row>
    <row r="8407" spans="1:3" s="8" customFormat="1" x14ac:dyDescent="0.2">
      <c r="A8407" s="6" t="str">
        <f>"IQSEC2"</f>
        <v>IQSEC2</v>
      </c>
      <c r="B8407" s="6">
        <v>0.18081918081918</v>
      </c>
      <c r="C8407" s="6">
        <v>0.37810970097805602</v>
      </c>
    </row>
    <row r="8408" spans="1:3" s="8" customFormat="1" x14ac:dyDescent="0.2">
      <c r="A8408" s="6" t="str">
        <f>"KIF27"</f>
        <v>KIF27</v>
      </c>
      <c r="B8408" s="6">
        <v>0.18081918081918</v>
      </c>
      <c r="C8408" s="6">
        <v>0.37810970097805602</v>
      </c>
    </row>
    <row r="8409" spans="1:3" s="8" customFormat="1" x14ac:dyDescent="0.2">
      <c r="A8409" s="6" t="str">
        <f>"MAPK13"</f>
        <v>MAPK13</v>
      </c>
      <c r="B8409" s="6">
        <v>0.18081918081918</v>
      </c>
      <c r="C8409" s="6">
        <v>0.37810970097805602</v>
      </c>
    </row>
    <row r="8410" spans="1:3" s="8" customFormat="1" x14ac:dyDescent="0.2">
      <c r="A8410" s="6" t="str">
        <f>"CD9"</f>
        <v>CD9</v>
      </c>
      <c r="B8410" s="6">
        <v>0.18081918081918</v>
      </c>
      <c r="C8410" s="6">
        <v>0.37810970097805602</v>
      </c>
    </row>
    <row r="8411" spans="1:3" s="8" customFormat="1" x14ac:dyDescent="0.2">
      <c r="A8411" s="6" t="str">
        <f>"AC010494.1"</f>
        <v>AC010494.1</v>
      </c>
      <c r="B8411" s="6">
        <v>0.18099999999999999</v>
      </c>
      <c r="C8411" s="6">
        <v>0.378352829291488</v>
      </c>
    </row>
    <row r="8412" spans="1:3" s="8" customFormat="1" x14ac:dyDescent="0.2">
      <c r="A8412" s="6" t="str">
        <f>"C10orf67"</f>
        <v>C10orf67</v>
      </c>
      <c r="B8412" s="6">
        <v>0.18099999999999999</v>
      </c>
      <c r="C8412" s="6">
        <v>0.378352829291488</v>
      </c>
    </row>
    <row r="8413" spans="1:3" s="8" customFormat="1" x14ac:dyDescent="0.2">
      <c r="A8413" s="6" t="str">
        <f>"FAM174A"</f>
        <v>FAM174A</v>
      </c>
      <c r="B8413" s="6">
        <v>0.18099999999999999</v>
      </c>
      <c r="C8413" s="6">
        <v>0.378352829291488</v>
      </c>
    </row>
    <row r="8414" spans="1:3" s="8" customFormat="1" x14ac:dyDescent="0.2">
      <c r="A8414" s="6" t="str">
        <f>"FTH1P7"</f>
        <v>FTH1P7</v>
      </c>
      <c r="B8414" s="6">
        <v>0.18136272545090101</v>
      </c>
      <c r="C8414" s="6">
        <v>0.37880224041361399</v>
      </c>
    </row>
    <row r="8415" spans="1:3" s="8" customFormat="1" x14ac:dyDescent="0.2">
      <c r="A8415" s="6" t="str">
        <f>"TSHR"</f>
        <v>TSHR</v>
      </c>
      <c r="B8415" s="6">
        <v>0.18136272545090101</v>
      </c>
      <c r="C8415" s="6">
        <v>0.37880224041361399</v>
      </c>
    </row>
    <row r="8416" spans="1:3" s="8" customFormat="1" x14ac:dyDescent="0.2">
      <c r="A8416" s="6" t="str">
        <f>"MFAP5"</f>
        <v>MFAP5</v>
      </c>
      <c r="B8416" s="6">
        <v>0.181236673773987</v>
      </c>
      <c r="C8416" s="6">
        <v>0.37880224041361399</v>
      </c>
    </row>
    <row r="8417" spans="1:3" s="8" customFormat="1" x14ac:dyDescent="0.2">
      <c r="A8417" s="6" t="str">
        <f>"LINC00449"</f>
        <v>LINC00449</v>
      </c>
      <c r="B8417" s="6">
        <v>0.18181818181818099</v>
      </c>
      <c r="C8417" s="6">
        <v>0.37880224041361399</v>
      </c>
    </row>
    <row r="8418" spans="1:3" s="8" customFormat="1" x14ac:dyDescent="0.2">
      <c r="A8418" s="6" t="str">
        <f>"LINC02783"</f>
        <v>LINC02783</v>
      </c>
      <c r="B8418" s="6">
        <v>0.18181818181818099</v>
      </c>
      <c r="C8418" s="6">
        <v>0.37880224041361399</v>
      </c>
    </row>
    <row r="8419" spans="1:3" s="8" customFormat="1" x14ac:dyDescent="0.2">
      <c r="A8419" s="6" t="str">
        <f>"CR381653.1"</f>
        <v>CR381653.1</v>
      </c>
      <c r="B8419" s="6">
        <v>0.18181818181818099</v>
      </c>
      <c r="C8419" s="6">
        <v>0.37880224041361399</v>
      </c>
    </row>
    <row r="8420" spans="1:3" s="8" customFormat="1" x14ac:dyDescent="0.2">
      <c r="A8420" s="6" t="str">
        <f>"ZNF660"</f>
        <v>ZNF660</v>
      </c>
      <c r="B8420" s="6">
        <v>0.18181818181818099</v>
      </c>
      <c r="C8420" s="6">
        <v>0.37880224041361399</v>
      </c>
    </row>
    <row r="8421" spans="1:3" s="8" customFormat="1" x14ac:dyDescent="0.2">
      <c r="A8421" s="6" t="str">
        <f>"FP236315.2"</f>
        <v>FP236315.2</v>
      </c>
      <c r="B8421" s="6">
        <v>0.18181818181818099</v>
      </c>
      <c r="C8421" s="6">
        <v>0.37880224041361399</v>
      </c>
    </row>
    <row r="8422" spans="1:3" s="8" customFormat="1" x14ac:dyDescent="0.2">
      <c r="A8422" s="6" t="str">
        <f>"ZNF812P"</f>
        <v>ZNF812P</v>
      </c>
      <c r="B8422" s="6">
        <v>0.18181818181818099</v>
      </c>
      <c r="C8422" s="6">
        <v>0.37880224041361399</v>
      </c>
    </row>
    <row r="8423" spans="1:3" s="8" customFormat="1" x14ac:dyDescent="0.2">
      <c r="A8423" s="6" t="str">
        <f>"PPP1R12A-AS1"</f>
        <v>PPP1R12A-AS1</v>
      </c>
      <c r="B8423" s="6">
        <v>0.18181818181818099</v>
      </c>
      <c r="C8423" s="6">
        <v>0.37880224041361399</v>
      </c>
    </row>
    <row r="8424" spans="1:3" s="8" customFormat="1" x14ac:dyDescent="0.2">
      <c r="A8424" s="6" t="str">
        <f>"HERC2P3"</f>
        <v>HERC2P3</v>
      </c>
      <c r="B8424" s="6">
        <v>0.18181818181818099</v>
      </c>
      <c r="C8424" s="6">
        <v>0.37880224041361399</v>
      </c>
    </row>
    <row r="8425" spans="1:3" s="8" customFormat="1" x14ac:dyDescent="0.2">
      <c r="A8425" s="6" t="str">
        <f>"TPCN2"</f>
        <v>TPCN2</v>
      </c>
      <c r="B8425" s="6">
        <v>0.18181818181818099</v>
      </c>
      <c r="C8425" s="6">
        <v>0.37880224041361399</v>
      </c>
    </row>
    <row r="8426" spans="1:3" s="8" customFormat="1" x14ac:dyDescent="0.2">
      <c r="A8426" s="6" t="str">
        <f>"C6orf226"</f>
        <v>C6orf226</v>
      </c>
      <c r="B8426" s="6">
        <v>0.18181818181818099</v>
      </c>
      <c r="C8426" s="6">
        <v>0.37880224041361399</v>
      </c>
    </row>
    <row r="8427" spans="1:3" s="8" customFormat="1" x14ac:dyDescent="0.2">
      <c r="A8427" s="6" t="str">
        <f>"QPCTL"</f>
        <v>QPCTL</v>
      </c>
      <c r="B8427" s="6">
        <v>0.18181818181818099</v>
      </c>
      <c r="C8427" s="6">
        <v>0.37880224041361399</v>
      </c>
    </row>
    <row r="8428" spans="1:3" s="8" customFormat="1" x14ac:dyDescent="0.2">
      <c r="A8428" s="6" t="str">
        <f>"PAX6"</f>
        <v>PAX6</v>
      </c>
      <c r="B8428" s="6">
        <v>0.18181818181818099</v>
      </c>
      <c r="C8428" s="6">
        <v>0.37880224041361399</v>
      </c>
    </row>
    <row r="8429" spans="1:3" s="8" customFormat="1" x14ac:dyDescent="0.2">
      <c r="A8429" s="6" t="str">
        <f>"ZNF429"</f>
        <v>ZNF429</v>
      </c>
      <c r="B8429" s="6">
        <v>0.18181818181818099</v>
      </c>
      <c r="C8429" s="6">
        <v>0.37880224041361399</v>
      </c>
    </row>
    <row r="8430" spans="1:3" s="8" customFormat="1" x14ac:dyDescent="0.2">
      <c r="A8430" s="6" t="str">
        <f>"COL21A1"</f>
        <v>COL21A1</v>
      </c>
      <c r="B8430" s="6">
        <v>0.18181818181818099</v>
      </c>
      <c r="C8430" s="6">
        <v>0.37880224041361399</v>
      </c>
    </row>
    <row r="8431" spans="1:3" s="8" customFormat="1" x14ac:dyDescent="0.2">
      <c r="A8431" s="6" t="str">
        <f>"RBM34"</f>
        <v>RBM34</v>
      </c>
      <c r="B8431" s="6">
        <v>0.18181818181818099</v>
      </c>
      <c r="C8431" s="6">
        <v>0.37880224041361399</v>
      </c>
    </row>
    <row r="8432" spans="1:3" s="8" customFormat="1" x14ac:dyDescent="0.2">
      <c r="A8432" s="6" t="str">
        <f>"EPHX2"</f>
        <v>EPHX2</v>
      </c>
      <c r="B8432" s="6">
        <v>0.18181818181818099</v>
      </c>
      <c r="C8432" s="6">
        <v>0.37880224041361399</v>
      </c>
    </row>
    <row r="8433" spans="1:3" s="8" customFormat="1" x14ac:dyDescent="0.2">
      <c r="A8433" s="6" t="str">
        <f>"RAB27B"</f>
        <v>RAB27B</v>
      </c>
      <c r="B8433" s="6">
        <v>0.18181818181818099</v>
      </c>
      <c r="C8433" s="6">
        <v>0.37880224041361399</v>
      </c>
    </row>
    <row r="8434" spans="1:3" s="8" customFormat="1" x14ac:dyDescent="0.2">
      <c r="A8434" s="6" t="str">
        <f>"VPS13B"</f>
        <v>VPS13B</v>
      </c>
      <c r="B8434" s="6">
        <v>0.18181818181818099</v>
      </c>
      <c r="C8434" s="6">
        <v>0.37880224041361399</v>
      </c>
    </row>
    <row r="8435" spans="1:3" s="8" customFormat="1" x14ac:dyDescent="0.2">
      <c r="A8435" s="6" t="str">
        <f>"DDX19B"</f>
        <v>DDX19B</v>
      </c>
      <c r="B8435" s="6">
        <v>0.18181818181818099</v>
      </c>
      <c r="C8435" s="6">
        <v>0.37880224041361399</v>
      </c>
    </row>
    <row r="8436" spans="1:3" s="8" customFormat="1" x14ac:dyDescent="0.2">
      <c r="A8436" s="6" t="str">
        <f>"NISCH"</f>
        <v>NISCH</v>
      </c>
      <c r="B8436" s="6">
        <v>0.18181818181818099</v>
      </c>
      <c r="C8436" s="6">
        <v>0.37880224041361399</v>
      </c>
    </row>
    <row r="8437" spans="1:3" s="8" customFormat="1" x14ac:dyDescent="0.2">
      <c r="A8437" s="6" t="str">
        <f>"AMPD3"</f>
        <v>AMPD3</v>
      </c>
      <c r="B8437" s="6">
        <v>0.18181818181818099</v>
      </c>
      <c r="C8437" s="6">
        <v>0.37880224041361399</v>
      </c>
    </row>
    <row r="8438" spans="1:3" s="8" customFormat="1" x14ac:dyDescent="0.2">
      <c r="A8438" s="6" t="str">
        <f>"SLC4A2"</f>
        <v>SLC4A2</v>
      </c>
      <c r="B8438" s="6">
        <v>0.18181818181818099</v>
      </c>
      <c r="C8438" s="6">
        <v>0.37880224041361399</v>
      </c>
    </row>
    <row r="8439" spans="1:3" s="8" customFormat="1" x14ac:dyDescent="0.2">
      <c r="A8439" s="6" t="str">
        <f>"KIAA2012"</f>
        <v>KIAA2012</v>
      </c>
      <c r="B8439" s="6">
        <v>0.18181818181818099</v>
      </c>
      <c r="C8439" s="6">
        <v>0.37880224041361399</v>
      </c>
    </row>
    <row r="8440" spans="1:3" s="8" customFormat="1" x14ac:dyDescent="0.2">
      <c r="A8440" s="6" t="str">
        <f>"TEKT1"</f>
        <v>TEKT1</v>
      </c>
      <c r="B8440" s="6">
        <v>0.18181818181818099</v>
      </c>
      <c r="C8440" s="6">
        <v>0.37880224041361399</v>
      </c>
    </row>
    <row r="8441" spans="1:3" s="8" customFormat="1" x14ac:dyDescent="0.2">
      <c r="A8441" s="6" t="str">
        <f>"TMBIM6"</f>
        <v>TMBIM6</v>
      </c>
      <c r="B8441" s="6">
        <v>0.18181818181818099</v>
      </c>
      <c r="C8441" s="6">
        <v>0.37880224041361399</v>
      </c>
    </row>
    <row r="8442" spans="1:3" s="8" customFormat="1" x14ac:dyDescent="0.2">
      <c r="A8442" s="6" t="str">
        <f>"AL138889.1"</f>
        <v>AL138889.1</v>
      </c>
      <c r="B8442" s="6">
        <v>0.182</v>
      </c>
      <c r="C8442" s="6">
        <v>0.37913612131264002</v>
      </c>
    </row>
    <row r="8443" spans="1:3" s="8" customFormat="1" x14ac:dyDescent="0.2">
      <c r="A8443" s="6" t="str">
        <f>"CLDN24"</f>
        <v>CLDN24</v>
      </c>
      <c r="B8443" s="6">
        <v>0.18281718281718201</v>
      </c>
      <c r="C8443" s="6">
        <v>0.37984843940178897</v>
      </c>
    </row>
    <row r="8444" spans="1:3" s="8" customFormat="1" x14ac:dyDescent="0.2">
      <c r="A8444" s="6" t="str">
        <f>"AC034102.2"</f>
        <v>AC034102.2</v>
      </c>
      <c r="B8444" s="6">
        <v>0.18281718281718201</v>
      </c>
      <c r="C8444" s="6">
        <v>0.37984843940178897</v>
      </c>
    </row>
    <row r="8445" spans="1:3" s="8" customFormat="1" x14ac:dyDescent="0.2">
      <c r="A8445" s="6" t="str">
        <f>"CEROX1"</f>
        <v>CEROX1</v>
      </c>
      <c r="B8445" s="6">
        <v>0.18281718281718201</v>
      </c>
      <c r="C8445" s="6">
        <v>0.37984843940178897</v>
      </c>
    </row>
    <row r="8446" spans="1:3" s="8" customFormat="1" x14ac:dyDescent="0.2">
      <c r="A8446" s="6" t="str">
        <f>"CXorf49"</f>
        <v>CXorf49</v>
      </c>
      <c r="B8446" s="6">
        <v>0.18281718281718201</v>
      </c>
      <c r="C8446" s="6">
        <v>0.37984843940178897</v>
      </c>
    </row>
    <row r="8447" spans="1:3" s="8" customFormat="1" x14ac:dyDescent="0.2">
      <c r="A8447" s="6" t="str">
        <f>"GPR137C"</f>
        <v>GPR137C</v>
      </c>
      <c r="B8447" s="6">
        <v>0.18281718281718201</v>
      </c>
      <c r="C8447" s="6">
        <v>0.37984843940178897</v>
      </c>
    </row>
    <row r="8448" spans="1:3" s="8" customFormat="1" x14ac:dyDescent="0.2">
      <c r="A8448" s="6" t="str">
        <f>"GGT5"</f>
        <v>GGT5</v>
      </c>
      <c r="B8448" s="6">
        <v>0.18281718281718201</v>
      </c>
      <c r="C8448" s="6">
        <v>0.37984843940178897</v>
      </c>
    </row>
    <row r="8449" spans="1:3" s="8" customFormat="1" x14ac:dyDescent="0.2">
      <c r="A8449" s="6" t="str">
        <f>"COLQ"</f>
        <v>COLQ</v>
      </c>
      <c r="B8449" s="6">
        <v>0.18281718281718201</v>
      </c>
      <c r="C8449" s="6">
        <v>0.37984843940178897</v>
      </c>
    </row>
    <row r="8450" spans="1:3" s="8" customFormat="1" x14ac:dyDescent="0.2">
      <c r="A8450" s="6" t="str">
        <f>"AC011899.1"</f>
        <v>AC011899.1</v>
      </c>
      <c r="B8450" s="6">
        <v>0.18281718281718201</v>
      </c>
      <c r="C8450" s="6">
        <v>0.37984843940178897</v>
      </c>
    </row>
    <row r="8451" spans="1:3" s="8" customFormat="1" x14ac:dyDescent="0.2">
      <c r="A8451" s="6" t="str">
        <f>"FBXO41"</f>
        <v>FBXO41</v>
      </c>
      <c r="B8451" s="6">
        <v>0.18281718281718201</v>
      </c>
      <c r="C8451" s="6">
        <v>0.37984843940178897</v>
      </c>
    </row>
    <row r="8452" spans="1:3" s="8" customFormat="1" x14ac:dyDescent="0.2">
      <c r="A8452" s="6" t="str">
        <f>"PRC1"</f>
        <v>PRC1</v>
      </c>
      <c r="B8452" s="6">
        <v>0.18281718281718201</v>
      </c>
      <c r="C8452" s="6">
        <v>0.37984843940178897</v>
      </c>
    </row>
    <row r="8453" spans="1:3" s="8" customFormat="1" x14ac:dyDescent="0.2">
      <c r="A8453" s="6" t="str">
        <f>"BEND3"</f>
        <v>BEND3</v>
      </c>
      <c r="B8453" s="6">
        <v>0.18281718281718201</v>
      </c>
      <c r="C8453" s="6">
        <v>0.37984843940178897</v>
      </c>
    </row>
    <row r="8454" spans="1:3" s="8" customFormat="1" x14ac:dyDescent="0.2">
      <c r="A8454" s="6" t="str">
        <f>"SSUH2"</f>
        <v>SSUH2</v>
      </c>
      <c r="B8454" s="6">
        <v>0.18281718281718201</v>
      </c>
      <c r="C8454" s="6">
        <v>0.37984843940178897</v>
      </c>
    </row>
    <row r="8455" spans="1:3" s="8" customFormat="1" x14ac:dyDescent="0.2">
      <c r="A8455" s="6" t="str">
        <f>"FAM228B"</f>
        <v>FAM228B</v>
      </c>
      <c r="B8455" s="6">
        <v>0.18281718281718201</v>
      </c>
      <c r="C8455" s="6">
        <v>0.37984843940178897</v>
      </c>
    </row>
    <row r="8456" spans="1:3" s="8" customFormat="1" x14ac:dyDescent="0.2">
      <c r="A8456" s="6" t="str">
        <f>"FBXO45"</f>
        <v>FBXO45</v>
      </c>
      <c r="B8456" s="6">
        <v>0.18281718281718201</v>
      </c>
      <c r="C8456" s="6">
        <v>0.37984843940178897</v>
      </c>
    </row>
    <row r="8457" spans="1:3" s="8" customFormat="1" x14ac:dyDescent="0.2">
      <c r="A8457" s="6" t="str">
        <f>"IKZF4"</f>
        <v>IKZF4</v>
      </c>
      <c r="B8457" s="6">
        <v>0.18281718281718201</v>
      </c>
      <c r="C8457" s="6">
        <v>0.37984843940178897</v>
      </c>
    </row>
    <row r="8458" spans="1:3" s="8" customFormat="1" x14ac:dyDescent="0.2">
      <c r="A8458" s="6" t="str">
        <f>"ZNF214"</f>
        <v>ZNF214</v>
      </c>
      <c r="B8458" s="6">
        <v>0.18281718281718201</v>
      </c>
      <c r="C8458" s="6">
        <v>0.37984843940178897</v>
      </c>
    </row>
    <row r="8459" spans="1:3" s="8" customFormat="1" x14ac:dyDescent="0.2">
      <c r="A8459" s="6" t="str">
        <f>"C4A"</f>
        <v>C4A</v>
      </c>
      <c r="B8459" s="6">
        <v>0.18281718281718201</v>
      </c>
      <c r="C8459" s="6">
        <v>0.37984843940178897</v>
      </c>
    </row>
    <row r="8460" spans="1:3" s="8" customFormat="1" x14ac:dyDescent="0.2">
      <c r="A8460" s="6" t="str">
        <f>"SFSWAP"</f>
        <v>SFSWAP</v>
      </c>
      <c r="B8460" s="6">
        <v>0.18281718281718201</v>
      </c>
      <c r="C8460" s="6">
        <v>0.37984843940178897</v>
      </c>
    </row>
    <row r="8461" spans="1:3" s="8" customFormat="1" x14ac:dyDescent="0.2">
      <c r="A8461" s="6" t="str">
        <f>"ITFG1"</f>
        <v>ITFG1</v>
      </c>
      <c r="B8461" s="6">
        <v>0.18281718281718201</v>
      </c>
      <c r="C8461" s="6">
        <v>0.37984843940178897</v>
      </c>
    </row>
    <row r="8462" spans="1:3" s="8" customFormat="1" x14ac:dyDescent="0.2">
      <c r="A8462" s="6" t="str">
        <f>"C17orf97"</f>
        <v>C17orf97</v>
      </c>
      <c r="B8462" s="6">
        <v>0.18281718281718201</v>
      </c>
      <c r="C8462" s="6">
        <v>0.37984843940178897</v>
      </c>
    </row>
    <row r="8463" spans="1:3" s="8" customFormat="1" x14ac:dyDescent="0.2">
      <c r="A8463" s="6" t="str">
        <f>"MPRIP"</f>
        <v>MPRIP</v>
      </c>
      <c r="B8463" s="6">
        <v>0.18281718281718201</v>
      </c>
      <c r="C8463" s="6">
        <v>0.37984843940178897</v>
      </c>
    </row>
    <row r="8464" spans="1:3" s="8" customFormat="1" x14ac:dyDescent="0.2">
      <c r="A8464" s="6" t="str">
        <f>"PRDX6"</f>
        <v>PRDX6</v>
      </c>
      <c r="B8464" s="6">
        <v>0.18281718281718201</v>
      </c>
      <c r="C8464" s="6">
        <v>0.37984843940178897</v>
      </c>
    </row>
    <row r="8465" spans="1:3" s="8" customFormat="1" x14ac:dyDescent="0.2">
      <c r="A8465" s="6" t="str">
        <f>"RPS4Y1"</f>
        <v>RPS4Y1</v>
      </c>
      <c r="B8465" s="6">
        <v>0.182857142857142</v>
      </c>
      <c r="C8465" s="6">
        <v>0.37988657844990498</v>
      </c>
    </row>
    <row r="8466" spans="1:3" s="8" customFormat="1" x14ac:dyDescent="0.2">
      <c r="A8466" s="6" t="str">
        <f>"TRADD"</f>
        <v>TRADD</v>
      </c>
      <c r="B8466" s="6">
        <v>0.183</v>
      </c>
      <c r="C8466" s="6">
        <v>0.38013845245126898</v>
      </c>
    </row>
    <row r="8467" spans="1:3" s="8" customFormat="1" x14ac:dyDescent="0.2">
      <c r="A8467" s="6" t="str">
        <f>"AC006116.6"</f>
        <v>AC006116.6</v>
      </c>
      <c r="B8467" s="6">
        <v>0.183816183816183</v>
      </c>
      <c r="C8467" s="6">
        <v>0.38070951427841798</v>
      </c>
    </row>
    <row r="8468" spans="1:3" s="8" customFormat="1" x14ac:dyDescent="0.2">
      <c r="A8468" s="6" t="str">
        <f>"BEND6"</f>
        <v>BEND6</v>
      </c>
      <c r="B8468" s="6">
        <v>0.183816183816183</v>
      </c>
      <c r="C8468" s="6">
        <v>0.38070951427841798</v>
      </c>
    </row>
    <row r="8469" spans="1:3" s="8" customFormat="1" x14ac:dyDescent="0.2">
      <c r="A8469" s="6" t="str">
        <f>"PLAAT5"</f>
        <v>PLAAT5</v>
      </c>
      <c r="B8469" s="6">
        <v>0.183816183816183</v>
      </c>
      <c r="C8469" s="6">
        <v>0.38070951427841798</v>
      </c>
    </row>
    <row r="8470" spans="1:3" s="8" customFormat="1" x14ac:dyDescent="0.2">
      <c r="A8470" s="6" t="str">
        <f>"ZNF667-AS1"</f>
        <v>ZNF667-AS1</v>
      </c>
      <c r="B8470" s="6">
        <v>0.183816183816183</v>
      </c>
      <c r="C8470" s="6">
        <v>0.38070951427841798</v>
      </c>
    </row>
    <row r="8471" spans="1:3" s="8" customFormat="1" x14ac:dyDescent="0.2">
      <c r="A8471" s="6" t="str">
        <f>"AL157400.5"</f>
        <v>AL157400.5</v>
      </c>
      <c r="B8471" s="6">
        <v>0.183816183816183</v>
      </c>
      <c r="C8471" s="6">
        <v>0.38070951427841798</v>
      </c>
    </row>
    <row r="8472" spans="1:3" s="8" customFormat="1" x14ac:dyDescent="0.2">
      <c r="A8472" s="6" t="str">
        <f>"SPATA32"</f>
        <v>SPATA32</v>
      </c>
      <c r="B8472" s="6">
        <v>0.183816183816183</v>
      </c>
      <c r="C8472" s="6">
        <v>0.38070951427841798</v>
      </c>
    </row>
    <row r="8473" spans="1:3" s="8" customFormat="1" x14ac:dyDescent="0.2">
      <c r="A8473" s="6" t="str">
        <f>"CD8B"</f>
        <v>CD8B</v>
      </c>
      <c r="B8473" s="6">
        <v>0.183816183816183</v>
      </c>
      <c r="C8473" s="6">
        <v>0.38070951427841798</v>
      </c>
    </row>
    <row r="8474" spans="1:3" s="8" customFormat="1" x14ac:dyDescent="0.2">
      <c r="A8474" s="6" t="str">
        <f>"DGKG"</f>
        <v>DGKG</v>
      </c>
      <c r="B8474" s="6">
        <v>0.183816183816183</v>
      </c>
      <c r="C8474" s="6">
        <v>0.38070951427841798</v>
      </c>
    </row>
    <row r="8475" spans="1:3" s="8" customFormat="1" x14ac:dyDescent="0.2">
      <c r="A8475" s="6" t="str">
        <f>"BX322234.1"</f>
        <v>BX322234.1</v>
      </c>
      <c r="B8475" s="6">
        <v>0.183816183816183</v>
      </c>
      <c r="C8475" s="6">
        <v>0.38070951427841798</v>
      </c>
    </row>
    <row r="8476" spans="1:3" s="8" customFormat="1" x14ac:dyDescent="0.2">
      <c r="A8476" s="6" t="str">
        <f>"AC025171.2"</f>
        <v>AC025171.2</v>
      </c>
      <c r="B8476" s="6">
        <v>0.183816183816183</v>
      </c>
      <c r="C8476" s="6">
        <v>0.38070951427841798</v>
      </c>
    </row>
    <row r="8477" spans="1:3" s="8" customFormat="1" x14ac:dyDescent="0.2">
      <c r="A8477" s="6" t="str">
        <f>"MASTL"</f>
        <v>MASTL</v>
      </c>
      <c r="B8477" s="6">
        <v>0.183816183816183</v>
      </c>
      <c r="C8477" s="6">
        <v>0.38070951427841798</v>
      </c>
    </row>
    <row r="8478" spans="1:3" s="8" customFormat="1" x14ac:dyDescent="0.2">
      <c r="A8478" s="6" t="str">
        <f>"POLR3B"</f>
        <v>POLR3B</v>
      </c>
      <c r="B8478" s="6">
        <v>0.183816183816183</v>
      </c>
      <c r="C8478" s="6">
        <v>0.38070951427841798</v>
      </c>
    </row>
    <row r="8479" spans="1:3" s="8" customFormat="1" x14ac:dyDescent="0.2">
      <c r="A8479" s="6" t="str">
        <f>"AC116366.2"</f>
        <v>AC116366.2</v>
      </c>
      <c r="B8479" s="6">
        <v>0.183816183816183</v>
      </c>
      <c r="C8479" s="6">
        <v>0.38070951427841798</v>
      </c>
    </row>
    <row r="8480" spans="1:3" s="8" customFormat="1" x14ac:dyDescent="0.2">
      <c r="A8480" s="6" t="str">
        <f>"GPN3"</f>
        <v>GPN3</v>
      </c>
      <c r="B8480" s="6">
        <v>0.183816183816183</v>
      </c>
      <c r="C8480" s="6">
        <v>0.38070951427841798</v>
      </c>
    </row>
    <row r="8481" spans="1:3" s="8" customFormat="1" x14ac:dyDescent="0.2">
      <c r="A8481" s="6" t="str">
        <f>"TRAPPC13"</f>
        <v>TRAPPC13</v>
      </c>
      <c r="B8481" s="6">
        <v>0.183816183816183</v>
      </c>
      <c r="C8481" s="6">
        <v>0.38070951427841798</v>
      </c>
    </row>
    <row r="8482" spans="1:3" s="8" customFormat="1" x14ac:dyDescent="0.2">
      <c r="A8482" s="6" t="str">
        <f>"TTC21B"</f>
        <v>TTC21B</v>
      </c>
      <c r="B8482" s="6">
        <v>0.183816183816183</v>
      </c>
      <c r="C8482" s="6">
        <v>0.38070951427841798</v>
      </c>
    </row>
    <row r="8483" spans="1:3" s="8" customFormat="1" x14ac:dyDescent="0.2">
      <c r="A8483" s="6" t="str">
        <f>"HDAC8"</f>
        <v>HDAC8</v>
      </c>
      <c r="B8483" s="6">
        <v>0.183816183816183</v>
      </c>
      <c r="C8483" s="6">
        <v>0.38070951427841798</v>
      </c>
    </row>
    <row r="8484" spans="1:3" s="8" customFormat="1" x14ac:dyDescent="0.2">
      <c r="A8484" s="6" t="str">
        <f>"CCDC59"</f>
        <v>CCDC59</v>
      </c>
      <c r="B8484" s="6">
        <v>0.183816183816183</v>
      </c>
      <c r="C8484" s="6">
        <v>0.38070951427841798</v>
      </c>
    </row>
    <row r="8485" spans="1:3" s="8" customFormat="1" x14ac:dyDescent="0.2">
      <c r="A8485" s="6" t="str">
        <f>"LRRC18"</f>
        <v>LRRC18</v>
      </c>
      <c r="B8485" s="6">
        <v>0.183816183816183</v>
      </c>
      <c r="C8485" s="6">
        <v>0.38070951427841798</v>
      </c>
    </row>
    <row r="8486" spans="1:3" s="8" customFormat="1" x14ac:dyDescent="0.2">
      <c r="A8486" s="6" t="str">
        <f>"MFSD9"</f>
        <v>MFSD9</v>
      </c>
      <c r="B8486" s="6">
        <v>0.183816183816183</v>
      </c>
      <c r="C8486" s="6">
        <v>0.38070951427841798</v>
      </c>
    </row>
    <row r="8487" spans="1:3" s="8" customFormat="1" x14ac:dyDescent="0.2">
      <c r="A8487" s="6" t="str">
        <f>"MINDY1"</f>
        <v>MINDY1</v>
      </c>
      <c r="B8487" s="6">
        <v>0.183816183816183</v>
      </c>
      <c r="C8487" s="6">
        <v>0.38070951427841798</v>
      </c>
    </row>
    <row r="8488" spans="1:3" s="8" customFormat="1" x14ac:dyDescent="0.2">
      <c r="A8488" s="6" t="str">
        <f>"ZNF292"</f>
        <v>ZNF292</v>
      </c>
      <c r="B8488" s="6">
        <v>0.183816183816183</v>
      </c>
      <c r="C8488" s="6">
        <v>0.38070951427841798</v>
      </c>
    </row>
    <row r="8489" spans="1:3" s="8" customFormat="1" x14ac:dyDescent="0.2">
      <c r="A8489" s="6" t="str">
        <f>"KDM6A"</f>
        <v>KDM6A</v>
      </c>
      <c r="B8489" s="6">
        <v>0.183816183816183</v>
      </c>
      <c r="C8489" s="6">
        <v>0.38070951427841798</v>
      </c>
    </row>
    <row r="8490" spans="1:3" s="8" customFormat="1" x14ac:dyDescent="0.2">
      <c r="A8490" s="6" t="str">
        <f>"NHLRC4"</f>
        <v>NHLRC4</v>
      </c>
      <c r="B8490" s="6">
        <v>0.183816183816183</v>
      </c>
      <c r="C8490" s="6">
        <v>0.38070951427841798</v>
      </c>
    </row>
    <row r="8491" spans="1:3" s="8" customFormat="1" x14ac:dyDescent="0.2">
      <c r="A8491" s="6" t="str">
        <f>"PSMB10"</f>
        <v>PSMB10</v>
      </c>
      <c r="B8491" s="6">
        <v>0.183816183816183</v>
      </c>
      <c r="C8491" s="6">
        <v>0.38070951427841798</v>
      </c>
    </row>
    <row r="8492" spans="1:3" s="8" customFormat="1" x14ac:dyDescent="0.2">
      <c r="A8492" s="6" t="str">
        <f>"ADAMTS18"</f>
        <v>ADAMTS18</v>
      </c>
      <c r="B8492" s="6">
        <v>0.184815184815184</v>
      </c>
      <c r="C8492" s="6">
        <v>0.38152033456095402</v>
      </c>
    </row>
    <row r="8493" spans="1:3" s="8" customFormat="1" x14ac:dyDescent="0.2">
      <c r="A8493" s="6" t="str">
        <f>"PITRM1-AS1"</f>
        <v>PITRM1-AS1</v>
      </c>
      <c r="B8493" s="6">
        <v>0.184815184815184</v>
      </c>
      <c r="C8493" s="6">
        <v>0.38152033456095402</v>
      </c>
    </row>
    <row r="8494" spans="1:3" s="8" customFormat="1" x14ac:dyDescent="0.2">
      <c r="A8494" s="6" t="str">
        <f>"CXXC4-AS1"</f>
        <v>CXXC4-AS1</v>
      </c>
      <c r="B8494" s="6">
        <v>0.184815184815184</v>
      </c>
      <c r="C8494" s="6">
        <v>0.38152033456095402</v>
      </c>
    </row>
    <row r="8495" spans="1:3" s="8" customFormat="1" x14ac:dyDescent="0.2">
      <c r="A8495" s="6" t="str">
        <f>"AC136475.2"</f>
        <v>AC136475.2</v>
      </c>
      <c r="B8495" s="6">
        <v>0.184815184815184</v>
      </c>
      <c r="C8495" s="6">
        <v>0.38152033456095402</v>
      </c>
    </row>
    <row r="8496" spans="1:3" s="8" customFormat="1" x14ac:dyDescent="0.2">
      <c r="A8496" s="6" t="str">
        <f>"AL359397.1"</f>
        <v>AL359397.1</v>
      </c>
      <c r="B8496" s="6">
        <v>0.184815184815184</v>
      </c>
      <c r="C8496" s="6">
        <v>0.38152033456095402</v>
      </c>
    </row>
    <row r="8497" spans="1:3" s="8" customFormat="1" x14ac:dyDescent="0.2">
      <c r="A8497" s="6" t="str">
        <f>"AL391684.1"</f>
        <v>AL391684.1</v>
      </c>
      <c r="B8497" s="6">
        <v>0.184815184815184</v>
      </c>
      <c r="C8497" s="6">
        <v>0.38152033456095402</v>
      </c>
    </row>
    <row r="8498" spans="1:3" s="8" customFormat="1" x14ac:dyDescent="0.2">
      <c r="A8498" s="6" t="str">
        <f>"AC025164.1"</f>
        <v>AC025164.1</v>
      </c>
      <c r="B8498" s="6">
        <v>0.184815184815184</v>
      </c>
      <c r="C8498" s="6">
        <v>0.38152033456095402</v>
      </c>
    </row>
    <row r="8499" spans="1:3" s="8" customFormat="1" x14ac:dyDescent="0.2">
      <c r="A8499" s="6" t="str">
        <f>"ZNF454"</f>
        <v>ZNF454</v>
      </c>
      <c r="B8499" s="6">
        <v>0.184815184815184</v>
      </c>
      <c r="C8499" s="6">
        <v>0.38152033456095402</v>
      </c>
    </row>
    <row r="8500" spans="1:3" s="8" customFormat="1" x14ac:dyDescent="0.2">
      <c r="A8500" s="6" t="str">
        <f>"AP001972.5"</f>
        <v>AP001972.5</v>
      </c>
      <c r="B8500" s="6">
        <v>0.184815184815184</v>
      </c>
      <c r="C8500" s="6">
        <v>0.38152033456095402</v>
      </c>
    </row>
    <row r="8501" spans="1:3" s="8" customFormat="1" x14ac:dyDescent="0.2">
      <c r="A8501" s="6" t="str">
        <f>"HSPA7"</f>
        <v>HSPA7</v>
      </c>
      <c r="B8501" s="6">
        <v>0.184815184815184</v>
      </c>
      <c r="C8501" s="6">
        <v>0.38152033456095402</v>
      </c>
    </row>
    <row r="8502" spans="1:3" s="8" customFormat="1" x14ac:dyDescent="0.2">
      <c r="A8502" s="6" t="str">
        <f>"ACTR3C"</f>
        <v>ACTR3C</v>
      </c>
      <c r="B8502" s="6">
        <v>0.184815184815184</v>
      </c>
      <c r="C8502" s="6">
        <v>0.38152033456095402</v>
      </c>
    </row>
    <row r="8503" spans="1:3" s="8" customFormat="1" x14ac:dyDescent="0.2">
      <c r="A8503" s="6" t="str">
        <f>"RGPD2"</f>
        <v>RGPD2</v>
      </c>
      <c r="B8503" s="6">
        <v>0.184815184815184</v>
      </c>
      <c r="C8503" s="6">
        <v>0.38152033456095402</v>
      </c>
    </row>
    <row r="8504" spans="1:3" s="8" customFormat="1" x14ac:dyDescent="0.2">
      <c r="A8504" s="6" t="str">
        <f>"GTF2H2"</f>
        <v>GTF2H2</v>
      </c>
      <c r="B8504" s="6">
        <v>0.184815184815184</v>
      </c>
      <c r="C8504" s="6">
        <v>0.38152033456095402</v>
      </c>
    </row>
    <row r="8505" spans="1:3" s="8" customFormat="1" x14ac:dyDescent="0.2">
      <c r="A8505" s="6" t="str">
        <f>"AC092718.3"</f>
        <v>AC092718.3</v>
      </c>
      <c r="B8505" s="6">
        <v>0.184815184815184</v>
      </c>
      <c r="C8505" s="6">
        <v>0.38152033456095402</v>
      </c>
    </row>
    <row r="8506" spans="1:3" s="8" customFormat="1" x14ac:dyDescent="0.2">
      <c r="A8506" s="6" t="str">
        <f>"CMPK2"</f>
        <v>CMPK2</v>
      </c>
      <c r="B8506" s="6">
        <v>0.184815184815184</v>
      </c>
      <c r="C8506" s="6">
        <v>0.38152033456095402</v>
      </c>
    </row>
    <row r="8507" spans="1:3" s="8" customFormat="1" x14ac:dyDescent="0.2">
      <c r="A8507" s="6" t="str">
        <f>"VPS8"</f>
        <v>VPS8</v>
      </c>
      <c r="B8507" s="6">
        <v>0.184815184815184</v>
      </c>
      <c r="C8507" s="6">
        <v>0.38152033456095402</v>
      </c>
    </row>
    <row r="8508" spans="1:3" s="8" customFormat="1" x14ac:dyDescent="0.2">
      <c r="A8508" s="6" t="str">
        <f>"ZNF468"</f>
        <v>ZNF468</v>
      </c>
      <c r="B8508" s="6">
        <v>0.184815184815184</v>
      </c>
      <c r="C8508" s="6">
        <v>0.38152033456095402</v>
      </c>
    </row>
    <row r="8509" spans="1:3" s="8" customFormat="1" x14ac:dyDescent="0.2">
      <c r="A8509" s="6" t="str">
        <f>"BPHL"</f>
        <v>BPHL</v>
      </c>
      <c r="B8509" s="6">
        <v>0.184815184815184</v>
      </c>
      <c r="C8509" s="6">
        <v>0.38152033456095402</v>
      </c>
    </row>
    <row r="8510" spans="1:3" s="8" customFormat="1" x14ac:dyDescent="0.2">
      <c r="A8510" s="6" t="str">
        <f>"OPA3"</f>
        <v>OPA3</v>
      </c>
      <c r="B8510" s="6">
        <v>0.184815184815184</v>
      </c>
      <c r="C8510" s="6">
        <v>0.38152033456095402</v>
      </c>
    </row>
    <row r="8511" spans="1:3" s="8" customFormat="1" x14ac:dyDescent="0.2">
      <c r="A8511" s="6" t="str">
        <f>"RC3H1"</f>
        <v>RC3H1</v>
      </c>
      <c r="B8511" s="6">
        <v>0.184815184815184</v>
      </c>
      <c r="C8511" s="6">
        <v>0.38152033456095402</v>
      </c>
    </row>
    <row r="8512" spans="1:3" s="8" customFormat="1" x14ac:dyDescent="0.2">
      <c r="A8512" s="6" t="str">
        <f>"ZNF750"</f>
        <v>ZNF750</v>
      </c>
      <c r="B8512" s="6">
        <v>0.184815184815184</v>
      </c>
      <c r="C8512" s="6">
        <v>0.38152033456095402</v>
      </c>
    </row>
    <row r="8513" spans="1:3" s="8" customFormat="1" x14ac:dyDescent="0.2">
      <c r="A8513" s="6" t="str">
        <f>"PDHB"</f>
        <v>PDHB</v>
      </c>
      <c r="B8513" s="6">
        <v>0.184815184815184</v>
      </c>
      <c r="C8513" s="6">
        <v>0.38152033456095402</v>
      </c>
    </row>
    <row r="8514" spans="1:3" s="8" customFormat="1" x14ac:dyDescent="0.2">
      <c r="A8514" s="6" t="str">
        <f>"GFUS"</f>
        <v>GFUS</v>
      </c>
      <c r="B8514" s="6">
        <v>0.184815184815184</v>
      </c>
      <c r="C8514" s="6">
        <v>0.38152033456095402</v>
      </c>
    </row>
    <row r="8515" spans="1:3" s="8" customFormat="1" x14ac:dyDescent="0.2">
      <c r="A8515" s="6" t="str">
        <f>"GPD1L"</f>
        <v>GPD1L</v>
      </c>
      <c r="B8515" s="6">
        <v>0.184815184815184</v>
      </c>
      <c r="C8515" s="6">
        <v>0.38152033456095402</v>
      </c>
    </row>
    <row r="8516" spans="1:3" s="8" customFormat="1" x14ac:dyDescent="0.2">
      <c r="A8516" s="6" t="str">
        <f>"HEXB"</f>
        <v>HEXB</v>
      </c>
      <c r="B8516" s="6">
        <v>0.184815184815184</v>
      </c>
      <c r="C8516" s="6">
        <v>0.38152033456095402</v>
      </c>
    </row>
    <row r="8517" spans="1:3" s="8" customFormat="1" x14ac:dyDescent="0.2">
      <c r="A8517" s="6" t="str">
        <f>"PAK1"</f>
        <v>PAK1</v>
      </c>
      <c r="B8517" s="6">
        <v>0.184815184815184</v>
      </c>
      <c r="C8517" s="6">
        <v>0.38152033456095402</v>
      </c>
    </row>
    <row r="8518" spans="1:3" s="8" customFormat="1" x14ac:dyDescent="0.2">
      <c r="A8518" s="6" t="str">
        <f>"TRAK1"</f>
        <v>TRAK1</v>
      </c>
      <c r="B8518" s="6">
        <v>0.184815184815184</v>
      </c>
      <c r="C8518" s="6">
        <v>0.38152033456095402</v>
      </c>
    </row>
    <row r="8519" spans="1:3" s="8" customFormat="1" x14ac:dyDescent="0.2">
      <c r="A8519" s="6" t="str">
        <f>"SLC9A3R1"</f>
        <v>SLC9A3R1</v>
      </c>
      <c r="B8519" s="6">
        <v>0.184815184815184</v>
      </c>
      <c r="C8519" s="6">
        <v>0.38152033456095402</v>
      </c>
    </row>
    <row r="8520" spans="1:3" s="8" customFormat="1" x14ac:dyDescent="0.2">
      <c r="A8520" s="6" t="str">
        <f>"KIAA1671-AS1"</f>
        <v>KIAA1671-AS1</v>
      </c>
      <c r="B8520" s="6">
        <v>0.185035389282103</v>
      </c>
      <c r="C8520" s="6">
        <v>0.38193007220759401</v>
      </c>
    </row>
    <row r="8521" spans="1:3" s="8" customFormat="1" x14ac:dyDescent="0.2">
      <c r="A8521" s="6" t="str">
        <f>"AL592494.2"</f>
        <v>AL592494.2</v>
      </c>
      <c r="B8521" s="6">
        <v>0.18518518518518501</v>
      </c>
      <c r="C8521" s="6">
        <v>0.38219440097374302</v>
      </c>
    </row>
    <row r="8522" spans="1:3" s="8" customFormat="1" x14ac:dyDescent="0.2">
      <c r="A8522" s="6" t="str">
        <f>"TMBIM7P"</f>
        <v>TMBIM7P</v>
      </c>
      <c r="B8522" s="6">
        <v>0.18581418581418499</v>
      </c>
      <c r="C8522" s="6">
        <v>0.38277373984965302</v>
      </c>
    </row>
    <row r="8523" spans="1:3" s="8" customFormat="1" x14ac:dyDescent="0.2">
      <c r="A8523" s="6" t="str">
        <f>"AC105020.3"</f>
        <v>AC105020.3</v>
      </c>
      <c r="B8523" s="6">
        <v>0.18581418581418499</v>
      </c>
      <c r="C8523" s="6">
        <v>0.38277373984965302</v>
      </c>
    </row>
    <row r="8524" spans="1:3" s="8" customFormat="1" x14ac:dyDescent="0.2">
      <c r="A8524" s="6" t="str">
        <f>"SCN1A-AS1"</f>
        <v>SCN1A-AS1</v>
      </c>
      <c r="B8524" s="6">
        <v>0.18581418581418499</v>
      </c>
      <c r="C8524" s="6">
        <v>0.38277373984965302</v>
      </c>
    </row>
    <row r="8525" spans="1:3" s="8" customFormat="1" x14ac:dyDescent="0.2">
      <c r="A8525" s="6" t="str">
        <f>"LINC02395"</f>
        <v>LINC02395</v>
      </c>
      <c r="B8525" s="6">
        <v>0.18581418581418499</v>
      </c>
      <c r="C8525" s="6">
        <v>0.38277373984965302</v>
      </c>
    </row>
    <row r="8526" spans="1:3" s="8" customFormat="1" x14ac:dyDescent="0.2">
      <c r="A8526" s="6" t="str">
        <f>"TAMALIN"</f>
        <v>TAMALIN</v>
      </c>
      <c r="B8526" s="6">
        <v>0.18581418581418499</v>
      </c>
      <c r="C8526" s="6">
        <v>0.38277373984965302</v>
      </c>
    </row>
    <row r="8527" spans="1:3" s="8" customFormat="1" x14ac:dyDescent="0.2">
      <c r="A8527" s="6" t="str">
        <f>"AC138894.1"</f>
        <v>AC138894.1</v>
      </c>
      <c r="B8527" s="6">
        <v>0.18581418581418499</v>
      </c>
      <c r="C8527" s="6">
        <v>0.38277373984965302</v>
      </c>
    </row>
    <row r="8528" spans="1:3" s="8" customFormat="1" x14ac:dyDescent="0.2">
      <c r="A8528" s="6" t="str">
        <f>"ZNF793-AS1"</f>
        <v>ZNF793-AS1</v>
      </c>
      <c r="B8528" s="6">
        <v>0.18581418581418499</v>
      </c>
      <c r="C8528" s="6">
        <v>0.38277373984965302</v>
      </c>
    </row>
    <row r="8529" spans="1:3" s="8" customFormat="1" x14ac:dyDescent="0.2">
      <c r="A8529" s="6" t="str">
        <f>"STAMBPL1"</f>
        <v>STAMBPL1</v>
      </c>
      <c r="B8529" s="6">
        <v>0.18581418581418499</v>
      </c>
      <c r="C8529" s="6">
        <v>0.38277373984965302</v>
      </c>
    </row>
    <row r="8530" spans="1:3" s="8" customFormat="1" x14ac:dyDescent="0.2">
      <c r="A8530" s="6" t="str">
        <f>"IL7R"</f>
        <v>IL7R</v>
      </c>
      <c r="B8530" s="6">
        <v>0.18581418581418499</v>
      </c>
      <c r="C8530" s="6">
        <v>0.38277373984965302</v>
      </c>
    </row>
    <row r="8531" spans="1:3" s="8" customFormat="1" x14ac:dyDescent="0.2">
      <c r="A8531" s="6" t="str">
        <f>"PDZK1IP1"</f>
        <v>PDZK1IP1</v>
      </c>
      <c r="B8531" s="6">
        <v>0.18581418581418499</v>
      </c>
      <c r="C8531" s="6">
        <v>0.38277373984965302</v>
      </c>
    </row>
    <row r="8532" spans="1:3" s="8" customFormat="1" x14ac:dyDescent="0.2">
      <c r="A8532" s="6" t="str">
        <f>"AKAP8"</f>
        <v>AKAP8</v>
      </c>
      <c r="B8532" s="6">
        <v>0.18581418581418499</v>
      </c>
      <c r="C8532" s="6">
        <v>0.38277373984965302</v>
      </c>
    </row>
    <row r="8533" spans="1:3" s="8" customFormat="1" x14ac:dyDescent="0.2">
      <c r="A8533" s="6" t="str">
        <f>"ADCY2"</f>
        <v>ADCY2</v>
      </c>
      <c r="B8533" s="6">
        <v>0.18581418581418499</v>
      </c>
      <c r="C8533" s="6">
        <v>0.38277373984965302</v>
      </c>
    </row>
    <row r="8534" spans="1:3" s="8" customFormat="1" x14ac:dyDescent="0.2">
      <c r="A8534" s="6" t="str">
        <f>"MPHOSPH8"</f>
        <v>MPHOSPH8</v>
      </c>
      <c r="B8534" s="6">
        <v>0.18581418581418499</v>
      </c>
      <c r="C8534" s="6">
        <v>0.38277373984965302</v>
      </c>
    </row>
    <row r="8535" spans="1:3" s="8" customFormat="1" x14ac:dyDescent="0.2">
      <c r="A8535" s="6" t="str">
        <f>"CAMSAP3"</f>
        <v>CAMSAP3</v>
      </c>
      <c r="B8535" s="6">
        <v>0.18581418581418499</v>
      </c>
      <c r="C8535" s="6">
        <v>0.38277373984965302</v>
      </c>
    </row>
    <row r="8536" spans="1:3" s="8" customFormat="1" x14ac:dyDescent="0.2">
      <c r="A8536" s="6" t="str">
        <f>"MTURN"</f>
        <v>MTURN</v>
      </c>
      <c r="B8536" s="6">
        <v>0.18581418581418499</v>
      </c>
      <c r="C8536" s="6">
        <v>0.38277373984965302</v>
      </c>
    </row>
    <row r="8537" spans="1:3" s="8" customFormat="1" x14ac:dyDescent="0.2">
      <c r="A8537" s="6" t="str">
        <f>"RUVBL2"</f>
        <v>RUVBL2</v>
      </c>
      <c r="B8537" s="6">
        <v>0.18581418581418499</v>
      </c>
      <c r="C8537" s="6">
        <v>0.38277373984965302</v>
      </c>
    </row>
    <row r="8538" spans="1:3" s="8" customFormat="1" x14ac:dyDescent="0.2">
      <c r="A8538" s="6" t="str">
        <f>"CTNNB1"</f>
        <v>CTNNB1</v>
      </c>
      <c r="B8538" s="6">
        <v>0.186</v>
      </c>
      <c r="C8538" s="6">
        <v>0.38311163172074503</v>
      </c>
    </row>
    <row r="8539" spans="1:3" s="8" customFormat="1" x14ac:dyDescent="0.2">
      <c r="A8539" s="6" t="str">
        <f>"LINC01275"</f>
        <v>LINC01275</v>
      </c>
      <c r="B8539" s="6">
        <v>0.18618618618618599</v>
      </c>
      <c r="C8539" s="6">
        <v>0.38345021057600098</v>
      </c>
    </row>
    <row r="8540" spans="1:3" s="8" customFormat="1" x14ac:dyDescent="0.2">
      <c r="A8540" s="6" t="str">
        <f>"TAS2R14"</f>
        <v>TAS2R14</v>
      </c>
      <c r="B8540" s="6">
        <v>0.18681318681318601</v>
      </c>
      <c r="C8540" s="6">
        <v>0.383887235821324</v>
      </c>
    </row>
    <row r="8541" spans="1:3" s="8" customFormat="1" x14ac:dyDescent="0.2">
      <c r="A8541" s="6" t="str">
        <f>"CYSLTR2"</f>
        <v>CYSLTR2</v>
      </c>
      <c r="B8541" s="6">
        <v>0.18681318681318601</v>
      </c>
      <c r="C8541" s="6">
        <v>0.383887235821324</v>
      </c>
    </row>
    <row r="8542" spans="1:3" s="8" customFormat="1" x14ac:dyDescent="0.2">
      <c r="A8542" s="6" t="str">
        <f>"IQSEC3"</f>
        <v>IQSEC3</v>
      </c>
      <c r="B8542" s="6">
        <v>0.18681318681318601</v>
      </c>
      <c r="C8542" s="6">
        <v>0.383887235821324</v>
      </c>
    </row>
    <row r="8543" spans="1:3" s="8" customFormat="1" x14ac:dyDescent="0.2">
      <c r="A8543" s="6" t="str">
        <f>"EPHA7"</f>
        <v>EPHA7</v>
      </c>
      <c r="B8543" s="6">
        <v>0.18681318681318601</v>
      </c>
      <c r="C8543" s="6">
        <v>0.383887235821324</v>
      </c>
    </row>
    <row r="8544" spans="1:3" s="8" customFormat="1" x14ac:dyDescent="0.2">
      <c r="A8544" s="6" t="str">
        <f>"BEAN1"</f>
        <v>BEAN1</v>
      </c>
      <c r="B8544" s="6">
        <v>0.18681318681318601</v>
      </c>
      <c r="C8544" s="6">
        <v>0.383887235821324</v>
      </c>
    </row>
    <row r="8545" spans="1:3" s="8" customFormat="1" x14ac:dyDescent="0.2">
      <c r="A8545" s="6" t="str">
        <f>"AC115284.2"</f>
        <v>AC115284.2</v>
      </c>
      <c r="B8545" s="6">
        <v>0.18681318681318601</v>
      </c>
      <c r="C8545" s="6">
        <v>0.383887235821324</v>
      </c>
    </row>
    <row r="8546" spans="1:3" s="8" customFormat="1" x14ac:dyDescent="0.2">
      <c r="A8546" s="6" t="str">
        <f>"COL4A1"</f>
        <v>COL4A1</v>
      </c>
      <c r="B8546" s="6">
        <v>0.18681318681318601</v>
      </c>
      <c r="C8546" s="6">
        <v>0.383887235821324</v>
      </c>
    </row>
    <row r="8547" spans="1:3" s="8" customFormat="1" x14ac:dyDescent="0.2">
      <c r="A8547" s="6" t="str">
        <f>"AC019080.1"</f>
        <v>AC019080.1</v>
      </c>
      <c r="B8547" s="6">
        <v>0.18681318681318601</v>
      </c>
      <c r="C8547" s="6">
        <v>0.383887235821324</v>
      </c>
    </row>
    <row r="8548" spans="1:3" s="8" customFormat="1" x14ac:dyDescent="0.2">
      <c r="A8548" s="6" t="str">
        <f>"ANKRD23"</f>
        <v>ANKRD23</v>
      </c>
      <c r="B8548" s="6">
        <v>0.18681318681318601</v>
      </c>
      <c r="C8548" s="6">
        <v>0.383887235821324</v>
      </c>
    </row>
    <row r="8549" spans="1:3" s="8" customFormat="1" x14ac:dyDescent="0.2">
      <c r="A8549" s="6" t="str">
        <f>"KCTD6"</f>
        <v>KCTD6</v>
      </c>
      <c r="B8549" s="6">
        <v>0.18681318681318601</v>
      </c>
      <c r="C8549" s="6">
        <v>0.383887235821324</v>
      </c>
    </row>
    <row r="8550" spans="1:3" s="8" customFormat="1" x14ac:dyDescent="0.2">
      <c r="A8550" s="6" t="str">
        <f>"SERGEF"</f>
        <v>SERGEF</v>
      </c>
      <c r="B8550" s="6">
        <v>0.18681318681318601</v>
      </c>
      <c r="C8550" s="6">
        <v>0.383887235821324</v>
      </c>
    </row>
    <row r="8551" spans="1:3" s="8" customFormat="1" x14ac:dyDescent="0.2">
      <c r="A8551" s="6" t="str">
        <f>"MPHOSPH6"</f>
        <v>MPHOSPH6</v>
      </c>
      <c r="B8551" s="6">
        <v>0.18681318681318601</v>
      </c>
      <c r="C8551" s="6">
        <v>0.383887235821324</v>
      </c>
    </row>
    <row r="8552" spans="1:3" s="8" customFormat="1" x14ac:dyDescent="0.2">
      <c r="A8552" s="6" t="str">
        <f>"ARMH4"</f>
        <v>ARMH4</v>
      </c>
      <c r="B8552" s="6">
        <v>0.18681318681318601</v>
      </c>
      <c r="C8552" s="6">
        <v>0.383887235821324</v>
      </c>
    </row>
    <row r="8553" spans="1:3" s="8" customFormat="1" x14ac:dyDescent="0.2">
      <c r="A8553" s="6" t="str">
        <f>"SDR39U1"</f>
        <v>SDR39U1</v>
      </c>
      <c r="B8553" s="6">
        <v>0.18681318681318601</v>
      </c>
      <c r="C8553" s="6">
        <v>0.383887235821324</v>
      </c>
    </row>
    <row r="8554" spans="1:3" s="8" customFormat="1" x14ac:dyDescent="0.2">
      <c r="A8554" s="6" t="str">
        <f>"MMAB"</f>
        <v>MMAB</v>
      </c>
      <c r="B8554" s="6">
        <v>0.18681318681318601</v>
      </c>
      <c r="C8554" s="6">
        <v>0.383887235821324</v>
      </c>
    </row>
    <row r="8555" spans="1:3" s="8" customFormat="1" x14ac:dyDescent="0.2">
      <c r="A8555" s="6" t="str">
        <f>"PEX1"</f>
        <v>PEX1</v>
      </c>
      <c r="B8555" s="6">
        <v>0.18681318681318601</v>
      </c>
      <c r="C8555" s="6">
        <v>0.383887235821324</v>
      </c>
    </row>
    <row r="8556" spans="1:3" s="8" customFormat="1" x14ac:dyDescent="0.2">
      <c r="A8556" s="6" t="str">
        <f>"MID1"</f>
        <v>MID1</v>
      </c>
      <c r="B8556" s="6">
        <v>0.18681318681318601</v>
      </c>
      <c r="C8556" s="6">
        <v>0.383887235821324</v>
      </c>
    </row>
    <row r="8557" spans="1:3" s="8" customFormat="1" x14ac:dyDescent="0.2">
      <c r="A8557" s="6" t="str">
        <f>"EGLN2"</f>
        <v>EGLN2</v>
      </c>
      <c r="B8557" s="6">
        <v>0.18681318681318601</v>
      </c>
      <c r="C8557" s="6">
        <v>0.383887235821324</v>
      </c>
    </row>
    <row r="8558" spans="1:3" s="8" customFormat="1" x14ac:dyDescent="0.2">
      <c r="A8558" s="6" t="str">
        <f>"NFIC"</f>
        <v>NFIC</v>
      </c>
      <c r="B8558" s="6">
        <v>0.18681318681318601</v>
      </c>
      <c r="C8558" s="6">
        <v>0.383887235821324</v>
      </c>
    </row>
    <row r="8559" spans="1:3" s="8" customFormat="1" x14ac:dyDescent="0.2">
      <c r="A8559" s="6" t="str">
        <f>"ARHGEF33"</f>
        <v>ARHGEF33</v>
      </c>
      <c r="B8559" s="6">
        <v>0.187</v>
      </c>
      <c r="C8559" s="6">
        <v>0.38413644859813001</v>
      </c>
    </row>
    <row r="8560" spans="1:3" s="8" customFormat="1" x14ac:dyDescent="0.2">
      <c r="A8560" s="6" t="str">
        <f>"C6orf52"</f>
        <v>C6orf52</v>
      </c>
      <c r="B8560" s="6">
        <v>0.187</v>
      </c>
      <c r="C8560" s="6">
        <v>0.38413644859813001</v>
      </c>
    </row>
    <row r="8561" spans="1:3" s="8" customFormat="1" x14ac:dyDescent="0.2">
      <c r="A8561" s="6" t="str">
        <f>"RAB3B"</f>
        <v>RAB3B</v>
      </c>
      <c r="B8561" s="6">
        <v>0.187</v>
      </c>
      <c r="C8561" s="6">
        <v>0.38413644859813001</v>
      </c>
    </row>
    <row r="8562" spans="1:3" s="8" customFormat="1" x14ac:dyDescent="0.2">
      <c r="A8562" s="6" t="str">
        <f>"AL358790.1"</f>
        <v>AL358790.1</v>
      </c>
      <c r="B8562" s="6">
        <v>0.187689202825428</v>
      </c>
      <c r="C8562" s="6">
        <v>0.384502213353069</v>
      </c>
    </row>
    <row r="8563" spans="1:3" s="8" customFormat="1" x14ac:dyDescent="0.2">
      <c r="A8563" s="6" t="str">
        <f>"RPS4XP16"</f>
        <v>RPS4XP16</v>
      </c>
      <c r="B8563" s="6">
        <v>0.187812187812187</v>
      </c>
      <c r="C8563" s="6">
        <v>0.384502213353069</v>
      </c>
    </row>
    <row r="8564" spans="1:3" s="8" customFormat="1" x14ac:dyDescent="0.2">
      <c r="A8564" s="6" t="str">
        <f>"HOXB-AS1"</f>
        <v>HOXB-AS1</v>
      </c>
      <c r="B8564" s="6">
        <v>0.187812187812187</v>
      </c>
      <c r="C8564" s="6">
        <v>0.384502213353069</v>
      </c>
    </row>
    <row r="8565" spans="1:3" s="8" customFormat="1" x14ac:dyDescent="0.2">
      <c r="A8565" s="6" t="str">
        <f>"C19orf18"</f>
        <v>C19orf18</v>
      </c>
      <c r="B8565" s="6">
        <v>0.187812187812187</v>
      </c>
      <c r="C8565" s="6">
        <v>0.384502213353069</v>
      </c>
    </row>
    <row r="8566" spans="1:3" s="8" customFormat="1" x14ac:dyDescent="0.2">
      <c r="A8566" s="6" t="str">
        <f>"AP001453.1"</f>
        <v>AP001453.1</v>
      </c>
      <c r="B8566" s="6">
        <v>0.187812187812187</v>
      </c>
      <c r="C8566" s="6">
        <v>0.384502213353069</v>
      </c>
    </row>
    <row r="8567" spans="1:3" s="8" customFormat="1" x14ac:dyDescent="0.2">
      <c r="A8567" s="6" t="str">
        <f>"GMNC"</f>
        <v>GMNC</v>
      </c>
      <c r="B8567" s="6">
        <v>0.187812187812187</v>
      </c>
      <c r="C8567" s="6">
        <v>0.384502213353069</v>
      </c>
    </row>
    <row r="8568" spans="1:3" s="8" customFormat="1" x14ac:dyDescent="0.2">
      <c r="A8568" s="6" t="str">
        <f>"RGS1"</f>
        <v>RGS1</v>
      </c>
      <c r="B8568" s="6">
        <v>0.187812187812187</v>
      </c>
      <c r="C8568" s="6">
        <v>0.384502213353069</v>
      </c>
    </row>
    <row r="8569" spans="1:3" s="8" customFormat="1" x14ac:dyDescent="0.2">
      <c r="A8569" s="6" t="str">
        <f>"MMP2"</f>
        <v>MMP2</v>
      </c>
      <c r="B8569" s="6">
        <v>0.187812187812187</v>
      </c>
      <c r="C8569" s="6">
        <v>0.384502213353069</v>
      </c>
    </row>
    <row r="8570" spans="1:3" s="8" customFormat="1" x14ac:dyDescent="0.2">
      <c r="A8570" s="6" t="str">
        <f>"RNFT1"</f>
        <v>RNFT1</v>
      </c>
      <c r="B8570" s="6">
        <v>0.187812187812187</v>
      </c>
      <c r="C8570" s="6">
        <v>0.384502213353069</v>
      </c>
    </row>
    <row r="8571" spans="1:3" s="8" customFormat="1" x14ac:dyDescent="0.2">
      <c r="A8571" s="6" t="str">
        <f>"GOLGA6L9"</f>
        <v>GOLGA6L9</v>
      </c>
      <c r="B8571" s="6">
        <v>0.187812187812187</v>
      </c>
      <c r="C8571" s="6">
        <v>0.384502213353069</v>
      </c>
    </row>
    <row r="8572" spans="1:3" s="8" customFormat="1" x14ac:dyDescent="0.2">
      <c r="A8572" s="6" t="str">
        <f>"TIGAR"</f>
        <v>TIGAR</v>
      </c>
      <c r="B8572" s="6">
        <v>0.187812187812187</v>
      </c>
      <c r="C8572" s="6">
        <v>0.384502213353069</v>
      </c>
    </row>
    <row r="8573" spans="1:3" s="8" customFormat="1" x14ac:dyDescent="0.2">
      <c r="A8573" s="6" t="str">
        <f>"PUS1"</f>
        <v>PUS1</v>
      </c>
      <c r="B8573" s="6">
        <v>0.187812187812187</v>
      </c>
      <c r="C8573" s="6">
        <v>0.384502213353069</v>
      </c>
    </row>
    <row r="8574" spans="1:3" s="8" customFormat="1" x14ac:dyDescent="0.2">
      <c r="A8574" s="6" t="str">
        <f>"SMUG1"</f>
        <v>SMUG1</v>
      </c>
      <c r="B8574" s="6">
        <v>0.187812187812187</v>
      </c>
      <c r="C8574" s="6">
        <v>0.384502213353069</v>
      </c>
    </row>
    <row r="8575" spans="1:3" s="8" customFormat="1" x14ac:dyDescent="0.2">
      <c r="A8575" s="6" t="str">
        <f>"BLMH"</f>
        <v>BLMH</v>
      </c>
      <c r="B8575" s="6">
        <v>0.187812187812187</v>
      </c>
      <c r="C8575" s="6">
        <v>0.384502213353069</v>
      </c>
    </row>
    <row r="8576" spans="1:3" s="8" customFormat="1" x14ac:dyDescent="0.2">
      <c r="A8576" s="6" t="str">
        <f>"ABRACL"</f>
        <v>ABRACL</v>
      </c>
      <c r="B8576" s="6">
        <v>0.187812187812187</v>
      </c>
      <c r="C8576" s="6">
        <v>0.384502213353069</v>
      </c>
    </row>
    <row r="8577" spans="1:3" s="8" customFormat="1" x14ac:dyDescent="0.2">
      <c r="A8577" s="6" t="str">
        <f>"PLPP1"</f>
        <v>PLPP1</v>
      </c>
      <c r="B8577" s="6">
        <v>0.187812187812187</v>
      </c>
      <c r="C8577" s="6">
        <v>0.384502213353069</v>
      </c>
    </row>
    <row r="8578" spans="1:3" s="8" customFormat="1" x14ac:dyDescent="0.2">
      <c r="A8578" s="6" t="str">
        <f>"TMEM51"</f>
        <v>TMEM51</v>
      </c>
      <c r="B8578" s="6">
        <v>0.187812187812187</v>
      </c>
      <c r="C8578" s="6">
        <v>0.384502213353069</v>
      </c>
    </row>
    <row r="8579" spans="1:3" s="8" customFormat="1" x14ac:dyDescent="0.2">
      <c r="A8579" s="6" t="str">
        <f>"TAF8"</f>
        <v>TAF8</v>
      </c>
      <c r="B8579" s="6">
        <v>0.187812187812187</v>
      </c>
      <c r="C8579" s="6">
        <v>0.384502213353069</v>
      </c>
    </row>
    <row r="8580" spans="1:3" s="8" customFormat="1" x14ac:dyDescent="0.2">
      <c r="A8580" s="6" t="str">
        <f>"EVI5"</f>
        <v>EVI5</v>
      </c>
      <c r="B8580" s="6">
        <v>0.187812187812187</v>
      </c>
      <c r="C8580" s="6">
        <v>0.384502213353069</v>
      </c>
    </row>
    <row r="8581" spans="1:3" s="8" customFormat="1" x14ac:dyDescent="0.2">
      <c r="A8581" s="6" t="str">
        <f>"MGAT4A"</f>
        <v>MGAT4A</v>
      </c>
      <c r="B8581" s="6">
        <v>0.187812187812187</v>
      </c>
      <c r="C8581" s="6">
        <v>0.384502213353069</v>
      </c>
    </row>
    <row r="8582" spans="1:3" s="8" customFormat="1" x14ac:dyDescent="0.2">
      <c r="A8582" s="6" t="str">
        <f>"ZBED4"</f>
        <v>ZBED4</v>
      </c>
      <c r="B8582" s="6">
        <v>0.187812187812187</v>
      </c>
      <c r="C8582" s="6">
        <v>0.384502213353069</v>
      </c>
    </row>
    <row r="8583" spans="1:3" s="8" customFormat="1" x14ac:dyDescent="0.2">
      <c r="A8583" s="6" t="str">
        <f>"ARMC2"</f>
        <v>ARMC2</v>
      </c>
      <c r="B8583" s="6">
        <v>0.187812187812187</v>
      </c>
      <c r="C8583" s="6">
        <v>0.384502213353069</v>
      </c>
    </row>
    <row r="8584" spans="1:3" s="8" customFormat="1" x14ac:dyDescent="0.2">
      <c r="A8584" s="6" t="str">
        <f>"NARF"</f>
        <v>NARF</v>
      </c>
      <c r="B8584" s="6">
        <v>0.187812187812187</v>
      </c>
      <c r="C8584" s="6">
        <v>0.384502213353069</v>
      </c>
    </row>
    <row r="8585" spans="1:3" s="8" customFormat="1" x14ac:dyDescent="0.2">
      <c r="A8585" s="6" t="str">
        <f>"PNN"</f>
        <v>PNN</v>
      </c>
      <c r="B8585" s="6">
        <v>0.187812187812187</v>
      </c>
      <c r="C8585" s="6">
        <v>0.384502213353069</v>
      </c>
    </row>
    <row r="8586" spans="1:3" s="8" customFormat="1" x14ac:dyDescent="0.2">
      <c r="A8586" s="6" t="str">
        <f>"AAGAB"</f>
        <v>AAGAB</v>
      </c>
      <c r="B8586" s="6">
        <v>0.187812187812187</v>
      </c>
      <c r="C8586" s="6">
        <v>0.384502213353069</v>
      </c>
    </row>
    <row r="8587" spans="1:3" s="8" customFormat="1" x14ac:dyDescent="0.2">
      <c r="A8587" s="6" t="str">
        <f>"CFAP20"</f>
        <v>CFAP20</v>
      </c>
      <c r="B8587" s="6">
        <v>0.187812187812187</v>
      </c>
      <c r="C8587" s="6">
        <v>0.384502213353069</v>
      </c>
    </row>
    <row r="8588" spans="1:3" s="8" customFormat="1" x14ac:dyDescent="0.2">
      <c r="A8588" s="6" t="str">
        <f>"MYBBP1A"</f>
        <v>MYBBP1A</v>
      </c>
      <c r="B8588" s="6">
        <v>0.187812187812187</v>
      </c>
      <c r="C8588" s="6">
        <v>0.384502213353069</v>
      </c>
    </row>
    <row r="8589" spans="1:3" s="8" customFormat="1" x14ac:dyDescent="0.2">
      <c r="A8589" s="6" t="str">
        <f>"SMC5"</f>
        <v>SMC5</v>
      </c>
      <c r="B8589" s="6">
        <v>0.187812187812187</v>
      </c>
      <c r="C8589" s="6">
        <v>0.384502213353069</v>
      </c>
    </row>
    <row r="8590" spans="1:3" s="8" customFormat="1" x14ac:dyDescent="0.2">
      <c r="A8590" s="6" t="str">
        <f>"RARRES1"</f>
        <v>RARRES1</v>
      </c>
      <c r="B8590" s="6">
        <v>0.187812187812187</v>
      </c>
      <c r="C8590" s="6">
        <v>0.384502213353069</v>
      </c>
    </row>
    <row r="8591" spans="1:3" s="8" customFormat="1" x14ac:dyDescent="0.2">
      <c r="A8591" s="6" t="str">
        <f>"CFLAR-AS1"</f>
        <v>CFLAR-AS1</v>
      </c>
      <c r="B8591" s="6">
        <v>0.188</v>
      </c>
      <c r="C8591" s="6">
        <v>0.38484190919674</v>
      </c>
    </row>
    <row r="8592" spans="1:3" s="8" customFormat="1" x14ac:dyDescent="0.2">
      <c r="A8592" s="6" t="str">
        <f>"ANKRD62"</f>
        <v>ANKRD62</v>
      </c>
      <c r="B8592" s="6">
        <v>0.18877551020408101</v>
      </c>
      <c r="C8592" s="6">
        <v>0.385425579760383</v>
      </c>
    </row>
    <row r="8593" spans="1:3" s="8" customFormat="1" x14ac:dyDescent="0.2">
      <c r="A8593" s="6" t="str">
        <f>"AC018475.1"</f>
        <v>AC018475.1</v>
      </c>
      <c r="B8593" s="6">
        <v>0.188755020080321</v>
      </c>
      <c r="C8593" s="6">
        <v>0.385425579760383</v>
      </c>
    </row>
    <row r="8594" spans="1:3" s="8" customFormat="1" x14ac:dyDescent="0.2">
      <c r="A8594" s="6" t="str">
        <f>"AC097658.1"</f>
        <v>AC097658.1</v>
      </c>
      <c r="B8594" s="6">
        <v>0.188811188811188</v>
      </c>
      <c r="C8594" s="6">
        <v>0.385425579760383</v>
      </c>
    </row>
    <row r="8595" spans="1:3" s="8" customFormat="1" x14ac:dyDescent="0.2">
      <c r="A8595" s="6" t="str">
        <f>"AL391294.1"</f>
        <v>AL391294.1</v>
      </c>
      <c r="B8595" s="6">
        <v>0.188811188811188</v>
      </c>
      <c r="C8595" s="6">
        <v>0.385425579760383</v>
      </c>
    </row>
    <row r="8596" spans="1:3" s="8" customFormat="1" x14ac:dyDescent="0.2">
      <c r="A8596" s="6" t="str">
        <f>"ADGRA1"</f>
        <v>ADGRA1</v>
      </c>
      <c r="B8596" s="6">
        <v>0.188811188811188</v>
      </c>
      <c r="C8596" s="6">
        <v>0.385425579760383</v>
      </c>
    </row>
    <row r="8597" spans="1:3" s="8" customFormat="1" x14ac:dyDescent="0.2">
      <c r="A8597" s="6" t="str">
        <f>"FTCDNL1"</f>
        <v>FTCDNL1</v>
      </c>
      <c r="B8597" s="6">
        <v>0.188811188811188</v>
      </c>
      <c r="C8597" s="6">
        <v>0.385425579760383</v>
      </c>
    </row>
    <row r="8598" spans="1:3" s="8" customFormat="1" x14ac:dyDescent="0.2">
      <c r="A8598" s="6" t="str">
        <f>"AC005052.2"</f>
        <v>AC005052.2</v>
      </c>
      <c r="B8598" s="6">
        <v>0.188811188811188</v>
      </c>
      <c r="C8598" s="6">
        <v>0.385425579760383</v>
      </c>
    </row>
    <row r="8599" spans="1:3" s="8" customFormat="1" x14ac:dyDescent="0.2">
      <c r="A8599" s="6" t="str">
        <f>"TIGIT"</f>
        <v>TIGIT</v>
      </c>
      <c r="B8599" s="6">
        <v>0.188811188811188</v>
      </c>
      <c r="C8599" s="6">
        <v>0.385425579760383</v>
      </c>
    </row>
    <row r="8600" spans="1:3" s="8" customFormat="1" x14ac:dyDescent="0.2">
      <c r="A8600" s="6" t="str">
        <f>"AC009120.2"</f>
        <v>AC009120.2</v>
      </c>
      <c r="B8600" s="6">
        <v>0.188811188811188</v>
      </c>
      <c r="C8600" s="6">
        <v>0.385425579760383</v>
      </c>
    </row>
    <row r="8601" spans="1:3" s="8" customFormat="1" x14ac:dyDescent="0.2">
      <c r="A8601" s="6" t="str">
        <f>"LINC00630"</f>
        <v>LINC00630</v>
      </c>
      <c r="B8601" s="6">
        <v>0.188811188811188</v>
      </c>
      <c r="C8601" s="6">
        <v>0.385425579760383</v>
      </c>
    </row>
    <row r="8602" spans="1:3" s="8" customFormat="1" x14ac:dyDescent="0.2">
      <c r="A8602" s="6" t="str">
        <f>"MUC12-AS1"</f>
        <v>MUC12-AS1</v>
      </c>
      <c r="B8602" s="6">
        <v>0.188811188811188</v>
      </c>
      <c r="C8602" s="6">
        <v>0.385425579760383</v>
      </c>
    </row>
    <row r="8603" spans="1:3" s="8" customFormat="1" x14ac:dyDescent="0.2">
      <c r="A8603" s="6" t="str">
        <f>"GTF2H2B"</f>
        <v>GTF2H2B</v>
      </c>
      <c r="B8603" s="6">
        <v>0.188811188811188</v>
      </c>
      <c r="C8603" s="6">
        <v>0.385425579760383</v>
      </c>
    </row>
    <row r="8604" spans="1:3" s="8" customFormat="1" x14ac:dyDescent="0.2">
      <c r="A8604" s="6" t="str">
        <f>"AC139530.1"</f>
        <v>AC139530.1</v>
      </c>
      <c r="B8604" s="6">
        <v>0.188811188811188</v>
      </c>
      <c r="C8604" s="6">
        <v>0.385425579760383</v>
      </c>
    </row>
    <row r="8605" spans="1:3" s="8" customFormat="1" x14ac:dyDescent="0.2">
      <c r="A8605" s="6" t="str">
        <f>"KRBOX4"</f>
        <v>KRBOX4</v>
      </c>
      <c r="B8605" s="6">
        <v>0.188811188811188</v>
      </c>
      <c r="C8605" s="6">
        <v>0.385425579760383</v>
      </c>
    </row>
    <row r="8606" spans="1:3" s="8" customFormat="1" x14ac:dyDescent="0.2">
      <c r="A8606" s="6" t="str">
        <f>"ZNF296"</f>
        <v>ZNF296</v>
      </c>
      <c r="B8606" s="6">
        <v>0.188811188811188</v>
      </c>
      <c r="C8606" s="6">
        <v>0.385425579760383</v>
      </c>
    </row>
    <row r="8607" spans="1:3" s="8" customFormat="1" x14ac:dyDescent="0.2">
      <c r="A8607" s="6" t="str">
        <f>"TARS3"</f>
        <v>TARS3</v>
      </c>
      <c r="B8607" s="6">
        <v>0.188811188811188</v>
      </c>
      <c r="C8607" s="6">
        <v>0.385425579760383</v>
      </c>
    </row>
    <row r="8608" spans="1:3" s="8" customFormat="1" x14ac:dyDescent="0.2">
      <c r="A8608" s="6" t="str">
        <f>"SIRT1"</f>
        <v>SIRT1</v>
      </c>
      <c r="B8608" s="6">
        <v>0.188811188811188</v>
      </c>
      <c r="C8608" s="6">
        <v>0.385425579760383</v>
      </c>
    </row>
    <row r="8609" spans="1:3" s="8" customFormat="1" x14ac:dyDescent="0.2">
      <c r="A8609" s="6" t="str">
        <f>"CEP95"</f>
        <v>CEP95</v>
      </c>
      <c r="B8609" s="6">
        <v>0.188811188811188</v>
      </c>
      <c r="C8609" s="6">
        <v>0.385425579760383</v>
      </c>
    </row>
    <row r="8610" spans="1:3" s="8" customFormat="1" x14ac:dyDescent="0.2">
      <c r="A8610" s="6" t="str">
        <f>"PIK3R4"</f>
        <v>PIK3R4</v>
      </c>
      <c r="B8610" s="6">
        <v>0.188811188811188</v>
      </c>
      <c r="C8610" s="6">
        <v>0.385425579760383</v>
      </c>
    </row>
    <row r="8611" spans="1:3" s="8" customFormat="1" x14ac:dyDescent="0.2">
      <c r="A8611" s="6" t="str">
        <f>"SLC52A2"</f>
        <v>SLC52A2</v>
      </c>
      <c r="B8611" s="6">
        <v>0.188811188811188</v>
      </c>
      <c r="C8611" s="6">
        <v>0.385425579760383</v>
      </c>
    </row>
    <row r="8612" spans="1:3" s="8" customFormat="1" x14ac:dyDescent="0.2">
      <c r="A8612" s="6" t="str">
        <f>"BLOC1S1"</f>
        <v>BLOC1S1</v>
      </c>
      <c r="B8612" s="6">
        <v>0.188811188811188</v>
      </c>
      <c r="C8612" s="6">
        <v>0.385425579760383</v>
      </c>
    </row>
    <row r="8613" spans="1:3" s="8" customFormat="1" x14ac:dyDescent="0.2">
      <c r="A8613" s="6" t="str">
        <f>"IQCK"</f>
        <v>IQCK</v>
      </c>
      <c r="B8613" s="6">
        <v>0.188811188811188</v>
      </c>
      <c r="C8613" s="6">
        <v>0.385425579760383</v>
      </c>
    </row>
    <row r="8614" spans="1:3" s="8" customFormat="1" x14ac:dyDescent="0.2">
      <c r="A8614" s="6" t="str">
        <f>"ATXN10"</f>
        <v>ATXN10</v>
      </c>
      <c r="B8614" s="6">
        <v>0.188811188811188</v>
      </c>
      <c r="C8614" s="6">
        <v>0.385425579760383</v>
      </c>
    </row>
    <row r="8615" spans="1:3" s="8" customFormat="1" x14ac:dyDescent="0.2">
      <c r="A8615" s="6" t="str">
        <f>"CERS6"</f>
        <v>CERS6</v>
      </c>
      <c r="B8615" s="6">
        <v>0.188811188811188</v>
      </c>
      <c r="C8615" s="6">
        <v>0.385425579760383</v>
      </c>
    </row>
    <row r="8616" spans="1:3" s="8" customFormat="1" x14ac:dyDescent="0.2">
      <c r="A8616" s="6" t="str">
        <f>"GBP7"</f>
        <v>GBP7</v>
      </c>
      <c r="B8616" s="6">
        <v>0.189</v>
      </c>
      <c r="C8616" s="6">
        <v>0.38567668562144602</v>
      </c>
    </row>
    <row r="8617" spans="1:3" s="8" customFormat="1" x14ac:dyDescent="0.2">
      <c r="A8617" s="6" t="str">
        <f>"SINHCAFP2"</f>
        <v>SINHCAFP2</v>
      </c>
      <c r="B8617" s="6">
        <v>0.189</v>
      </c>
      <c r="C8617" s="6">
        <v>0.38567668562144602</v>
      </c>
    </row>
    <row r="8618" spans="1:3" s="8" customFormat="1" x14ac:dyDescent="0.2">
      <c r="A8618" s="6" t="str">
        <f>"AL117334.1"</f>
        <v>AL117334.1</v>
      </c>
      <c r="B8618" s="6">
        <v>0.189</v>
      </c>
      <c r="C8618" s="6">
        <v>0.38567668562144602</v>
      </c>
    </row>
    <row r="8619" spans="1:3" s="8" customFormat="1" x14ac:dyDescent="0.2">
      <c r="A8619" s="6" t="str">
        <f>"AP001085.1"</f>
        <v>AP001085.1</v>
      </c>
      <c r="B8619" s="6">
        <v>0.18918918918918901</v>
      </c>
      <c r="C8619" s="6">
        <v>0.38601795111426102</v>
      </c>
    </row>
    <row r="8620" spans="1:3" s="8" customFormat="1" x14ac:dyDescent="0.2">
      <c r="A8620" s="6" t="str">
        <f>"AC116611.1"</f>
        <v>AC116611.1</v>
      </c>
      <c r="B8620" s="6">
        <v>0.18981018981018899</v>
      </c>
      <c r="C8620" s="6">
        <v>0.38652256834074999</v>
      </c>
    </row>
    <row r="8621" spans="1:3" s="8" customFormat="1" x14ac:dyDescent="0.2">
      <c r="A8621" s="6" t="str">
        <f>"IMPDH1P5"</f>
        <v>IMPDH1P5</v>
      </c>
      <c r="B8621" s="6">
        <v>0.18981018981018899</v>
      </c>
      <c r="C8621" s="6">
        <v>0.38652256834074999</v>
      </c>
    </row>
    <row r="8622" spans="1:3" s="8" customFormat="1" x14ac:dyDescent="0.2">
      <c r="A8622" s="6" t="str">
        <f>"AC079944.2"</f>
        <v>AC079944.2</v>
      </c>
      <c r="B8622" s="6">
        <v>0.189568706118355</v>
      </c>
      <c r="C8622" s="6">
        <v>0.38652256834074999</v>
      </c>
    </row>
    <row r="8623" spans="1:3" s="8" customFormat="1" x14ac:dyDescent="0.2">
      <c r="A8623" s="6" t="str">
        <f>"AL669830.1"</f>
        <v>AL669830.1</v>
      </c>
      <c r="B8623" s="6">
        <v>0.18981018981018899</v>
      </c>
      <c r="C8623" s="6">
        <v>0.38652256834074999</v>
      </c>
    </row>
    <row r="8624" spans="1:3" s="8" customFormat="1" x14ac:dyDescent="0.2">
      <c r="A8624" s="6" t="str">
        <f>"MRO"</f>
        <v>MRO</v>
      </c>
      <c r="B8624" s="6">
        <v>0.18981018981018899</v>
      </c>
      <c r="C8624" s="6">
        <v>0.38652256834074999</v>
      </c>
    </row>
    <row r="8625" spans="1:3" s="8" customFormat="1" x14ac:dyDescent="0.2">
      <c r="A8625" s="6" t="str">
        <f>"AC068946.2"</f>
        <v>AC068946.2</v>
      </c>
      <c r="B8625" s="6">
        <v>0.18981018981018899</v>
      </c>
      <c r="C8625" s="6">
        <v>0.38652256834074999</v>
      </c>
    </row>
    <row r="8626" spans="1:3" s="8" customFormat="1" x14ac:dyDescent="0.2">
      <c r="A8626" s="6" t="str">
        <f>"AC138409.2"</f>
        <v>AC138409.2</v>
      </c>
      <c r="B8626" s="6">
        <v>0.18981018981018899</v>
      </c>
      <c r="C8626" s="6">
        <v>0.38652256834074999</v>
      </c>
    </row>
    <row r="8627" spans="1:3" s="8" customFormat="1" x14ac:dyDescent="0.2">
      <c r="A8627" s="6" t="str">
        <f>"C16orf74"</f>
        <v>C16orf74</v>
      </c>
      <c r="B8627" s="6">
        <v>0.18981018981018899</v>
      </c>
      <c r="C8627" s="6">
        <v>0.38652256834074999</v>
      </c>
    </row>
    <row r="8628" spans="1:3" s="8" customFormat="1" x14ac:dyDescent="0.2">
      <c r="A8628" s="6" t="str">
        <f>"TFB1M"</f>
        <v>TFB1M</v>
      </c>
      <c r="B8628" s="6">
        <v>0.18981018981018899</v>
      </c>
      <c r="C8628" s="6">
        <v>0.38652256834074999</v>
      </c>
    </row>
    <row r="8629" spans="1:3" s="8" customFormat="1" x14ac:dyDescent="0.2">
      <c r="A8629" s="6" t="str">
        <f>"NBPF20"</f>
        <v>NBPF20</v>
      </c>
      <c r="B8629" s="6">
        <v>0.18981018981018899</v>
      </c>
      <c r="C8629" s="6">
        <v>0.38652256834074999</v>
      </c>
    </row>
    <row r="8630" spans="1:3" s="8" customFormat="1" x14ac:dyDescent="0.2">
      <c r="A8630" s="6" t="str">
        <f>"AC025181.2"</f>
        <v>AC025181.2</v>
      </c>
      <c r="B8630" s="6">
        <v>0.18981018981018899</v>
      </c>
      <c r="C8630" s="6">
        <v>0.38652256834074999</v>
      </c>
    </row>
    <row r="8631" spans="1:3" s="8" customFormat="1" x14ac:dyDescent="0.2">
      <c r="A8631" s="6" t="str">
        <f>"RSBN1"</f>
        <v>RSBN1</v>
      </c>
      <c r="B8631" s="6">
        <v>0.18981018981018899</v>
      </c>
      <c r="C8631" s="6">
        <v>0.38652256834074999</v>
      </c>
    </row>
    <row r="8632" spans="1:3" s="8" customFormat="1" x14ac:dyDescent="0.2">
      <c r="A8632" s="6" t="str">
        <f>"UNC119"</f>
        <v>UNC119</v>
      </c>
      <c r="B8632" s="6">
        <v>0.18981018981018899</v>
      </c>
      <c r="C8632" s="6">
        <v>0.38652256834074999</v>
      </c>
    </row>
    <row r="8633" spans="1:3" s="8" customFormat="1" x14ac:dyDescent="0.2">
      <c r="A8633" s="6" t="str">
        <f>"NPRL3"</f>
        <v>NPRL3</v>
      </c>
      <c r="B8633" s="6">
        <v>0.18981018981018899</v>
      </c>
      <c r="C8633" s="6">
        <v>0.38652256834074999</v>
      </c>
    </row>
    <row r="8634" spans="1:3" s="8" customFormat="1" x14ac:dyDescent="0.2">
      <c r="A8634" s="6" t="str">
        <f>"RAB11FIP3"</f>
        <v>RAB11FIP3</v>
      </c>
      <c r="B8634" s="6">
        <v>0.18981018981018899</v>
      </c>
      <c r="C8634" s="6">
        <v>0.38652256834074999</v>
      </c>
    </row>
    <row r="8635" spans="1:3" s="8" customFormat="1" x14ac:dyDescent="0.2">
      <c r="A8635" s="6" t="str">
        <f>"PRKCSH"</f>
        <v>PRKCSH</v>
      </c>
      <c r="B8635" s="6">
        <v>0.18981018981018899</v>
      </c>
      <c r="C8635" s="6">
        <v>0.38652256834074999</v>
      </c>
    </row>
    <row r="8636" spans="1:3" s="8" customFormat="1" x14ac:dyDescent="0.2">
      <c r="A8636" s="6" t="str">
        <f>"YWHAE"</f>
        <v>YWHAE</v>
      </c>
      <c r="B8636" s="6">
        <v>0.18981018981018899</v>
      </c>
      <c r="C8636" s="6">
        <v>0.38652256834074999</v>
      </c>
    </row>
    <row r="8637" spans="1:3" s="8" customFormat="1" x14ac:dyDescent="0.2">
      <c r="A8637" s="6" t="str">
        <f>"GRXCR2"</f>
        <v>GRXCR2</v>
      </c>
      <c r="B8637" s="6">
        <v>0.19</v>
      </c>
      <c r="C8637" s="6">
        <v>0.38681949751070899</v>
      </c>
    </row>
    <row r="8638" spans="1:3" s="8" customFormat="1" x14ac:dyDescent="0.2">
      <c r="A8638" s="6" t="str">
        <f>"AC117461.1"</f>
        <v>AC117461.1</v>
      </c>
      <c r="B8638" s="6">
        <v>0.19</v>
      </c>
      <c r="C8638" s="6">
        <v>0.38681949751070899</v>
      </c>
    </row>
    <row r="8639" spans="1:3" s="8" customFormat="1" x14ac:dyDescent="0.2">
      <c r="A8639" s="6" t="str">
        <f>"BICRA-AS1"</f>
        <v>BICRA-AS1</v>
      </c>
      <c r="B8639" s="6">
        <v>0.19080919080919001</v>
      </c>
      <c r="C8639" s="6">
        <v>0.38783826276601602</v>
      </c>
    </row>
    <row r="8640" spans="1:3" s="8" customFormat="1" x14ac:dyDescent="0.2">
      <c r="A8640" s="6" t="str">
        <f>"SAMD14"</f>
        <v>SAMD14</v>
      </c>
      <c r="B8640" s="6">
        <v>0.19080919080919001</v>
      </c>
      <c r="C8640" s="6">
        <v>0.38783826276601602</v>
      </c>
    </row>
    <row r="8641" spans="1:3" s="8" customFormat="1" x14ac:dyDescent="0.2">
      <c r="A8641" s="6" t="str">
        <f>"AC010501.2"</f>
        <v>AC010501.2</v>
      </c>
      <c r="B8641" s="6">
        <v>0.19080919080919001</v>
      </c>
      <c r="C8641" s="6">
        <v>0.38783826276601602</v>
      </c>
    </row>
    <row r="8642" spans="1:3" s="8" customFormat="1" x14ac:dyDescent="0.2">
      <c r="A8642" s="6" t="str">
        <f>"GP6"</f>
        <v>GP6</v>
      </c>
      <c r="B8642" s="6">
        <v>0.19080919080919001</v>
      </c>
      <c r="C8642" s="6">
        <v>0.38783826276601602</v>
      </c>
    </row>
    <row r="8643" spans="1:3" s="8" customFormat="1" x14ac:dyDescent="0.2">
      <c r="A8643" s="6" t="str">
        <f>"NIFK-AS1"</f>
        <v>NIFK-AS1</v>
      </c>
      <c r="B8643" s="6">
        <v>0.19080919080919001</v>
      </c>
      <c r="C8643" s="6">
        <v>0.38783826276601602</v>
      </c>
    </row>
    <row r="8644" spans="1:3" s="8" customFormat="1" x14ac:dyDescent="0.2">
      <c r="A8644" s="6" t="str">
        <f>"MTHFD1L"</f>
        <v>MTHFD1L</v>
      </c>
      <c r="B8644" s="6">
        <v>0.19080919080919001</v>
      </c>
      <c r="C8644" s="6">
        <v>0.38783826276601602</v>
      </c>
    </row>
    <row r="8645" spans="1:3" s="8" customFormat="1" x14ac:dyDescent="0.2">
      <c r="A8645" s="6" t="str">
        <f>"BTN3A3"</f>
        <v>BTN3A3</v>
      </c>
      <c r="B8645" s="6">
        <v>0.19080919080919001</v>
      </c>
      <c r="C8645" s="6">
        <v>0.38783826276601602</v>
      </c>
    </row>
    <row r="8646" spans="1:3" s="8" customFormat="1" x14ac:dyDescent="0.2">
      <c r="A8646" s="6" t="str">
        <f>"EPC1"</f>
        <v>EPC1</v>
      </c>
      <c r="B8646" s="6">
        <v>0.19080919080919001</v>
      </c>
      <c r="C8646" s="6">
        <v>0.38783826276601602</v>
      </c>
    </row>
    <row r="8647" spans="1:3" s="8" customFormat="1" x14ac:dyDescent="0.2">
      <c r="A8647" s="6" t="str">
        <f>"TMEM43"</f>
        <v>TMEM43</v>
      </c>
      <c r="B8647" s="6">
        <v>0.19080919080919001</v>
      </c>
      <c r="C8647" s="6">
        <v>0.38783826276601602</v>
      </c>
    </row>
    <row r="8648" spans="1:3" s="8" customFormat="1" x14ac:dyDescent="0.2">
      <c r="A8648" s="6" t="str">
        <f>"ATG4B"</f>
        <v>ATG4B</v>
      </c>
      <c r="B8648" s="6">
        <v>0.19080919080919001</v>
      </c>
      <c r="C8648" s="6">
        <v>0.38783826276601602</v>
      </c>
    </row>
    <row r="8649" spans="1:3" s="8" customFormat="1" x14ac:dyDescent="0.2">
      <c r="A8649" s="6" t="str">
        <f>"SYS1"</f>
        <v>SYS1</v>
      </c>
      <c r="B8649" s="6">
        <v>0.19080919080919001</v>
      </c>
      <c r="C8649" s="6">
        <v>0.38783826276601602</v>
      </c>
    </row>
    <row r="8650" spans="1:3" s="8" customFormat="1" x14ac:dyDescent="0.2">
      <c r="A8650" s="6" t="str">
        <f>"AMOT"</f>
        <v>AMOT</v>
      </c>
      <c r="B8650" s="6">
        <v>0.19080919080919001</v>
      </c>
      <c r="C8650" s="6">
        <v>0.38783826276601602</v>
      </c>
    </row>
    <row r="8651" spans="1:3" s="8" customFormat="1" x14ac:dyDescent="0.2">
      <c r="A8651" s="6" t="str">
        <f>"EPRS1"</f>
        <v>EPRS1</v>
      </c>
      <c r="B8651" s="6">
        <v>0.19080919080919001</v>
      </c>
      <c r="C8651" s="6">
        <v>0.38783826276601602</v>
      </c>
    </row>
    <row r="8652" spans="1:3" s="8" customFormat="1" x14ac:dyDescent="0.2">
      <c r="A8652" s="6" t="str">
        <f>"DCAF11"</f>
        <v>DCAF11</v>
      </c>
      <c r="B8652" s="6">
        <v>0.19080919080919001</v>
      </c>
      <c r="C8652" s="6">
        <v>0.38783826276601602</v>
      </c>
    </row>
    <row r="8653" spans="1:3" s="8" customFormat="1" x14ac:dyDescent="0.2">
      <c r="A8653" s="6" t="str">
        <f>"AC005540.1"</f>
        <v>AC005540.1</v>
      </c>
      <c r="B8653" s="6">
        <v>0.191</v>
      </c>
      <c r="C8653" s="6">
        <v>0.38804667822068101</v>
      </c>
    </row>
    <row r="8654" spans="1:3" s="8" customFormat="1" x14ac:dyDescent="0.2">
      <c r="A8654" s="6" t="str">
        <f>"ATG3"</f>
        <v>ATG3</v>
      </c>
      <c r="B8654" s="6">
        <v>0.191</v>
      </c>
      <c r="C8654" s="6">
        <v>0.38804667822068101</v>
      </c>
    </row>
    <row r="8655" spans="1:3" s="8" customFormat="1" x14ac:dyDescent="0.2">
      <c r="A8655" s="6" t="str">
        <f>"ITPK1"</f>
        <v>ITPK1</v>
      </c>
      <c r="B8655" s="6">
        <v>0.191</v>
      </c>
      <c r="C8655" s="6">
        <v>0.38804667822068101</v>
      </c>
    </row>
    <row r="8656" spans="1:3" s="8" customFormat="1" x14ac:dyDescent="0.2">
      <c r="A8656" s="6" t="str">
        <f>"CDC37"</f>
        <v>CDC37</v>
      </c>
      <c r="B8656" s="6">
        <v>0.191</v>
      </c>
      <c r="C8656" s="6">
        <v>0.38804667822068101</v>
      </c>
    </row>
    <row r="8657" spans="1:3" s="8" customFormat="1" x14ac:dyDescent="0.2">
      <c r="A8657" s="6" t="str">
        <f>"AL050403.2"</f>
        <v>AL050403.2</v>
      </c>
      <c r="B8657" s="6">
        <v>0.191808191808191</v>
      </c>
      <c r="C8657" s="6">
        <v>0.38874541779105998</v>
      </c>
    </row>
    <row r="8658" spans="1:3" s="8" customFormat="1" x14ac:dyDescent="0.2">
      <c r="A8658" s="6" t="str">
        <f>"AL365361.1"</f>
        <v>AL365361.1</v>
      </c>
      <c r="B8658" s="6">
        <v>0.191808191808191</v>
      </c>
      <c r="C8658" s="6">
        <v>0.38874541779105998</v>
      </c>
    </row>
    <row r="8659" spans="1:3" s="8" customFormat="1" x14ac:dyDescent="0.2">
      <c r="A8659" s="6" t="str">
        <f>"SEPTIN4"</f>
        <v>SEPTIN4</v>
      </c>
      <c r="B8659" s="6">
        <v>0.191808191808191</v>
      </c>
      <c r="C8659" s="6">
        <v>0.38874541779105998</v>
      </c>
    </row>
    <row r="8660" spans="1:3" s="8" customFormat="1" x14ac:dyDescent="0.2">
      <c r="A8660" s="6" t="str">
        <f>"AL121658.1"</f>
        <v>AL121658.1</v>
      </c>
      <c r="B8660" s="6">
        <v>0.191808191808191</v>
      </c>
      <c r="C8660" s="6">
        <v>0.38874541779105998</v>
      </c>
    </row>
    <row r="8661" spans="1:3" s="8" customFormat="1" x14ac:dyDescent="0.2">
      <c r="A8661" s="6" t="str">
        <f>"CLVS1"</f>
        <v>CLVS1</v>
      </c>
      <c r="B8661" s="6">
        <v>0.191808191808191</v>
      </c>
      <c r="C8661" s="6">
        <v>0.38874541779105998</v>
      </c>
    </row>
    <row r="8662" spans="1:3" s="8" customFormat="1" x14ac:dyDescent="0.2">
      <c r="A8662" s="6" t="str">
        <f>"LINGO1"</f>
        <v>LINGO1</v>
      </c>
      <c r="B8662" s="6">
        <v>0.191808191808191</v>
      </c>
      <c r="C8662" s="6">
        <v>0.38874541779105998</v>
      </c>
    </row>
    <row r="8663" spans="1:3" s="8" customFormat="1" x14ac:dyDescent="0.2">
      <c r="A8663" s="6" t="str">
        <f>"SOX10"</f>
        <v>SOX10</v>
      </c>
      <c r="B8663" s="6">
        <v>0.191808191808191</v>
      </c>
      <c r="C8663" s="6">
        <v>0.38874541779105998</v>
      </c>
    </row>
    <row r="8664" spans="1:3" s="8" customFormat="1" x14ac:dyDescent="0.2">
      <c r="A8664" s="6" t="str">
        <f>"AC239809.3"</f>
        <v>AC239809.3</v>
      </c>
      <c r="B8664" s="6">
        <v>0.191808191808191</v>
      </c>
      <c r="C8664" s="6">
        <v>0.38874541779105998</v>
      </c>
    </row>
    <row r="8665" spans="1:3" s="8" customFormat="1" x14ac:dyDescent="0.2">
      <c r="A8665" s="6" t="str">
        <f>"FOLR2"</f>
        <v>FOLR2</v>
      </c>
      <c r="B8665" s="6">
        <v>0.191808191808191</v>
      </c>
      <c r="C8665" s="6">
        <v>0.38874541779105998</v>
      </c>
    </row>
    <row r="8666" spans="1:3" s="8" customFormat="1" x14ac:dyDescent="0.2">
      <c r="A8666" s="6" t="str">
        <f>"MPPED2"</f>
        <v>MPPED2</v>
      </c>
      <c r="B8666" s="6">
        <v>0.191808191808191</v>
      </c>
      <c r="C8666" s="6">
        <v>0.38874541779105998</v>
      </c>
    </row>
    <row r="8667" spans="1:3" s="8" customFormat="1" x14ac:dyDescent="0.2">
      <c r="A8667" s="6" t="str">
        <f>"SLC6A16"</f>
        <v>SLC6A16</v>
      </c>
      <c r="B8667" s="6">
        <v>0.191808191808191</v>
      </c>
      <c r="C8667" s="6">
        <v>0.38874541779105998</v>
      </c>
    </row>
    <row r="8668" spans="1:3" s="8" customFormat="1" x14ac:dyDescent="0.2">
      <c r="A8668" s="6" t="str">
        <f>"ARHGAP31"</f>
        <v>ARHGAP31</v>
      </c>
      <c r="B8668" s="6">
        <v>0.191808191808191</v>
      </c>
      <c r="C8668" s="6">
        <v>0.38874541779105998</v>
      </c>
    </row>
    <row r="8669" spans="1:3" s="8" customFormat="1" x14ac:dyDescent="0.2">
      <c r="A8669" s="6" t="str">
        <f>"ZNF510"</f>
        <v>ZNF510</v>
      </c>
      <c r="B8669" s="6">
        <v>0.191808191808191</v>
      </c>
      <c r="C8669" s="6">
        <v>0.38874541779105998</v>
      </c>
    </row>
    <row r="8670" spans="1:3" s="8" customFormat="1" x14ac:dyDescent="0.2">
      <c r="A8670" s="6" t="str">
        <f>"PPP1R21"</f>
        <v>PPP1R21</v>
      </c>
      <c r="B8670" s="6">
        <v>0.191808191808191</v>
      </c>
      <c r="C8670" s="6">
        <v>0.38874541779105998</v>
      </c>
    </row>
    <row r="8671" spans="1:3" s="8" customFormat="1" x14ac:dyDescent="0.2">
      <c r="A8671" s="6" t="str">
        <f>"TEX9"</f>
        <v>TEX9</v>
      </c>
      <c r="B8671" s="6">
        <v>0.191808191808191</v>
      </c>
      <c r="C8671" s="6">
        <v>0.38874541779105998</v>
      </c>
    </row>
    <row r="8672" spans="1:3" s="8" customFormat="1" x14ac:dyDescent="0.2">
      <c r="A8672" s="6" t="str">
        <f>"UBE3C"</f>
        <v>UBE3C</v>
      </c>
      <c r="B8672" s="6">
        <v>0.191808191808191</v>
      </c>
      <c r="C8672" s="6">
        <v>0.38874541779105998</v>
      </c>
    </row>
    <row r="8673" spans="1:3" s="8" customFormat="1" x14ac:dyDescent="0.2">
      <c r="A8673" s="6" t="str">
        <f>"SLC37A1"</f>
        <v>SLC37A1</v>
      </c>
      <c r="B8673" s="6">
        <v>0.191808191808191</v>
      </c>
      <c r="C8673" s="6">
        <v>0.38874541779105998</v>
      </c>
    </row>
    <row r="8674" spans="1:3" s="8" customFormat="1" x14ac:dyDescent="0.2">
      <c r="A8674" s="6" t="str">
        <f>"TMED3"</f>
        <v>TMED3</v>
      </c>
      <c r="B8674" s="6">
        <v>0.191808191808191</v>
      </c>
      <c r="C8674" s="6">
        <v>0.38874541779105998</v>
      </c>
    </row>
    <row r="8675" spans="1:3" s="8" customFormat="1" x14ac:dyDescent="0.2">
      <c r="A8675" s="6" t="str">
        <f>"PTK2"</f>
        <v>PTK2</v>
      </c>
      <c r="B8675" s="6">
        <v>0.191808191808191</v>
      </c>
      <c r="C8675" s="6">
        <v>0.38874541779105998</v>
      </c>
    </row>
    <row r="8676" spans="1:3" s="8" customFormat="1" x14ac:dyDescent="0.2">
      <c r="A8676" s="6" t="str">
        <f>"YBX3"</f>
        <v>YBX3</v>
      </c>
      <c r="B8676" s="6">
        <v>0.191808191808191</v>
      </c>
      <c r="C8676" s="6">
        <v>0.38874541779105998</v>
      </c>
    </row>
    <row r="8677" spans="1:3" s="8" customFormat="1" x14ac:dyDescent="0.2">
      <c r="A8677" s="6" t="str">
        <f>"ERGIC3"</f>
        <v>ERGIC3</v>
      </c>
      <c r="B8677" s="6">
        <v>0.191808191808191</v>
      </c>
      <c r="C8677" s="6">
        <v>0.38874541779105998</v>
      </c>
    </row>
    <row r="8678" spans="1:3" s="8" customFormat="1" x14ac:dyDescent="0.2">
      <c r="A8678" s="6" t="str">
        <f>"CXXC4"</f>
        <v>CXXC4</v>
      </c>
      <c r="B8678" s="6">
        <v>0.192</v>
      </c>
      <c r="C8678" s="6">
        <v>0.389044480294998</v>
      </c>
    </row>
    <row r="8679" spans="1:3" s="8" customFormat="1" x14ac:dyDescent="0.2">
      <c r="A8679" s="6" t="str">
        <f>"ANKFN1"</f>
        <v>ANKFN1</v>
      </c>
      <c r="B8679" s="6">
        <v>0.192</v>
      </c>
      <c r="C8679" s="6">
        <v>0.389044480294998</v>
      </c>
    </row>
    <row r="8680" spans="1:3" s="8" customFormat="1" x14ac:dyDescent="0.2">
      <c r="A8680" s="6" t="str">
        <f>"IGHV4-39"</f>
        <v>IGHV4-39</v>
      </c>
      <c r="B8680" s="6">
        <v>0.192807192807192</v>
      </c>
      <c r="C8680" s="6">
        <v>0.38978175193397002</v>
      </c>
    </row>
    <row r="8681" spans="1:3" s="8" customFormat="1" x14ac:dyDescent="0.2">
      <c r="A8681" s="6" t="str">
        <f>"AC018755.4"</f>
        <v>AC018755.4</v>
      </c>
      <c r="B8681" s="6">
        <v>0.192807192807192</v>
      </c>
      <c r="C8681" s="6">
        <v>0.38978175193397002</v>
      </c>
    </row>
    <row r="8682" spans="1:3" s="8" customFormat="1" x14ac:dyDescent="0.2">
      <c r="A8682" s="6" t="str">
        <f>"LINC01266"</f>
        <v>LINC01266</v>
      </c>
      <c r="B8682" s="6">
        <v>0.192807192807192</v>
      </c>
      <c r="C8682" s="6">
        <v>0.38978175193397002</v>
      </c>
    </row>
    <row r="8683" spans="1:3" s="8" customFormat="1" x14ac:dyDescent="0.2">
      <c r="A8683" s="6" t="str">
        <f>"SPATA25"</f>
        <v>SPATA25</v>
      </c>
      <c r="B8683" s="6">
        <v>0.192807192807192</v>
      </c>
      <c r="C8683" s="6">
        <v>0.38978175193397002</v>
      </c>
    </row>
    <row r="8684" spans="1:3" s="8" customFormat="1" x14ac:dyDescent="0.2">
      <c r="A8684" s="6" t="str">
        <f>"FAM24B"</f>
        <v>FAM24B</v>
      </c>
      <c r="B8684" s="6">
        <v>0.19257773319959801</v>
      </c>
      <c r="C8684" s="6">
        <v>0.38978175193397002</v>
      </c>
    </row>
    <row r="8685" spans="1:3" s="8" customFormat="1" x14ac:dyDescent="0.2">
      <c r="A8685" s="6" t="str">
        <f>"SIGLEC12"</f>
        <v>SIGLEC12</v>
      </c>
      <c r="B8685" s="6">
        <v>0.192807192807192</v>
      </c>
      <c r="C8685" s="6">
        <v>0.38978175193397002</v>
      </c>
    </row>
    <row r="8686" spans="1:3" s="8" customFormat="1" x14ac:dyDescent="0.2">
      <c r="A8686" s="6" t="str">
        <f>"SH2D1A"</f>
        <v>SH2D1A</v>
      </c>
      <c r="B8686" s="6">
        <v>0.192807192807192</v>
      </c>
      <c r="C8686" s="6">
        <v>0.38978175193397002</v>
      </c>
    </row>
    <row r="8687" spans="1:3" s="8" customFormat="1" x14ac:dyDescent="0.2">
      <c r="A8687" s="6" t="str">
        <f>"KRT39"</f>
        <v>KRT39</v>
      </c>
      <c r="B8687" s="6">
        <v>0.192807192807192</v>
      </c>
      <c r="C8687" s="6">
        <v>0.38978175193397002</v>
      </c>
    </row>
    <row r="8688" spans="1:3" s="8" customFormat="1" x14ac:dyDescent="0.2">
      <c r="A8688" s="6" t="str">
        <f>"AC008163.1"</f>
        <v>AC008163.1</v>
      </c>
      <c r="B8688" s="6">
        <v>0.192807192807192</v>
      </c>
      <c r="C8688" s="6">
        <v>0.38978175193397002</v>
      </c>
    </row>
    <row r="8689" spans="1:3" s="8" customFormat="1" x14ac:dyDescent="0.2">
      <c r="A8689" s="6" t="str">
        <f>"KIAA0895LP1"</f>
        <v>KIAA0895LP1</v>
      </c>
      <c r="B8689" s="6">
        <v>0.192807192807192</v>
      </c>
      <c r="C8689" s="6">
        <v>0.38978175193397002</v>
      </c>
    </row>
    <row r="8690" spans="1:3" s="8" customFormat="1" x14ac:dyDescent="0.2">
      <c r="A8690" s="6" t="str">
        <f>"LINC02688"</f>
        <v>LINC02688</v>
      </c>
      <c r="B8690" s="6">
        <v>0.192807192807192</v>
      </c>
      <c r="C8690" s="6">
        <v>0.38978175193397002</v>
      </c>
    </row>
    <row r="8691" spans="1:3" s="8" customFormat="1" x14ac:dyDescent="0.2">
      <c r="A8691" s="6" t="str">
        <f>"BCL2"</f>
        <v>BCL2</v>
      </c>
      <c r="B8691" s="6">
        <v>0.192807192807192</v>
      </c>
      <c r="C8691" s="6">
        <v>0.38978175193397002</v>
      </c>
    </row>
    <row r="8692" spans="1:3" s="8" customFormat="1" x14ac:dyDescent="0.2">
      <c r="A8692" s="6" t="str">
        <f>"GPHN"</f>
        <v>GPHN</v>
      </c>
      <c r="B8692" s="6">
        <v>0.192807192807192</v>
      </c>
      <c r="C8692" s="6">
        <v>0.38978175193397002</v>
      </c>
    </row>
    <row r="8693" spans="1:3" s="8" customFormat="1" x14ac:dyDescent="0.2">
      <c r="A8693" s="6" t="str">
        <f>"PPIP5K2"</f>
        <v>PPIP5K2</v>
      </c>
      <c r="B8693" s="6">
        <v>0.192807192807192</v>
      </c>
      <c r="C8693" s="6">
        <v>0.38978175193397002</v>
      </c>
    </row>
    <row r="8694" spans="1:3" s="8" customFormat="1" x14ac:dyDescent="0.2">
      <c r="A8694" s="6" t="str">
        <f>"AXIN1"</f>
        <v>AXIN1</v>
      </c>
      <c r="B8694" s="6">
        <v>0.192807192807192</v>
      </c>
      <c r="C8694" s="6">
        <v>0.38978175193397002</v>
      </c>
    </row>
    <row r="8695" spans="1:3" s="8" customFormat="1" x14ac:dyDescent="0.2">
      <c r="A8695" s="6" t="str">
        <f>"GNPNAT1"</f>
        <v>GNPNAT1</v>
      </c>
      <c r="B8695" s="6">
        <v>0.192807192807192</v>
      </c>
      <c r="C8695" s="6">
        <v>0.38978175193397002</v>
      </c>
    </row>
    <row r="8696" spans="1:3" s="8" customFormat="1" x14ac:dyDescent="0.2">
      <c r="A8696" s="6" t="str">
        <f>"PANK3"</f>
        <v>PANK3</v>
      </c>
      <c r="B8696" s="6">
        <v>0.192807192807192</v>
      </c>
      <c r="C8696" s="6">
        <v>0.38978175193397002</v>
      </c>
    </row>
    <row r="8697" spans="1:3" s="8" customFormat="1" x14ac:dyDescent="0.2">
      <c r="A8697" s="6" t="str">
        <f>"PNPLA6"</f>
        <v>PNPLA6</v>
      </c>
      <c r="B8697" s="6">
        <v>0.192807192807192</v>
      </c>
      <c r="C8697" s="6">
        <v>0.38978175193397002</v>
      </c>
    </row>
    <row r="8698" spans="1:3" s="8" customFormat="1" x14ac:dyDescent="0.2">
      <c r="A8698" s="6" t="str">
        <f>"GDE1"</f>
        <v>GDE1</v>
      </c>
      <c r="B8698" s="6">
        <v>0.192807192807192</v>
      </c>
      <c r="C8698" s="6">
        <v>0.38978175193397002</v>
      </c>
    </row>
    <row r="8699" spans="1:3" s="8" customFormat="1" x14ac:dyDescent="0.2">
      <c r="A8699" s="6" t="str">
        <f>"PSCA"</f>
        <v>PSCA</v>
      </c>
      <c r="B8699" s="6">
        <v>0.192807192807192</v>
      </c>
      <c r="C8699" s="6">
        <v>0.38978175193397002</v>
      </c>
    </row>
    <row r="8700" spans="1:3" s="8" customFormat="1" x14ac:dyDescent="0.2">
      <c r="A8700" s="6" t="str">
        <f>"SLC6A3"</f>
        <v>SLC6A3</v>
      </c>
      <c r="B8700" s="6">
        <v>0.19380619380619299</v>
      </c>
      <c r="C8700" s="6">
        <v>0.390678449144573</v>
      </c>
    </row>
    <row r="8701" spans="1:3" s="8" customFormat="1" x14ac:dyDescent="0.2">
      <c r="A8701" s="6" t="str">
        <f>"AC080038.3"</f>
        <v>AC080038.3</v>
      </c>
      <c r="B8701" s="6">
        <v>0.19351570415400199</v>
      </c>
      <c r="C8701" s="6">
        <v>0.390678449144573</v>
      </c>
    </row>
    <row r="8702" spans="1:3" s="8" customFormat="1" x14ac:dyDescent="0.2">
      <c r="A8702" s="6" t="str">
        <f>"RRH"</f>
        <v>RRH</v>
      </c>
      <c r="B8702" s="6">
        <v>0.19380619380619299</v>
      </c>
      <c r="C8702" s="6">
        <v>0.390678449144573</v>
      </c>
    </row>
    <row r="8703" spans="1:3" s="8" customFormat="1" x14ac:dyDescent="0.2">
      <c r="A8703" s="6" t="str">
        <f>"AC073172.1"</f>
        <v>AC073172.1</v>
      </c>
      <c r="B8703" s="6">
        <v>0.19380619380619299</v>
      </c>
      <c r="C8703" s="6">
        <v>0.390678449144573</v>
      </c>
    </row>
    <row r="8704" spans="1:3" s="8" customFormat="1" x14ac:dyDescent="0.2">
      <c r="A8704" s="6" t="str">
        <f>"MATN4"</f>
        <v>MATN4</v>
      </c>
      <c r="B8704" s="6">
        <v>0.193775100401606</v>
      </c>
      <c r="C8704" s="6">
        <v>0.390678449144573</v>
      </c>
    </row>
    <row r="8705" spans="1:3" s="8" customFormat="1" x14ac:dyDescent="0.2">
      <c r="A8705" s="6" t="str">
        <f>"FAM230H"</f>
        <v>FAM230H</v>
      </c>
      <c r="B8705" s="6">
        <v>0.19380619380619299</v>
      </c>
      <c r="C8705" s="6">
        <v>0.390678449144573</v>
      </c>
    </row>
    <row r="8706" spans="1:3" s="8" customFormat="1" x14ac:dyDescent="0.2">
      <c r="A8706" s="6" t="str">
        <f>"AC073264.3"</f>
        <v>AC073264.3</v>
      </c>
      <c r="B8706" s="6">
        <v>0.193446088794926</v>
      </c>
      <c r="C8706" s="6">
        <v>0.390678449144573</v>
      </c>
    </row>
    <row r="8707" spans="1:3" s="8" customFormat="1" x14ac:dyDescent="0.2">
      <c r="A8707" s="6" t="str">
        <f>"AL117336.2"</f>
        <v>AL117336.2</v>
      </c>
      <c r="B8707" s="6">
        <v>0.19380619380619299</v>
      </c>
      <c r="C8707" s="6">
        <v>0.390678449144573</v>
      </c>
    </row>
    <row r="8708" spans="1:3" s="8" customFormat="1" x14ac:dyDescent="0.2">
      <c r="A8708" s="6" t="str">
        <f>"NKAPP1"</f>
        <v>NKAPP1</v>
      </c>
      <c r="B8708" s="6">
        <v>0.19380619380619299</v>
      </c>
      <c r="C8708" s="6">
        <v>0.390678449144573</v>
      </c>
    </row>
    <row r="8709" spans="1:3" s="8" customFormat="1" x14ac:dyDescent="0.2">
      <c r="A8709" s="6" t="str">
        <f>"AC103957.2"</f>
        <v>AC103957.2</v>
      </c>
      <c r="B8709" s="6">
        <v>0.19380619380619299</v>
      </c>
      <c r="C8709" s="6">
        <v>0.390678449144573</v>
      </c>
    </row>
    <row r="8710" spans="1:3" s="8" customFormat="1" x14ac:dyDescent="0.2">
      <c r="A8710" s="6" t="str">
        <f>"CEP72"</f>
        <v>CEP72</v>
      </c>
      <c r="B8710" s="6">
        <v>0.19380619380619299</v>
      </c>
      <c r="C8710" s="6">
        <v>0.390678449144573</v>
      </c>
    </row>
    <row r="8711" spans="1:3" s="8" customFormat="1" x14ac:dyDescent="0.2">
      <c r="A8711" s="6" t="str">
        <f>"ZNF383"</f>
        <v>ZNF383</v>
      </c>
      <c r="B8711" s="6">
        <v>0.19380619380619299</v>
      </c>
      <c r="C8711" s="6">
        <v>0.390678449144573</v>
      </c>
    </row>
    <row r="8712" spans="1:3" s="8" customFormat="1" x14ac:dyDescent="0.2">
      <c r="A8712" s="6" t="str">
        <f>"PPM1D"</f>
        <v>PPM1D</v>
      </c>
      <c r="B8712" s="6">
        <v>0.19380619380619299</v>
      </c>
      <c r="C8712" s="6">
        <v>0.390678449144573</v>
      </c>
    </row>
    <row r="8713" spans="1:3" s="8" customFormat="1" x14ac:dyDescent="0.2">
      <c r="A8713" s="6" t="str">
        <f>"PLA2G15"</f>
        <v>PLA2G15</v>
      </c>
      <c r="B8713" s="6">
        <v>0.19380619380619299</v>
      </c>
      <c r="C8713" s="6">
        <v>0.390678449144573</v>
      </c>
    </row>
    <row r="8714" spans="1:3" s="8" customFormat="1" x14ac:dyDescent="0.2">
      <c r="A8714" s="6" t="str">
        <f>"PTS"</f>
        <v>PTS</v>
      </c>
      <c r="B8714" s="6">
        <v>0.19380619380619299</v>
      </c>
      <c r="C8714" s="6">
        <v>0.390678449144573</v>
      </c>
    </row>
    <row r="8715" spans="1:3" s="8" customFormat="1" x14ac:dyDescent="0.2">
      <c r="A8715" s="6" t="str">
        <f>"TELO2"</f>
        <v>TELO2</v>
      </c>
      <c r="B8715" s="6">
        <v>0.19380619380619299</v>
      </c>
      <c r="C8715" s="6">
        <v>0.390678449144573</v>
      </c>
    </row>
    <row r="8716" spans="1:3" s="8" customFormat="1" x14ac:dyDescent="0.2">
      <c r="A8716" s="6" t="str">
        <f>"CBX1"</f>
        <v>CBX1</v>
      </c>
      <c r="B8716" s="6">
        <v>0.19380619380619299</v>
      </c>
      <c r="C8716" s="6">
        <v>0.390678449144573</v>
      </c>
    </row>
    <row r="8717" spans="1:3" s="8" customFormat="1" x14ac:dyDescent="0.2">
      <c r="A8717" s="6" t="str">
        <f>"MPDZ"</f>
        <v>MPDZ</v>
      </c>
      <c r="B8717" s="6">
        <v>0.19380619380619299</v>
      </c>
      <c r="C8717" s="6">
        <v>0.390678449144573</v>
      </c>
    </row>
    <row r="8718" spans="1:3" s="8" customFormat="1" x14ac:dyDescent="0.2">
      <c r="A8718" s="6" t="str">
        <f>"PLD2"</f>
        <v>PLD2</v>
      </c>
      <c r="B8718" s="6">
        <v>0.19380619380619299</v>
      </c>
      <c r="C8718" s="6">
        <v>0.390678449144573</v>
      </c>
    </row>
    <row r="8719" spans="1:3" s="8" customFormat="1" x14ac:dyDescent="0.2">
      <c r="A8719" s="6" t="str">
        <f>"TMEM254"</f>
        <v>TMEM254</v>
      </c>
      <c r="B8719" s="6">
        <v>0.19380619380619299</v>
      </c>
      <c r="C8719" s="6">
        <v>0.390678449144573</v>
      </c>
    </row>
    <row r="8720" spans="1:3" s="8" customFormat="1" x14ac:dyDescent="0.2">
      <c r="A8720" s="6" t="str">
        <f>"AGR3"</f>
        <v>AGR3</v>
      </c>
      <c r="B8720" s="6">
        <v>0.19380619380619299</v>
      </c>
      <c r="C8720" s="6">
        <v>0.390678449144573</v>
      </c>
    </row>
    <row r="8721" spans="1:3" s="8" customFormat="1" x14ac:dyDescent="0.2">
      <c r="A8721" s="6" t="str">
        <f>"RBM10"</f>
        <v>RBM10</v>
      </c>
      <c r="B8721" s="6">
        <v>0.19380619380619299</v>
      </c>
      <c r="C8721" s="6">
        <v>0.390678449144573</v>
      </c>
    </row>
    <row r="8722" spans="1:3" s="8" customFormat="1" x14ac:dyDescent="0.2">
      <c r="A8722" s="6" t="str">
        <f>"PRR12"</f>
        <v>PRR12</v>
      </c>
      <c r="B8722" s="6">
        <v>0.19380619380619299</v>
      </c>
      <c r="C8722" s="6">
        <v>0.390678449144573</v>
      </c>
    </row>
    <row r="8723" spans="1:3" s="8" customFormat="1" x14ac:dyDescent="0.2">
      <c r="A8723" s="6" t="str">
        <f>"NDUFA1"</f>
        <v>NDUFA1</v>
      </c>
      <c r="B8723" s="6">
        <v>0.19380619380619299</v>
      </c>
      <c r="C8723" s="6">
        <v>0.390678449144573</v>
      </c>
    </row>
    <row r="8724" spans="1:3" s="8" customFormat="1" x14ac:dyDescent="0.2">
      <c r="A8724" s="6" t="str">
        <f>"AK1"</f>
        <v>AK1</v>
      </c>
      <c r="B8724" s="6">
        <v>0.19380619380619299</v>
      </c>
      <c r="C8724" s="6">
        <v>0.390678449144573</v>
      </c>
    </row>
    <row r="8725" spans="1:3" s="8" customFormat="1" x14ac:dyDescent="0.2">
      <c r="A8725" s="6" t="str">
        <f>"AC015871.6"</f>
        <v>AC015871.6</v>
      </c>
      <c r="B8725" s="6">
        <v>0.19480519480519401</v>
      </c>
      <c r="C8725" s="6">
        <v>0.392018144364218</v>
      </c>
    </row>
    <row r="8726" spans="1:3" s="8" customFormat="1" x14ac:dyDescent="0.2">
      <c r="A8726" s="6" t="str">
        <f>"LINC01277"</f>
        <v>LINC01277</v>
      </c>
      <c r="B8726" s="6">
        <v>0.19480519480519401</v>
      </c>
      <c r="C8726" s="6">
        <v>0.392018144364218</v>
      </c>
    </row>
    <row r="8727" spans="1:3" s="8" customFormat="1" x14ac:dyDescent="0.2">
      <c r="A8727" s="6" t="str">
        <f>"AC026362.1"</f>
        <v>AC026362.1</v>
      </c>
      <c r="B8727" s="6">
        <v>0.19480519480519401</v>
      </c>
      <c r="C8727" s="6">
        <v>0.392018144364218</v>
      </c>
    </row>
    <row r="8728" spans="1:3" s="8" customFormat="1" x14ac:dyDescent="0.2">
      <c r="A8728" s="6" t="str">
        <f>"ADAM32"</f>
        <v>ADAM32</v>
      </c>
      <c r="B8728" s="6">
        <v>0.19480519480519401</v>
      </c>
      <c r="C8728" s="6">
        <v>0.392018144364218</v>
      </c>
    </row>
    <row r="8729" spans="1:3" s="8" customFormat="1" x14ac:dyDescent="0.2">
      <c r="A8729" s="6" t="str">
        <f>"GDF11"</f>
        <v>GDF11</v>
      </c>
      <c r="B8729" s="6">
        <v>0.19480519480519401</v>
      </c>
      <c r="C8729" s="6">
        <v>0.392018144364218</v>
      </c>
    </row>
    <row r="8730" spans="1:3" s="8" customFormat="1" x14ac:dyDescent="0.2">
      <c r="A8730" s="6" t="str">
        <f>"AP4S1"</f>
        <v>AP4S1</v>
      </c>
      <c r="B8730" s="6">
        <v>0.19480519480519401</v>
      </c>
      <c r="C8730" s="6">
        <v>0.392018144364218</v>
      </c>
    </row>
    <row r="8731" spans="1:3" s="8" customFormat="1" x14ac:dyDescent="0.2">
      <c r="A8731" s="6" t="str">
        <f>"C1orf56"</f>
        <v>C1orf56</v>
      </c>
      <c r="B8731" s="6">
        <v>0.19480519480519401</v>
      </c>
      <c r="C8731" s="6">
        <v>0.392018144364218</v>
      </c>
    </row>
    <row r="8732" spans="1:3" s="8" customFormat="1" x14ac:dyDescent="0.2">
      <c r="A8732" s="6" t="str">
        <f>"THBS3"</f>
        <v>THBS3</v>
      </c>
      <c r="B8732" s="6">
        <v>0.19480519480519401</v>
      </c>
      <c r="C8732" s="6">
        <v>0.392018144364218</v>
      </c>
    </row>
    <row r="8733" spans="1:3" s="8" customFormat="1" x14ac:dyDescent="0.2">
      <c r="A8733" s="6" t="str">
        <f>"ZNF415"</f>
        <v>ZNF415</v>
      </c>
      <c r="B8733" s="6">
        <v>0.19480519480519401</v>
      </c>
      <c r="C8733" s="6">
        <v>0.392018144364218</v>
      </c>
    </row>
    <row r="8734" spans="1:3" s="8" customFormat="1" x14ac:dyDescent="0.2">
      <c r="A8734" s="6" t="str">
        <f>"ZHX2"</f>
        <v>ZHX2</v>
      </c>
      <c r="B8734" s="6">
        <v>0.19480519480519401</v>
      </c>
      <c r="C8734" s="6">
        <v>0.392018144364218</v>
      </c>
    </row>
    <row r="8735" spans="1:3" s="8" customFormat="1" x14ac:dyDescent="0.2">
      <c r="A8735" s="6" t="str">
        <f>"ZNF644"</f>
        <v>ZNF644</v>
      </c>
      <c r="B8735" s="6">
        <v>0.19480519480519401</v>
      </c>
      <c r="C8735" s="6">
        <v>0.392018144364218</v>
      </c>
    </row>
    <row r="8736" spans="1:3" s="8" customFormat="1" x14ac:dyDescent="0.2">
      <c r="A8736" s="6" t="str">
        <f>"PKD1P1"</f>
        <v>PKD1P1</v>
      </c>
      <c r="B8736" s="6">
        <v>0.19480519480519401</v>
      </c>
      <c r="C8736" s="6">
        <v>0.392018144364218</v>
      </c>
    </row>
    <row r="8737" spans="1:3" s="8" customFormat="1" x14ac:dyDescent="0.2">
      <c r="A8737" s="6" t="str">
        <f>"TKFC"</f>
        <v>TKFC</v>
      </c>
      <c r="B8737" s="6">
        <v>0.19480519480519401</v>
      </c>
      <c r="C8737" s="6">
        <v>0.392018144364218</v>
      </c>
    </row>
    <row r="8738" spans="1:3" s="8" customFormat="1" x14ac:dyDescent="0.2">
      <c r="A8738" s="6" t="str">
        <f>"PAM"</f>
        <v>PAM</v>
      </c>
      <c r="B8738" s="6">
        <v>0.19480519480519401</v>
      </c>
      <c r="C8738" s="6">
        <v>0.392018144364218</v>
      </c>
    </row>
    <row r="8739" spans="1:3" s="8" customFormat="1" x14ac:dyDescent="0.2">
      <c r="A8739" s="6" t="str">
        <f>"ANAPC5"</f>
        <v>ANAPC5</v>
      </c>
      <c r="B8739" s="6">
        <v>0.19480519480519401</v>
      </c>
      <c r="C8739" s="6">
        <v>0.392018144364218</v>
      </c>
    </row>
    <row r="8740" spans="1:3" s="8" customFormat="1" x14ac:dyDescent="0.2">
      <c r="A8740" s="6" t="str">
        <f>"CLDN16"</f>
        <v>CLDN16</v>
      </c>
      <c r="B8740" s="6">
        <v>0.19500000000000001</v>
      </c>
      <c r="C8740" s="6">
        <v>0.39236525918297199</v>
      </c>
    </row>
    <row r="8741" spans="1:3" s="8" customFormat="1" x14ac:dyDescent="0.2">
      <c r="A8741" s="6" t="str">
        <f>"AC108704.2"</f>
        <v>AC108704.2</v>
      </c>
      <c r="B8741" s="6">
        <v>0.195804195804195</v>
      </c>
      <c r="C8741" s="6">
        <v>0.39326338995099702</v>
      </c>
    </row>
    <row r="8742" spans="1:3" s="8" customFormat="1" x14ac:dyDescent="0.2">
      <c r="A8742" s="6" t="str">
        <f>"CR382287.1"</f>
        <v>CR382287.1</v>
      </c>
      <c r="B8742" s="6">
        <v>0.195804195804195</v>
      </c>
      <c r="C8742" s="6">
        <v>0.39326338995099702</v>
      </c>
    </row>
    <row r="8743" spans="1:3" s="8" customFormat="1" x14ac:dyDescent="0.2">
      <c r="A8743" s="6" t="str">
        <f>"FTH1P8"</f>
        <v>FTH1P8</v>
      </c>
      <c r="B8743" s="6">
        <v>0.195804195804195</v>
      </c>
      <c r="C8743" s="6">
        <v>0.39326338995099702</v>
      </c>
    </row>
    <row r="8744" spans="1:3" s="8" customFormat="1" x14ac:dyDescent="0.2">
      <c r="A8744" s="6" t="str">
        <f>"AL391005.1"</f>
        <v>AL391005.1</v>
      </c>
      <c r="B8744" s="6">
        <v>0.195804195804195</v>
      </c>
      <c r="C8744" s="6">
        <v>0.39326338995099702</v>
      </c>
    </row>
    <row r="8745" spans="1:3" s="8" customFormat="1" x14ac:dyDescent="0.2">
      <c r="A8745" s="6" t="str">
        <f>"RAB3IL1"</f>
        <v>RAB3IL1</v>
      </c>
      <c r="B8745" s="6">
        <v>0.195804195804195</v>
      </c>
      <c r="C8745" s="6">
        <v>0.39326338995099702</v>
      </c>
    </row>
    <row r="8746" spans="1:3" s="8" customFormat="1" x14ac:dyDescent="0.2">
      <c r="A8746" s="6" t="str">
        <f>"AC017116.2"</f>
        <v>AC017116.2</v>
      </c>
      <c r="B8746" s="6">
        <v>0.195804195804195</v>
      </c>
      <c r="C8746" s="6">
        <v>0.39326338995099702</v>
      </c>
    </row>
    <row r="8747" spans="1:3" s="8" customFormat="1" x14ac:dyDescent="0.2">
      <c r="A8747" s="6" t="str">
        <f>"PTPRO"</f>
        <v>PTPRO</v>
      </c>
      <c r="B8747" s="6">
        <v>0.195804195804195</v>
      </c>
      <c r="C8747" s="6">
        <v>0.39326338995099702</v>
      </c>
    </row>
    <row r="8748" spans="1:3" s="8" customFormat="1" x14ac:dyDescent="0.2">
      <c r="A8748" s="6" t="str">
        <f>"RUFY4"</f>
        <v>RUFY4</v>
      </c>
      <c r="B8748" s="6">
        <v>0.195804195804195</v>
      </c>
      <c r="C8748" s="6">
        <v>0.39326338995099702</v>
      </c>
    </row>
    <row r="8749" spans="1:3" s="8" customFormat="1" x14ac:dyDescent="0.2">
      <c r="A8749" s="6" t="str">
        <f>"CACNA2D4"</f>
        <v>CACNA2D4</v>
      </c>
      <c r="B8749" s="6">
        <v>0.195804195804195</v>
      </c>
      <c r="C8749" s="6">
        <v>0.39326338995099702</v>
      </c>
    </row>
    <row r="8750" spans="1:3" s="8" customFormat="1" x14ac:dyDescent="0.2">
      <c r="A8750" s="6" t="str">
        <f>"C16orf46"</f>
        <v>C16orf46</v>
      </c>
      <c r="B8750" s="6">
        <v>0.195804195804195</v>
      </c>
      <c r="C8750" s="6">
        <v>0.39326338995099702</v>
      </c>
    </row>
    <row r="8751" spans="1:3" s="8" customFormat="1" x14ac:dyDescent="0.2">
      <c r="A8751" s="6" t="str">
        <f>"SMPDL3B"</f>
        <v>SMPDL3B</v>
      </c>
      <c r="B8751" s="6">
        <v>0.195804195804195</v>
      </c>
      <c r="C8751" s="6">
        <v>0.39326338995099702</v>
      </c>
    </row>
    <row r="8752" spans="1:3" s="8" customFormat="1" x14ac:dyDescent="0.2">
      <c r="A8752" s="6" t="str">
        <f>"TRIM62"</f>
        <v>TRIM62</v>
      </c>
      <c r="B8752" s="6">
        <v>0.195804195804195</v>
      </c>
      <c r="C8752" s="6">
        <v>0.39326338995099702</v>
      </c>
    </row>
    <row r="8753" spans="1:3" s="8" customFormat="1" x14ac:dyDescent="0.2">
      <c r="A8753" s="6" t="str">
        <f>"TESK1"</f>
        <v>TESK1</v>
      </c>
      <c r="B8753" s="6">
        <v>0.195804195804195</v>
      </c>
      <c r="C8753" s="6">
        <v>0.39326338995099702</v>
      </c>
    </row>
    <row r="8754" spans="1:3" s="8" customFormat="1" x14ac:dyDescent="0.2">
      <c r="A8754" s="6" t="str">
        <f>"TRIP6"</f>
        <v>TRIP6</v>
      </c>
      <c r="B8754" s="6">
        <v>0.195804195804195</v>
      </c>
      <c r="C8754" s="6">
        <v>0.39326338995099702</v>
      </c>
    </row>
    <row r="8755" spans="1:3" s="8" customFormat="1" x14ac:dyDescent="0.2">
      <c r="A8755" s="6" t="str">
        <f>"STK38"</f>
        <v>STK38</v>
      </c>
      <c r="B8755" s="6">
        <v>0.195804195804195</v>
      </c>
      <c r="C8755" s="6">
        <v>0.39326338995099702</v>
      </c>
    </row>
    <row r="8756" spans="1:3" s="8" customFormat="1" x14ac:dyDescent="0.2">
      <c r="A8756" s="6" t="str">
        <f>"SUMF2"</f>
        <v>SUMF2</v>
      </c>
      <c r="B8756" s="6">
        <v>0.195804195804195</v>
      </c>
      <c r="C8756" s="6">
        <v>0.39326338995099702</v>
      </c>
    </row>
    <row r="8757" spans="1:3" s="8" customFormat="1" x14ac:dyDescent="0.2">
      <c r="A8757" s="6" t="str">
        <f>"AC024560.5"</f>
        <v>AC024560.5</v>
      </c>
      <c r="B8757" s="6">
        <v>0.19585492227979201</v>
      </c>
      <c r="C8757" s="6">
        <v>0.39332034643306002</v>
      </c>
    </row>
    <row r="8758" spans="1:3" s="8" customFormat="1" x14ac:dyDescent="0.2">
      <c r="A8758" s="6" t="str">
        <f>"LINC00871"</f>
        <v>LINC00871</v>
      </c>
      <c r="B8758" s="6">
        <v>0.196803196803196</v>
      </c>
      <c r="C8758" s="6">
        <v>0.394279071731504</v>
      </c>
    </row>
    <row r="8759" spans="1:3" s="8" customFormat="1" x14ac:dyDescent="0.2">
      <c r="A8759" s="6" t="str">
        <f>"AC090912.1"</f>
        <v>AC090912.1</v>
      </c>
      <c r="B8759" s="6">
        <v>0.19678714859437699</v>
      </c>
      <c r="C8759" s="6">
        <v>0.394279071731504</v>
      </c>
    </row>
    <row r="8760" spans="1:3" s="8" customFormat="1" x14ac:dyDescent="0.2">
      <c r="A8760" s="6" t="str">
        <f>"IGHV3-30"</f>
        <v>IGHV3-30</v>
      </c>
      <c r="B8760" s="6">
        <v>0.196803196803196</v>
      </c>
      <c r="C8760" s="6">
        <v>0.394279071731504</v>
      </c>
    </row>
    <row r="8761" spans="1:3" s="8" customFormat="1" x14ac:dyDescent="0.2">
      <c r="A8761" s="6" t="str">
        <f>"AL136982.1"</f>
        <v>AL136982.1</v>
      </c>
      <c r="B8761" s="6">
        <v>0.196803196803196</v>
      </c>
      <c r="C8761" s="6">
        <v>0.394279071731504</v>
      </c>
    </row>
    <row r="8762" spans="1:3" s="8" customFormat="1" x14ac:dyDescent="0.2">
      <c r="A8762" s="6" t="str">
        <f>"EFCAB5"</f>
        <v>EFCAB5</v>
      </c>
      <c r="B8762" s="6">
        <v>0.196803196803196</v>
      </c>
      <c r="C8762" s="6">
        <v>0.394279071731504</v>
      </c>
    </row>
    <row r="8763" spans="1:3" s="8" customFormat="1" x14ac:dyDescent="0.2">
      <c r="A8763" s="6" t="str">
        <f>"DIAPH3"</f>
        <v>DIAPH3</v>
      </c>
      <c r="B8763" s="6">
        <v>0.196803196803196</v>
      </c>
      <c r="C8763" s="6">
        <v>0.394279071731504</v>
      </c>
    </row>
    <row r="8764" spans="1:3" s="8" customFormat="1" x14ac:dyDescent="0.2">
      <c r="A8764" s="6" t="str">
        <f>"PGBD4"</f>
        <v>PGBD4</v>
      </c>
      <c r="B8764" s="6">
        <v>0.196803196803196</v>
      </c>
      <c r="C8764" s="6">
        <v>0.394279071731504</v>
      </c>
    </row>
    <row r="8765" spans="1:3" s="8" customFormat="1" x14ac:dyDescent="0.2">
      <c r="A8765" s="6" t="str">
        <f>"OGFRP1"</f>
        <v>OGFRP1</v>
      </c>
      <c r="B8765" s="6">
        <v>0.196803196803196</v>
      </c>
      <c r="C8765" s="6">
        <v>0.394279071731504</v>
      </c>
    </row>
    <row r="8766" spans="1:3" s="8" customFormat="1" x14ac:dyDescent="0.2">
      <c r="A8766" s="6" t="str">
        <f>"OR4F17"</f>
        <v>OR4F17</v>
      </c>
      <c r="B8766" s="6">
        <v>0.196803196803196</v>
      </c>
      <c r="C8766" s="6">
        <v>0.394279071731504</v>
      </c>
    </row>
    <row r="8767" spans="1:3" s="8" customFormat="1" x14ac:dyDescent="0.2">
      <c r="A8767" s="6" t="str">
        <f>"AL121899.1"</f>
        <v>AL121899.1</v>
      </c>
      <c r="B8767" s="6">
        <v>0.196803196803196</v>
      </c>
      <c r="C8767" s="6">
        <v>0.394279071731504</v>
      </c>
    </row>
    <row r="8768" spans="1:3" s="8" customFormat="1" x14ac:dyDescent="0.2">
      <c r="A8768" s="6" t="str">
        <f>"GPATCH3"</f>
        <v>GPATCH3</v>
      </c>
      <c r="B8768" s="6">
        <v>0.196803196803196</v>
      </c>
      <c r="C8768" s="6">
        <v>0.394279071731504</v>
      </c>
    </row>
    <row r="8769" spans="1:3" s="8" customFormat="1" x14ac:dyDescent="0.2">
      <c r="A8769" s="6" t="str">
        <f>"IBA57"</f>
        <v>IBA57</v>
      </c>
      <c r="B8769" s="6">
        <v>0.196803196803196</v>
      </c>
      <c r="C8769" s="6">
        <v>0.394279071731504</v>
      </c>
    </row>
    <row r="8770" spans="1:3" s="8" customFormat="1" x14ac:dyDescent="0.2">
      <c r="A8770" s="6" t="str">
        <f>"EPB41L5"</f>
        <v>EPB41L5</v>
      </c>
      <c r="B8770" s="6">
        <v>0.196803196803196</v>
      </c>
      <c r="C8770" s="6">
        <v>0.394279071731504</v>
      </c>
    </row>
    <row r="8771" spans="1:3" s="8" customFormat="1" x14ac:dyDescent="0.2">
      <c r="A8771" s="6" t="str">
        <f>"CTBS"</f>
        <v>CTBS</v>
      </c>
      <c r="B8771" s="6">
        <v>0.196803196803196</v>
      </c>
      <c r="C8771" s="6">
        <v>0.394279071731504</v>
      </c>
    </row>
    <row r="8772" spans="1:3" s="8" customFormat="1" x14ac:dyDescent="0.2">
      <c r="A8772" s="6" t="str">
        <f>"DALRD3"</f>
        <v>DALRD3</v>
      </c>
      <c r="B8772" s="6">
        <v>0.196803196803196</v>
      </c>
      <c r="C8772" s="6">
        <v>0.394279071731504</v>
      </c>
    </row>
    <row r="8773" spans="1:3" s="8" customFormat="1" x14ac:dyDescent="0.2">
      <c r="A8773" s="6" t="str">
        <f>"ADA2"</f>
        <v>ADA2</v>
      </c>
      <c r="B8773" s="6">
        <v>0.196803196803196</v>
      </c>
      <c r="C8773" s="6">
        <v>0.394279071731504</v>
      </c>
    </row>
    <row r="8774" spans="1:3" s="8" customFormat="1" x14ac:dyDescent="0.2">
      <c r="A8774" s="6" t="str">
        <f>"TAPBPL"</f>
        <v>TAPBPL</v>
      </c>
      <c r="B8774" s="6">
        <v>0.196803196803196</v>
      </c>
      <c r="C8774" s="6">
        <v>0.394279071731504</v>
      </c>
    </row>
    <row r="8775" spans="1:3" s="8" customFormat="1" x14ac:dyDescent="0.2">
      <c r="A8775" s="6" t="str">
        <f>"EEF2K"</f>
        <v>EEF2K</v>
      </c>
      <c r="B8775" s="6">
        <v>0.196803196803196</v>
      </c>
      <c r="C8775" s="6">
        <v>0.394279071731504</v>
      </c>
    </row>
    <row r="8776" spans="1:3" s="8" customFormat="1" x14ac:dyDescent="0.2">
      <c r="A8776" s="6" t="str">
        <f>"ITGB8"</f>
        <v>ITGB8</v>
      </c>
      <c r="B8776" s="6">
        <v>0.196803196803196</v>
      </c>
      <c r="C8776" s="6">
        <v>0.394279071731504</v>
      </c>
    </row>
    <row r="8777" spans="1:3" s="8" customFormat="1" x14ac:dyDescent="0.2">
      <c r="A8777" s="6" t="str">
        <f>"ARHGEF12"</f>
        <v>ARHGEF12</v>
      </c>
      <c r="B8777" s="6">
        <v>0.196803196803196</v>
      </c>
      <c r="C8777" s="6">
        <v>0.394279071731504</v>
      </c>
    </row>
    <row r="8778" spans="1:3" s="8" customFormat="1" x14ac:dyDescent="0.2">
      <c r="A8778" s="6" t="str">
        <f>"STAT1"</f>
        <v>STAT1</v>
      </c>
      <c r="B8778" s="6">
        <v>0.196803196803196</v>
      </c>
      <c r="C8778" s="6">
        <v>0.394279071731504</v>
      </c>
    </row>
    <row r="8779" spans="1:3" s="8" customFormat="1" x14ac:dyDescent="0.2">
      <c r="A8779" s="6" t="str">
        <f>"NUDT4B"</f>
        <v>NUDT4B</v>
      </c>
      <c r="B8779" s="6">
        <v>0.19700000000000001</v>
      </c>
      <c r="C8779" s="6">
        <v>0.39462838915470499</v>
      </c>
    </row>
    <row r="8780" spans="1:3" s="8" customFormat="1" x14ac:dyDescent="0.2">
      <c r="A8780" s="6" t="str">
        <f>"LINC02613"</f>
        <v>LINC02613</v>
      </c>
      <c r="B8780" s="6">
        <v>0.19780219780219699</v>
      </c>
      <c r="C8780" s="6">
        <v>0.39546945379804899</v>
      </c>
    </row>
    <row r="8781" spans="1:3" s="8" customFormat="1" x14ac:dyDescent="0.2">
      <c r="A8781" s="6" t="str">
        <f>"AC008758.6"</f>
        <v>AC008758.6</v>
      </c>
      <c r="B8781" s="6">
        <v>0.19780219780219699</v>
      </c>
      <c r="C8781" s="6">
        <v>0.39546945379804899</v>
      </c>
    </row>
    <row r="8782" spans="1:3" s="8" customFormat="1" x14ac:dyDescent="0.2">
      <c r="A8782" s="6" t="str">
        <f>"FBN1"</f>
        <v>FBN1</v>
      </c>
      <c r="B8782" s="6">
        <v>0.19780219780219699</v>
      </c>
      <c r="C8782" s="6">
        <v>0.39546945379804899</v>
      </c>
    </row>
    <row r="8783" spans="1:3" s="8" customFormat="1" x14ac:dyDescent="0.2">
      <c r="A8783" s="6" t="str">
        <f>"ANKK1"</f>
        <v>ANKK1</v>
      </c>
      <c r="B8783" s="6">
        <v>0.19780219780219699</v>
      </c>
      <c r="C8783" s="6">
        <v>0.39546945379804899</v>
      </c>
    </row>
    <row r="8784" spans="1:3" s="8" customFormat="1" x14ac:dyDescent="0.2">
      <c r="A8784" s="6" t="str">
        <f>"IRAK1BP1"</f>
        <v>IRAK1BP1</v>
      </c>
      <c r="B8784" s="6">
        <v>0.19780219780219699</v>
      </c>
      <c r="C8784" s="6">
        <v>0.39546945379804899</v>
      </c>
    </row>
    <row r="8785" spans="1:3" s="8" customFormat="1" x14ac:dyDescent="0.2">
      <c r="A8785" s="6" t="str">
        <f>"AMOTL1"</f>
        <v>AMOTL1</v>
      </c>
      <c r="B8785" s="6">
        <v>0.19780219780219699</v>
      </c>
      <c r="C8785" s="6">
        <v>0.39546945379804899</v>
      </c>
    </row>
    <row r="8786" spans="1:3" s="8" customFormat="1" x14ac:dyDescent="0.2">
      <c r="A8786" s="6" t="str">
        <f>"USP37"</f>
        <v>USP37</v>
      </c>
      <c r="B8786" s="6">
        <v>0.19780219780219699</v>
      </c>
      <c r="C8786" s="6">
        <v>0.39546945379804899</v>
      </c>
    </row>
    <row r="8787" spans="1:3" s="8" customFormat="1" x14ac:dyDescent="0.2">
      <c r="A8787" s="6" t="str">
        <f>"FER1L4"</f>
        <v>FER1L4</v>
      </c>
      <c r="B8787" s="6">
        <v>0.19780219780219699</v>
      </c>
      <c r="C8787" s="6">
        <v>0.39546945379804899</v>
      </c>
    </row>
    <row r="8788" spans="1:3" s="8" customFormat="1" x14ac:dyDescent="0.2">
      <c r="A8788" s="6" t="str">
        <f>"GTF2IP12"</f>
        <v>GTF2IP12</v>
      </c>
      <c r="B8788" s="6">
        <v>0.19780219780219699</v>
      </c>
      <c r="C8788" s="6">
        <v>0.39546945379804899</v>
      </c>
    </row>
    <row r="8789" spans="1:3" s="8" customFormat="1" x14ac:dyDescent="0.2">
      <c r="A8789" s="6" t="str">
        <f>"NSUN4"</f>
        <v>NSUN4</v>
      </c>
      <c r="B8789" s="6">
        <v>0.19780219780219699</v>
      </c>
      <c r="C8789" s="6">
        <v>0.39546945379804899</v>
      </c>
    </row>
    <row r="8790" spans="1:3" s="8" customFormat="1" x14ac:dyDescent="0.2">
      <c r="A8790" s="6" t="str">
        <f>"FCHSD1"</f>
        <v>FCHSD1</v>
      </c>
      <c r="B8790" s="6">
        <v>0.19780219780219699</v>
      </c>
      <c r="C8790" s="6">
        <v>0.39546945379804899</v>
      </c>
    </row>
    <row r="8791" spans="1:3" s="8" customFormat="1" x14ac:dyDescent="0.2">
      <c r="A8791" s="6" t="str">
        <f>"NAT10"</f>
        <v>NAT10</v>
      </c>
      <c r="B8791" s="6">
        <v>0.19780219780219699</v>
      </c>
      <c r="C8791" s="6">
        <v>0.39546945379804899</v>
      </c>
    </row>
    <row r="8792" spans="1:3" s="8" customFormat="1" x14ac:dyDescent="0.2">
      <c r="A8792" s="6" t="str">
        <f>"SPIN1"</f>
        <v>SPIN1</v>
      </c>
      <c r="B8792" s="6">
        <v>0.19780219780219699</v>
      </c>
      <c r="C8792" s="6">
        <v>0.39546945379804899</v>
      </c>
    </row>
    <row r="8793" spans="1:3" s="8" customFormat="1" x14ac:dyDescent="0.2">
      <c r="A8793" s="6" t="str">
        <f>"GET3"</f>
        <v>GET3</v>
      </c>
      <c r="B8793" s="6">
        <v>0.19780219780219699</v>
      </c>
      <c r="C8793" s="6">
        <v>0.39546945379804899</v>
      </c>
    </row>
    <row r="8794" spans="1:3" s="8" customFormat="1" x14ac:dyDescent="0.2">
      <c r="A8794" s="6" t="str">
        <f>"SCRIB"</f>
        <v>SCRIB</v>
      </c>
      <c r="B8794" s="6">
        <v>0.19780219780219699</v>
      </c>
      <c r="C8794" s="6">
        <v>0.39546945379804899</v>
      </c>
    </row>
    <row r="8795" spans="1:3" s="8" customFormat="1" x14ac:dyDescent="0.2">
      <c r="A8795" s="6" t="str">
        <f>"TUSC3"</f>
        <v>TUSC3</v>
      </c>
      <c r="B8795" s="6">
        <v>0.19780219780219699</v>
      </c>
      <c r="C8795" s="6">
        <v>0.39546945379804899</v>
      </c>
    </row>
    <row r="8796" spans="1:3" s="8" customFormat="1" x14ac:dyDescent="0.2">
      <c r="A8796" s="6" t="str">
        <f>"OMG"</f>
        <v>OMG</v>
      </c>
      <c r="B8796" s="6">
        <v>0.19780219780219699</v>
      </c>
      <c r="C8796" s="6">
        <v>0.39546945379804899</v>
      </c>
    </row>
    <row r="8797" spans="1:3" s="8" customFormat="1" x14ac:dyDescent="0.2">
      <c r="A8797" s="6" t="str">
        <f>"KRT32"</f>
        <v>KRT32</v>
      </c>
      <c r="B8797" s="6">
        <v>0.19800000000000001</v>
      </c>
      <c r="C8797" s="6">
        <v>0.39577492326929598</v>
      </c>
    </row>
    <row r="8798" spans="1:3" s="8" customFormat="1" x14ac:dyDescent="0.2">
      <c r="A8798" s="6" t="str">
        <f>"ARNILA"</f>
        <v>ARNILA</v>
      </c>
      <c r="B8798" s="6">
        <v>0.19800000000000001</v>
      </c>
      <c r="C8798" s="6">
        <v>0.39577492326929598</v>
      </c>
    </row>
    <row r="8799" spans="1:3" s="8" customFormat="1" x14ac:dyDescent="0.2">
      <c r="A8799" s="6" t="str">
        <f>"AL109917.1"</f>
        <v>AL109917.1</v>
      </c>
      <c r="B8799" s="6">
        <v>0.198170731707317</v>
      </c>
      <c r="C8799" s="6">
        <v>0.39603603603603599</v>
      </c>
    </row>
    <row r="8800" spans="1:3" s="8" customFormat="1" x14ac:dyDescent="0.2">
      <c r="A8800" s="6" t="str">
        <f>"FAM13A"</f>
        <v>FAM13A</v>
      </c>
      <c r="B8800" s="6">
        <v>0.19819819819819801</v>
      </c>
      <c r="C8800" s="6">
        <v>0.39603603603603599</v>
      </c>
    </row>
    <row r="8801" spans="1:3" s="8" customFormat="1" x14ac:dyDescent="0.2">
      <c r="A8801" s="6" t="str">
        <f>"IARS2"</f>
        <v>IARS2</v>
      </c>
      <c r="B8801" s="6">
        <v>0.19819819819819801</v>
      </c>
      <c r="C8801" s="6">
        <v>0.39603603603603599</v>
      </c>
    </row>
    <row r="8802" spans="1:3" s="8" customFormat="1" x14ac:dyDescent="0.2">
      <c r="A8802" s="6" t="str">
        <f>"AC011497.2"</f>
        <v>AC011497.2</v>
      </c>
      <c r="B8802" s="6">
        <v>0.19837232960325499</v>
      </c>
      <c r="C8802" s="6">
        <v>0.39633894372726303</v>
      </c>
    </row>
    <row r="8803" spans="1:3" s="8" customFormat="1" x14ac:dyDescent="0.2">
      <c r="A8803" s="6" t="str">
        <f>"AL157388.1"</f>
        <v>AL157388.1</v>
      </c>
      <c r="B8803" s="6">
        <v>0.19880119880119801</v>
      </c>
      <c r="C8803" s="6">
        <v>0.39656497784688299</v>
      </c>
    </row>
    <row r="8804" spans="1:3" s="8" customFormat="1" x14ac:dyDescent="0.2">
      <c r="A8804" s="6" t="str">
        <f>"AC118344.1"</f>
        <v>AC118344.1</v>
      </c>
      <c r="B8804" s="6">
        <v>0.19880119880119801</v>
      </c>
      <c r="C8804" s="6">
        <v>0.39656497784688299</v>
      </c>
    </row>
    <row r="8805" spans="1:3" s="8" customFormat="1" x14ac:dyDescent="0.2">
      <c r="A8805" s="6" t="str">
        <f>"MFSD2B"</f>
        <v>MFSD2B</v>
      </c>
      <c r="B8805" s="6">
        <v>0.19880119880119801</v>
      </c>
      <c r="C8805" s="6">
        <v>0.39656497784688299</v>
      </c>
    </row>
    <row r="8806" spans="1:3" s="8" customFormat="1" x14ac:dyDescent="0.2">
      <c r="A8806" s="6" t="str">
        <f>"KCNMB4"</f>
        <v>KCNMB4</v>
      </c>
      <c r="B8806" s="6">
        <v>0.19880119880119801</v>
      </c>
      <c r="C8806" s="6">
        <v>0.39656497784688299</v>
      </c>
    </row>
    <row r="8807" spans="1:3" s="8" customFormat="1" x14ac:dyDescent="0.2">
      <c r="A8807" s="6" t="str">
        <f>"AC092647.5"</f>
        <v>AC092647.5</v>
      </c>
      <c r="B8807" s="6">
        <v>0.19880119880119801</v>
      </c>
      <c r="C8807" s="6">
        <v>0.39656497784688299</v>
      </c>
    </row>
    <row r="8808" spans="1:3" s="8" customFormat="1" x14ac:dyDescent="0.2">
      <c r="A8808" s="6" t="str">
        <f>"MMP1"</f>
        <v>MMP1</v>
      </c>
      <c r="B8808" s="6">
        <v>0.19880119880119801</v>
      </c>
      <c r="C8808" s="6">
        <v>0.39656497784688299</v>
      </c>
    </row>
    <row r="8809" spans="1:3" s="8" customFormat="1" x14ac:dyDescent="0.2">
      <c r="A8809" s="6" t="str">
        <f>"KMT5C"</f>
        <v>KMT5C</v>
      </c>
      <c r="B8809" s="6">
        <v>0.19880119880119801</v>
      </c>
      <c r="C8809" s="6">
        <v>0.39656497784688299</v>
      </c>
    </row>
    <row r="8810" spans="1:3" s="8" customFormat="1" x14ac:dyDescent="0.2">
      <c r="A8810" s="6" t="str">
        <f>"AGA"</f>
        <v>AGA</v>
      </c>
      <c r="B8810" s="6">
        <v>0.19880119880119801</v>
      </c>
      <c r="C8810" s="6">
        <v>0.39656497784688299</v>
      </c>
    </row>
    <row r="8811" spans="1:3" s="8" customFormat="1" x14ac:dyDescent="0.2">
      <c r="A8811" s="6" t="str">
        <f>"DAGLA"</f>
        <v>DAGLA</v>
      </c>
      <c r="B8811" s="6">
        <v>0.19880119880119801</v>
      </c>
      <c r="C8811" s="6">
        <v>0.39656497784688299</v>
      </c>
    </row>
    <row r="8812" spans="1:3" s="8" customFormat="1" x14ac:dyDescent="0.2">
      <c r="A8812" s="6" t="str">
        <f>"LIMCH1"</f>
        <v>LIMCH1</v>
      </c>
      <c r="B8812" s="6">
        <v>0.19880119880119801</v>
      </c>
      <c r="C8812" s="6">
        <v>0.39656497784688299</v>
      </c>
    </row>
    <row r="8813" spans="1:3" s="8" customFormat="1" x14ac:dyDescent="0.2">
      <c r="A8813" s="6" t="str">
        <f>"PATL1"</f>
        <v>PATL1</v>
      </c>
      <c r="B8813" s="6">
        <v>0.19880119880119801</v>
      </c>
      <c r="C8813" s="6">
        <v>0.39656497784688299</v>
      </c>
    </row>
    <row r="8814" spans="1:3" s="8" customFormat="1" x14ac:dyDescent="0.2">
      <c r="A8814" s="6" t="str">
        <f>"DAB2IP"</f>
        <v>DAB2IP</v>
      </c>
      <c r="B8814" s="6">
        <v>0.19880119880119801</v>
      </c>
      <c r="C8814" s="6">
        <v>0.39656497784688299</v>
      </c>
    </row>
    <row r="8815" spans="1:3" s="8" customFormat="1" x14ac:dyDescent="0.2">
      <c r="A8815" s="6" t="str">
        <f>"TRAK2"</f>
        <v>TRAK2</v>
      </c>
      <c r="B8815" s="6">
        <v>0.19880119880119801</v>
      </c>
      <c r="C8815" s="6">
        <v>0.39656497784688299</v>
      </c>
    </row>
    <row r="8816" spans="1:3" s="8" customFormat="1" x14ac:dyDescent="0.2">
      <c r="A8816" s="6" t="str">
        <f>"ELF1"</f>
        <v>ELF1</v>
      </c>
      <c r="B8816" s="6">
        <v>0.19880119880119801</v>
      </c>
      <c r="C8816" s="6">
        <v>0.39656497784688299</v>
      </c>
    </row>
    <row r="8817" spans="1:3" s="8" customFormat="1" x14ac:dyDescent="0.2">
      <c r="A8817" s="6" t="str">
        <f>"GTF2IRD1P1"</f>
        <v>GTF2IRD1P1</v>
      </c>
      <c r="B8817" s="6">
        <v>0.19900000000000001</v>
      </c>
      <c r="C8817" s="6">
        <v>0.39691651542649697</v>
      </c>
    </row>
    <row r="8818" spans="1:3" s="8" customFormat="1" x14ac:dyDescent="0.2">
      <c r="A8818" s="6" t="str">
        <f>"SUGT1P4-STRA6LP"</f>
        <v>SUGT1P4-STRA6LP</v>
      </c>
      <c r="B8818" s="6">
        <v>0.19919919919919901</v>
      </c>
      <c r="C8818" s="6">
        <v>0.39726876700904101</v>
      </c>
    </row>
    <row r="8819" spans="1:3" s="8" customFormat="1" x14ac:dyDescent="0.2">
      <c r="A8819" s="6" t="str">
        <f>"TSGA13"</f>
        <v>TSGA13</v>
      </c>
      <c r="B8819" s="6">
        <v>0.199367088607594</v>
      </c>
      <c r="C8819" s="6">
        <v>0.39755850375095803</v>
      </c>
    </row>
    <row r="8820" spans="1:3" s="8" customFormat="1" x14ac:dyDescent="0.2">
      <c r="A8820" s="6" t="str">
        <f>"LINC00381"</f>
        <v>LINC00381</v>
      </c>
      <c r="B8820" s="6">
        <v>0.199800199800199</v>
      </c>
      <c r="C8820" s="6">
        <v>0.39801594123560802</v>
      </c>
    </row>
    <row r="8821" spans="1:3" s="8" customFormat="1" x14ac:dyDescent="0.2">
      <c r="A8821" s="6" t="str">
        <f>"AL390755.3"</f>
        <v>AL390755.3</v>
      </c>
      <c r="B8821" s="6">
        <v>0.199800199800199</v>
      </c>
      <c r="C8821" s="6">
        <v>0.39801594123560802</v>
      </c>
    </row>
    <row r="8822" spans="1:3" s="8" customFormat="1" x14ac:dyDescent="0.2">
      <c r="A8822" s="6" t="str">
        <f>"RASA4B"</f>
        <v>RASA4B</v>
      </c>
      <c r="B8822" s="6">
        <v>0.199800199800199</v>
      </c>
      <c r="C8822" s="6">
        <v>0.39801594123560802</v>
      </c>
    </row>
    <row r="8823" spans="1:3" s="8" customFormat="1" x14ac:dyDescent="0.2">
      <c r="A8823" s="6" t="str">
        <f>"PIP5K1B"</f>
        <v>PIP5K1B</v>
      </c>
      <c r="B8823" s="6">
        <v>0.199800199800199</v>
      </c>
      <c r="C8823" s="6">
        <v>0.39801594123560802</v>
      </c>
    </row>
    <row r="8824" spans="1:3" s="8" customFormat="1" x14ac:dyDescent="0.2">
      <c r="A8824" s="6" t="str">
        <f>"THUMPD1"</f>
        <v>THUMPD1</v>
      </c>
      <c r="B8824" s="6">
        <v>0.199800199800199</v>
      </c>
      <c r="C8824" s="6">
        <v>0.39801594123560802</v>
      </c>
    </row>
    <row r="8825" spans="1:3" s="8" customFormat="1" x14ac:dyDescent="0.2">
      <c r="A8825" s="6" t="str">
        <f>"RNASEK"</f>
        <v>RNASEK</v>
      </c>
      <c r="B8825" s="6">
        <v>0.199800199800199</v>
      </c>
      <c r="C8825" s="6">
        <v>0.39801594123560802</v>
      </c>
    </row>
    <row r="8826" spans="1:3" s="8" customFormat="1" x14ac:dyDescent="0.2">
      <c r="A8826" s="6" t="str">
        <f>"ZNFX1"</f>
        <v>ZNFX1</v>
      </c>
      <c r="B8826" s="6">
        <v>0.199800199800199</v>
      </c>
      <c r="C8826" s="6">
        <v>0.39801594123560802</v>
      </c>
    </row>
    <row r="8827" spans="1:3" s="8" customFormat="1" x14ac:dyDescent="0.2">
      <c r="A8827" s="6" t="str">
        <f>"SAXO2"</f>
        <v>SAXO2</v>
      </c>
      <c r="B8827" s="6">
        <v>0.199800199800199</v>
      </c>
      <c r="C8827" s="6">
        <v>0.39801594123560802</v>
      </c>
    </row>
    <row r="8828" spans="1:3" s="8" customFormat="1" x14ac:dyDescent="0.2">
      <c r="A8828" s="6" t="str">
        <f>"EIF5"</f>
        <v>EIF5</v>
      </c>
      <c r="B8828" s="6">
        <v>0.199800199800199</v>
      </c>
      <c r="C8828" s="6">
        <v>0.39801594123560802</v>
      </c>
    </row>
    <row r="8829" spans="1:3" s="8" customFormat="1" x14ac:dyDescent="0.2">
      <c r="A8829" s="6" t="str">
        <f>"LINC00271"</f>
        <v>LINC00271</v>
      </c>
      <c r="B8829" s="6">
        <v>0.2</v>
      </c>
      <c r="C8829" s="6">
        <v>0.39836882646125898</v>
      </c>
    </row>
    <row r="8830" spans="1:3" s="8" customFormat="1" x14ac:dyDescent="0.2">
      <c r="A8830" s="6" t="str">
        <f>"AL355607.1"</f>
        <v>AL355607.1</v>
      </c>
      <c r="B8830" s="6">
        <v>0.20079920079919999</v>
      </c>
      <c r="C8830" s="6">
        <v>0.39856114085711097</v>
      </c>
    </row>
    <row r="8831" spans="1:3" s="8" customFormat="1" x14ac:dyDescent="0.2">
      <c r="A8831" s="6" t="str">
        <f>"SLC22A13"</f>
        <v>SLC22A13</v>
      </c>
      <c r="B8831" s="6">
        <v>0.20079920079919999</v>
      </c>
      <c r="C8831" s="6">
        <v>0.39856114085711097</v>
      </c>
    </row>
    <row r="8832" spans="1:3" s="8" customFormat="1" x14ac:dyDescent="0.2">
      <c r="A8832" s="6" t="str">
        <f>"AP001625.2"</f>
        <v>AP001625.2</v>
      </c>
      <c r="B8832" s="6">
        <v>0.20079920079919999</v>
      </c>
      <c r="C8832" s="6">
        <v>0.39856114085711097</v>
      </c>
    </row>
    <row r="8833" spans="1:3" s="8" customFormat="1" x14ac:dyDescent="0.2">
      <c r="A8833" s="6" t="str">
        <f>"TUSC8"</f>
        <v>TUSC8</v>
      </c>
      <c r="B8833" s="6">
        <v>0.20079920079919999</v>
      </c>
      <c r="C8833" s="6">
        <v>0.39856114085711097</v>
      </c>
    </row>
    <row r="8834" spans="1:3" s="8" customFormat="1" x14ac:dyDescent="0.2">
      <c r="A8834" s="6" t="str">
        <f>"AC007785.3"</f>
        <v>AC007785.3</v>
      </c>
      <c r="B8834" s="6">
        <v>0.200601805416248</v>
      </c>
      <c r="C8834" s="6">
        <v>0.39856114085711097</v>
      </c>
    </row>
    <row r="8835" spans="1:3" s="8" customFormat="1" x14ac:dyDescent="0.2">
      <c r="A8835" s="6" t="str">
        <f>"AC004494.1"</f>
        <v>AC004494.1</v>
      </c>
      <c r="B8835" s="6">
        <v>0.20079920079919999</v>
      </c>
      <c r="C8835" s="6">
        <v>0.39856114085711097</v>
      </c>
    </row>
    <row r="8836" spans="1:3" s="8" customFormat="1" x14ac:dyDescent="0.2">
      <c r="A8836" s="6" t="str">
        <f>"AC103591.2"</f>
        <v>AC103591.2</v>
      </c>
      <c r="B8836" s="6">
        <v>0.20079920079919999</v>
      </c>
      <c r="C8836" s="6">
        <v>0.39856114085711097</v>
      </c>
    </row>
    <row r="8837" spans="1:3" s="8" customFormat="1" x14ac:dyDescent="0.2">
      <c r="A8837" s="6" t="str">
        <f>"AC006111.2"</f>
        <v>AC006111.2</v>
      </c>
      <c r="B8837" s="6">
        <v>0.20079920079919999</v>
      </c>
      <c r="C8837" s="6">
        <v>0.39856114085711097</v>
      </c>
    </row>
    <row r="8838" spans="1:3" s="8" customFormat="1" x14ac:dyDescent="0.2">
      <c r="A8838" s="6" t="str">
        <f>"A2M-AS1"</f>
        <v>A2M-AS1</v>
      </c>
      <c r="B8838" s="6">
        <v>0.200400801603206</v>
      </c>
      <c r="C8838" s="6">
        <v>0.39856114085711097</v>
      </c>
    </row>
    <row r="8839" spans="1:3" s="8" customFormat="1" x14ac:dyDescent="0.2">
      <c r="A8839" s="6" t="str">
        <f>"PRKCQ"</f>
        <v>PRKCQ</v>
      </c>
      <c r="B8839" s="6">
        <v>0.20079920079919999</v>
      </c>
      <c r="C8839" s="6">
        <v>0.39856114085711097</v>
      </c>
    </row>
    <row r="8840" spans="1:3" s="8" customFormat="1" x14ac:dyDescent="0.2">
      <c r="A8840" s="6" t="str">
        <f>"AP001107.9"</f>
        <v>AP001107.9</v>
      </c>
      <c r="B8840" s="6">
        <v>0.20079920079919999</v>
      </c>
      <c r="C8840" s="6">
        <v>0.39856114085711097</v>
      </c>
    </row>
    <row r="8841" spans="1:3" s="8" customFormat="1" x14ac:dyDescent="0.2">
      <c r="A8841" s="6" t="str">
        <f>"CRAT37"</f>
        <v>CRAT37</v>
      </c>
      <c r="B8841" s="6">
        <v>0.20079920079919999</v>
      </c>
      <c r="C8841" s="6">
        <v>0.39856114085711097</v>
      </c>
    </row>
    <row r="8842" spans="1:3" s="8" customFormat="1" x14ac:dyDescent="0.2">
      <c r="A8842" s="6" t="str">
        <f>"GNMT"</f>
        <v>GNMT</v>
      </c>
      <c r="B8842" s="6">
        <v>0.20079920079919999</v>
      </c>
      <c r="C8842" s="6">
        <v>0.39856114085711097</v>
      </c>
    </row>
    <row r="8843" spans="1:3" s="8" customFormat="1" x14ac:dyDescent="0.2">
      <c r="A8843" s="6" t="str">
        <f>"NRL"</f>
        <v>NRL</v>
      </c>
      <c r="B8843" s="6">
        <v>0.20079920079919999</v>
      </c>
      <c r="C8843" s="6">
        <v>0.39856114085711097</v>
      </c>
    </row>
    <row r="8844" spans="1:3" s="8" customFormat="1" x14ac:dyDescent="0.2">
      <c r="A8844" s="6" t="str">
        <f>"PRR11"</f>
        <v>PRR11</v>
      </c>
      <c r="B8844" s="6">
        <v>0.20079920079919999</v>
      </c>
      <c r="C8844" s="6">
        <v>0.39856114085711097</v>
      </c>
    </row>
    <row r="8845" spans="1:3" s="8" customFormat="1" x14ac:dyDescent="0.2">
      <c r="A8845" s="6" t="str">
        <f>"DCLK1"</f>
        <v>DCLK1</v>
      </c>
      <c r="B8845" s="6">
        <v>0.20079920079919999</v>
      </c>
      <c r="C8845" s="6">
        <v>0.39856114085711097</v>
      </c>
    </row>
    <row r="8846" spans="1:3" s="8" customFormat="1" x14ac:dyDescent="0.2">
      <c r="A8846" s="6" t="str">
        <f>"PI4KAP2"</f>
        <v>PI4KAP2</v>
      </c>
      <c r="B8846" s="6">
        <v>0.20079920079919999</v>
      </c>
      <c r="C8846" s="6">
        <v>0.39856114085711097</v>
      </c>
    </row>
    <row r="8847" spans="1:3" s="8" customFormat="1" x14ac:dyDescent="0.2">
      <c r="A8847" s="6" t="str">
        <f>"PRIMPOL"</f>
        <v>PRIMPOL</v>
      </c>
      <c r="B8847" s="6">
        <v>0.20079920079919999</v>
      </c>
      <c r="C8847" s="6">
        <v>0.39856114085711097</v>
      </c>
    </row>
    <row r="8848" spans="1:3" s="8" customFormat="1" x14ac:dyDescent="0.2">
      <c r="A8848" s="6" t="str">
        <f>"RCL1"</f>
        <v>RCL1</v>
      </c>
      <c r="B8848" s="6">
        <v>0.20079920079919999</v>
      </c>
      <c r="C8848" s="6">
        <v>0.39856114085711097</v>
      </c>
    </row>
    <row r="8849" spans="1:3" s="8" customFormat="1" x14ac:dyDescent="0.2">
      <c r="A8849" s="6" t="str">
        <f>"EFL1"</f>
        <v>EFL1</v>
      </c>
      <c r="B8849" s="6">
        <v>0.20079920079919999</v>
      </c>
      <c r="C8849" s="6">
        <v>0.39856114085711097</v>
      </c>
    </row>
    <row r="8850" spans="1:3" s="8" customFormat="1" x14ac:dyDescent="0.2">
      <c r="A8850" s="6" t="str">
        <f>"TMCC1"</f>
        <v>TMCC1</v>
      </c>
      <c r="B8850" s="6">
        <v>0.20079920079919999</v>
      </c>
      <c r="C8850" s="6">
        <v>0.39856114085711097</v>
      </c>
    </row>
    <row r="8851" spans="1:3" s="8" customFormat="1" x14ac:dyDescent="0.2">
      <c r="A8851" s="6" t="str">
        <f>"SCD5"</f>
        <v>SCD5</v>
      </c>
      <c r="B8851" s="6">
        <v>0.20079920079919999</v>
      </c>
      <c r="C8851" s="6">
        <v>0.39856114085711097</v>
      </c>
    </row>
    <row r="8852" spans="1:3" s="8" customFormat="1" x14ac:dyDescent="0.2">
      <c r="A8852" s="6" t="str">
        <f>"TULP3"</f>
        <v>TULP3</v>
      </c>
      <c r="B8852" s="6">
        <v>0.20079920079919999</v>
      </c>
      <c r="C8852" s="6">
        <v>0.39856114085711097</v>
      </c>
    </row>
    <row r="8853" spans="1:3" s="8" customFormat="1" x14ac:dyDescent="0.2">
      <c r="A8853" s="6" t="str">
        <f>"NR3C1"</f>
        <v>NR3C1</v>
      </c>
      <c r="B8853" s="6">
        <v>0.20079920079919999</v>
      </c>
      <c r="C8853" s="6">
        <v>0.39856114085711097</v>
      </c>
    </row>
    <row r="8854" spans="1:3" s="8" customFormat="1" x14ac:dyDescent="0.2">
      <c r="A8854" s="6" t="str">
        <f>"NF2"</f>
        <v>NF2</v>
      </c>
      <c r="B8854" s="6">
        <v>0.20079920079919999</v>
      </c>
      <c r="C8854" s="6">
        <v>0.39856114085711097</v>
      </c>
    </row>
    <row r="8855" spans="1:3" s="8" customFormat="1" x14ac:dyDescent="0.2">
      <c r="A8855" s="6" t="str">
        <f>"RSU1"</f>
        <v>RSU1</v>
      </c>
      <c r="B8855" s="6">
        <v>0.20079920079919999</v>
      </c>
      <c r="C8855" s="6">
        <v>0.39856114085711097</v>
      </c>
    </row>
    <row r="8856" spans="1:3" s="8" customFormat="1" x14ac:dyDescent="0.2">
      <c r="A8856" s="6" t="str">
        <f>"NTN4"</f>
        <v>NTN4</v>
      </c>
      <c r="B8856" s="6">
        <v>0.20079920079919999</v>
      </c>
      <c r="C8856" s="6">
        <v>0.39856114085711097</v>
      </c>
    </row>
    <row r="8857" spans="1:3" s="8" customFormat="1" x14ac:dyDescent="0.2">
      <c r="A8857" s="6" t="str">
        <f>"SIPA1L1"</f>
        <v>SIPA1L1</v>
      </c>
      <c r="B8857" s="6">
        <v>0.20020020020019999</v>
      </c>
      <c r="C8857" s="6">
        <v>0.39856114085711097</v>
      </c>
    </row>
    <row r="8858" spans="1:3" s="8" customFormat="1" x14ac:dyDescent="0.2">
      <c r="A8858" s="6" t="str">
        <f>"GGT6"</f>
        <v>GGT6</v>
      </c>
      <c r="B8858" s="6">
        <v>0.20079920079919999</v>
      </c>
      <c r="C8858" s="6">
        <v>0.39856114085711097</v>
      </c>
    </row>
    <row r="8859" spans="1:3" s="8" customFormat="1" x14ac:dyDescent="0.2">
      <c r="A8859" s="6" t="str">
        <f>"NGRN"</f>
        <v>NGRN</v>
      </c>
      <c r="B8859" s="6">
        <v>0.20079920079919999</v>
      </c>
      <c r="C8859" s="6">
        <v>0.39856114085711097</v>
      </c>
    </row>
    <row r="8860" spans="1:3" s="8" customFormat="1" x14ac:dyDescent="0.2">
      <c r="A8860" s="6" t="str">
        <f>"RPL31"</f>
        <v>RPL31</v>
      </c>
      <c r="B8860" s="6">
        <v>0.20079920079919999</v>
      </c>
      <c r="C8860" s="6">
        <v>0.39856114085711097</v>
      </c>
    </row>
    <row r="8861" spans="1:3" s="8" customFormat="1" x14ac:dyDescent="0.2">
      <c r="A8861" s="6" t="str">
        <f>"AL136985.3"</f>
        <v>AL136985.3</v>
      </c>
      <c r="B8861" s="6">
        <v>0.20100000000000001</v>
      </c>
      <c r="C8861" s="6">
        <v>0.39886965353797499</v>
      </c>
    </row>
    <row r="8862" spans="1:3" s="8" customFormat="1" x14ac:dyDescent="0.2">
      <c r="A8862" s="6" t="str">
        <f>"AC048382.5"</f>
        <v>AC048382.5</v>
      </c>
      <c r="B8862" s="6">
        <v>0.20100000000000001</v>
      </c>
      <c r="C8862" s="6">
        <v>0.39886965353797499</v>
      </c>
    </row>
    <row r="8863" spans="1:3" s="8" customFormat="1" x14ac:dyDescent="0.2">
      <c r="A8863" s="6" t="str">
        <f>"LINC01600"</f>
        <v>LINC01600</v>
      </c>
      <c r="B8863" s="6">
        <v>0.20179820179820099</v>
      </c>
      <c r="C8863" s="6">
        <v>0.399596799596799</v>
      </c>
    </row>
    <row r="8864" spans="1:3" s="8" customFormat="1" x14ac:dyDescent="0.2">
      <c r="A8864" s="6" t="str">
        <f>"LINC01655"</f>
        <v>LINC01655</v>
      </c>
      <c r="B8864" s="6">
        <v>0.20179820179820099</v>
      </c>
      <c r="C8864" s="6">
        <v>0.399596799596799</v>
      </c>
    </row>
    <row r="8865" spans="1:3" s="8" customFormat="1" x14ac:dyDescent="0.2">
      <c r="A8865" s="6" t="str">
        <f>"FAM163A"</f>
        <v>FAM163A</v>
      </c>
      <c r="B8865" s="6">
        <v>0.20179820179820099</v>
      </c>
      <c r="C8865" s="6">
        <v>0.399596799596799</v>
      </c>
    </row>
    <row r="8866" spans="1:3" s="8" customFormat="1" x14ac:dyDescent="0.2">
      <c r="A8866" s="6" t="str">
        <f>"AC024610.2"</f>
        <v>AC024610.2</v>
      </c>
      <c r="B8866" s="6">
        <v>0.20179820179820099</v>
      </c>
      <c r="C8866" s="6">
        <v>0.399596799596799</v>
      </c>
    </row>
    <row r="8867" spans="1:3" s="8" customFormat="1" x14ac:dyDescent="0.2">
      <c r="A8867" s="6" t="str">
        <f>"AC073320.1"</f>
        <v>AC073320.1</v>
      </c>
      <c r="B8867" s="6">
        <v>0.201541850220264</v>
      </c>
      <c r="C8867" s="6">
        <v>0.399596799596799</v>
      </c>
    </row>
    <row r="8868" spans="1:3" s="8" customFormat="1" x14ac:dyDescent="0.2">
      <c r="A8868" s="6" t="str">
        <f>"LRRC8C-DT"</f>
        <v>LRRC8C-DT</v>
      </c>
      <c r="B8868" s="6">
        <v>0.20179820179820099</v>
      </c>
      <c r="C8868" s="6">
        <v>0.399596799596799</v>
      </c>
    </row>
    <row r="8869" spans="1:3" s="8" customFormat="1" x14ac:dyDescent="0.2">
      <c r="A8869" s="6" t="str">
        <f>"SFRP1"</f>
        <v>SFRP1</v>
      </c>
      <c r="B8869" s="6">
        <v>0.20179820179820099</v>
      </c>
      <c r="C8869" s="6">
        <v>0.399596799596799</v>
      </c>
    </row>
    <row r="8870" spans="1:3" s="8" customFormat="1" x14ac:dyDescent="0.2">
      <c r="A8870" s="6" t="str">
        <f>"AC073548.1"</f>
        <v>AC073548.1</v>
      </c>
      <c r="B8870" s="6">
        <v>0.20179820179820099</v>
      </c>
      <c r="C8870" s="6">
        <v>0.399596799596799</v>
      </c>
    </row>
    <row r="8871" spans="1:3" s="8" customFormat="1" x14ac:dyDescent="0.2">
      <c r="A8871" s="6" t="str">
        <f>"PGBD5"</f>
        <v>PGBD5</v>
      </c>
      <c r="B8871" s="6">
        <v>0.20179820179820099</v>
      </c>
      <c r="C8871" s="6">
        <v>0.399596799596799</v>
      </c>
    </row>
    <row r="8872" spans="1:3" s="8" customFormat="1" x14ac:dyDescent="0.2">
      <c r="A8872" s="6" t="str">
        <f>"MEGF10"</f>
        <v>MEGF10</v>
      </c>
      <c r="B8872" s="6">
        <v>0.20179820179820099</v>
      </c>
      <c r="C8872" s="6">
        <v>0.399596799596799</v>
      </c>
    </row>
    <row r="8873" spans="1:3" s="8" customFormat="1" x14ac:dyDescent="0.2">
      <c r="A8873" s="6" t="str">
        <f>"ZNF37BP"</f>
        <v>ZNF37BP</v>
      </c>
      <c r="B8873" s="6">
        <v>0.20179820179820099</v>
      </c>
      <c r="C8873" s="6">
        <v>0.399596799596799</v>
      </c>
    </row>
    <row r="8874" spans="1:3" s="8" customFormat="1" x14ac:dyDescent="0.2">
      <c r="A8874" s="6" t="str">
        <f>"LINC00339"</f>
        <v>LINC00339</v>
      </c>
      <c r="B8874" s="6">
        <v>0.20179820179820099</v>
      </c>
      <c r="C8874" s="6">
        <v>0.399596799596799</v>
      </c>
    </row>
    <row r="8875" spans="1:3" s="8" customFormat="1" x14ac:dyDescent="0.2">
      <c r="A8875" s="6" t="str">
        <f>"DHRS13"</f>
        <v>DHRS13</v>
      </c>
      <c r="B8875" s="6">
        <v>0.20179820179820099</v>
      </c>
      <c r="C8875" s="6">
        <v>0.399596799596799</v>
      </c>
    </row>
    <row r="8876" spans="1:3" s="8" customFormat="1" x14ac:dyDescent="0.2">
      <c r="A8876" s="6" t="str">
        <f>"KYAT3"</f>
        <v>KYAT3</v>
      </c>
      <c r="B8876" s="6">
        <v>0.20179820179820099</v>
      </c>
      <c r="C8876" s="6">
        <v>0.399596799596799</v>
      </c>
    </row>
    <row r="8877" spans="1:3" s="8" customFormat="1" x14ac:dyDescent="0.2">
      <c r="A8877" s="6" t="str">
        <f>"NME4"</f>
        <v>NME4</v>
      </c>
      <c r="B8877" s="6">
        <v>0.20179820179820099</v>
      </c>
      <c r="C8877" s="6">
        <v>0.399596799596799</v>
      </c>
    </row>
    <row r="8878" spans="1:3" s="8" customFormat="1" x14ac:dyDescent="0.2">
      <c r="A8878" s="6" t="str">
        <f>"STARD3NL"</f>
        <v>STARD3NL</v>
      </c>
      <c r="B8878" s="6">
        <v>0.20179820179820099</v>
      </c>
      <c r="C8878" s="6">
        <v>0.399596799596799</v>
      </c>
    </row>
    <row r="8879" spans="1:3" s="8" customFormat="1" x14ac:dyDescent="0.2">
      <c r="A8879" s="6" t="str">
        <f>"SLC41A1"</f>
        <v>SLC41A1</v>
      </c>
      <c r="B8879" s="6">
        <v>0.20179820179820099</v>
      </c>
      <c r="C8879" s="6">
        <v>0.399596799596799</v>
      </c>
    </row>
    <row r="8880" spans="1:3" s="8" customFormat="1" x14ac:dyDescent="0.2">
      <c r="A8880" s="6" t="str">
        <f>"ATP5PD"</f>
        <v>ATP5PD</v>
      </c>
      <c r="B8880" s="6">
        <v>0.20179820179820099</v>
      </c>
      <c r="C8880" s="6">
        <v>0.399596799596799</v>
      </c>
    </row>
    <row r="8881" spans="1:3" s="8" customFormat="1" x14ac:dyDescent="0.2">
      <c r="A8881" s="6" t="str">
        <f>"SP1"</f>
        <v>SP1</v>
      </c>
      <c r="B8881" s="6">
        <v>0.20179820179820099</v>
      </c>
      <c r="C8881" s="6">
        <v>0.399596799596799</v>
      </c>
    </row>
    <row r="8882" spans="1:3" s="8" customFormat="1" x14ac:dyDescent="0.2">
      <c r="A8882" s="6" t="str">
        <f>"IGHV3-7"</f>
        <v>IGHV3-7</v>
      </c>
      <c r="B8882" s="6">
        <v>0.20200000000000001</v>
      </c>
      <c r="C8882" s="6">
        <v>0.39986130811662701</v>
      </c>
    </row>
    <row r="8883" spans="1:3" s="8" customFormat="1" x14ac:dyDescent="0.2">
      <c r="A8883" s="6" t="str">
        <f>"LY6G5C"</f>
        <v>LY6G5C</v>
      </c>
      <c r="B8883" s="6">
        <v>0.20200000000000001</v>
      </c>
      <c r="C8883" s="6">
        <v>0.39986130811662701</v>
      </c>
    </row>
    <row r="8884" spans="1:3" s="8" customFormat="1" x14ac:dyDescent="0.2">
      <c r="A8884" s="6" t="str">
        <f>"TMEM63B"</f>
        <v>TMEM63B</v>
      </c>
      <c r="B8884" s="6">
        <v>0.20200000000000001</v>
      </c>
      <c r="C8884" s="6">
        <v>0.39986130811662701</v>
      </c>
    </row>
    <row r="8885" spans="1:3" s="8" customFormat="1" x14ac:dyDescent="0.2">
      <c r="A8885" s="6" t="str">
        <f>"FRG1EP"</f>
        <v>FRG1EP</v>
      </c>
      <c r="B8885" s="6">
        <v>0.202094240837696</v>
      </c>
      <c r="C8885" s="6">
        <v>0.40000282878096</v>
      </c>
    </row>
    <row r="8886" spans="1:3" s="8" customFormat="1" x14ac:dyDescent="0.2">
      <c r="A8886" s="6" t="str">
        <f>"AC007920.2"</f>
        <v>AC007920.2</v>
      </c>
      <c r="B8886" s="6">
        <v>0.20224719101123501</v>
      </c>
      <c r="C8886" s="6">
        <v>0.40026050723034001</v>
      </c>
    </row>
    <row r="8887" spans="1:3" s="8" customFormat="1" x14ac:dyDescent="0.2">
      <c r="A8887" s="6" t="str">
        <f>"LINC00337"</f>
        <v>LINC00337</v>
      </c>
      <c r="B8887" s="6">
        <v>0.20279720279720201</v>
      </c>
      <c r="C8887" s="6">
        <v>0.40053757317600902</v>
      </c>
    </row>
    <row r="8888" spans="1:3" s="8" customFormat="1" x14ac:dyDescent="0.2">
      <c r="A8888" s="6" t="str">
        <f>"AL157813.2"</f>
        <v>AL157813.2</v>
      </c>
      <c r="B8888" s="6">
        <v>0.20279720279720201</v>
      </c>
      <c r="C8888" s="6">
        <v>0.40053757317600902</v>
      </c>
    </row>
    <row r="8889" spans="1:3" s="8" customFormat="1" x14ac:dyDescent="0.2">
      <c r="A8889" s="6" t="str">
        <f>"PKD1L2"</f>
        <v>PKD1L2</v>
      </c>
      <c r="B8889" s="6">
        <v>0.20279720279720201</v>
      </c>
      <c r="C8889" s="6">
        <v>0.40053757317600902</v>
      </c>
    </row>
    <row r="8890" spans="1:3" s="8" customFormat="1" x14ac:dyDescent="0.2">
      <c r="A8890" s="6" t="str">
        <f>"ADGRE4P"</f>
        <v>ADGRE4P</v>
      </c>
      <c r="B8890" s="6">
        <v>0.20279720279720201</v>
      </c>
      <c r="C8890" s="6">
        <v>0.40053757317600902</v>
      </c>
    </row>
    <row r="8891" spans="1:3" s="8" customFormat="1" x14ac:dyDescent="0.2">
      <c r="A8891" s="6" t="str">
        <f>"ICAM5"</f>
        <v>ICAM5</v>
      </c>
      <c r="B8891" s="6">
        <v>0.20279720279720201</v>
      </c>
      <c r="C8891" s="6">
        <v>0.40053757317600902</v>
      </c>
    </row>
    <row r="8892" spans="1:3" s="8" customFormat="1" x14ac:dyDescent="0.2">
      <c r="A8892" s="6" t="str">
        <f>"AC099522.2"</f>
        <v>AC099522.2</v>
      </c>
      <c r="B8892" s="6">
        <v>0.20279720279720201</v>
      </c>
      <c r="C8892" s="6">
        <v>0.40053757317600902</v>
      </c>
    </row>
    <row r="8893" spans="1:3" s="8" customFormat="1" x14ac:dyDescent="0.2">
      <c r="A8893" s="6" t="str">
        <f>"LINC02323"</f>
        <v>LINC02323</v>
      </c>
      <c r="B8893" s="6">
        <v>0.20279720279720201</v>
      </c>
      <c r="C8893" s="6">
        <v>0.40053757317600902</v>
      </c>
    </row>
    <row r="8894" spans="1:3" s="8" customFormat="1" x14ac:dyDescent="0.2">
      <c r="A8894" s="6" t="str">
        <f>"PCDHB1"</f>
        <v>PCDHB1</v>
      </c>
      <c r="B8894" s="6">
        <v>0.20279720279720201</v>
      </c>
      <c r="C8894" s="6">
        <v>0.40053757317600902</v>
      </c>
    </row>
    <row r="8895" spans="1:3" s="8" customFormat="1" x14ac:dyDescent="0.2">
      <c r="A8895" s="6" t="str">
        <f>"PIGW"</f>
        <v>PIGW</v>
      </c>
      <c r="B8895" s="6">
        <v>0.20279720279720201</v>
      </c>
      <c r="C8895" s="6">
        <v>0.40053757317600902</v>
      </c>
    </row>
    <row r="8896" spans="1:3" s="8" customFormat="1" x14ac:dyDescent="0.2">
      <c r="A8896" s="6" t="str">
        <f>"SFXN1"</f>
        <v>SFXN1</v>
      </c>
      <c r="B8896" s="6">
        <v>0.20279720279720201</v>
      </c>
      <c r="C8896" s="6">
        <v>0.40053757317600902</v>
      </c>
    </row>
    <row r="8897" spans="1:3" s="8" customFormat="1" x14ac:dyDescent="0.2">
      <c r="A8897" s="6" t="str">
        <f>"GTF2IRD2"</f>
        <v>GTF2IRD2</v>
      </c>
      <c r="B8897" s="6">
        <v>0.20279720279720201</v>
      </c>
      <c r="C8897" s="6">
        <v>0.40053757317600902</v>
      </c>
    </row>
    <row r="8898" spans="1:3" s="8" customFormat="1" x14ac:dyDescent="0.2">
      <c r="A8898" s="6" t="str">
        <f>"ABHD4"</f>
        <v>ABHD4</v>
      </c>
      <c r="B8898" s="6">
        <v>0.20279720279720201</v>
      </c>
      <c r="C8898" s="6">
        <v>0.40053757317600902</v>
      </c>
    </row>
    <row r="8899" spans="1:3" s="8" customFormat="1" x14ac:dyDescent="0.2">
      <c r="A8899" s="6" t="str">
        <f>"PRICKLE2"</f>
        <v>PRICKLE2</v>
      </c>
      <c r="B8899" s="6">
        <v>0.20279720279720201</v>
      </c>
      <c r="C8899" s="6">
        <v>0.40053757317600902</v>
      </c>
    </row>
    <row r="8900" spans="1:3" s="8" customFormat="1" x14ac:dyDescent="0.2">
      <c r="A8900" s="6" t="str">
        <f>"STMND1"</f>
        <v>STMND1</v>
      </c>
      <c r="B8900" s="6">
        <v>0.20279720279720201</v>
      </c>
      <c r="C8900" s="6">
        <v>0.40053757317600902</v>
      </c>
    </row>
    <row r="8901" spans="1:3" s="8" customFormat="1" x14ac:dyDescent="0.2">
      <c r="A8901" s="6" t="str">
        <f>"PKD1P3"</f>
        <v>PKD1P3</v>
      </c>
      <c r="B8901" s="6">
        <v>0.20279720279720201</v>
      </c>
      <c r="C8901" s="6">
        <v>0.40053757317600902</v>
      </c>
    </row>
    <row r="8902" spans="1:3" s="8" customFormat="1" x14ac:dyDescent="0.2">
      <c r="A8902" s="6" t="str">
        <f>"VTI1B"</f>
        <v>VTI1B</v>
      </c>
      <c r="B8902" s="6">
        <v>0.20279720279720201</v>
      </c>
      <c r="C8902" s="6">
        <v>0.40053757317600902</v>
      </c>
    </row>
    <row r="8903" spans="1:3" s="8" customFormat="1" x14ac:dyDescent="0.2">
      <c r="A8903" s="6" t="str">
        <f>"PDLIM5"</f>
        <v>PDLIM5</v>
      </c>
      <c r="B8903" s="6">
        <v>0.20279720279720201</v>
      </c>
      <c r="C8903" s="6">
        <v>0.40053757317600902</v>
      </c>
    </row>
    <row r="8904" spans="1:3" s="8" customFormat="1" x14ac:dyDescent="0.2">
      <c r="A8904" s="6" t="str">
        <f>"MORF4L2"</f>
        <v>MORF4L2</v>
      </c>
      <c r="B8904" s="6">
        <v>0.20279720279720201</v>
      </c>
      <c r="C8904" s="6">
        <v>0.40053757317600902</v>
      </c>
    </row>
    <row r="8905" spans="1:3" s="8" customFormat="1" x14ac:dyDescent="0.2">
      <c r="A8905" s="6" t="str">
        <f>"AL138724.1"</f>
        <v>AL138724.1</v>
      </c>
      <c r="B8905" s="6">
        <v>0.20320320320320301</v>
      </c>
      <c r="C8905" s="6">
        <v>0.40129437613714303</v>
      </c>
    </row>
    <row r="8906" spans="1:3" s="8" customFormat="1" x14ac:dyDescent="0.2">
      <c r="A8906" s="6" t="str">
        <f>"AC080005.1"</f>
        <v>AC080005.1</v>
      </c>
      <c r="B8906" s="6">
        <v>0.20344129554655799</v>
      </c>
      <c r="C8906" s="6">
        <v>0.40171945433921202</v>
      </c>
    </row>
    <row r="8907" spans="1:3" s="8" customFormat="1" x14ac:dyDescent="0.2">
      <c r="A8907" s="6" t="str">
        <f>"TCP10L"</f>
        <v>TCP10L</v>
      </c>
      <c r="B8907" s="6">
        <v>0.203796203796203</v>
      </c>
      <c r="C8907" s="6">
        <v>0.40183364516174502</v>
      </c>
    </row>
    <row r="8908" spans="1:3" s="8" customFormat="1" x14ac:dyDescent="0.2">
      <c r="A8908" s="6" t="str">
        <f>"AC006296.3"</f>
        <v>AC006296.3</v>
      </c>
      <c r="B8908" s="6">
        <v>0.203796203796203</v>
      </c>
      <c r="C8908" s="6">
        <v>0.40183364516174502</v>
      </c>
    </row>
    <row r="8909" spans="1:3" s="8" customFormat="1" x14ac:dyDescent="0.2">
      <c r="A8909" s="6" t="str">
        <f>"UBE2F-SCLY"</f>
        <v>UBE2F-SCLY</v>
      </c>
      <c r="B8909" s="6">
        <v>0.203796203796203</v>
      </c>
      <c r="C8909" s="6">
        <v>0.40183364516174502</v>
      </c>
    </row>
    <row r="8910" spans="1:3" s="8" customFormat="1" x14ac:dyDescent="0.2">
      <c r="A8910" s="6" t="str">
        <f>"LINC01358"</f>
        <v>LINC01358</v>
      </c>
      <c r="B8910" s="6">
        <v>0.203796203796203</v>
      </c>
      <c r="C8910" s="6">
        <v>0.40183364516174502</v>
      </c>
    </row>
    <row r="8911" spans="1:3" s="8" customFormat="1" x14ac:dyDescent="0.2">
      <c r="A8911" s="6" t="str">
        <f>"PSORS1C1"</f>
        <v>PSORS1C1</v>
      </c>
      <c r="B8911" s="6">
        <v>0.203796203796203</v>
      </c>
      <c r="C8911" s="6">
        <v>0.40183364516174502</v>
      </c>
    </row>
    <row r="8912" spans="1:3" s="8" customFormat="1" x14ac:dyDescent="0.2">
      <c r="A8912" s="6" t="str">
        <f>"ANKRD18A"</f>
        <v>ANKRD18A</v>
      </c>
      <c r="B8912" s="6">
        <v>0.203796203796203</v>
      </c>
      <c r="C8912" s="6">
        <v>0.40183364516174502</v>
      </c>
    </row>
    <row r="8913" spans="1:3" s="8" customFormat="1" x14ac:dyDescent="0.2">
      <c r="A8913" s="6" t="str">
        <f>"IRX5"</f>
        <v>IRX5</v>
      </c>
      <c r="B8913" s="6">
        <v>0.203796203796203</v>
      </c>
      <c r="C8913" s="6">
        <v>0.40183364516174502</v>
      </c>
    </row>
    <row r="8914" spans="1:3" s="8" customFormat="1" x14ac:dyDescent="0.2">
      <c r="A8914" s="6" t="str">
        <f>"SERTAD1"</f>
        <v>SERTAD1</v>
      </c>
      <c r="B8914" s="6">
        <v>0.203796203796203</v>
      </c>
      <c r="C8914" s="6">
        <v>0.40183364516174502</v>
      </c>
    </row>
    <row r="8915" spans="1:3" s="8" customFormat="1" x14ac:dyDescent="0.2">
      <c r="A8915" s="6" t="str">
        <f>"ZNF512"</f>
        <v>ZNF512</v>
      </c>
      <c r="B8915" s="6">
        <v>0.203796203796203</v>
      </c>
      <c r="C8915" s="6">
        <v>0.40183364516174502</v>
      </c>
    </row>
    <row r="8916" spans="1:3" s="8" customFormat="1" x14ac:dyDescent="0.2">
      <c r="A8916" s="6" t="str">
        <f>"RAP2B"</f>
        <v>RAP2B</v>
      </c>
      <c r="B8916" s="6">
        <v>0.203796203796203</v>
      </c>
      <c r="C8916" s="6">
        <v>0.40183364516174502</v>
      </c>
    </row>
    <row r="8917" spans="1:3" s="8" customFormat="1" x14ac:dyDescent="0.2">
      <c r="A8917" s="6" t="str">
        <f>"CCDC189"</f>
        <v>CCDC189</v>
      </c>
      <c r="B8917" s="6">
        <v>0.203796203796203</v>
      </c>
      <c r="C8917" s="6">
        <v>0.40183364516174502</v>
      </c>
    </row>
    <row r="8918" spans="1:3" s="8" customFormat="1" x14ac:dyDescent="0.2">
      <c r="A8918" s="6" t="str">
        <f>"SERPINB11"</f>
        <v>SERPINB11</v>
      </c>
      <c r="B8918" s="6">
        <v>0.203796203796203</v>
      </c>
      <c r="C8918" s="6">
        <v>0.40183364516174502</v>
      </c>
    </row>
    <row r="8919" spans="1:3" s="8" customFormat="1" x14ac:dyDescent="0.2">
      <c r="A8919" s="6" t="str">
        <f>"DDAH1"</f>
        <v>DDAH1</v>
      </c>
      <c r="B8919" s="6">
        <v>0.203796203796203</v>
      </c>
      <c r="C8919" s="6">
        <v>0.40183364516174502</v>
      </c>
    </row>
    <row r="8920" spans="1:3" s="8" customFormat="1" x14ac:dyDescent="0.2">
      <c r="A8920" s="6" t="str">
        <f>"FAM171A2"</f>
        <v>FAM171A2</v>
      </c>
      <c r="B8920" s="6">
        <v>0.20399999999999999</v>
      </c>
      <c r="C8920" s="6">
        <v>0.402190380087453</v>
      </c>
    </row>
    <row r="8921" spans="1:3" s="8" customFormat="1" x14ac:dyDescent="0.2">
      <c r="A8921" s="6" t="str">
        <f>"ODF4"</f>
        <v>ODF4</v>
      </c>
      <c r="B8921" s="6">
        <v>0.20440881763527</v>
      </c>
      <c r="C8921" s="6">
        <v>0.40295119386755501</v>
      </c>
    </row>
    <row r="8922" spans="1:3" s="8" customFormat="1" x14ac:dyDescent="0.2">
      <c r="A8922" s="6" t="str">
        <f>"PCAT19"</f>
        <v>PCAT19</v>
      </c>
      <c r="B8922" s="6">
        <v>0.20479520479520399</v>
      </c>
      <c r="C8922" s="6">
        <v>0.40317049721438403</v>
      </c>
    </row>
    <row r="8923" spans="1:3" s="8" customFormat="1" x14ac:dyDescent="0.2">
      <c r="A8923" s="6" t="str">
        <f>"ARMCX4"</f>
        <v>ARMCX4</v>
      </c>
      <c r="B8923" s="6">
        <v>0.20479520479520399</v>
      </c>
      <c r="C8923" s="6">
        <v>0.40317049721438403</v>
      </c>
    </row>
    <row r="8924" spans="1:3" s="8" customFormat="1" x14ac:dyDescent="0.2">
      <c r="A8924" s="6" t="str">
        <f>"CCDC126"</f>
        <v>CCDC126</v>
      </c>
      <c r="B8924" s="6">
        <v>0.20479520479520399</v>
      </c>
      <c r="C8924" s="6">
        <v>0.40317049721438403</v>
      </c>
    </row>
    <row r="8925" spans="1:3" s="8" customFormat="1" x14ac:dyDescent="0.2">
      <c r="A8925" s="6" t="str">
        <f>"HYLS1"</f>
        <v>HYLS1</v>
      </c>
      <c r="B8925" s="6">
        <v>0.20479520479520399</v>
      </c>
      <c r="C8925" s="6">
        <v>0.40317049721438403</v>
      </c>
    </row>
    <row r="8926" spans="1:3" s="8" customFormat="1" x14ac:dyDescent="0.2">
      <c r="A8926" s="6" t="str">
        <f>"UNC5B-AS1"</f>
        <v>UNC5B-AS1</v>
      </c>
      <c r="B8926" s="6">
        <v>0.20479520479520399</v>
      </c>
      <c r="C8926" s="6">
        <v>0.40317049721438403</v>
      </c>
    </row>
    <row r="8927" spans="1:3" s="8" customFormat="1" x14ac:dyDescent="0.2">
      <c r="A8927" s="6" t="str">
        <f>"IRS1"</f>
        <v>IRS1</v>
      </c>
      <c r="B8927" s="6">
        <v>0.20479520479520399</v>
      </c>
      <c r="C8927" s="6">
        <v>0.40317049721438403</v>
      </c>
    </row>
    <row r="8928" spans="1:3" s="8" customFormat="1" x14ac:dyDescent="0.2">
      <c r="A8928" s="6" t="str">
        <f>"STON2"</f>
        <v>STON2</v>
      </c>
      <c r="B8928" s="6">
        <v>0.20479520479520399</v>
      </c>
      <c r="C8928" s="6">
        <v>0.40317049721438403</v>
      </c>
    </row>
    <row r="8929" spans="1:3" s="8" customFormat="1" x14ac:dyDescent="0.2">
      <c r="A8929" s="6" t="str">
        <f>"NIP7"</f>
        <v>NIP7</v>
      </c>
      <c r="B8929" s="6">
        <v>0.20479520479520399</v>
      </c>
      <c r="C8929" s="6">
        <v>0.40317049721438403</v>
      </c>
    </row>
    <row r="8930" spans="1:3" s="8" customFormat="1" x14ac:dyDescent="0.2">
      <c r="A8930" s="6" t="str">
        <f>"SLC12A9"</f>
        <v>SLC12A9</v>
      </c>
      <c r="B8930" s="6">
        <v>0.20479520479520399</v>
      </c>
      <c r="C8930" s="6">
        <v>0.40317049721438403</v>
      </c>
    </row>
    <row r="8931" spans="1:3" s="8" customFormat="1" x14ac:dyDescent="0.2">
      <c r="A8931" s="6" t="str">
        <f>"TSC2"</f>
        <v>TSC2</v>
      </c>
      <c r="B8931" s="6">
        <v>0.20479520479520399</v>
      </c>
      <c r="C8931" s="6">
        <v>0.40317049721438403</v>
      </c>
    </row>
    <row r="8932" spans="1:3" s="8" customFormat="1" x14ac:dyDescent="0.2">
      <c r="A8932" s="6" t="str">
        <f>"PRR15"</f>
        <v>PRR15</v>
      </c>
      <c r="B8932" s="6">
        <v>0.20479520479520399</v>
      </c>
      <c r="C8932" s="6">
        <v>0.40317049721438403</v>
      </c>
    </row>
    <row r="8933" spans="1:3" s="8" customFormat="1" x14ac:dyDescent="0.2">
      <c r="A8933" s="6" t="str">
        <f>"KIF13B"</f>
        <v>KIF13B</v>
      </c>
      <c r="B8933" s="6">
        <v>0.20479520479520399</v>
      </c>
      <c r="C8933" s="6">
        <v>0.40317049721438403</v>
      </c>
    </row>
    <row r="8934" spans="1:3" s="8" customFormat="1" x14ac:dyDescent="0.2">
      <c r="A8934" s="6" t="str">
        <f>"AC116533.1"</f>
        <v>AC116533.1</v>
      </c>
      <c r="B8934" s="6">
        <v>0.20499999999999999</v>
      </c>
      <c r="C8934" s="6">
        <v>0.40352848986902401</v>
      </c>
    </row>
    <row r="8935" spans="1:3" s="8" customFormat="1" x14ac:dyDescent="0.2">
      <c r="A8935" s="6" t="str">
        <f>"TCL1A"</f>
        <v>TCL1A</v>
      </c>
      <c r="B8935" s="6">
        <v>0.20579420579420499</v>
      </c>
      <c r="C8935" s="6">
        <v>0.40423205034464998</v>
      </c>
    </row>
    <row r="8936" spans="1:3" s="8" customFormat="1" x14ac:dyDescent="0.2">
      <c r="A8936" s="6" t="str">
        <f>"ADGRB3"</f>
        <v>ADGRB3</v>
      </c>
      <c r="B8936" s="6">
        <v>0.20579420579420499</v>
      </c>
      <c r="C8936" s="6">
        <v>0.40423205034464998</v>
      </c>
    </row>
    <row r="8937" spans="1:3" s="8" customFormat="1" x14ac:dyDescent="0.2">
      <c r="A8937" s="6" t="str">
        <f>"Z97056.1"</f>
        <v>Z97056.1</v>
      </c>
      <c r="B8937" s="6">
        <v>0.20579420579420499</v>
      </c>
      <c r="C8937" s="6">
        <v>0.40423205034464998</v>
      </c>
    </row>
    <row r="8938" spans="1:3" s="8" customFormat="1" x14ac:dyDescent="0.2">
      <c r="A8938" s="6" t="str">
        <f>"LINC00092"</f>
        <v>LINC00092</v>
      </c>
      <c r="B8938" s="6">
        <v>0.20573183213920099</v>
      </c>
      <c r="C8938" s="6">
        <v>0.40423205034464998</v>
      </c>
    </row>
    <row r="8939" spans="1:3" s="8" customFormat="1" x14ac:dyDescent="0.2">
      <c r="A8939" s="6" t="str">
        <f>"SLC16A8"</f>
        <v>SLC16A8</v>
      </c>
      <c r="B8939" s="6">
        <v>0.20579420579420499</v>
      </c>
      <c r="C8939" s="6">
        <v>0.40423205034464998</v>
      </c>
    </row>
    <row r="8940" spans="1:3" s="8" customFormat="1" x14ac:dyDescent="0.2">
      <c r="A8940" s="6" t="str">
        <f>"AC069277.1"</f>
        <v>AC069277.1</v>
      </c>
      <c r="B8940" s="6">
        <v>0.20579420579420499</v>
      </c>
      <c r="C8940" s="6">
        <v>0.40423205034464998</v>
      </c>
    </row>
    <row r="8941" spans="1:3" s="8" customFormat="1" x14ac:dyDescent="0.2">
      <c r="A8941" s="6" t="str">
        <f>"LINC01445"</f>
        <v>LINC01445</v>
      </c>
      <c r="B8941" s="6">
        <v>0.20579420579420499</v>
      </c>
      <c r="C8941" s="6">
        <v>0.40423205034464998</v>
      </c>
    </row>
    <row r="8942" spans="1:3" s="8" customFormat="1" x14ac:dyDescent="0.2">
      <c r="A8942" s="6" t="str">
        <f>"XKR6"</f>
        <v>XKR6</v>
      </c>
      <c r="B8942" s="6">
        <v>0.20579420579420499</v>
      </c>
      <c r="C8942" s="6">
        <v>0.40423205034464998</v>
      </c>
    </row>
    <row r="8943" spans="1:3" s="8" customFormat="1" x14ac:dyDescent="0.2">
      <c r="A8943" s="6" t="str">
        <f>"GDF9"</f>
        <v>GDF9</v>
      </c>
      <c r="B8943" s="6">
        <v>0.20579420579420499</v>
      </c>
      <c r="C8943" s="6">
        <v>0.40423205034464998</v>
      </c>
    </row>
    <row r="8944" spans="1:3" s="8" customFormat="1" x14ac:dyDescent="0.2">
      <c r="A8944" s="6" t="str">
        <f>"WWTR1-AS1"</f>
        <v>WWTR1-AS1</v>
      </c>
      <c r="B8944" s="6">
        <v>0.20579420579420499</v>
      </c>
      <c r="C8944" s="6">
        <v>0.40423205034464998</v>
      </c>
    </row>
    <row r="8945" spans="1:3" s="8" customFormat="1" x14ac:dyDescent="0.2">
      <c r="A8945" s="6" t="str">
        <f>"AC016727.1"</f>
        <v>AC016727.1</v>
      </c>
      <c r="B8945" s="6">
        <v>0.20579420579420499</v>
      </c>
      <c r="C8945" s="6">
        <v>0.40423205034464998</v>
      </c>
    </row>
    <row r="8946" spans="1:3" s="8" customFormat="1" x14ac:dyDescent="0.2">
      <c r="A8946" s="6" t="str">
        <f>"UPK3BL2"</f>
        <v>UPK3BL2</v>
      </c>
      <c r="B8946" s="6">
        <v>0.20579420579420499</v>
      </c>
      <c r="C8946" s="6">
        <v>0.40423205034464998</v>
      </c>
    </row>
    <row r="8947" spans="1:3" s="8" customFormat="1" x14ac:dyDescent="0.2">
      <c r="A8947" s="6" t="str">
        <f>"GSTCD"</f>
        <v>GSTCD</v>
      </c>
      <c r="B8947" s="6">
        <v>0.20579420579420499</v>
      </c>
      <c r="C8947" s="6">
        <v>0.40423205034464998</v>
      </c>
    </row>
    <row r="8948" spans="1:3" s="8" customFormat="1" x14ac:dyDescent="0.2">
      <c r="A8948" s="6" t="str">
        <f>"AC092802.1"</f>
        <v>AC092802.1</v>
      </c>
      <c r="B8948" s="6">
        <v>0.20579420579420499</v>
      </c>
      <c r="C8948" s="6">
        <v>0.40423205034464998</v>
      </c>
    </row>
    <row r="8949" spans="1:3" s="8" customFormat="1" x14ac:dyDescent="0.2">
      <c r="A8949" s="6" t="str">
        <f>"PPIL1"</f>
        <v>PPIL1</v>
      </c>
      <c r="B8949" s="6">
        <v>0.20579420579420499</v>
      </c>
      <c r="C8949" s="6">
        <v>0.40423205034464998</v>
      </c>
    </row>
    <row r="8950" spans="1:3" s="8" customFormat="1" x14ac:dyDescent="0.2">
      <c r="A8950" s="6" t="str">
        <f>"PMVK"</f>
        <v>PMVK</v>
      </c>
      <c r="B8950" s="6">
        <v>0.20579420579420499</v>
      </c>
      <c r="C8950" s="6">
        <v>0.40423205034464998</v>
      </c>
    </row>
    <row r="8951" spans="1:3" s="8" customFormat="1" x14ac:dyDescent="0.2">
      <c r="A8951" s="6" t="str">
        <f>"PMPCA"</f>
        <v>PMPCA</v>
      </c>
      <c r="B8951" s="6">
        <v>0.20579420579420499</v>
      </c>
      <c r="C8951" s="6">
        <v>0.40423205034464998</v>
      </c>
    </row>
    <row r="8952" spans="1:3" s="8" customFormat="1" x14ac:dyDescent="0.2">
      <c r="A8952" s="6" t="str">
        <f>"EIF3G"</f>
        <v>EIF3G</v>
      </c>
      <c r="B8952" s="6">
        <v>0.20579420579420499</v>
      </c>
      <c r="C8952" s="6">
        <v>0.40423205034464998</v>
      </c>
    </row>
    <row r="8953" spans="1:3" s="8" customFormat="1" x14ac:dyDescent="0.2">
      <c r="A8953" s="6" t="str">
        <f>"SERP1"</f>
        <v>SERP1</v>
      </c>
      <c r="B8953" s="6">
        <v>0.20579420579420499</v>
      </c>
      <c r="C8953" s="6">
        <v>0.40423205034464998</v>
      </c>
    </row>
    <row r="8954" spans="1:3" s="8" customFormat="1" x14ac:dyDescent="0.2">
      <c r="A8954" s="6" t="str">
        <f>"LINC00167"</f>
        <v>LINC00167</v>
      </c>
      <c r="B8954" s="6">
        <v>0.206004140786749</v>
      </c>
      <c r="C8954" s="6">
        <v>0.40455403301253101</v>
      </c>
    </row>
    <row r="8955" spans="1:3" s="8" customFormat="1" x14ac:dyDescent="0.2">
      <c r="A8955" s="6" t="str">
        <f>"AL596214.1"</f>
        <v>AL596214.1</v>
      </c>
      <c r="B8955" s="6">
        <v>0.20599999999999999</v>
      </c>
      <c r="C8955" s="6">
        <v>0.40455403301253101</v>
      </c>
    </row>
    <row r="8956" spans="1:3" s="8" customFormat="1" x14ac:dyDescent="0.2">
      <c r="A8956" s="6" t="str">
        <f>"HOXB4"</f>
        <v>HOXB4</v>
      </c>
      <c r="B8956" s="6">
        <v>0.20679320679320601</v>
      </c>
      <c r="C8956" s="6">
        <v>0.405153398133899</v>
      </c>
    </row>
    <row r="8957" spans="1:3" s="8" customFormat="1" x14ac:dyDescent="0.2">
      <c r="A8957" s="6" t="str">
        <f>"AL390955.2"</f>
        <v>AL390955.2</v>
      </c>
      <c r="B8957" s="6">
        <v>0.20679320679320601</v>
      </c>
      <c r="C8957" s="6">
        <v>0.405153398133899</v>
      </c>
    </row>
    <row r="8958" spans="1:3" s="8" customFormat="1" x14ac:dyDescent="0.2">
      <c r="A8958" s="6" t="str">
        <f>"MUC6"</f>
        <v>MUC6</v>
      </c>
      <c r="B8958" s="6">
        <v>0.20679320679320601</v>
      </c>
      <c r="C8958" s="6">
        <v>0.405153398133899</v>
      </c>
    </row>
    <row r="8959" spans="1:3" s="8" customFormat="1" x14ac:dyDescent="0.2">
      <c r="A8959" s="6" t="str">
        <f>"AOC2"</f>
        <v>AOC2</v>
      </c>
      <c r="B8959" s="6">
        <v>0.20679320679320601</v>
      </c>
      <c r="C8959" s="6">
        <v>0.405153398133899</v>
      </c>
    </row>
    <row r="8960" spans="1:3" s="8" customFormat="1" x14ac:dyDescent="0.2">
      <c r="A8960" s="6" t="str">
        <f>"AC104126.1"</f>
        <v>AC104126.1</v>
      </c>
      <c r="B8960" s="6">
        <v>0.20679320679320601</v>
      </c>
      <c r="C8960" s="6">
        <v>0.405153398133899</v>
      </c>
    </row>
    <row r="8961" spans="1:3" s="8" customFormat="1" x14ac:dyDescent="0.2">
      <c r="A8961" s="6" t="str">
        <f>"ZNF691"</f>
        <v>ZNF691</v>
      </c>
      <c r="B8961" s="6">
        <v>0.20679320679320601</v>
      </c>
      <c r="C8961" s="6">
        <v>0.405153398133899</v>
      </c>
    </row>
    <row r="8962" spans="1:3" s="8" customFormat="1" x14ac:dyDescent="0.2">
      <c r="A8962" s="6" t="str">
        <f>"C6orf223"</f>
        <v>C6orf223</v>
      </c>
      <c r="B8962" s="6">
        <v>0.20679320679320601</v>
      </c>
      <c r="C8962" s="6">
        <v>0.405153398133899</v>
      </c>
    </row>
    <row r="8963" spans="1:3" s="8" customFormat="1" x14ac:dyDescent="0.2">
      <c r="A8963" s="6" t="str">
        <f>"PSMC3IP"</f>
        <v>PSMC3IP</v>
      </c>
      <c r="B8963" s="6">
        <v>0.20679320679320601</v>
      </c>
      <c r="C8963" s="6">
        <v>0.405153398133899</v>
      </c>
    </row>
    <row r="8964" spans="1:3" s="8" customFormat="1" x14ac:dyDescent="0.2">
      <c r="A8964" s="6" t="str">
        <f>"TTC32"</f>
        <v>TTC32</v>
      </c>
      <c r="B8964" s="6">
        <v>0.20679320679320601</v>
      </c>
      <c r="C8964" s="6">
        <v>0.405153398133899</v>
      </c>
    </row>
    <row r="8965" spans="1:3" s="8" customFormat="1" x14ac:dyDescent="0.2">
      <c r="A8965" s="6" t="str">
        <f>"TWNK"</f>
        <v>TWNK</v>
      </c>
      <c r="B8965" s="6">
        <v>0.20679320679320601</v>
      </c>
      <c r="C8965" s="6">
        <v>0.405153398133899</v>
      </c>
    </row>
    <row r="8966" spans="1:3" s="8" customFormat="1" x14ac:dyDescent="0.2">
      <c r="A8966" s="6" t="str">
        <f>"FAM184A"</f>
        <v>FAM184A</v>
      </c>
      <c r="B8966" s="6">
        <v>0.20679320679320601</v>
      </c>
      <c r="C8966" s="6">
        <v>0.405153398133899</v>
      </c>
    </row>
    <row r="8967" spans="1:3" s="8" customFormat="1" x14ac:dyDescent="0.2">
      <c r="A8967" s="6" t="str">
        <f>"CCDC34"</f>
        <v>CCDC34</v>
      </c>
      <c r="B8967" s="6">
        <v>0.20679320679320601</v>
      </c>
      <c r="C8967" s="6">
        <v>0.405153398133899</v>
      </c>
    </row>
    <row r="8968" spans="1:3" s="8" customFormat="1" x14ac:dyDescent="0.2">
      <c r="A8968" s="6" t="str">
        <f>"C17orf107"</f>
        <v>C17orf107</v>
      </c>
      <c r="B8968" s="6">
        <v>0.20679320679320601</v>
      </c>
      <c r="C8968" s="6">
        <v>0.405153398133899</v>
      </c>
    </row>
    <row r="8969" spans="1:3" s="8" customFormat="1" x14ac:dyDescent="0.2">
      <c r="A8969" s="6" t="str">
        <f>"FRY"</f>
        <v>FRY</v>
      </c>
      <c r="B8969" s="6">
        <v>0.20679320679320601</v>
      </c>
      <c r="C8969" s="6">
        <v>0.405153398133899</v>
      </c>
    </row>
    <row r="8970" spans="1:3" s="8" customFormat="1" x14ac:dyDescent="0.2">
      <c r="A8970" s="6" t="str">
        <f>"ATXN7"</f>
        <v>ATXN7</v>
      </c>
      <c r="B8970" s="6">
        <v>0.20679320679320601</v>
      </c>
      <c r="C8970" s="6">
        <v>0.405153398133899</v>
      </c>
    </row>
    <row r="8971" spans="1:3" s="8" customFormat="1" x14ac:dyDescent="0.2">
      <c r="A8971" s="6" t="str">
        <f>"MANSC1"</f>
        <v>MANSC1</v>
      </c>
      <c r="B8971" s="6">
        <v>0.20679320679320601</v>
      </c>
      <c r="C8971" s="6">
        <v>0.405153398133899</v>
      </c>
    </row>
    <row r="8972" spans="1:3" s="8" customFormat="1" x14ac:dyDescent="0.2">
      <c r="A8972" s="6" t="str">
        <f>"KCNQ1"</f>
        <v>KCNQ1</v>
      </c>
      <c r="B8972" s="6">
        <v>0.20679320679320601</v>
      </c>
      <c r="C8972" s="6">
        <v>0.405153398133899</v>
      </c>
    </row>
    <row r="8973" spans="1:3" s="8" customFormat="1" x14ac:dyDescent="0.2">
      <c r="A8973" s="6" t="str">
        <f>"EIF2AK3"</f>
        <v>EIF2AK3</v>
      </c>
      <c r="B8973" s="6">
        <v>0.20679320679320601</v>
      </c>
      <c r="C8973" s="6">
        <v>0.405153398133899</v>
      </c>
    </row>
    <row r="8974" spans="1:3" s="8" customFormat="1" x14ac:dyDescent="0.2">
      <c r="A8974" s="6" t="str">
        <f>"USP8"</f>
        <v>USP8</v>
      </c>
      <c r="B8974" s="6">
        <v>0.20679320679320601</v>
      </c>
      <c r="C8974" s="6">
        <v>0.405153398133899</v>
      </c>
    </row>
    <row r="8975" spans="1:3" s="8" customFormat="1" x14ac:dyDescent="0.2">
      <c r="A8975" s="6" t="str">
        <f>"ST13"</f>
        <v>ST13</v>
      </c>
      <c r="B8975" s="6">
        <v>0.20679320679320601</v>
      </c>
      <c r="C8975" s="6">
        <v>0.405153398133899</v>
      </c>
    </row>
    <row r="8976" spans="1:3" s="8" customFormat="1" x14ac:dyDescent="0.2">
      <c r="A8976" s="6" t="str">
        <f>"RPL10A"</f>
        <v>RPL10A</v>
      </c>
      <c r="B8976" s="6">
        <v>0.20679320679320601</v>
      </c>
      <c r="C8976" s="6">
        <v>0.405153398133899</v>
      </c>
    </row>
    <row r="8977" spans="1:3" s="8" customFormat="1" x14ac:dyDescent="0.2">
      <c r="A8977" s="6" t="str">
        <f>"PSORS1C3"</f>
        <v>PSORS1C3</v>
      </c>
      <c r="B8977" s="6">
        <v>0.20689655172413701</v>
      </c>
      <c r="C8977" s="6">
        <v>0.40531071362714299</v>
      </c>
    </row>
    <row r="8978" spans="1:3" s="8" customFormat="1" x14ac:dyDescent="0.2">
      <c r="A8978" s="6" t="str">
        <f>"AC015908.2"</f>
        <v>AC015908.2</v>
      </c>
      <c r="B8978" s="6">
        <v>0.20699999999999999</v>
      </c>
      <c r="C8978" s="6">
        <v>0.40546819650217197</v>
      </c>
    </row>
    <row r="8979" spans="1:3" s="8" customFormat="1" x14ac:dyDescent="0.2">
      <c r="A8979" s="6" t="str">
        <f>"IGKV2-24"</f>
        <v>IGKV2-24</v>
      </c>
      <c r="B8979" s="6">
        <v>0.207792207792207</v>
      </c>
      <c r="C8979" s="6">
        <v>0.40557422375604102</v>
      </c>
    </row>
    <row r="8980" spans="1:3" s="8" customFormat="1" x14ac:dyDescent="0.2">
      <c r="A8980" s="6" t="str">
        <f>"IGHV1-46"</f>
        <v>IGHV1-46</v>
      </c>
      <c r="B8980" s="6">
        <v>0.207792207792207</v>
      </c>
      <c r="C8980" s="6">
        <v>0.40557422375604102</v>
      </c>
    </row>
    <row r="8981" spans="1:3" s="8" customFormat="1" x14ac:dyDescent="0.2">
      <c r="A8981" s="6" t="str">
        <f>"AC233699.1"</f>
        <v>AC233699.1</v>
      </c>
      <c r="B8981" s="6">
        <v>0.207792207792207</v>
      </c>
      <c r="C8981" s="6">
        <v>0.40557422375604102</v>
      </c>
    </row>
    <row r="8982" spans="1:3" s="8" customFormat="1" x14ac:dyDescent="0.2">
      <c r="A8982" s="6" t="str">
        <f>"AC079296.1"</f>
        <v>AC079296.1</v>
      </c>
      <c r="B8982" s="6">
        <v>0.207792207792207</v>
      </c>
      <c r="C8982" s="6">
        <v>0.40557422375604102</v>
      </c>
    </row>
    <row r="8983" spans="1:3" s="8" customFormat="1" x14ac:dyDescent="0.2">
      <c r="A8983" s="6" t="str">
        <f>"NKX2-8"</f>
        <v>NKX2-8</v>
      </c>
      <c r="B8983" s="6">
        <v>0.207792207792207</v>
      </c>
      <c r="C8983" s="6">
        <v>0.40557422375604102</v>
      </c>
    </row>
    <row r="8984" spans="1:3" s="8" customFormat="1" x14ac:dyDescent="0.2">
      <c r="A8984" s="6" t="str">
        <f>"AC016705.2"</f>
        <v>AC016705.2</v>
      </c>
      <c r="B8984" s="6">
        <v>0.207792207792207</v>
      </c>
      <c r="C8984" s="6">
        <v>0.40557422375604102</v>
      </c>
    </row>
    <row r="8985" spans="1:3" s="8" customFormat="1" x14ac:dyDescent="0.2">
      <c r="A8985" s="6" t="str">
        <f>"AC005618.1"</f>
        <v>AC005618.1</v>
      </c>
      <c r="B8985" s="6">
        <v>0.207792207792207</v>
      </c>
      <c r="C8985" s="6">
        <v>0.40557422375604102</v>
      </c>
    </row>
    <row r="8986" spans="1:3" s="8" customFormat="1" x14ac:dyDescent="0.2">
      <c r="A8986" s="6" t="str">
        <f>"KRBOX1"</f>
        <v>KRBOX1</v>
      </c>
      <c r="B8986" s="6">
        <v>0.207792207792207</v>
      </c>
      <c r="C8986" s="6">
        <v>0.40557422375604102</v>
      </c>
    </row>
    <row r="8987" spans="1:3" s="8" customFormat="1" x14ac:dyDescent="0.2">
      <c r="A8987" s="6" t="str">
        <f>"ARHGAP28"</f>
        <v>ARHGAP28</v>
      </c>
      <c r="B8987" s="6">
        <v>0.207792207792207</v>
      </c>
      <c r="C8987" s="6">
        <v>0.40557422375604102</v>
      </c>
    </row>
    <row r="8988" spans="1:3" s="8" customFormat="1" x14ac:dyDescent="0.2">
      <c r="A8988" s="6" t="str">
        <f>"LINC01534"</f>
        <v>LINC01534</v>
      </c>
      <c r="B8988" s="6">
        <v>0.207792207792207</v>
      </c>
      <c r="C8988" s="6">
        <v>0.40557422375604102</v>
      </c>
    </row>
    <row r="8989" spans="1:3" s="8" customFormat="1" x14ac:dyDescent="0.2">
      <c r="A8989" s="6" t="str">
        <f>"AC010326.4"</f>
        <v>AC010326.4</v>
      </c>
      <c r="B8989" s="6">
        <v>0.207792207792207</v>
      </c>
      <c r="C8989" s="6">
        <v>0.40557422375604102</v>
      </c>
    </row>
    <row r="8990" spans="1:3" s="8" customFormat="1" x14ac:dyDescent="0.2">
      <c r="A8990" s="6" t="str">
        <f>"ETV1"</f>
        <v>ETV1</v>
      </c>
      <c r="B8990" s="6">
        <v>0.207792207792207</v>
      </c>
      <c r="C8990" s="6">
        <v>0.40557422375604102</v>
      </c>
    </row>
    <row r="8991" spans="1:3" s="8" customFormat="1" x14ac:dyDescent="0.2">
      <c r="A8991" s="6" t="str">
        <f>"AC016582.3"</f>
        <v>AC016582.3</v>
      </c>
      <c r="B8991" s="6">
        <v>0.207792207792207</v>
      </c>
      <c r="C8991" s="6">
        <v>0.40557422375604102</v>
      </c>
    </row>
    <row r="8992" spans="1:3" s="8" customFormat="1" x14ac:dyDescent="0.2">
      <c r="A8992" s="6" t="str">
        <f>"RPL39L"</f>
        <v>RPL39L</v>
      </c>
      <c r="B8992" s="6">
        <v>0.207792207792207</v>
      </c>
      <c r="C8992" s="6">
        <v>0.40557422375604102</v>
      </c>
    </row>
    <row r="8993" spans="1:3" s="8" customFormat="1" x14ac:dyDescent="0.2">
      <c r="A8993" s="6" t="str">
        <f>"TTC34"</f>
        <v>TTC34</v>
      </c>
      <c r="B8993" s="6">
        <v>0.207792207792207</v>
      </c>
      <c r="C8993" s="6">
        <v>0.40557422375604102</v>
      </c>
    </row>
    <row r="8994" spans="1:3" s="8" customFormat="1" x14ac:dyDescent="0.2">
      <c r="A8994" s="6" t="str">
        <f>"R3HDM1"</f>
        <v>R3HDM1</v>
      </c>
      <c r="B8994" s="6">
        <v>0.207792207792207</v>
      </c>
      <c r="C8994" s="6">
        <v>0.40557422375604102</v>
      </c>
    </row>
    <row r="8995" spans="1:3" s="8" customFormat="1" x14ac:dyDescent="0.2">
      <c r="A8995" s="6" t="str">
        <f>"TDRD3"</f>
        <v>TDRD3</v>
      </c>
      <c r="B8995" s="6">
        <v>0.207792207792207</v>
      </c>
      <c r="C8995" s="6">
        <v>0.40557422375604102</v>
      </c>
    </row>
    <row r="8996" spans="1:3" s="8" customFormat="1" x14ac:dyDescent="0.2">
      <c r="A8996" s="6" t="str">
        <f>"TMED8"</f>
        <v>TMED8</v>
      </c>
      <c r="B8996" s="6">
        <v>0.207792207792207</v>
      </c>
      <c r="C8996" s="6">
        <v>0.40557422375604102</v>
      </c>
    </row>
    <row r="8997" spans="1:3" s="8" customFormat="1" x14ac:dyDescent="0.2">
      <c r="A8997" s="6" t="str">
        <f>"ARPIN-AP3S2"</f>
        <v>ARPIN-AP3S2</v>
      </c>
      <c r="B8997" s="6">
        <v>0.207792207792207</v>
      </c>
      <c r="C8997" s="6">
        <v>0.40557422375604102</v>
      </c>
    </row>
    <row r="8998" spans="1:3" s="8" customFormat="1" x14ac:dyDescent="0.2">
      <c r="A8998" s="6" t="str">
        <f>"TPMT"</f>
        <v>TPMT</v>
      </c>
      <c r="B8998" s="6">
        <v>0.207792207792207</v>
      </c>
      <c r="C8998" s="6">
        <v>0.40557422375604102</v>
      </c>
    </row>
    <row r="8999" spans="1:3" s="8" customFormat="1" x14ac:dyDescent="0.2">
      <c r="A8999" s="6" t="str">
        <f>"USP28"</f>
        <v>USP28</v>
      </c>
      <c r="B8999" s="6">
        <v>0.207792207792207</v>
      </c>
      <c r="C8999" s="6">
        <v>0.40557422375604102</v>
      </c>
    </row>
    <row r="9000" spans="1:3" s="8" customFormat="1" x14ac:dyDescent="0.2">
      <c r="A9000" s="6" t="str">
        <f>"TBK1"</f>
        <v>TBK1</v>
      </c>
      <c r="B9000" s="6">
        <v>0.207792207792207</v>
      </c>
      <c r="C9000" s="6">
        <v>0.40557422375604102</v>
      </c>
    </row>
    <row r="9001" spans="1:3" s="8" customFormat="1" x14ac:dyDescent="0.2">
      <c r="A9001" s="6" t="str">
        <f>"BDKRB2"</f>
        <v>BDKRB2</v>
      </c>
      <c r="B9001" s="6">
        <v>0.207792207792207</v>
      </c>
      <c r="C9001" s="6">
        <v>0.40557422375604102</v>
      </c>
    </row>
    <row r="9002" spans="1:3" s="8" customFormat="1" x14ac:dyDescent="0.2">
      <c r="A9002" s="6" t="str">
        <f>"XACT"</f>
        <v>XACT</v>
      </c>
      <c r="B9002" s="6">
        <v>0.207792207792207</v>
      </c>
      <c r="C9002" s="6">
        <v>0.40557422375604102</v>
      </c>
    </row>
    <row r="9003" spans="1:3" s="8" customFormat="1" x14ac:dyDescent="0.2">
      <c r="A9003" s="6" t="str">
        <f>"FNBP1"</f>
        <v>FNBP1</v>
      </c>
      <c r="B9003" s="6">
        <v>0.207792207792207</v>
      </c>
      <c r="C9003" s="6">
        <v>0.40557422375604102</v>
      </c>
    </row>
    <row r="9004" spans="1:3" s="8" customFormat="1" x14ac:dyDescent="0.2">
      <c r="A9004" s="6" t="str">
        <f>"TMEM87B"</f>
        <v>TMEM87B</v>
      </c>
      <c r="B9004" s="6">
        <v>0.207792207792207</v>
      </c>
      <c r="C9004" s="6">
        <v>0.40557422375604102</v>
      </c>
    </row>
    <row r="9005" spans="1:3" s="8" customFormat="1" x14ac:dyDescent="0.2">
      <c r="A9005" s="6" t="str">
        <f>"PKP2"</f>
        <v>PKP2</v>
      </c>
      <c r="B9005" s="6">
        <v>0.207792207792207</v>
      </c>
      <c r="C9005" s="6">
        <v>0.40557422375604102</v>
      </c>
    </row>
    <row r="9006" spans="1:3" s="8" customFormat="1" x14ac:dyDescent="0.2">
      <c r="A9006" s="6" t="str">
        <f>"TMEM184B"</f>
        <v>TMEM184B</v>
      </c>
      <c r="B9006" s="6">
        <v>0.207792207792207</v>
      </c>
      <c r="C9006" s="6">
        <v>0.40557422375604102</v>
      </c>
    </row>
    <row r="9007" spans="1:3" s="8" customFormat="1" x14ac:dyDescent="0.2">
      <c r="A9007" s="6" t="str">
        <f>"ANKRD28"</f>
        <v>ANKRD28</v>
      </c>
      <c r="B9007" s="6">
        <v>0.207792207792207</v>
      </c>
      <c r="C9007" s="6">
        <v>0.40557422375604102</v>
      </c>
    </row>
    <row r="9008" spans="1:3" s="8" customFormat="1" x14ac:dyDescent="0.2">
      <c r="A9008" s="6" t="str">
        <f>"PPP4C"</f>
        <v>PPP4C</v>
      </c>
      <c r="B9008" s="6">
        <v>0.207792207792207</v>
      </c>
      <c r="C9008" s="6">
        <v>0.40557422375604102</v>
      </c>
    </row>
    <row r="9009" spans="1:3" s="8" customFormat="1" x14ac:dyDescent="0.2">
      <c r="A9009" s="6" t="str">
        <f>"ARHGDIA"</f>
        <v>ARHGDIA</v>
      </c>
      <c r="B9009" s="6">
        <v>0.207792207792207</v>
      </c>
      <c r="C9009" s="6">
        <v>0.40557422375604102</v>
      </c>
    </row>
    <row r="9010" spans="1:3" s="8" customFormat="1" x14ac:dyDescent="0.2">
      <c r="A9010" s="6" t="str">
        <f>"PPP1CB"</f>
        <v>PPP1CB</v>
      </c>
      <c r="B9010" s="6">
        <v>0.207792207792207</v>
      </c>
      <c r="C9010" s="6">
        <v>0.40557422375604102</v>
      </c>
    </row>
    <row r="9011" spans="1:3" s="8" customFormat="1" x14ac:dyDescent="0.2">
      <c r="A9011" s="6" t="str">
        <f>"AC026471.4"</f>
        <v>AC026471.4</v>
      </c>
      <c r="B9011" s="6">
        <v>0.20799999999999999</v>
      </c>
      <c r="C9011" s="6">
        <v>0.40593473917869</v>
      </c>
    </row>
    <row r="9012" spans="1:3" s="8" customFormat="1" x14ac:dyDescent="0.2">
      <c r="A9012" s="6" t="str">
        <f>"AL121906.2"</f>
        <v>AL121906.2</v>
      </c>
      <c r="B9012" s="6">
        <v>0.20804020100502499</v>
      </c>
      <c r="C9012" s="6">
        <v>0.40596813832786099</v>
      </c>
    </row>
    <row r="9013" spans="1:3" s="8" customFormat="1" x14ac:dyDescent="0.2">
      <c r="A9013" s="6" t="str">
        <f>"AC025048.6"</f>
        <v>AC025048.6</v>
      </c>
      <c r="B9013" s="6">
        <v>0.20820820820820801</v>
      </c>
      <c r="C9013" s="6">
        <v>0.40625090247815498</v>
      </c>
    </row>
    <row r="9014" spans="1:3" s="8" customFormat="1" x14ac:dyDescent="0.2">
      <c r="A9014" s="6" t="str">
        <f>"PRB1"</f>
        <v>PRB1</v>
      </c>
      <c r="B9014" s="6">
        <v>0.20879120879120799</v>
      </c>
      <c r="C9014" s="6">
        <v>0.40666643945332398</v>
      </c>
    </row>
    <row r="9015" spans="1:3" s="8" customFormat="1" x14ac:dyDescent="0.2">
      <c r="A9015" s="6" t="str">
        <f>"LINC02817"</f>
        <v>LINC02817</v>
      </c>
      <c r="B9015" s="6">
        <v>0.20879120879120799</v>
      </c>
      <c r="C9015" s="6">
        <v>0.40666643945332398</v>
      </c>
    </row>
    <row r="9016" spans="1:3" s="8" customFormat="1" x14ac:dyDescent="0.2">
      <c r="A9016" s="6" t="str">
        <f>"HPGDS"</f>
        <v>HPGDS</v>
      </c>
      <c r="B9016" s="6">
        <v>0.20879120879120799</v>
      </c>
      <c r="C9016" s="6">
        <v>0.40666643945332398</v>
      </c>
    </row>
    <row r="9017" spans="1:3" s="8" customFormat="1" x14ac:dyDescent="0.2">
      <c r="A9017" s="6" t="str">
        <f>"KIAA1549L"</f>
        <v>KIAA1549L</v>
      </c>
      <c r="B9017" s="6">
        <v>0.20879120879120799</v>
      </c>
      <c r="C9017" s="6">
        <v>0.40666643945332398</v>
      </c>
    </row>
    <row r="9018" spans="1:3" s="8" customFormat="1" x14ac:dyDescent="0.2">
      <c r="A9018" s="6" t="str">
        <f>"PTGS1"</f>
        <v>PTGS1</v>
      </c>
      <c r="B9018" s="6">
        <v>0.20879120879120799</v>
      </c>
      <c r="C9018" s="6">
        <v>0.40666643945332398</v>
      </c>
    </row>
    <row r="9019" spans="1:3" s="8" customFormat="1" x14ac:dyDescent="0.2">
      <c r="A9019" s="6" t="str">
        <f>"AC025154.2"</f>
        <v>AC025154.2</v>
      </c>
      <c r="B9019" s="6">
        <v>0.20879120879120799</v>
      </c>
      <c r="C9019" s="6">
        <v>0.40666643945332398</v>
      </c>
    </row>
    <row r="9020" spans="1:3" s="8" customFormat="1" x14ac:dyDescent="0.2">
      <c r="A9020" s="6" t="str">
        <f>"HR"</f>
        <v>HR</v>
      </c>
      <c r="B9020" s="6">
        <v>0.20879120879120799</v>
      </c>
      <c r="C9020" s="6">
        <v>0.40666643945332398</v>
      </c>
    </row>
    <row r="9021" spans="1:3" s="8" customFormat="1" x14ac:dyDescent="0.2">
      <c r="A9021" s="6" t="str">
        <f>"ARL6"</f>
        <v>ARL6</v>
      </c>
      <c r="B9021" s="6">
        <v>0.20879120879120799</v>
      </c>
      <c r="C9021" s="6">
        <v>0.40666643945332398</v>
      </c>
    </row>
    <row r="9022" spans="1:3" s="8" customFormat="1" x14ac:dyDescent="0.2">
      <c r="A9022" s="6" t="str">
        <f>"HINT2"</f>
        <v>HINT2</v>
      </c>
      <c r="B9022" s="6">
        <v>0.20879120879120799</v>
      </c>
      <c r="C9022" s="6">
        <v>0.40666643945332398</v>
      </c>
    </row>
    <row r="9023" spans="1:3" s="8" customFormat="1" x14ac:dyDescent="0.2">
      <c r="A9023" s="6" t="str">
        <f>"COL4A5"</f>
        <v>COL4A5</v>
      </c>
      <c r="B9023" s="6">
        <v>0.20879120879120799</v>
      </c>
      <c r="C9023" s="6">
        <v>0.40666643945332398</v>
      </c>
    </row>
    <row r="9024" spans="1:3" s="8" customFormat="1" x14ac:dyDescent="0.2">
      <c r="A9024" s="6" t="str">
        <f>"ELF4"</f>
        <v>ELF4</v>
      </c>
      <c r="B9024" s="6">
        <v>0.20879120879120799</v>
      </c>
      <c r="C9024" s="6">
        <v>0.40666643945332398</v>
      </c>
    </row>
    <row r="9025" spans="1:3" s="8" customFormat="1" x14ac:dyDescent="0.2">
      <c r="A9025" s="6" t="str">
        <f>"TXNL4A"</f>
        <v>TXNL4A</v>
      </c>
      <c r="B9025" s="6">
        <v>0.20879120879120799</v>
      </c>
      <c r="C9025" s="6">
        <v>0.40666643945332398</v>
      </c>
    </row>
    <row r="9026" spans="1:3" s="8" customFormat="1" x14ac:dyDescent="0.2">
      <c r="A9026" s="6" t="str">
        <f>"TBL1X"</f>
        <v>TBL1X</v>
      </c>
      <c r="B9026" s="6">
        <v>0.20879120879120799</v>
      </c>
      <c r="C9026" s="6">
        <v>0.40666643945332398</v>
      </c>
    </row>
    <row r="9027" spans="1:3" s="8" customFormat="1" x14ac:dyDescent="0.2">
      <c r="A9027" s="6" t="str">
        <f>"GNAI3"</f>
        <v>GNAI3</v>
      </c>
      <c r="B9027" s="6">
        <v>0.20879120879120799</v>
      </c>
      <c r="C9027" s="6">
        <v>0.40666643945332398</v>
      </c>
    </row>
    <row r="9028" spans="1:3" s="8" customFormat="1" x14ac:dyDescent="0.2">
      <c r="A9028" s="6" t="str">
        <f>"AARS1"</f>
        <v>AARS1</v>
      </c>
      <c r="B9028" s="6">
        <v>0.20879120879120799</v>
      </c>
      <c r="C9028" s="6">
        <v>0.40666643945332398</v>
      </c>
    </row>
    <row r="9029" spans="1:3" s="8" customFormat="1" x14ac:dyDescent="0.2">
      <c r="A9029" s="6" t="str">
        <f>"SERPINB3"</f>
        <v>SERPINB3</v>
      </c>
      <c r="B9029" s="6">
        <v>0.20879120879120799</v>
      </c>
      <c r="C9029" s="6">
        <v>0.40666643945332398</v>
      </c>
    </row>
    <row r="9030" spans="1:3" s="8" customFormat="1" x14ac:dyDescent="0.2">
      <c r="A9030" s="6" t="str">
        <f>"AL590652.1"</f>
        <v>AL590652.1</v>
      </c>
      <c r="B9030" s="6">
        <v>0.20899999999999999</v>
      </c>
      <c r="C9030" s="6">
        <v>0.40702802082179601</v>
      </c>
    </row>
    <row r="9031" spans="1:3" s="8" customFormat="1" x14ac:dyDescent="0.2">
      <c r="A9031" s="6" t="str">
        <f>"AC003006.1"</f>
        <v>AC003006.1</v>
      </c>
      <c r="B9031" s="6">
        <v>0.20979020979020899</v>
      </c>
      <c r="C9031" s="6">
        <v>0.407799143151785</v>
      </c>
    </row>
    <row r="9032" spans="1:3" s="8" customFormat="1" x14ac:dyDescent="0.2">
      <c r="A9032" s="6" t="str">
        <f>"PGM5-AS1"</f>
        <v>PGM5-AS1</v>
      </c>
      <c r="B9032" s="6">
        <v>0.20979020979020899</v>
      </c>
      <c r="C9032" s="6">
        <v>0.407799143151785</v>
      </c>
    </row>
    <row r="9033" spans="1:3" s="8" customFormat="1" x14ac:dyDescent="0.2">
      <c r="A9033" s="6" t="str">
        <f>"KHK"</f>
        <v>KHK</v>
      </c>
      <c r="B9033" s="6">
        <v>0.20979020979020899</v>
      </c>
      <c r="C9033" s="6">
        <v>0.407799143151785</v>
      </c>
    </row>
    <row r="9034" spans="1:3" s="8" customFormat="1" x14ac:dyDescent="0.2">
      <c r="A9034" s="6" t="str">
        <f>"MILR1"</f>
        <v>MILR1</v>
      </c>
      <c r="B9034" s="6">
        <v>0.20979020979020899</v>
      </c>
      <c r="C9034" s="6">
        <v>0.407799143151785</v>
      </c>
    </row>
    <row r="9035" spans="1:3" s="8" customFormat="1" x14ac:dyDescent="0.2">
      <c r="A9035" s="6" t="str">
        <f>"KCP"</f>
        <v>KCP</v>
      </c>
      <c r="B9035" s="6">
        <v>0.20979020979020899</v>
      </c>
      <c r="C9035" s="6">
        <v>0.407799143151785</v>
      </c>
    </row>
    <row r="9036" spans="1:3" s="8" customFormat="1" x14ac:dyDescent="0.2">
      <c r="A9036" s="6" t="str">
        <f>"FAM219A"</f>
        <v>FAM219A</v>
      </c>
      <c r="B9036" s="6">
        <v>0.20979020979020899</v>
      </c>
      <c r="C9036" s="6">
        <v>0.407799143151785</v>
      </c>
    </row>
    <row r="9037" spans="1:3" s="8" customFormat="1" x14ac:dyDescent="0.2">
      <c r="A9037" s="6" t="str">
        <f>"ZNF555"</f>
        <v>ZNF555</v>
      </c>
      <c r="B9037" s="6">
        <v>0.20979020979020899</v>
      </c>
      <c r="C9037" s="6">
        <v>0.407799143151785</v>
      </c>
    </row>
    <row r="9038" spans="1:3" s="8" customFormat="1" x14ac:dyDescent="0.2">
      <c r="A9038" s="6" t="str">
        <f>"ISL1"</f>
        <v>ISL1</v>
      </c>
      <c r="B9038" s="6">
        <v>0.20979020979020899</v>
      </c>
      <c r="C9038" s="6">
        <v>0.407799143151785</v>
      </c>
    </row>
    <row r="9039" spans="1:3" s="8" customFormat="1" x14ac:dyDescent="0.2">
      <c r="A9039" s="6" t="str">
        <f>"SS18L1"</f>
        <v>SS18L1</v>
      </c>
      <c r="B9039" s="6">
        <v>0.20979020979020899</v>
      </c>
      <c r="C9039" s="6">
        <v>0.407799143151785</v>
      </c>
    </row>
    <row r="9040" spans="1:3" s="8" customFormat="1" x14ac:dyDescent="0.2">
      <c r="A9040" s="6" t="str">
        <f>"MAP11"</f>
        <v>MAP11</v>
      </c>
      <c r="B9040" s="6">
        <v>0.20979020979020899</v>
      </c>
      <c r="C9040" s="6">
        <v>0.407799143151785</v>
      </c>
    </row>
    <row r="9041" spans="1:3" s="8" customFormat="1" x14ac:dyDescent="0.2">
      <c r="A9041" s="6" t="str">
        <f>"RAB17"</f>
        <v>RAB17</v>
      </c>
      <c r="B9041" s="6">
        <v>0.20979020979020899</v>
      </c>
      <c r="C9041" s="6">
        <v>0.407799143151785</v>
      </c>
    </row>
    <row r="9042" spans="1:3" s="8" customFormat="1" x14ac:dyDescent="0.2">
      <c r="A9042" s="6" t="str">
        <f>"KPNA5"</f>
        <v>KPNA5</v>
      </c>
      <c r="B9042" s="6">
        <v>0.20979020979020899</v>
      </c>
      <c r="C9042" s="6">
        <v>0.407799143151785</v>
      </c>
    </row>
    <row r="9043" spans="1:3" s="8" customFormat="1" x14ac:dyDescent="0.2">
      <c r="A9043" s="6" t="str">
        <f>"XDH"</f>
        <v>XDH</v>
      </c>
      <c r="B9043" s="6">
        <v>0.20979020979020899</v>
      </c>
      <c r="C9043" s="6">
        <v>0.407799143151785</v>
      </c>
    </row>
    <row r="9044" spans="1:3" s="8" customFormat="1" x14ac:dyDescent="0.2">
      <c r="A9044" s="6" t="str">
        <f>"MRPL35"</f>
        <v>MRPL35</v>
      </c>
      <c r="B9044" s="6">
        <v>0.20979020979020899</v>
      </c>
      <c r="C9044" s="6">
        <v>0.407799143151785</v>
      </c>
    </row>
    <row r="9045" spans="1:3" s="8" customFormat="1" x14ac:dyDescent="0.2">
      <c r="A9045" s="6" t="str">
        <f>"ZNF710"</f>
        <v>ZNF710</v>
      </c>
      <c r="B9045" s="6">
        <v>0.20979020979020899</v>
      </c>
      <c r="C9045" s="6">
        <v>0.407799143151785</v>
      </c>
    </row>
    <row r="9046" spans="1:3" s="8" customFormat="1" x14ac:dyDescent="0.2">
      <c r="A9046" s="6" t="str">
        <f>"PLPPR3"</f>
        <v>PLPPR3</v>
      </c>
      <c r="B9046" s="6">
        <v>0.20979020979020899</v>
      </c>
      <c r="C9046" s="6">
        <v>0.407799143151785</v>
      </c>
    </row>
    <row r="9047" spans="1:3" s="8" customFormat="1" x14ac:dyDescent="0.2">
      <c r="A9047" s="6" t="str">
        <f>"NSD1"</f>
        <v>NSD1</v>
      </c>
      <c r="B9047" s="6">
        <v>0.20979020979020899</v>
      </c>
      <c r="C9047" s="6">
        <v>0.407799143151785</v>
      </c>
    </row>
    <row r="9048" spans="1:3" s="8" customFormat="1" x14ac:dyDescent="0.2">
      <c r="A9048" s="6" t="str">
        <f>"AC008763.2"</f>
        <v>AC008763.2</v>
      </c>
      <c r="B9048" s="6">
        <v>0.21</v>
      </c>
      <c r="C9048" s="6">
        <v>0.408026519337016</v>
      </c>
    </row>
    <row r="9049" spans="1:3" s="8" customFormat="1" x14ac:dyDescent="0.2">
      <c r="A9049" s="6" t="str">
        <f>"AC008278.1"</f>
        <v>AC008278.1</v>
      </c>
      <c r="B9049" s="6">
        <v>0.21</v>
      </c>
      <c r="C9049" s="6">
        <v>0.408026519337016</v>
      </c>
    </row>
    <row r="9050" spans="1:3" s="8" customFormat="1" x14ac:dyDescent="0.2">
      <c r="A9050" s="6" t="str">
        <f>"PAK3"</f>
        <v>PAK3</v>
      </c>
      <c r="B9050" s="6">
        <v>0.21</v>
      </c>
      <c r="C9050" s="6">
        <v>0.408026519337016</v>
      </c>
    </row>
    <row r="9051" spans="1:3" s="8" customFormat="1" x14ac:dyDescent="0.2">
      <c r="A9051" s="6" t="str">
        <f>"ST8SIA1"</f>
        <v>ST8SIA1</v>
      </c>
      <c r="B9051" s="6">
        <v>0.21</v>
      </c>
      <c r="C9051" s="6">
        <v>0.408026519337016</v>
      </c>
    </row>
    <row r="9052" spans="1:3" s="8" customFormat="1" x14ac:dyDescent="0.2">
      <c r="A9052" s="6" t="str">
        <f>"TFAP2A-AS2"</f>
        <v>TFAP2A-AS2</v>
      </c>
      <c r="B9052" s="6">
        <v>0.21021021021021</v>
      </c>
      <c r="C9052" s="6">
        <v>0.40838982834342402</v>
      </c>
    </row>
    <row r="9053" spans="1:3" s="8" customFormat="1" x14ac:dyDescent="0.2">
      <c r="A9053" s="6" t="str">
        <f>"CNGB3"</f>
        <v>CNGB3</v>
      </c>
      <c r="B9053" s="6">
        <v>0.21078921078921001</v>
      </c>
      <c r="C9053" s="6">
        <v>0.408476689719801</v>
      </c>
    </row>
    <row r="9054" spans="1:3" s="8" customFormat="1" x14ac:dyDescent="0.2">
      <c r="A9054" s="6" t="str">
        <f>"PRSS43P"</f>
        <v>PRSS43P</v>
      </c>
      <c r="B9054" s="6">
        <v>0.21078921078921001</v>
      </c>
      <c r="C9054" s="6">
        <v>0.408476689719801</v>
      </c>
    </row>
    <row r="9055" spans="1:3" s="8" customFormat="1" x14ac:dyDescent="0.2">
      <c r="A9055" s="6" t="str">
        <f>"ANKRD7"</f>
        <v>ANKRD7</v>
      </c>
      <c r="B9055" s="6">
        <v>0.21078921078921001</v>
      </c>
      <c r="C9055" s="6">
        <v>0.408476689719801</v>
      </c>
    </row>
    <row r="9056" spans="1:3" s="8" customFormat="1" x14ac:dyDescent="0.2">
      <c r="A9056" s="6" t="str">
        <f>"LINC00637"</f>
        <v>LINC00637</v>
      </c>
      <c r="B9056" s="6">
        <v>0.21078921078921001</v>
      </c>
      <c r="C9056" s="6">
        <v>0.408476689719801</v>
      </c>
    </row>
    <row r="9057" spans="1:3" s="8" customFormat="1" x14ac:dyDescent="0.2">
      <c r="A9057" s="6" t="str">
        <f>"BMS1P10"</f>
        <v>BMS1P10</v>
      </c>
      <c r="B9057" s="6">
        <v>0.21078921078921001</v>
      </c>
      <c r="C9057" s="6">
        <v>0.408476689719801</v>
      </c>
    </row>
    <row r="9058" spans="1:3" s="8" customFormat="1" x14ac:dyDescent="0.2">
      <c r="A9058" s="6" t="str">
        <f>"ELFN1"</f>
        <v>ELFN1</v>
      </c>
      <c r="B9058" s="6">
        <v>0.21078921078921001</v>
      </c>
      <c r="C9058" s="6">
        <v>0.408476689719801</v>
      </c>
    </row>
    <row r="9059" spans="1:3" s="8" customFormat="1" x14ac:dyDescent="0.2">
      <c r="A9059" s="6" t="str">
        <f>"AC010198.2"</f>
        <v>AC010198.2</v>
      </c>
      <c r="B9059" s="6">
        <v>0.21078921078921001</v>
      </c>
      <c r="C9059" s="6">
        <v>0.408476689719801</v>
      </c>
    </row>
    <row r="9060" spans="1:3" s="8" customFormat="1" x14ac:dyDescent="0.2">
      <c r="A9060" s="6" t="str">
        <f>"GAMT"</f>
        <v>GAMT</v>
      </c>
      <c r="B9060" s="6">
        <v>0.21078921078921001</v>
      </c>
      <c r="C9060" s="6">
        <v>0.408476689719801</v>
      </c>
    </row>
    <row r="9061" spans="1:3" s="8" customFormat="1" x14ac:dyDescent="0.2">
      <c r="A9061" s="6" t="str">
        <f>"TMEM171"</f>
        <v>TMEM171</v>
      </c>
      <c r="B9061" s="6">
        <v>0.21078921078921001</v>
      </c>
      <c r="C9061" s="6">
        <v>0.408476689719801</v>
      </c>
    </row>
    <row r="9062" spans="1:3" s="8" customFormat="1" x14ac:dyDescent="0.2">
      <c r="A9062" s="6" t="str">
        <f>"ZNF470"</f>
        <v>ZNF470</v>
      </c>
      <c r="B9062" s="6">
        <v>0.21078921078921001</v>
      </c>
      <c r="C9062" s="6">
        <v>0.408476689719801</v>
      </c>
    </row>
    <row r="9063" spans="1:3" s="8" customFormat="1" x14ac:dyDescent="0.2">
      <c r="A9063" s="6" t="str">
        <f>"ZNF677"</f>
        <v>ZNF677</v>
      </c>
      <c r="B9063" s="6">
        <v>0.21078921078921001</v>
      </c>
      <c r="C9063" s="6">
        <v>0.408476689719801</v>
      </c>
    </row>
    <row r="9064" spans="1:3" s="8" customFormat="1" x14ac:dyDescent="0.2">
      <c r="A9064" s="6" t="str">
        <f>"CADM1"</f>
        <v>CADM1</v>
      </c>
      <c r="B9064" s="6">
        <v>0.21078921078921001</v>
      </c>
      <c r="C9064" s="6">
        <v>0.408476689719801</v>
      </c>
    </row>
    <row r="9065" spans="1:3" s="8" customFormat="1" x14ac:dyDescent="0.2">
      <c r="A9065" s="6" t="str">
        <f>"STC1"</f>
        <v>STC1</v>
      </c>
      <c r="B9065" s="6">
        <v>0.21078921078921001</v>
      </c>
      <c r="C9065" s="6">
        <v>0.408476689719801</v>
      </c>
    </row>
    <row r="9066" spans="1:3" s="8" customFormat="1" x14ac:dyDescent="0.2">
      <c r="A9066" s="6" t="str">
        <f>"SRBD1"</f>
        <v>SRBD1</v>
      </c>
      <c r="B9066" s="6">
        <v>0.21078921078921001</v>
      </c>
      <c r="C9066" s="6">
        <v>0.408476689719801</v>
      </c>
    </row>
    <row r="9067" spans="1:3" s="8" customFormat="1" x14ac:dyDescent="0.2">
      <c r="A9067" s="6" t="str">
        <f>"SLC38A7"</f>
        <v>SLC38A7</v>
      </c>
      <c r="B9067" s="6">
        <v>0.21078921078921001</v>
      </c>
      <c r="C9067" s="6">
        <v>0.408476689719801</v>
      </c>
    </row>
    <row r="9068" spans="1:3" s="8" customFormat="1" x14ac:dyDescent="0.2">
      <c r="A9068" s="6" t="str">
        <f>"CLBA1"</f>
        <v>CLBA1</v>
      </c>
      <c r="B9068" s="6">
        <v>0.21078921078921001</v>
      </c>
      <c r="C9068" s="6">
        <v>0.408476689719801</v>
      </c>
    </row>
    <row r="9069" spans="1:3" s="8" customFormat="1" x14ac:dyDescent="0.2">
      <c r="A9069" s="6" t="str">
        <f>"CDKN1B"</f>
        <v>CDKN1B</v>
      </c>
      <c r="B9069" s="6">
        <v>0.21078921078921001</v>
      </c>
      <c r="C9069" s="6">
        <v>0.408476689719801</v>
      </c>
    </row>
    <row r="9070" spans="1:3" s="8" customFormat="1" x14ac:dyDescent="0.2">
      <c r="A9070" s="6" t="str">
        <f>"CFAP36"</f>
        <v>CFAP36</v>
      </c>
      <c r="B9070" s="6">
        <v>0.21078921078921001</v>
      </c>
      <c r="C9070" s="6">
        <v>0.408476689719801</v>
      </c>
    </row>
    <row r="9071" spans="1:3" s="8" customFormat="1" x14ac:dyDescent="0.2">
      <c r="A9071" s="6" t="str">
        <f>"SPEF2"</f>
        <v>SPEF2</v>
      </c>
      <c r="B9071" s="6">
        <v>0.21078921078921001</v>
      </c>
      <c r="C9071" s="6">
        <v>0.408476689719801</v>
      </c>
    </row>
    <row r="9072" spans="1:3" s="8" customFormat="1" x14ac:dyDescent="0.2">
      <c r="A9072" s="6" t="str">
        <f>"ZFAND3"</f>
        <v>ZFAND3</v>
      </c>
      <c r="B9072" s="6">
        <v>0.21078921078921001</v>
      </c>
      <c r="C9072" s="6">
        <v>0.408476689719801</v>
      </c>
    </row>
    <row r="9073" spans="1:3" s="8" customFormat="1" x14ac:dyDescent="0.2">
      <c r="A9073" s="6" t="str">
        <f>"ARL3"</f>
        <v>ARL3</v>
      </c>
      <c r="B9073" s="6">
        <v>0.21078921078921001</v>
      </c>
      <c r="C9073" s="6">
        <v>0.408476689719801</v>
      </c>
    </row>
    <row r="9074" spans="1:3" s="8" customFormat="1" x14ac:dyDescent="0.2">
      <c r="A9074" s="6" t="str">
        <f>"PUM2"</f>
        <v>PUM2</v>
      </c>
      <c r="B9074" s="6">
        <v>0.21078921078921001</v>
      </c>
      <c r="C9074" s="6">
        <v>0.408476689719801</v>
      </c>
    </row>
    <row r="9075" spans="1:3" s="8" customFormat="1" x14ac:dyDescent="0.2">
      <c r="A9075" s="6" t="str">
        <f>"CD82"</f>
        <v>CD82</v>
      </c>
      <c r="B9075" s="6">
        <v>0.21078921078921001</v>
      </c>
      <c r="C9075" s="6">
        <v>0.408476689719801</v>
      </c>
    </row>
    <row r="9076" spans="1:3" s="8" customFormat="1" x14ac:dyDescent="0.2">
      <c r="A9076" s="6" t="str">
        <f>"AC116562.2"</f>
        <v>AC116562.2</v>
      </c>
      <c r="B9076" s="6">
        <v>0.210905349794238</v>
      </c>
      <c r="C9076" s="6">
        <v>0.40865671303381701</v>
      </c>
    </row>
    <row r="9077" spans="1:3" s="8" customFormat="1" x14ac:dyDescent="0.2">
      <c r="A9077" s="6" t="str">
        <f>"AL121749.1"</f>
        <v>AL121749.1</v>
      </c>
      <c r="B9077" s="6">
        <v>0.21099999999999999</v>
      </c>
      <c r="C9077" s="6">
        <v>0.40875002754213902</v>
      </c>
    </row>
    <row r="9078" spans="1:3" s="8" customFormat="1" x14ac:dyDescent="0.2">
      <c r="A9078" s="6" t="str">
        <f>"RNF217"</f>
        <v>RNF217</v>
      </c>
      <c r="B9078" s="6">
        <v>0.21099999999999999</v>
      </c>
      <c r="C9078" s="6">
        <v>0.40875002754213902</v>
      </c>
    </row>
    <row r="9079" spans="1:3" s="8" customFormat="1" x14ac:dyDescent="0.2">
      <c r="A9079" s="6" t="str">
        <f>"AP001453.2"</f>
        <v>AP001453.2</v>
      </c>
      <c r="B9079" s="6">
        <v>0.211788211788211</v>
      </c>
      <c r="C9079" s="6">
        <v>0.409600078759779</v>
      </c>
    </row>
    <row r="9080" spans="1:3" s="8" customFormat="1" x14ac:dyDescent="0.2">
      <c r="A9080" s="6" t="str">
        <f>"AC091132.3"</f>
        <v>AC091132.3</v>
      </c>
      <c r="B9080" s="6">
        <v>0.211788211788211</v>
      </c>
      <c r="C9080" s="6">
        <v>0.409600078759779</v>
      </c>
    </row>
    <row r="9081" spans="1:3" s="8" customFormat="1" x14ac:dyDescent="0.2">
      <c r="A9081" s="6" t="str">
        <f>"NPTX2"</f>
        <v>NPTX2</v>
      </c>
      <c r="B9081" s="6">
        <v>0.211788211788211</v>
      </c>
      <c r="C9081" s="6">
        <v>0.409600078759779</v>
      </c>
    </row>
    <row r="9082" spans="1:3" s="8" customFormat="1" x14ac:dyDescent="0.2">
      <c r="A9082" s="6" t="str">
        <f>"AC012313.8"</f>
        <v>AC012313.8</v>
      </c>
      <c r="B9082" s="6">
        <v>0.211788211788211</v>
      </c>
      <c r="C9082" s="6">
        <v>0.409600078759779</v>
      </c>
    </row>
    <row r="9083" spans="1:3" s="8" customFormat="1" x14ac:dyDescent="0.2">
      <c r="A9083" s="6" t="str">
        <f>"AC026304.1"</f>
        <v>AC026304.1</v>
      </c>
      <c r="B9083" s="6">
        <v>0.211788211788211</v>
      </c>
      <c r="C9083" s="6">
        <v>0.409600078759779</v>
      </c>
    </row>
    <row r="9084" spans="1:3" s="8" customFormat="1" x14ac:dyDescent="0.2">
      <c r="A9084" s="6" t="str">
        <f>"AC005520.5"</f>
        <v>AC005520.5</v>
      </c>
      <c r="B9084" s="6">
        <v>0.211788211788211</v>
      </c>
      <c r="C9084" s="6">
        <v>0.409600078759779</v>
      </c>
    </row>
    <row r="9085" spans="1:3" s="8" customFormat="1" x14ac:dyDescent="0.2">
      <c r="A9085" s="6" t="str">
        <f>"LINC02747"</f>
        <v>LINC02747</v>
      </c>
      <c r="B9085" s="6">
        <v>0.211788211788211</v>
      </c>
      <c r="C9085" s="6">
        <v>0.409600078759779</v>
      </c>
    </row>
    <row r="9086" spans="1:3" s="8" customFormat="1" x14ac:dyDescent="0.2">
      <c r="A9086" s="6" t="str">
        <f>"TIGD5"</f>
        <v>TIGD5</v>
      </c>
      <c r="B9086" s="6">
        <v>0.211788211788211</v>
      </c>
      <c r="C9086" s="6">
        <v>0.409600078759779</v>
      </c>
    </row>
    <row r="9087" spans="1:3" s="8" customFormat="1" x14ac:dyDescent="0.2">
      <c r="A9087" s="6" t="str">
        <f>"LTK"</f>
        <v>LTK</v>
      </c>
      <c r="B9087" s="6">
        <v>0.211788211788211</v>
      </c>
      <c r="C9087" s="6">
        <v>0.409600078759779</v>
      </c>
    </row>
    <row r="9088" spans="1:3" s="8" customFormat="1" x14ac:dyDescent="0.2">
      <c r="A9088" s="6" t="str">
        <f>"SP140L"</f>
        <v>SP140L</v>
      </c>
      <c r="B9088" s="6">
        <v>0.211788211788211</v>
      </c>
      <c r="C9088" s="6">
        <v>0.409600078759779</v>
      </c>
    </row>
    <row r="9089" spans="1:3" s="8" customFormat="1" x14ac:dyDescent="0.2">
      <c r="A9089" s="6" t="str">
        <f>"SGCB"</f>
        <v>SGCB</v>
      </c>
      <c r="B9089" s="6">
        <v>0.211788211788211</v>
      </c>
      <c r="C9089" s="6">
        <v>0.409600078759779</v>
      </c>
    </row>
    <row r="9090" spans="1:3" s="8" customFormat="1" x14ac:dyDescent="0.2">
      <c r="A9090" s="6" t="str">
        <f>"KYNU"</f>
        <v>KYNU</v>
      </c>
      <c r="B9090" s="6">
        <v>0.211788211788211</v>
      </c>
      <c r="C9090" s="6">
        <v>0.409600078759779</v>
      </c>
    </row>
    <row r="9091" spans="1:3" s="8" customFormat="1" x14ac:dyDescent="0.2">
      <c r="A9091" s="6" t="str">
        <f>"CDC42EP5"</f>
        <v>CDC42EP5</v>
      </c>
      <c r="B9091" s="6">
        <v>0.211788211788211</v>
      </c>
      <c r="C9091" s="6">
        <v>0.409600078759779</v>
      </c>
    </row>
    <row r="9092" spans="1:3" s="8" customFormat="1" x14ac:dyDescent="0.2">
      <c r="A9092" s="6" t="str">
        <f>"PRPF40A"</f>
        <v>PRPF40A</v>
      </c>
      <c r="B9092" s="6">
        <v>0.211788211788211</v>
      </c>
      <c r="C9092" s="6">
        <v>0.409600078759779</v>
      </c>
    </row>
    <row r="9093" spans="1:3" s="8" customFormat="1" x14ac:dyDescent="0.2">
      <c r="A9093" s="6" t="str">
        <f>"CALML4"</f>
        <v>CALML4</v>
      </c>
      <c r="B9093" s="6">
        <v>0.211788211788211</v>
      </c>
      <c r="C9093" s="6">
        <v>0.409600078759779</v>
      </c>
    </row>
    <row r="9094" spans="1:3" s="8" customFormat="1" x14ac:dyDescent="0.2">
      <c r="A9094" s="6" t="str">
        <f>"PPP4R1L"</f>
        <v>PPP4R1L</v>
      </c>
      <c r="B9094" s="6">
        <v>0.21199999999999999</v>
      </c>
      <c r="C9094" s="6">
        <v>0.409919507367495</v>
      </c>
    </row>
    <row r="9095" spans="1:3" s="8" customFormat="1" x14ac:dyDescent="0.2">
      <c r="A9095" s="6" t="str">
        <f>"RDH14"</f>
        <v>RDH14</v>
      </c>
      <c r="B9095" s="6">
        <v>0.21199999999999999</v>
      </c>
      <c r="C9095" s="6">
        <v>0.409919507367495</v>
      </c>
    </row>
    <row r="9096" spans="1:3" s="8" customFormat="1" x14ac:dyDescent="0.2">
      <c r="A9096" s="6" t="str">
        <f>"AC114947.1"</f>
        <v>AC114947.1</v>
      </c>
      <c r="B9096" s="6">
        <v>0.21212121212121199</v>
      </c>
      <c r="C9096" s="6">
        <v>0.41001862085735802</v>
      </c>
    </row>
    <row r="9097" spans="1:3" s="8" customFormat="1" x14ac:dyDescent="0.2">
      <c r="A9097" s="6" t="str">
        <f>"LINC02733"</f>
        <v>LINC02733</v>
      </c>
      <c r="B9097" s="6">
        <v>0.21212121212121199</v>
      </c>
      <c r="C9097" s="6">
        <v>0.41001862085735802</v>
      </c>
    </row>
    <row r="9098" spans="1:3" s="8" customFormat="1" x14ac:dyDescent="0.2">
      <c r="A9098" s="6" t="str">
        <f>"AL358852.1"</f>
        <v>AL358852.1</v>
      </c>
      <c r="B9098" s="6">
        <v>0.212078651685393</v>
      </c>
      <c r="C9098" s="6">
        <v>0.41001862085735802</v>
      </c>
    </row>
    <row r="9099" spans="1:3" s="8" customFormat="1" x14ac:dyDescent="0.2">
      <c r="A9099" s="6" t="str">
        <f>"COL13A1"</f>
        <v>COL13A1</v>
      </c>
      <c r="B9099" s="6">
        <v>0.21278721278721199</v>
      </c>
      <c r="C9099" s="6">
        <v>0.41044870004940198</v>
      </c>
    </row>
    <row r="9100" spans="1:3" s="8" customFormat="1" x14ac:dyDescent="0.2">
      <c r="A9100" s="6" t="str">
        <f>"AL356481.1"</f>
        <v>AL356481.1</v>
      </c>
      <c r="B9100" s="6">
        <v>0.21278721278721199</v>
      </c>
      <c r="C9100" s="6">
        <v>0.41044870004940198</v>
      </c>
    </row>
    <row r="9101" spans="1:3" s="8" customFormat="1" x14ac:dyDescent="0.2">
      <c r="A9101" s="6" t="str">
        <f>"AL096865.1"</f>
        <v>AL096865.1</v>
      </c>
      <c r="B9101" s="6">
        <v>0.21278721278721199</v>
      </c>
      <c r="C9101" s="6">
        <v>0.41044870004940198</v>
      </c>
    </row>
    <row r="9102" spans="1:3" s="8" customFormat="1" x14ac:dyDescent="0.2">
      <c r="A9102" s="6" t="str">
        <f>"AC122713.2"</f>
        <v>AC122713.2</v>
      </c>
      <c r="B9102" s="6">
        <v>0.21278721278721199</v>
      </c>
      <c r="C9102" s="6">
        <v>0.41044870004940198</v>
      </c>
    </row>
    <row r="9103" spans="1:3" s="8" customFormat="1" x14ac:dyDescent="0.2">
      <c r="A9103" s="6" t="str">
        <f>"PKHD1L1"</f>
        <v>PKHD1L1</v>
      </c>
      <c r="B9103" s="6">
        <v>0.21278721278721199</v>
      </c>
      <c r="C9103" s="6">
        <v>0.41044870004940198</v>
      </c>
    </row>
    <row r="9104" spans="1:3" s="8" customFormat="1" x14ac:dyDescent="0.2">
      <c r="A9104" s="6" t="str">
        <f>"QPRT"</f>
        <v>QPRT</v>
      </c>
      <c r="B9104" s="6">
        <v>0.21278721278721199</v>
      </c>
      <c r="C9104" s="6">
        <v>0.41044870004940198</v>
      </c>
    </row>
    <row r="9105" spans="1:3" s="8" customFormat="1" x14ac:dyDescent="0.2">
      <c r="A9105" s="6" t="str">
        <f>"DLG5-AS1"</f>
        <v>DLG5-AS1</v>
      </c>
      <c r="B9105" s="6">
        <v>0.21278721278721199</v>
      </c>
      <c r="C9105" s="6">
        <v>0.41044870004940198</v>
      </c>
    </row>
    <row r="9106" spans="1:3" s="8" customFormat="1" x14ac:dyDescent="0.2">
      <c r="A9106" s="6" t="str">
        <f>"SNHG3"</f>
        <v>SNHG3</v>
      </c>
      <c r="B9106" s="6">
        <v>0.21278721278721199</v>
      </c>
      <c r="C9106" s="6">
        <v>0.41044870004940198</v>
      </c>
    </row>
    <row r="9107" spans="1:3" s="8" customFormat="1" x14ac:dyDescent="0.2">
      <c r="A9107" s="6" t="str">
        <f>"TBX6"</f>
        <v>TBX6</v>
      </c>
      <c r="B9107" s="6">
        <v>0.21278721278721199</v>
      </c>
      <c r="C9107" s="6">
        <v>0.41044870004940198</v>
      </c>
    </row>
    <row r="9108" spans="1:3" s="8" customFormat="1" x14ac:dyDescent="0.2">
      <c r="A9108" s="6" t="str">
        <f>"C1orf52"</f>
        <v>C1orf52</v>
      </c>
      <c r="B9108" s="6">
        <v>0.21278721278721199</v>
      </c>
      <c r="C9108" s="6">
        <v>0.41044870004940198</v>
      </c>
    </row>
    <row r="9109" spans="1:3" s="8" customFormat="1" x14ac:dyDescent="0.2">
      <c r="A9109" s="6" t="str">
        <f>"PLAAT2"</f>
        <v>PLAAT2</v>
      </c>
      <c r="B9109" s="6">
        <v>0.21278721278721199</v>
      </c>
      <c r="C9109" s="6">
        <v>0.41044870004940198</v>
      </c>
    </row>
    <row r="9110" spans="1:3" s="8" customFormat="1" x14ac:dyDescent="0.2">
      <c r="A9110" s="6" t="str">
        <f>"SESN3"</f>
        <v>SESN3</v>
      </c>
      <c r="B9110" s="6">
        <v>0.21278721278721199</v>
      </c>
      <c r="C9110" s="6">
        <v>0.41044870004940198</v>
      </c>
    </row>
    <row r="9111" spans="1:3" s="8" customFormat="1" x14ac:dyDescent="0.2">
      <c r="A9111" s="6" t="str">
        <f>"SPINT1-AS1"</f>
        <v>SPINT1-AS1</v>
      </c>
      <c r="B9111" s="6">
        <v>0.21278721278721199</v>
      </c>
      <c r="C9111" s="6">
        <v>0.41044870004940198</v>
      </c>
    </row>
    <row r="9112" spans="1:3" s="8" customFormat="1" x14ac:dyDescent="0.2">
      <c r="A9112" s="6" t="str">
        <f>"METTL2A"</f>
        <v>METTL2A</v>
      </c>
      <c r="B9112" s="6">
        <v>0.21278721278721199</v>
      </c>
      <c r="C9112" s="6">
        <v>0.41044870004940198</v>
      </c>
    </row>
    <row r="9113" spans="1:3" s="8" customFormat="1" x14ac:dyDescent="0.2">
      <c r="A9113" s="6" t="str">
        <f>"PHC3"</f>
        <v>PHC3</v>
      </c>
      <c r="B9113" s="6">
        <v>0.21278721278721199</v>
      </c>
      <c r="C9113" s="6">
        <v>0.41044870004940198</v>
      </c>
    </row>
    <row r="9114" spans="1:3" s="8" customFormat="1" x14ac:dyDescent="0.2">
      <c r="A9114" s="6" t="str">
        <f>"GAS7"</f>
        <v>GAS7</v>
      </c>
      <c r="B9114" s="6">
        <v>0.21278721278721199</v>
      </c>
      <c r="C9114" s="6">
        <v>0.41044870004940198</v>
      </c>
    </row>
    <row r="9115" spans="1:3" s="8" customFormat="1" x14ac:dyDescent="0.2">
      <c r="A9115" s="6" t="str">
        <f>"SQOR"</f>
        <v>SQOR</v>
      </c>
      <c r="B9115" s="6">
        <v>0.21278721278721199</v>
      </c>
      <c r="C9115" s="6">
        <v>0.41044870004940198</v>
      </c>
    </row>
    <row r="9116" spans="1:3" s="8" customFormat="1" x14ac:dyDescent="0.2">
      <c r="A9116" s="6" t="str">
        <f>"ATP13A1"</f>
        <v>ATP13A1</v>
      </c>
      <c r="B9116" s="6">
        <v>0.21278721278721199</v>
      </c>
      <c r="C9116" s="6">
        <v>0.41044870004940198</v>
      </c>
    </row>
    <row r="9117" spans="1:3" s="8" customFormat="1" x14ac:dyDescent="0.2">
      <c r="A9117" s="6" t="str">
        <f>"STT3B"</f>
        <v>STT3B</v>
      </c>
      <c r="B9117" s="6">
        <v>0.21278721278721199</v>
      </c>
      <c r="C9117" s="6">
        <v>0.41044870004940198</v>
      </c>
    </row>
    <row r="9118" spans="1:3" s="8" customFormat="1" x14ac:dyDescent="0.2">
      <c r="A9118" s="6" t="str">
        <f>"GEMIN8P4"</f>
        <v>GEMIN8P4</v>
      </c>
      <c r="B9118" s="6">
        <v>0.21299999999999999</v>
      </c>
      <c r="C9118" s="6">
        <v>0.410814083580125</v>
      </c>
    </row>
    <row r="9119" spans="1:3" s="8" customFormat="1" x14ac:dyDescent="0.2">
      <c r="A9119" s="6" t="str">
        <f>"AC211476.4"</f>
        <v>AC211476.4</v>
      </c>
      <c r="B9119" s="6">
        <v>0.21321321321321299</v>
      </c>
      <c r="C9119" s="6">
        <v>0.41113511801087099</v>
      </c>
    </row>
    <row r="9120" spans="1:3" s="8" customFormat="1" x14ac:dyDescent="0.2">
      <c r="A9120" s="6" t="str">
        <f>"SNHG27"</f>
        <v>SNHG27</v>
      </c>
      <c r="B9120" s="6">
        <v>0.21321321321321299</v>
      </c>
      <c r="C9120" s="6">
        <v>0.41113511801087099</v>
      </c>
    </row>
    <row r="9121" spans="1:3" s="8" customFormat="1" x14ac:dyDescent="0.2">
      <c r="A9121" s="6" t="str">
        <f>"PSG8-AS1"</f>
        <v>PSG8-AS1</v>
      </c>
      <c r="B9121" s="6">
        <v>0.21378621378621299</v>
      </c>
      <c r="C9121" s="6">
        <v>0.41160810064784598</v>
      </c>
    </row>
    <row r="9122" spans="1:3" s="8" customFormat="1" x14ac:dyDescent="0.2">
      <c r="A9122" s="6" t="str">
        <f>"AC109449.1"</f>
        <v>AC109449.1</v>
      </c>
      <c r="B9122" s="6">
        <v>0.21378621378621299</v>
      </c>
      <c r="C9122" s="6">
        <v>0.41160810064784598</v>
      </c>
    </row>
    <row r="9123" spans="1:3" s="8" customFormat="1" x14ac:dyDescent="0.2">
      <c r="A9123" s="6" t="str">
        <f>"HTR1B"</f>
        <v>HTR1B</v>
      </c>
      <c r="B9123" s="6">
        <v>0.21378621378621299</v>
      </c>
      <c r="C9123" s="6">
        <v>0.41160810064784598</v>
      </c>
    </row>
    <row r="9124" spans="1:3" s="8" customFormat="1" x14ac:dyDescent="0.2">
      <c r="A9124" s="6" t="str">
        <f>"COL9A1"</f>
        <v>COL9A1</v>
      </c>
      <c r="B9124" s="6">
        <v>0.21378621378621299</v>
      </c>
      <c r="C9124" s="6">
        <v>0.41160810064784598</v>
      </c>
    </row>
    <row r="9125" spans="1:3" s="8" customFormat="1" x14ac:dyDescent="0.2">
      <c r="A9125" s="6" t="str">
        <f>"AC109587.1"</f>
        <v>AC109587.1</v>
      </c>
      <c r="B9125" s="6">
        <v>0.21363173957273601</v>
      </c>
      <c r="C9125" s="6">
        <v>0.41160810064784598</v>
      </c>
    </row>
    <row r="9126" spans="1:3" s="8" customFormat="1" x14ac:dyDescent="0.2">
      <c r="A9126" s="6" t="str">
        <f>"RHEBL1"</f>
        <v>RHEBL1</v>
      </c>
      <c r="B9126" s="6">
        <v>0.21378621378621299</v>
      </c>
      <c r="C9126" s="6">
        <v>0.41160810064784598</v>
      </c>
    </row>
    <row r="9127" spans="1:3" s="8" customFormat="1" x14ac:dyDescent="0.2">
      <c r="A9127" s="6" t="str">
        <f>"RAB7B"</f>
        <v>RAB7B</v>
      </c>
      <c r="B9127" s="6">
        <v>0.21378621378621299</v>
      </c>
      <c r="C9127" s="6">
        <v>0.41160810064784598</v>
      </c>
    </row>
    <row r="9128" spans="1:3" s="8" customFormat="1" x14ac:dyDescent="0.2">
      <c r="A9128" s="6" t="str">
        <f>"RPH3AL"</f>
        <v>RPH3AL</v>
      </c>
      <c r="B9128" s="6">
        <v>0.21378621378621299</v>
      </c>
      <c r="C9128" s="6">
        <v>0.41160810064784598</v>
      </c>
    </row>
    <row r="9129" spans="1:3" s="8" customFormat="1" x14ac:dyDescent="0.2">
      <c r="A9129" s="6" t="str">
        <f>"BCAS2"</f>
        <v>BCAS2</v>
      </c>
      <c r="B9129" s="6">
        <v>0.21378621378621299</v>
      </c>
      <c r="C9129" s="6">
        <v>0.41160810064784598</v>
      </c>
    </row>
    <row r="9130" spans="1:3" s="8" customFormat="1" x14ac:dyDescent="0.2">
      <c r="A9130" s="6" t="str">
        <f>"CRACD"</f>
        <v>CRACD</v>
      </c>
      <c r="B9130" s="6">
        <v>0.21378621378621299</v>
      </c>
      <c r="C9130" s="6">
        <v>0.41160810064784598</v>
      </c>
    </row>
    <row r="9131" spans="1:3" s="8" customFormat="1" x14ac:dyDescent="0.2">
      <c r="A9131" s="6" t="str">
        <f>"GUCD1"</f>
        <v>GUCD1</v>
      </c>
      <c r="B9131" s="6">
        <v>0.21378621378621299</v>
      </c>
      <c r="C9131" s="6">
        <v>0.41160810064784598</v>
      </c>
    </row>
    <row r="9132" spans="1:3" s="8" customFormat="1" x14ac:dyDescent="0.2">
      <c r="A9132" s="6" t="str">
        <f>"IBTK"</f>
        <v>IBTK</v>
      </c>
      <c r="B9132" s="6">
        <v>0.21378621378621299</v>
      </c>
      <c r="C9132" s="6">
        <v>0.41160810064784598</v>
      </c>
    </row>
    <row r="9133" spans="1:3" s="8" customFormat="1" x14ac:dyDescent="0.2">
      <c r="A9133" s="6" t="str">
        <f>"UBB"</f>
        <v>UBB</v>
      </c>
      <c r="B9133" s="6">
        <v>0.21378621378621299</v>
      </c>
      <c r="C9133" s="6">
        <v>0.41160810064784598</v>
      </c>
    </row>
    <row r="9134" spans="1:3" s="8" customFormat="1" x14ac:dyDescent="0.2">
      <c r="A9134" s="6" t="str">
        <f>"GNAS"</f>
        <v>GNAS</v>
      </c>
      <c r="B9134" s="6">
        <v>0.21378621378621299</v>
      </c>
      <c r="C9134" s="6">
        <v>0.41160810064784598</v>
      </c>
    </row>
    <row r="9135" spans="1:3" s="8" customFormat="1" x14ac:dyDescent="0.2">
      <c r="A9135" s="6" t="str">
        <f>"AC099791.4"</f>
        <v>AC099791.4</v>
      </c>
      <c r="B9135" s="6">
        <v>0.214</v>
      </c>
      <c r="C9135" s="6">
        <v>0.41197460039413097</v>
      </c>
    </row>
    <row r="9136" spans="1:3" s="8" customFormat="1" x14ac:dyDescent="0.2">
      <c r="A9136" s="6" t="str">
        <f>"LINC01230"</f>
        <v>LINC01230</v>
      </c>
      <c r="B9136" s="6">
        <v>0.21421421421421399</v>
      </c>
      <c r="C9136" s="6">
        <v>0.41234184375946797</v>
      </c>
    </row>
    <row r="9137" spans="1:3" s="8" customFormat="1" x14ac:dyDescent="0.2">
      <c r="A9137" s="6" t="str">
        <f>"TP53TG5"</f>
        <v>TP53TG5</v>
      </c>
      <c r="B9137" s="6">
        <v>0.21478521478521401</v>
      </c>
      <c r="C9137" s="6">
        <v>0.412492706070687</v>
      </c>
    </row>
    <row r="9138" spans="1:3" s="8" customFormat="1" x14ac:dyDescent="0.2">
      <c r="A9138" s="6" t="str">
        <f>"TEK"</f>
        <v>TEK</v>
      </c>
      <c r="B9138" s="6">
        <v>0.21478521478521401</v>
      </c>
      <c r="C9138" s="6">
        <v>0.412492706070687</v>
      </c>
    </row>
    <row r="9139" spans="1:3" s="8" customFormat="1" x14ac:dyDescent="0.2">
      <c r="A9139" s="6" t="str">
        <f>"AC126755.1"</f>
        <v>AC126755.1</v>
      </c>
      <c r="B9139" s="6">
        <v>0.21478521478521401</v>
      </c>
      <c r="C9139" s="6">
        <v>0.412492706070687</v>
      </c>
    </row>
    <row r="9140" spans="1:3" s="8" customFormat="1" x14ac:dyDescent="0.2">
      <c r="A9140" s="6" t="str">
        <f>"AL157396.1"</f>
        <v>AL157396.1</v>
      </c>
      <c r="B9140" s="6">
        <v>0.21478521478521401</v>
      </c>
      <c r="C9140" s="6">
        <v>0.412492706070687</v>
      </c>
    </row>
    <row r="9141" spans="1:3" s="8" customFormat="1" x14ac:dyDescent="0.2">
      <c r="A9141" s="6" t="str">
        <f>"NPSR1"</f>
        <v>NPSR1</v>
      </c>
      <c r="B9141" s="6">
        <v>0.21478521478521401</v>
      </c>
      <c r="C9141" s="6">
        <v>0.412492706070687</v>
      </c>
    </row>
    <row r="9142" spans="1:3" s="8" customFormat="1" x14ac:dyDescent="0.2">
      <c r="A9142" s="6" t="str">
        <f>"RDH5"</f>
        <v>RDH5</v>
      </c>
      <c r="B9142" s="6">
        <v>0.21478521478521401</v>
      </c>
      <c r="C9142" s="6">
        <v>0.412492706070687</v>
      </c>
    </row>
    <row r="9143" spans="1:3" s="8" customFormat="1" x14ac:dyDescent="0.2">
      <c r="A9143" s="6" t="str">
        <f>"AL162632.1"</f>
        <v>AL162632.1</v>
      </c>
      <c r="B9143" s="6">
        <v>0.21478521478521401</v>
      </c>
      <c r="C9143" s="6">
        <v>0.412492706070687</v>
      </c>
    </row>
    <row r="9144" spans="1:3" s="8" customFormat="1" x14ac:dyDescent="0.2">
      <c r="A9144" s="6" t="str">
        <f>"RNPC3"</f>
        <v>RNPC3</v>
      </c>
      <c r="B9144" s="6">
        <v>0.21478521478521401</v>
      </c>
      <c r="C9144" s="6">
        <v>0.412492706070687</v>
      </c>
    </row>
    <row r="9145" spans="1:3" s="8" customFormat="1" x14ac:dyDescent="0.2">
      <c r="A9145" s="6" t="str">
        <f>"ZNF22"</f>
        <v>ZNF22</v>
      </c>
      <c r="B9145" s="6">
        <v>0.21478521478521401</v>
      </c>
      <c r="C9145" s="6">
        <v>0.412492706070687</v>
      </c>
    </row>
    <row r="9146" spans="1:3" s="8" customFormat="1" x14ac:dyDescent="0.2">
      <c r="A9146" s="6" t="str">
        <f>"PWWP2A"</f>
        <v>PWWP2A</v>
      </c>
      <c r="B9146" s="6">
        <v>0.21478521478521401</v>
      </c>
      <c r="C9146" s="6">
        <v>0.412492706070687</v>
      </c>
    </row>
    <row r="9147" spans="1:3" s="8" customFormat="1" x14ac:dyDescent="0.2">
      <c r="A9147" s="6" t="str">
        <f>"ATP13A4"</f>
        <v>ATP13A4</v>
      </c>
      <c r="B9147" s="6">
        <v>0.21478521478521401</v>
      </c>
      <c r="C9147" s="6">
        <v>0.412492706070687</v>
      </c>
    </row>
    <row r="9148" spans="1:3" s="8" customFormat="1" x14ac:dyDescent="0.2">
      <c r="A9148" s="6" t="str">
        <f>"DCP2"</f>
        <v>DCP2</v>
      </c>
      <c r="B9148" s="6">
        <v>0.21478521478521401</v>
      </c>
      <c r="C9148" s="6">
        <v>0.412492706070687</v>
      </c>
    </row>
    <row r="9149" spans="1:3" s="8" customFormat="1" x14ac:dyDescent="0.2">
      <c r="A9149" s="6" t="str">
        <f>"TMEM68"</f>
        <v>TMEM68</v>
      </c>
      <c r="B9149" s="6">
        <v>0.21478521478521401</v>
      </c>
      <c r="C9149" s="6">
        <v>0.412492706070687</v>
      </c>
    </row>
    <row r="9150" spans="1:3" s="8" customFormat="1" x14ac:dyDescent="0.2">
      <c r="A9150" s="6" t="str">
        <f>"RWDD4"</f>
        <v>RWDD4</v>
      </c>
      <c r="B9150" s="6">
        <v>0.21478521478521401</v>
      </c>
      <c r="C9150" s="6">
        <v>0.412492706070687</v>
      </c>
    </row>
    <row r="9151" spans="1:3" s="8" customFormat="1" x14ac:dyDescent="0.2">
      <c r="A9151" s="6" t="str">
        <f>"AP5Z1"</f>
        <v>AP5Z1</v>
      </c>
      <c r="B9151" s="6">
        <v>0.21478521478521401</v>
      </c>
      <c r="C9151" s="6">
        <v>0.412492706070687</v>
      </c>
    </row>
    <row r="9152" spans="1:3" s="8" customFormat="1" x14ac:dyDescent="0.2">
      <c r="A9152" s="6" t="str">
        <f>"ABHD17C"</f>
        <v>ABHD17C</v>
      </c>
      <c r="B9152" s="6">
        <v>0.21478521478521401</v>
      </c>
      <c r="C9152" s="6">
        <v>0.412492706070687</v>
      </c>
    </row>
    <row r="9153" spans="1:3" s="8" customFormat="1" x14ac:dyDescent="0.2">
      <c r="A9153" s="6" t="str">
        <f>"OLA1"</f>
        <v>OLA1</v>
      </c>
      <c r="B9153" s="6">
        <v>0.21478521478521401</v>
      </c>
      <c r="C9153" s="6">
        <v>0.412492706070687</v>
      </c>
    </row>
    <row r="9154" spans="1:3" s="8" customFormat="1" x14ac:dyDescent="0.2">
      <c r="A9154" s="6" t="str">
        <f>"SNRPB"</f>
        <v>SNRPB</v>
      </c>
      <c r="B9154" s="6">
        <v>0.21478521478521401</v>
      </c>
      <c r="C9154" s="6">
        <v>0.412492706070687</v>
      </c>
    </row>
    <row r="9155" spans="1:3" s="8" customFormat="1" x14ac:dyDescent="0.2">
      <c r="A9155" s="6" t="str">
        <f>"SLC12A7"</f>
        <v>SLC12A7</v>
      </c>
      <c r="B9155" s="6">
        <v>0.21478521478521401</v>
      </c>
      <c r="C9155" s="6">
        <v>0.412492706070687</v>
      </c>
    </row>
    <row r="9156" spans="1:3" s="8" customFormat="1" x14ac:dyDescent="0.2">
      <c r="A9156" s="6" t="str">
        <f>"EFCAB1"</f>
        <v>EFCAB1</v>
      </c>
      <c r="B9156" s="6">
        <v>0.21478521478521401</v>
      </c>
      <c r="C9156" s="6">
        <v>0.412492706070687</v>
      </c>
    </row>
    <row r="9157" spans="1:3" s="8" customFormat="1" x14ac:dyDescent="0.2">
      <c r="A9157" s="6" t="str">
        <f>"SLC9A3R2"</f>
        <v>SLC9A3R2</v>
      </c>
      <c r="B9157" s="6">
        <v>0.21478521478521401</v>
      </c>
      <c r="C9157" s="6">
        <v>0.412492706070687</v>
      </c>
    </row>
    <row r="9158" spans="1:3" s="8" customFormat="1" x14ac:dyDescent="0.2">
      <c r="A9158" s="6" t="str">
        <f>"ESRP2"</f>
        <v>ESRP2</v>
      </c>
      <c r="B9158" s="6">
        <v>0.215</v>
      </c>
      <c r="C9158" s="6">
        <v>0.41286010702194997</v>
      </c>
    </row>
    <row r="9159" spans="1:3" s="8" customFormat="1" x14ac:dyDescent="0.2">
      <c r="A9159" s="6" t="str">
        <f>"HERC2P5"</f>
        <v>HERC2P5</v>
      </c>
      <c r="B9159" s="6">
        <v>0.215215215215215</v>
      </c>
      <c r="C9159" s="6">
        <v>0.41322825336802099</v>
      </c>
    </row>
    <row r="9160" spans="1:3" s="8" customFormat="1" x14ac:dyDescent="0.2">
      <c r="A9160" s="6" t="str">
        <f>"ANKRD19P"</f>
        <v>ANKRD19P</v>
      </c>
      <c r="B9160" s="6">
        <v>0.215784215784215</v>
      </c>
      <c r="C9160" s="6">
        <v>0.41368836135517301</v>
      </c>
    </row>
    <row r="9161" spans="1:3" s="8" customFormat="1" x14ac:dyDescent="0.2">
      <c r="A9161" s="6" t="str">
        <f>"AL162493.1"</f>
        <v>AL162493.1</v>
      </c>
      <c r="B9161" s="6">
        <v>0.215784215784215</v>
      </c>
      <c r="C9161" s="6">
        <v>0.41368836135517301</v>
      </c>
    </row>
    <row r="9162" spans="1:3" s="8" customFormat="1" x14ac:dyDescent="0.2">
      <c r="A9162" s="6" t="str">
        <f>"RN7SL670P"</f>
        <v>RN7SL670P</v>
      </c>
      <c r="B9162" s="6">
        <v>0.215784215784215</v>
      </c>
      <c r="C9162" s="6">
        <v>0.41368836135517301</v>
      </c>
    </row>
    <row r="9163" spans="1:3" s="8" customFormat="1" x14ac:dyDescent="0.2">
      <c r="A9163" s="6" t="str">
        <f>"AP003721.4"</f>
        <v>AP003721.4</v>
      </c>
      <c r="B9163" s="6">
        <v>0.215784215784215</v>
      </c>
      <c r="C9163" s="6">
        <v>0.41368836135517301</v>
      </c>
    </row>
    <row r="9164" spans="1:3" s="8" customFormat="1" x14ac:dyDescent="0.2">
      <c r="A9164" s="6" t="str">
        <f>"PRKD1"</f>
        <v>PRKD1</v>
      </c>
      <c r="B9164" s="6">
        <v>0.215784215784215</v>
      </c>
      <c r="C9164" s="6">
        <v>0.41368836135517301</v>
      </c>
    </row>
    <row r="9165" spans="1:3" s="8" customFormat="1" x14ac:dyDescent="0.2">
      <c r="A9165" s="6" t="str">
        <f>"TCP11"</f>
        <v>TCP11</v>
      </c>
      <c r="B9165" s="6">
        <v>0.215784215784215</v>
      </c>
      <c r="C9165" s="6">
        <v>0.41368836135517301</v>
      </c>
    </row>
    <row r="9166" spans="1:3" s="8" customFormat="1" x14ac:dyDescent="0.2">
      <c r="A9166" s="6" t="str">
        <f>"ZFYVE28"</f>
        <v>ZFYVE28</v>
      </c>
      <c r="B9166" s="6">
        <v>0.215784215784215</v>
      </c>
      <c r="C9166" s="6">
        <v>0.41368836135517301</v>
      </c>
    </row>
    <row r="9167" spans="1:3" s="8" customFormat="1" x14ac:dyDescent="0.2">
      <c r="A9167" s="6" t="str">
        <f>"CMTM7"</f>
        <v>CMTM7</v>
      </c>
      <c r="B9167" s="6">
        <v>0.215784215784215</v>
      </c>
      <c r="C9167" s="6">
        <v>0.41368836135517301</v>
      </c>
    </row>
    <row r="9168" spans="1:3" s="8" customFormat="1" x14ac:dyDescent="0.2">
      <c r="A9168" s="6" t="str">
        <f>"PKNOX1"</f>
        <v>PKNOX1</v>
      </c>
      <c r="B9168" s="6">
        <v>0.215784215784215</v>
      </c>
      <c r="C9168" s="6">
        <v>0.41368836135517301</v>
      </c>
    </row>
    <row r="9169" spans="1:3" s="8" customFormat="1" x14ac:dyDescent="0.2">
      <c r="A9169" s="6" t="str">
        <f>"ARFRP1"</f>
        <v>ARFRP1</v>
      </c>
      <c r="B9169" s="6">
        <v>0.215784215784215</v>
      </c>
      <c r="C9169" s="6">
        <v>0.41368836135517301</v>
      </c>
    </row>
    <row r="9170" spans="1:3" s="8" customFormat="1" x14ac:dyDescent="0.2">
      <c r="A9170" s="6" t="str">
        <f>"OGFRL1"</f>
        <v>OGFRL1</v>
      </c>
      <c r="B9170" s="6">
        <v>0.215784215784215</v>
      </c>
      <c r="C9170" s="6">
        <v>0.41368836135517301</v>
      </c>
    </row>
    <row r="9171" spans="1:3" s="8" customFormat="1" x14ac:dyDescent="0.2">
      <c r="A9171" s="6" t="str">
        <f>"SLC22A23"</f>
        <v>SLC22A23</v>
      </c>
      <c r="B9171" s="6">
        <v>0.215784215784215</v>
      </c>
      <c r="C9171" s="6">
        <v>0.41368836135517301</v>
      </c>
    </row>
    <row r="9172" spans="1:3" s="8" customFormat="1" x14ac:dyDescent="0.2">
      <c r="A9172" s="6" t="str">
        <f>"KRT17"</f>
        <v>KRT17</v>
      </c>
      <c r="B9172" s="6">
        <v>0.215784215784215</v>
      </c>
      <c r="C9172" s="6">
        <v>0.41368836135517301</v>
      </c>
    </row>
    <row r="9173" spans="1:3" s="8" customFormat="1" x14ac:dyDescent="0.2">
      <c r="A9173" s="6" t="str">
        <f>"RPS25"</f>
        <v>RPS25</v>
      </c>
      <c r="B9173" s="6">
        <v>0.215784215784215</v>
      </c>
      <c r="C9173" s="6">
        <v>0.41368836135517301</v>
      </c>
    </row>
    <row r="9174" spans="1:3" s="8" customFormat="1" x14ac:dyDescent="0.2">
      <c r="A9174" s="6" t="str">
        <f>"AL132639.2"</f>
        <v>AL132639.2</v>
      </c>
      <c r="B9174" s="6">
        <v>0.216</v>
      </c>
      <c r="C9174" s="6">
        <v>0.41401177240026099</v>
      </c>
    </row>
    <row r="9175" spans="1:3" s="8" customFormat="1" x14ac:dyDescent="0.2">
      <c r="A9175" s="6" t="str">
        <f>"ZNF771"</f>
        <v>ZNF771</v>
      </c>
      <c r="B9175" s="6">
        <v>0.216</v>
      </c>
      <c r="C9175" s="6">
        <v>0.41401177240026099</v>
      </c>
    </row>
    <row r="9176" spans="1:3" s="8" customFormat="1" x14ac:dyDescent="0.2">
      <c r="A9176" s="6" t="str">
        <f>"TSPAN18"</f>
        <v>TSPAN18</v>
      </c>
      <c r="B9176" s="6">
        <v>0.21678321678321599</v>
      </c>
      <c r="C9176" s="6">
        <v>0.41447385929282099</v>
      </c>
    </row>
    <row r="9177" spans="1:3" s="8" customFormat="1" x14ac:dyDescent="0.2">
      <c r="A9177" s="6" t="str">
        <f>"AL355482.2"</f>
        <v>AL355482.2</v>
      </c>
      <c r="B9177" s="6">
        <v>0.21678321678321599</v>
      </c>
      <c r="C9177" s="6">
        <v>0.41447385929282099</v>
      </c>
    </row>
    <row r="9178" spans="1:3" s="8" customFormat="1" x14ac:dyDescent="0.2">
      <c r="A9178" s="6" t="str">
        <f>"AC005532.1"</f>
        <v>AC005532.1</v>
      </c>
      <c r="B9178" s="6">
        <v>0.21678321678321599</v>
      </c>
      <c r="C9178" s="6">
        <v>0.41447385929282099</v>
      </c>
    </row>
    <row r="9179" spans="1:3" s="8" customFormat="1" x14ac:dyDescent="0.2">
      <c r="A9179" s="6" t="str">
        <f>"RABGAP1L-DT"</f>
        <v>RABGAP1L-DT</v>
      </c>
      <c r="B9179" s="6">
        <v>0.21678321678321599</v>
      </c>
      <c r="C9179" s="6">
        <v>0.41447385929282099</v>
      </c>
    </row>
    <row r="9180" spans="1:3" s="8" customFormat="1" x14ac:dyDescent="0.2">
      <c r="A9180" s="6" t="str">
        <f>"AC108676.1"</f>
        <v>AC108676.1</v>
      </c>
      <c r="B9180" s="6">
        <v>0.21678321678321599</v>
      </c>
      <c r="C9180" s="6">
        <v>0.41447385929282099</v>
      </c>
    </row>
    <row r="9181" spans="1:3" s="8" customFormat="1" x14ac:dyDescent="0.2">
      <c r="A9181" s="6" t="str">
        <f>"C4BPB"</f>
        <v>C4BPB</v>
      </c>
      <c r="B9181" s="6">
        <v>0.21678321678321599</v>
      </c>
      <c r="C9181" s="6">
        <v>0.41447385929282099</v>
      </c>
    </row>
    <row r="9182" spans="1:3" s="8" customFormat="1" x14ac:dyDescent="0.2">
      <c r="A9182" s="6" t="str">
        <f>"AC241377.3"</f>
        <v>AC241377.3</v>
      </c>
      <c r="B9182" s="6">
        <v>0.21678321678321599</v>
      </c>
      <c r="C9182" s="6">
        <v>0.41447385929282099</v>
      </c>
    </row>
    <row r="9183" spans="1:3" s="8" customFormat="1" x14ac:dyDescent="0.2">
      <c r="A9183" s="6" t="str">
        <f>"AC024257.3"</f>
        <v>AC024257.3</v>
      </c>
      <c r="B9183" s="6">
        <v>0.21678321678321599</v>
      </c>
      <c r="C9183" s="6">
        <v>0.41447385929282099</v>
      </c>
    </row>
    <row r="9184" spans="1:3" s="8" customFormat="1" x14ac:dyDescent="0.2">
      <c r="A9184" s="6" t="str">
        <f>"AP003498.1"</f>
        <v>AP003498.1</v>
      </c>
      <c r="B9184" s="6">
        <v>0.21678321678321599</v>
      </c>
      <c r="C9184" s="6">
        <v>0.41447385929282099</v>
      </c>
    </row>
    <row r="9185" spans="1:3" s="8" customFormat="1" x14ac:dyDescent="0.2">
      <c r="A9185" s="6" t="str">
        <f>"EIF3J-DT"</f>
        <v>EIF3J-DT</v>
      </c>
      <c r="B9185" s="6">
        <v>0.21678321678321599</v>
      </c>
      <c r="C9185" s="6">
        <v>0.41447385929282099</v>
      </c>
    </row>
    <row r="9186" spans="1:3" s="8" customFormat="1" x14ac:dyDescent="0.2">
      <c r="A9186" s="6" t="str">
        <f>"RARRES2"</f>
        <v>RARRES2</v>
      </c>
      <c r="B9186" s="6">
        <v>0.21678321678321599</v>
      </c>
      <c r="C9186" s="6">
        <v>0.41447385929282099</v>
      </c>
    </row>
    <row r="9187" spans="1:3" s="8" customFormat="1" x14ac:dyDescent="0.2">
      <c r="A9187" s="6" t="str">
        <f>"ZBTB16"</f>
        <v>ZBTB16</v>
      </c>
      <c r="B9187" s="6">
        <v>0.21678321678321599</v>
      </c>
      <c r="C9187" s="6">
        <v>0.41447385929282099</v>
      </c>
    </row>
    <row r="9188" spans="1:3" s="8" customFormat="1" x14ac:dyDescent="0.2">
      <c r="A9188" s="6" t="str">
        <f>"UPF3B"</f>
        <v>UPF3B</v>
      </c>
      <c r="B9188" s="6">
        <v>0.21678321678321599</v>
      </c>
      <c r="C9188" s="6">
        <v>0.41447385929282099</v>
      </c>
    </row>
    <row r="9189" spans="1:3" s="8" customFormat="1" x14ac:dyDescent="0.2">
      <c r="A9189" s="6" t="str">
        <f>"LARGE1"</f>
        <v>LARGE1</v>
      </c>
      <c r="B9189" s="6">
        <v>0.21678321678321599</v>
      </c>
      <c r="C9189" s="6">
        <v>0.41447385929282099</v>
      </c>
    </row>
    <row r="9190" spans="1:3" s="8" customFormat="1" x14ac:dyDescent="0.2">
      <c r="A9190" s="6" t="str">
        <f>"AC005670.3"</f>
        <v>AC005670.3</v>
      </c>
      <c r="B9190" s="6">
        <v>0.21678321678321599</v>
      </c>
      <c r="C9190" s="6">
        <v>0.41447385929282099</v>
      </c>
    </row>
    <row r="9191" spans="1:3" s="8" customFormat="1" x14ac:dyDescent="0.2">
      <c r="A9191" s="6" t="str">
        <f>"RBM33"</f>
        <v>RBM33</v>
      </c>
      <c r="B9191" s="6">
        <v>0.21678321678321599</v>
      </c>
      <c r="C9191" s="6">
        <v>0.41447385929282099</v>
      </c>
    </row>
    <row r="9192" spans="1:3" s="8" customFormat="1" x14ac:dyDescent="0.2">
      <c r="A9192" s="6" t="str">
        <f>"RPS28P7"</f>
        <v>RPS28P7</v>
      </c>
      <c r="B9192" s="6">
        <v>0.21678321678321599</v>
      </c>
      <c r="C9192" s="6">
        <v>0.41447385929282099</v>
      </c>
    </row>
    <row r="9193" spans="1:3" s="8" customFormat="1" x14ac:dyDescent="0.2">
      <c r="A9193" s="6" t="str">
        <f>"TANC1"</f>
        <v>TANC1</v>
      </c>
      <c r="B9193" s="6">
        <v>0.21678321678321599</v>
      </c>
      <c r="C9193" s="6">
        <v>0.41447385929282099</v>
      </c>
    </row>
    <row r="9194" spans="1:3" s="8" customFormat="1" x14ac:dyDescent="0.2">
      <c r="A9194" s="6" t="str">
        <f>"PLXNA2"</f>
        <v>PLXNA2</v>
      </c>
      <c r="B9194" s="6">
        <v>0.21678321678321599</v>
      </c>
      <c r="C9194" s="6">
        <v>0.41447385929282099</v>
      </c>
    </row>
    <row r="9195" spans="1:3" s="8" customFormat="1" x14ac:dyDescent="0.2">
      <c r="A9195" s="6" t="str">
        <f>"LTBR"</f>
        <v>LTBR</v>
      </c>
      <c r="B9195" s="6">
        <v>0.21678321678321599</v>
      </c>
      <c r="C9195" s="6">
        <v>0.41447385929282099</v>
      </c>
    </row>
    <row r="9196" spans="1:3" s="8" customFormat="1" x14ac:dyDescent="0.2">
      <c r="A9196" s="6" t="str">
        <f>"LY75"</f>
        <v>LY75</v>
      </c>
      <c r="B9196" s="6">
        <v>0.21678321678321599</v>
      </c>
      <c r="C9196" s="6">
        <v>0.41447385929282099</v>
      </c>
    </row>
    <row r="9197" spans="1:3" s="8" customFormat="1" x14ac:dyDescent="0.2">
      <c r="A9197" s="6" t="str">
        <f>"POR"</f>
        <v>POR</v>
      </c>
      <c r="B9197" s="6">
        <v>0.21678321678321599</v>
      </c>
      <c r="C9197" s="6">
        <v>0.41447385929282099</v>
      </c>
    </row>
    <row r="9198" spans="1:3" s="8" customFormat="1" x14ac:dyDescent="0.2">
      <c r="A9198" s="6" t="str">
        <f>"PRKAR1A"</f>
        <v>PRKAR1A</v>
      </c>
      <c r="B9198" s="6">
        <v>0.21678321678321599</v>
      </c>
      <c r="C9198" s="6">
        <v>0.41447385929282099</v>
      </c>
    </row>
    <row r="9199" spans="1:3" s="8" customFormat="1" x14ac:dyDescent="0.2">
      <c r="A9199" s="6" t="str">
        <f>"ANKRD36C"</f>
        <v>ANKRD36C</v>
      </c>
      <c r="B9199" s="6">
        <v>0.217</v>
      </c>
      <c r="C9199" s="6">
        <v>0.41479813023154599</v>
      </c>
    </row>
    <row r="9200" spans="1:3" s="8" customFormat="1" x14ac:dyDescent="0.2">
      <c r="A9200" s="6" t="str">
        <f>"LRRIQ1"</f>
        <v>LRRIQ1</v>
      </c>
      <c r="B9200" s="6">
        <v>0.217</v>
      </c>
      <c r="C9200" s="6">
        <v>0.41479813023154599</v>
      </c>
    </row>
    <row r="9201" spans="1:3" s="8" customFormat="1" x14ac:dyDescent="0.2">
      <c r="A9201" s="6" t="str">
        <f>"SLCO1B7"</f>
        <v>SLCO1B7</v>
      </c>
      <c r="B9201" s="6">
        <v>0.21778221778221701</v>
      </c>
      <c r="C9201" s="6">
        <v>0.41543529154724601</v>
      </c>
    </row>
    <row r="9202" spans="1:3" s="8" customFormat="1" x14ac:dyDescent="0.2">
      <c r="A9202" s="6" t="str">
        <f>"ALB"</f>
        <v>ALB</v>
      </c>
      <c r="B9202" s="6">
        <v>0.21778221778221701</v>
      </c>
      <c r="C9202" s="6">
        <v>0.41543529154724601</v>
      </c>
    </row>
    <row r="9203" spans="1:3" s="8" customFormat="1" x14ac:dyDescent="0.2">
      <c r="A9203" s="6" t="str">
        <f>"TBPL2"</f>
        <v>TBPL2</v>
      </c>
      <c r="B9203" s="6">
        <v>0.21752265861027101</v>
      </c>
      <c r="C9203" s="6">
        <v>0.41543529154724601</v>
      </c>
    </row>
    <row r="9204" spans="1:3" s="8" customFormat="1" x14ac:dyDescent="0.2">
      <c r="A9204" s="6" t="str">
        <f>"CTD-2297D10.2"</f>
        <v>CTD-2297D10.2</v>
      </c>
      <c r="B9204" s="6">
        <v>0.21778221778221701</v>
      </c>
      <c r="C9204" s="6">
        <v>0.41543529154724601</v>
      </c>
    </row>
    <row r="9205" spans="1:3" s="8" customFormat="1" x14ac:dyDescent="0.2">
      <c r="A9205" s="6" t="str">
        <f>"RRS1-AS1"</f>
        <v>RRS1-AS1</v>
      </c>
      <c r="B9205" s="6">
        <v>0.21778221778221701</v>
      </c>
      <c r="C9205" s="6">
        <v>0.41543529154724601</v>
      </c>
    </row>
    <row r="9206" spans="1:3" s="8" customFormat="1" x14ac:dyDescent="0.2">
      <c r="A9206" s="6" t="str">
        <f>"AC046168.2"</f>
        <v>AC046168.2</v>
      </c>
      <c r="B9206" s="6">
        <v>0.21778221778221701</v>
      </c>
      <c r="C9206" s="6">
        <v>0.41543529154724601</v>
      </c>
    </row>
    <row r="9207" spans="1:3" s="8" customFormat="1" x14ac:dyDescent="0.2">
      <c r="A9207" s="6" t="str">
        <f>"AC016876.2"</f>
        <v>AC016876.2</v>
      </c>
      <c r="B9207" s="6">
        <v>0.21778221778221701</v>
      </c>
      <c r="C9207" s="6">
        <v>0.41543529154724601</v>
      </c>
    </row>
    <row r="9208" spans="1:3" s="8" customFormat="1" x14ac:dyDescent="0.2">
      <c r="A9208" s="6" t="str">
        <f>"MFAP3L"</f>
        <v>MFAP3L</v>
      </c>
      <c r="B9208" s="6">
        <v>0.21778221778221701</v>
      </c>
      <c r="C9208" s="6">
        <v>0.41543529154724601</v>
      </c>
    </row>
    <row r="9209" spans="1:3" s="8" customFormat="1" x14ac:dyDescent="0.2">
      <c r="A9209" s="6" t="str">
        <f>"SLC9A9"</f>
        <v>SLC9A9</v>
      </c>
      <c r="B9209" s="6">
        <v>0.21778221778221701</v>
      </c>
      <c r="C9209" s="6">
        <v>0.41543529154724601</v>
      </c>
    </row>
    <row r="9210" spans="1:3" s="8" customFormat="1" x14ac:dyDescent="0.2">
      <c r="A9210" s="6" t="str">
        <f>"TMEM51-AS1"</f>
        <v>TMEM51-AS1</v>
      </c>
      <c r="B9210" s="6">
        <v>0.21778221778221701</v>
      </c>
      <c r="C9210" s="6">
        <v>0.41543529154724601</v>
      </c>
    </row>
    <row r="9211" spans="1:3" s="8" customFormat="1" x14ac:dyDescent="0.2">
      <c r="A9211" s="6" t="str">
        <f>"NCMAP"</f>
        <v>NCMAP</v>
      </c>
      <c r="B9211" s="6">
        <v>0.21778221778221701</v>
      </c>
      <c r="C9211" s="6">
        <v>0.41543529154724601</v>
      </c>
    </row>
    <row r="9212" spans="1:3" s="8" customFormat="1" x14ac:dyDescent="0.2">
      <c r="A9212" s="6" t="str">
        <f>"ACER2"</f>
        <v>ACER2</v>
      </c>
      <c r="B9212" s="6">
        <v>0.21778221778221701</v>
      </c>
      <c r="C9212" s="6">
        <v>0.41543529154724601</v>
      </c>
    </row>
    <row r="9213" spans="1:3" s="8" customFormat="1" x14ac:dyDescent="0.2">
      <c r="A9213" s="6" t="str">
        <f>"WDR93"</f>
        <v>WDR93</v>
      </c>
      <c r="B9213" s="6">
        <v>0.21778221778221701</v>
      </c>
      <c r="C9213" s="6">
        <v>0.41543529154724601</v>
      </c>
    </row>
    <row r="9214" spans="1:3" s="8" customFormat="1" x14ac:dyDescent="0.2">
      <c r="A9214" s="6" t="str">
        <f>"MIF4GD"</f>
        <v>MIF4GD</v>
      </c>
      <c r="B9214" s="6">
        <v>0.21778221778221701</v>
      </c>
      <c r="C9214" s="6">
        <v>0.41543529154724601</v>
      </c>
    </row>
    <row r="9215" spans="1:3" s="8" customFormat="1" x14ac:dyDescent="0.2">
      <c r="A9215" s="6" t="str">
        <f>"SNX18"</f>
        <v>SNX18</v>
      </c>
      <c r="B9215" s="6">
        <v>0.21778221778221701</v>
      </c>
      <c r="C9215" s="6">
        <v>0.41543529154724601</v>
      </c>
    </row>
    <row r="9216" spans="1:3" s="8" customFormat="1" x14ac:dyDescent="0.2">
      <c r="A9216" s="6" t="str">
        <f>"DCAF12"</f>
        <v>DCAF12</v>
      </c>
      <c r="B9216" s="6">
        <v>0.21778221778221701</v>
      </c>
      <c r="C9216" s="6">
        <v>0.41543529154724601</v>
      </c>
    </row>
    <row r="9217" spans="1:3" s="8" customFormat="1" x14ac:dyDescent="0.2">
      <c r="A9217" s="6" t="str">
        <f>"CHMP1A"</f>
        <v>CHMP1A</v>
      </c>
      <c r="B9217" s="6">
        <v>0.21778221778221701</v>
      </c>
      <c r="C9217" s="6">
        <v>0.41543529154724601</v>
      </c>
    </row>
    <row r="9218" spans="1:3" s="8" customFormat="1" x14ac:dyDescent="0.2">
      <c r="A9218" s="6" t="str">
        <f>"CCDC187"</f>
        <v>CCDC187</v>
      </c>
      <c r="B9218" s="6">
        <v>0.21778221778221701</v>
      </c>
      <c r="C9218" s="6">
        <v>0.41543529154724601</v>
      </c>
    </row>
    <row r="9219" spans="1:3" s="8" customFormat="1" x14ac:dyDescent="0.2">
      <c r="A9219" s="6" t="str">
        <f>"SPATA18"</f>
        <v>SPATA18</v>
      </c>
      <c r="B9219" s="6">
        <v>0.21778221778221701</v>
      </c>
      <c r="C9219" s="6">
        <v>0.41543529154724601</v>
      </c>
    </row>
    <row r="9220" spans="1:3" s="8" customFormat="1" x14ac:dyDescent="0.2">
      <c r="A9220" s="6" t="str">
        <f>"AL121950.1"</f>
        <v>AL121950.1</v>
      </c>
      <c r="B9220" s="6">
        <v>0.218</v>
      </c>
      <c r="C9220" s="6">
        <v>0.415715432165708</v>
      </c>
    </row>
    <row r="9221" spans="1:3" s="8" customFormat="1" x14ac:dyDescent="0.2">
      <c r="A9221" s="6" t="str">
        <f>"TPTE2P5"</f>
        <v>TPTE2P5</v>
      </c>
      <c r="B9221" s="6">
        <v>0.218</v>
      </c>
      <c r="C9221" s="6">
        <v>0.415715432165708</v>
      </c>
    </row>
    <row r="9222" spans="1:3" s="8" customFormat="1" x14ac:dyDescent="0.2">
      <c r="A9222" s="6" t="str">
        <f>"COQ8B"</f>
        <v>COQ8B</v>
      </c>
      <c r="B9222" s="6">
        <v>0.218</v>
      </c>
      <c r="C9222" s="6">
        <v>0.415715432165708</v>
      </c>
    </row>
    <row r="9223" spans="1:3" s="8" customFormat="1" x14ac:dyDescent="0.2">
      <c r="A9223" s="6" t="str">
        <f>"SPTB"</f>
        <v>SPTB</v>
      </c>
      <c r="B9223" s="6">
        <v>0.21808510638297801</v>
      </c>
      <c r="C9223" s="6">
        <v>0.41583262965064999</v>
      </c>
    </row>
    <row r="9224" spans="1:3" s="8" customFormat="1" x14ac:dyDescent="0.2">
      <c r="A9224" s="6" t="str">
        <f>"LAMC3"</f>
        <v>LAMC3</v>
      </c>
      <c r="B9224" s="6">
        <v>0.21825813221406001</v>
      </c>
      <c r="C9224" s="6">
        <v>0.41607710913356599</v>
      </c>
    </row>
    <row r="9225" spans="1:3" s="8" customFormat="1" x14ac:dyDescent="0.2">
      <c r="A9225" s="6" t="str">
        <f>"AC090579.1"</f>
        <v>AC090579.1</v>
      </c>
      <c r="B9225" s="6">
        <v>0.218655967903711</v>
      </c>
      <c r="C9225" s="6">
        <v>0.41607710913356599</v>
      </c>
    </row>
    <row r="9226" spans="1:3" s="8" customFormat="1" x14ac:dyDescent="0.2">
      <c r="A9226" s="6" t="str">
        <f>"ADAMTS7P4"</f>
        <v>ADAMTS7P4</v>
      </c>
      <c r="B9226" s="6">
        <v>0.21878121878121801</v>
      </c>
      <c r="C9226" s="6">
        <v>0.41607710913356599</v>
      </c>
    </row>
    <row r="9227" spans="1:3" s="8" customFormat="1" x14ac:dyDescent="0.2">
      <c r="A9227" s="6" t="str">
        <f>"AC020978.7"</f>
        <v>AC020978.7</v>
      </c>
      <c r="B9227" s="6">
        <v>0.21878121878121801</v>
      </c>
      <c r="C9227" s="6">
        <v>0.41607710913356599</v>
      </c>
    </row>
    <row r="9228" spans="1:3" s="8" customFormat="1" x14ac:dyDescent="0.2">
      <c r="A9228" s="6" t="str">
        <f>"AL355304.1"</f>
        <v>AL355304.1</v>
      </c>
      <c r="B9228" s="6">
        <v>0.21878121878121801</v>
      </c>
      <c r="C9228" s="6">
        <v>0.41607710913356599</v>
      </c>
    </row>
    <row r="9229" spans="1:3" s="8" customFormat="1" x14ac:dyDescent="0.2">
      <c r="A9229" s="6" t="str">
        <f>"CCL18"</f>
        <v>CCL18</v>
      </c>
      <c r="B9229" s="6">
        <v>0.21878121878121801</v>
      </c>
      <c r="C9229" s="6">
        <v>0.41607710913356599</v>
      </c>
    </row>
    <row r="9230" spans="1:3" s="8" customFormat="1" x14ac:dyDescent="0.2">
      <c r="A9230" s="6" t="str">
        <f>"ERG"</f>
        <v>ERG</v>
      </c>
      <c r="B9230" s="6">
        <v>0.21878121878121801</v>
      </c>
      <c r="C9230" s="6">
        <v>0.41607710913356599</v>
      </c>
    </row>
    <row r="9231" spans="1:3" s="8" customFormat="1" x14ac:dyDescent="0.2">
      <c r="A9231" s="6" t="str">
        <f>"MICOS10-NBL1"</f>
        <v>MICOS10-NBL1</v>
      </c>
      <c r="B9231" s="6">
        <v>0.21878121878121801</v>
      </c>
      <c r="C9231" s="6">
        <v>0.41607710913356599</v>
      </c>
    </row>
    <row r="9232" spans="1:3" s="8" customFormat="1" x14ac:dyDescent="0.2">
      <c r="A9232" s="6" t="str">
        <f>"ELFN2"</f>
        <v>ELFN2</v>
      </c>
      <c r="B9232" s="6">
        <v>0.21878121878121801</v>
      </c>
      <c r="C9232" s="6">
        <v>0.41607710913356599</v>
      </c>
    </row>
    <row r="9233" spans="1:3" s="8" customFormat="1" x14ac:dyDescent="0.2">
      <c r="A9233" s="6" t="str">
        <f>"IL17RD"</f>
        <v>IL17RD</v>
      </c>
      <c r="B9233" s="6">
        <v>0.21878121878121801</v>
      </c>
      <c r="C9233" s="6">
        <v>0.41607710913356599</v>
      </c>
    </row>
    <row r="9234" spans="1:3" s="8" customFormat="1" x14ac:dyDescent="0.2">
      <c r="A9234" s="6" t="str">
        <f>"LINC01697"</f>
        <v>LINC01697</v>
      </c>
      <c r="B9234" s="6">
        <v>0.21878121878121801</v>
      </c>
      <c r="C9234" s="6">
        <v>0.41607710913356599</v>
      </c>
    </row>
    <row r="9235" spans="1:3" s="8" customFormat="1" x14ac:dyDescent="0.2">
      <c r="A9235" s="6" t="str">
        <f>"CAMKK1"</f>
        <v>CAMKK1</v>
      </c>
      <c r="B9235" s="6">
        <v>0.21878121878121801</v>
      </c>
      <c r="C9235" s="6">
        <v>0.41607710913356599</v>
      </c>
    </row>
    <row r="9236" spans="1:3" s="8" customFormat="1" x14ac:dyDescent="0.2">
      <c r="A9236" s="6" t="str">
        <f>"WARS2"</f>
        <v>WARS2</v>
      </c>
      <c r="B9236" s="6">
        <v>0.21878121878121801</v>
      </c>
      <c r="C9236" s="6">
        <v>0.41607710913356599</v>
      </c>
    </row>
    <row r="9237" spans="1:3" s="8" customFormat="1" x14ac:dyDescent="0.2">
      <c r="A9237" s="6" t="str">
        <f>"TXNRD2"</f>
        <v>TXNRD2</v>
      </c>
      <c r="B9237" s="6">
        <v>0.21878121878121801</v>
      </c>
      <c r="C9237" s="6">
        <v>0.41607710913356599</v>
      </c>
    </row>
    <row r="9238" spans="1:3" s="8" customFormat="1" x14ac:dyDescent="0.2">
      <c r="A9238" s="6" t="str">
        <f>"TOR1A"</f>
        <v>TOR1A</v>
      </c>
      <c r="B9238" s="6">
        <v>0.21878121878121801</v>
      </c>
      <c r="C9238" s="6">
        <v>0.41607710913356599</v>
      </c>
    </row>
    <row r="9239" spans="1:3" s="8" customFormat="1" x14ac:dyDescent="0.2">
      <c r="A9239" s="6" t="str">
        <f>"MTIF3"</f>
        <v>MTIF3</v>
      </c>
      <c r="B9239" s="6">
        <v>0.21878121878121801</v>
      </c>
      <c r="C9239" s="6">
        <v>0.41607710913356599</v>
      </c>
    </row>
    <row r="9240" spans="1:3" s="8" customFormat="1" x14ac:dyDescent="0.2">
      <c r="A9240" s="6" t="str">
        <f>"STAT5A"</f>
        <v>STAT5A</v>
      </c>
      <c r="B9240" s="6">
        <v>0.21878121878121801</v>
      </c>
      <c r="C9240" s="6">
        <v>0.41607710913356599</v>
      </c>
    </row>
    <row r="9241" spans="1:3" s="8" customFormat="1" x14ac:dyDescent="0.2">
      <c r="A9241" s="6" t="str">
        <f>"OLMALINC"</f>
        <v>OLMALINC</v>
      </c>
      <c r="B9241" s="6">
        <v>0.21878121878121801</v>
      </c>
      <c r="C9241" s="6">
        <v>0.41607710913356599</v>
      </c>
    </row>
    <row r="9242" spans="1:3" s="8" customFormat="1" x14ac:dyDescent="0.2">
      <c r="A9242" s="6" t="str">
        <f>"SYVN1"</f>
        <v>SYVN1</v>
      </c>
      <c r="B9242" s="6">
        <v>0.21878121878121801</v>
      </c>
      <c r="C9242" s="6">
        <v>0.41607710913356599</v>
      </c>
    </row>
    <row r="9243" spans="1:3" s="8" customFormat="1" x14ac:dyDescent="0.2">
      <c r="A9243" s="6" t="str">
        <f>"ANKRD54"</f>
        <v>ANKRD54</v>
      </c>
      <c r="B9243" s="6">
        <v>0.21878121878121801</v>
      </c>
      <c r="C9243" s="6">
        <v>0.41607710913356599</v>
      </c>
    </row>
    <row r="9244" spans="1:3" s="8" customFormat="1" x14ac:dyDescent="0.2">
      <c r="A9244" s="6" t="str">
        <f>"SPEF1"</f>
        <v>SPEF1</v>
      </c>
      <c r="B9244" s="6">
        <v>0.21878121878121801</v>
      </c>
      <c r="C9244" s="6">
        <v>0.41607710913356599</v>
      </c>
    </row>
    <row r="9245" spans="1:3" s="8" customFormat="1" x14ac:dyDescent="0.2">
      <c r="A9245" s="6" t="str">
        <f>"ARHGAP1"</f>
        <v>ARHGAP1</v>
      </c>
      <c r="B9245" s="6">
        <v>0.21878121878121801</v>
      </c>
      <c r="C9245" s="6">
        <v>0.41607710913356599</v>
      </c>
    </row>
    <row r="9246" spans="1:3" s="8" customFormat="1" x14ac:dyDescent="0.2">
      <c r="A9246" s="6" t="str">
        <f>"NQO1"</f>
        <v>NQO1</v>
      </c>
      <c r="B9246" s="6">
        <v>0.21878121878121801</v>
      </c>
      <c r="C9246" s="6">
        <v>0.41607710913356599</v>
      </c>
    </row>
    <row r="9247" spans="1:3" s="8" customFormat="1" x14ac:dyDescent="0.2">
      <c r="A9247" s="6" t="str">
        <f>"NUCB2"</f>
        <v>NUCB2</v>
      </c>
      <c r="B9247" s="6">
        <v>0.21878121878121801</v>
      </c>
      <c r="C9247" s="6">
        <v>0.41607710913356599</v>
      </c>
    </row>
    <row r="9248" spans="1:3" s="8" customFormat="1" x14ac:dyDescent="0.2">
      <c r="A9248" s="6" t="str">
        <f>"AC010331.1"</f>
        <v>AC010331.1</v>
      </c>
      <c r="B9248" s="6">
        <v>0.219413549039433</v>
      </c>
      <c r="C9248" s="6">
        <v>0.41723454594024001</v>
      </c>
    </row>
    <row r="9249" spans="1:3" s="8" customFormat="1" x14ac:dyDescent="0.2">
      <c r="A9249" s="6" t="str">
        <f>"IGHV3-74"</f>
        <v>IGHV3-74</v>
      </c>
      <c r="B9249" s="6">
        <v>0.219780219780219</v>
      </c>
      <c r="C9249" s="6">
        <v>0.41725495407205598</v>
      </c>
    </row>
    <row r="9250" spans="1:3" s="8" customFormat="1" x14ac:dyDescent="0.2">
      <c r="A9250" s="6" t="str">
        <f>"Z98885.2"</f>
        <v>Z98885.2</v>
      </c>
      <c r="B9250" s="6">
        <v>0.219658976930792</v>
      </c>
      <c r="C9250" s="6">
        <v>0.41725495407205598</v>
      </c>
    </row>
    <row r="9251" spans="1:3" s="8" customFormat="1" x14ac:dyDescent="0.2">
      <c r="A9251" s="6" t="str">
        <f>"AL356234.1"</f>
        <v>AL356234.1</v>
      </c>
      <c r="B9251" s="6">
        <v>0.219780219780219</v>
      </c>
      <c r="C9251" s="6">
        <v>0.41725495407205598</v>
      </c>
    </row>
    <row r="9252" spans="1:3" s="8" customFormat="1" x14ac:dyDescent="0.2">
      <c r="A9252" s="6" t="str">
        <f>"AC027031.2"</f>
        <v>AC027031.2</v>
      </c>
      <c r="B9252" s="6">
        <v>0.219780219780219</v>
      </c>
      <c r="C9252" s="6">
        <v>0.41725495407205598</v>
      </c>
    </row>
    <row r="9253" spans="1:3" s="8" customFormat="1" x14ac:dyDescent="0.2">
      <c r="A9253" s="6" t="str">
        <f>"ITK"</f>
        <v>ITK</v>
      </c>
      <c r="B9253" s="6">
        <v>0.219780219780219</v>
      </c>
      <c r="C9253" s="6">
        <v>0.41725495407205598</v>
      </c>
    </row>
    <row r="9254" spans="1:3" s="8" customFormat="1" x14ac:dyDescent="0.2">
      <c r="A9254" s="6" t="str">
        <f>"AL161457.2"</f>
        <v>AL161457.2</v>
      </c>
      <c r="B9254" s="6">
        <v>0.219780219780219</v>
      </c>
      <c r="C9254" s="6">
        <v>0.41725495407205598</v>
      </c>
    </row>
    <row r="9255" spans="1:3" s="8" customFormat="1" x14ac:dyDescent="0.2">
      <c r="A9255" s="6" t="str">
        <f>"PCDHGA10"</f>
        <v>PCDHGA10</v>
      </c>
      <c r="B9255" s="6">
        <v>0.219780219780219</v>
      </c>
      <c r="C9255" s="6">
        <v>0.41725495407205598</v>
      </c>
    </row>
    <row r="9256" spans="1:3" s="8" customFormat="1" x14ac:dyDescent="0.2">
      <c r="A9256" s="6" t="str">
        <f>"RCC1"</f>
        <v>RCC1</v>
      </c>
      <c r="B9256" s="6">
        <v>0.219780219780219</v>
      </c>
      <c r="C9256" s="6">
        <v>0.41725495407205598</v>
      </c>
    </row>
    <row r="9257" spans="1:3" s="8" customFormat="1" x14ac:dyDescent="0.2">
      <c r="A9257" s="6" t="str">
        <f>"GART"</f>
        <v>GART</v>
      </c>
      <c r="B9257" s="6">
        <v>0.219780219780219</v>
      </c>
      <c r="C9257" s="6">
        <v>0.41725495407205598</v>
      </c>
    </row>
    <row r="9258" spans="1:3" s="8" customFormat="1" x14ac:dyDescent="0.2">
      <c r="A9258" s="6" t="str">
        <f>"ADGB"</f>
        <v>ADGB</v>
      </c>
      <c r="B9258" s="6">
        <v>0.219780219780219</v>
      </c>
      <c r="C9258" s="6">
        <v>0.41725495407205598</v>
      </c>
    </row>
    <row r="9259" spans="1:3" s="8" customFormat="1" x14ac:dyDescent="0.2">
      <c r="A9259" s="6" t="str">
        <f>"SETD3"</f>
        <v>SETD3</v>
      </c>
      <c r="B9259" s="6">
        <v>0.219780219780219</v>
      </c>
      <c r="C9259" s="6">
        <v>0.41725495407205598</v>
      </c>
    </row>
    <row r="9260" spans="1:3" s="8" customFormat="1" x14ac:dyDescent="0.2">
      <c r="A9260" s="6" t="str">
        <f>"DAPP1"</f>
        <v>DAPP1</v>
      </c>
      <c r="B9260" s="6">
        <v>0.219780219780219</v>
      </c>
      <c r="C9260" s="6">
        <v>0.41725495407205598</v>
      </c>
    </row>
    <row r="9261" spans="1:3" s="8" customFormat="1" x14ac:dyDescent="0.2">
      <c r="A9261" s="6" t="str">
        <f>"NCOA6"</f>
        <v>NCOA6</v>
      </c>
      <c r="B9261" s="6">
        <v>0.219780219780219</v>
      </c>
      <c r="C9261" s="6">
        <v>0.41725495407205598</v>
      </c>
    </row>
    <row r="9262" spans="1:3" s="8" customFormat="1" x14ac:dyDescent="0.2">
      <c r="A9262" s="6" t="str">
        <f>"DUS1L"</f>
        <v>DUS1L</v>
      </c>
      <c r="B9262" s="6">
        <v>0.219780219780219</v>
      </c>
      <c r="C9262" s="6">
        <v>0.41725495407205598</v>
      </c>
    </row>
    <row r="9263" spans="1:3" s="8" customFormat="1" x14ac:dyDescent="0.2">
      <c r="A9263" s="6" t="str">
        <f>"HDLBP"</f>
        <v>HDLBP</v>
      </c>
      <c r="B9263" s="6">
        <v>0.219780219780219</v>
      </c>
      <c r="C9263" s="6">
        <v>0.41725495407205598</v>
      </c>
    </row>
    <row r="9264" spans="1:3" s="8" customFormat="1" x14ac:dyDescent="0.2">
      <c r="A9264" s="6" t="str">
        <f>"CFAP74"</f>
        <v>CFAP74</v>
      </c>
      <c r="B9264" s="6">
        <v>0.22</v>
      </c>
      <c r="C9264" s="6">
        <v>0.41762711864406699</v>
      </c>
    </row>
    <row r="9265" spans="1:3" s="8" customFormat="1" x14ac:dyDescent="0.2">
      <c r="A9265" s="6" t="str">
        <f>"AC027097.2"</f>
        <v>AC027097.2</v>
      </c>
      <c r="B9265" s="6">
        <v>0.22007722007722</v>
      </c>
      <c r="C9265" s="6">
        <v>0.41772860943845302</v>
      </c>
    </row>
    <row r="9266" spans="1:3" s="8" customFormat="1" x14ac:dyDescent="0.2">
      <c r="A9266" s="6" t="str">
        <f>"TEX38"</f>
        <v>TEX38</v>
      </c>
      <c r="B9266" s="6">
        <v>0.22052845528455201</v>
      </c>
      <c r="C9266" s="6">
        <v>0.41824841824841802</v>
      </c>
    </row>
    <row r="9267" spans="1:3" s="8" customFormat="1" x14ac:dyDescent="0.2">
      <c r="A9267" s="6" t="str">
        <f>"AL669831.3"</f>
        <v>AL669831.3</v>
      </c>
      <c r="B9267" s="6">
        <v>0.22077922077921999</v>
      </c>
      <c r="C9267" s="6">
        <v>0.41824841824841802</v>
      </c>
    </row>
    <row r="9268" spans="1:3" s="8" customFormat="1" x14ac:dyDescent="0.2">
      <c r="A9268" s="6" t="str">
        <f>"LINC01348"</f>
        <v>LINC01348</v>
      </c>
      <c r="B9268" s="6">
        <v>0.22077922077921999</v>
      </c>
      <c r="C9268" s="6">
        <v>0.41824841824841802</v>
      </c>
    </row>
    <row r="9269" spans="1:3" s="8" customFormat="1" x14ac:dyDescent="0.2">
      <c r="A9269" s="6" t="str">
        <f>"AC027117.2"</f>
        <v>AC027117.2</v>
      </c>
      <c r="B9269" s="6">
        <v>0.22077922077921999</v>
      </c>
      <c r="C9269" s="6">
        <v>0.41824841824841802</v>
      </c>
    </row>
    <row r="9270" spans="1:3" s="8" customFormat="1" x14ac:dyDescent="0.2">
      <c r="A9270" s="6" t="str">
        <f>"MAP3K12"</f>
        <v>MAP3K12</v>
      </c>
      <c r="B9270" s="6">
        <v>0.22077922077921999</v>
      </c>
      <c r="C9270" s="6">
        <v>0.41824841824841802</v>
      </c>
    </row>
    <row r="9271" spans="1:3" s="8" customFormat="1" x14ac:dyDescent="0.2">
      <c r="A9271" s="6" t="str">
        <f>"TMEM200C"</f>
        <v>TMEM200C</v>
      </c>
      <c r="B9271" s="6">
        <v>0.22077922077921999</v>
      </c>
      <c r="C9271" s="6">
        <v>0.41824841824841802</v>
      </c>
    </row>
    <row r="9272" spans="1:3" s="8" customFormat="1" x14ac:dyDescent="0.2">
      <c r="A9272" s="6" t="str">
        <f>"CD274"</f>
        <v>CD274</v>
      </c>
      <c r="B9272" s="6">
        <v>0.22077922077921999</v>
      </c>
      <c r="C9272" s="6">
        <v>0.41824841824841802</v>
      </c>
    </row>
    <row r="9273" spans="1:3" s="8" customFormat="1" x14ac:dyDescent="0.2">
      <c r="A9273" s="6" t="str">
        <f>"AP003108.2"</f>
        <v>AP003108.2</v>
      </c>
      <c r="B9273" s="6">
        <v>0.22077922077921999</v>
      </c>
      <c r="C9273" s="6">
        <v>0.41824841824841802</v>
      </c>
    </row>
    <row r="9274" spans="1:3" s="8" customFormat="1" x14ac:dyDescent="0.2">
      <c r="A9274" s="6" t="str">
        <f>"TMEM187"</f>
        <v>TMEM187</v>
      </c>
      <c r="B9274" s="6">
        <v>0.22077922077921999</v>
      </c>
      <c r="C9274" s="6">
        <v>0.41824841824841802</v>
      </c>
    </row>
    <row r="9275" spans="1:3" s="8" customFormat="1" x14ac:dyDescent="0.2">
      <c r="A9275" s="6" t="str">
        <f>"SREK1IP1"</f>
        <v>SREK1IP1</v>
      </c>
      <c r="B9275" s="6">
        <v>0.22077922077921999</v>
      </c>
      <c r="C9275" s="6">
        <v>0.41824841824841802</v>
      </c>
    </row>
    <row r="9276" spans="1:3" s="8" customFormat="1" x14ac:dyDescent="0.2">
      <c r="A9276" s="6" t="str">
        <f>"STIL"</f>
        <v>STIL</v>
      </c>
      <c r="B9276" s="6">
        <v>0.22077922077921999</v>
      </c>
      <c r="C9276" s="6">
        <v>0.41824841824841802</v>
      </c>
    </row>
    <row r="9277" spans="1:3" s="8" customFormat="1" x14ac:dyDescent="0.2">
      <c r="A9277" s="6" t="str">
        <f>"ZNF721"</f>
        <v>ZNF721</v>
      </c>
      <c r="B9277" s="6">
        <v>0.22077922077921999</v>
      </c>
      <c r="C9277" s="6">
        <v>0.41824841824841802</v>
      </c>
    </row>
    <row r="9278" spans="1:3" s="8" customFormat="1" x14ac:dyDescent="0.2">
      <c r="A9278" s="6" t="str">
        <f>"ZNHIT2"</f>
        <v>ZNHIT2</v>
      </c>
      <c r="B9278" s="6">
        <v>0.22077922077921999</v>
      </c>
      <c r="C9278" s="6">
        <v>0.41824841824841802</v>
      </c>
    </row>
    <row r="9279" spans="1:3" s="8" customFormat="1" x14ac:dyDescent="0.2">
      <c r="A9279" s="6" t="str">
        <f>"RIPOR1"</f>
        <v>RIPOR1</v>
      </c>
      <c r="B9279" s="6">
        <v>0.22077922077921999</v>
      </c>
      <c r="C9279" s="6">
        <v>0.41824841824841802</v>
      </c>
    </row>
    <row r="9280" spans="1:3" s="8" customFormat="1" x14ac:dyDescent="0.2">
      <c r="A9280" s="6" t="str">
        <f>"PHF12"</f>
        <v>PHF12</v>
      </c>
      <c r="B9280" s="6">
        <v>0.22077922077921999</v>
      </c>
      <c r="C9280" s="6">
        <v>0.41824841824841802</v>
      </c>
    </row>
    <row r="9281" spans="1:3" s="8" customFormat="1" x14ac:dyDescent="0.2">
      <c r="A9281" s="6" t="str">
        <f>"FCF1"</f>
        <v>FCF1</v>
      </c>
      <c r="B9281" s="6">
        <v>0.22077922077921999</v>
      </c>
      <c r="C9281" s="6">
        <v>0.41824841824841802</v>
      </c>
    </row>
    <row r="9282" spans="1:3" s="8" customFormat="1" x14ac:dyDescent="0.2">
      <c r="A9282" s="6" t="str">
        <f>"C16orf72"</f>
        <v>C16orf72</v>
      </c>
      <c r="B9282" s="6">
        <v>0.22077922077921999</v>
      </c>
      <c r="C9282" s="6">
        <v>0.41824841824841802</v>
      </c>
    </row>
    <row r="9283" spans="1:3" s="8" customFormat="1" x14ac:dyDescent="0.2">
      <c r="A9283" s="6" t="str">
        <f>"EHF"</f>
        <v>EHF</v>
      </c>
      <c r="B9283" s="6">
        <v>0.22077922077921999</v>
      </c>
      <c r="C9283" s="6">
        <v>0.41824841824841802</v>
      </c>
    </row>
    <row r="9284" spans="1:3" s="8" customFormat="1" x14ac:dyDescent="0.2">
      <c r="A9284" s="6" t="str">
        <f>"MORN1"</f>
        <v>MORN1</v>
      </c>
      <c r="B9284" s="6">
        <v>0.221</v>
      </c>
      <c r="C9284" s="6">
        <v>0.41857647565704398</v>
      </c>
    </row>
    <row r="9285" spans="1:3" s="8" customFormat="1" x14ac:dyDescent="0.2">
      <c r="A9285" s="6" t="str">
        <f>"LRPPRC"</f>
        <v>LRPPRC</v>
      </c>
      <c r="B9285" s="6">
        <v>0.221</v>
      </c>
      <c r="C9285" s="6">
        <v>0.41857647565704398</v>
      </c>
    </row>
    <row r="9286" spans="1:3" s="8" customFormat="1" x14ac:dyDescent="0.2">
      <c r="A9286" s="6" t="str">
        <f>"AC010809.1"</f>
        <v>AC010809.1</v>
      </c>
      <c r="B9286" s="6">
        <v>0.22177822177822101</v>
      </c>
      <c r="C9286" s="6">
        <v>0.419282684845527</v>
      </c>
    </row>
    <row r="9287" spans="1:3" s="8" customFormat="1" x14ac:dyDescent="0.2">
      <c r="A9287" s="6" t="str">
        <f>"AC095060.1"</f>
        <v>AC095060.1</v>
      </c>
      <c r="B9287" s="6">
        <v>0.22155085599194299</v>
      </c>
      <c r="C9287" s="6">
        <v>0.419282684845527</v>
      </c>
    </row>
    <row r="9288" spans="1:3" s="8" customFormat="1" x14ac:dyDescent="0.2">
      <c r="A9288" s="6" t="str">
        <f>"TRBV7-2"</f>
        <v>TRBV7-2</v>
      </c>
      <c r="B9288" s="6">
        <v>0.22177822177822101</v>
      </c>
      <c r="C9288" s="6">
        <v>0.419282684845527</v>
      </c>
    </row>
    <row r="9289" spans="1:3" s="8" customFormat="1" x14ac:dyDescent="0.2">
      <c r="A9289" s="6" t="str">
        <f>"GRM2"</f>
        <v>GRM2</v>
      </c>
      <c r="B9289" s="6">
        <v>0.22177822177822101</v>
      </c>
      <c r="C9289" s="6">
        <v>0.419282684845527</v>
      </c>
    </row>
    <row r="9290" spans="1:3" s="8" customFormat="1" x14ac:dyDescent="0.2">
      <c r="A9290" s="6" t="str">
        <f>"AMTN"</f>
        <v>AMTN</v>
      </c>
      <c r="B9290" s="6">
        <v>0.22177822177822101</v>
      </c>
      <c r="C9290" s="6">
        <v>0.419282684845527</v>
      </c>
    </row>
    <row r="9291" spans="1:3" s="8" customFormat="1" x14ac:dyDescent="0.2">
      <c r="A9291" s="6" t="str">
        <f>"THUMPD2"</f>
        <v>THUMPD2</v>
      </c>
      <c r="B9291" s="6">
        <v>0.22177822177822101</v>
      </c>
      <c r="C9291" s="6">
        <v>0.419282684845527</v>
      </c>
    </row>
    <row r="9292" spans="1:3" s="8" customFormat="1" x14ac:dyDescent="0.2">
      <c r="A9292" s="6" t="str">
        <f>"TMEM267"</f>
        <v>TMEM267</v>
      </c>
      <c r="B9292" s="6">
        <v>0.22177822177822101</v>
      </c>
      <c r="C9292" s="6">
        <v>0.419282684845527</v>
      </c>
    </row>
    <row r="9293" spans="1:3" s="8" customFormat="1" x14ac:dyDescent="0.2">
      <c r="A9293" s="6" t="str">
        <f>"RRNAD1"</f>
        <v>RRNAD1</v>
      </c>
      <c r="B9293" s="6">
        <v>0.22177822177822101</v>
      </c>
      <c r="C9293" s="6">
        <v>0.419282684845527</v>
      </c>
    </row>
    <row r="9294" spans="1:3" s="8" customFormat="1" x14ac:dyDescent="0.2">
      <c r="A9294" s="6" t="str">
        <f>"AP001931.2"</f>
        <v>AP001931.2</v>
      </c>
      <c r="B9294" s="6">
        <v>0.22177822177822101</v>
      </c>
      <c r="C9294" s="6">
        <v>0.419282684845527</v>
      </c>
    </row>
    <row r="9295" spans="1:3" s="8" customFormat="1" x14ac:dyDescent="0.2">
      <c r="A9295" s="6" t="str">
        <f>"CCDC30"</f>
        <v>CCDC30</v>
      </c>
      <c r="B9295" s="6">
        <v>0.22177822177822101</v>
      </c>
      <c r="C9295" s="6">
        <v>0.419282684845527</v>
      </c>
    </row>
    <row r="9296" spans="1:3" s="8" customFormat="1" x14ac:dyDescent="0.2">
      <c r="A9296" s="6" t="str">
        <f>"MIEN1"</f>
        <v>MIEN1</v>
      </c>
      <c r="B9296" s="6">
        <v>0.22177822177822101</v>
      </c>
      <c r="C9296" s="6">
        <v>0.419282684845527</v>
      </c>
    </row>
    <row r="9297" spans="1:3" s="8" customFormat="1" x14ac:dyDescent="0.2">
      <c r="A9297" s="6" t="str">
        <f>"CUL7"</f>
        <v>CUL7</v>
      </c>
      <c r="B9297" s="6">
        <v>0.22177822177822101</v>
      </c>
      <c r="C9297" s="6">
        <v>0.419282684845527</v>
      </c>
    </row>
    <row r="9298" spans="1:3" s="8" customFormat="1" x14ac:dyDescent="0.2">
      <c r="A9298" s="6" t="str">
        <f>"TRIM38"</f>
        <v>TRIM38</v>
      </c>
      <c r="B9298" s="6">
        <v>0.22177822177822101</v>
      </c>
      <c r="C9298" s="6">
        <v>0.419282684845527</v>
      </c>
    </row>
    <row r="9299" spans="1:3" s="8" customFormat="1" x14ac:dyDescent="0.2">
      <c r="A9299" s="6" t="str">
        <f>"TSGA10"</f>
        <v>TSGA10</v>
      </c>
      <c r="B9299" s="6">
        <v>0.22177822177822101</v>
      </c>
      <c r="C9299" s="6">
        <v>0.419282684845527</v>
      </c>
    </row>
    <row r="9300" spans="1:3" s="8" customFormat="1" x14ac:dyDescent="0.2">
      <c r="A9300" s="6" t="str">
        <f>"CCDC74A"</f>
        <v>CCDC74A</v>
      </c>
      <c r="B9300" s="6">
        <v>0.22177822177822101</v>
      </c>
      <c r="C9300" s="6">
        <v>0.419282684845527</v>
      </c>
    </row>
    <row r="9301" spans="1:3" s="8" customFormat="1" x14ac:dyDescent="0.2">
      <c r="A9301" s="6" t="str">
        <f>"ATP13A3"</f>
        <v>ATP13A3</v>
      </c>
      <c r="B9301" s="6">
        <v>0.22177822177822101</v>
      </c>
      <c r="C9301" s="6">
        <v>0.419282684845527</v>
      </c>
    </row>
    <row r="9302" spans="1:3" s="8" customFormat="1" x14ac:dyDescent="0.2">
      <c r="A9302" s="6" t="str">
        <f>"PPP4R1"</f>
        <v>PPP4R1</v>
      </c>
      <c r="B9302" s="6">
        <v>0.22177822177822101</v>
      </c>
      <c r="C9302" s="6">
        <v>0.419282684845527</v>
      </c>
    </row>
    <row r="9303" spans="1:3" s="8" customFormat="1" x14ac:dyDescent="0.2">
      <c r="A9303" s="6" t="str">
        <f>"AC135050.3"</f>
        <v>AC135050.3</v>
      </c>
      <c r="B9303" s="6">
        <v>0.22277722277722201</v>
      </c>
      <c r="C9303" s="6">
        <v>0.42044807183800398</v>
      </c>
    </row>
    <row r="9304" spans="1:3" s="8" customFormat="1" x14ac:dyDescent="0.2">
      <c r="A9304" s="6" t="str">
        <f>"LINC01795"</f>
        <v>LINC01795</v>
      </c>
      <c r="B9304" s="6">
        <v>0.22244488977955901</v>
      </c>
      <c r="C9304" s="6">
        <v>0.42044807183800398</v>
      </c>
    </row>
    <row r="9305" spans="1:3" s="8" customFormat="1" x14ac:dyDescent="0.2">
      <c r="A9305" s="6" t="str">
        <f>"BX284632.1"</f>
        <v>BX284632.1</v>
      </c>
      <c r="B9305" s="6">
        <v>0.22277722277722201</v>
      </c>
      <c r="C9305" s="6">
        <v>0.42044807183800398</v>
      </c>
    </row>
    <row r="9306" spans="1:3" s="8" customFormat="1" x14ac:dyDescent="0.2">
      <c r="A9306" s="6" t="str">
        <f>"PRB3"</f>
        <v>PRB3</v>
      </c>
      <c r="B9306" s="6">
        <v>0.22277722277722201</v>
      </c>
      <c r="C9306" s="6">
        <v>0.42044807183800398</v>
      </c>
    </row>
    <row r="9307" spans="1:3" s="8" customFormat="1" x14ac:dyDescent="0.2">
      <c r="A9307" s="6" t="str">
        <f>"VCAM1"</f>
        <v>VCAM1</v>
      </c>
      <c r="B9307" s="6">
        <v>0.22277722277722201</v>
      </c>
      <c r="C9307" s="6">
        <v>0.42044807183800398</v>
      </c>
    </row>
    <row r="9308" spans="1:3" s="8" customFormat="1" x14ac:dyDescent="0.2">
      <c r="A9308" s="6" t="str">
        <f>"FGD5P1"</f>
        <v>FGD5P1</v>
      </c>
      <c r="B9308" s="6">
        <v>0.22277722277722201</v>
      </c>
      <c r="C9308" s="6">
        <v>0.42044807183800398</v>
      </c>
    </row>
    <row r="9309" spans="1:3" s="8" customFormat="1" x14ac:dyDescent="0.2">
      <c r="A9309" s="6" t="str">
        <f>"PCDHGA1"</f>
        <v>PCDHGA1</v>
      </c>
      <c r="B9309" s="6">
        <v>0.22277722277722201</v>
      </c>
      <c r="C9309" s="6">
        <v>0.42044807183800398</v>
      </c>
    </row>
    <row r="9310" spans="1:3" s="8" customFormat="1" x14ac:dyDescent="0.2">
      <c r="A9310" s="6" t="str">
        <f>"AL513497.1"</f>
        <v>AL513497.1</v>
      </c>
      <c r="B9310" s="6">
        <v>0.22277722277722201</v>
      </c>
      <c r="C9310" s="6">
        <v>0.42044807183800398</v>
      </c>
    </row>
    <row r="9311" spans="1:3" s="8" customFormat="1" x14ac:dyDescent="0.2">
      <c r="A9311" s="6" t="str">
        <f>"CDK5R1"</f>
        <v>CDK5R1</v>
      </c>
      <c r="B9311" s="6">
        <v>0.22277722277722201</v>
      </c>
      <c r="C9311" s="6">
        <v>0.42044807183800398</v>
      </c>
    </row>
    <row r="9312" spans="1:3" s="8" customFormat="1" x14ac:dyDescent="0.2">
      <c r="A9312" s="6" t="str">
        <f>"SLC25A15"</f>
        <v>SLC25A15</v>
      </c>
      <c r="B9312" s="6">
        <v>0.22277722277722201</v>
      </c>
      <c r="C9312" s="6">
        <v>0.42044807183800398</v>
      </c>
    </row>
    <row r="9313" spans="1:3" s="8" customFormat="1" x14ac:dyDescent="0.2">
      <c r="A9313" s="6" t="str">
        <f>"AL390755.2"</f>
        <v>AL390755.2</v>
      </c>
      <c r="B9313" s="6">
        <v>0.22277722277722201</v>
      </c>
      <c r="C9313" s="6">
        <v>0.42044807183800398</v>
      </c>
    </row>
    <row r="9314" spans="1:3" s="8" customFormat="1" x14ac:dyDescent="0.2">
      <c r="A9314" s="6" t="str">
        <f>"TPM1"</f>
        <v>TPM1</v>
      </c>
      <c r="B9314" s="6">
        <v>0.22277722277722201</v>
      </c>
      <c r="C9314" s="6">
        <v>0.42044807183800398</v>
      </c>
    </row>
    <row r="9315" spans="1:3" s="8" customFormat="1" x14ac:dyDescent="0.2">
      <c r="A9315" s="6" t="str">
        <f>"BTN3A1"</f>
        <v>BTN3A1</v>
      </c>
      <c r="B9315" s="6">
        <v>0.22277722277722201</v>
      </c>
      <c r="C9315" s="6">
        <v>0.42044807183800398</v>
      </c>
    </row>
    <row r="9316" spans="1:3" s="8" customFormat="1" x14ac:dyDescent="0.2">
      <c r="A9316" s="6" t="str">
        <f>"RBM17"</f>
        <v>RBM17</v>
      </c>
      <c r="B9316" s="6">
        <v>0.22277722277722201</v>
      </c>
      <c r="C9316" s="6">
        <v>0.42044807183800398</v>
      </c>
    </row>
    <row r="9317" spans="1:3" s="8" customFormat="1" x14ac:dyDescent="0.2">
      <c r="A9317" s="6" t="str">
        <f>"VAMP8"</f>
        <v>VAMP8</v>
      </c>
      <c r="B9317" s="6">
        <v>0.22277722277722201</v>
      </c>
      <c r="C9317" s="6">
        <v>0.42044807183800398</v>
      </c>
    </row>
    <row r="9318" spans="1:3" s="8" customFormat="1" x14ac:dyDescent="0.2">
      <c r="A9318" s="6" t="str">
        <f>"RPL21"</f>
        <v>RPL21</v>
      </c>
      <c r="B9318" s="6">
        <v>0.22277722277722201</v>
      </c>
      <c r="C9318" s="6">
        <v>0.42044807183800398</v>
      </c>
    </row>
    <row r="9319" spans="1:3" s="8" customFormat="1" x14ac:dyDescent="0.2">
      <c r="A9319" s="6" t="str">
        <f>"SOX2"</f>
        <v>SOX2</v>
      </c>
      <c r="B9319" s="6">
        <v>0.22322322322322299</v>
      </c>
      <c r="C9319" s="6">
        <v>0.42124459724803098</v>
      </c>
    </row>
    <row r="9320" spans="1:3" s="8" customFormat="1" x14ac:dyDescent="0.2">
      <c r="A9320" s="6" t="str">
        <f>"IGKV1-9"</f>
        <v>IGKV1-9</v>
      </c>
      <c r="B9320" s="6">
        <v>0.223776223776223</v>
      </c>
      <c r="C9320" s="6">
        <v>0.42160946307522901</v>
      </c>
    </row>
    <row r="9321" spans="1:3" s="8" customFormat="1" x14ac:dyDescent="0.2">
      <c r="A9321" s="6" t="str">
        <f>"AP001099.1"</f>
        <v>AP001099.1</v>
      </c>
      <c r="B9321" s="6">
        <v>0.223776223776223</v>
      </c>
      <c r="C9321" s="6">
        <v>0.42160946307522901</v>
      </c>
    </row>
    <row r="9322" spans="1:3" s="8" customFormat="1" x14ac:dyDescent="0.2">
      <c r="A9322" s="6" t="str">
        <f>"UBE2FP1"</f>
        <v>UBE2FP1</v>
      </c>
      <c r="B9322" s="6">
        <v>0.223776223776223</v>
      </c>
      <c r="C9322" s="6">
        <v>0.42160946307522901</v>
      </c>
    </row>
    <row r="9323" spans="1:3" s="8" customFormat="1" x14ac:dyDescent="0.2">
      <c r="A9323" s="6" t="str">
        <f>"AC008453.2"</f>
        <v>AC008453.2</v>
      </c>
      <c r="B9323" s="6">
        <v>0.223776223776223</v>
      </c>
      <c r="C9323" s="6">
        <v>0.42160946307522901</v>
      </c>
    </row>
    <row r="9324" spans="1:3" s="8" customFormat="1" x14ac:dyDescent="0.2">
      <c r="A9324" s="6" t="str">
        <f>"RPS3AP6"</f>
        <v>RPS3AP6</v>
      </c>
      <c r="B9324" s="6">
        <v>0.223776223776223</v>
      </c>
      <c r="C9324" s="6">
        <v>0.42160946307522901</v>
      </c>
    </row>
    <row r="9325" spans="1:3" s="8" customFormat="1" x14ac:dyDescent="0.2">
      <c r="A9325" s="6" t="str">
        <f>"TMC7"</f>
        <v>TMC7</v>
      </c>
      <c r="B9325" s="6">
        <v>0.223776223776223</v>
      </c>
      <c r="C9325" s="6">
        <v>0.42160946307522901</v>
      </c>
    </row>
    <row r="9326" spans="1:3" s="8" customFormat="1" x14ac:dyDescent="0.2">
      <c r="A9326" s="6" t="str">
        <f>"ZNF726"</f>
        <v>ZNF726</v>
      </c>
      <c r="B9326" s="6">
        <v>0.223776223776223</v>
      </c>
      <c r="C9326" s="6">
        <v>0.42160946307522901</v>
      </c>
    </row>
    <row r="9327" spans="1:3" s="8" customFormat="1" x14ac:dyDescent="0.2">
      <c r="A9327" s="6" t="str">
        <f>"ARSJ"</f>
        <v>ARSJ</v>
      </c>
      <c r="B9327" s="6">
        <v>0.223776223776223</v>
      </c>
      <c r="C9327" s="6">
        <v>0.42160946307522901</v>
      </c>
    </row>
    <row r="9328" spans="1:3" s="8" customFormat="1" x14ac:dyDescent="0.2">
      <c r="A9328" s="6" t="str">
        <f>"BCL2L14"</f>
        <v>BCL2L14</v>
      </c>
      <c r="B9328" s="6">
        <v>0.223776223776223</v>
      </c>
      <c r="C9328" s="6">
        <v>0.42160946307522901</v>
      </c>
    </row>
    <row r="9329" spans="1:3" s="8" customFormat="1" x14ac:dyDescent="0.2">
      <c r="A9329" s="6" t="str">
        <f>"TMEM238"</f>
        <v>TMEM238</v>
      </c>
      <c r="B9329" s="6">
        <v>0.223776223776223</v>
      </c>
      <c r="C9329" s="6">
        <v>0.42160946307522901</v>
      </c>
    </row>
    <row r="9330" spans="1:3" s="8" customFormat="1" x14ac:dyDescent="0.2">
      <c r="A9330" s="6" t="str">
        <f>"UBTD2"</f>
        <v>UBTD2</v>
      </c>
      <c r="B9330" s="6">
        <v>0.223776223776223</v>
      </c>
      <c r="C9330" s="6">
        <v>0.42160946307522901</v>
      </c>
    </row>
    <row r="9331" spans="1:3" s="8" customFormat="1" x14ac:dyDescent="0.2">
      <c r="A9331" s="6" t="str">
        <f>"PRXL2C"</f>
        <v>PRXL2C</v>
      </c>
      <c r="B9331" s="6">
        <v>0.223776223776223</v>
      </c>
      <c r="C9331" s="6">
        <v>0.42160946307522901</v>
      </c>
    </row>
    <row r="9332" spans="1:3" s="8" customFormat="1" x14ac:dyDescent="0.2">
      <c r="A9332" s="6" t="str">
        <f>"POLR1B"</f>
        <v>POLR1B</v>
      </c>
      <c r="B9332" s="6">
        <v>0.223776223776223</v>
      </c>
      <c r="C9332" s="6">
        <v>0.42160946307522901</v>
      </c>
    </row>
    <row r="9333" spans="1:3" s="8" customFormat="1" x14ac:dyDescent="0.2">
      <c r="A9333" s="6" t="str">
        <f>"LRRN1"</f>
        <v>LRRN1</v>
      </c>
      <c r="B9333" s="6">
        <v>0.223776223776223</v>
      </c>
      <c r="C9333" s="6">
        <v>0.42160946307522901</v>
      </c>
    </row>
    <row r="9334" spans="1:3" s="8" customFormat="1" x14ac:dyDescent="0.2">
      <c r="A9334" s="6" t="str">
        <f>"CFAP206"</f>
        <v>CFAP206</v>
      </c>
      <c r="B9334" s="6">
        <v>0.223776223776223</v>
      </c>
      <c r="C9334" s="6">
        <v>0.42160946307522901</v>
      </c>
    </row>
    <row r="9335" spans="1:3" s="8" customFormat="1" x14ac:dyDescent="0.2">
      <c r="A9335" s="6" t="str">
        <f>"BX323043.1"</f>
        <v>BX323043.1</v>
      </c>
      <c r="B9335" s="6">
        <v>0.224</v>
      </c>
      <c r="C9335" s="6">
        <v>0.421985858152989</v>
      </c>
    </row>
    <row r="9336" spans="1:3" s="8" customFormat="1" x14ac:dyDescent="0.2">
      <c r="A9336" s="6" t="str">
        <f>"FAM167B"</f>
        <v>FAM167B</v>
      </c>
      <c r="B9336" s="6">
        <v>0.22434607645875199</v>
      </c>
      <c r="C9336" s="6">
        <v>0.422592545093808</v>
      </c>
    </row>
    <row r="9337" spans="1:3" s="8" customFormat="1" x14ac:dyDescent="0.2">
      <c r="A9337" s="6" t="str">
        <f>"AL161665.2"</f>
        <v>AL161665.2</v>
      </c>
      <c r="B9337" s="6">
        <v>0.22444889779559099</v>
      </c>
      <c r="C9337" s="6">
        <v>0.42267645732515802</v>
      </c>
    </row>
    <row r="9338" spans="1:3" s="8" customFormat="1" x14ac:dyDescent="0.2">
      <c r="A9338" s="6" t="str">
        <f>"AL359955.1"</f>
        <v>AL359955.1</v>
      </c>
      <c r="B9338" s="6">
        <v>0.22477522477522399</v>
      </c>
      <c r="C9338" s="6">
        <v>0.42267645732515802</v>
      </c>
    </row>
    <row r="9339" spans="1:3" s="8" customFormat="1" x14ac:dyDescent="0.2">
      <c r="A9339" s="6" t="str">
        <f>"LINC00173"</f>
        <v>LINC00173</v>
      </c>
      <c r="B9339" s="6">
        <v>0.22477522477522399</v>
      </c>
      <c r="C9339" s="6">
        <v>0.42267645732515802</v>
      </c>
    </row>
    <row r="9340" spans="1:3" s="8" customFormat="1" x14ac:dyDescent="0.2">
      <c r="A9340" s="6" t="str">
        <f>"AL391056.1"</f>
        <v>AL391056.1</v>
      </c>
      <c r="B9340" s="6">
        <v>0.22477522477522399</v>
      </c>
      <c r="C9340" s="6">
        <v>0.42267645732515802</v>
      </c>
    </row>
    <row r="9341" spans="1:3" s="8" customFormat="1" x14ac:dyDescent="0.2">
      <c r="A9341" s="6" t="str">
        <f>"UXT-AS1"</f>
        <v>UXT-AS1</v>
      </c>
      <c r="B9341" s="6">
        <v>0.22477522477522399</v>
      </c>
      <c r="C9341" s="6">
        <v>0.42267645732515802</v>
      </c>
    </row>
    <row r="9342" spans="1:3" s="8" customFormat="1" x14ac:dyDescent="0.2">
      <c r="A9342" s="6" t="str">
        <f>"AC007786.1"</f>
        <v>AC007786.1</v>
      </c>
      <c r="B9342" s="6">
        <v>0.22477522477522399</v>
      </c>
      <c r="C9342" s="6">
        <v>0.42267645732515802</v>
      </c>
    </row>
    <row r="9343" spans="1:3" s="8" customFormat="1" x14ac:dyDescent="0.2">
      <c r="A9343" s="6" t="str">
        <f>"GAREM2"</f>
        <v>GAREM2</v>
      </c>
      <c r="B9343" s="6">
        <v>0.22477522477522399</v>
      </c>
      <c r="C9343" s="6">
        <v>0.42267645732515802</v>
      </c>
    </row>
    <row r="9344" spans="1:3" s="8" customFormat="1" x14ac:dyDescent="0.2">
      <c r="A9344" s="6" t="str">
        <f>"TMEM170B"</f>
        <v>TMEM170B</v>
      </c>
      <c r="B9344" s="6">
        <v>0.22477522477522399</v>
      </c>
      <c r="C9344" s="6">
        <v>0.42267645732515802</v>
      </c>
    </row>
    <row r="9345" spans="1:3" s="8" customFormat="1" x14ac:dyDescent="0.2">
      <c r="A9345" s="6" t="str">
        <f>"PLD4"</f>
        <v>PLD4</v>
      </c>
      <c r="B9345" s="6">
        <v>0.22477522477522399</v>
      </c>
      <c r="C9345" s="6">
        <v>0.42267645732515802</v>
      </c>
    </row>
    <row r="9346" spans="1:3" s="8" customFormat="1" x14ac:dyDescent="0.2">
      <c r="A9346" s="6" t="str">
        <f>"PLPP6"</f>
        <v>PLPP6</v>
      </c>
      <c r="B9346" s="6">
        <v>0.22477522477522399</v>
      </c>
      <c r="C9346" s="6">
        <v>0.42267645732515802</v>
      </c>
    </row>
    <row r="9347" spans="1:3" s="8" customFormat="1" x14ac:dyDescent="0.2">
      <c r="A9347" s="6" t="str">
        <f>"BOC"</f>
        <v>BOC</v>
      </c>
      <c r="B9347" s="6">
        <v>0.22477522477522399</v>
      </c>
      <c r="C9347" s="6">
        <v>0.42267645732515802</v>
      </c>
    </row>
    <row r="9348" spans="1:3" s="8" customFormat="1" x14ac:dyDescent="0.2">
      <c r="A9348" s="6" t="str">
        <f>"RASA3"</f>
        <v>RASA3</v>
      </c>
      <c r="B9348" s="6">
        <v>0.22477522477522399</v>
      </c>
      <c r="C9348" s="6">
        <v>0.42267645732515802</v>
      </c>
    </row>
    <row r="9349" spans="1:3" s="8" customFormat="1" x14ac:dyDescent="0.2">
      <c r="A9349" s="6" t="str">
        <f>"ACBD6"</f>
        <v>ACBD6</v>
      </c>
      <c r="B9349" s="6">
        <v>0.22477522477522399</v>
      </c>
      <c r="C9349" s="6">
        <v>0.42267645732515802</v>
      </c>
    </row>
    <row r="9350" spans="1:3" s="8" customFormat="1" x14ac:dyDescent="0.2">
      <c r="A9350" s="6" t="str">
        <f>"TAF2"</f>
        <v>TAF2</v>
      </c>
      <c r="B9350" s="6">
        <v>0.22477522477522399</v>
      </c>
      <c r="C9350" s="6">
        <v>0.42267645732515802</v>
      </c>
    </row>
    <row r="9351" spans="1:3" s="8" customFormat="1" x14ac:dyDescent="0.2">
      <c r="A9351" s="6" t="str">
        <f>"C4orf3"</f>
        <v>C4orf3</v>
      </c>
      <c r="B9351" s="6">
        <v>0.22477522477522399</v>
      </c>
      <c r="C9351" s="6">
        <v>0.42267645732515802</v>
      </c>
    </row>
    <row r="9352" spans="1:3" s="8" customFormat="1" x14ac:dyDescent="0.2">
      <c r="A9352" s="6" t="str">
        <f>"BCLAF1"</f>
        <v>BCLAF1</v>
      </c>
      <c r="B9352" s="6">
        <v>0.22477522477522399</v>
      </c>
      <c r="C9352" s="6">
        <v>0.42267645732515802</v>
      </c>
    </row>
    <row r="9353" spans="1:3" s="8" customFormat="1" x14ac:dyDescent="0.2">
      <c r="A9353" s="6" t="str">
        <f>"AC055839.2"</f>
        <v>AC055839.2</v>
      </c>
      <c r="B9353" s="6">
        <v>0.22500000000000001</v>
      </c>
      <c r="C9353" s="6">
        <v>0.42305389221556799</v>
      </c>
    </row>
    <row r="9354" spans="1:3" s="8" customFormat="1" x14ac:dyDescent="0.2">
      <c r="A9354" s="6" t="str">
        <f>"AC126323.2"</f>
        <v>AC126323.2</v>
      </c>
      <c r="B9354" s="6">
        <v>0.22535211267605601</v>
      </c>
      <c r="C9354" s="6">
        <v>0.42367064570680701</v>
      </c>
    </row>
    <row r="9355" spans="1:3" s="8" customFormat="1" x14ac:dyDescent="0.2">
      <c r="A9355" s="6" t="str">
        <f>"AC005064.1"</f>
        <v>AC005064.1</v>
      </c>
      <c r="B9355" s="6">
        <v>0.22577422577422501</v>
      </c>
      <c r="C9355" s="6">
        <v>0.42369412871013701</v>
      </c>
    </row>
    <row r="9356" spans="1:3" s="8" customFormat="1" x14ac:dyDescent="0.2">
      <c r="A9356" s="6" t="str">
        <f>"AK5"</f>
        <v>AK5</v>
      </c>
      <c r="B9356" s="6">
        <v>0.22577422577422501</v>
      </c>
      <c r="C9356" s="6">
        <v>0.42369412871013701</v>
      </c>
    </row>
    <row r="9357" spans="1:3" s="8" customFormat="1" x14ac:dyDescent="0.2">
      <c r="A9357" s="6" t="str">
        <f>"Z83847.1"</f>
        <v>Z83847.1</v>
      </c>
      <c r="B9357" s="6">
        <v>0.225480283114256</v>
      </c>
      <c r="C9357" s="6">
        <v>0.42369412871013701</v>
      </c>
    </row>
    <row r="9358" spans="1:3" s="8" customFormat="1" x14ac:dyDescent="0.2">
      <c r="A9358" s="6" t="str">
        <f>"SDK1-AS1"</f>
        <v>SDK1-AS1</v>
      </c>
      <c r="B9358" s="6">
        <v>0.22577422577422501</v>
      </c>
      <c r="C9358" s="6">
        <v>0.42369412871013701</v>
      </c>
    </row>
    <row r="9359" spans="1:3" s="8" customFormat="1" x14ac:dyDescent="0.2">
      <c r="A9359" s="6" t="str">
        <f>"FAM21FP"</f>
        <v>FAM21FP</v>
      </c>
      <c r="B9359" s="6">
        <v>0.22577422577422501</v>
      </c>
      <c r="C9359" s="6">
        <v>0.42369412871013701</v>
      </c>
    </row>
    <row r="9360" spans="1:3" s="8" customFormat="1" x14ac:dyDescent="0.2">
      <c r="A9360" s="6" t="str">
        <f>"AC083837.1"</f>
        <v>AC083837.1</v>
      </c>
      <c r="B9360" s="6">
        <v>0.22577422577422501</v>
      </c>
      <c r="C9360" s="6">
        <v>0.42369412871013701</v>
      </c>
    </row>
    <row r="9361" spans="1:3" s="8" customFormat="1" x14ac:dyDescent="0.2">
      <c r="A9361" s="6" t="str">
        <f>"ELOA-AS1"</f>
        <v>ELOA-AS1</v>
      </c>
      <c r="B9361" s="6">
        <v>0.22577422577422501</v>
      </c>
      <c r="C9361" s="6">
        <v>0.42369412871013701</v>
      </c>
    </row>
    <row r="9362" spans="1:3" s="8" customFormat="1" x14ac:dyDescent="0.2">
      <c r="A9362" s="6" t="str">
        <f>"SLC12A8"</f>
        <v>SLC12A8</v>
      </c>
      <c r="B9362" s="6">
        <v>0.22577422577422501</v>
      </c>
      <c r="C9362" s="6">
        <v>0.42369412871013701</v>
      </c>
    </row>
    <row r="9363" spans="1:3" s="8" customFormat="1" x14ac:dyDescent="0.2">
      <c r="A9363" s="6" t="str">
        <f>"FBXO17"</f>
        <v>FBXO17</v>
      </c>
      <c r="B9363" s="6">
        <v>0.22577422577422501</v>
      </c>
      <c r="C9363" s="6">
        <v>0.42369412871013701</v>
      </c>
    </row>
    <row r="9364" spans="1:3" s="8" customFormat="1" x14ac:dyDescent="0.2">
      <c r="A9364" s="6" t="str">
        <f>"LRP2BP"</f>
        <v>LRP2BP</v>
      </c>
      <c r="B9364" s="6">
        <v>0.22577422577422501</v>
      </c>
      <c r="C9364" s="6">
        <v>0.42369412871013701</v>
      </c>
    </row>
    <row r="9365" spans="1:3" s="8" customFormat="1" x14ac:dyDescent="0.2">
      <c r="A9365" s="6" t="str">
        <f>"ATP10D"</f>
        <v>ATP10D</v>
      </c>
      <c r="B9365" s="6">
        <v>0.22577422577422501</v>
      </c>
      <c r="C9365" s="6">
        <v>0.42369412871013701</v>
      </c>
    </row>
    <row r="9366" spans="1:3" s="8" customFormat="1" x14ac:dyDescent="0.2">
      <c r="A9366" s="6" t="str">
        <f>"SCMH1"</f>
        <v>SCMH1</v>
      </c>
      <c r="B9366" s="6">
        <v>0.22577422577422501</v>
      </c>
      <c r="C9366" s="6">
        <v>0.42369412871013701</v>
      </c>
    </row>
    <row r="9367" spans="1:3" s="8" customFormat="1" x14ac:dyDescent="0.2">
      <c r="A9367" s="6" t="str">
        <f>"NAE1"</f>
        <v>NAE1</v>
      </c>
      <c r="B9367" s="6">
        <v>0.22577422577422501</v>
      </c>
      <c r="C9367" s="6">
        <v>0.42369412871013701</v>
      </c>
    </row>
    <row r="9368" spans="1:3" s="8" customFormat="1" x14ac:dyDescent="0.2">
      <c r="A9368" s="6" t="str">
        <f>"MAP1S"</f>
        <v>MAP1S</v>
      </c>
      <c r="B9368" s="6">
        <v>0.22577422577422501</v>
      </c>
      <c r="C9368" s="6">
        <v>0.42369412871013701</v>
      </c>
    </row>
    <row r="9369" spans="1:3" s="8" customFormat="1" x14ac:dyDescent="0.2">
      <c r="A9369" s="6" t="str">
        <f>"POLR2J3"</f>
        <v>POLR2J3</v>
      </c>
      <c r="B9369" s="6">
        <v>0.22577422577422501</v>
      </c>
      <c r="C9369" s="6">
        <v>0.42369412871013701</v>
      </c>
    </row>
    <row r="9370" spans="1:3" s="8" customFormat="1" x14ac:dyDescent="0.2">
      <c r="A9370" s="6" t="str">
        <f>"PARP12"</f>
        <v>PARP12</v>
      </c>
      <c r="B9370" s="6">
        <v>0.22577422577422501</v>
      </c>
      <c r="C9370" s="6">
        <v>0.42369412871013701</v>
      </c>
    </row>
    <row r="9371" spans="1:3" s="8" customFormat="1" x14ac:dyDescent="0.2">
      <c r="A9371" s="6" t="str">
        <f>"RPS12"</f>
        <v>RPS12</v>
      </c>
      <c r="B9371" s="6">
        <v>0.22577422577422501</v>
      </c>
      <c r="C9371" s="6">
        <v>0.42369412871013701</v>
      </c>
    </row>
    <row r="9372" spans="1:3" s="8" customFormat="1" x14ac:dyDescent="0.2">
      <c r="A9372" s="6" t="str">
        <f>"AL360270.3"</f>
        <v>AL360270.3</v>
      </c>
      <c r="B9372" s="6">
        <v>0.225945945945945</v>
      </c>
      <c r="C9372" s="6">
        <v>0.42397113579271201</v>
      </c>
    </row>
    <row r="9373" spans="1:3" s="8" customFormat="1" x14ac:dyDescent="0.2">
      <c r="A9373" s="6" t="str">
        <f>"AC010327.8"</f>
        <v>AC010327.8</v>
      </c>
      <c r="B9373" s="6">
        <v>0.22600000000000001</v>
      </c>
      <c r="C9373" s="6">
        <v>0.42402731540759703</v>
      </c>
    </row>
    <row r="9374" spans="1:3" s="8" customFormat="1" x14ac:dyDescent="0.2">
      <c r="A9374" s="6" t="str">
        <f>"PAN3-AS1"</f>
        <v>PAN3-AS1</v>
      </c>
      <c r="B9374" s="6">
        <v>0.22622622622622601</v>
      </c>
      <c r="C9374" s="6">
        <v>0.42440648265890901</v>
      </c>
    </row>
    <row r="9375" spans="1:3" s="8" customFormat="1" x14ac:dyDescent="0.2">
      <c r="A9375" s="6" t="str">
        <f>"RPL23AP24"</f>
        <v>RPL23AP24</v>
      </c>
      <c r="B9375" s="6">
        <v>0.22639593908629399</v>
      </c>
      <c r="C9375" s="6">
        <v>0.42467955972833299</v>
      </c>
    </row>
    <row r="9376" spans="1:3" s="8" customFormat="1" x14ac:dyDescent="0.2">
      <c r="A9376" s="6" t="str">
        <f>"TSNAX-DISC1"</f>
        <v>TSNAX-DISC1</v>
      </c>
      <c r="B9376" s="6">
        <v>0.22677322677322601</v>
      </c>
      <c r="C9376" s="6">
        <v>0.42470768128452602</v>
      </c>
    </row>
    <row r="9377" spans="1:3" s="8" customFormat="1" x14ac:dyDescent="0.2">
      <c r="A9377" s="6" t="str">
        <f>"SLC35E1P1"</f>
        <v>SLC35E1P1</v>
      </c>
      <c r="B9377" s="6">
        <v>0.22658610271903301</v>
      </c>
      <c r="C9377" s="6">
        <v>0.42470768128452602</v>
      </c>
    </row>
    <row r="9378" spans="1:3" s="8" customFormat="1" x14ac:dyDescent="0.2">
      <c r="A9378" s="6" t="str">
        <f>"AL513165.2"</f>
        <v>AL513165.2</v>
      </c>
      <c r="B9378" s="6">
        <v>0.22677322677322601</v>
      </c>
      <c r="C9378" s="6">
        <v>0.42470768128452602</v>
      </c>
    </row>
    <row r="9379" spans="1:3" s="8" customFormat="1" x14ac:dyDescent="0.2">
      <c r="A9379" s="6" t="str">
        <f>"CNN1"</f>
        <v>CNN1</v>
      </c>
      <c r="B9379" s="6">
        <v>0.22677322677322601</v>
      </c>
      <c r="C9379" s="6">
        <v>0.42470768128452602</v>
      </c>
    </row>
    <row r="9380" spans="1:3" s="8" customFormat="1" x14ac:dyDescent="0.2">
      <c r="A9380" s="6" t="str">
        <f>"AC079848.2"</f>
        <v>AC079848.2</v>
      </c>
      <c r="B9380" s="6">
        <v>0.22677322677322601</v>
      </c>
      <c r="C9380" s="6">
        <v>0.42470768128452602</v>
      </c>
    </row>
    <row r="9381" spans="1:3" s="8" customFormat="1" x14ac:dyDescent="0.2">
      <c r="A9381" s="6" t="str">
        <f>"CEP85L"</f>
        <v>CEP85L</v>
      </c>
      <c r="B9381" s="6">
        <v>0.22677322677322601</v>
      </c>
      <c r="C9381" s="6">
        <v>0.42470768128452602</v>
      </c>
    </row>
    <row r="9382" spans="1:3" s="8" customFormat="1" x14ac:dyDescent="0.2">
      <c r="A9382" s="6" t="str">
        <f>"FOLR1"</f>
        <v>FOLR1</v>
      </c>
      <c r="B9382" s="6">
        <v>0.22677322677322601</v>
      </c>
      <c r="C9382" s="6">
        <v>0.42470768128452602</v>
      </c>
    </row>
    <row r="9383" spans="1:3" s="8" customFormat="1" x14ac:dyDescent="0.2">
      <c r="A9383" s="6" t="str">
        <f>"TSEN15"</f>
        <v>TSEN15</v>
      </c>
      <c r="B9383" s="6">
        <v>0.22677322677322601</v>
      </c>
      <c r="C9383" s="6">
        <v>0.42470768128452602</v>
      </c>
    </row>
    <row r="9384" spans="1:3" s="8" customFormat="1" x14ac:dyDescent="0.2">
      <c r="A9384" s="6" t="str">
        <f>"CYB5R2"</f>
        <v>CYB5R2</v>
      </c>
      <c r="B9384" s="6">
        <v>0.22677322677322601</v>
      </c>
      <c r="C9384" s="6">
        <v>0.42470768128452602</v>
      </c>
    </row>
    <row r="9385" spans="1:3" s="8" customFormat="1" x14ac:dyDescent="0.2">
      <c r="A9385" s="6" t="str">
        <f>"COX20"</f>
        <v>COX20</v>
      </c>
      <c r="B9385" s="6">
        <v>0.22677322677322601</v>
      </c>
      <c r="C9385" s="6">
        <v>0.42470768128452602</v>
      </c>
    </row>
    <row r="9386" spans="1:3" s="8" customFormat="1" x14ac:dyDescent="0.2">
      <c r="A9386" s="6" t="str">
        <f>"MOV10"</f>
        <v>MOV10</v>
      </c>
      <c r="B9386" s="6">
        <v>0.22677322677322601</v>
      </c>
      <c r="C9386" s="6">
        <v>0.42470768128452602</v>
      </c>
    </row>
    <row r="9387" spans="1:3" s="8" customFormat="1" x14ac:dyDescent="0.2">
      <c r="A9387" s="6" t="str">
        <f>"RPS6KA1"</f>
        <v>RPS6KA1</v>
      </c>
      <c r="B9387" s="6">
        <v>0.22677322677322601</v>
      </c>
      <c r="C9387" s="6">
        <v>0.42470768128452602</v>
      </c>
    </row>
    <row r="9388" spans="1:3" s="8" customFormat="1" x14ac:dyDescent="0.2">
      <c r="A9388" s="6" t="str">
        <f>"AHR"</f>
        <v>AHR</v>
      </c>
      <c r="B9388" s="6">
        <v>0.22677322677322601</v>
      </c>
      <c r="C9388" s="6">
        <v>0.42470768128452602</v>
      </c>
    </row>
    <row r="9389" spans="1:3" s="8" customFormat="1" x14ac:dyDescent="0.2">
      <c r="A9389" s="6" t="str">
        <f>"GCLC"</f>
        <v>GCLC</v>
      </c>
      <c r="B9389" s="6">
        <v>0.22677322677322601</v>
      </c>
      <c r="C9389" s="6">
        <v>0.42470768128452602</v>
      </c>
    </row>
    <row r="9390" spans="1:3" s="8" customFormat="1" x14ac:dyDescent="0.2">
      <c r="A9390" s="6" t="str">
        <f>"TAX1BP1"</f>
        <v>TAX1BP1</v>
      </c>
      <c r="B9390" s="6">
        <v>0.22677322677322601</v>
      </c>
      <c r="C9390" s="6">
        <v>0.42470768128452602</v>
      </c>
    </row>
    <row r="9391" spans="1:3" s="8" customFormat="1" x14ac:dyDescent="0.2">
      <c r="A9391" s="6" t="str">
        <f>"NEXN-AS1"</f>
        <v>NEXN-AS1</v>
      </c>
      <c r="B9391" s="6">
        <v>0.22700000000000001</v>
      </c>
      <c r="C9391" s="6">
        <v>0.42508711395101101</v>
      </c>
    </row>
    <row r="9392" spans="1:3" s="8" customFormat="1" x14ac:dyDescent="0.2">
      <c r="A9392" s="6" t="str">
        <f>"IGKV2-30"</f>
        <v>IGKV2-30</v>
      </c>
      <c r="B9392" s="6">
        <v>0.227772227772227</v>
      </c>
      <c r="C9392" s="6">
        <v>0.42535544319741397</v>
      </c>
    </row>
    <row r="9393" spans="1:3" s="8" customFormat="1" x14ac:dyDescent="0.2">
      <c r="A9393" s="6" t="str">
        <f>"ZNF816-ZNF321P"</f>
        <v>ZNF816-ZNF321P</v>
      </c>
      <c r="B9393" s="6">
        <v>0.227772227772227</v>
      </c>
      <c r="C9393" s="6">
        <v>0.42535544319741397</v>
      </c>
    </row>
    <row r="9394" spans="1:3" s="8" customFormat="1" x14ac:dyDescent="0.2">
      <c r="A9394" s="6" t="str">
        <f>"AC226118.1"</f>
        <v>AC226118.1</v>
      </c>
      <c r="B9394" s="6">
        <v>0.227772227772227</v>
      </c>
      <c r="C9394" s="6">
        <v>0.42535544319741397</v>
      </c>
    </row>
    <row r="9395" spans="1:3" s="8" customFormat="1" x14ac:dyDescent="0.2">
      <c r="A9395" s="6" t="str">
        <f>"TTC24"</f>
        <v>TTC24</v>
      </c>
      <c r="B9395" s="6">
        <v>0.227772227772227</v>
      </c>
      <c r="C9395" s="6">
        <v>0.42535544319741397</v>
      </c>
    </row>
    <row r="9396" spans="1:3" s="8" customFormat="1" x14ac:dyDescent="0.2">
      <c r="A9396" s="6" t="str">
        <f>"IGKV4-1"</f>
        <v>IGKV4-1</v>
      </c>
      <c r="B9396" s="6">
        <v>0.22722722722722699</v>
      </c>
      <c r="C9396" s="6">
        <v>0.42535544319741397</v>
      </c>
    </row>
    <row r="9397" spans="1:3" s="8" customFormat="1" x14ac:dyDescent="0.2">
      <c r="A9397" s="6" t="str">
        <f>"LINC00471"</f>
        <v>LINC00471</v>
      </c>
      <c r="B9397" s="6">
        <v>0.227772227772227</v>
      </c>
      <c r="C9397" s="6">
        <v>0.42535544319741397</v>
      </c>
    </row>
    <row r="9398" spans="1:3" s="8" customFormat="1" x14ac:dyDescent="0.2">
      <c r="A9398" s="6" t="str">
        <f>"CPED1"</f>
        <v>CPED1</v>
      </c>
      <c r="B9398" s="6">
        <v>0.227772227772227</v>
      </c>
      <c r="C9398" s="6">
        <v>0.42535544319741397</v>
      </c>
    </row>
    <row r="9399" spans="1:3" s="8" customFormat="1" x14ac:dyDescent="0.2">
      <c r="A9399" s="6" t="str">
        <f>"PCDHA13"</f>
        <v>PCDHA13</v>
      </c>
      <c r="B9399" s="6">
        <v>0.227772227772227</v>
      </c>
      <c r="C9399" s="6">
        <v>0.42535544319741397</v>
      </c>
    </row>
    <row r="9400" spans="1:3" s="8" customFormat="1" x14ac:dyDescent="0.2">
      <c r="A9400" s="6" t="str">
        <f>"AC007637.1"</f>
        <v>AC007637.1</v>
      </c>
      <c r="B9400" s="6">
        <v>0.227772227772227</v>
      </c>
      <c r="C9400" s="6">
        <v>0.42535544319741397</v>
      </c>
    </row>
    <row r="9401" spans="1:3" s="8" customFormat="1" x14ac:dyDescent="0.2">
      <c r="A9401" s="6" t="str">
        <f>"AC090241.2"</f>
        <v>AC090241.2</v>
      </c>
      <c r="B9401" s="6">
        <v>0.227772227772227</v>
      </c>
      <c r="C9401" s="6">
        <v>0.42535544319741397</v>
      </c>
    </row>
    <row r="9402" spans="1:3" s="8" customFormat="1" x14ac:dyDescent="0.2">
      <c r="A9402" s="6" t="str">
        <f>"ZNF443"</f>
        <v>ZNF443</v>
      </c>
      <c r="B9402" s="6">
        <v>0.227772227772227</v>
      </c>
      <c r="C9402" s="6">
        <v>0.42535544319741397</v>
      </c>
    </row>
    <row r="9403" spans="1:3" s="8" customFormat="1" x14ac:dyDescent="0.2">
      <c r="A9403" s="6" t="str">
        <f>"TMEM176A"</f>
        <v>TMEM176A</v>
      </c>
      <c r="B9403" s="6">
        <v>0.227772227772227</v>
      </c>
      <c r="C9403" s="6">
        <v>0.42535544319741397</v>
      </c>
    </row>
    <row r="9404" spans="1:3" s="8" customFormat="1" x14ac:dyDescent="0.2">
      <c r="A9404" s="6" t="str">
        <f>"MPP6"</f>
        <v>MPP6</v>
      </c>
      <c r="B9404" s="6">
        <v>0.227772227772227</v>
      </c>
      <c r="C9404" s="6">
        <v>0.42535544319741397</v>
      </c>
    </row>
    <row r="9405" spans="1:3" s="8" customFormat="1" x14ac:dyDescent="0.2">
      <c r="A9405" s="6" t="str">
        <f>"ARSK"</f>
        <v>ARSK</v>
      </c>
      <c r="B9405" s="6">
        <v>0.227772227772227</v>
      </c>
      <c r="C9405" s="6">
        <v>0.42535544319741397</v>
      </c>
    </row>
    <row r="9406" spans="1:3" s="8" customFormat="1" x14ac:dyDescent="0.2">
      <c r="A9406" s="6" t="str">
        <f>"NETO2"</f>
        <v>NETO2</v>
      </c>
      <c r="B9406" s="6">
        <v>0.227772227772227</v>
      </c>
      <c r="C9406" s="6">
        <v>0.42535544319741397</v>
      </c>
    </row>
    <row r="9407" spans="1:3" s="8" customFormat="1" x14ac:dyDescent="0.2">
      <c r="A9407" s="6" t="str">
        <f>"AC134878.2"</f>
        <v>AC134878.2</v>
      </c>
      <c r="B9407" s="6">
        <v>0.227772227772227</v>
      </c>
      <c r="C9407" s="6">
        <v>0.42535544319741397</v>
      </c>
    </row>
    <row r="9408" spans="1:3" s="8" customFormat="1" x14ac:dyDescent="0.2">
      <c r="A9408" s="6" t="str">
        <f>"DLGAP1-AS1"</f>
        <v>DLGAP1-AS1</v>
      </c>
      <c r="B9408" s="6">
        <v>0.227772227772227</v>
      </c>
      <c r="C9408" s="6">
        <v>0.42535544319741397</v>
      </c>
    </row>
    <row r="9409" spans="1:3" s="8" customFormat="1" x14ac:dyDescent="0.2">
      <c r="A9409" s="6" t="str">
        <f>"DYDC1"</f>
        <v>DYDC1</v>
      </c>
      <c r="B9409" s="6">
        <v>0.227772227772227</v>
      </c>
      <c r="C9409" s="6">
        <v>0.42535544319741397</v>
      </c>
    </row>
    <row r="9410" spans="1:3" s="8" customFormat="1" x14ac:dyDescent="0.2">
      <c r="A9410" s="6" t="str">
        <f>"POLA2"</f>
        <v>POLA2</v>
      </c>
      <c r="B9410" s="6">
        <v>0.227772227772227</v>
      </c>
      <c r="C9410" s="6">
        <v>0.42535544319741397</v>
      </c>
    </row>
    <row r="9411" spans="1:3" s="8" customFormat="1" x14ac:dyDescent="0.2">
      <c r="A9411" s="6" t="str">
        <f>"PLSCR3"</f>
        <v>PLSCR3</v>
      </c>
      <c r="B9411" s="6">
        <v>0.227772227772227</v>
      </c>
      <c r="C9411" s="6">
        <v>0.42535544319741397</v>
      </c>
    </row>
    <row r="9412" spans="1:3" s="8" customFormat="1" x14ac:dyDescent="0.2">
      <c r="A9412" s="6" t="str">
        <f>"RFT1"</f>
        <v>RFT1</v>
      </c>
      <c r="B9412" s="6">
        <v>0.227772227772227</v>
      </c>
      <c r="C9412" s="6">
        <v>0.42535544319741397</v>
      </c>
    </row>
    <row r="9413" spans="1:3" s="8" customFormat="1" x14ac:dyDescent="0.2">
      <c r="A9413" s="6" t="str">
        <f>"ZBTB42"</f>
        <v>ZBTB42</v>
      </c>
      <c r="B9413" s="6">
        <v>0.227772227772227</v>
      </c>
      <c r="C9413" s="6">
        <v>0.42535544319741397</v>
      </c>
    </row>
    <row r="9414" spans="1:3" s="8" customFormat="1" x14ac:dyDescent="0.2">
      <c r="A9414" s="6" t="str">
        <f>"OSBPL8"</f>
        <v>OSBPL8</v>
      </c>
      <c r="B9414" s="6">
        <v>0.227772227772227</v>
      </c>
      <c r="C9414" s="6">
        <v>0.42535544319741397</v>
      </c>
    </row>
    <row r="9415" spans="1:3" s="8" customFormat="1" x14ac:dyDescent="0.2">
      <c r="A9415" s="6" t="str">
        <f>"SSH3"</f>
        <v>SSH3</v>
      </c>
      <c r="B9415" s="6">
        <v>0.227772227772227</v>
      </c>
      <c r="C9415" s="6">
        <v>0.42535544319741397</v>
      </c>
    </row>
    <row r="9416" spans="1:3" s="8" customFormat="1" x14ac:dyDescent="0.2">
      <c r="A9416" s="6" t="str">
        <f>"GATAD2A"</f>
        <v>GATAD2A</v>
      </c>
      <c r="B9416" s="6">
        <v>0.227772227772227</v>
      </c>
      <c r="C9416" s="6">
        <v>0.42535544319741397</v>
      </c>
    </row>
    <row r="9417" spans="1:3" s="8" customFormat="1" x14ac:dyDescent="0.2">
      <c r="A9417" s="6" t="str">
        <f>"SQLE"</f>
        <v>SQLE</v>
      </c>
      <c r="B9417" s="6">
        <v>0.227772227772227</v>
      </c>
      <c r="C9417" s="6">
        <v>0.42535544319741397</v>
      </c>
    </row>
    <row r="9418" spans="1:3" s="8" customFormat="1" x14ac:dyDescent="0.2">
      <c r="A9418" s="6" t="str">
        <f>"CIRBP"</f>
        <v>CIRBP</v>
      </c>
      <c r="B9418" s="6">
        <v>0.22800000000000001</v>
      </c>
      <c r="C9418" s="6">
        <v>0.42573558458107602</v>
      </c>
    </row>
    <row r="9419" spans="1:3" s="8" customFormat="1" x14ac:dyDescent="0.2">
      <c r="A9419" s="6" t="str">
        <f>"OR7E102P"</f>
        <v>OR7E102P</v>
      </c>
      <c r="B9419" s="6">
        <v>0.22803347280334699</v>
      </c>
      <c r="C9419" s="6">
        <v>0.42575287595817102</v>
      </c>
    </row>
    <row r="9420" spans="1:3" s="8" customFormat="1" x14ac:dyDescent="0.2">
      <c r="A9420" s="6" t="str">
        <f>"AC126773.6"</f>
        <v>AC126773.6</v>
      </c>
      <c r="B9420" s="6">
        <v>0.228228228228228</v>
      </c>
      <c r="C9420" s="6">
        <v>0.426071256520348</v>
      </c>
    </row>
    <row r="9421" spans="1:3" s="8" customFormat="1" x14ac:dyDescent="0.2">
      <c r="A9421" s="6" t="str">
        <f>"AC008957.1"</f>
        <v>AC008957.1</v>
      </c>
      <c r="B9421" s="6">
        <v>0.22877122877122799</v>
      </c>
      <c r="C9421" s="6">
        <v>0.42636070871364901</v>
      </c>
    </row>
    <row r="9422" spans="1:3" s="8" customFormat="1" x14ac:dyDescent="0.2">
      <c r="A9422" s="6" t="str">
        <f>"AC010422.6"</f>
        <v>AC010422.6</v>
      </c>
      <c r="B9422" s="6">
        <v>0.22877122877122799</v>
      </c>
      <c r="C9422" s="6">
        <v>0.42636070871364901</v>
      </c>
    </row>
    <row r="9423" spans="1:3" s="8" customFormat="1" x14ac:dyDescent="0.2">
      <c r="A9423" s="6" t="str">
        <f>"AC011416.3"</f>
        <v>AC011416.3</v>
      </c>
      <c r="B9423" s="6">
        <v>0.22877122877122799</v>
      </c>
      <c r="C9423" s="6">
        <v>0.42636070871364901</v>
      </c>
    </row>
    <row r="9424" spans="1:3" s="8" customFormat="1" x14ac:dyDescent="0.2">
      <c r="A9424" s="6" t="str">
        <f>"TSPOAP1-AS1"</f>
        <v>TSPOAP1-AS1</v>
      </c>
      <c r="B9424" s="6">
        <v>0.22877122877122799</v>
      </c>
      <c r="C9424" s="6">
        <v>0.42636070871364901</v>
      </c>
    </row>
    <row r="9425" spans="1:3" s="8" customFormat="1" x14ac:dyDescent="0.2">
      <c r="A9425" s="6" t="str">
        <f>"TENM2"</f>
        <v>TENM2</v>
      </c>
      <c r="B9425" s="6">
        <v>0.22877122877122799</v>
      </c>
      <c r="C9425" s="6">
        <v>0.42636070871364901</v>
      </c>
    </row>
    <row r="9426" spans="1:3" s="8" customFormat="1" x14ac:dyDescent="0.2">
      <c r="A9426" s="6" t="str">
        <f>"EFHD1"</f>
        <v>EFHD1</v>
      </c>
      <c r="B9426" s="6">
        <v>0.22877122877122799</v>
      </c>
      <c r="C9426" s="6">
        <v>0.42636070871364901</v>
      </c>
    </row>
    <row r="9427" spans="1:3" s="8" customFormat="1" x14ac:dyDescent="0.2">
      <c r="A9427" s="6" t="str">
        <f>"RWDD2B"</f>
        <v>RWDD2B</v>
      </c>
      <c r="B9427" s="6">
        <v>0.22877122877122799</v>
      </c>
      <c r="C9427" s="6">
        <v>0.42636070871364901</v>
      </c>
    </row>
    <row r="9428" spans="1:3" s="8" customFormat="1" x14ac:dyDescent="0.2">
      <c r="A9428" s="6" t="str">
        <f>"THUMPD3-AS1"</f>
        <v>THUMPD3-AS1</v>
      </c>
      <c r="B9428" s="6">
        <v>0.22877122877122799</v>
      </c>
      <c r="C9428" s="6">
        <v>0.42636070871364901</v>
      </c>
    </row>
    <row r="9429" spans="1:3" s="8" customFormat="1" x14ac:dyDescent="0.2">
      <c r="A9429" s="6" t="str">
        <f>"C18orf32"</f>
        <v>C18orf32</v>
      </c>
      <c r="B9429" s="6">
        <v>0.22877122877122799</v>
      </c>
      <c r="C9429" s="6">
        <v>0.42636070871364901</v>
      </c>
    </row>
    <row r="9430" spans="1:3" s="8" customFormat="1" x14ac:dyDescent="0.2">
      <c r="A9430" s="6" t="str">
        <f>"JDP2"</f>
        <v>JDP2</v>
      </c>
      <c r="B9430" s="6">
        <v>0.22877122877122799</v>
      </c>
      <c r="C9430" s="6">
        <v>0.42636070871364901</v>
      </c>
    </row>
    <row r="9431" spans="1:3" s="8" customFormat="1" x14ac:dyDescent="0.2">
      <c r="A9431" s="6" t="str">
        <f>"CUL2"</f>
        <v>CUL2</v>
      </c>
      <c r="B9431" s="6">
        <v>0.22877122877122799</v>
      </c>
      <c r="C9431" s="6">
        <v>0.42636070871364901</v>
      </c>
    </row>
    <row r="9432" spans="1:3" s="8" customFormat="1" x14ac:dyDescent="0.2">
      <c r="A9432" s="6" t="str">
        <f>"UROD"</f>
        <v>UROD</v>
      </c>
      <c r="B9432" s="6">
        <v>0.22877122877122799</v>
      </c>
      <c r="C9432" s="6">
        <v>0.42636070871364901</v>
      </c>
    </row>
    <row r="9433" spans="1:3" s="8" customFormat="1" x14ac:dyDescent="0.2">
      <c r="A9433" s="6" t="str">
        <f>"DMXL2"</f>
        <v>DMXL2</v>
      </c>
      <c r="B9433" s="6">
        <v>0.22877122877122799</v>
      </c>
      <c r="C9433" s="6">
        <v>0.42636070871364901</v>
      </c>
    </row>
    <row r="9434" spans="1:3" s="8" customFormat="1" x14ac:dyDescent="0.2">
      <c r="A9434" s="6" t="str">
        <f>"SH2B1"</f>
        <v>SH2B1</v>
      </c>
      <c r="B9434" s="6">
        <v>0.22877122877122799</v>
      </c>
      <c r="C9434" s="6">
        <v>0.42636070871364901</v>
      </c>
    </row>
    <row r="9435" spans="1:3" s="8" customFormat="1" x14ac:dyDescent="0.2">
      <c r="A9435" s="6" t="str">
        <f>"C11orf49"</f>
        <v>C11orf49</v>
      </c>
      <c r="B9435" s="6">
        <v>0.22877122877122799</v>
      </c>
      <c r="C9435" s="6">
        <v>0.42636070871364901</v>
      </c>
    </row>
    <row r="9436" spans="1:3" s="8" customFormat="1" x14ac:dyDescent="0.2">
      <c r="A9436" s="6" t="str">
        <f>"NR2F2"</f>
        <v>NR2F2</v>
      </c>
      <c r="B9436" s="6">
        <v>0.22877122877122799</v>
      </c>
      <c r="C9436" s="6">
        <v>0.42636070871364901</v>
      </c>
    </row>
    <row r="9437" spans="1:3" s="8" customFormat="1" x14ac:dyDescent="0.2">
      <c r="A9437" s="6" t="str">
        <f>"XPO1"</f>
        <v>XPO1</v>
      </c>
      <c r="B9437" s="6">
        <v>0.229229229229229</v>
      </c>
      <c r="C9437" s="6">
        <v>0.42716900877138198</v>
      </c>
    </row>
    <row r="9438" spans="1:3" s="8" customFormat="1" x14ac:dyDescent="0.2">
      <c r="A9438" s="6" t="str">
        <f>"SNRPCP16"</f>
        <v>SNRPCP16</v>
      </c>
      <c r="B9438" s="6">
        <v>0.22977022977022901</v>
      </c>
      <c r="C9438" s="6">
        <v>0.42749758970264701</v>
      </c>
    </row>
    <row r="9439" spans="1:3" s="8" customFormat="1" x14ac:dyDescent="0.2">
      <c r="A9439" s="6" t="str">
        <f>"ANKRD20A2P"</f>
        <v>ANKRD20A2P</v>
      </c>
      <c r="B9439" s="6">
        <v>0.22977022977022901</v>
      </c>
      <c r="C9439" s="6">
        <v>0.42749758970264701</v>
      </c>
    </row>
    <row r="9440" spans="1:3" s="8" customFormat="1" x14ac:dyDescent="0.2">
      <c r="A9440" s="6" t="str">
        <f>"OR7A17"</f>
        <v>OR7A17</v>
      </c>
      <c r="B9440" s="6">
        <v>0.22955974842767199</v>
      </c>
      <c r="C9440" s="6">
        <v>0.42749758970264701</v>
      </c>
    </row>
    <row r="9441" spans="1:3" s="8" customFormat="1" x14ac:dyDescent="0.2">
      <c r="A9441" s="6" t="str">
        <f>"ZNF177"</f>
        <v>ZNF177</v>
      </c>
      <c r="B9441" s="6">
        <v>0.22977022977022901</v>
      </c>
      <c r="C9441" s="6">
        <v>0.42749758970264701</v>
      </c>
    </row>
    <row r="9442" spans="1:3" s="8" customFormat="1" x14ac:dyDescent="0.2">
      <c r="A9442" s="6" t="str">
        <f>"SNPH"</f>
        <v>SNPH</v>
      </c>
      <c r="B9442" s="6">
        <v>0.22977022977022901</v>
      </c>
      <c r="C9442" s="6">
        <v>0.42749758970264701</v>
      </c>
    </row>
    <row r="9443" spans="1:3" s="8" customFormat="1" x14ac:dyDescent="0.2">
      <c r="A9443" s="6" t="str">
        <f>"CD2"</f>
        <v>CD2</v>
      </c>
      <c r="B9443" s="6">
        <v>0.22977022977022901</v>
      </c>
      <c r="C9443" s="6">
        <v>0.42749758970264701</v>
      </c>
    </row>
    <row r="9444" spans="1:3" s="8" customFormat="1" x14ac:dyDescent="0.2">
      <c r="A9444" s="6" t="str">
        <f>"ZNF708"</f>
        <v>ZNF708</v>
      </c>
      <c r="B9444" s="6">
        <v>0.22977022977022901</v>
      </c>
      <c r="C9444" s="6">
        <v>0.42749758970264701</v>
      </c>
    </row>
    <row r="9445" spans="1:3" s="8" customFormat="1" x14ac:dyDescent="0.2">
      <c r="A9445" s="6" t="str">
        <f>"SMIM3"</f>
        <v>SMIM3</v>
      </c>
      <c r="B9445" s="6">
        <v>0.22977022977022901</v>
      </c>
      <c r="C9445" s="6">
        <v>0.42749758970264701</v>
      </c>
    </row>
    <row r="9446" spans="1:3" s="8" customFormat="1" x14ac:dyDescent="0.2">
      <c r="A9446" s="6" t="str">
        <f>"VWF"</f>
        <v>VWF</v>
      </c>
      <c r="B9446" s="6">
        <v>0.22977022977022901</v>
      </c>
      <c r="C9446" s="6">
        <v>0.42749758970264701</v>
      </c>
    </row>
    <row r="9447" spans="1:3" s="8" customFormat="1" x14ac:dyDescent="0.2">
      <c r="A9447" s="6" t="str">
        <f>"GAR1"</f>
        <v>GAR1</v>
      </c>
      <c r="B9447" s="6">
        <v>0.22977022977022901</v>
      </c>
      <c r="C9447" s="6">
        <v>0.42749758970264701</v>
      </c>
    </row>
    <row r="9448" spans="1:3" s="8" customFormat="1" x14ac:dyDescent="0.2">
      <c r="A9448" s="6" t="str">
        <f>"RINT1"</f>
        <v>RINT1</v>
      </c>
      <c r="B9448" s="6">
        <v>0.22977022977022901</v>
      </c>
      <c r="C9448" s="6">
        <v>0.42749758970264701</v>
      </c>
    </row>
    <row r="9449" spans="1:3" s="8" customFormat="1" x14ac:dyDescent="0.2">
      <c r="A9449" s="6" t="str">
        <f>"MAPKBP1"</f>
        <v>MAPKBP1</v>
      </c>
      <c r="B9449" s="6">
        <v>0.22977022977022901</v>
      </c>
      <c r="C9449" s="6">
        <v>0.42749758970264701</v>
      </c>
    </row>
    <row r="9450" spans="1:3" s="8" customFormat="1" x14ac:dyDescent="0.2">
      <c r="A9450" s="6" t="str">
        <f>"TSKU"</f>
        <v>TSKU</v>
      </c>
      <c r="B9450" s="6">
        <v>0.22977022977022901</v>
      </c>
      <c r="C9450" s="6">
        <v>0.42749758970264701</v>
      </c>
    </row>
    <row r="9451" spans="1:3" s="8" customFormat="1" x14ac:dyDescent="0.2">
      <c r="A9451" s="6" t="str">
        <f>"UNC119B"</f>
        <v>UNC119B</v>
      </c>
      <c r="B9451" s="6">
        <v>0.22977022977022901</v>
      </c>
      <c r="C9451" s="6">
        <v>0.42749758970264701</v>
      </c>
    </row>
    <row r="9452" spans="1:3" s="8" customFormat="1" x14ac:dyDescent="0.2">
      <c r="A9452" s="6" t="str">
        <f>"DNAAF1"</f>
        <v>DNAAF1</v>
      </c>
      <c r="B9452" s="6">
        <v>0.22977022977022901</v>
      </c>
      <c r="C9452" s="6">
        <v>0.42749758970264701</v>
      </c>
    </row>
    <row r="9453" spans="1:3" s="8" customFormat="1" x14ac:dyDescent="0.2">
      <c r="A9453" s="6" t="str">
        <f>"AP003084.1"</f>
        <v>AP003084.1</v>
      </c>
      <c r="B9453" s="6">
        <v>0.23</v>
      </c>
      <c r="C9453" s="6">
        <v>0.42774405076679001</v>
      </c>
    </row>
    <row r="9454" spans="1:3" s="8" customFormat="1" x14ac:dyDescent="0.2">
      <c r="A9454" s="6" t="str">
        <f>"AC010422.2"</f>
        <v>AC010422.2</v>
      </c>
      <c r="B9454" s="6">
        <v>0.23</v>
      </c>
      <c r="C9454" s="6">
        <v>0.42774405076679001</v>
      </c>
    </row>
    <row r="9455" spans="1:3" s="8" customFormat="1" x14ac:dyDescent="0.2">
      <c r="A9455" s="6" t="str">
        <f>"WAC"</f>
        <v>WAC</v>
      </c>
      <c r="B9455" s="6">
        <v>0.23</v>
      </c>
      <c r="C9455" s="6">
        <v>0.42774405076679001</v>
      </c>
    </row>
    <row r="9456" spans="1:3" s="8" customFormat="1" x14ac:dyDescent="0.2">
      <c r="A9456" s="6" t="str">
        <f>"TRIM44"</f>
        <v>TRIM44</v>
      </c>
      <c r="B9456" s="6">
        <v>0.23</v>
      </c>
      <c r="C9456" s="6">
        <v>0.42774405076679001</v>
      </c>
    </row>
    <row r="9457" spans="1:3" s="8" customFormat="1" x14ac:dyDescent="0.2">
      <c r="A9457" s="6" t="str">
        <f>"TJP1"</f>
        <v>TJP1</v>
      </c>
      <c r="B9457" s="6">
        <v>0.23023023023023001</v>
      </c>
      <c r="C9457" s="6">
        <v>0.42812694250934502</v>
      </c>
    </row>
    <row r="9458" spans="1:3" s="8" customFormat="1" x14ac:dyDescent="0.2">
      <c r="A9458" s="6" t="str">
        <f>"AC016582.2"</f>
        <v>AC016582.2</v>
      </c>
      <c r="B9458" s="6">
        <v>0.23076923076923</v>
      </c>
      <c r="C9458" s="6">
        <v>0.42844959918130598</v>
      </c>
    </row>
    <row r="9459" spans="1:3" s="8" customFormat="1" x14ac:dyDescent="0.2">
      <c r="A9459" s="6" t="str">
        <f>"AC139491.2"</f>
        <v>AC139491.2</v>
      </c>
      <c r="B9459" s="6">
        <v>0.23076923076923</v>
      </c>
      <c r="C9459" s="6">
        <v>0.42844959918130598</v>
      </c>
    </row>
    <row r="9460" spans="1:3" s="8" customFormat="1" x14ac:dyDescent="0.2">
      <c r="A9460" s="6" t="str">
        <f>"PPP1R14A"</f>
        <v>PPP1R14A</v>
      </c>
      <c r="B9460" s="6">
        <v>0.23076923076923</v>
      </c>
      <c r="C9460" s="6">
        <v>0.42844959918130598</v>
      </c>
    </row>
    <row r="9461" spans="1:3" s="8" customFormat="1" x14ac:dyDescent="0.2">
      <c r="A9461" s="6" t="str">
        <f>"LINC01238"</f>
        <v>LINC01238</v>
      </c>
      <c r="B9461" s="6">
        <v>0.23076923076923</v>
      </c>
      <c r="C9461" s="6">
        <v>0.42844959918130598</v>
      </c>
    </row>
    <row r="9462" spans="1:3" s="8" customFormat="1" x14ac:dyDescent="0.2">
      <c r="A9462" s="6" t="str">
        <f>"ZHX1-C8orf76"</f>
        <v>ZHX1-C8orf76</v>
      </c>
      <c r="B9462" s="6">
        <v>0.23076923076923</v>
      </c>
      <c r="C9462" s="6">
        <v>0.42844959918130598</v>
      </c>
    </row>
    <row r="9463" spans="1:3" s="8" customFormat="1" x14ac:dyDescent="0.2">
      <c r="A9463" s="6" t="str">
        <f>"AC036214.2"</f>
        <v>AC036214.2</v>
      </c>
      <c r="B9463" s="6">
        <v>0.23076923076923</v>
      </c>
      <c r="C9463" s="6">
        <v>0.42844959918130598</v>
      </c>
    </row>
    <row r="9464" spans="1:3" s="8" customFormat="1" x14ac:dyDescent="0.2">
      <c r="A9464" s="6" t="str">
        <f>"AL157997.1"</f>
        <v>AL157997.1</v>
      </c>
      <c r="B9464" s="6">
        <v>0.23076923076923</v>
      </c>
      <c r="C9464" s="6">
        <v>0.42844959918130598</v>
      </c>
    </row>
    <row r="9465" spans="1:3" s="8" customFormat="1" x14ac:dyDescent="0.2">
      <c r="A9465" s="6" t="str">
        <f>"PKD1P2"</f>
        <v>PKD1P2</v>
      </c>
      <c r="B9465" s="6">
        <v>0.23076923076923</v>
      </c>
      <c r="C9465" s="6">
        <v>0.42844959918130598</v>
      </c>
    </row>
    <row r="9466" spans="1:3" s="8" customFormat="1" x14ac:dyDescent="0.2">
      <c r="A9466" s="6" t="str">
        <f>"CDKN1C"</f>
        <v>CDKN1C</v>
      </c>
      <c r="B9466" s="6">
        <v>0.23076923076923</v>
      </c>
      <c r="C9466" s="6">
        <v>0.42844959918130598</v>
      </c>
    </row>
    <row r="9467" spans="1:3" s="8" customFormat="1" x14ac:dyDescent="0.2">
      <c r="A9467" s="6" t="str">
        <f>"CACNB1"</f>
        <v>CACNB1</v>
      </c>
      <c r="B9467" s="6">
        <v>0.23076923076923</v>
      </c>
      <c r="C9467" s="6">
        <v>0.42844959918130598</v>
      </c>
    </row>
    <row r="9468" spans="1:3" s="8" customFormat="1" x14ac:dyDescent="0.2">
      <c r="A9468" s="6" t="str">
        <f>"FAM204A"</f>
        <v>FAM204A</v>
      </c>
      <c r="B9468" s="6">
        <v>0.23076923076923</v>
      </c>
      <c r="C9468" s="6">
        <v>0.42844959918130598</v>
      </c>
    </row>
    <row r="9469" spans="1:3" s="8" customFormat="1" x14ac:dyDescent="0.2">
      <c r="A9469" s="6" t="str">
        <f>"NIT2"</f>
        <v>NIT2</v>
      </c>
      <c r="B9469" s="6">
        <v>0.23076923076923</v>
      </c>
      <c r="C9469" s="6">
        <v>0.42844959918130598</v>
      </c>
    </row>
    <row r="9470" spans="1:3" s="8" customFormat="1" x14ac:dyDescent="0.2">
      <c r="A9470" s="6" t="str">
        <f>"SCAMP5"</f>
        <v>SCAMP5</v>
      </c>
      <c r="B9470" s="6">
        <v>0.23076923076923</v>
      </c>
      <c r="C9470" s="6">
        <v>0.42844959918130598</v>
      </c>
    </row>
    <row r="9471" spans="1:3" s="8" customFormat="1" x14ac:dyDescent="0.2">
      <c r="A9471" s="6" t="str">
        <f>"NME7"</f>
        <v>NME7</v>
      </c>
      <c r="B9471" s="6">
        <v>0.23076923076923</v>
      </c>
      <c r="C9471" s="6">
        <v>0.42844959918130598</v>
      </c>
    </row>
    <row r="9472" spans="1:3" s="8" customFormat="1" x14ac:dyDescent="0.2">
      <c r="A9472" s="6" t="str">
        <f>"RAB25"</f>
        <v>RAB25</v>
      </c>
      <c r="B9472" s="6">
        <v>0.23076923076923</v>
      </c>
      <c r="C9472" s="6">
        <v>0.42844959918130598</v>
      </c>
    </row>
    <row r="9473" spans="1:3" s="8" customFormat="1" x14ac:dyDescent="0.2">
      <c r="A9473" s="6" t="str">
        <f>"POLR2G"</f>
        <v>POLR2G</v>
      </c>
      <c r="B9473" s="6">
        <v>0.23100000000000001</v>
      </c>
      <c r="C9473" s="6">
        <v>0.42883277027027</v>
      </c>
    </row>
    <row r="9474" spans="1:3" s="8" customFormat="1" x14ac:dyDescent="0.2">
      <c r="A9474" s="6" t="str">
        <f>"STEAP3-AS1"</f>
        <v>STEAP3-AS1</v>
      </c>
      <c r="B9474" s="6">
        <v>0.231768231768231</v>
      </c>
      <c r="C9474" s="6">
        <v>0.42948810068632998</v>
      </c>
    </row>
    <row r="9475" spans="1:3" s="8" customFormat="1" x14ac:dyDescent="0.2">
      <c r="A9475" s="6" t="str">
        <f>"FAM218A"</f>
        <v>FAM218A</v>
      </c>
      <c r="B9475" s="6">
        <v>0.231768231768231</v>
      </c>
      <c r="C9475" s="6">
        <v>0.42948810068632998</v>
      </c>
    </row>
    <row r="9476" spans="1:3" s="8" customFormat="1" x14ac:dyDescent="0.2">
      <c r="A9476" s="6" t="str">
        <f>"ADGRF2"</f>
        <v>ADGRF2</v>
      </c>
      <c r="B9476" s="6">
        <v>0.231768231768231</v>
      </c>
      <c r="C9476" s="6">
        <v>0.42948810068632998</v>
      </c>
    </row>
    <row r="9477" spans="1:3" s="8" customFormat="1" x14ac:dyDescent="0.2">
      <c r="A9477" s="6" t="str">
        <f>"AL122035.2"</f>
        <v>AL122035.2</v>
      </c>
      <c r="B9477" s="6">
        <v>0.231768231768231</v>
      </c>
      <c r="C9477" s="6">
        <v>0.42948810068632998</v>
      </c>
    </row>
    <row r="9478" spans="1:3" s="8" customFormat="1" x14ac:dyDescent="0.2">
      <c r="A9478" s="6" t="str">
        <f>"DTL"</f>
        <v>DTL</v>
      </c>
      <c r="B9478" s="6">
        <v>0.231768231768231</v>
      </c>
      <c r="C9478" s="6">
        <v>0.42948810068632998</v>
      </c>
    </row>
    <row r="9479" spans="1:3" s="8" customFormat="1" x14ac:dyDescent="0.2">
      <c r="A9479" s="6" t="str">
        <f>"SERPINI2"</f>
        <v>SERPINI2</v>
      </c>
      <c r="B9479" s="6">
        <v>0.231768231768231</v>
      </c>
      <c r="C9479" s="6">
        <v>0.42948810068632998</v>
      </c>
    </row>
    <row r="9480" spans="1:3" s="8" customFormat="1" x14ac:dyDescent="0.2">
      <c r="A9480" s="6" t="str">
        <f>"AC020915.4"</f>
        <v>AC020915.4</v>
      </c>
      <c r="B9480" s="6">
        <v>0.231768231768231</v>
      </c>
      <c r="C9480" s="6">
        <v>0.42948810068632998</v>
      </c>
    </row>
    <row r="9481" spans="1:3" s="8" customFormat="1" x14ac:dyDescent="0.2">
      <c r="A9481" s="6" t="str">
        <f>"STMN3"</f>
        <v>STMN3</v>
      </c>
      <c r="B9481" s="6">
        <v>0.231768231768231</v>
      </c>
      <c r="C9481" s="6">
        <v>0.42948810068632998</v>
      </c>
    </row>
    <row r="9482" spans="1:3" s="8" customFormat="1" x14ac:dyDescent="0.2">
      <c r="A9482" s="6" t="str">
        <f>"ZNF75D"</f>
        <v>ZNF75D</v>
      </c>
      <c r="B9482" s="6">
        <v>0.231768231768231</v>
      </c>
      <c r="C9482" s="6">
        <v>0.42948810068632998</v>
      </c>
    </row>
    <row r="9483" spans="1:3" s="8" customFormat="1" x14ac:dyDescent="0.2">
      <c r="A9483" s="6" t="str">
        <f>"AC099329.1"</f>
        <v>AC099329.1</v>
      </c>
      <c r="B9483" s="6">
        <v>0.231768231768231</v>
      </c>
      <c r="C9483" s="6">
        <v>0.42948810068632998</v>
      </c>
    </row>
    <row r="9484" spans="1:3" s="8" customFormat="1" x14ac:dyDescent="0.2">
      <c r="A9484" s="6" t="str">
        <f>"RANBP6"</f>
        <v>RANBP6</v>
      </c>
      <c r="B9484" s="6">
        <v>0.231768231768231</v>
      </c>
      <c r="C9484" s="6">
        <v>0.42948810068632998</v>
      </c>
    </row>
    <row r="9485" spans="1:3" s="8" customFormat="1" x14ac:dyDescent="0.2">
      <c r="A9485" s="6" t="str">
        <f>"BCAT2"</f>
        <v>BCAT2</v>
      </c>
      <c r="B9485" s="6">
        <v>0.231768231768231</v>
      </c>
      <c r="C9485" s="6">
        <v>0.42948810068632998</v>
      </c>
    </row>
    <row r="9486" spans="1:3" s="8" customFormat="1" x14ac:dyDescent="0.2">
      <c r="A9486" s="6" t="str">
        <f>"MUL1"</f>
        <v>MUL1</v>
      </c>
      <c r="B9486" s="6">
        <v>0.231768231768231</v>
      </c>
      <c r="C9486" s="6">
        <v>0.42948810068632998</v>
      </c>
    </row>
    <row r="9487" spans="1:3" s="8" customFormat="1" x14ac:dyDescent="0.2">
      <c r="A9487" s="6" t="str">
        <f>"ARMC10"</f>
        <v>ARMC10</v>
      </c>
      <c r="B9487" s="6">
        <v>0.231768231768231</v>
      </c>
      <c r="C9487" s="6">
        <v>0.42948810068632998</v>
      </c>
    </row>
    <row r="9488" spans="1:3" s="8" customFormat="1" x14ac:dyDescent="0.2">
      <c r="A9488" s="6" t="str">
        <f>"WDR61"</f>
        <v>WDR61</v>
      </c>
      <c r="B9488" s="6">
        <v>0.231768231768231</v>
      </c>
      <c r="C9488" s="6">
        <v>0.42948810068632998</v>
      </c>
    </row>
    <row r="9489" spans="1:3" s="8" customFormat="1" x14ac:dyDescent="0.2">
      <c r="A9489" s="6" t="str">
        <f>"JADE1"</f>
        <v>JADE1</v>
      </c>
      <c r="B9489" s="6">
        <v>0.231768231768231</v>
      </c>
      <c r="C9489" s="6">
        <v>0.42948810068632998</v>
      </c>
    </row>
    <row r="9490" spans="1:3" s="8" customFormat="1" x14ac:dyDescent="0.2">
      <c r="A9490" s="6" t="str">
        <f>"PBRM1"</f>
        <v>PBRM1</v>
      </c>
      <c r="B9490" s="6">
        <v>0.231768231768231</v>
      </c>
      <c r="C9490" s="6">
        <v>0.42948810068632998</v>
      </c>
    </row>
    <row r="9491" spans="1:3" s="8" customFormat="1" x14ac:dyDescent="0.2">
      <c r="A9491" s="6" t="str">
        <f>"AC114956.2"</f>
        <v>AC114956.2</v>
      </c>
      <c r="B9491" s="6">
        <v>0.23276723276723199</v>
      </c>
      <c r="C9491" s="6">
        <v>0.43052266971484299</v>
      </c>
    </row>
    <row r="9492" spans="1:3" s="8" customFormat="1" x14ac:dyDescent="0.2">
      <c r="A9492" s="6" t="str">
        <f>"AC079075.1"</f>
        <v>AC079075.1</v>
      </c>
      <c r="B9492" s="6">
        <v>0.23276723276723199</v>
      </c>
      <c r="C9492" s="6">
        <v>0.43052266971484299</v>
      </c>
    </row>
    <row r="9493" spans="1:3" s="8" customFormat="1" x14ac:dyDescent="0.2">
      <c r="A9493" s="6" t="str">
        <f>"RPL23AP74"</f>
        <v>RPL23AP74</v>
      </c>
      <c r="B9493" s="6">
        <v>0.23258559622195901</v>
      </c>
      <c r="C9493" s="6">
        <v>0.43052266971484299</v>
      </c>
    </row>
    <row r="9494" spans="1:3" s="8" customFormat="1" x14ac:dyDescent="0.2">
      <c r="A9494" s="6" t="str">
        <f>"AC079035.1"</f>
        <v>AC079035.1</v>
      </c>
      <c r="B9494" s="6">
        <v>0.23276723276723199</v>
      </c>
      <c r="C9494" s="6">
        <v>0.43052266971484299</v>
      </c>
    </row>
    <row r="9495" spans="1:3" s="8" customFormat="1" x14ac:dyDescent="0.2">
      <c r="A9495" s="6" t="str">
        <f>"PARPBP"</f>
        <v>PARPBP</v>
      </c>
      <c r="B9495" s="6">
        <v>0.23276723276723199</v>
      </c>
      <c r="C9495" s="6">
        <v>0.43052266971484299</v>
      </c>
    </row>
    <row r="9496" spans="1:3" s="8" customFormat="1" x14ac:dyDescent="0.2">
      <c r="A9496" s="6" t="str">
        <f>"AOC1"</f>
        <v>AOC1</v>
      </c>
      <c r="B9496" s="6">
        <v>0.23276723276723199</v>
      </c>
      <c r="C9496" s="6">
        <v>0.43052266971484299</v>
      </c>
    </row>
    <row r="9497" spans="1:3" s="8" customFormat="1" x14ac:dyDescent="0.2">
      <c r="A9497" s="6" t="str">
        <f>"AC010970.1"</f>
        <v>AC010970.1</v>
      </c>
      <c r="B9497" s="6">
        <v>0.23276723276723199</v>
      </c>
      <c r="C9497" s="6">
        <v>0.43052266971484299</v>
      </c>
    </row>
    <row r="9498" spans="1:3" s="8" customFormat="1" x14ac:dyDescent="0.2">
      <c r="A9498" s="6" t="str">
        <f>"RP9P"</f>
        <v>RP9P</v>
      </c>
      <c r="B9498" s="6">
        <v>0.23276723276723199</v>
      </c>
      <c r="C9498" s="6">
        <v>0.43052266971484299</v>
      </c>
    </row>
    <row r="9499" spans="1:3" s="8" customFormat="1" x14ac:dyDescent="0.2">
      <c r="A9499" s="6" t="str">
        <f>"CHEK2"</f>
        <v>CHEK2</v>
      </c>
      <c r="B9499" s="6">
        <v>0.23276723276723199</v>
      </c>
      <c r="C9499" s="6">
        <v>0.43052266971484299</v>
      </c>
    </row>
    <row r="9500" spans="1:3" s="8" customFormat="1" x14ac:dyDescent="0.2">
      <c r="A9500" s="6" t="str">
        <f>"FRAT1"</f>
        <v>FRAT1</v>
      </c>
      <c r="B9500" s="6">
        <v>0.23276723276723199</v>
      </c>
      <c r="C9500" s="6">
        <v>0.43052266971484299</v>
      </c>
    </row>
    <row r="9501" spans="1:3" s="8" customFormat="1" x14ac:dyDescent="0.2">
      <c r="A9501" s="6" t="str">
        <f>"PGAP3"</f>
        <v>PGAP3</v>
      </c>
      <c r="B9501" s="6">
        <v>0.23276723276723199</v>
      </c>
      <c r="C9501" s="6">
        <v>0.43052266971484299</v>
      </c>
    </row>
    <row r="9502" spans="1:3" s="8" customFormat="1" x14ac:dyDescent="0.2">
      <c r="A9502" s="6" t="str">
        <f>"CAMK2D"</f>
        <v>CAMK2D</v>
      </c>
      <c r="B9502" s="6">
        <v>0.23276723276723199</v>
      </c>
      <c r="C9502" s="6">
        <v>0.43052266971484299</v>
      </c>
    </row>
    <row r="9503" spans="1:3" s="8" customFormat="1" x14ac:dyDescent="0.2">
      <c r="A9503" s="6" t="str">
        <f>"LAPTM4B"</f>
        <v>LAPTM4B</v>
      </c>
      <c r="B9503" s="6">
        <v>0.23276723276723199</v>
      </c>
      <c r="C9503" s="6">
        <v>0.43052266971484299</v>
      </c>
    </row>
    <row r="9504" spans="1:3" s="8" customFormat="1" x14ac:dyDescent="0.2">
      <c r="A9504" s="6" t="str">
        <f>"RTL6"</f>
        <v>RTL6</v>
      </c>
      <c r="B9504" s="6">
        <v>0.23276723276723199</v>
      </c>
      <c r="C9504" s="6">
        <v>0.43052266971484299</v>
      </c>
    </row>
    <row r="9505" spans="1:3" s="8" customFormat="1" x14ac:dyDescent="0.2">
      <c r="A9505" s="6" t="str">
        <f>"RN7SL2"</f>
        <v>RN7SL2</v>
      </c>
      <c r="B9505" s="6">
        <v>0.23276723276723199</v>
      </c>
      <c r="C9505" s="6">
        <v>0.43052266971484299</v>
      </c>
    </row>
    <row r="9506" spans="1:3" s="8" customFormat="1" x14ac:dyDescent="0.2">
      <c r="A9506" s="6" t="str">
        <f>"TARDBP"</f>
        <v>TARDBP</v>
      </c>
      <c r="B9506" s="6">
        <v>0.23276723276723199</v>
      </c>
      <c r="C9506" s="6">
        <v>0.43052266971484299</v>
      </c>
    </row>
    <row r="9507" spans="1:3" s="8" customFormat="1" x14ac:dyDescent="0.2">
      <c r="A9507" s="6" t="str">
        <f>"HGS"</f>
        <v>HGS</v>
      </c>
      <c r="B9507" s="6">
        <v>0.23276723276723199</v>
      </c>
      <c r="C9507" s="6">
        <v>0.43052266971484299</v>
      </c>
    </row>
    <row r="9508" spans="1:3" s="8" customFormat="1" x14ac:dyDescent="0.2">
      <c r="A9508" s="6" t="str">
        <f>"CUX1"</f>
        <v>CUX1</v>
      </c>
      <c r="B9508" s="6">
        <v>0.23276723276723199</v>
      </c>
      <c r="C9508" s="6">
        <v>0.43052266971484299</v>
      </c>
    </row>
    <row r="9509" spans="1:3" s="8" customFormat="1" x14ac:dyDescent="0.2">
      <c r="A9509" s="6" t="str">
        <f>"AC044810.2"</f>
        <v>AC044810.2</v>
      </c>
      <c r="B9509" s="6">
        <v>0.23300000000000001</v>
      </c>
      <c r="C9509" s="6">
        <v>0.43086255126722001</v>
      </c>
    </row>
    <row r="9510" spans="1:3" s="8" customFormat="1" x14ac:dyDescent="0.2">
      <c r="A9510" s="6" t="str">
        <f>"BIRC6"</f>
        <v>BIRC6</v>
      </c>
      <c r="B9510" s="6">
        <v>0.23300000000000001</v>
      </c>
      <c r="C9510" s="6">
        <v>0.43086255126722001</v>
      </c>
    </row>
    <row r="9511" spans="1:3" s="8" customFormat="1" x14ac:dyDescent="0.2">
      <c r="A9511" s="6" t="str">
        <f>"PCDHA3"</f>
        <v>PCDHA3</v>
      </c>
      <c r="B9511" s="6">
        <v>0.23376623376623301</v>
      </c>
      <c r="C9511" s="6">
        <v>0.43105552165954802</v>
      </c>
    </row>
    <row r="9512" spans="1:3" s="8" customFormat="1" x14ac:dyDescent="0.2">
      <c r="A9512" s="6" t="str">
        <f>"AL159169.2"</f>
        <v>AL159169.2</v>
      </c>
      <c r="B9512" s="6">
        <v>0.23373983739837401</v>
      </c>
      <c r="C9512" s="6">
        <v>0.43105552165954802</v>
      </c>
    </row>
    <row r="9513" spans="1:3" s="8" customFormat="1" x14ac:dyDescent="0.2">
      <c r="A9513" s="6" t="str">
        <f>"AL157829.1"</f>
        <v>AL157829.1</v>
      </c>
      <c r="B9513" s="6">
        <v>0.23376623376623301</v>
      </c>
      <c r="C9513" s="6">
        <v>0.43105552165954802</v>
      </c>
    </row>
    <row r="9514" spans="1:3" s="8" customFormat="1" x14ac:dyDescent="0.2">
      <c r="A9514" s="6" t="str">
        <f>"TUBAP13"</f>
        <v>TUBAP13</v>
      </c>
      <c r="B9514" s="6">
        <v>0.23376623376623301</v>
      </c>
      <c r="C9514" s="6">
        <v>0.43105552165954802</v>
      </c>
    </row>
    <row r="9515" spans="1:3" s="8" customFormat="1" x14ac:dyDescent="0.2">
      <c r="A9515" s="6" t="str">
        <f>"AC097499.2"</f>
        <v>AC097499.2</v>
      </c>
      <c r="B9515" s="6">
        <v>0.23376623376623301</v>
      </c>
      <c r="C9515" s="6">
        <v>0.43105552165954802</v>
      </c>
    </row>
    <row r="9516" spans="1:3" s="8" customFormat="1" x14ac:dyDescent="0.2">
      <c r="A9516" s="6" t="str">
        <f>"AC123768.1"</f>
        <v>AC123768.1</v>
      </c>
      <c r="B9516" s="6">
        <v>0.233265720081135</v>
      </c>
      <c r="C9516" s="6">
        <v>0.43105552165954802</v>
      </c>
    </row>
    <row r="9517" spans="1:3" s="8" customFormat="1" x14ac:dyDescent="0.2">
      <c r="A9517" s="6" t="str">
        <f>"TUBB8P7"</f>
        <v>TUBB8P7</v>
      </c>
      <c r="B9517" s="6">
        <v>0.23376623376623301</v>
      </c>
      <c r="C9517" s="6">
        <v>0.43105552165954802</v>
      </c>
    </row>
    <row r="9518" spans="1:3" s="8" customFormat="1" x14ac:dyDescent="0.2">
      <c r="A9518" s="6" t="str">
        <f>"Z97634.1"</f>
        <v>Z97634.1</v>
      </c>
      <c r="B9518" s="6">
        <v>0.23376623376623301</v>
      </c>
      <c r="C9518" s="6">
        <v>0.43105552165954802</v>
      </c>
    </row>
    <row r="9519" spans="1:3" s="8" customFormat="1" x14ac:dyDescent="0.2">
      <c r="A9519" s="6" t="str">
        <f>"RNF217-AS1"</f>
        <v>RNF217-AS1</v>
      </c>
      <c r="B9519" s="6">
        <v>0.233333333333333</v>
      </c>
      <c r="C9519" s="6">
        <v>0.43105552165954802</v>
      </c>
    </row>
    <row r="9520" spans="1:3" s="8" customFormat="1" x14ac:dyDescent="0.2">
      <c r="A9520" s="6" t="str">
        <f>"MAP2"</f>
        <v>MAP2</v>
      </c>
      <c r="B9520" s="6">
        <v>0.23376623376623301</v>
      </c>
      <c r="C9520" s="6">
        <v>0.43105552165954802</v>
      </c>
    </row>
    <row r="9521" spans="1:3" s="8" customFormat="1" x14ac:dyDescent="0.2">
      <c r="A9521" s="6" t="str">
        <f>"ZNF157"</f>
        <v>ZNF157</v>
      </c>
      <c r="B9521" s="6">
        <v>0.23376623376623301</v>
      </c>
      <c r="C9521" s="6">
        <v>0.43105552165954802</v>
      </c>
    </row>
    <row r="9522" spans="1:3" s="8" customFormat="1" x14ac:dyDescent="0.2">
      <c r="A9522" s="6" t="str">
        <f>"STAG3"</f>
        <v>STAG3</v>
      </c>
      <c r="B9522" s="6">
        <v>0.23376623376623301</v>
      </c>
      <c r="C9522" s="6">
        <v>0.43105552165954802</v>
      </c>
    </row>
    <row r="9523" spans="1:3" s="8" customFormat="1" x14ac:dyDescent="0.2">
      <c r="A9523" s="6" t="str">
        <f>"KIF11"</f>
        <v>KIF11</v>
      </c>
      <c r="B9523" s="6">
        <v>0.23376623376623301</v>
      </c>
      <c r="C9523" s="6">
        <v>0.43105552165954802</v>
      </c>
    </row>
    <row r="9524" spans="1:3" s="8" customFormat="1" x14ac:dyDescent="0.2">
      <c r="A9524" s="6" t="str">
        <f>"PKD2"</f>
        <v>PKD2</v>
      </c>
      <c r="B9524" s="6">
        <v>0.23376623376623301</v>
      </c>
      <c r="C9524" s="6">
        <v>0.43105552165954802</v>
      </c>
    </row>
    <row r="9525" spans="1:3" s="8" customFormat="1" x14ac:dyDescent="0.2">
      <c r="A9525" s="6" t="str">
        <f>"PLEK2"</f>
        <v>PLEK2</v>
      </c>
      <c r="B9525" s="6">
        <v>0.23376623376623301</v>
      </c>
      <c r="C9525" s="6">
        <v>0.43105552165954802</v>
      </c>
    </row>
    <row r="9526" spans="1:3" s="8" customFormat="1" x14ac:dyDescent="0.2">
      <c r="A9526" s="6" t="str">
        <f>"GPATCH11"</f>
        <v>GPATCH11</v>
      </c>
      <c r="B9526" s="6">
        <v>0.23376623376623301</v>
      </c>
      <c r="C9526" s="6">
        <v>0.43105552165954802</v>
      </c>
    </row>
    <row r="9527" spans="1:3" s="8" customFormat="1" x14ac:dyDescent="0.2">
      <c r="A9527" s="6" t="str">
        <f>"TJAP1"</f>
        <v>TJAP1</v>
      </c>
      <c r="B9527" s="6">
        <v>0.23376623376623301</v>
      </c>
      <c r="C9527" s="6">
        <v>0.43105552165954802</v>
      </c>
    </row>
    <row r="9528" spans="1:3" s="8" customFormat="1" x14ac:dyDescent="0.2">
      <c r="A9528" s="6" t="str">
        <f>"APC"</f>
        <v>APC</v>
      </c>
      <c r="B9528" s="6">
        <v>0.23376623376623301</v>
      </c>
      <c r="C9528" s="6">
        <v>0.43105552165954802</v>
      </c>
    </row>
    <row r="9529" spans="1:3" s="8" customFormat="1" x14ac:dyDescent="0.2">
      <c r="A9529" s="6" t="str">
        <f>"FAM229B"</f>
        <v>FAM229B</v>
      </c>
      <c r="B9529" s="6">
        <v>0.23376623376623301</v>
      </c>
      <c r="C9529" s="6">
        <v>0.43105552165954802</v>
      </c>
    </row>
    <row r="9530" spans="1:3" s="8" customFormat="1" x14ac:dyDescent="0.2">
      <c r="A9530" s="6" t="str">
        <f>"PYURF"</f>
        <v>PYURF</v>
      </c>
      <c r="B9530" s="6">
        <v>0.23376623376623301</v>
      </c>
      <c r="C9530" s="6">
        <v>0.43105552165954802</v>
      </c>
    </row>
    <row r="9531" spans="1:3" s="8" customFormat="1" x14ac:dyDescent="0.2">
      <c r="A9531" s="6" t="str">
        <f>"CTNNBIP1"</f>
        <v>CTNNBIP1</v>
      </c>
      <c r="B9531" s="6">
        <v>0.23376623376623301</v>
      </c>
      <c r="C9531" s="6">
        <v>0.43105552165954802</v>
      </c>
    </row>
    <row r="9532" spans="1:3" s="8" customFormat="1" x14ac:dyDescent="0.2">
      <c r="A9532" s="6" t="str">
        <f>"GMPPB"</f>
        <v>GMPPB</v>
      </c>
      <c r="B9532" s="6">
        <v>0.23376623376623301</v>
      </c>
      <c r="C9532" s="6">
        <v>0.43105552165954802</v>
      </c>
    </row>
    <row r="9533" spans="1:3" s="8" customFormat="1" x14ac:dyDescent="0.2">
      <c r="A9533" s="6" t="str">
        <f>"NSA2"</f>
        <v>NSA2</v>
      </c>
      <c r="B9533" s="6">
        <v>0.23376623376623301</v>
      </c>
      <c r="C9533" s="6">
        <v>0.43105552165954802</v>
      </c>
    </row>
    <row r="9534" spans="1:3" s="8" customFormat="1" x14ac:dyDescent="0.2">
      <c r="A9534" s="6" t="str">
        <f>"HLA-DQB1"</f>
        <v>HLA-DQB1</v>
      </c>
      <c r="B9534" s="6">
        <v>0.23376623376623301</v>
      </c>
      <c r="C9534" s="6">
        <v>0.43105552165954802</v>
      </c>
    </row>
    <row r="9535" spans="1:3" s="8" customFormat="1" x14ac:dyDescent="0.2">
      <c r="A9535" s="6" t="str">
        <f>"ATP10B"</f>
        <v>ATP10B</v>
      </c>
      <c r="B9535" s="6">
        <v>0.23376623376623301</v>
      </c>
      <c r="C9535" s="6">
        <v>0.43105552165954802</v>
      </c>
    </row>
    <row r="9536" spans="1:3" s="8" customFormat="1" x14ac:dyDescent="0.2">
      <c r="A9536" s="6" t="str">
        <f>"UQCR11"</f>
        <v>UQCR11</v>
      </c>
      <c r="B9536" s="6">
        <v>0.23376623376623301</v>
      </c>
      <c r="C9536" s="6">
        <v>0.43105552165954802</v>
      </c>
    </row>
    <row r="9537" spans="1:3" s="8" customFormat="1" x14ac:dyDescent="0.2">
      <c r="A9537" s="6" t="str">
        <f>"DDX1"</f>
        <v>DDX1</v>
      </c>
      <c r="B9537" s="6">
        <v>0.23376623376623301</v>
      </c>
      <c r="C9537" s="6">
        <v>0.43105552165954802</v>
      </c>
    </row>
    <row r="9538" spans="1:3" s="8" customFormat="1" x14ac:dyDescent="0.2">
      <c r="A9538" s="6" t="str">
        <f>"FAM230J"</f>
        <v>FAM230J</v>
      </c>
      <c r="B9538" s="6">
        <v>0.23400000000000001</v>
      </c>
      <c r="C9538" s="6">
        <v>0.43144133375275201</v>
      </c>
    </row>
    <row r="9539" spans="1:3" s="8" customFormat="1" x14ac:dyDescent="0.2">
      <c r="A9539" s="6" t="str">
        <f>"PGA3"</f>
        <v>PGA3</v>
      </c>
      <c r="B9539" s="6">
        <v>0.234765234765234</v>
      </c>
      <c r="C9539" s="6">
        <v>0.43163026851859898</v>
      </c>
    </row>
    <row r="9540" spans="1:3" s="8" customFormat="1" x14ac:dyDescent="0.2">
      <c r="A9540" s="6" t="str">
        <f>"AC099332.2"</f>
        <v>AC099332.2</v>
      </c>
      <c r="B9540" s="6">
        <v>0.23423423423423401</v>
      </c>
      <c r="C9540" s="6">
        <v>0.43163026851859898</v>
      </c>
    </row>
    <row r="9541" spans="1:3" s="8" customFormat="1" x14ac:dyDescent="0.2">
      <c r="A9541" s="6" t="str">
        <f>"CSNK1A1P1"</f>
        <v>CSNK1A1P1</v>
      </c>
      <c r="B9541" s="6">
        <v>0.234765234765234</v>
      </c>
      <c r="C9541" s="6">
        <v>0.43163026851859898</v>
      </c>
    </row>
    <row r="9542" spans="1:3" s="8" customFormat="1" x14ac:dyDescent="0.2">
      <c r="A9542" s="6" t="str">
        <f>"SIGLEC17P"</f>
        <v>SIGLEC17P</v>
      </c>
      <c r="B9542" s="6">
        <v>0.234765234765234</v>
      </c>
      <c r="C9542" s="6">
        <v>0.43163026851859898</v>
      </c>
    </row>
    <row r="9543" spans="1:3" s="8" customFormat="1" x14ac:dyDescent="0.2">
      <c r="A9543" s="6" t="str">
        <f>"ATP2A1"</f>
        <v>ATP2A1</v>
      </c>
      <c r="B9543" s="6">
        <v>0.234765234765234</v>
      </c>
      <c r="C9543" s="6">
        <v>0.43163026851859898</v>
      </c>
    </row>
    <row r="9544" spans="1:3" s="8" customFormat="1" x14ac:dyDescent="0.2">
      <c r="A9544" s="6" t="str">
        <f>"ACOXL-AS1"</f>
        <v>ACOXL-AS1</v>
      </c>
      <c r="B9544" s="6">
        <v>0.234765234765234</v>
      </c>
      <c r="C9544" s="6">
        <v>0.43163026851859898</v>
      </c>
    </row>
    <row r="9545" spans="1:3" s="8" customFormat="1" x14ac:dyDescent="0.2">
      <c r="A9545" s="6" t="str">
        <f>"BCDIN3D-AS1"</f>
        <v>BCDIN3D-AS1</v>
      </c>
      <c r="B9545" s="6">
        <v>0.234765234765234</v>
      </c>
      <c r="C9545" s="6">
        <v>0.43163026851859898</v>
      </c>
    </row>
    <row r="9546" spans="1:3" s="8" customFormat="1" x14ac:dyDescent="0.2">
      <c r="A9546" s="6" t="str">
        <f>"GFI1"</f>
        <v>GFI1</v>
      </c>
      <c r="B9546" s="6">
        <v>0.234765234765234</v>
      </c>
      <c r="C9546" s="6">
        <v>0.43163026851859898</v>
      </c>
    </row>
    <row r="9547" spans="1:3" s="8" customFormat="1" x14ac:dyDescent="0.2">
      <c r="A9547" s="6" t="str">
        <f>"AC007686.3"</f>
        <v>AC007686.3</v>
      </c>
      <c r="B9547" s="6">
        <v>0.234765234765234</v>
      </c>
      <c r="C9547" s="6">
        <v>0.43163026851859898</v>
      </c>
    </row>
    <row r="9548" spans="1:3" s="8" customFormat="1" x14ac:dyDescent="0.2">
      <c r="A9548" s="6" t="str">
        <f>"GFRA1"</f>
        <v>GFRA1</v>
      </c>
      <c r="B9548" s="6">
        <v>0.234765234765234</v>
      </c>
      <c r="C9548" s="6">
        <v>0.43163026851859898</v>
      </c>
    </row>
    <row r="9549" spans="1:3" s="8" customFormat="1" x14ac:dyDescent="0.2">
      <c r="A9549" s="6" t="str">
        <f>"AC008915.2"</f>
        <v>AC008915.2</v>
      </c>
      <c r="B9549" s="6">
        <v>0.234765234765234</v>
      </c>
      <c r="C9549" s="6">
        <v>0.43163026851859898</v>
      </c>
    </row>
    <row r="9550" spans="1:3" s="8" customFormat="1" x14ac:dyDescent="0.2">
      <c r="A9550" s="6" t="str">
        <f>"TUBA3FP"</f>
        <v>TUBA3FP</v>
      </c>
      <c r="B9550" s="6">
        <v>0.234765234765234</v>
      </c>
      <c r="C9550" s="6">
        <v>0.43163026851859898</v>
      </c>
    </row>
    <row r="9551" spans="1:3" s="8" customFormat="1" x14ac:dyDescent="0.2">
      <c r="A9551" s="6" t="str">
        <f>"CCDC18-AS1"</f>
        <v>CCDC18-AS1</v>
      </c>
      <c r="B9551" s="6">
        <v>0.234765234765234</v>
      </c>
      <c r="C9551" s="6">
        <v>0.43163026851859898</v>
      </c>
    </row>
    <row r="9552" spans="1:3" s="8" customFormat="1" x14ac:dyDescent="0.2">
      <c r="A9552" s="6" t="str">
        <f>"LINC00887"</f>
        <v>LINC00887</v>
      </c>
      <c r="B9552" s="6">
        <v>0.234765234765234</v>
      </c>
      <c r="C9552" s="6">
        <v>0.43163026851859898</v>
      </c>
    </row>
    <row r="9553" spans="1:3" s="8" customFormat="1" x14ac:dyDescent="0.2">
      <c r="A9553" s="6" t="str">
        <f>"GPAT3"</f>
        <v>GPAT3</v>
      </c>
      <c r="B9553" s="6">
        <v>0.234765234765234</v>
      </c>
      <c r="C9553" s="6">
        <v>0.43163026851859898</v>
      </c>
    </row>
    <row r="9554" spans="1:3" s="8" customFormat="1" x14ac:dyDescent="0.2">
      <c r="A9554" s="6" t="str">
        <f>"MPLKIP"</f>
        <v>MPLKIP</v>
      </c>
      <c r="B9554" s="6">
        <v>0.234765234765234</v>
      </c>
      <c r="C9554" s="6">
        <v>0.43163026851859898</v>
      </c>
    </row>
    <row r="9555" spans="1:3" s="8" customFormat="1" x14ac:dyDescent="0.2">
      <c r="A9555" s="6" t="str">
        <f>"GCH1"</f>
        <v>GCH1</v>
      </c>
      <c r="B9555" s="6">
        <v>0.234765234765234</v>
      </c>
      <c r="C9555" s="6">
        <v>0.43163026851859898</v>
      </c>
    </row>
    <row r="9556" spans="1:3" s="8" customFormat="1" x14ac:dyDescent="0.2">
      <c r="A9556" s="6" t="str">
        <f>"EIF4ENIF1"</f>
        <v>EIF4ENIF1</v>
      </c>
      <c r="B9556" s="6">
        <v>0.234765234765234</v>
      </c>
      <c r="C9556" s="6">
        <v>0.43163026851859898</v>
      </c>
    </row>
    <row r="9557" spans="1:3" s="8" customFormat="1" x14ac:dyDescent="0.2">
      <c r="A9557" s="6" t="str">
        <f>"SDR42E1"</f>
        <v>SDR42E1</v>
      </c>
      <c r="B9557" s="6">
        <v>0.234765234765234</v>
      </c>
      <c r="C9557" s="6">
        <v>0.43163026851859898</v>
      </c>
    </row>
    <row r="9558" spans="1:3" s="8" customFormat="1" x14ac:dyDescent="0.2">
      <c r="A9558" s="6" t="str">
        <f>"OSTC"</f>
        <v>OSTC</v>
      </c>
      <c r="B9558" s="6">
        <v>0.234765234765234</v>
      </c>
      <c r="C9558" s="6">
        <v>0.43163026851859898</v>
      </c>
    </row>
    <row r="9559" spans="1:3" s="8" customFormat="1" x14ac:dyDescent="0.2">
      <c r="A9559" s="6" t="str">
        <f>"BZW2"</f>
        <v>BZW2</v>
      </c>
      <c r="B9559" s="6">
        <v>0.234765234765234</v>
      </c>
      <c r="C9559" s="6">
        <v>0.43163026851859898</v>
      </c>
    </row>
    <row r="9560" spans="1:3" s="8" customFormat="1" x14ac:dyDescent="0.2">
      <c r="A9560" s="6" t="str">
        <f>"ANKRD13D"</f>
        <v>ANKRD13D</v>
      </c>
      <c r="B9560" s="6">
        <v>0.234765234765234</v>
      </c>
      <c r="C9560" s="6">
        <v>0.43163026851859898</v>
      </c>
    </row>
    <row r="9561" spans="1:3" s="8" customFormat="1" x14ac:dyDescent="0.2">
      <c r="A9561" s="6" t="str">
        <f>"ANKRD12"</f>
        <v>ANKRD12</v>
      </c>
      <c r="B9561" s="6">
        <v>0.234765234765234</v>
      </c>
      <c r="C9561" s="6">
        <v>0.43163026851859898</v>
      </c>
    </row>
    <row r="9562" spans="1:3" s="8" customFormat="1" x14ac:dyDescent="0.2">
      <c r="A9562" s="6" t="str">
        <f>"ZNF3"</f>
        <v>ZNF3</v>
      </c>
      <c r="B9562" s="6">
        <v>0.234765234765234</v>
      </c>
      <c r="C9562" s="6">
        <v>0.43163026851859898</v>
      </c>
    </row>
    <row r="9563" spans="1:3" s="8" customFormat="1" x14ac:dyDescent="0.2">
      <c r="A9563" s="6" t="str">
        <f>"HUWE1"</f>
        <v>HUWE1</v>
      </c>
      <c r="B9563" s="6">
        <v>0.234765234765234</v>
      </c>
      <c r="C9563" s="6">
        <v>0.43163026851859898</v>
      </c>
    </row>
    <row r="9564" spans="1:3" s="8" customFormat="1" x14ac:dyDescent="0.2">
      <c r="A9564" s="6" t="str">
        <f>"FOXA1"</f>
        <v>FOXA1</v>
      </c>
      <c r="B9564" s="6">
        <v>0.234765234765234</v>
      </c>
      <c r="C9564" s="6">
        <v>0.43163026851859898</v>
      </c>
    </row>
    <row r="9565" spans="1:3" s="8" customFormat="1" x14ac:dyDescent="0.2">
      <c r="A9565" s="6" t="str">
        <f>"GSN"</f>
        <v>GSN</v>
      </c>
      <c r="B9565" s="6">
        <v>0.234765234765234</v>
      </c>
      <c r="C9565" s="6">
        <v>0.43163026851859898</v>
      </c>
    </row>
    <row r="9566" spans="1:3" s="8" customFormat="1" x14ac:dyDescent="0.2">
      <c r="A9566" s="6" t="str">
        <f>"AL358115.1"</f>
        <v>AL358115.1</v>
      </c>
      <c r="B9566" s="6">
        <v>0.235764235764235</v>
      </c>
      <c r="C9566" s="6">
        <v>0.43301423873807399</v>
      </c>
    </row>
    <row r="9567" spans="1:3" s="8" customFormat="1" x14ac:dyDescent="0.2">
      <c r="A9567" s="6" t="str">
        <f>"AL645608.7"</f>
        <v>AL645608.7</v>
      </c>
      <c r="B9567" s="6">
        <v>0.235764235764235</v>
      </c>
      <c r="C9567" s="6">
        <v>0.43301423873807399</v>
      </c>
    </row>
    <row r="9568" spans="1:3" s="8" customFormat="1" x14ac:dyDescent="0.2">
      <c r="A9568" s="6" t="str">
        <f>"RBM41"</f>
        <v>RBM41</v>
      </c>
      <c r="B9568" s="6">
        <v>0.235764235764235</v>
      </c>
      <c r="C9568" s="6">
        <v>0.43301423873807399</v>
      </c>
    </row>
    <row r="9569" spans="1:3" s="8" customFormat="1" x14ac:dyDescent="0.2">
      <c r="A9569" s="6" t="str">
        <f>"MRM3"</f>
        <v>MRM3</v>
      </c>
      <c r="B9569" s="6">
        <v>0.235764235764235</v>
      </c>
      <c r="C9569" s="6">
        <v>0.43301423873807399</v>
      </c>
    </row>
    <row r="9570" spans="1:3" s="8" customFormat="1" x14ac:dyDescent="0.2">
      <c r="A9570" s="6" t="str">
        <f>"STK26"</f>
        <v>STK26</v>
      </c>
      <c r="B9570" s="6">
        <v>0.235764235764235</v>
      </c>
      <c r="C9570" s="6">
        <v>0.43301423873807399</v>
      </c>
    </row>
    <row r="9571" spans="1:3" s="8" customFormat="1" x14ac:dyDescent="0.2">
      <c r="A9571" s="6" t="str">
        <f>"NNT"</f>
        <v>NNT</v>
      </c>
      <c r="B9571" s="6">
        <v>0.235764235764235</v>
      </c>
      <c r="C9571" s="6">
        <v>0.43301423873807399</v>
      </c>
    </row>
    <row r="9572" spans="1:3" s="8" customFormat="1" x14ac:dyDescent="0.2">
      <c r="A9572" s="6" t="str">
        <f>"MGAT4B"</f>
        <v>MGAT4B</v>
      </c>
      <c r="B9572" s="6">
        <v>0.235764235764235</v>
      </c>
      <c r="C9572" s="6">
        <v>0.43301423873807399</v>
      </c>
    </row>
    <row r="9573" spans="1:3" s="8" customFormat="1" x14ac:dyDescent="0.2">
      <c r="A9573" s="6" t="str">
        <f>"COX6C"</f>
        <v>COX6C</v>
      </c>
      <c r="B9573" s="6">
        <v>0.235764235764235</v>
      </c>
      <c r="C9573" s="6">
        <v>0.43301423873807399</v>
      </c>
    </row>
    <row r="9574" spans="1:3" s="8" customFormat="1" x14ac:dyDescent="0.2">
      <c r="A9574" s="6" t="str">
        <f>"FGD5-AS1"</f>
        <v>FGD5-AS1</v>
      </c>
      <c r="B9574" s="6">
        <v>0.235764235764235</v>
      </c>
      <c r="C9574" s="6">
        <v>0.43301423873807399</v>
      </c>
    </row>
    <row r="9575" spans="1:3" s="8" customFormat="1" x14ac:dyDescent="0.2">
      <c r="A9575" s="6" t="str">
        <f>"GTF3C1"</f>
        <v>GTF3C1</v>
      </c>
      <c r="B9575" s="6">
        <v>0.235764235764235</v>
      </c>
      <c r="C9575" s="6">
        <v>0.43301423873807399</v>
      </c>
    </row>
    <row r="9576" spans="1:3" s="8" customFormat="1" x14ac:dyDescent="0.2">
      <c r="A9576" s="6" t="str">
        <f>"Z92544.1"</f>
        <v>Z92544.1</v>
      </c>
      <c r="B9576" s="6">
        <v>0.23599999999999999</v>
      </c>
      <c r="C9576" s="6">
        <v>0.433356725146198</v>
      </c>
    </row>
    <row r="9577" spans="1:3" s="8" customFormat="1" x14ac:dyDescent="0.2">
      <c r="A9577" s="6" t="str">
        <f>"PLAA"</f>
        <v>PLAA</v>
      </c>
      <c r="B9577" s="6">
        <v>0.23599999999999999</v>
      </c>
      <c r="C9577" s="6">
        <v>0.433356725146198</v>
      </c>
    </row>
    <row r="9578" spans="1:3" s="8" customFormat="1" x14ac:dyDescent="0.2">
      <c r="A9578" s="6" t="str">
        <f>"AC109322.1"</f>
        <v>AC109322.1</v>
      </c>
      <c r="B9578" s="6">
        <v>0.23623623623623599</v>
      </c>
      <c r="C9578" s="6">
        <v>0.433745220630466</v>
      </c>
    </row>
    <row r="9579" spans="1:3" s="8" customFormat="1" x14ac:dyDescent="0.2">
      <c r="A9579" s="6" t="str">
        <f>"LINC02784"</f>
        <v>LINC02784</v>
      </c>
      <c r="B9579" s="6">
        <v>0.23676323676323599</v>
      </c>
      <c r="C9579" s="6">
        <v>0.43385210037982003</v>
      </c>
    </row>
    <row r="9580" spans="1:3" s="8" customFormat="1" x14ac:dyDescent="0.2">
      <c r="A9580" s="6" t="str">
        <f>"ITGB1BP2"</f>
        <v>ITGB1BP2</v>
      </c>
      <c r="B9580" s="6">
        <v>0.23676323676323599</v>
      </c>
      <c r="C9580" s="6">
        <v>0.43385210037982003</v>
      </c>
    </row>
    <row r="9581" spans="1:3" s="8" customFormat="1" x14ac:dyDescent="0.2">
      <c r="A9581" s="6" t="str">
        <f>"ADCY10"</f>
        <v>ADCY10</v>
      </c>
      <c r="B9581" s="6">
        <v>0.23676323676323599</v>
      </c>
      <c r="C9581" s="6">
        <v>0.43385210037982003</v>
      </c>
    </row>
    <row r="9582" spans="1:3" s="8" customFormat="1" x14ac:dyDescent="0.2">
      <c r="A9582" s="6" t="str">
        <f>"ATP2B3"</f>
        <v>ATP2B3</v>
      </c>
      <c r="B9582" s="6">
        <v>0.23676323676323599</v>
      </c>
      <c r="C9582" s="6">
        <v>0.43385210037982003</v>
      </c>
    </row>
    <row r="9583" spans="1:3" s="8" customFormat="1" x14ac:dyDescent="0.2">
      <c r="A9583" s="6" t="str">
        <f>"SDHAP3"</f>
        <v>SDHAP3</v>
      </c>
      <c r="B9583" s="6">
        <v>0.23676323676323599</v>
      </c>
      <c r="C9583" s="6">
        <v>0.43385210037982003</v>
      </c>
    </row>
    <row r="9584" spans="1:3" s="8" customFormat="1" x14ac:dyDescent="0.2">
      <c r="A9584" s="6" t="str">
        <f>"CCDC68"</f>
        <v>CCDC68</v>
      </c>
      <c r="B9584" s="6">
        <v>0.23676323676323599</v>
      </c>
      <c r="C9584" s="6">
        <v>0.43385210037982003</v>
      </c>
    </row>
    <row r="9585" spans="1:3" s="8" customFormat="1" x14ac:dyDescent="0.2">
      <c r="A9585" s="6" t="str">
        <f>"COPS9"</f>
        <v>COPS9</v>
      </c>
      <c r="B9585" s="6">
        <v>0.23676323676323599</v>
      </c>
      <c r="C9585" s="6">
        <v>0.43385210037982003</v>
      </c>
    </row>
    <row r="9586" spans="1:3" s="8" customFormat="1" x14ac:dyDescent="0.2">
      <c r="A9586" s="6" t="str">
        <f>"NCKAP5L"</f>
        <v>NCKAP5L</v>
      </c>
      <c r="B9586" s="6">
        <v>0.23676323676323599</v>
      </c>
      <c r="C9586" s="6">
        <v>0.43385210037982003</v>
      </c>
    </row>
    <row r="9587" spans="1:3" s="8" customFormat="1" x14ac:dyDescent="0.2">
      <c r="A9587" s="6" t="str">
        <f>"TEKT4"</f>
        <v>TEKT4</v>
      </c>
      <c r="B9587" s="6">
        <v>0.23676323676323599</v>
      </c>
      <c r="C9587" s="6">
        <v>0.43385210037982003</v>
      </c>
    </row>
    <row r="9588" spans="1:3" s="8" customFormat="1" x14ac:dyDescent="0.2">
      <c r="A9588" s="6" t="str">
        <f>"DUSP5"</f>
        <v>DUSP5</v>
      </c>
      <c r="B9588" s="6">
        <v>0.23676323676323599</v>
      </c>
      <c r="C9588" s="6">
        <v>0.43385210037982003</v>
      </c>
    </row>
    <row r="9589" spans="1:3" s="8" customFormat="1" x14ac:dyDescent="0.2">
      <c r="A9589" s="6" t="str">
        <f>"HINT3"</f>
        <v>HINT3</v>
      </c>
      <c r="B9589" s="6">
        <v>0.23676323676323599</v>
      </c>
      <c r="C9589" s="6">
        <v>0.43385210037982003</v>
      </c>
    </row>
    <row r="9590" spans="1:3" s="8" customFormat="1" x14ac:dyDescent="0.2">
      <c r="A9590" s="6" t="str">
        <f>"HIVEP1"</f>
        <v>HIVEP1</v>
      </c>
      <c r="B9590" s="6">
        <v>0.23676323676323599</v>
      </c>
      <c r="C9590" s="6">
        <v>0.43385210037982003</v>
      </c>
    </row>
    <row r="9591" spans="1:3" s="8" customFormat="1" x14ac:dyDescent="0.2">
      <c r="A9591" s="6" t="str">
        <f>"GPD2"</f>
        <v>GPD2</v>
      </c>
      <c r="B9591" s="6">
        <v>0.23676323676323599</v>
      </c>
      <c r="C9591" s="6">
        <v>0.43385210037982003</v>
      </c>
    </row>
    <row r="9592" spans="1:3" s="8" customFormat="1" x14ac:dyDescent="0.2">
      <c r="A9592" s="6" t="str">
        <f>"LINC00342"</f>
        <v>LINC00342</v>
      </c>
      <c r="B9592" s="6">
        <v>0.23676323676323599</v>
      </c>
      <c r="C9592" s="6">
        <v>0.43385210037982003</v>
      </c>
    </row>
    <row r="9593" spans="1:3" s="8" customFormat="1" x14ac:dyDescent="0.2">
      <c r="A9593" s="6" t="str">
        <f>"PAK2"</f>
        <v>PAK2</v>
      </c>
      <c r="B9593" s="6">
        <v>0.23676323676323599</v>
      </c>
      <c r="C9593" s="6">
        <v>0.43385210037982003</v>
      </c>
    </row>
    <row r="9594" spans="1:3" s="8" customFormat="1" x14ac:dyDescent="0.2">
      <c r="A9594" s="6" t="str">
        <f>"BICDL2"</f>
        <v>BICDL2</v>
      </c>
      <c r="B9594" s="6">
        <v>0.23676323676323599</v>
      </c>
      <c r="C9594" s="6">
        <v>0.43385210037982003</v>
      </c>
    </row>
    <row r="9595" spans="1:3" s="8" customFormat="1" x14ac:dyDescent="0.2">
      <c r="A9595" s="6" t="str">
        <f>"DYNLL2"</f>
        <v>DYNLL2</v>
      </c>
      <c r="B9595" s="6">
        <v>0.23676323676323599</v>
      </c>
      <c r="C9595" s="6">
        <v>0.43385210037982003</v>
      </c>
    </row>
    <row r="9596" spans="1:3" s="8" customFormat="1" x14ac:dyDescent="0.2">
      <c r="A9596" s="6" t="str">
        <f>"RPL34"</f>
        <v>RPL34</v>
      </c>
      <c r="B9596" s="6">
        <v>0.23676323676323599</v>
      </c>
      <c r="C9596" s="6">
        <v>0.43385210037982003</v>
      </c>
    </row>
    <row r="9597" spans="1:3" s="8" customFormat="1" x14ac:dyDescent="0.2">
      <c r="A9597" s="6" t="str">
        <f>"RPS27"</f>
        <v>RPS27</v>
      </c>
      <c r="B9597" s="6">
        <v>0.23676323676323599</v>
      </c>
      <c r="C9597" s="6">
        <v>0.43385210037982003</v>
      </c>
    </row>
    <row r="9598" spans="1:3" s="8" customFormat="1" x14ac:dyDescent="0.2">
      <c r="A9598" s="6" t="str">
        <f>"C1orf100"</f>
        <v>C1orf100</v>
      </c>
      <c r="B9598" s="6">
        <v>0.23699999999999999</v>
      </c>
      <c r="C9598" s="6">
        <v>0.43419545738695497</v>
      </c>
    </row>
    <row r="9599" spans="1:3" s="8" customFormat="1" x14ac:dyDescent="0.2">
      <c r="A9599" s="6" t="str">
        <f>"CDCP1"</f>
        <v>CDCP1</v>
      </c>
      <c r="B9599" s="6">
        <v>0.23699999999999999</v>
      </c>
      <c r="C9599" s="6">
        <v>0.43419545738695497</v>
      </c>
    </row>
    <row r="9600" spans="1:3" s="8" customFormat="1" x14ac:dyDescent="0.2">
      <c r="A9600" s="6" t="str">
        <f>"LINC01635"</f>
        <v>LINC01635</v>
      </c>
      <c r="B9600" s="6">
        <v>0.23776223776223701</v>
      </c>
      <c r="C9600" s="6">
        <v>0.43455058609408398</v>
      </c>
    </row>
    <row r="9601" spans="1:3" s="8" customFormat="1" x14ac:dyDescent="0.2">
      <c r="A9601" s="6" t="str">
        <f>"NANOG"</f>
        <v>NANOG</v>
      </c>
      <c r="B9601" s="6">
        <v>0.23776223776223701</v>
      </c>
      <c r="C9601" s="6">
        <v>0.43455058609408398</v>
      </c>
    </row>
    <row r="9602" spans="1:3" s="8" customFormat="1" x14ac:dyDescent="0.2">
      <c r="A9602" s="6" t="str">
        <f>"DCAF4L1"</f>
        <v>DCAF4L1</v>
      </c>
      <c r="B9602" s="6">
        <v>0.23776223776223701</v>
      </c>
      <c r="C9602" s="6">
        <v>0.43455058609408398</v>
      </c>
    </row>
    <row r="9603" spans="1:3" s="8" customFormat="1" x14ac:dyDescent="0.2">
      <c r="A9603" s="6" t="str">
        <f>"CDC20P1"</f>
        <v>CDC20P1</v>
      </c>
      <c r="B9603" s="6">
        <v>0.23776223776223701</v>
      </c>
      <c r="C9603" s="6">
        <v>0.43455058609408398</v>
      </c>
    </row>
    <row r="9604" spans="1:3" s="8" customFormat="1" x14ac:dyDescent="0.2">
      <c r="A9604" s="6" t="str">
        <f>"LINC02848"</f>
        <v>LINC02848</v>
      </c>
      <c r="B9604" s="6">
        <v>0.23776223776223701</v>
      </c>
      <c r="C9604" s="6">
        <v>0.43455058609408398</v>
      </c>
    </row>
    <row r="9605" spans="1:3" s="8" customFormat="1" x14ac:dyDescent="0.2">
      <c r="A9605" s="6" t="str">
        <f>"AC106045.1"</f>
        <v>AC106045.1</v>
      </c>
      <c r="B9605" s="6">
        <v>0.23776223776223701</v>
      </c>
      <c r="C9605" s="6">
        <v>0.43455058609408398</v>
      </c>
    </row>
    <row r="9606" spans="1:3" s="8" customFormat="1" x14ac:dyDescent="0.2">
      <c r="A9606" s="6" t="str">
        <f>"GPR146"</f>
        <v>GPR146</v>
      </c>
      <c r="B9606" s="6">
        <v>0.23776223776223701</v>
      </c>
      <c r="C9606" s="6">
        <v>0.43455058609408398</v>
      </c>
    </row>
    <row r="9607" spans="1:3" s="8" customFormat="1" x14ac:dyDescent="0.2">
      <c r="A9607" s="6" t="str">
        <f>"GNG11"</f>
        <v>GNG11</v>
      </c>
      <c r="B9607" s="6">
        <v>0.23776223776223701</v>
      </c>
      <c r="C9607" s="6">
        <v>0.43455058609408398</v>
      </c>
    </row>
    <row r="9608" spans="1:3" s="8" customFormat="1" x14ac:dyDescent="0.2">
      <c r="A9608" s="6" t="str">
        <f>"IRX2"</f>
        <v>IRX2</v>
      </c>
      <c r="B9608" s="6">
        <v>0.23776223776223701</v>
      </c>
      <c r="C9608" s="6">
        <v>0.43455058609408398</v>
      </c>
    </row>
    <row r="9609" spans="1:3" s="8" customFormat="1" x14ac:dyDescent="0.2">
      <c r="A9609" s="6" t="str">
        <f>"RILPL1"</f>
        <v>RILPL1</v>
      </c>
      <c r="B9609" s="6">
        <v>0.23776223776223701</v>
      </c>
      <c r="C9609" s="6">
        <v>0.43455058609408398</v>
      </c>
    </row>
    <row r="9610" spans="1:3" s="8" customFormat="1" x14ac:dyDescent="0.2">
      <c r="A9610" s="6" t="str">
        <f>"PXK"</f>
        <v>PXK</v>
      </c>
      <c r="B9610" s="6">
        <v>0.23776223776223701</v>
      </c>
      <c r="C9610" s="6">
        <v>0.43455058609408398</v>
      </c>
    </row>
    <row r="9611" spans="1:3" s="8" customFormat="1" x14ac:dyDescent="0.2">
      <c r="A9611" s="6" t="str">
        <f>"ZNF302"</f>
        <v>ZNF302</v>
      </c>
      <c r="B9611" s="6">
        <v>0.23776223776223701</v>
      </c>
      <c r="C9611" s="6">
        <v>0.43455058609408398</v>
      </c>
    </row>
    <row r="9612" spans="1:3" s="8" customFormat="1" x14ac:dyDescent="0.2">
      <c r="A9612" s="6" t="str">
        <f>"NLK"</f>
        <v>NLK</v>
      </c>
      <c r="B9612" s="6">
        <v>0.23776223776223701</v>
      </c>
      <c r="C9612" s="6">
        <v>0.43455058609408398</v>
      </c>
    </row>
    <row r="9613" spans="1:3" s="8" customFormat="1" x14ac:dyDescent="0.2">
      <c r="A9613" s="6" t="str">
        <f>"AGPAT5"</f>
        <v>AGPAT5</v>
      </c>
      <c r="B9613" s="6">
        <v>0.23776223776223701</v>
      </c>
      <c r="C9613" s="6">
        <v>0.43455058609408398</v>
      </c>
    </row>
    <row r="9614" spans="1:3" s="8" customFormat="1" x14ac:dyDescent="0.2">
      <c r="A9614" s="6" t="str">
        <f>"VPS16"</f>
        <v>VPS16</v>
      </c>
      <c r="B9614" s="6">
        <v>0.23776223776223701</v>
      </c>
      <c r="C9614" s="6">
        <v>0.43455058609408398</v>
      </c>
    </row>
    <row r="9615" spans="1:3" s="8" customFormat="1" x14ac:dyDescent="0.2">
      <c r="A9615" s="6" t="str">
        <f>"TIMM13"</f>
        <v>TIMM13</v>
      </c>
      <c r="B9615" s="6">
        <v>0.23776223776223701</v>
      </c>
      <c r="C9615" s="6">
        <v>0.43455058609408398</v>
      </c>
    </row>
    <row r="9616" spans="1:3" s="8" customFormat="1" x14ac:dyDescent="0.2">
      <c r="A9616" s="6" t="str">
        <f>"HID1"</f>
        <v>HID1</v>
      </c>
      <c r="B9616" s="6">
        <v>0.23776223776223701</v>
      </c>
      <c r="C9616" s="6">
        <v>0.43455058609408398</v>
      </c>
    </row>
    <row r="9617" spans="1:3" s="8" customFormat="1" x14ac:dyDescent="0.2">
      <c r="A9617" s="6" t="str">
        <f>"GBP6"</f>
        <v>GBP6</v>
      </c>
      <c r="B9617" s="6">
        <v>0.23776223776223701</v>
      </c>
      <c r="C9617" s="6">
        <v>0.43455058609408398</v>
      </c>
    </row>
    <row r="9618" spans="1:3" s="8" customFormat="1" x14ac:dyDescent="0.2">
      <c r="A9618" s="6" t="str">
        <f>"BTN3A2"</f>
        <v>BTN3A2</v>
      </c>
      <c r="B9618" s="6">
        <v>0.23776223776223701</v>
      </c>
      <c r="C9618" s="6">
        <v>0.43455058609408398</v>
      </c>
    </row>
    <row r="9619" spans="1:3" s="8" customFormat="1" x14ac:dyDescent="0.2">
      <c r="A9619" s="6" t="str">
        <f>"OGT"</f>
        <v>OGT</v>
      </c>
      <c r="B9619" s="6">
        <v>0.23776223776223701</v>
      </c>
      <c r="C9619" s="6">
        <v>0.43455058609408398</v>
      </c>
    </row>
    <row r="9620" spans="1:3" s="8" customFormat="1" x14ac:dyDescent="0.2">
      <c r="A9620" s="6" t="str">
        <f>"SEC22B"</f>
        <v>SEC22B</v>
      </c>
      <c r="B9620" s="6">
        <v>0.23776223776223701</v>
      </c>
      <c r="C9620" s="6">
        <v>0.43455058609408398</v>
      </c>
    </row>
    <row r="9621" spans="1:3" s="8" customFormat="1" x14ac:dyDescent="0.2">
      <c r="A9621" s="6" t="str">
        <f>"C19orf33"</f>
        <v>C19orf33</v>
      </c>
      <c r="B9621" s="6">
        <v>0.23776223776223701</v>
      </c>
      <c r="C9621" s="6">
        <v>0.43455058609408398</v>
      </c>
    </row>
    <row r="9622" spans="1:3" s="8" customFormat="1" x14ac:dyDescent="0.2">
      <c r="A9622" s="6" t="str">
        <f>"KMT2C"</f>
        <v>KMT2C</v>
      </c>
      <c r="B9622" s="6">
        <v>0.23776223776223701</v>
      </c>
      <c r="C9622" s="6">
        <v>0.43455058609408398</v>
      </c>
    </row>
    <row r="9623" spans="1:3" s="8" customFormat="1" x14ac:dyDescent="0.2">
      <c r="A9623" s="6" t="str">
        <f>"FAM223A"</f>
        <v>FAM223A</v>
      </c>
      <c r="B9623" s="6">
        <v>0.23795180722891501</v>
      </c>
      <c r="C9623" s="6">
        <v>0.434851858066228</v>
      </c>
    </row>
    <row r="9624" spans="1:3" s="8" customFormat="1" x14ac:dyDescent="0.2">
      <c r="A9624" s="6" t="str">
        <f>"IGKV1-27"</f>
        <v>IGKV1-27</v>
      </c>
      <c r="B9624" s="6">
        <v>0.23799999999999999</v>
      </c>
      <c r="C9624" s="6">
        <v>0.43489473137275197</v>
      </c>
    </row>
    <row r="9625" spans="1:3" s="8" customFormat="1" x14ac:dyDescent="0.2">
      <c r="A9625" s="6" t="str">
        <f>"AC073529.1"</f>
        <v>AC073529.1</v>
      </c>
      <c r="B9625" s="6">
        <v>0.238238238238238</v>
      </c>
      <c r="C9625" s="6">
        <v>0.43528482763727899</v>
      </c>
    </row>
    <row r="9626" spans="1:3" s="8" customFormat="1" x14ac:dyDescent="0.2">
      <c r="A9626" s="6" t="str">
        <f>"CHCHD2P6"</f>
        <v>CHCHD2P6</v>
      </c>
      <c r="B9626" s="6">
        <v>0.23847695390781501</v>
      </c>
      <c r="C9626" s="6">
        <v>0.43567571506649599</v>
      </c>
    </row>
    <row r="9627" spans="1:3" s="8" customFormat="1" x14ac:dyDescent="0.2">
      <c r="A9627" s="6" t="str">
        <f>"AC141586.5"</f>
        <v>AC141586.5</v>
      </c>
      <c r="B9627" s="6">
        <v>0.238761238761238</v>
      </c>
      <c r="C9627" s="6">
        <v>0.43569713806326499</v>
      </c>
    </row>
    <row r="9628" spans="1:3" s="8" customFormat="1" x14ac:dyDescent="0.2">
      <c r="A9628" s="6" t="str">
        <f>"OR7E28P"</f>
        <v>OR7E28P</v>
      </c>
      <c r="B9628" s="6">
        <v>0.238761238761238</v>
      </c>
      <c r="C9628" s="6">
        <v>0.43569713806326499</v>
      </c>
    </row>
    <row r="9629" spans="1:3" s="8" customFormat="1" x14ac:dyDescent="0.2">
      <c r="A9629" s="6" t="str">
        <f>"URAHP"</f>
        <v>URAHP</v>
      </c>
      <c r="B9629" s="6">
        <v>0.238761238761238</v>
      </c>
      <c r="C9629" s="6">
        <v>0.43569713806326499</v>
      </c>
    </row>
    <row r="9630" spans="1:3" s="8" customFormat="1" x14ac:dyDescent="0.2">
      <c r="A9630" s="6" t="str">
        <f>"AC026954.2"</f>
        <v>AC026954.2</v>
      </c>
      <c r="B9630" s="6">
        <v>0.238761238761238</v>
      </c>
      <c r="C9630" s="6">
        <v>0.43569713806326499</v>
      </c>
    </row>
    <row r="9631" spans="1:3" s="8" customFormat="1" x14ac:dyDescent="0.2">
      <c r="A9631" s="6" t="str">
        <f>"AC009236.1"</f>
        <v>AC009236.1</v>
      </c>
      <c r="B9631" s="6">
        <v>0.238761238761238</v>
      </c>
      <c r="C9631" s="6">
        <v>0.43569713806326499</v>
      </c>
    </row>
    <row r="9632" spans="1:3" s="8" customFormat="1" x14ac:dyDescent="0.2">
      <c r="A9632" s="6" t="str">
        <f>"AP005901.5"</f>
        <v>AP005901.5</v>
      </c>
      <c r="B9632" s="6">
        <v>0.238761238761238</v>
      </c>
      <c r="C9632" s="6">
        <v>0.43569713806326499</v>
      </c>
    </row>
    <row r="9633" spans="1:3" s="8" customFormat="1" x14ac:dyDescent="0.2">
      <c r="A9633" s="6" t="str">
        <f>"FNDC11"</f>
        <v>FNDC11</v>
      </c>
      <c r="B9633" s="6">
        <v>0.238761238761238</v>
      </c>
      <c r="C9633" s="6">
        <v>0.43569713806326499</v>
      </c>
    </row>
    <row r="9634" spans="1:3" s="8" customFormat="1" x14ac:dyDescent="0.2">
      <c r="A9634" s="6" t="str">
        <f>"FREM2"</f>
        <v>FREM2</v>
      </c>
      <c r="B9634" s="6">
        <v>0.238761238761238</v>
      </c>
      <c r="C9634" s="6">
        <v>0.43569713806326499</v>
      </c>
    </row>
    <row r="9635" spans="1:3" s="8" customFormat="1" x14ac:dyDescent="0.2">
      <c r="A9635" s="6" t="str">
        <f>"SHPK"</f>
        <v>SHPK</v>
      </c>
      <c r="B9635" s="6">
        <v>0.238761238761238</v>
      </c>
      <c r="C9635" s="6">
        <v>0.43569713806326499</v>
      </c>
    </row>
    <row r="9636" spans="1:3" s="8" customFormat="1" x14ac:dyDescent="0.2">
      <c r="A9636" s="6" t="str">
        <f>"CCDC181"</f>
        <v>CCDC181</v>
      </c>
      <c r="B9636" s="6">
        <v>0.238761238761238</v>
      </c>
      <c r="C9636" s="6">
        <v>0.43569713806326499</v>
      </c>
    </row>
    <row r="9637" spans="1:3" s="8" customFormat="1" x14ac:dyDescent="0.2">
      <c r="A9637" s="6" t="str">
        <f>"NUDC"</f>
        <v>NUDC</v>
      </c>
      <c r="B9637" s="6">
        <v>0.238761238761238</v>
      </c>
      <c r="C9637" s="6">
        <v>0.43569713806326499</v>
      </c>
    </row>
    <row r="9638" spans="1:3" s="8" customFormat="1" x14ac:dyDescent="0.2">
      <c r="A9638" s="6" t="str">
        <f>"BX664615.1"</f>
        <v>BX664615.1</v>
      </c>
      <c r="B9638" s="6">
        <v>0.23923923923923901</v>
      </c>
      <c r="C9638" s="6">
        <v>0.43652410322535801</v>
      </c>
    </row>
    <row r="9639" spans="1:3" s="8" customFormat="1" x14ac:dyDescent="0.2">
      <c r="A9639" s="6" t="str">
        <f>"SIRPAP1"</f>
        <v>SIRPAP1</v>
      </c>
      <c r="B9639" s="6">
        <v>0.239760239760239</v>
      </c>
      <c r="C9639" s="6">
        <v>0.436613924600668</v>
      </c>
    </row>
    <row r="9640" spans="1:3" s="8" customFormat="1" x14ac:dyDescent="0.2">
      <c r="A9640" s="6" t="str">
        <f>"PRG2"</f>
        <v>PRG2</v>
      </c>
      <c r="B9640" s="6">
        <v>0.239760239760239</v>
      </c>
      <c r="C9640" s="6">
        <v>0.436613924600668</v>
      </c>
    </row>
    <row r="9641" spans="1:3" s="8" customFormat="1" x14ac:dyDescent="0.2">
      <c r="A9641" s="6" t="str">
        <f>"IGLV1-44"</f>
        <v>IGLV1-44</v>
      </c>
      <c r="B9641" s="6">
        <v>0.239760239760239</v>
      </c>
      <c r="C9641" s="6">
        <v>0.436613924600668</v>
      </c>
    </row>
    <row r="9642" spans="1:3" s="8" customFormat="1" x14ac:dyDescent="0.2">
      <c r="A9642" s="6" t="str">
        <f>"LINC02348"</f>
        <v>LINC02348</v>
      </c>
      <c r="B9642" s="6">
        <v>0.239760239760239</v>
      </c>
      <c r="C9642" s="6">
        <v>0.436613924600668</v>
      </c>
    </row>
    <row r="9643" spans="1:3" s="8" customFormat="1" x14ac:dyDescent="0.2">
      <c r="A9643" s="6" t="str">
        <f>"AC008555.1"</f>
        <v>AC008555.1</v>
      </c>
      <c r="B9643" s="6">
        <v>0.239760239760239</v>
      </c>
      <c r="C9643" s="6">
        <v>0.436613924600668</v>
      </c>
    </row>
    <row r="9644" spans="1:3" s="8" customFormat="1" x14ac:dyDescent="0.2">
      <c r="A9644" s="6" t="str">
        <f>"CDCA4"</f>
        <v>CDCA4</v>
      </c>
      <c r="B9644" s="6">
        <v>0.239760239760239</v>
      </c>
      <c r="C9644" s="6">
        <v>0.436613924600668</v>
      </c>
    </row>
    <row r="9645" spans="1:3" s="8" customFormat="1" x14ac:dyDescent="0.2">
      <c r="A9645" s="6" t="str">
        <f>"ZNF692"</f>
        <v>ZNF692</v>
      </c>
      <c r="B9645" s="6">
        <v>0.239760239760239</v>
      </c>
      <c r="C9645" s="6">
        <v>0.436613924600668</v>
      </c>
    </row>
    <row r="9646" spans="1:3" s="8" customFormat="1" x14ac:dyDescent="0.2">
      <c r="A9646" s="6" t="str">
        <f>"THEM4"</f>
        <v>THEM4</v>
      </c>
      <c r="B9646" s="6">
        <v>0.239760239760239</v>
      </c>
      <c r="C9646" s="6">
        <v>0.436613924600668</v>
      </c>
    </row>
    <row r="9647" spans="1:3" s="8" customFormat="1" x14ac:dyDescent="0.2">
      <c r="A9647" s="6" t="str">
        <f>"AL109627.1"</f>
        <v>AL109627.1</v>
      </c>
      <c r="B9647" s="6">
        <v>0.239760239760239</v>
      </c>
      <c r="C9647" s="6">
        <v>0.436613924600668</v>
      </c>
    </row>
    <row r="9648" spans="1:3" s="8" customFormat="1" x14ac:dyDescent="0.2">
      <c r="A9648" s="6" t="str">
        <f>"RSAD1"</f>
        <v>RSAD1</v>
      </c>
      <c r="B9648" s="6">
        <v>0.239760239760239</v>
      </c>
      <c r="C9648" s="6">
        <v>0.436613924600668</v>
      </c>
    </row>
    <row r="9649" spans="1:3" s="8" customFormat="1" x14ac:dyDescent="0.2">
      <c r="A9649" s="6" t="str">
        <f>"TMEM104"</f>
        <v>TMEM104</v>
      </c>
      <c r="B9649" s="6">
        <v>0.239760239760239</v>
      </c>
      <c r="C9649" s="6">
        <v>0.436613924600668</v>
      </c>
    </row>
    <row r="9650" spans="1:3" s="8" customFormat="1" x14ac:dyDescent="0.2">
      <c r="A9650" s="6" t="str">
        <f>"LAMTOR2"</f>
        <v>LAMTOR2</v>
      </c>
      <c r="B9650" s="6">
        <v>0.239760239760239</v>
      </c>
      <c r="C9650" s="6">
        <v>0.436613924600668</v>
      </c>
    </row>
    <row r="9651" spans="1:3" s="8" customFormat="1" x14ac:dyDescent="0.2">
      <c r="A9651" s="6" t="str">
        <f>"BLVRA"</f>
        <v>BLVRA</v>
      </c>
      <c r="B9651" s="6">
        <v>0.239760239760239</v>
      </c>
      <c r="C9651" s="6">
        <v>0.436613924600668</v>
      </c>
    </row>
    <row r="9652" spans="1:3" s="8" customFormat="1" x14ac:dyDescent="0.2">
      <c r="A9652" s="6" t="str">
        <f>"RPTOR"</f>
        <v>RPTOR</v>
      </c>
      <c r="B9652" s="6">
        <v>0.239760239760239</v>
      </c>
      <c r="C9652" s="6">
        <v>0.436613924600668</v>
      </c>
    </row>
    <row r="9653" spans="1:3" s="8" customFormat="1" x14ac:dyDescent="0.2">
      <c r="A9653" s="6" t="str">
        <f>"CLEC16A"</f>
        <v>CLEC16A</v>
      </c>
      <c r="B9653" s="6">
        <v>0.239760239760239</v>
      </c>
      <c r="C9653" s="6">
        <v>0.436613924600668</v>
      </c>
    </row>
    <row r="9654" spans="1:3" s="8" customFormat="1" x14ac:dyDescent="0.2">
      <c r="A9654" s="6" t="str">
        <f>"MICAL3"</f>
        <v>MICAL3</v>
      </c>
      <c r="B9654" s="6">
        <v>0.239760239760239</v>
      </c>
      <c r="C9654" s="6">
        <v>0.436613924600668</v>
      </c>
    </row>
    <row r="9655" spans="1:3" s="8" customFormat="1" x14ac:dyDescent="0.2">
      <c r="A9655" s="6" t="str">
        <f>"UBE2I"</f>
        <v>UBE2I</v>
      </c>
      <c r="B9655" s="6">
        <v>0.239760239760239</v>
      </c>
      <c r="C9655" s="6">
        <v>0.436613924600668</v>
      </c>
    </row>
    <row r="9656" spans="1:3" s="8" customFormat="1" x14ac:dyDescent="0.2">
      <c r="A9656" s="6" t="str">
        <f>"DLD"</f>
        <v>DLD</v>
      </c>
      <c r="B9656" s="6">
        <v>0.239760239760239</v>
      </c>
      <c r="C9656" s="6">
        <v>0.436613924600668</v>
      </c>
    </row>
    <row r="9657" spans="1:3" s="8" customFormat="1" x14ac:dyDescent="0.2">
      <c r="A9657" s="6" t="str">
        <f>"NIPBL"</f>
        <v>NIPBL</v>
      </c>
      <c r="B9657" s="6">
        <v>0.239760239760239</v>
      </c>
      <c r="C9657" s="6">
        <v>0.436613924600668</v>
      </c>
    </row>
    <row r="9658" spans="1:3" s="8" customFormat="1" x14ac:dyDescent="0.2">
      <c r="A9658" s="6" t="str">
        <f>"AL357874.3"</f>
        <v>AL357874.3</v>
      </c>
      <c r="B9658" s="6">
        <v>0.23982869379014901</v>
      </c>
      <c r="C9658" s="6">
        <v>0.43669335731655701</v>
      </c>
    </row>
    <row r="9659" spans="1:3" s="8" customFormat="1" x14ac:dyDescent="0.2">
      <c r="A9659" s="6" t="str">
        <f>"AC002470.1"</f>
        <v>AC002470.1</v>
      </c>
      <c r="B9659" s="6">
        <v>0.24020618556701001</v>
      </c>
      <c r="C9659" s="6">
        <v>0.437335428350622</v>
      </c>
    </row>
    <row r="9660" spans="1:3" s="8" customFormat="1" x14ac:dyDescent="0.2">
      <c r="A9660" s="6" t="str">
        <f>"SCN2A"</f>
        <v>SCN2A</v>
      </c>
      <c r="B9660" s="6">
        <v>0.24075924075923999</v>
      </c>
      <c r="C9660" s="6">
        <v>0.43761737538872097</v>
      </c>
    </row>
    <row r="9661" spans="1:3" s="8" customFormat="1" x14ac:dyDescent="0.2">
      <c r="A9661" s="6" t="str">
        <f>"AC009163.5"</f>
        <v>AC009163.5</v>
      </c>
      <c r="B9661" s="6">
        <v>0.24075924075923999</v>
      </c>
      <c r="C9661" s="6">
        <v>0.43761737538872097</v>
      </c>
    </row>
    <row r="9662" spans="1:3" s="8" customFormat="1" x14ac:dyDescent="0.2">
      <c r="A9662" s="6" t="str">
        <f>"ADA"</f>
        <v>ADA</v>
      </c>
      <c r="B9662" s="6">
        <v>0.24075924075923999</v>
      </c>
      <c r="C9662" s="6">
        <v>0.43761737538872097</v>
      </c>
    </row>
    <row r="9663" spans="1:3" s="8" customFormat="1" x14ac:dyDescent="0.2">
      <c r="A9663" s="6" t="str">
        <f>"CPNE7"</f>
        <v>CPNE7</v>
      </c>
      <c r="B9663" s="6">
        <v>0.24075924075923999</v>
      </c>
      <c r="C9663" s="6">
        <v>0.43761737538872097</v>
      </c>
    </row>
    <row r="9664" spans="1:3" s="8" customFormat="1" x14ac:dyDescent="0.2">
      <c r="A9664" s="6" t="str">
        <f>"ZNF773"</f>
        <v>ZNF773</v>
      </c>
      <c r="B9664" s="6">
        <v>0.24075924075923999</v>
      </c>
      <c r="C9664" s="6">
        <v>0.43761737538872097</v>
      </c>
    </row>
    <row r="9665" spans="1:3" s="8" customFormat="1" x14ac:dyDescent="0.2">
      <c r="A9665" s="6" t="str">
        <f>"ZNF486"</f>
        <v>ZNF486</v>
      </c>
      <c r="B9665" s="6">
        <v>0.24075924075923999</v>
      </c>
      <c r="C9665" s="6">
        <v>0.43761737538872097</v>
      </c>
    </row>
    <row r="9666" spans="1:3" s="8" customFormat="1" x14ac:dyDescent="0.2">
      <c r="A9666" s="6" t="str">
        <f>"CTSF"</f>
        <v>CTSF</v>
      </c>
      <c r="B9666" s="6">
        <v>0.24075924075923999</v>
      </c>
      <c r="C9666" s="6">
        <v>0.43761737538872097</v>
      </c>
    </row>
    <row r="9667" spans="1:3" s="8" customFormat="1" x14ac:dyDescent="0.2">
      <c r="A9667" s="6" t="str">
        <f>"RBM4B"</f>
        <v>RBM4B</v>
      </c>
      <c r="B9667" s="6">
        <v>0.24075924075923999</v>
      </c>
      <c r="C9667" s="6">
        <v>0.43761737538872097</v>
      </c>
    </row>
    <row r="9668" spans="1:3" s="8" customFormat="1" x14ac:dyDescent="0.2">
      <c r="A9668" s="6" t="str">
        <f>"AP1AR"</f>
        <v>AP1AR</v>
      </c>
      <c r="B9668" s="6">
        <v>0.24075924075923999</v>
      </c>
      <c r="C9668" s="6">
        <v>0.43761737538872097</v>
      </c>
    </row>
    <row r="9669" spans="1:3" s="8" customFormat="1" x14ac:dyDescent="0.2">
      <c r="A9669" s="6" t="str">
        <f>"FBXO22"</f>
        <v>FBXO22</v>
      </c>
      <c r="B9669" s="6">
        <v>0.24075924075923999</v>
      </c>
      <c r="C9669" s="6">
        <v>0.43761737538872097</v>
      </c>
    </row>
    <row r="9670" spans="1:3" s="8" customFormat="1" x14ac:dyDescent="0.2">
      <c r="A9670" s="6" t="str">
        <f>"CLDND1"</f>
        <v>CLDND1</v>
      </c>
      <c r="B9670" s="6">
        <v>0.24075924075923999</v>
      </c>
      <c r="C9670" s="6">
        <v>0.43761737538872097</v>
      </c>
    </row>
    <row r="9671" spans="1:3" s="8" customFormat="1" x14ac:dyDescent="0.2">
      <c r="A9671" s="6" t="str">
        <f>"RABIF"</f>
        <v>RABIF</v>
      </c>
      <c r="B9671" s="6">
        <v>0.24075924075923999</v>
      </c>
      <c r="C9671" s="6">
        <v>0.43761737538872097</v>
      </c>
    </row>
    <row r="9672" spans="1:3" s="8" customFormat="1" x14ac:dyDescent="0.2">
      <c r="A9672" s="6" t="str">
        <f>"AC010733.1"</f>
        <v>AC010733.1</v>
      </c>
      <c r="B9672" s="6">
        <v>0.24075924075923999</v>
      </c>
      <c r="C9672" s="6">
        <v>0.43761737538872097</v>
      </c>
    </row>
    <row r="9673" spans="1:3" s="8" customFormat="1" x14ac:dyDescent="0.2">
      <c r="A9673" s="6" t="str">
        <f>"TASOR2"</f>
        <v>TASOR2</v>
      </c>
      <c r="B9673" s="6">
        <v>0.24075924075923999</v>
      </c>
      <c r="C9673" s="6">
        <v>0.43761737538872097</v>
      </c>
    </row>
    <row r="9674" spans="1:3" s="8" customFormat="1" x14ac:dyDescent="0.2">
      <c r="A9674" s="6" t="str">
        <f>"TEAD1"</f>
        <v>TEAD1</v>
      </c>
      <c r="B9674" s="6">
        <v>0.24075924075923999</v>
      </c>
      <c r="C9674" s="6">
        <v>0.43761737538872097</v>
      </c>
    </row>
    <row r="9675" spans="1:3" s="8" customFormat="1" x14ac:dyDescent="0.2">
      <c r="A9675" s="6" t="str">
        <f>"KIAA0930"</f>
        <v>KIAA0930</v>
      </c>
      <c r="B9675" s="6">
        <v>0.24075924075923999</v>
      </c>
      <c r="C9675" s="6">
        <v>0.43761737538872097</v>
      </c>
    </row>
    <row r="9676" spans="1:3" s="8" customFormat="1" x14ac:dyDescent="0.2">
      <c r="A9676" s="6" t="str">
        <f>"DHX40P1"</f>
        <v>DHX40P1</v>
      </c>
      <c r="B9676" s="6">
        <v>0.240913811007268</v>
      </c>
      <c r="C9676" s="6">
        <v>0.43785307005186702</v>
      </c>
    </row>
    <row r="9677" spans="1:3" s="8" customFormat="1" x14ac:dyDescent="0.2">
      <c r="A9677" s="6" t="str">
        <f>"IGKV1-12"</f>
        <v>IGKV1-12</v>
      </c>
      <c r="B9677" s="6">
        <v>0.24099999999999999</v>
      </c>
      <c r="C9677" s="6">
        <v>0.43796444811905699</v>
      </c>
    </row>
    <row r="9678" spans="1:3" s="8" customFormat="1" x14ac:dyDescent="0.2">
      <c r="A9678" s="6" t="str">
        <f>"AC026347.1"</f>
        <v>AC026347.1</v>
      </c>
      <c r="B9678" s="6">
        <v>0.241482965931863</v>
      </c>
      <c r="C9678" s="6">
        <v>0.43825535289452799</v>
      </c>
    </row>
    <row r="9679" spans="1:3" s="8" customFormat="1" x14ac:dyDescent="0.2">
      <c r="A9679" s="6" t="str">
        <f>"AL138831.1"</f>
        <v>AL138831.1</v>
      </c>
      <c r="B9679" s="6">
        <v>0.24124124124124099</v>
      </c>
      <c r="C9679" s="6">
        <v>0.43825535289452799</v>
      </c>
    </row>
    <row r="9680" spans="1:3" s="8" customFormat="1" x14ac:dyDescent="0.2">
      <c r="A9680" s="6" t="str">
        <f>"RBM44"</f>
        <v>RBM44</v>
      </c>
      <c r="B9680" s="6">
        <v>0.24175824175824101</v>
      </c>
      <c r="C9680" s="6">
        <v>0.43825535289452799</v>
      </c>
    </row>
    <row r="9681" spans="1:3" s="8" customFormat="1" x14ac:dyDescent="0.2">
      <c r="A9681" s="6" t="str">
        <f>"AC104066.3"</f>
        <v>AC104066.3</v>
      </c>
      <c r="B9681" s="6">
        <v>0.24175824175824101</v>
      </c>
      <c r="C9681" s="6">
        <v>0.43825535289452799</v>
      </c>
    </row>
    <row r="9682" spans="1:3" s="8" customFormat="1" x14ac:dyDescent="0.2">
      <c r="A9682" s="6" t="str">
        <f>"AL589794.2"</f>
        <v>AL589794.2</v>
      </c>
      <c r="B9682" s="6">
        <v>0.24175824175824101</v>
      </c>
      <c r="C9682" s="6">
        <v>0.43825535289452799</v>
      </c>
    </row>
    <row r="9683" spans="1:3" s="8" customFormat="1" x14ac:dyDescent="0.2">
      <c r="A9683" s="6" t="str">
        <f>"AC138028.2"</f>
        <v>AC138028.2</v>
      </c>
      <c r="B9683" s="6">
        <v>0.24175824175824101</v>
      </c>
      <c r="C9683" s="6">
        <v>0.43825535289452799</v>
      </c>
    </row>
    <row r="9684" spans="1:3" s="8" customFormat="1" x14ac:dyDescent="0.2">
      <c r="A9684" s="6" t="str">
        <f>"TSC22D1-AS1"</f>
        <v>TSC22D1-AS1</v>
      </c>
      <c r="B9684" s="6">
        <v>0.24175824175824101</v>
      </c>
      <c r="C9684" s="6">
        <v>0.43825535289452799</v>
      </c>
    </row>
    <row r="9685" spans="1:3" s="8" customFormat="1" x14ac:dyDescent="0.2">
      <c r="A9685" s="6" t="str">
        <f>"GVINP1"</f>
        <v>GVINP1</v>
      </c>
      <c r="B9685" s="6">
        <v>0.24175824175824101</v>
      </c>
      <c r="C9685" s="6">
        <v>0.43825535289452799</v>
      </c>
    </row>
    <row r="9686" spans="1:3" s="8" customFormat="1" x14ac:dyDescent="0.2">
      <c r="A9686" s="6" t="str">
        <f>"FSIP1"</f>
        <v>FSIP1</v>
      </c>
      <c r="B9686" s="6">
        <v>0.24175824175824101</v>
      </c>
      <c r="C9686" s="6">
        <v>0.43825535289452799</v>
      </c>
    </row>
    <row r="9687" spans="1:3" s="8" customFormat="1" x14ac:dyDescent="0.2">
      <c r="A9687" s="6" t="str">
        <f>"AC006504.5"</f>
        <v>AC006504.5</v>
      </c>
      <c r="B9687" s="6">
        <v>0.24175824175824101</v>
      </c>
      <c r="C9687" s="6">
        <v>0.43825535289452799</v>
      </c>
    </row>
    <row r="9688" spans="1:3" s="8" customFormat="1" x14ac:dyDescent="0.2">
      <c r="A9688" s="6" t="str">
        <f>"ZFAND2A"</f>
        <v>ZFAND2A</v>
      </c>
      <c r="B9688" s="6">
        <v>0.24175824175824101</v>
      </c>
      <c r="C9688" s="6">
        <v>0.43825535289452799</v>
      </c>
    </row>
    <row r="9689" spans="1:3" s="8" customFormat="1" x14ac:dyDescent="0.2">
      <c r="A9689" s="6" t="str">
        <f>"FAM182A"</f>
        <v>FAM182A</v>
      </c>
      <c r="B9689" s="6">
        <v>0.24175824175824101</v>
      </c>
      <c r="C9689" s="6">
        <v>0.43825535289452799</v>
      </c>
    </row>
    <row r="9690" spans="1:3" s="8" customFormat="1" x14ac:dyDescent="0.2">
      <c r="A9690" s="6" t="str">
        <f>"GCAT"</f>
        <v>GCAT</v>
      </c>
      <c r="B9690" s="6">
        <v>0.24175824175824101</v>
      </c>
      <c r="C9690" s="6">
        <v>0.43825535289452799</v>
      </c>
    </row>
    <row r="9691" spans="1:3" s="8" customFormat="1" x14ac:dyDescent="0.2">
      <c r="A9691" s="6" t="str">
        <f>"SIRT6"</f>
        <v>SIRT6</v>
      </c>
      <c r="B9691" s="6">
        <v>0.24175824175824101</v>
      </c>
      <c r="C9691" s="6">
        <v>0.43825535289452799</v>
      </c>
    </row>
    <row r="9692" spans="1:3" s="8" customFormat="1" x14ac:dyDescent="0.2">
      <c r="A9692" s="6" t="str">
        <f>"RASSF10"</f>
        <v>RASSF10</v>
      </c>
      <c r="B9692" s="6">
        <v>0.24175824175824101</v>
      </c>
      <c r="C9692" s="6">
        <v>0.43825535289452799</v>
      </c>
    </row>
    <row r="9693" spans="1:3" s="8" customFormat="1" x14ac:dyDescent="0.2">
      <c r="A9693" s="6" t="str">
        <f>"RRP36"</f>
        <v>RRP36</v>
      </c>
      <c r="B9693" s="6">
        <v>0.24175824175824101</v>
      </c>
      <c r="C9693" s="6">
        <v>0.43825535289452799</v>
      </c>
    </row>
    <row r="9694" spans="1:3" s="8" customFormat="1" x14ac:dyDescent="0.2">
      <c r="A9694" s="6" t="str">
        <f>"SNRNP40"</f>
        <v>SNRNP40</v>
      </c>
      <c r="B9694" s="6">
        <v>0.24175824175824101</v>
      </c>
      <c r="C9694" s="6">
        <v>0.43825535289452799</v>
      </c>
    </row>
    <row r="9695" spans="1:3" s="8" customFormat="1" x14ac:dyDescent="0.2">
      <c r="A9695" s="6" t="str">
        <f>"FNBP4"</f>
        <v>FNBP4</v>
      </c>
      <c r="B9695" s="6">
        <v>0.24175824175824101</v>
      </c>
      <c r="C9695" s="6">
        <v>0.43825535289452799</v>
      </c>
    </row>
    <row r="9696" spans="1:3" s="8" customFormat="1" x14ac:dyDescent="0.2">
      <c r="A9696" s="6" t="str">
        <f>"PXDC1"</f>
        <v>PXDC1</v>
      </c>
      <c r="B9696" s="6">
        <v>0.24175824175824101</v>
      </c>
      <c r="C9696" s="6">
        <v>0.43825535289452799</v>
      </c>
    </row>
    <row r="9697" spans="1:3" s="8" customFormat="1" x14ac:dyDescent="0.2">
      <c r="A9697" s="6" t="str">
        <f>"YIPF4"</f>
        <v>YIPF4</v>
      </c>
      <c r="B9697" s="6">
        <v>0.24175824175824101</v>
      </c>
      <c r="C9697" s="6">
        <v>0.43825535289452799</v>
      </c>
    </row>
    <row r="9698" spans="1:3" s="8" customFormat="1" x14ac:dyDescent="0.2">
      <c r="A9698" s="6" t="str">
        <f>"TIAL1"</f>
        <v>TIAL1</v>
      </c>
      <c r="B9698" s="6">
        <v>0.24175824175824101</v>
      </c>
      <c r="C9698" s="6">
        <v>0.43825535289452799</v>
      </c>
    </row>
    <row r="9699" spans="1:3" s="8" customFormat="1" x14ac:dyDescent="0.2">
      <c r="A9699" s="6" t="str">
        <f>"PRDX3"</f>
        <v>PRDX3</v>
      </c>
      <c r="B9699" s="6">
        <v>0.24175824175824101</v>
      </c>
      <c r="C9699" s="6">
        <v>0.43825535289452799</v>
      </c>
    </row>
    <row r="9700" spans="1:3" s="8" customFormat="1" x14ac:dyDescent="0.2">
      <c r="A9700" s="6" t="str">
        <f>"ADAM10"</f>
        <v>ADAM10</v>
      </c>
      <c r="B9700" s="6">
        <v>0.24175824175824101</v>
      </c>
      <c r="C9700" s="6">
        <v>0.43825535289452799</v>
      </c>
    </row>
    <row r="9701" spans="1:3" s="8" customFormat="1" x14ac:dyDescent="0.2">
      <c r="A9701" s="6" t="str">
        <f>"NTN1"</f>
        <v>NTN1</v>
      </c>
      <c r="B9701" s="6">
        <v>0.24175824175824101</v>
      </c>
      <c r="C9701" s="6">
        <v>0.43825535289452799</v>
      </c>
    </row>
    <row r="9702" spans="1:3" s="8" customFormat="1" x14ac:dyDescent="0.2">
      <c r="A9702" s="6" t="str">
        <f>"KRAS"</f>
        <v>KRAS</v>
      </c>
      <c r="B9702" s="6">
        <v>0.24199999999999999</v>
      </c>
      <c r="C9702" s="6">
        <v>0.438648386764251</v>
      </c>
    </row>
    <row r="9703" spans="1:3" s="8" customFormat="1" x14ac:dyDescent="0.2">
      <c r="A9703" s="6" t="str">
        <f>"AL359182.1"</f>
        <v>AL359182.1</v>
      </c>
      <c r="B9703" s="6">
        <v>0.24229979466119</v>
      </c>
      <c r="C9703" s="6">
        <v>0.43914652538882498</v>
      </c>
    </row>
    <row r="9704" spans="1:3" s="8" customFormat="1" x14ac:dyDescent="0.2">
      <c r="A9704" s="6" t="str">
        <f>"ARRDC5"</f>
        <v>ARRDC5</v>
      </c>
      <c r="B9704" s="6">
        <v>0.242757242757242</v>
      </c>
      <c r="C9704" s="6">
        <v>0.43916083916083898</v>
      </c>
    </row>
    <row r="9705" spans="1:3" s="8" customFormat="1" x14ac:dyDescent="0.2">
      <c r="A9705" s="6" t="str">
        <f>"GNRH1"</f>
        <v>GNRH1</v>
      </c>
      <c r="B9705" s="6">
        <v>0.242757242757242</v>
      </c>
      <c r="C9705" s="6">
        <v>0.43916083916083898</v>
      </c>
    </row>
    <row r="9706" spans="1:3" s="8" customFormat="1" x14ac:dyDescent="0.2">
      <c r="A9706" s="6" t="str">
        <f>"AC017002.3"</f>
        <v>AC017002.3</v>
      </c>
      <c r="B9706" s="6">
        <v>0.242757242757242</v>
      </c>
      <c r="C9706" s="6">
        <v>0.43916083916083898</v>
      </c>
    </row>
    <row r="9707" spans="1:3" s="8" customFormat="1" x14ac:dyDescent="0.2">
      <c r="A9707" s="6" t="str">
        <f>"LINC01273"</f>
        <v>LINC01273</v>
      </c>
      <c r="B9707" s="6">
        <v>0.242757242757242</v>
      </c>
      <c r="C9707" s="6">
        <v>0.43916083916083898</v>
      </c>
    </row>
    <row r="9708" spans="1:3" s="8" customFormat="1" x14ac:dyDescent="0.2">
      <c r="A9708" s="6" t="str">
        <f>"AC025580.3"</f>
        <v>AC025580.3</v>
      </c>
      <c r="B9708" s="6">
        <v>0.242757242757242</v>
      </c>
      <c r="C9708" s="6">
        <v>0.43916083916083898</v>
      </c>
    </row>
    <row r="9709" spans="1:3" s="8" customFormat="1" x14ac:dyDescent="0.2">
      <c r="A9709" s="6" t="str">
        <f>"RAP2C-AS1"</f>
        <v>RAP2C-AS1</v>
      </c>
      <c r="B9709" s="6">
        <v>0.242757242757242</v>
      </c>
      <c r="C9709" s="6">
        <v>0.43916083916083898</v>
      </c>
    </row>
    <row r="9710" spans="1:3" s="8" customFormat="1" x14ac:dyDescent="0.2">
      <c r="A9710" s="6" t="str">
        <f>"FAM124A"</f>
        <v>FAM124A</v>
      </c>
      <c r="B9710" s="6">
        <v>0.242757242757242</v>
      </c>
      <c r="C9710" s="6">
        <v>0.43916083916083898</v>
      </c>
    </row>
    <row r="9711" spans="1:3" s="8" customFormat="1" x14ac:dyDescent="0.2">
      <c r="A9711" s="6" t="str">
        <f>"DPY19L2P2"</f>
        <v>DPY19L2P2</v>
      </c>
      <c r="B9711" s="6">
        <v>0.242757242757242</v>
      </c>
      <c r="C9711" s="6">
        <v>0.43916083916083898</v>
      </c>
    </row>
    <row r="9712" spans="1:3" s="8" customFormat="1" x14ac:dyDescent="0.2">
      <c r="A9712" s="6" t="str">
        <f>"SULT1E1"</f>
        <v>SULT1E1</v>
      </c>
      <c r="B9712" s="6">
        <v>0.242757242757242</v>
      </c>
      <c r="C9712" s="6">
        <v>0.43916083916083898</v>
      </c>
    </row>
    <row r="9713" spans="1:3" s="8" customFormat="1" x14ac:dyDescent="0.2">
      <c r="A9713" s="6" t="str">
        <f>"AP4E1"</f>
        <v>AP4E1</v>
      </c>
      <c r="B9713" s="6">
        <v>0.242757242757242</v>
      </c>
      <c r="C9713" s="6">
        <v>0.43916083916083898</v>
      </c>
    </row>
    <row r="9714" spans="1:3" s="8" customFormat="1" x14ac:dyDescent="0.2">
      <c r="A9714" s="6" t="str">
        <f>"CDH26"</f>
        <v>CDH26</v>
      </c>
      <c r="B9714" s="6">
        <v>0.242757242757242</v>
      </c>
      <c r="C9714" s="6">
        <v>0.43916083916083898</v>
      </c>
    </row>
    <row r="9715" spans="1:3" s="8" customFormat="1" x14ac:dyDescent="0.2">
      <c r="A9715" s="6" t="str">
        <f>"B3GALT4"</f>
        <v>B3GALT4</v>
      </c>
      <c r="B9715" s="6">
        <v>0.242757242757242</v>
      </c>
      <c r="C9715" s="6">
        <v>0.43916083916083898</v>
      </c>
    </row>
    <row r="9716" spans="1:3" s="8" customFormat="1" x14ac:dyDescent="0.2">
      <c r="A9716" s="6" t="str">
        <f>"ANAPC15"</f>
        <v>ANAPC15</v>
      </c>
      <c r="B9716" s="6">
        <v>0.242757242757242</v>
      </c>
      <c r="C9716" s="6">
        <v>0.43916083916083898</v>
      </c>
    </row>
    <row r="9717" spans="1:3" s="8" customFormat="1" x14ac:dyDescent="0.2">
      <c r="A9717" s="6" t="str">
        <f>"ANKRD9"</f>
        <v>ANKRD9</v>
      </c>
      <c r="B9717" s="6">
        <v>0.242757242757242</v>
      </c>
      <c r="C9717" s="6">
        <v>0.43916083916083898</v>
      </c>
    </row>
    <row r="9718" spans="1:3" s="8" customFormat="1" x14ac:dyDescent="0.2">
      <c r="A9718" s="6" t="str">
        <f>"MICALL1"</f>
        <v>MICALL1</v>
      </c>
      <c r="B9718" s="6">
        <v>0.242757242757242</v>
      </c>
      <c r="C9718" s="6">
        <v>0.43916083916083898</v>
      </c>
    </row>
    <row r="9719" spans="1:3" s="8" customFormat="1" x14ac:dyDescent="0.2">
      <c r="A9719" s="6" t="str">
        <f>"RPS6KA3"</f>
        <v>RPS6KA3</v>
      </c>
      <c r="B9719" s="6">
        <v>0.242757242757242</v>
      </c>
      <c r="C9719" s="6">
        <v>0.43916083916083898</v>
      </c>
    </row>
    <row r="9720" spans="1:3" s="8" customFormat="1" x14ac:dyDescent="0.2">
      <c r="A9720" s="6" t="str">
        <f>"FAM114A1"</f>
        <v>FAM114A1</v>
      </c>
      <c r="B9720" s="6">
        <v>0.242757242757242</v>
      </c>
      <c r="C9720" s="6">
        <v>0.43916083916083898</v>
      </c>
    </row>
    <row r="9721" spans="1:3" s="8" customFormat="1" x14ac:dyDescent="0.2">
      <c r="A9721" s="6" t="str">
        <f>"TMPRSS4"</f>
        <v>TMPRSS4</v>
      </c>
      <c r="B9721" s="6">
        <v>0.242757242757242</v>
      </c>
      <c r="C9721" s="6">
        <v>0.43916083916083898</v>
      </c>
    </row>
    <row r="9722" spans="1:3" s="8" customFormat="1" x14ac:dyDescent="0.2">
      <c r="A9722" s="6" t="str">
        <f>"KIAA0232"</f>
        <v>KIAA0232</v>
      </c>
      <c r="B9722" s="6">
        <v>0.24299999999999999</v>
      </c>
      <c r="C9722" s="6">
        <v>0.43955477831498801</v>
      </c>
    </row>
    <row r="9723" spans="1:3" s="8" customFormat="1" x14ac:dyDescent="0.2">
      <c r="A9723" s="6" t="str">
        <f>"AC109326.1"</f>
        <v>AC109326.1</v>
      </c>
      <c r="B9723" s="6">
        <v>0.243756243756243</v>
      </c>
      <c r="C9723" s="6">
        <v>0.43997226341714102</v>
      </c>
    </row>
    <row r="9724" spans="1:3" s="8" customFormat="1" x14ac:dyDescent="0.2">
      <c r="A9724" s="6" t="str">
        <f>"LINC01764"</f>
        <v>LINC01764</v>
      </c>
      <c r="B9724" s="6">
        <v>0.243756243756243</v>
      </c>
      <c r="C9724" s="6">
        <v>0.43997226341714102</v>
      </c>
    </row>
    <row r="9725" spans="1:3" s="8" customFormat="1" x14ac:dyDescent="0.2">
      <c r="A9725" s="6" t="str">
        <f>"CD40LG"</f>
        <v>CD40LG</v>
      </c>
      <c r="B9725" s="6">
        <v>0.243756243756243</v>
      </c>
      <c r="C9725" s="6">
        <v>0.43997226341714102</v>
      </c>
    </row>
    <row r="9726" spans="1:3" s="8" customFormat="1" x14ac:dyDescent="0.2">
      <c r="A9726" s="6" t="str">
        <f>"RNA5S1"</f>
        <v>RNA5S1</v>
      </c>
      <c r="B9726" s="6">
        <v>0.243756243756243</v>
      </c>
      <c r="C9726" s="6">
        <v>0.43997226341714102</v>
      </c>
    </row>
    <row r="9727" spans="1:3" s="8" customFormat="1" x14ac:dyDescent="0.2">
      <c r="A9727" s="6" t="str">
        <f>"C1orf167"</f>
        <v>C1orf167</v>
      </c>
      <c r="B9727" s="6">
        <v>0.243756243756243</v>
      </c>
      <c r="C9727" s="6">
        <v>0.43997226341714102</v>
      </c>
    </row>
    <row r="9728" spans="1:3" s="8" customFormat="1" x14ac:dyDescent="0.2">
      <c r="A9728" s="6" t="str">
        <f>"AL590705.1"</f>
        <v>AL590705.1</v>
      </c>
      <c r="B9728" s="6">
        <v>0.243756243756243</v>
      </c>
      <c r="C9728" s="6">
        <v>0.43997226341714102</v>
      </c>
    </row>
    <row r="9729" spans="1:3" s="8" customFormat="1" x14ac:dyDescent="0.2">
      <c r="A9729" s="6" t="str">
        <f>"KCNQ5"</f>
        <v>KCNQ5</v>
      </c>
      <c r="B9729" s="6">
        <v>0.243756243756243</v>
      </c>
      <c r="C9729" s="6">
        <v>0.43997226341714102</v>
      </c>
    </row>
    <row r="9730" spans="1:3" s="8" customFormat="1" x14ac:dyDescent="0.2">
      <c r="A9730" s="6" t="str">
        <f>"ADAMTS10"</f>
        <v>ADAMTS10</v>
      </c>
      <c r="B9730" s="6">
        <v>0.243756243756243</v>
      </c>
      <c r="C9730" s="6">
        <v>0.43997226341714102</v>
      </c>
    </row>
    <row r="9731" spans="1:3" s="8" customFormat="1" x14ac:dyDescent="0.2">
      <c r="A9731" s="6" t="str">
        <f>"TMPO-AS1"</f>
        <v>TMPO-AS1</v>
      </c>
      <c r="B9731" s="6">
        <v>0.243756243756243</v>
      </c>
      <c r="C9731" s="6">
        <v>0.43997226341714102</v>
      </c>
    </row>
    <row r="9732" spans="1:3" s="8" customFormat="1" x14ac:dyDescent="0.2">
      <c r="A9732" s="6" t="str">
        <f>"ZNF350"</f>
        <v>ZNF350</v>
      </c>
      <c r="B9732" s="6">
        <v>0.243756243756243</v>
      </c>
      <c r="C9732" s="6">
        <v>0.43997226341714102</v>
      </c>
    </row>
    <row r="9733" spans="1:3" s="8" customFormat="1" x14ac:dyDescent="0.2">
      <c r="A9733" s="6" t="str">
        <f>"BZW1P2"</f>
        <v>BZW1P2</v>
      </c>
      <c r="B9733" s="6">
        <v>0.243756243756243</v>
      </c>
      <c r="C9733" s="6">
        <v>0.43997226341714102</v>
      </c>
    </row>
    <row r="9734" spans="1:3" s="8" customFormat="1" x14ac:dyDescent="0.2">
      <c r="A9734" s="6" t="str">
        <f>"CFI"</f>
        <v>CFI</v>
      </c>
      <c r="B9734" s="6">
        <v>0.243756243756243</v>
      </c>
      <c r="C9734" s="6">
        <v>0.43997226341714102</v>
      </c>
    </row>
    <row r="9735" spans="1:3" s="8" customFormat="1" x14ac:dyDescent="0.2">
      <c r="A9735" s="6" t="str">
        <f>"SC5D"</f>
        <v>SC5D</v>
      </c>
      <c r="B9735" s="6">
        <v>0.243756243756243</v>
      </c>
      <c r="C9735" s="6">
        <v>0.43997226341714102</v>
      </c>
    </row>
    <row r="9736" spans="1:3" s="8" customFormat="1" x14ac:dyDescent="0.2">
      <c r="A9736" s="6" t="str">
        <f>"CFAP97"</f>
        <v>CFAP97</v>
      </c>
      <c r="B9736" s="6">
        <v>0.243756243756243</v>
      </c>
      <c r="C9736" s="6">
        <v>0.43997226341714102</v>
      </c>
    </row>
    <row r="9737" spans="1:3" s="8" customFormat="1" x14ac:dyDescent="0.2">
      <c r="A9737" s="6" t="str">
        <f>"PHF20"</f>
        <v>PHF20</v>
      </c>
      <c r="B9737" s="6">
        <v>0.243756243756243</v>
      </c>
      <c r="C9737" s="6">
        <v>0.43997226341714102</v>
      </c>
    </row>
    <row r="9738" spans="1:3" s="8" customFormat="1" x14ac:dyDescent="0.2">
      <c r="A9738" s="6" t="str">
        <f>"TTC19"</f>
        <v>TTC19</v>
      </c>
      <c r="B9738" s="6">
        <v>0.243756243756243</v>
      </c>
      <c r="C9738" s="6">
        <v>0.43997226341714102</v>
      </c>
    </row>
    <row r="9739" spans="1:3" s="8" customFormat="1" x14ac:dyDescent="0.2">
      <c r="A9739" s="6" t="str">
        <f>"SIK3"</f>
        <v>SIK3</v>
      </c>
      <c r="B9739" s="6">
        <v>0.243756243756243</v>
      </c>
      <c r="C9739" s="6">
        <v>0.43997226341714102</v>
      </c>
    </row>
    <row r="9740" spans="1:3" s="8" customFormat="1" x14ac:dyDescent="0.2">
      <c r="A9740" s="6" t="str">
        <f>"CILK1"</f>
        <v>CILK1</v>
      </c>
      <c r="B9740" s="6">
        <v>0.243756243756243</v>
      </c>
      <c r="C9740" s="6">
        <v>0.43997226341714102</v>
      </c>
    </row>
    <row r="9741" spans="1:3" s="8" customFormat="1" x14ac:dyDescent="0.2">
      <c r="A9741" s="6" t="str">
        <f>"VSIG2"</f>
        <v>VSIG2</v>
      </c>
      <c r="B9741" s="6">
        <v>0.243756243756243</v>
      </c>
      <c r="C9741" s="6">
        <v>0.43997226341714102</v>
      </c>
    </row>
    <row r="9742" spans="1:3" s="8" customFormat="1" x14ac:dyDescent="0.2">
      <c r="A9742" s="6" t="str">
        <f>"UBXN11"</f>
        <v>UBXN11</v>
      </c>
      <c r="B9742" s="6">
        <v>0.243756243756243</v>
      </c>
      <c r="C9742" s="6">
        <v>0.43997226341714102</v>
      </c>
    </row>
    <row r="9743" spans="1:3" s="8" customFormat="1" x14ac:dyDescent="0.2">
      <c r="A9743" s="6" t="str">
        <f>"LAMP1"</f>
        <v>LAMP1</v>
      </c>
      <c r="B9743" s="6">
        <v>0.243756243756243</v>
      </c>
      <c r="C9743" s="6">
        <v>0.43997226341714102</v>
      </c>
    </row>
    <row r="9744" spans="1:3" s="8" customFormat="1" x14ac:dyDescent="0.2">
      <c r="A9744" s="6" t="str">
        <f>"PPP2CB"</f>
        <v>PPP2CB</v>
      </c>
      <c r="B9744" s="6">
        <v>0.24399999999999999</v>
      </c>
      <c r="C9744" s="6">
        <v>0.440276654694715</v>
      </c>
    </row>
    <row r="9745" spans="1:3" s="8" customFormat="1" x14ac:dyDescent="0.2">
      <c r="A9745" s="6" t="str">
        <f>"MATR3"</f>
        <v>MATR3</v>
      </c>
      <c r="B9745" s="6">
        <v>0.24399999999999999</v>
      </c>
      <c r="C9745" s="6">
        <v>0.440276654694715</v>
      </c>
    </row>
    <row r="9746" spans="1:3" s="8" customFormat="1" x14ac:dyDescent="0.2">
      <c r="A9746" s="6" t="str">
        <f>"ANXA2"</f>
        <v>ANXA2</v>
      </c>
      <c r="B9746" s="6">
        <v>0.24399999999999999</v>
      </c>
      <c r="C9746" s="6">
        <v>0.440276654694715</v>
      </c>
    </row>
    <row r="9747" spans="1:3" s="8" customFormat="1" x14ac:dyDescent="0.2">
      <c r="A9747" s="6" t="str">
        <f>"AC079953.1"</f>
        <v>AC079953.1</v>
      </c>
      <c r="B9747" s="6">
        <v>0.24475524475524399</v>
      </c>
      <c r="C9747" s="6">
        <v>0.440554429703779</v>
      </c>
    </row>
    <row r="9748" spans="1:3" s="8" customFormat="1" x14ac:dyDescent="0.2">
      <c r="A9748" s="6" t="str">
        <f>"AC009120.1"</f>
        <v>AC009120.1</v>
      </c>
      <c r="B9748" s="6">
        <v>0.244734202607823</v>
      </c>
      <c r="C9748" s="6">
        <v>0.440554429703779</v>
      </c>
    </row>
    <row r="9749" spans="1:3" s="8" customFormat="1" x14ac:dyDescent="0.2">
      <c r="A9749" s="6" t="str">
        <f>"WDR64"</f>
        <v>WDR64</v>
      </c>
      <c r="B9749" s="6">
        <v>0.24475524475524399</v>
      </c>
      <c r="C9749" s="6">
        <v>0.440554429703779</v>
      </c>
    </row>
    <row r="9750" spans="1:3" s="8" customFormat="1" x14ac:dyDescent="0.2">
      <c r="A9750" s="6" t="str">
        <f>"AL162274.2"</f>
        <v>AL162274.2</v>
      </c>
      <c r="B9750" s="6">
        <v>0.24424424424424401</v>
      </c>
      <c r="C9750" s="6">
        <v>0.440554429703779</v>
      </c>
    </row>
    <row r="9751" spans="1:3" s="8" customFormat="1" x14ac:dyDescent="0.2">
      <c r="A9751" s="6" t="str">
        <f>"AL022162.1"</f>
        <v>AL022162.1</v>
      </c>
      <c r="B9751" s="6">
        <v>0.24448897795591101</v>
      </c>
      <c r="C9751" s="6">
        <v>0.440554429703779</v>
      </c>
    </row>
    <row r="9752" spans="1:3" s="8" customFormat="1" x14ac:dyDescent="0.2">
      <c r="A9752" s="6" t="str">
        <f>"TLE6"</f>
        <v>TLE6</v>
      </c>
      <c r="B9752" s="6">
        <v>0.24475524475524399</v>
      </c>
      <c r="C9752" s="6">
        <v>0.440554429703779</v>
      </c>
    </row>
    <row r="9753" spans="1:3" s="8" customFormat="1" x14ac:dyDescent="0.2">
      <c r="A9753" s="6" t="str">
        <f>"UBR5-AS1"</f>
        <v>UBR5-AS1</v>
      </c>
      <c r="B9753" s="6">
        <v>0.24475524475524399</v>
      </c>
      <c r="C9753" s="6">
        <v>0.440554429703779</v>
      </c>
    </row>
    <row r="9754" spans="1:3" s="8" customFormat="1" x14ac:dyDescent="0.2">
      <c r="A9754" s="6" t="str">
        <f>"AL391840.1"</f>
        <v>AL391840.1</v>
      </c>
      <c r="B9754" s="6">
        <v>0.24475524475524399</v>
      </c>
      <c r="C9754" s="6">
        <v>0.440554429703779</v>
      </c>
    </row>
    <row r="9755" spans="1:3" s="8" customFormat="1" x14ac:dyDescent="0.2">
      <c r="A9755" s="6" t="str">
        <f>"LINC02363"</f>
        <v>LINC02363</v>
      </c>
      <c r="B9755" s="6">
        <v>0.24475524475524399</v>
      </c>
      <c r="C9755" s="6">
        <v>0.440554429703779</v>
      </c>
    </row>
    <row r="9756" spans="1:3" s="8" customFormat="1" x14ac:dyDescent="0.2">
      <c r="A9756" s="6" t="str">
        <f>"TESC"</f>
        <v>TESC</v>
      </c>
      <c r="B9756" s="6">
        <v>0.24475524475524399</v>
      </c>
      <c r="C9756" s="6">
        <v>0.440554429703779</v>
      </c>
    </row>
    <row r="9757" spans="1:3" s="8" customFormat="1" x14ac:dyDescent="0.2">
      <c r="A9757" s="6" t="str">
        <f>"TPRG1"</f>
        <v>TPRG1</v>
      </c>
      <c r="B9757" s="6">
        <v>0.24475524475524399</v>
      </c>
      <c r="C9757" s="6">
        <v>0.440554429703779</v>
      </c>
    </row>
    <row r="9758" spans="1:3" s="8" customFormat="1" x14ac:dyDescent="0.2">
      <c r="A9758" s="6" t="str">
        <f>"AL731702.1"</f>
        <v>AL731702.1</v>
      </c>
      <c r="B9758" s="6">
        <v>0.24475524475524399</v>
      </c>
      <c r="C9758" s="6">
        <v>0.440554429703779</v>
      </c>
    </row>
    <row r="9759" spans="1:3" s="8" customFormat="1" x14ac:dyDescent="0.2">
      <c r="A9759" s="6" t="str">
        <f>"STRADB"</f>
        <v>STRADB</v>
      </c>
      <c r="B9759" s="6">
        <v>0.24475524475524399</v>
      </c>
      <c r="C9759" s="6">
        <v>0.440554429703779</v>
      </c>
    </row>
    <row r="9760" spans="1:3" s="8" customFormat="1" x14ac:dyDescent="0.2">
      <c r="A9760" s="6" t="str">
        <f>"CAND2"</f>
        <v>CAND2</v>
      </c>
      <c r="B9760" s="6">
        <v>0.24475524475524399</v>
      </c>
      <c r="C9760" s="6">
        <v>0.440554429703779</v>
      </c>
    </row>
    <row r="9761" spans="1:3" s="8" customFormat="1" x14ac:dyDescent="0.2">
      <c r="A9761" s="6" t="str">
        <f>"ADAMTSL3"</f>
        <v>ADAMTSL3</v>
      </c>
      <c r="B9761" s="6">
        <v>0.24475524475524399</v>
      </c>
      <c r="C9761" s="6">
        <v>0.440554429703779</v>
      </c>
    </row>
    <row r="9762" spans="1:3" s="8" customFormat="1" x14ac:dyDescent="0.2">
      <c r="A9762" s="6" t="str">
        <f>"FAM166C"</f>
        <v>FAM166C</v>
      </c>
      <c r="B9762" s="6">
        <v>0.24475524475524399</v>
      </c>
      <c r="C9762" s="6">
        <v>0.440554429703779</v>
      </c>
    </row>
    <row r="9763" spans="1:3" s="8" customFormat="1" x14ac:dyDescent="0.2">
      <c r="A9763" s="6" t="str">
        <f>"GTDC1"</f>
        <v>GTDC1</v>
      </c>
      <c r="B9763" s="6">
        <v>0.24475524475524399</v>
      </c>
      <c r="C9763" s="6">
        <v>0.440554429703779</v>
      </c>
    </row>
    <row r="9764" spans="1:3" s="8" customFormat="1" x14ac:dyDescent="0.2">
      <c r="A9764" s="6" t="str">
        <f>"CPEB2"</f>
        <v>CPEB2</v>
      </c>
      <c r="B9764" s="6">
        <v>0.24475524475524399</v>
      </c>
      <c r="C9764" s="6">
        <v>0.440554429703779</v>
      </c>
    </row>
    <row r="9765" spans="1:3" s="8" customFormat="1" x14ac:dyDescent="0.2">
      <c r="A9765" s="6" t="str">
        <f>"RPIA"</f>
        <v>RPIA</v>
      </c>
      <c r="B9765" s="6">
        <v>0.24475524475524399</v>
      </c>
      <c r="C9765" s="6">
        <v>0.440554429703779</v>
      </c>
    </row>
    <row r="9766" spans="1:3" s="8" customFormat="1" x14ac:dyDescent="0.2">
      <c r="A9766" s="6" t="str">
        <f>"OTUD1"</f>
        <v>OTUD1</v>
      </c>
      <c r="B9766" s="6">
        <v>0.24475524475524399</v>
      </c>
      <c r="C9766" s="6">
        <v>0.440554429703779</v>
      </c>
    </row>
    <row r="9767" spans="1:3" s="8" customFormat="1" x14ac:dyDescent="0.2">
      <c r="A9767" s="6" t="str">
        <f>"AC105052.5"</f>
        <v>AC105052.5</v>
      </c>
      <c r="B9767" s="6">
        <v>0.24475524475524399</v>
      </c>
      <c r="C9767" s="6">
        <v>0.440554429703779</v>
      </c>
    </row>
    <row r="9768" spans="1:3" s="8" customFormat="1" x14ac:dyDescent="0.2">
      <c r="A9768" s="6" t="str">
        <f>"SLC35D2"</f>
        <v>SLC35D2</v>
      </c>
      <c r="B9768" s="6">
        <v>0.24475524475524399</v>
      </c>
      <c r="C9768" s="6">
        <v>0.440554429703779</v>
      </c>
    </row>
    <row r="9769" spans="1:3" s="8" customFormat="1" x14ac:dyDescent="0.2">
      <c r="A9769" s="6" t="str">
        <f>"MAPK8IP3"</f>
        <v>MAPK8IP3</v>
      </c>
      <c r="B9769" s="6">
        <v>0.24475524475524399</v>
      </c>
      <c r="C9769" s="6">
        <v>0.440554429703779</v>
      </c>
    </row>
    <row r="9770" spans="1:3" s="8" customFormat="1" x14ac:dyDescent="0.2">
      <c r="A9770" s="6" t="str">
        <f>"TMEM30A"</f>
        <v>TMEM30A</v>
      </c>
      <c r="B9770" s="6">
        <v>0.24475524475524399</v>
      </c>
      <c r="C9770" s="6">
        <v>0.440554429703779</v>
      </c>
    </row>
    <row r="9771" spans="1:3" s="8" customFormat="1" x14ac:dyDescent="0.2">
      <c r="A9771" s="6" t="str">
        <f>"AC010969.1"</f>
        <v>AC010969.1</v>
      </c>
      <c r="B9771" s="6">
        <v>0.24575424575424501</v>
      </c>
      <c r="C9771" s="6">
        <v>0.44158416690605501</v>
      </c>
    </row>
    <row r="9772" spans="1:3" s="8" customFormat="1" x14ac:dyDescent="0.2">
      <c r="A9772" s="6" t="str">
        <f>"PCDHB19P"</f>
        <v>PCDHB19P</v>
      </c>
      <c r="B9772" s="6">
        <v>0.24549098196392699</v>
      </c>
      <c r="C9772" s="6">
        <v>0.44158416690605501</v>
      </c>
    </row>
    <row r="9773" spans="1:3" s="8" customFormat="1" x14ac:dyDescent="0.2">
      <c r="A9773" s="6" t="str">
        <f>"AC092418.2"</f>
        <v>AC092418.2</v>
      </c>
      <c r="B9773" s="6">
        <v>0.24566768603465799</v>
      </c>
      <c r="C9773" s="6">
        <v>0.44158416690605501</v>
      </c>
    </row>
    <row r="9774" spans="1:3" s="8" customFormat="1" x14ac:dyDescent="0.2">
      <c r="A9774" s="6" t="str">
        <f>"FAM153CP"</f>
        <v>FAM153CP</v>
      </c>
      <c r="B9774" s="6">
        <v>0.24575424575424501</v>
      </c>
      <c r="C9774" s="6">
        <v>0.44158416690605501</v>
      </c>
    </row>
    <row r="9775" spans="1:3" s="8" customFormat="1" x14ac:dyDescent="0.2">
      <c r="A9775" s="6" t="str">
        <f>"AL590867.1"</f>
        <v>AL590867.1</v>
      </c>
      <c r="B9775" s="6">
        <v>0.24575424575424501</v>
      </c>
      <c r="C9775" s="6">
        <v>0.44158416690605501</v>
      </c>
    </row>
    <row r="9776" spans="1:3" s="8" customFormat="1" x14ac:dyDescent="0.2">
      <c r="A9776" s="6" t="str">
        <f>"NLE1"</f>
        <v>NLE1</v>
      </c>
      <c r="B9776" s="6">
        <v>0.24575424575424501</v>
      </c>
      <c r="C9776" s="6">
        <v>0.44158416690605501</v>
      </c>
    </row>
    <row r="9777" spans="1:3" s="8" customFormat="1" x14ac:dyDescent="0.2">
      <c r="A9777" s="6" t="str">
        <f>"AC025423.2"</f>
        <v>AC025423.2</v>
      </c>
      <c r="B9777" s="6">
        <v>0.24575424575424501</v>
      </c>
      <c r="C9777" s="6">
        <v>0.44158416690605501</v>
      </c>
    </row>
    <row r="9778" spans="1:3" s="8" customFormat="1" x14ac:dyDescent="0.2">
      <c r="A9778" s="6" t="str">
        <f>"PCDH19"</f>
        <v>PCDH19</v>
      </c>
      <c r="B9778" s="6">
        <v>0.24575424575424501</v>
      </c>
      <c r="C9778" s="6">
        <v>0.44158416690605501</v>
      </c>
    </row>
    <row r="9779" spans="1:3" s="8" customFormat="1" x14ac:dyDescent="0.2">
      <c r="A9779" s="6" t="str">
        <f>"AP3M2"</f>
        <v>AP3M2</v>
      </c>
      <c r="B9779" s="6">
        <v>0.24575424575424501</v>
      </c>
      <c r="C9779" s="6">
        <v>0.44158416690605501</v>
      </c>
    </row>
    <row r="9780" spans="1:3" s="8" customFormat="1" x14ac:dyDescent="0.2">
      <c r="A9780" s="6" t="str">
        <f>"ZFX"</f>
        <v>ZFX</v>
      </c>
      <c r="B9780" s="6">
        <v>0.24575424575424501</v>
      </c>
      <c r="C9780" s="6">
        <v>0.44158416690605501</v>
      </c>
    </row>
    <row r="9781" spans="1:3" s="8" customFormat="1" x14ac:dyDescent="0.2">
      <c r="A9781" s="6" t="str">
        <f>"PRELID3B"</f>
        <v>PRELID3B</v>
      </c>
      <c r="B9781" s="6">
        <v>0.24575424575424501</v>
      </c>
      <c r="C9781" s="6">
        <v>0.44158416690605501</v>
      </c>
    </row>
    <row r="9782" spans="1:3" s="8" customFormat="1" x14ac:dyDescent="0.2">
      <c r="A9782" s="6" t="str">
        <f>"TSPAN17"</f>
        <v>TSPAN17</v>
      </c>
      <c r="B9782" s="6">
        <v>0.24575424575424501</v>
      </c>
      <c r="C9782" s="6">
        <v>0.44158416690605501</v>
      </c>
    </row>
    <row r="9783" spans="1:3" s="8" customFormat="1" x14ac:dyDescent="0.2">
      <c r="A9783" s="6" t="str">
        <f>"ITPRIPL2"</f>
        <v>ITPRIPL2</v>
      </c>
      <c r="B9783" s="6">
        <v>0.24575424575424501</v>
      </c>
      <c r="C9783" s="6">
        <v>0.44158416690605501</v>
      </c>
    </row>
    <row r="9784" spans="1:3" s="8" customFormat="1" x14ac:dyDescent="0.2">
      <c r="A9784" s="6" t="str">
        <f>"UBE2J1"</f>
        <v>UBE2J1</v>
      </c>
      <c r="B9784" s="6">
        <v>0.24575424575424501</v>
      </c>
      <c r="C9784" s="6">
        <v>0.44158416690605501</v>
      </c>
    </row>
    <row r="9785" spans="1:3" s="8" customFormat="1" x14ac:dyDescent="0.2">
      <c r="A9785" s="6" t="str">
        <f>"MARK2"</f>
        <v>MARK2</v>
      </c>
      <c r="B9785" s="6">
        <v>0.24575424575424501</v>
      </c>
      <c r="C9785" s="6">
        <v>0.44158416690605501</v>
      </c>
    </row>
    <row r="9786" spans="1:3" s="8" customFormat="1" x14ac:dyDescent="0.2">
      <c r="A9786" s="6" t="str">
        <f>"ATP7B"</f>
        <v>ATP7B</v>
      </c>
      <c r="B9786" s="6">
        <v>0.24575424575424501</v>
      </c>
      <c r="C9786" s="6">
        <v>0.44158416690605501</v>
      </c>
    </row>
    <row r="9787" spans="1:3" s="8" customFormat="1" x14ac:dyDescent="0.2">
      <c r="A9787" s="6" t="str">
        <f>"AKR1C2"</f>
        <v>AKR1C2</v>
      </c>
      <c r="B9787" s="6">
        <v>0.24575424575424501</v>
      </c>
      <c r="C9787" s="6">
        <v>0.44158416690605501</v>
      </c>
    </row>
    <row r="9788" spans="1:3" s="8" customFormat="1" x14ac:dyDescent="0.2">
      <c r="A9788" s="6" t="str">
        <f>"AC008115.3"</f>
        <v>AC008115.3</v>
      </c>
      <c r="B9788" s="6">
        <v>0.246</v>
      </c>
      <c r="C9788" s="6">
        <v>0.44189028501379102</v>
      </c>
    </row>
    <row r="9789" spans="1:3" s="8" customFormat="1" x14ac:dyDescent="0.2">
      <c r="A9789" s="6" t="str">
        <f>"AC048338.1"</f>
        <v>AC048338.1</v>
      </c>
      <c r="B9789" s="6">
        <v>0.245983935742971</v>
      </c>
      <c r="C9789" s="6">
        <v>0.44189028501379102</v>
      </c>
    </row>
    <row r="9790" spans="1:3" s="8" customFormat="1" x14ac:dyDescent="0.2">
      <c r="A9790" s="6" t="str">
        <f>"AL596244.1"</f>
        <v>AL596244.1</v>
      </c>
      <c r="B9790" s="6">
        <v>0.246</v>
      </c>
      <c r="C9790" s="6">
        <v>0.44189028501379102</v>
      </c>
    </row>
    <row r="9791" spans="1:3" s="8" customFormat="1" x14ac:dyDescent="0.2">
      <c r="A9791" s="6" t="str">
        <f>"TCERG1L-AS1"</f>
        <v>TCERG1L-AS1</v>
      </c>
      <c r="B9791" s="6">
        <v>0.246753246753246</v>
      </c>
      <c r="C9791" s="6">
        <v>0.44270065206704301</v>
      </c>
    </row>
    <row r="9792" spans="1:3" s="8" customFormat="1" x14ac:dyDescent="0.2">
      <c r="A9792" s="6" t="str">
        <f>"AL391152.1"</f>
        <v>AL391152.1</v>
      </c>
      <c r="B9792" s="6">
        <v>0.246753246753246</v>
      </c>
      <c r="C9792" s="6">
        <v>0.44270065206704301</v>
      </c>
    </row>
    <row r="9793" spans="1:3" s="8" customFormat="1" x14ac:dyDescent="0.2">
      <c r="A9793" s="6" t="str">
        <f>"CU638689.4"</f>
        <v>CU638689.4</v>
      </c>
      <c r="B9793" s="6">
        <v>0.246753246753246</v>
      </c>
      <c r="C9793" s="6">
        <v>0.44270065206704301</v>
      </c>
    </row>
    <row r="9794" spans="1:3" s="8" customFormat="1" x14ac:dyDescent="0.2">
      <c r="A9794" s="6" t="str">
        <f>"FBXL13"</f>
        <v>FBXL13</v>
      </c>
      <c r="B9794" s="6">
        <v>0.246753246753246</v>
      </c>
      <c r="C9794" s="6">
        <v>0.44270065206704301</v>
      </c>
    </row>
    <row r="9795" spans="1:3" s="8" customFormat="1" x14ac:dyDescent="0.2">
      <c r="A9795" s="6" t="str">
        <f>"RTEL1"</f>
        <v>RTEL1</v>
      </c>
      <c r="B9795" s="6">
        <v>0.246753246753246</v>
      </c>
      <c r="C9795" s="6">
        <v>0.44270065206704301</v>
      </c>
    </row>
    <row r="9796" spans="1:3" s="8" customFormat="1" x14ac:dyDescent="0.2">
      <c r="A9796" s="6" t="str">
        <f>"HSF2"</f>
        <v>HSF2</v>
      </c>
      <c r="B9796" s="6">
        <v>0.246753246753246</v>
      </c>
      <c r="C9796" s="6">
        <v>0.44270065206704301</v>
      </c>
    </row>
    <row r="9797" spans="1:3" s="8" customFormat="1" x14ac:dyDescent="0.2">
      <c r="A9797" s="6" t="str">
        <f>"CCDC107"</f>
        <v>CCDC107</v>
      </c>
      <c r="B9797" s="6">
        <v>0.246753246753246</v>
      </c>
      <c r="C9797" s="6">
        <v>0.44270065206704301</v>
      </c>
    </row>
    <row r="9798" spans="1:3" s="8" customFormat="1" x14ac:dyDescent="0.2">
      <c r="A9798" s="6" t="str">
        <f>"MRPL19"</f>
        <v>MRPL19</v>
      </c>
      <c r="B9798" s="6">
        <v>0.246753246753246</v>
      </c>
      <c r="C9798" s="6">
        <v>0.44270065206704301</v>
      </c>
    </row>
    <row r="9799" spans="1:3" s="8" customFormat="1" x14ac:dyDescent="0.2">
      <c r="A9799" s="6" t="str">
        <f>"XPNPEP1"</f>
        <v>XPNPEP1</v>
      </c>
      <c r="B9799" s="6">
        <v>0.246753246753246</v>
      </c>
      <c r="C9799" s="6">
        <v>0.44270065206704301</v>
      </c>
    </row>
    <row r="9800" spans="1:3" s="8" customFormat="1" x14ac:dyDescent="0.2">
      <c r="A9800" s="6" t="str">
        <f>"AHCTF1"</f>
        <v>AHCTF1</v>
      </c>
      <c r="B9800" s="6">
        <v>0.246753246753246</v>
      </c>
      <c r="C9800" s="6">
        <v>0.44270065206704301</v>
      </c>
    </row>
    <row r="9801" spans="1:3" s="8" customFormat="1" x14ac:dyDescent="0.2">
      <c r="A9801" s="6" t="str">
        <f>"NR2F6"</f>
        <v>NR2F6</v>
      </c>
      <c r="B9801" s="6">
        <v>0.246753246753246</v>
      </c>
      <c r="C9801" s="6">
        <v>0.44270065206704301</v>
      </c>
    </row>
    <row r="9802" spans="1:3" s="8" customFormat="1" x14ac:dyDescent="0.2">
      <c r="A9802" s="6" t="str">
        <f>"ZFAND5"</f>
        <v>ZFAND5</v>
      </c>
      <c r="B9802" s="6">
        <v>0.246753246753246</v>
      </c>
      <c r="C9802" s="6">
        <v>0.44270065206704301</v>
      </c>
    </row>
    <row r="9803" spans="1:3" s="8" customFormat="1" x14ac:dyDescent="0.2">
      <c r="A9803" s="6" t="str">
        <f>"AP003783.1"</f>
        <v>AP003783.1</v>
      </c>
      <c r="B9803" s="6">
        <v>0.247</v>
      </c>
      <c r="C9803" s="6">
        <v>0.44300775193798397</v>
      </c>
    </row>
    <row r="9804" spans="1:3" s="8" customFormat="1" x14ac:dyDescent="0.2">
      <c r="A9804" s="6" t="str">
        <f>"AP001528.1"</f>
        <v>AP001528.1</v>
      </c>
      <c r="B9804" s="6">
        <v>0.24696356275303599</v>
      </c>
      <c r="C9804" s="6">
        <v>0.44300775193798397</v>
      </c>
    </row>
    <row r="9805" spans="1:3" s="8" customFormat="1" x14ac:dyDescent="0.2">
      <c r="A9805" s="6" t="str">
        <f>"CCDC82"</f>
        <v>CCDC82</v>
      </c>
      <c r="B9805" s="6">
        <v>0.247</v>
      </c>
      <c r="C9805" s="6">
        <v>0.44300775193798397</v>
      </c>
    </row>
    <row r="9806" spans="1:3" s="8" customFormat="1" x14ac:dyDescent="0.2">
      <c r="A9806" s="6" t="str">
        <f>"TCTE1"</f>
        <v>TCTE1</v>
      </c>
      <c r="B9806" s="6">
        <v>0.247247247247247</v>
      </c>
      <c r="C9806" s="6">
        <v>0.44340597609338001</v>
      </c>
    </row>
    <row r="9807" spans="1:3" s="8" customFormat="1" x14ac:dyDescent="0.2">
      <c r="A9807" s="6" t="str">
        <f>"SMG1P7"</f>
        <v>SMG1P7</v>
      </c>
      <c r="B9807" s="6">
        <v>0.247752247752247</v>
      </c>
      <c r="C9807" s="6">
        <v>0.44372331681355898</v>
      </c>
    </row>
    <row r="9808" spans="1:3" s="8" customFormat="1" x14ac:dyDescent="0.2">
      <c r="A9808" s="6" t="str">
        <f>"CHL1-AS2"</f>
        <v>CHL1-AS2</v>
      </c>
      <c r="B9808" s="6">
        <v>0.247752247752247</v>
      </c>
      <c r="C9808" s="6">
        <v>0.44372331681355898</v>
      </c>
    </row>
    <row r="9809" spans="1:3" s="8" customFormat="1" x14ac:dyDescent="0.2">
      <c r="A9809" s="6" t="str">
        <f>"BFSP1"</f>
        <v>BFSP1</v>
      </c>
      <c r="B9809" s="6">
        <v>0.247752247752247</v>
      </c>
      <c r="C9809" s="6">
        <v>0.44372331681355898</v>
      </c>
    </row>
    <row r="9810" spans="1:3" s="8" customFormat="1" x14ac:dyDescent="0.2">
      <c r="A9810" s="6" t="str">
        <f>"LYPD6"</f>
        <v>LYPD6</v>
      </c>
      <c r="B9810" s="6">
        <v>0.247752247752247</v>
      </c>
      <c r="C9810" s="6">
        <v>0.44372331681355898</v>
      </c>
    </row>
    <row r="9811" spans="1:3" s="8" customFormat="1" x14ac:dyDescent="0.2">
      <c r="A9811" s="6" t="str">
        <f>"LINC00884"</f>
        <v>LINC00884</v>
      </c>
      <c r="B9811" s="6">
        <v>0.247752247752247</v>
      </c>
      <c r="C9811" s="6">
        <v>0.44372331681355898</v>
      </c>
    </row>
    <row r="9812" spans="1:3" s="8" customFormat="1" x14ac:dyDescent="0.2">
      <c r="A9812" s="6" t="str">
        <f>"SLC39A14"</f>
        <v>SLC39A14</v>
      </c>
      <c r="B9812" s="6">
        <v>0.247752247752247</v>
      </c>
      <c r="C9812" s="6">
        <v>0.44372331681355898</v>
      </c>
    </row>
    <row r="9813" spans="1:3" s="8" customFormat="1" x14ac:dyDescent="0.2">
      <c r="A9813" s="6" t="str">
        <f>"ZNF354A"</f>
        <v>ZNF354A</v>
      </c>
      <c r="B9813" s="6">
        <v>0.247752247752247</v>
      </c>
      <c r="C9813" s="6">
        <v>0.44372331681355898</v>
      </c>
    </row>
    <row r="9814" spans="1:3" s="8" customFormat="1" x14ac:dyDescent="0.2">
      <c r="A9814" s="6" t="str">
        <f>"NCAPD3"</f>
        <v>NCAPD3</v>
      </c>
      <c r="B9814" s="6">
        <v>0.247752247752247</v>
      </c>
      <c r="C9814" s="6">
        <v>0.44372331681355898</v>
      </c>
    </row>
    <row r="9815" spans="1:3" s="8" customFormat="1" x14ac:dyDescent="0.2">
      <c r="A9815" s="6" t="str">
        <f>"SRD5A1"</f>
        <v>SRD5A1</v>
      </c>
      <c r="B9815" s="6">
        <v>0.247752247752247</v>
      </c>
      <c r="C9815" s="6">
        <v>0.44372331681355898</v>
      </c>
    </row>
    <row r="9816" spans="1:3" s="8" customFormat="1" x14ac:dyDescent="0.2">
      <c r="A9816" s="6" t="str">
        <f>"WDR41"</f>
        <v>WDR41</v>
      </c>
      <c r="B9816" s="6">
        <v>0.247752247752247</v>
      </c>
      <c r="C9816" s="6">
        <v>0.44372331681355898</v>
      </c>
    </row>
    <row r="9817" spans="1:3" s="8" customFormat="1" x14ac:dyDescent="0.2">
      <c r="A9817" s="6" t="str">
        <f>"NT5DC2"</f>
        <v>NT5DC2</v>
      </c>
      <c r="B9817" s="6">
        <v>0.247752247752247</v>
      </c>
      <c r="C9817" s="6">
        <v>0.44372331681355898</v>
      </c>
    </row>
    <row r="9818" spans="1:3" s="8" customFormat="1" x14ac:dyDescent="0.2">
      <c r="A9818" s="6" t="str">
        <f>"LRRC57"</f>
        <v>LRRC57</v>
      </c>
      <c r="B9818" s="6">
        <v>0.247752247752247</v>
      </c>
      <c r="C9818" s="6">
        <v>0.44372331681355898</v>
      </c>
    </row>
    <row r="9819" spans="1:3" s="8" customFormat="1" x14ac:dyDescent="0.2">
      <c r="A9819" s="6" t="str">
        <f>"VOPP1"</f>
        <v>VOPP1</v>
      </c>
      <c r="B9819" s="6">
        <v>0.247752247752247</v>
      </c>
      <c r="C9819" s="6">
        <v>0.44372331681355898</v>
      </c>
    </row>
    <row r="9820" spans="1:3" s="8" customFormat="1" x14ac:dyDescent="0.2">
      <c r="A9820" s="6" t="str">
        <f>"DRC3"</f>
        <v>DRC3</v>
      </c>
      <c r="B9820" s="6">
        <v>0.248</v>
      </c>
      <c r="C9820" s="6">
        <v>0.44412180466442602</v>
      </c>
    </row>
    <row r="9821" spans="1:3" s="8" customFormat="1" x14ac:dyDescent="0.2">
      <c r="A9821" s="6" t="str">
        <f>"AC138904.3"</f>
        <v>AC138904.3</v>
      </c>
      <c r="B9821" s="6">
        <v>0.24824824824824801</v>
      </c>
      <c r="C9821" s="6">
        <v>0.44452109951091601</v>
      </c>
    </row>
    <row r="9822" spans="1:3" s="8" customFormat="1" x14ac:dyDescent="0.2">
      <c r="A9822" s="6" t="str">
        <f>"AC231759.2"</f>
        <v>AC231759.2</v>
      </c>
      <c r="B9822" s="6">
        <v>0.248400852878464</v>
      </c>
      <c r="C9822" s="6">
        <v>0.44460682639174098</v>
      </c>
    </row>
    <row r="9823" spans="1:3" s="8" customFormat="1" x14ac:dyDescent="0.2">
      <c r="A9823" s="6" t="str">
        <f>"LINC02552"</f>
        <v>LINC02552</v>
      </c>
      <c r="B9823" s="6">
        <v>0.24875124875124799</v>
      </c>
      <c r="C9823" s="6">
        <v>0.44460682639174098</v>
      </c>
    </row>
    <row r="9824" spans="1:3" s="8" customFormat="1" x14ac:dyDescent="0.2">
      <c r="A9824" s="6" t="str">
        <f>"TAF7L"</f>
        <v>TAF7L</v>
      </c>
      <c r="B9824" s="6">
        <v>0.24875124875124799</v>
      </c>
      <c r="C9824" s="6">
        <v>0.44460682639174098</v>
      </c>
    </row>
    <row r="9825" spans="1:3" s="8" customFormat="1" x14ac:dyDescent="0.2">
      <c r="A9825" s="6" t="str">
        <f>"AL008729.1"</f>
        <v>AL008729.1</v>
      </c>
      <c r="B9825" s="6">
        <v>0.24875124875124799</v>
      </c>
      <c r="C9825" s="6">
        <v>0.44460682639174098</v>
      </c>
    </row>
    <row r="9826" spans="1:3" s="8" customFormat="1" x14ac:dyDescent="0.2">
      <c r="A9826" s="6" t="str">
        <f>"AC093909.1"</f>
        <v>AC093909.1</v>
      </c>
      <c r="B9826" s="6">
        <v>0.24875124875124799</v>
      </c>
      <c r="C9826" s="6">
        <v>0.44460682639174098</v>
      </c>
    </row>
    <row r="9827" spans="1:3" s="8" customFormat="1" x14ac:dyDescent="0.2">
      <c r="A9827" s="6" t="str">
        <f>"CLDN9"</f>
        <v>CLDN9</v>
      </c>
      <c r="B9827" s="6">
        <v>0.24875124875124799</v>
      </c>
      <c r="C9827" s="6">
        <v>0.44460682639174098</v>
      </c>
    </row>
    <row r="9828" spans="1:3" s="8" customFormat="1" x14ac:dyDescent="0.2">
      <c r="A9828" s="6" t="str">
        <f>"AC139769.1"</f>
        <v>AC139769.1</v>
      </c>
      <c r="B9828" s="6">
        <v>0.24875124875124799</v>
      </c>
      <c r="C9828" s="6">
        <v>0.44460682639174098</v>
      </c>
    </row>
    <row r="9829" spans="1:3" s="8" customFormat="1" x14ac:dyDescent="0.2">
      <c r="A9829" s="6" t="str">
        <f>"AKT3"</f>
        <v>AKT3</v>
      </c>
      <c r="B9829" s="6">
        <v>0.24875124875124799</v>
      </c>
      <c r="C9829" s="6">
        <v>0.44460682639174098</v>
      </c>
    </row>
    <row r="9830" spans="1:3" s="8" customFormat="1" x14ac:dyDescent="0.2">
      <c r="A9830" s="6" t="str">
        <f>"NUDT2"</f>
        <v>NUDT2</v>
      </c>
      <c r="B9830" s="6">
        <v>0.24875124875124799</v>
      </c>
      <c r="C9830" s="6">
        <v>0.44460682639174098</v>
      </c>
    </row>
    <row r="9831" spans="1:3" s="8" customFormat="1" x14ac:dyDescent="0.2">
      <c r="A9831" s="6" t="str">
        <f>"FAM169A"</f>
        <v>FAM169A</v>
      </c>
      <c r="B9831" s="6">
        <v>0.24875124875124799</v>
      </c>
      <c r="C9831" s="6">
        <v>0.44460682639174098</v>
      </c>
    </row>
    <row r="9832" spans="1:3" s="8" customFormat="1" x14ac:dyDescent="0.2">
      <c r="A9832" s="6" t="str">
        <f>"ACP6"</f>
        <v>ACP6</v>
      </c>
      <c r="B9832" s="6">
        <v>0.24875124875124799</v>
      </c>
      <c r="C9832" s="6">
        <v>0.44460682639174098</v>
      </c>
    </row>
    <row r="9833" spans="1:3" s="8" customFormat="1" x14ac:dyDescent="0.2">
      <c r="A9833" s="6" t="str">
        <f>"RSAD2"</f>
        <v>RSAD2</v>
      </c>
      <c r="B9833" s="6">
        <v>0.24875124875124799</v>
      </c>
      <c r="C9833" s="6">
        <v>0.44460682639174098</v>
      </c>
    </row>
    <row r="9834" spans="1:3" s="8" customFormat="1" x14ac:dyDescent="0.2">
      <c r="A9834" s="6" t="str">
        <f>"COX19"</f>
        <v>COX19</v>
      </c>
      <c r="B9834" s="6">
        <v>0.24875124875124799</v>
      </c>
      <c r="C9834" s="6">
        <v>0.44460682639174098</v>
      </c>
    </row>
    <row r="9835" spans="1:3" s="8" customFormat="1" x14ac:dyDescent="0.2">
      <c r="A9835" s="6" t="str">
        <f>"ABCD4"</f>
        <v>ABCD4</v>
      </c>
      <c r="B9835" s="6">
        <v>0.24875124875124799</v>
      </c>
      <c r="C9835" s="6">
        <v>0.44460682639174098</v>
      </c>
    </row>
    <row r="9836" spans="1:3" s="8" customFormat="1" x14ac:dyDescent="0.2">
      <c r="A9836" s="6" t="str">
        <f>"IRGQ"</f>
        <v>IRGQ</v>
      </c>
      <c r="B9836" s="6">
        <v>0.24875124875124799</v>
      </c>
      <c r="C9836" s="6">
        <v>0.44460682639174098</v>
      </c>
    </row>
    <row r="9837" spans="1:3" s="8" customFormat="1" x14ac:dyDescent="0.2">
      <c r="A9837" s="6" t="str">
        <f>"MRPL3"</f>
        <v>MRPL3</v>
      </c>
      <c r="B9837" s="6">
        <v>0.24875124875124799</v>
      </c>
      <c r="C9837" s="6">
        <v>0.44460682639174098</v>
      </c>
    </row>
    <row r="9838" spans="1:3" s="8" customFormat="1" x14ac:dyDescent="0.2">
      <c r="A9838" s="6" t="str">
        <f>"PARM1"</f>
        <v>PARM1</v>
      </c>
      <c r="B9838" s="6">
        <v>0.24875124875124799</v>
      </c>
      <c r="C9838" s="6">
        <v>0.44460682639174098</v>
      </c>
    </row>
    <row r="9839" spans="1:3" s="8" customFormat="1" x14ac:dyDescent="0.2">
      <c r="A9839" s="6" t="str">
        <f>"ATP6AP1"</f>
        <v>ATP6AP1</v>
      </c>
      <c r="B9839" s="6">
        <v>0.24875124875124799</v>
      </c>
      <c r="C9839" s="6">
        <v>0.44460682639174098</v>
      </c>
    </row>
    <row r="9840" spans="1:3" s="8" customFormat="1" x14ac:dyDescent="0.2">
      <c r="A9840" s="6" t="str">
        <f>"TRBV29-1"</f>
        <v>TRBV29-1</v>
      </c>
      <c r="B9840" s="6">
        <v>0.24975024975024901</v>
      </c>
      <c r="C9840" s="6">
        <v>0.44526091367823001</v>
      </c>
    </row>
    <row r="9841" spans="1:3" s="8" customFormat="1" x14ac:dyDescent="0.2">
      <c r="A9841" s="6" t="str">
        <f>"PCDHA8"</f>
        <v>PCDHA8</v>
      </c>
      <c r="B9841" s="6">
        <v>0.24975024975024901</v>
      </c>
      <c r="C9841" s="6">
        <v>0.44526091367823001</v>
      </c>
    </row>
    <row r="9842" spans="1:3" s="8" customFormat="1" x14ac:dyDescent="0.2">
      <c r="A9842" s="6" t="str">
        <f>"PRTG"</f>
        <v>PRTG</v>
      </c>
      <c r="B9842" s="6">
        <v>0.24975024975024901</v>
      </c>
      <c r="C9842" s="6">
        <v>0.44526091367823001</v>
      </c>
    </row>
    <row r="9843" spans="1:3" s="8" customFormat="1" x14ac:dyDescent="0.2">
      <c r="A9843" s="6" t="str">
        <f>"OR7E136P"</f>
        <v>OR7E136P</v>
      </c>
      <c r="B9843" s="6">
        <v>0.24949494949494899</v>
      </c>
      <c r="C9843" s="6">
        <v>0.44526091367823001</v>
      </c>
    </row>
    <row r="9844" spans="1:3" s="8" customFormat="1" x14ac:dyDescent="0.2">
      <c r="A9844" s="6" t="str">
        <f>"AC006299.1"</f>
        <v>AC006299.1</v>
      </c>
      <c r="B9844" s="6">
        <v>0.24975024975024901</v>
      </c>
      <c r="C9844" s="6">
        <v>0.44526091367823001</v>
      </c>
    </row>
    <row r="9845" spans="1:3" s="8" customFormat="1" x14ac:dyDescent="0.2">
      <c r="A9845" s="6" t="str">
        <f>"AL136441.1"</f>
        <v>AL136441.1</v>
      </c>
      <c r="B9845" s="6">
        <v>0.24975024975024901</v>
      </c>
      <c r="C9845" s="6">
        <v>0.44526091367823001</v>
      </c>
    </row>
    <row r="9846" spans="1:3" s="8" customFormat="1" x14ac:dyDescent="0.2">
      <c r="A9846" s="6" t="str">
        <f>"IL6R-AS1"</f>
        <v>IL6R-AS1</v>
      </c>
      <c r="B9846" s="6">
        <v>0.249201277955271</v>
      </c>
      <c r="C9846" s="6">
        <v>0.44526091367823001</v>
      </c>
    </row>
    <row r="9847" spans="1:3" s="8" customFormat="1" x14ac:dyDescent="0.2">
      <c r="A9847" s="6" t="str">
        <f>"SMG1P4"</f>
        <v>SMG1P4</v>
      </c>
      <c r="B9847" s="6">
        <v>0.24975024975024901</v>
      </c>
      <c r="C9847" s="6">
        <v>0.44526091367823001</v>
      </c>
    </row>
    <row r="9848" spans="1:3" s="8" customFormat="1" x14ac:dyDescent="0.2">
      <c r="A9848" s="6" t="str">
        <f>"CDHR1"</f>
        <v>CDHR1</v>
      </c>
      <c r="B9848" s="6">
        <v>0.24975024975024901</v>
      </c>
      <c r="C9848" s="6">
        <v>0.44526091367823001</v>
      </c>
    </row>
    <row r="9849" spans="1:3" s="8" customFormat="1" x14ac:dyDescent="0.2">
      <c r="A9849" s="6" t="str">
        <f>"STK32A"</f>
        <v>STK32A</v>
      </c>
      <c r="B9849" s="6">
        <v>0.24975024975024901</v>
      </c>
      <c r="C9849" s="6">
        <v>0.44526091367823001</v>
      </c>
    </row>
    <row r="9850" spans="1:3" s="8" customFormat="1" x14ac:dyDescent="0.2">
      <c r="A9850" s="6" t="str">
        <f>"LURAP1"</f>
        <v>LURAP1</v>
      </c>
      <c r="B9850" s="6">
        <v>0.24975024975024901</v>
      </c>
      <c r="C9850" s="6">
        <v>0.44526091367823001</v>
      </c>
    </row>
    <row r="9851" spans="1:3" s="8" customFormat="1" x14ac:dyDescent="0.2">
      <c r="A9851" s="6" t="str">
        <f>"TLCD4"</f>
        <v>TLCD4</v>
      </c>
      <c r="B9851" s="6">
        <v>0.24975024975024901</v>
      </c>
      <c r="C9851" s="6">
        <v>0.44526091367823001</v>
      </c>
    </row>
    <row r="9852" spans="1:3" s="8" customFormat="1" x14ac:dyDescent="0.2">
      <c r="A9852" s="6" t="str">
        <f>"MREG"</f>
        <v>MREG</v>
      </c>
      <c r="B9852" s="6">
        <v>0.24975024975024901</v>
      </c>
      <c r="C9852" s="6">
        <v>0.44526091367823001</v>
      </c>
    </row>
    <row r="9853" spans="1:3" s="8" customFormat="1" x14ac:dyDescent="0.2">
      <c r="A9853" s="6" t="str">
        <f>"WDR83"</f>
        <v>WDR83</v>
      </c>
      <c r="B9853" s="6">
        <v>0.24975024975024901</v>
      </c>
      <c r="C9853" s="6">
        <v>0.44526091367823001</v>
      </c>
    </row>
    <row r="9854" spans="1:3" s="8" customFormat="1" x14ac:dyDescent="0.2">
      <c r="A9854" s="6" t="str">
        <f>"PCCA"</f>
        <v>PCCA</v>
      </c>
      <c r="B9854" s="6">
        <v>0.24975024975024901</v>
      </c>
      <c r="C9854" s="6">
        <v>0.44526091367823001</v>
      </c>
    </row>
    <row r="9855" spans="1:3" s="8" customFormat="1" x14ac:dyDescent="0.2">
      <c r="A9855" s="6" t="str">
        <f>"TRMT2B"</f>
        <v>TRMT2B</v>
      </c>
      <c r="B9855" s="6">
        <v>0.24975024975024901</v>
      </c>
      <c r="C9855" s="6">
        <v>0.44526091367823001</v>
      </c>
    </row>
    <row r="9856" spans="1:3" s="8" customFormat="1" x14ac:dyDescent="0.2">
      <c r="A9856" s="6" t="str">
        <f>"PIGN"</f>
        <v>PIGN</v>
      </c>
      <c r="B9856" s="6">
        <v>0.24975024975024901</v>
      </c>
      <c r="C9856" s="6">
        <v>0.44526091367823001</v>
      </c>
    </row>
    <row r="9857" spans="1:3" s="8" customFormat="1" x14ac:dyDescent="0.2">
      <c r="A9857" s="6" t="str">
        <f>"LSM8"</f>
        <v>LSM8</v>
      </c>
      <c r="B9857" s="6">
        <v>0.24975024975024901</v>
      </c>
      <c r="C9857" s="6">
        <v>0.44526091367823001</v>
      </c>
    </row>
    <row r="9858" spans="1:3" s="8" customFormat="1" x14ac:dyDescent="0.2">
      <c r="A9858" s="6" t="str">
        <f>"TECPR1"</f>
        <v>TECPR1</v>
      </c>
      <c r="B9858" s="6">
        <v>0.24975024975024901</v>
      </c>
      <c r="C9858" s="6">
        <v>0.44526091367823001</v>
      </c>
    </row>
    <row r="9859" spans="1:3" s="8" customFormat="1" x14ac:dyDescent="0.2">
      <c r="A9859" s="6" t="str">
        <f>"ATG9A"</f>
        <v>ATG9A</v>
      </c>
      <c r="B9859" s="6">
        <v>0.24975024975024901</v>
      </c>
      <c r="C9859" s="6">
        <v>0.44526091367823001</v>
      </c>
    </row>
    <row r="9860" spans="1:3" s="8" customFormat="1" x14ac:dyDescent="0.2">
      <c r="A9860" s="6" t="str">
        <f>"EIF2AK4"</f>
        <v>EIF2AK4</v>
      </c>
      <c r="B9860" s="6">
        <v>0.24975024975024901</v>
      </c>
      <c r="C9860" s="6">
        <v>0.44526091367823001</v>
      </c>
    </row>
    <row r="9861" spans="1:3" s="8" customFormat="1" x14ac:dyDescent="0.2">
      <c r="A9861" s="6" t="str">
        <f>"ETFB"</f>
        <v>ETFB</v>
      </c>
      <c r="B9861" s="6">
        <v>0.24975024975024901</v>
      </c>
      <c r="C9861" s="6">
        <v>0.44526091367823001</v>
      </c>
    </row>
    <row r="9862" spans="1:3" s="8" customFormat="1" x14ac:dyDescent="0.2">
      <c r="A9862" s="6" t="str">
        <f>"MAOA"</f>
        <v>MAOA</v>
      </c>
      <c r="B9862" s="6">
        <v>0.24975024975024901</v>
      </c>
      <c r="C9862" s="6">
        <v>0.44526091367823001</v>
      </c>
    </row>
    <row r="9863" spans="1:3" s="8" customFormat="1" x14ac:dyDescent="0.2">
      <c r="A9863" s="6" t="str">
        <f>"TAB2"</f>
        <v>TAB2</v>
      </c>
      <c r="B9863" s="6">
        <v>0.24975024975024901</v>
      </c>
      <c r="C9863" s="6">
        <v>0.44526091367823001</v>
      </c>
    </row>
    <row r="9864" spans="1:3" s="8" customFormat="1" x14ac:dyDescent="0.2">
      <c r="A9864" s="6" t="str">
        <f>"CMTM6"</f>
        <v>CMTM6</v>
      </c>
      <c r="B9864" s="6">
        <v>0.24975024975024901</v>
      </c>
      <c r="C9864" s="6">
        <v>0.44526091367823001</v>
      </c>
    </row>
    <row r="9865" spans="1:3" s="8" customFormat="1" x14ac:dyDescent="0.2">
      <c r="A9865" s="6" t="str">
        <f>"AL109936.2"</f>
        <v>AL109936.2</v>
      </c>
      <c r="B9865" s="6">
        <v>0.25</v>
      </c>
      <c r="C9865" s="6">
        <v>0.44566098945660898</v>
      </c>
    </row>
    <row r="9866" spans="1:3" s="8" customFormat="1" x14ac:dyDescent="0.2">
      <c r="A9866" s="6" t="str">
        <f>"AC138305.1"</f>
        <v>AC138305.1</v>
      </c>
      <c r="B9866" s="6">
        <v>0.25025125628140699</v>
      </c>
      <c r="C9866" s="6">
        <v>0.44606366857093299</v>
      </c>
    </row>
    <row r="9867" spans="1:3" s="8" customFormat="1" x14ac:dyDescent="0.2">
      <c r="A9867" s="6" t="str">
        <f>"LINC00112"</f>
        <v>LINC00112</v>
      </c>
      <c r="B9867" s="6">
        <v>0.25074925074924997</v>
      </c>
      <c r="C9867" s="6">
        <v>0.44613728879640002</v>
      </c>
    </row>
    <row r="9868" spans="1:3" s="8" customFormat="1" x14ac:dyDescent="0.2">
      <c r="A9868" s="6" t="str">
        <f>"AC097504.1"</f>
        <v>AC097504.1</v>
      </c>
      <c r="B9868" s="6">
        <v>0.25074925074924997</v>
      </c>
      <c r="C9868" s="6">
        <v>0.44613728879640002</v>
      </c>
    </row>
    <row r="9869" spans="1:3" s="8" customFormat="1" x14ac:dyDescent="0.2">
      <c r="A9869" s="6" t="str">
        <f>"AL359762.3"</f>
        <v>AL359762.3</v>
      </c>
      <c r="B9869" s="6">
        <v>0.25074925074924997</v>
      </c>
      <c r="C9869" s="6">
        <v>0.44613728879640002</v>
      </c>
    </row>
    <row r="9870" spans="1:3" s="8" customFormat="1" x14ac:dyDescent="0.2">
      <c r="A9870" s="6" t="str">
        <f>"MAPK4"</f>
        <v>MAPK4</v>
      </c>
      <c r="B9870" s="6">
        <v>0.25074925074924997</v>
      </c>
      <c r="C9870" s="6">
        <v>0.44613728879640002</v>
      </c>
    </row>
    <row r="9871" spans="1:3" s="8" customFormat="1" x14ac:dyDescent="0.2">
      <c r="A9871" s="6" t="str">
        <f>"JAKMIP3"</f>
        <v>JAKMIP3</v>
      </c>
      <c r="B9871" s="6">
        <v>0.25074925074924997</v>
      </c>
      <c r="C9871" s="6">
        <v>0.44613728879640002</v>
      </c>
    </row>
    <row r="9872" spans="1:3" s="8" customFormat="1" x14ac:dyDescent="0.2">
      <c r="A9872" s="6" t="str">
        <f>"AP001505.1"</f>
        <v>AP001505.1</v>
      </c>
      <c r="B9872" s="6">
        <v>0.25074925074924997</v>
      </c>
      <c r="C9872" s="6">
        <v>0.44613728879640002</v>
      </c>
    </row>
    <row r="9873" spans="1:3" s="8" customFormat="1" x14ac:dyDescent="0.2">
      <c r="A9873" s="6" t="str">
        <f>"ACVRL1"</f>
        <v>ACVRL1</v>
      </c>
      <c r="B9873" s="6">
        <v>0.25074925074924997</v>
      </c>
      <c r="C9873" s="6">
        <v>0.44613728879640002</v>
      </c>
    </row>
    <row r="9874" spans="1:3" s="8" customFormat="1" x14ac:dyDescent="0.2">
      <c r="A9874" s="6" t="str">
        <f>"CDK2"</f>
        <v>CDK2</v>
      </c>
      <c r="B9874" s="6">
        <v>0.25074925074924997</v>
      </c>
      <c r="C9874" s="6">
        <v>0.44613728879640002</v>
      </c>
    </row>
    <row r="9875" spans="1:3" s="8" customFormat="1" x14ac:dyDescent="0.2">
      <c r="A9875" s="6" t="str">
        <f>"LSM10"</f>
        <v>LSM10</v>
      </c>
      <c r="B9875" s="6">
        <v>0.25074925074924997</v>
      </c>
      <c r="C9875" s="6">
        <v>0.44613728879640002</v>
      </c>
    </row>
    <row r="9876" spans="1:3" s="8" customFormat="1" x14ac:dyDescent="0.2">
      <c r="A9876" s="6" t="str">
        <f>"PAXBP1"</f>
        <v>PAXBP1</v>
      </c>
      <c r="B9876" s="6">
        <v>0.25074925074924997</v>
      </c>
      <c r="C9876" s="6">
        <v>0.44613728879640002</v>
      </c>
    </row>
    <row r="9877" spans="1:3" s="8" customFormat="1" x14ac:dyDescent="0.2">
      <c r="A9877" s="6" t="str">
        <f>"PPWD1"</f>
        <v>PPWD1</v>
      </c>
      <c r="B9877" s="6">
        <v>0.25074925074924997</v>
      </c>
      <c r="C9877" s="6">
        <v>0.44613728879640002</v>
      </c>
    </row>
    <row r="9878" spans="1:3" s="8" customFormat="1" x14ac:dyDescent="0.2">
      <c r="A9878" s="6" t="str">
        <f>"TRNAU1AP"</f>
        <v>TRNAU1AP</v>
      </c>
      <c r="B9878" s="6">
        <v>0.25074925074924997</v>
      </c>
      <c r="C9878" s="6">
        <v>0.44613728879640002</v>
      </c>
    </row>
    <row r="9879" spans="1:3" s="8" customFormat="1" x14ac:dyDescent="0.2">
      <c r="A9879" s="6" t="str">
        <f>"PARG"</f>
        <v>PARG</v>
      </c>
      <c r="B9879" s="6">
        <v>0.25074925074924997</v>
      </c>
      <c r="C9879" s="6">
        <v>0.44613728879640002</v>
      </c>
    </row>
    <row r="9880" spans="1:3" s="8" customFormat="1" x14ac:dyDescent="0.2">
      <c r="A9880" s="6" t="str">
        <f>"RMDN1"</f>
        <v>RMDN1</v>
      </c>
      <c r="B9880" s="6">
        <v>0.25074925074924997</v>
      </c>
      <c r="C9880" s="6">
        <v>0.44613728879640002</v>
      </c>
    </row>
    <row r="9881" spans="1:3" s="8" customFormat="1" x14ac:dyDescent="0.2">
      <c r="A9881" s="6" t="str">
        <f>"EFCAB6"</f>
        <v>EFCAB6</v>
      </c>
      <c r="B9881" s="6">
        <v>0.25074925074924997</v>
      </c>
      <c r="C9881" s="6">
        <v>0.44613728879640002</v>
      </c>
    </row>
    <row r="9882" spans="1:3" s="8" customFormat="1" x14ac:dyDescent="0.2">
      <c r="A9882" s="6" t="str">
        <f>"DCTN5"</f>
        <v>DCTN5</v>
      </c>
      <c r="B9882" s="6">
        <v>0.25074925074924997</v>
      </c>
      <c r="C9882" s="6">
        <v>0.44613728879640002</v>
      </c>
    </row>
    <row r="9883" spans="1:3" s="8" customFormat="1" x14ac:dyDescent="0.2">
      <c r="A9883" s="6" t="str">
        <f>"CC2D1A"</f>
        <v>CC2D1A</v>
      </c>
      <c r="B9883" s="6">
        <v>0.25074925074924997</v>
      </c>
      <c r="C9883" s="6">
        <v>0.44613728879640002</v>
      </c>
    </row>
    <row r="9884" spans="1:3" s="8" customFormat="1" x14ac:dyDescent="0.2">
      <c r="A9884" s="6" t="str">
        <f>"SDK1"</f>
        <v>SDK1</v>
      </c>
      <c r="B9884" s="6">
        <v>0.25074925074924997</v>
      </c>
      <c r="C9884" s="6">
        <v>0.44613728879640002</v>
      </c>
    </row>
    <row r="9885" spans="1:3" s="8" customFormat="1" x14ac:dyDescent="0.2">
      <c r="A9885" s="6" t="str">
        <f>"PTCH1"</f>
        <v>PTCH1</v>
      </c>
      <c r="B9885" s="6">
        <v>0.251</v>
      </c>
      <c r="C9885" s="6">
        <v>0.44644790612988</v>
      </c>
    </row>
    <row r="9886" spans="1:3" s="8" customFormat="1" x14ac:dyDescent="0.2">
      <c r="A9886" s="6" t="str">
        <f>"TRAPPC4"</f>
        <v>TRAPPC4</v>
      </c>
      <c r="B9886" s="6">
        <v>0.251</v>
      </c>
      <c r="C9886" s="6">
        <v>0.44644790612988</v>
      </c>
    </row>
    <row r="9887" spans="1:3" s="8" customFormat="1" x14ac:dyDescent="0.2">
      <c r="A9887" s="6" t="str">
        <f>"TFEB"</f>
        <v>TFEB</v>
      </c>
      <c r="B9887" s="6">
        <v>0.251</v>
      </c>
      <c r="C9887" s="6">
        <v>0.44644790612988</v>
      </c>
    </row>
    <row r="9888" spans="1:3" s="8" customFormat="1" x14ac:dyDescent="0.2">
      <c r="A9888" s="6" t="str">
        <f>"KRT10"</f>
        <v>KRT10</v>
      </c>
      <c r="B9888" s="6">
        <v>0.25125125125125097</v>
      </c>
      <c r="C9888" s="6">
        <v>0.44684960068797402</v>
      </c>
    </row>
    <row r="9889" spans="1:3" s="8" customFormat="1" x14ac:dyDescent="0.2">
      <c r="A9889" s="6" t="str">
        <f>"AC021016.2"</f>
        <v>AC021016.2</v>
      </c>
      <c r="B9889" s="6">
        <v>0.251748251748251</v>
      </c>
      <c r="C9889" s="6">
        <v>0.447055267495582</v>
      </c>
    </row>
    <row r="9890" spans="1:3" s="8" customFormat="1" x14ac:dyDescent="0.2">
      <c r="A9890" s="6" t="str">
        <f>"LINC01320"</f>
        <v>LINC01320</v>
      </c>
      <c r="B9890" s="6">
        <v>0.251748251748251</v>
      </c>
      <c r="C9890" s="6">
        <v>0.447055267495582</v>
      </c>
    </row>
    <row r="9891" spans="1:3" s="8" customFormat="1" x14ac:dyDescent="0.2">
      <c r="A9891" s="6" t="str">
        <f>"AC023510.2"</f>
        <v>AC023510.2</v>
      </c>
      <c r="B9891" s="6">
        <v>0.251748251748251</v>
      </c>
      <c r="C9891" s="6">
        <v>0.447055267495582</v>
      </c>
    </row>
    <row r="9892" spans="1:3" s="8" customFormat="1" x14ac:dyDescent="0.2">
      <c r="A9892" s="6" t="str">
        <f>"MN1"</f>
        <v>MN1</v>
      </c>
      <c r="B9892" s="6">
        <v>0.251748251748251</v>
      </c>
      <c r="C9892" s="6">
        <v>0.447055267495582</v>
      </c>
    </row>
    <row r="9893" spans="1:3" s="8" customFormat="1" x14ac:dyDescent="0.2">
      <c r="A9893" s="6" t="str">
        <f>"PNMA2"</f>
        <v>PNMA2</v>
      </c>
      <c r="B9893" s="6">
        <v>0.251748251748251</v>
      </c>
      <c r="C9893" s="6">
        <v>0.447055267495582</v>
      </c>
    </row>
    <row r="9894" spans="1:3" s="8" customFormat="1" x14ac:dyDescent="0.2">
      <c r="A9894" s="6" t="str">
        <f>"CCDC87"</f>
        <v>CCDC87</v>
      </c>
      <c r="B9894" s="6">
        <v>0.251748251748251</v>
      </c>
      <c r="C9894" s="6">
        <v>0.447055267495582</v>
      </c>
    </row>
    <row r="9895" spans="1:3" s="8" customFormat="1" x14ac:dyDescent="0.2">
      <c r="A9895" s="6" t="str">
        <f>"MTFP1"</f>
        <v>MTFP1</v>
      </c>
      <c r="B9895" s="6">
        <v>0.251748251748251</v>
      </c>
      <c r="C9895" s="6">
        <v>0.447055267495582</v>
      </c>
    </row>
    <row r="9896" spans="1:3" s="8" customFormat="1" x14ac:dyDescent="0.2">
      <c r="A9896" s="6" t="str">
        <f>"NFYB"</f>
        <v>NFYB</v>
      </c>
      <c r="B9896" s="6">
        <v>0.251748251748251</v>
      </c>
      <c r="C9896" s="6">
        <v>0.447055267495582</v>
      </c>
    </row>
    <row r="9897" spans="1:3" s="8" customFormat="1" x14ac:dyDescent="0.2">
      <c r="A9897" s="6" t="str">
        <f>"TMEM208"</f>
        <v>TMEM208</v>
      </c>
      <c r="B9897" s="6">
        <v>0.251748251748251</v>
      </c>
      <c r="C9897" s="6">
        <v>0.447055267495582</v>
      </c>
    </row>
    <row r="9898" spans="1:3" s="8" customFormat="1" x14ac:dyDescent="0.2">
      <c r="A9898" s="6" t="str">
        <f>"GTF2A2"</f>
        <v>GTF2A2</v>
      </c>
      <c r="B9898" s="6">
        <v>0.251748251748251</v>
      </c>
      <c r="C9898" s="6">
        <v>0.447055267495582</v>
      </c>
    </row>
    <row r="9899" spans="1:3" s="8" customFormat="1" x14ac:dyDescent="0.2">
      <c r="A9899" s="6" t="str">
        <f>"DMXL1"</f>
        <v>DMXL1</v>
      </c>
      <c r="B9899" s="6">
        <v>0.251748251748251</v>
      </c>
      <c r="C9899" s="6">
        <v>0.447055267495582</v>
      </c>
    </row>
    <row r="9900" spans="1:3" s="8" customFormat="1" x14ac:dyDescent="0.2">
      <c r="A9900" s="6" t="str">
        <f>"ARL4A"</f>
        <v>ARL4A</v>
      </c>
      <c r="B9900" s="6">
        <v>0.251748251748251</v>
      </c>
      <c r="C9900" s="6">
        <v>0.447055267495582</v>
      </c>
    </row>
    <row r="9901" spans="1:3" s="8" customFormat="1" x14ac:dyDescent="0.2">
      <c r="A9901" s="6" t="str">
        <f>"MAPKAP1"</f>
        <v>MAPKAP1</v>
      </c>
      <c r="B9901" s="6">
        <v>0.251748251748251</v>
      </c>
      <c r="C9901" s="6">
        <v>0.447055267495582</v>
      </c>
    </row>
    <row r="9902" spans="1:3" s="8" customFormat="1" x14ac:dyDescent="0.2">
      <c r="A9902" s="6" t="str">
        <f>"PSMB9"</f>
        <v>PSMB9</v>
      </c>
      <c r="B9902" s="6">
        <v>0.251748251748251</v>
      </c>
      <c r="C9902" s="6">
        <v>0.447055267495582</v>
      </c>
    </row>
    <row r="9903" spans="1:3" s="8" customFormat="1" x14ac:dyDescent="0.2">
      <c r="A9903" s="6" t="str">
        <f>"MTDH"</f>
        <v>MTDH</v>
      </c>
      <c r="B9903" s="6">
        <v>0.251748251748251</v>
      </c>
      <c r="C9903" s="6">
        <v>0.447055267495582</v>
      </c>
    </row>
    <row r="9904" spans="1:3" s="8" customFormat="1" x14ac:dyDescent="0.2">
      <c r="A9904" s="6" t="str">
        <f>"AC090515.4"</f>
        <v>AC090515.4</v>
      </c>
      <c r="B9904" s="6">
        <v>0.252</v>
      </c>
      <c r="C9904" s="6">
        <v>0.447366784452296</v>
      </c>
    </row>
    <row r="9905" spans="1:3" s="8" customFormat="1" x14ac:dyDescent="0.2">
      <c r="A9905" s="6" t="str">
        <f>"AL358472.3"</f>
        <v>AL358472.3</v>
      </c>
      <c r="B9905" s="6">
        <v>0.252</v>
      </c>
      <c r="C9905" s="6">
        <v>0.447366784452296</v>
      </c>
    </row>
    <row r="9906" spans="1:3" s="8" customFormat="1" x14ac:dyDescent="0.2">
      <c r="A9906" s="6" t="str">
        <f>"KIFC3"</f>
        <v>KIFC3</v>
      </c>
      <c r="B9906" s="6">
        <v>0.252</v>
      </c>
      <c r="C9906" s="6">
        <v>0.447366784452296</v>
      </c>
    </row>
    <row r="9907" spans="1:3" s="8" customFormat="1" x14ac:dyDescent="0.2">
      <c r="A9907" s="6" t="str">
        <f>"GSN-AS1"</f>
        <v>GSN-AS1</v>
      </c>
      <c r="B9907" s="6">
        <v>0.25225225225225201</v>
      </c>
      <c r="C9907" s="6">
        <v>0.44776939265128202</v>
      </c>
    </row>
    <row r="9908" spans="1:3" s="8" customFormat="1" x14ac:dyDescent="0.2">
      <c r="A9908" s="6" t="str">
        <f>"LINC01517"</f>
        <v>LINC01517</v>
      </c>
      <c r="B9908" s="6">
        <v>0.25274725274725202</v>
      </c>
      <c r="C9908" s="6">
        <v>0.44787944092589799</v>
      </c>
    </row>
    <row r="9909" spans="1:3" s="8" customFormat="1" x14ac:dyDescent="0.2">
      <c r="A9909" s="6" t="str">
        <f>"AC005336.1"</f>
        <v>AC005336.1</v>
      </c>
      <c r="B9909" s="6">
        <v>0.25274725274725202</v>
      </c>
      <c r="C9909" s="6">
        <v>0.44787944092589799</v>
      </c>
    </row>
    <row r="9910" spans="1:3" s="8" customFormat="1" x14ac:dyDescent="0.2">
      <c r="A9910" s="6" t="str">
        <f>"CXCL14"</f>
        <v>CXCL14</v>
      </c>
      <c r="B9910" s="6">
        <v>0.25274725274725202</v>
      </c>
      <c r="C9910" s="6">
        <v>0.44787944092589799</v>
      </c>
    </row>
    <row r="9911" spans="1:3" s="8" customFormat="1" x14ac:dyDescent="0.2">
      <c r="A9911" s="6" t="str">
        <f>"SNAI2"</f>
        <v>SNAI2</v>
      </c>
      <c r="B9911" s="6">
        <v>0.25274725274725202</v>
      </c>
      <c r="C9911" s="6">
        <v>0.44787944092589799</v>
      </c>
    </row>
    <row r="9912" spans="1:3" s="8" customFormat="1" x14ac:dyDescent="0.2">
      <c r="A9912" s="6" t="str">
        <f>"GATD3A"</f>
        <v>GATD3A</v>
      </c>
      <c r="B9912" s="6">
        <v>0.25274725274725202</v>
      </c>
      <c r="C9912" s="6">
        <v>0.44787944092589799</v>
      </c>
    </row>
    <row r="9913" spans="1:3" s="8" customFormat="1" x14ac:dyDescent="0.2">
      <c r="A9913" s="6" t="str">
        <f>"FER"</f>
        <v>FER</v>
      </c>
      <c r="B9913" s="6">
        <v>0.25274725274725202</v>
      </c>
      <c r="C9913" s="6">
        <v>0.44787944092589799</v>
      </c>
    </row>
    <row r="9914" spans="1:3" s="8" customFormat="1" x14ac:dyDescent="0.2">
      <c r="A9914" s="6" t="str">
        <f>"TUFT1"</f>
        <v>TUFT1</v>
      </c>
      <c r="B9914" s="6">
        <v>0.25274725274725202</v>
      </c>
      <c r="C9914" s="6">
        <v>0.44787944092589799</v>
      </c>
    </row>
    <row r="9915" spans="1:3" s="8" customFormat="1" x14ac:dyDescent="0.2">
      <c r="A9915" s="6" t="str">
        <f>"BCL10"</f>
        <v>BCL10</v>
      </c>
      <c r="B9915" s="6">
        <v>0.25274725274725202</v>
      </c>
      <c r="C9915" s="6">
        <v>0.44787944092589799</v>
      </c>
    </row>
    <row r="9916" spans="1:3" s="8" customFormat="1" x14ac:dyDescent="0.2">
      <c r="A9916" s="6" t="str">
        <f>"OSMR"</f>
        <v>OSMR</v>
      </c>
      <c r="B9916" s="6">
        <v>0.25274725274725202</v>
      </c>
      <c r="C9916" s="6">
        <v>0.44787944092589799</v>
      </c>
    </row>
    <row r="9917" spans="1:3" s="8" customFormat="1" x14ac:dyDescent="0.2">
      <c r="A9917" s="6" t="str">
        <f>"ITPA"</f>
        <v>ITPA</v>
      </c>
      <c r="B9917" s="6">
        <v>0.25274725274725202</v>
      </c>
      <c r="C9917" s="6">
        <v>0.44787944092589799</v>
      </c>
    </row>
    <row r="9918" spans="1:3" s="8" customFormat="1" x14ac:dyDescent="0.2">
      <c r="A9918" s="6" t="str">
        <f>"VPS18"</f>
        <v>VPS18</v>
      </c>
      <c r="B9918" s="6">
        <v>0.25274725274725202</v>
      </c>
      <c r="C9918" s="6">
        <v>0.44787944092589799</v>
      </c>
    </row>
    <row r="9919" spans="1:3" s="8" customFormat="1" x14ac:dyDescent="0.2">
      <c r="A9919" s="6" t="str">
        <f>"ZCRB1"</f>
        <v>ZCRB1</v>
      </c>
      <c r="B9919" s="6">
        <v>0.25274725274725202</v>
      </c>
      <c r="C9919" s="6">
        <v>0.44787944092589799</v>
      </c>
    </row>
    <row r="9920" spans="1:3" s="8" customFormat="1" x14ac:dyDescent="0.2">
      <c r="A9920" s="6" t="str">
        <f>"SLC35B2"</f>
        <v>SLC35B2</v>
      </c>
      <c r="B9920" s="6">
        <v>0.25274725274725202</v>
      </c>
      <c r="C9920" s="6">
        <v>0.44787944092589799</v>
      </c>
    </row>
    <row r="9921" spans="1:3" s="8" customFormat="1" x14ac:dyDescent="0.2">
      <c r="A9921" s="6" t="str">
        <f>"DNAH7"</f>
        <v>DNAH7</v>
      </c>
      <c r="B9921" s="6">
        <v>0.25274725274725202</v>
      </c>
      <c r="C9921" s="6">
        <v>0.44787944092589799</v>
      </c>
    </row>
    <row r="9922" spans="1:3" s="8" customFormat="1" x14ac:dyDescent="0.2">
      <c r="A9922" s="6" t="str">
        <f>"ERCC5"</f>
        <v>ERCC5</v>
      </c>
      <c r="B9922" s="6">
        <v>0.25274725274725202</v>
      </c>
      <c r="C9922" s="6">
        <v>0.44787944092589799</v>
      </c>
    </row>
    <row r="9923" spans="1:3" s="8" customFormat="1" x14ac:dyDescent="0.2">
      <c r="A9923" s="6" t="str">
        <f>"EGFR"</f>
        <v>EGFR</v>
      </c>
      <c r="B9923" s="6">
        <v>0.25274725274725202</v>
      </c>
      <c r="C9923" s="6">
        <v>0.44787944092589799</v>
      </c>
    </row>
    <row r="9924" spans="1:3" s="8" customFormat="1" x14ac:dyDescent="0.2">
      <c r="A9924" s="6" t="str">
        <f>"RPL10"</f>
        <v>RPL10</v>
      </c>
      <c r="B9924" s="6">
        <v>0.25274725274725202</v>
      </c>
      <c r="C9924" s="6">
        <v>0.44787944092589799</v>
      </c>
    </row>
    <row r="9925" spans="1:3" s="8" customFormat="1" x14ac:dyDescent="0.2">
      <c r="A9925" s="6" t="str">
        <f>"CCDC6"</f>
        <v>CCDC6</v>
      </c>
      <c r="B9925" s="6">
        <v>0.253</v>
      </c>
      <c r="C9925" s="6">
        <v>0.44828214429665397</v>
      </c>
    </row>
    <row r="9926" spans="1:3" s="8" customFormat="1" x14ac:dyDescent="0.2">
      <c r="A9926" s="6" t="str">
        <f>"LYG1"</f>
        <v>LYG1</v>
      </c>
      <c r="B9926" s="6">
        <v>0.25374625374625298</v>
      </c>
      <c r="C9926" s="6">
        <v>0.44865501517085199</v>
      </c>
    </row>
    <row r="9927" spans="1:3" s="8" customFormat="1" x14ac:dyDescent="0.2">
      <c r="A9927" s="6" t="str">
        <f>"NRN1"</f>
        <v>NRN1</v>
      </c>
      <c r="B9927" s="6">
        <v>0.25374625374625298</v>
      </c>
      <c r="C9927" s="6">
        <v>0.44865501517085199</v>
      </c>
    </row>
    <row r="9928" spans="1:3" s="8" customFormat="1" x14ac:dyDescent="0.2">
      <c r="A9928" s="6" t="str">
        <f>"AC005498.3"</f>
        <v>AC005498.3</v>
      </c>
      <c r="B9928" s="6">
        <v>0.25374625374625298</v>
      </c>
      <c r="C9928" s="6">
        <v>0.44865501517085199</v>
      </c>
    </row>
    <row r="9929" spans="1:3" s="8" customFormat="1" x14ac:dyDescent="0.2">
      <c r="A9929" s="6" t="str">
        <f>"AL355488.1"</f>
        <v>AL355488.1</v>
      </c>
      <c r="B9929" s="6">
        <v>0.25374625374625298</v>
      </c>
      <c r="C9929" s="6">
        <v>0.44865501517085199</v>
      </c>
    </row>
    <row r="9930" spans="1:3" s="8" customFormat="1" x14ac:dyDescent="0.2">
      <c r="A9930" s="6" t="str">
        <f>"AC006213.1"</f>
        <v>AC006213.1</v>
      </c>
      <c r="B9930" s="6">
        <v>0.25374625374625298</v>
      </c>
      <c r="C9930" s="6">
        <v>0.44865501517085199</v>
      </c>
    </row>
    <row r="9931" spans="1:3" s="8" customFormat="1" x14ac:dyDescent="0.2">
      <c r="A9931" s="6" t="str">
        <f>"AC002116.1"</f>
        <v>AC002116.1</v>
      </c>
      <c r="B9931" s="6">
        <v>0.25374625374625298</v>
      </c>
      <c r="C9931" s="6">
        <v>0.44865501517085199</v>
      </c>
    </row>
    <row r="9932" spans="1:3" s="8" customFormat="1" x14ac:dyDescent="0.2">
      <c r="A9932" s="6" t="str">
        <f>"TPI1P2"</f>
        <v>TPI1P2</v>
      </c>
      <c r="B9932" s="6">
        <v>0.25374625374625298</v>
      </c>
      <c r="C9932" s="6">
        <v>0.44865501517085199</v>
      </c>
    </row>
    <row r="9933" spans="1:3" s="8" customFormat="1" x14ac:dyDescent="0.2">
      <c r="A9933" s="6" t="str">
        <f>"LINC01522"</f>
        <v>LINC01522</v>
      </c>
      <c r="B9933" s="6">
        <v>0.25374625374625298</v>
      </c>
      <c r="C9933" s="6">
        <v>0.44865501517085199</v>
      </c>
    </row>
    <row r="9934" spans="1:3" s="8" customFormat="1" x14ac:dyDescent="0.2">
      <c r="A9934" s="6" t="str">
        <f>"ZNF713"</f>
        <v>ZNF713</v>
      </c>
      <c r="B9934" s="6">
        <v>0.25374625374625298</v>
      </c>
      <c r="C9934" s="6">
        <v>0.44865501517085199</v>
      </c>
    </row>
    <row r="9935" spans="1:3" s="8" customFormat="1" x14ac:dyDescent="0.2">
      <c r="A9935" s="6" t="str">
        <f>"CLCN4"</f>
        <v>CLCN4</v>
      </c>
      <c r="B9935" s="6">
        <v>0.25374625374625298</v>
      </c>
      <c r="C9935" s="6">
        <v>0.44865501517085199</v>
      </c>
    </row>
    <row r="9936" spans="1:3" s="8" customFormat="1" x14ac:dyDescent="0.2">
      <c r="A9936" s="6" t="str">
        <f>"SEC14L2"</f>
        <v>SEC14L2</v>
      </c>
      <c r="B9936" s="6">
        <v>0.25374625374625298</v>
      </c>
      <c r="C9936" s="6">
        <v>0.44865501517085199</v>
      </c>
    </row>
    <row r="9937" spans="1:3" s="8" customFormat="1" x14ac:dyDescent="0.2">
      <c r="A9937" s="6" t="str">
        <f>"DSCAML1"</f>
        <v>DSCAML1</v>
      </c>
      <c r="B9937" s="6">
        <v>0.25374625374625298</v>
      </c>
      <c r="C9937" s="6">
        <v>0.44865501517085199</v>
      </c>
    </row>
    <row r="9938" spans="1:3" s="8" customFormat="1" x14ac:dyDescent="0.2">
      <c r="A9938" s="6" t="str">
        <f>"TXLNG"</f>
        <v>TXLNG</v>
      </c>
      <c r="B9938" s="6">
        <v>0.25374625374625298</v>
      </c>
      <c r="C9938" s="6">
        <v>0.44865501517085199</v>
      </c>
    </row>
    <row r="9939" spans="1:3" s="8" customFormat="1" x14ac:dyDescent="0.2">
      <c r="A9939" s="6" t="str">
        <f>"DNAAF6"</f>
        <v>DNAAF6</v>
      </c>
      <c r="B9939" s="6">
        <v>0.25374625374625298</v>
      </c>
      <c r="C9939" s="6">
        <v>0.44865501517085199</v>
      </c>
    </row>
    <row r="9940" spans="1:3" s="8" customFormat="1" x14ac:dyDescent="0.2">
      <c r="A9940" s="6" t="str">
        <f>"GSTZ1"</f>
        <v>GSTZ1</v>
      </c>
      <c r="B9940" s="6">
        <v>0.25374625374625298</v>
      </c>
      <c r="C9940" s="6">
        <v>0.44865501517085199</v>
      </c>
    </row>
    <row r="9941" spans="1:3" s="8" customFormat="1" x14ac:dyDescent="0.2">
      <c r="A9941" s="6" t="str">
        <f>"MFSD14A"</f>
        <v>MFSD14A</v>
      </c>
      <c r="B9941" s="6">
        <v>0.25374625374625298</v>
      </c>
      <c r="C9941" s="6">
        <v>0.44865501517085199</v>
      </c>
    </row>
    <row r="9942" spans="1:3" s="8" customFormat="1" x14ac:dyDescent="0.2">
      <c r="A9942" s="6" t="str">
        <f>"XRCC1"</f>
        <v>XRCC1</v>
      </c>
      <c r="B9942" s="6">
        <v>0.25374625374625298</v>
      </c>
      <c r="C9942" s="6">
        <v>0.44865501517085199</v>
      </c>
    </row>
    <row r="9943" spans="1:3" s="8" customFormat="1" x14ac:dyDescent="0.2">
      <c r="A9943" s="6" t="str">
        <f>"RBBP9"</f>
        <v>RBBP9</v>
      </c>
      <c r="B9943" s="6">
        <v>0.25374625374625298</v>
      </c>
      <c r="C9943" s="6">
        <v>0.44865501517085199</v>
      </c>
    </row>
    <row r="9944" spans="1:3" s="8" customFormat="1" x14ac:dyDescent="0.2">
      <c r="A9944" s="6" t="str">
        <f>"TARS1"</f>
        <v>TARS1</v>
      </c>
      <c r="B9944" s="6">
        <v>0.25374625374625298</v>
      </c>
      <c r="C9944" s="6">
        <v>0.44865501517085199</v>
      </c>
    </row>
    <row r="9945" spans="1:3" s="8" customFormat="1" x14ac:dyDescent="0.2">
      <c r="A9945" s="6" t="str">
        <f>"HDAC7"</f>
        <v>HDAC7</v>
      </c>
      <c r="B9945" s="6">
        <v>0.25374625374625298</v>
      </c>
      <c r="C9945" s="6">
        <v>0.44865501517085199</v>
      </c>
    </row>
    <row r="9946" spans="1:3" s="8" customFormat="1" x14ac:dyDescent="0.2">
      <c r="A9946" s="6" t="str">
        <f>"CCDC113"</f>
        <v>CCDC113</v>
      </c>
      <c r="B9946" s="6">
        <v>0.25374625374625298</v>
      </c>
      <c r="C9946" s="6">
        <v>0.44865501517085199</v>
      </c>
    </row>
    <row r="9947" spans="1:3" s="8" customFormat="1" x14ac:dyDescent="0.2">
      <c r="A9947" s="6" t="str">
        <f>"DHX58"</f>
        <v>DHX58</v>
      </c>
      <c r="B9947" s="6">
        <v>0.254</v>
      </c>
      <c r="C9947" s="6">
        <v>0.44905851598632601</v>
      </c>
    </row>
    <row r="9948" spans="1:3" s="8" customFormat="1" x14ac:dyDescent="0.2">
      <c r="A9948" s="6" t="str">
        <f>"AL049874.3"</f>
        <v>AL049874.3</v>
      </c>
      <c r="B9948" s="6">
        <v>0.25428859737638698</v>
      </c>
      <c r="C9948" s="6">
        <v>0.44951736672760201</v>
      </c>
    </row>
    <row r="9949" spans="1:3" s="8" customFormat="1" x14ac:dyDescent="0.2">
      <c r="A9949" s="6" t="str">
        <f>"AC118757.1"</f>
        <v>AC118757.1</v>
      </c>
      <c r="B9949" s="6">
        <v>0.254745254745254</v>
      </c>
      <c r="C9949" s="6">
        <v>0.44951736672760201</v>
      </c>
    </row>
    <row r="9950" spans="1:3" s="8" customFormat="1" x14ac:dyDescent="0.2">
      <c r="A9950" s="6" t="str">
        <f>"MPP7-DT"</f>
        <v>MPP7-DT</v>
      </c>
      <c r="B9950" s="6">
        <v>0.254745254745254</v>
      </c>
      <c r="C9950" s="6">
        <v>0.44951736672760201</v>
      </c>
    </row>
    <row r="9951" spans="1:3" s="8" customFormat="1" x14ac:dyDescent="0.2">
      <c r="A9951" s="6" t="str">
        <f>"AL359317.2"</f>
        <v>AL359317.2</v>
      </c>
      <c r="B9951" s="6">
        <v>0.254745254745254</v>
      </c>
      <c r="C9951" s="6">
        <v>0.44951736672760201</v>
      </c>
    </row>
    <row r="9952" spans="1:3" s="8" customFormat="1" x14ac:dyDescent="0.2">
      <c r="A9952" s="6" t="str">
        <f>"ZNF30"</f>
        <v>ZNF30</v>
      </c>
      <c r="B9952" s="6">
        <v>0.254745254745254</v>
      </c>
      <c r="C9952" s="6">
        <v>0.44951736672760201</v>
      </c>
    </row>
    <row r="9953" spans="1:3" s="8" customFormat="1" x14ac:dyDescent="0.2">
      <c r="A9953" s="6" t="str">
        <f>"ADAMTS13"</f>
        <v>ADAMTS13</v>
      </c>
      <c r="B9953" s="6">
        <v>0.254745254745254</v>
      </c>
      <c r="C9953" s="6">
        <v>0.44951736672760201</v>
      </c>
    </row>
    <row r="9954" spans="1:3" s="8" customFormat="1" x14ac:dyDescent="0.2">
      <c r="A9954" s="6" t="str">
        <f>"SYS1-DBNDD2"</f>
        <v>SYS1-DBNDD2</v>
      </c>
      <c r="B9954" s="6">
        <v>0.254745254745254</v>
      </c>
      <c r="C9954" s="6">
        <v>0.44951736672760201</v>
      </c>
    </row>
    <row r="9955" spans="1:3" s="8" customFormat="1" x14ac:dyDescent="0.2">
      <c r="A9955" s="6" t="str">
        <f>"ACTL10"</f>
        <v>ACTL10</v>
      </c>
      <c r="B9955" s="6">
        <v>0.254745254745254</v>
      </c>
      <c r="C9955" s="6">
        <v>0.44951736672760201</v>
      </c>
    </row>
    <row r="9956" spans="1:3" s="8" customFormat="1" x14ac:dyDescent="0.2">
      <c r="A9956" s="6" t="str">
        <f>"CTPS1"</f>
        <v>CTPS1</v>
      </c>
      <c r="B9956" s="6">
        <v>0.254745254745254</v>
      </c>
      <c r="C9956" s="6">
        <v>0.44951736672760201</v>
      </c>
    </row>
    <row r="9957" spans="1:3" s="8" customFormat="1" x14ac:dyDescent="0.2">
      <c r="A9957" s="6" t="str">
        <f>"MBTD1"</f>
        <v>MBTD1</v>
      </c>
      <c r="B9957" s="6">
        <v>0.254745254745254</v>
      </c>
      <c r="C9957" s="6">
        <v>0.44951736672760201</v>
      </c>
    </row>
    <row r="9958" spans="1:3" s="8" customFormat="1" x14ac:dyDescent="0.2">
      <c r="A9958" s="6" t="str">
        <f>"HEXD"</f>
        <v>HEXD</v>
      </c>
      <c r="B9958" s="6">
        <v>0.254745254745254</v>
      </c>
      <c r="C9958" s="6">
        <v>0.44951736672760201</v>
      </c>
    </row>
    <row r="9959" spans="1:3" s="8" customFormat="1" x14ac:dyDescent="0.2">
      <c r="A9959" s="6" t="str">
        <f>"THOC5"</f>
        <v>THOC5</v>
      </c>
      <c r="B9959" s="6">
        <v>0.254745254745254</v>
      </c>
      <c r="C9959" s="6">
        <v>0.44951736672760201</v>
      </c>
    </row>
    <row r="9960" spans="1:3" s="8" customFormat="1" x14ac:dyDescent="0.2">
      <c r="A9960" s="6" t="str">
        <f>"DCUN1D5"</f>
        <v>DCUN1D5</v>
      </c>
      <c r="B9960" s="6">
        <v>0.254745254745254</v>
      </c>
      <c r="C9960" s="6">
        <v>0.44951736672760201</v>
      </c>
    </row>
    <row r="9961" spans="1:3" s="8" customFormat="1" x14ac:dyDescent="0.2">
      <c r="A9961" s="6" t="str">
        <f>"PIGK"</f>
        <v>PIGK</v>
      </c>
      <c r="B9961" s="6">
        <v>0.254745254745254</v>
      </c>
      <c r="C9961" s="6">
        <v>0.44951736672760201</v>
      </c>
    </row>
    <row r="9962" spans="1:3" s="8" customFormat="1" x14ac:dyDescent="0.2">
      <c r="A9962" s="6" t="str">
        <f>"TMEM19"</f>
        <v>TMEM19</v>
      </c>
      <c r="B9962" s="6">
        <v>0.254745254745254</v>
      </c>
      <c r="C9962" s="6">
        <v>0.44951736672760201</v>
      </c>
    </row>
    <row r="9963" spans="1:3" s="8" customFormat="1" x14ac:dyDescent="0.2">
      <c r="A9963" s="6" t="str">
        <f>"GPR137"</f>
        <v>GPR137</v>
      </c>
      <c r="B9963" s="6">
        <v>0.254745254745254</v>
      </c>
      <c r="C9963" s="6">
        <v>0.44951736672760201</v>
      </c>
    </row>
    <row r="9964" spans="1:3" s="8" customFormat="1" x14ac:dyDescent="0.2">
      <c r="A9964" s="6" t="str">
        <f>"GBP1"</f>
        <v>GBP1</v>
      </c>
      <c r="B9964" s="6">
        <v>0.254745254745254</v>
      </c>
      <c r="C9964" s="6">
        <v>0.44951736672760201</v>
      </c>
    </row>
    <row r="9965" spans="1:3" s="8" customFormat="1" x14ac:dyDescent="0.2">
      <c r="A9965" s="6" t="str">
        <f>"SLC3A2"</f>
        <v>SLC3A2</v>
      </c>
      <c r="B9965" s="6">
        <v>0.254745254745254</v>
      </c>
      <c r="C9965" s="6">
        <v>0.44951736672760201</v>
      </c>
    </row>
    <row r="9966" spans="1:3" s="8" customFormat="1" x14ac:dyDescent="0.2">
      <c r="A9966" s="6" t="str">
        <f>"LMBRD1"</f>
        <v>LMBRD1</v>
      </c>
      <c r="B9966" s="6">
        <v>0.254745254745254</v>
      </c>
      <c r="C9966" s="6">
        <v>0.44951736672760201</v>
      </c>
    </row>
    <row r="9967" spans="1:3" s="8" customFormat="1" x14ac:dyDescent="0.2">
      <c r="A9967" s="6" t="str">
        <f>"Z82217.1"</f>
        <v>Z82217.1</v>
      </c>
      <c r="B9967" s="6">
        <v>0.25480283114256802</v>
      </c>
      <c r="C9967" s="6">
        <v>0.44957384936894601</v>
      </c>
    </row>
    <row r="9968" spans="1:3" s="8" customFormat="1" x14ac:dyDescent="0.2">
      <c r="A9968" s="6" t="str">
        <f>"C8B"</f>
        <v>C8B</v>
      </c>
      <c r="B9968" s="6">
        <v>0.25574425574425502</v>
      </c>
      <c r="C9968" s="6">
        <v>0.45019591480698601</v>
      </c>
    </row>
    <row r="9969" spans="1:3" s="8" customFormat="1" x14ac:dyDescent="0.2">
      <c r="A9969" s="6" t="str">
        <f>"LINC02694"</f>
        <v>LINC02694</v>
      </c>
      <c r="B9969" s="6">
        <v>0.25574425574425502</v>
      </c>
      <c r="C9969" s="6">
        <v>0.45019591480698601</v>
      </c>
    </row>
    <row r="9970" spans="1:3" s="8" customFormat="1" x14ac:dyDescent="0.2">
      <c r="A9970" s="6" t="str">
        <f>"TBX2"</f>
        <v>TBX2</v>
      </c>
      <c r="B9970" s="6">
        <v>0.25574425574425502</v>
      </c>
      <c r="C9970" s="6">
        <v>0.45019591480698601</v>
      </c>
    </row>
    <row r="9971" spans="1:3" s="8" customFormat="1" x14ac:dyDescent="0.2">
      <c r="A9971" s="6" t="str">
        <f>"AC016229.2"</f>
        <v>AC016229.2</v>
      </c>
      <c r="B9971" s="6">
        <v>0.25527638190954699</v>
      </c>
      <c r="C9971" s="6">
        <v>0.45019591480698601</v>
      </c>
    </row>
    <row r="9972" spans="1:3" s="8" customFormat="1" x14ac:dyDescent="0.2">
      <c r="A9972" s="6" t="str">
        <f>"AL360270.2"</f>
        <v>AL360270.2</v>
      </c>
      <c r="B9972" s="6">
        <v>0.25553319919517098</v>
      </c>
      <c r="C9972" s="6">
        <v>0.45019591480698601</v>
      </c>
    </row>
    <row r="9973" spans="1:3" s="8" customFormat="1" x14ac:dyDescent="0.2">
      <c r="A9973" s="6" t="str">
        <f>"LINC02526"</f>
        <v>LINC02526</v>
      </c>
      <c r="B9973" s="6">
        <v>0.25574425574425502</v>
      </c>
      <c r="C9973" s="6">
        <v>0.45019591480698601</v>
      </c>
    </row>
    <row r="9974" spans="1:3" s="8" customFormat="1" x14ac:dyDescent="0.2">
      <c r="A9974" s="6" t="str">
        <f>"AF131215.5"</f>
        <v>AF131215.5</v>
      </c>
      <c r="B9974" s="6">
        <v>0.25574425574425502</v>
      </c>
      <c r="C9974" s="6">
        <v>0.45019591480698601</v>
      </c>
    </row>
    <row r="9975" spans="1:3" s="8" customFormat="1" x14ac:dyDescent="0.2">
      <c r="A9975" s="6" t="str">
        <f>"AC025034.1"</f>
        <v>AC025034.1</v>
      </c>
      <c r="B9975" s="6">
        <v>0.25529767911200801</v>
      </c>
      <c r="C9975" s="6">
        <v>0.45019591480698601</v>
      </c>
    </row>
    <row r="9976" spans="1:3" s="8" customFormat="1" x14ac:dyDescent="0.2">
      <c r="A9976" s="6" t="str">
        <f>"WASH4P"</f>
        <v>WASH4P</v>
      </c>
      <c r="B9976" s="6">
        <v>0.25574425574425502</v>
      </c>
      <c r="C9976" s="6">
        <v>0.45019591480698601</v>
      </c>
    </row>
    <row r="9977" spans="1:3" s="8" customFormat="1" x14ac:dyDescent="0.2">
      <c r="A9977" s="6" t="str">
        <f>"AC080037.2"</f>
        <v>AC080037.2</v>
      </c>
      <c r="B9977" s="6">
        <v>0.25574425574425502</v>
      </c>
      <c r="C9977" s="6">
        <v>0.45019591480698601</v>
      </c>
    </row>
    <row r="9978" spans="1:3" s="8" customFormat="1" x14ac:dyDescent="0.2">
      <c r="A9978" s="6" t="str">
        <f>"SERPINE2"</f>
        <v>SERPINE2</v>
      </c>
      <c r="B9978" s="6">
        <v>0.25574425574425502</v>
      </c>
      <c r="C9978" s="6">
        <v>0.45019591480698601</v>
      </c>
    </row>
    <row r="9979" spans="1:3" s="8" customFormat="1" x14ac:dyDescent="0.2">
      <c r="A9979" s="6" t="str">
        <f>"PPM1M"</f>
        <v>PPM1M</v>
      </c>
      <c r="B9979" s="6">
        <v>0.25574425574425502</v>
      </c>
      <c r="C9979" s="6">
        <v>0.45019591480698601</v>
      </c>
    </row>
    <row r="9980" spans="1:3" s="8" customFormat="1" x14ac:dyDescent="0.2">
      <c r="A9980" s="6" t="str">
        <f>"PUS7L"</f>
        <v>PUS7L</v>
      </c>
      <c r="B9980" s="6">
        <v>0.25574425574425502</v>
      </c>
      <c r="C9980" s="6">
        <v>0.45019591480698601</v>
      </c>
    </row>
    <row r="9981" spans="1:3" s="8" customFormat="1" x14ac:dyDescent="0.2">
      <c r="A9981" s="6" t="str">
        <f>"SMURF2"</f>
        <v>SMURF2</v>
      </c>
      <c r="B9981" s="6">
        <v>0.25574425574425502</v>
      </c>
      <c r="C9981" s="6">
        <v>0.45019591480698601</v>
      </c>
    </row>
    <row r="9982" spans="1:3" s="8" customFormat="1" x14ac:dyDescent="0.2">
      <c r="A9982" s="6" t="str">
        <f>"TMEM192"</f>
        <v>TMEM192</v>
      </c>
      <c r="B9982" s="6">
        <v>0.25574425574425502</v>
      </c>
      <c r="C9982" s="6">
        <v>0.45019591480698601</v>
      </c>
    </row>
    <row r="9983" spans="1:3" s="8" customFormat="1" x14ac:dyDescent="0.2">
      <c r="A9983" s="6" t="str">
        <f>"SIVA1"</f>
        <v>SIVA1</v>
      </c>
      <c r="B9983" s="6">
        <v>0.25574425574425502</v>
      </c>
      <c r="C9983" s="6">
        <v>0.45019591480698601</v>
      </c>
    </row>
    <row r="9984" spans="1:3" s="8" customFormat="1" x14ac:dyDescent="0.2">
      <c r="A9984" s="6" t="str">
        <f>"TEAD3"</f>
        <v>TEAD3</v>
      </c>
      <c r="B9984" s="6">
        <v>0.25574425574425502</v>
      </c>
      <c r="C9984" s="6">
        <v>0.45019591480698601</v>
      </c>
    </row>
    <row r="9985" spans="1:3" s="8" customFormat="1" x14ac:dyDescent="0.2">
      <c r="A9985" s="6" t="str">
        <f>"NFAT5"</f>
        <v>NFAT5</v>
      </c>
      <c r="B9985" s="6">
        <v>0.25574425574425502</v>
      </c>
      <c r="C9985" s="6">
        <v>0.45019591480698601</v>
      </c>
    </row>
    <row r="9986" spans="1:3" s="8" customFormat="1" x14ac:dyDescent="0.2">
      <c r="A9986" s="6" t="str">
        <f>"STAM2"</f>
        <v>STAM2</v>
      </c>
      <c r="B9986" s="6">
        <v>0.25574425574425502</v>
      </c>
      <c r="C9986" s="6">
        <v>0.45019591480698601</v>
      </c>
    </row>
    <row r="9987" spans="1:3" s="8" customFormat="1" x14ac:dyDescent="0.2">
      <c r="A9987" s="6" t="str">
        <f>"PPP1R15B"</f>
        <v>PPP1R15B</v>
      </c>
      <c r="B9987" s="6">
        <v>0.25574425574425502</v>
      </c>
      <c r="C9987" s="6">
        <v>0.45019591480698601</v>
      </c>
    </row>
    <row r="9988" spans="1:3" s="8" customFormat="1" x14ac:dyDescent="0.2">
      <c r="A9988" s="6" t="str">
        <f>"FBXW5"</f>
        <v>FBXW5</v>
      </c>
      <c r="B9988" s="6">
        <v>0.25574425574425502</v>
      </c>
      <c r="C9988" s="6">
        <v>0.45019591480698601</v>
      </c>
    </row>
    <row r="9989" spans="1:3" s="8" customFormat="1" x14ac:dyDescent="0.2">
      <c r="A9989" s="6" t="str">
        <f>"TRAM1"</f>
        <v>TRAM1</v>
      </c>
      <c r="B9989" s="6">
        <v>0.25574425574425502</v>
      </c>
      <c r="C9989" s="6">
        <v>0.45019591480698601</v>
      </c>
    </row>
    <row r="9990" spans="1:3" s="8" customFormat="1" x14ac:dyDescent="0.2">
      <c r="A9990" s="6" t="str">
        <f>"RPSA"</f>
        <v>RPSA</v>
      </c>
      <c r="B9990" s="6">
        <v>0.25574425574425502</v>
      </c>
      <c r="C9990" s="6">
        <v>0.45019591480698601</v>
      </c>
    </row>
    <row r="9991" spans="1:3" s="8" customFormat="1" x14ac:dyDescent="0.2">
      <c r="A9991" s="6" t="str">
        <f>"LINC02680"</f>
        <v>LINC02680</v>
      </c>
      <c r="B9991" s="6">
        <v>0.25602409638554202</v>
      </c>
      <c r="C9991" s="6">
        <v>0.45064341449883599</v>
      </c>
    </row>
    <row r="9992" spans="1:3" s="8" customFormat="1" x14ac:dyDescent="0.2">
      <c r="A9992" s="6" t="str">
        <f>"DPY19L2P3"</f>
        <v>DPY19L2P3</v>
      </c>
      <c r="B9992" s="6">
        <v>0.25628140703517499</v>
      </c>
      <c r="C9992" s="6">
        <v>0.45100603095541703</v>
      </c>
    </row>
    <row r="9993" spans="1:3" s="8" customFormat="1" x14ac:dyDescent="0.2">
      <c r="A9993" s="6" t="str">
        <f>"TOMM7"</f>
        <v>TOMM7</v>
      </c>
      <c r="B9993" s="6">
        <v>0.25625625625625598</v>
      </c>
      <c r="C9993" s="6">
        <v>0.45100603095541703</v>
      </c>
    </row>
    <row r="9994" spans="1:3" s="8" customFormat="1" x14ac:dyDescent="0.2">
      <c r="A9994" s="6" t="str">
        <f>"RBPMS2"</f>
        <v>RBPMS2</v>
      </c>
      <c r="B9994" s="6">
        <v>0.25674325674325599</v>
      </c>
      <c r="C9994" s="6">
        <v>0.45109646548495402</v>
      </c>
    </row>
    <row r="9995" spans="1:3" s="8" customFormat="1" x14ac:dyDescent="0.2">
      <c r="A9995" s="6" t="str">
        <f>"CCKBR"</f>
        <v>CCKBR</v>
      </c>
      <c r="B9995" s="6">
        <v>0.25674325674325599</v>
      </c>
      <c r="C9995" s="6">
        <v>0.45109646548495402</v>
      </c>
    </row>
    <row r="9996" spans="1:3" s="8" customFormat="1" x14ac:dyDescent="0.2">
      <c r="A9996" s="6" t="str">
        <f>"SREBF2-AS1"</f>
        <v>SREBF2-AS1</v>
      </c>
      <c r="B9996" s="6">
        <v>0.25653923541247398</v>
      </c>
      <c r="C9996" s="6">
        <v>0.45109646548495402</v>
      </c>
    </row>
    <row r="9997" spans="1:3" s="8" customFormat="1" x14ac:dyDescent="0.2">
      <c r="A9997" s="6" t="str">
        <f>"AC055811.4"</f>
        <v>AC055811.4</v>
      </c>
      <c r="B9997" s="6">
        <v>0.25674325674325599</v>
      </c>
      <c r="C9997" s="6">
        <v>0.45109646548495402</v>
      </c>
    </row>
    <row r="9998" spans="1:3" s="8" customFormat="1" x14ac:dyDescent="0.2">
      <c r="A9998" s="6" t="str">
        <f>"METTL21EP"</f>
        <v>METTL21EP</v>
      </c>
      <c r="B9998" s="6">
        <v>0.25674325674325599</v>
      </c>
      <c r="C9998" s="6">
        <v>0.45109646548495402</v>
      </c>
    </row>
    <row r="9999" spans="1:3" s="8" customFormat="1" x14ac:dyDescent="0.2">
      <c r="A9999" s="6" t="str">
        <f>"DDR2"</f>
        <v>DDR2</v>
      </c>
      <c r="B9999" s="6">
        <v>0.25674325674325599</v>
      </c>
      <c r="C9999" s="6">
        <v>0.45109646548495402</v>
      </c>
    </row>
    <row r="10000" spans="1:3" s="8" customFormat="1" x14ac:dyDescent="0.2">
      <c r="A10000" s="6" t="str">
        <f>"JPH3"</f>
        <v>JPH3</v>
      </c>
      <c r="B10000" s="6">
        <v>0.25674325674325599</v>
      </c>
      <c r="C10000" s="6">
        <v>0.45109646548495402</v>
      </c>
    </row>
    <row r="10001" spans="1:3" s="8" customFormat="1" x14ac:dyDescent="0.2">
      <c r="A10001" s="6" t="str">
        <f>"SETMAR"</f>
        <v>SETMAR</v>
      </c>
      <c r="B10001" s="6">
        <v>0.25674325674325599</v>
      </c>
      <c r="C10001" s="6">
        <v>0.45109646548495402</v>
      </c>
    </row>
    <row r="10002" spans="1:3" s="8" customFormat="1" x14ac:dyDescent="0.2">
      <c r="A10002" s="6" t="str">
        <f>"CDKL2"</f>
        <v>CDKL2</v>
      </c>
      <c r="B10002" s="6">
        <v>0.25674325674325599</v>
      </c>
      <c r="C10002" s="6">
        <v>0.45109646548495402</v>
      </c>
    </row>
    <row r="10003" spans="1:3" s="8" customFormat="1" x14ac:dyDescent="0.2">
      <c r="A10003" s="6" t="str">
        <f>"TPSAB1"</f>
        <v>TPSAB1</v>
      </c>
      <c r="B10003" s="6">
        <v>0.25674325674325599</v>
      </c>
      <c r="C10003" s="6">
        <v>0.45109646548495402</v>
      </c>
    </row>
    <row r="10004" spans="1:3" s="8" customFormat="1" x14ac:dyDescent="0.2">
      <c r="A10004" s="6" t="str">
        <f>"EPB41L4A-AS1"</f>
        <v>EPB41L4A-AS1</v>
      </c>
      <c r="B10004" s="6">
        <v>0.25674325674325599</v>
      </c>
      <c r="C10004" s="6">
        <v>0.45109646548495402</v>
      </c>
    </row>
    <row r="10005" spans="1:3" s="8" customFormat="1" x14ac:dyDescent="0.2">
      <c r="A10005" s="6" t="str">
        <f>"ZNF335"</f>
        <v>ZNF335</v>
      </c>
      <c r="B10005" s="6">
        <v>0.25674325674325599</v>
      </c>
      <c r="C10005" s="6">
        <v>0.45109646548495402</v>
      </c>
    </row>
    <row r="10006" spans="1:3" s="8" customFormat="1" x14ac:dyDescent="0.2">
      <c r="A10006" s="6" t="str">
        <f>"ZNF865"</f>
        <v>ZNF865</v>
      </c>
      <c r="B10006" s="6">
        <v>0.25674325674325599</v>
      </c>
      <c r="C10006" s="6">
        <v>0.45109646548495402</v>
      </c>
    </row>
    <row r="10007" spans="1:3" s="8" customFormat="1" x14ac:dyDescent="0.2">
      <c r="A10007" s="6" t="str">
        <f>"ERLIN1"</f>
        <v>ERLIN1</v>
      </c>
      <c r="B10007" s="6">
        <v>0.25674325674325599</v>
      </c>
      <c r="C10007" s="6">
        <v>0.45109646548495402</v>
      </c>
    </row>
    <row r="10008" spans="1:3" s="8" customFormat="1" x14ac:dyDescent="0.2">
      <c r="A10008" s="6" t="str">
        <f>"IRAK1"</f>
        <v>IRAK1</v>
      </c>
      <c r="B10008" s="6">
        <v>0.25674325674325599</v>
      </c>
      <c r="C10008" s="6">
        <v>0.45109646548495402</v>
      </c>
    </row>
    <row r="10009" spans="1:3" s="8" customFormat="1" x14ac:dyDescent="0.2">
      <c r="A10009" s="6" t="str">
        <f>"STAT6"</f>
        <v>STAT6</v>
      </c>
      <c r="B10009" s="6">
        <v>0.25674325674325599</v>
      </c>
      <c r="C10009" s="6">
        <v>0.45109646548495402</v>
      </c>
    </row>
    <row r="10010" spans="1:3" s="8" customFormat="1" x14ac:dyDescent="0.2">
      <c r="A10010" s="6" t="str">
        <f>"SPNS1"</f>
        <v>SPNS1</v>
      </c>
      <c r="B10010" s="6">
        <v>0.25700000000000001</v>
      </c>
      <c r="C10010" s="6">
        <v>0.451457342657342</v>
      </c>
    </row>
    <row r="10011" spans="1:3" s="8" customFormat="1" x14ac:dyDescent="0.2">
      <c r="A10011" s="6" t="str">
        <f>"TBCA"</f>
        <v>TBCA</v>
      </c>
      <c r="B10011" s="6">
        <v>0.25700000000000001</v>
      </c>
      <c r="C10011" s="6">
        <v>0.451457342657342</v>
      </c>
    </row>
    <row r="10012" spans="1:3" s="8" customFormat="1" x14ac:dyDescent="0.2">
      <c r="A10012" s="6" t="str">
        <f>"AC072052.1"</f>
        <v>AC072052.1</v>
      </c>
      <c r="B10012" s="6">
        <v>0.25702811244979901</v>
      </c>
      <c r="C10012" s="6">
        <v>0.45146162514406801</v>
      </c>
    </row>
    <row r="10013" spans="1:3" s="8" customFormat="1" x14ac:dyDescent="0.2">
      <c r="A10013" s="6" t="str">
        <f>"AC020663.4"</f>
        <v>AC020663.4</v>
      </c>
      <c r="B10013" s="6">
        <v>0.25774225774225701</v>
      </c>
      <c r="C10013" s="6">
        <v>0.45190346596269398</v>
      </c>
    </row>
    <row r="10014" spans="1:3" s="8" customFormat="1" x14ac:dyDescent="0.2">
      <c r="A10014" s="6" t="str">
        <f>"RUNDC3A-AS1"</f>
        <v>RUNDC3A-AS1</v>
      </c>
      <c r="B10014" s="6">
        <v>0.25774225774225701</v>
      </c>
      <c r="C10014" s="6">
        <v>0.45190346596269398</v>
      </c>
    </row>
    <row r="10015" spans="1:3" s="8" customFormat="1" x14ac:dyDescent="0.2">
      <c r="A10015" s="6" t="str">
        <f>"LINC02422"</f>
        <v>LINC02422</v>
      </c>
      <c r="B10015" s="6">
        <v>0.25774225774225701</v>
      </c>
      <c r="C10015" s="6">
        <v>0.45190346596269398</v>
      </c>
    </row>
    <row r="10016" spans="1:3" s="8" customFormat="1" x14ac:dyDescent="0.2">
      <c r="A10016" s="6" t="str">
        <f>"NAIPP3"</f>
        <v>NAIPP3</v>
      </c>
      <c r="B10016" s="6">
        <v>0.25774225774225701</v>
      </c>
      <c r="C10016" s="6">
        <v>0.45190346596269398</v>
      </c>
    </row>
    <row r="10017" spans="1:3" s="8" customFormat="1" x14ac:dyDescent="0.2">
      <c r="A10017" s="6" t="str">
        <f>"AC020763.1"</f>
        <v>AC020763.1</v>
      </c>
      <c r="B10017" s="6">
        <v>0.25774225774225701</v>
      </c>
      <c r="C10017" s="6">
        <v>0.45190346596269398</v>
      </c>
    </row>
    <row r="10018" spans="1:3" s="8" customFormat="1" x14ac:dyDescent="0.2">
      <c r="A10018" s="6" t="str">
        <f>"BOLA1"</f>
        <v>BOLA1</v>
      </c>
      <c r="B10018" s="6">
        <v>0.25774225774225701</v>
      </c>
      <c r="C10018" s="6">
        <v>0.45190346596269398</v>
      </c>
    </row>
    <row r="10019" spans="1:3" s="8" customFormat="1" x14ac:dyDescent="0.2">
      <c r="A10019" s="6" t="str">
        <f>"DHRS4L2"</f>
        <v>DHRS4L2</v>
      </c>
      <c r="B10019" s="6">
        <v>0.25774225774225701</v>
      </c>
      <c r="C10019" s="6">
        <v>0.45190346596269398</v>
      </c>
    </row>
    <row r="10020" spans="1:3" s="8" customFormat="1" x14ac:dyDescent="0.2">
      <c r="A10020" s="6" t="str">
        <f>"MED8"</f>
        <v>MED8</v>
      </c>
      <c r="B10020" s="6">
        <v>0.25774225774225701</v>
      </c>
      <c r="C10020" s="6">
        <v>0.45190346596269398</v>
      </c>
    </row>
    <row r="10021" spans="1:3" s="8" customFormat="1" x14ac:dyDescent="0.2">
      <c r="A10021" s="6" t="str">
        <f>"XPO4"</f>
        <v>XPO4</v>
      </c>
      <c r="B10021" s="6">
        <v>0.25774225774225701</v>
      </c>
      <c r="C10021" s="6">
        <v>0.45190346596269398</v>
      </c>
    </row>
    <row r="10022" spans="1:3" s="8" customFormat="1" x14ac:dyDescent="0.2">
      <c r="A10022" s="6" t="str">
        <f>"PI4K2B"</f>
        <v>PI4K2B</v>
      </c>
      <c r="B10022" s="6">
        <v>0.25774225774225701</v>
      </c>
      <c r="C10022" s="6">
        <v>0.45190346596269398</v>
      </c>
    </row>
    <row r="10023" spans="1:3" s="8" customFormat="1" x14ac:dyDescent="0.2">
      <c r="A10023" s="6" t="str">
        <f>"SCOC"</f>
        <v>SCOC</v>
      </c>
      <c r="B10023" s="6">
        <v>0.25774225774225701</v>
      </c>
      <c r="C10023" s="6">
        <v>0.45190346596269398</v>
      </c>
    </row>
    <row r="10024" spans="1:3" s="8" customFormat="1" x14ac:dyDescent="0.2">
      <c r="A10024" s="6" t="str">
        <f>"CPNE1"</f>
        <v>CPNE1</v>
      </c>
      <c r="B10024" s="6">
        <v>0.25774225774225701</v>
      </c>
      <c r="C10024" s="6">
        <v>0.45190346596269398</v>
      </c>
    </row>
    <row r="10025" spans="1:3" s="8" customFormat="1" x14ac:dyDescent="0.2">
      <c r="A10025" s="6" t="str">
        <f>"YES1"</f>
        <v>YES1</v>
      </c>
      <c r="B10025" s="6">
        <v>0.25774225774225701</v>
      </c>
      <c r="C10025" s="6">
        <v>0.45190346596269398</v>
      </c>
    </row>
    <row r="10026" spans="1:3" s="8" customFormat="1" x14ac:dyDescent="0.2">
      <c r="A10026" s="6" t="str">
        <f>"TNS1"</f>
        <v>TNS1</v>
      </c>
      <c r="B10026" s="6">
        <v>0.25774225774225701</v>
      </c>
      <c r="C10026" s="6">
        <v>0.45190346596269398</v>
      </c>
    </row>
    <row r="10027" spans="1:3" s="8" customFormat="1" x14ac:dyDescent="0.2">
      <c r="A10027" s="6" t="str">
        <f>"TMA7"</f>
        <v>TMA7</v>
      </c>
      <c r="B10027" s="6">
        <v>0.25774225774225701</v>
      </c>
      <c r="C10027" s="6">
        <v>0.45190346596269398</v>
      </c>
    </row>
    <row r="10028" spans="1:3" s="8" customFormat="1" x14ac:dyDescent="0.2">
      <c r="A10028" s="6" t="str">
        <f>"CFAP44"</f>
        <v>CFAP44</v>
      </c>
      <c r="B10028" s="6">
        <v>0.25774225774225701</v>
      </c>
      <c r="C10028" s="6">
        <v>0.45190346596269398</v>
      </c>
    </row>
    <row r="10029" spans="1:3" s="8" customFormat="1" x14ac:dyDescent="0.2">
      <c r="A10029" s="6" t="str">
        <f>"ITGA3"</f>
        <v>ITGA3</v>
      </c>
      <c r="B10029" s="6">
        <v>0.25774225774225701</v>
      </c>
      <c r="C10029" s="6">
        <v>0.45190346596269398</v>
      </c>
    </row>
    <row r="10030" spans="1:3" s="8" customFormat="1" x14ac:dyDescent="0.2">
      <c r="A10030" s="6" t="str">
        <f>"CYB561"</f>
        <v>CYB561</v>
      </c>
      <c r="B10030" s="6">
        <v>0.25774225774225701</v>
      </c>
      <c r="C10030" s="6">
        <v>0.45190346596269398</v>
      </c>
    </row>
    <row r="10031" spans="1:3" s="8" customFormat="1" x14ac:dyDescent="0.2">
      <c r="A10031" s="6" t="str">
        <f>"ADAMTS19-AS1"</f>
        <v>ADAMTS19-AS1</v>
      </c>
      <c r="B10031" s="6">
        <v>0.25874125874125797</v>
      </c>
      <c r="C10031" s="6">
        <v>0.45297752824634502</v>
      </c>
    </row>
    <row r="10032" spans="1:3" s="8" customFormat="1" x14ac:dyDescent="0.2">
      <c r="A10032" s="6" t="str">
        <f>"FDCSP"</f>
        <v>FDCSP</v>
      </c>
      <c r="B10032" s="6">
        <v>0.25874125874125797</v>
      </c>
      <c r="C10032" s="6">
        <v>0.45297752824634502</v>
      </c>
    </row>
    <row r="10033" spans="1:3" s="8" customFormat="1" x14ac:dyDescent="0.2">
      <c r="A10033" s="6" t="str">
        <f>"HYI"</f>
        <v>HYI</v>
      </c>
      <c r="B10033" s="6">
        <v>0.25874125874125797</v>
      </c>
      <c r="C10033" s="6">
        <v>0.45297752824634502</v>
      </c>
    </row>
    <row r="10034" spans="1:3" s="8" customFormat="1" x14ac:dyDescent="0.2">
      <c r="A10034" s="6" t="str">
        <f>"NTMT1"</f>
        <v>NTMT1</v>
      </c>
      <c r="B10034" s="6">
        <v>0.25874125874125797</v>
      </c>
      <c r="C10034" s="6">
        <v>0.45297752824634502</v>
      </c>
    </row>
    <row r="10035" spans="1:3" s="8" customFormat="1" x14ac:dyDescent="0.2">
      <c r="A10035" s="6" t="str">
        <f>"RMC1"</f>
        <v>RMC1</v>
      </c>
      <c r="B10035" s="6">
        <v>0.25874125874125797</v>
      </c>
      <c r="C10035" s="6">
        <v>0.45297752824634502</v>
      </c>
    </row>
    <row r="10036" spans="1:3" s="8" customFormat="1" x14ac:dyDescent="0.2">
      <c r="A10036" s="6" t="str">
        <f>"TRIM39"</f>
        <v>TRIM39</v>
      </c>
      <c r="B10036" s="6">
        <v>0.25874125874125797</v>
      </c>
      <c r="C10036" s="6">
        <v>0.45297752824634502</v>
      </c>
    </row>
    <row r="10037" spans="1:3" s="8" customFormat="1" x14ac:dyDescent="0.2">
      <c r="A10037" s="6" t="str">
        <f>"TAF5L"</f>
        <v>TAF5L</v>
      </c>
      <c r="B10037" s="6">
        <v>0.25874125874125797</v>
      </c>
      <c r="C10037" s="6">
        <v>0.45297752824634502</v>
      </c>
    </row>
    <row r="10038" spans="1:3" s="8" customFormat="1" x14ac:dyDescent="0.2">
      <c r="A10038" s="6" t="str">
        <f>"MICOS10"</f>
        <v>MICOS10</v>
      </c>
      <c r="B10038" s="6">
        <v>0.25874125874125797</v>
      </c>
      <c r="C10038" s="6">
        <v>0.45297752824634502</v>
      </c>
    </row>
    <row r="10039" spans="1:3" s="8" customFormat="1" x14ac:dyDescent="0.2">
      <c r="A10039" s="6" t="str">
        <f>"NCK1"</f>
        <v>NCK1</v>
      </c>
      <c r="B10039" s="6">
        <v>0.25874125874125797</v>
      </c>
      <c r="C10039" s="6">
        <v>0.45297752824634502</v>
      </c>
    </row>
    <row r="10040" spans="1:3" s="8" customFormat="1" x14ac:dyDescent="0.2">
      <c r="A10040" s="6" t="str">
        <f>"PIK3C2B"</f>
        <v>PIK3C2B</v>
      </c>
      <c r="B10040" s="6">
        <v>0.25874125874125797</v>
      </c>
      <c r="C10040" s="6">
        <v>0.45297752824634502</v>
      </c>
    </row>
    <row r="10041" spans="1:3" s="8" customFormat="1" x14ac:dyDescent="0.2">
      <c r="A10041" s="6" t="str">
        <f>"GNL2"</f>
        <v>GNL2</v>
      </c>
      <c r="B10041" s="6">
        <v>0.25874125874125797</v>
      </c>
      <c r="C10041" s="6">
        <v>0.45297752824634502</v>
      </c>
    </row>
    <row r="10042" spans="1:3" s="8" customFormat="1" x14ac:dyDescent="0.2">
      <c r="A10042" s="6" t="str">
        <f>"AGAP1"</f>
        <v>AGAP1</v>
      </c>
      <c r="B10042" s="6">
        <v>0.25874125874125797</v>
      </c>
      <c r="C10042" s="6">
        <v>0.45297752824634502</v>
      </c>
    </row>
    <row r="10043" spans="1:3" s="8" customFormat="1" x14ac:dyDescent="0.2">
      <c r="A10043" s="6" t="str">
        <f>"RAP1B"</f>
        <v>RAP1B</v>
      </c>
      <c r="B10043" s="6">
        <v>0.25874125874125797</v>
      </c>
      <c r="C10043" s="6">
        <v>0.45297752824634502</v>
      </c>
    </row>
    <row r="10044" spans="1:3" s="8" customFormat="1" x14ac:dyDescent="0.2">
      <c r="A10044" s="6" t="str">
        <f>"PLTP"</f>
        <v>PLTP</v>
      </c>
      <c r="B10044" s="6">
        <v>0.25874125874125797</v>
      </c>
      <c r="C10044" s="6">
        <v>0.45297752824634502</v>
      </c>
    </row>
    <row r="10045" spans="1:3" s="8" customFormat="1" x14ac:dyDescent="0.2">
      <c r="A10045" s="6" t="str">
        <f>"DCTN1"</f>
        <v>DCTN1</v>
      </c>
      <c r="B10045" s="6">
        <v>0.25874125874125797</v>
      </c>
      <c r="C10045" s="6">
        <v>0.45297752824634502</v>
      </c>
    </row>
    <row r="10046" spans="1:3" s="8" customFormat="1" x14ac:dyDescent="0.2">
      <c r="A10046" s="6" t="str">
        <f>"SMIM34B"</f>
        <v>SMIM34B</v>
      </c>
      <c r="B10046" s="6">
        <v>0.25900000000000001</v>
      </c>
      <c r="C10046" s="6">
        <v>0.45324999999999999</v>
      </c>
    </row>
    <row r="10047" spans="1:3" s="8" customFormat="1" x14ac:dyDescent="0.2">
      <c r="A10047" s="6" t="str">
        <f>"SEC22C"</f>
        <v>SEC22C</v>
      </c>
      <c r="B10047" s="6">
        <v>0.25900000000000001</v>
      </c>
      <c r="C10047" s="6">
        <v>0.45324999999999999</v>
      </c>
    </row>
    <row r="10048" spans="1:3" s="8" customFormat="1" x14ac:dyDescent="0.2">
      <c r="A10048" s="6" t="str">
        <f>"RCC1L"</f>
        <v>RCC1L</v>
      </c>
      <c r="B10048" s="6">
        <v>0.25900000000000001</v>
      </c>
      <c r="C10048" s="6">
        <v>0.45324999999999999</v>
      </c>
    </row>
    <row r="10049" spans="1:3" s="8" customFormat="1" x14ac:dyDescent="0.2">
      <c r="A10049" s="6" t="str">
        <f>"FDXR"</f>
        <v>FDXR</v>
      </c>
      <c r="B10049" s="6">
        <v>0.25900000000000001</v>
      </c>
      <c r="C10049" s="6">
        <v>0.45324999999999999</v>
      </c>
    </row>
    <row r="10050" spans="1:3" s="8" customFormat="1" x14ac:dyDescent="0.2">
      <c r="A10050" s="6" t="str">
        <f>"AL662907.2"</f>
        <v>AL662907.2</v>
      </c>
      <c r="B10050" s="6">
        <v>0.25951903807615201</v>
      </c>
      <c r="C10050" s="6">
        <v>0.45404838724254099</v>
      </c>
    </row>
    <row r="10051" spans="1:3" s="8" customFormat="1" x14ac:dyDescent="0.2">
      <c r="A10051" s="6" t="str">
        <f>"LBX2"</f>
        <v>LBX2</v>
      </c>
      <c r="B10051" s="6">
        <v>0.25974025974025899</v>
      </c>
      <c r="C10051" s="6">
        <v>0.45404838724254099</v>
      </c>
    </row>
    <row r="10052" spans="1:3" s="8" customFormat="1" x14ac:dyDescent="0.2">
      <c r="A10052" s="6" t="str">
        <f>"AC080013.1"</f>
        <v>AC080013.1</v>
      </c>
      <c r="B10052" s="6">
        <v>0.25974025974025899</v>
      </c>
      <c r="C10052" s="6">
        <v>0.45404838724254099</v>
      </c>
    </row>
    <row r="10053" spans="1:3" s="8" customFormat="1" x14ac:dyDescent="0.2">
      <c r="A10053" s="6" t="str">
        <f>"ADAM22"</f>
        <v>ADAM22</v>
      </c>
      <c r="B10053" s="6">
        <v>0.25974025974025899</v>
      </c>
      <c r="C10053" s="6">
        <v>0.45404838724254099</v>
      </c>
    </row>
    <row r="10054" spans="1:3" s="8" customFormat="1" x14ac:dyDescent="0.2">
      <c r="A10054" s="6" t="str">
        <f>"TIMM9"</f>
        <v>TIMM9</v>
      </c>
      <c r="B10054" s="6">
        <v>0.25974025974025899</v>
      </c>
      <c r="C10054" s="6">
        <v>0.45404838724254099</v>
      </c>
    </row>
    <row r="10055" spans="1:3" s="8" customFormat="1" x14ac:dyDescent="0.2">
      <c r="A10055" s="6" t="str">
        <f>"CEP70"</f>
        <v>CEP70</v>
      </c>
      <c r="B10055" s="6">
        <v>0.25974025974025899</v>
      </c>
      <c r="C10055" s="6">
        <v>0.45404838724254099</v>
      </c>
    </row>
    <row r="10056" spans="1:3" s="8" customFormat="1" x14ac:dyDescent="0.2">
      <c r="A10056" s="6" t="str">
        <f>"FBXO38"</f>
        <v>FBXO38</v>
      </c>
      <c r="B10056" s="6">
        <v>0.25974025974025899</v>
      </c>
      <c r="C10056" s="6">
        <v>0.45404838724254099</v>
      </c>
    </row>
    <row r="10057" spans="1:3" s="8" customFormat="1" x14ac:dyDescent="0.2">
      <c r="A10057" s="6" t="str">
        <f>"WDR43"</f>
        <v>WDR43</v>
      </c>
      <c r="B10057" s="6">
        <v>0.25974025974025899</v>
      </c>
      <c r="C10057" s="6">
        <v>0.45404838724254099</v>
      </c>
    </row>
    <row r="10058" spans="1:3" s="8" customFormat="1" x14ac:dyDescent="0.2">
      <c r="A10058" s="6" t="str">
        <f>"MAP3K5"</f>
        <v>MAP3K5</v>
      </c>
      <c r="B10058" s="6">
        <v>0.25974025974025899</v>
      </c>
      <c r="C10058" s="6">
        <v>0.45404838724254099</v>
      </c>
    </row>
    <row r="10059" spans="1:3" s="8" customFormat="1" x14ac:dyDescent="0.2">
      <c r="A10059" s="6" t="str">
        <f>"SCCPDH"</f>
        <v>SCCPDH</v>
      </c>
      <c r="B10059" s="6">
        <v>0.25974025974025899</v>
      </c>
      <c r="C10059" s="6">
        <v>0.45404838724254099</v>
      </c>
    </row>
    <row r="10060" spans="1:3" s="8" customFormat="1" x14ac:dyDescent="0.2">
      <c r="A10060" s="6" t="str">
        <f>"ATP13A2"</f>
        <v>ATP13A2</v>
      </c>
      <c r="B10060" s="6">
        <v>0.25974025974025899</v>
      </c>
      <c r="C10060" s="6">
        <v>0.45404838724254099</v>
      </c>
    </row>
    <row r="10061" spans="1:3" s="8" customFormat="1" x14ac:dyDescent="0.2">
      <c r="A10061" s="6" t="str">
        <f>"AC002059.1"</f>
        <v>AC002059.1</v>
      </c>
      <c r="B10061" s="6">
        <v>0.26</v>
      </c>
      <c r="C10061" s="6">
        <v>0.45432177283116298</v>
      </c>
    </row>
    <row r="10062" spans="1:3" s="8" customFormat="1" x14ac:dyDescent="0.2">
      <c r="A10062" s="6" t="str">
        <f>"TBXA2R"</f>
        <v>TBXA2R</v>
      </c>
      <c r="B10062" s="6">
        <v>0.25997952917093098</v>
      </c>
      <c r="C10062" s="6">
        <v>0.45432177283116298</v>
      </c>
    </row>
    <row r="10063" spans="1:3" s="8" customFormat="1" x14ac:dyDescent="0.2">
      <c r="A10063" s="6" t="str">
        <f>"AC092295.2"</f>
        <v>AC092295.2</v>
      </c>
      <c r="B10063" s="6">
        <v>0.26</v>
      </c>
      <c r="C10063" s="6">
        <v>0.45432177283116298</v>
      </c>
    </row>
    <row r="10064" spans="1:3" s="8" customFormat="1" x14ac:dyDescent="0.2">
      <c r="A10064" s="6" t="str">
        <f>"NAP1L1"</f>
        <v>NAP1L1</v>
      </c>
      <c r="B10064" s="6">
        <v>0.26</v>
      </c>
      <c r="C10064" s="6">
        <v>0.45432177283116298</v>
      </c>
    </row>
    <row r="10065" spans="1:3" s="8" customFormat="1" x14ac:dyDescent="0.2">
      <c r="A10065" s="6" t="str">
        <f>"AC009093.1"</f>
        <v>AC009093.1</v>
      </c>
      <c r="B10065" s="6">
        <v>0.26073926073926001</v>
      </c>
      <c r="C10065" s="6">
        <v>0.454754925693231</v>
      </c>
    </row>
    <row r="10066" spans="1:3" s="8" customFormat="1" x14ac:dyDescent="0.2">
      <c r="A10066" s="6" t="str">
        <f>"AL391988.1"</f>
        <v>AL391988.1</v>
      </c>
      <c r="B10066" s="6">
        <v>0.26073926073926001</v>
      </c>
      <c r="C10066" s="6">
        <v>0.454754925693231</v>
      </c>
    </row>
    <row r="10067" spans="1:3" s="8" customFormat="1" x14ac:dyDescent="0.2">
      <c r="A10067" s="6" t="str">
        <f>"AJM1"</f>
        <v>AJM1</v>
      </c>
      <c r="B10067" s="6">
        <v>0.26073926073926001</v>
      </c>
      <c r="C10067" s="6">
        <v>0.454754925693231</v>
      </c>
    </row>
    <row r="10068" spans="1:3" s="8" customFormat="1" x14ac:dyDescent="0.2">
      <c r="A10068" s="6" t="str">
        <f>"CHAC1"</f>
        <v>CHAC1</v>
      </c>
      <c r="B10068" s="6">
        <v>0.26073926073926001</v>
      </c>
      <c r="C10068" s="6">
        <v>0.454754925693231</v>
      </c>
    </row>
    <row r="10069" spans="1:3" s="8" customFormat="1" x14ac:dyDescent="0.2">
      <c r="A10069" s="6" t="str">
        <f>"PTBP2"</f>
        <v>PTBP2</v>
      </c>
      <c r="B10069" s="6">
        <v>0.26073926073926001</v>
      </c>
      <c r="C10069" s="6">
        <v>0.454754925693231</v>
      </c>
    </row>
    <row r="10070" spans="1:3" s="8" customFormat="1" x14ac:dyDescent="0.2">
      <c r="A10070" s="6" t="str">
        <f>"CMYA5"</f>
        <v>CMYA5</v>
      </c>
      <c r="B10070" s="6">
        <v>0.26073926073926001</v>
      </c>
      <c r="C10070" s="6">
        <v>0.454754925693231</v>
      </c>
    </row>
    <row r="10071" spans="1:3" s="8" customFormat="1" x14ac:dyDescent="0.2">
      <c r="A10071" s="6" t="str">
        <f>"WDR12"</f>
        <v>WDR12</v>
      </c>
      <c r="B10071" s="6">
        <v>0.26073926073926001</v>
      </c>
      <c r="C10071" s="6">
        <v>0.454754925693231</v>
      </c>
    </row>
    <row r="10072" spans="1:3" s="8" customFormat="1" x14ac:dyDescent="0.2">
      <c r="A10072" s="6" t="str">
        <f>"MRPL13"</f>
        <v>MRPL13</v>
      </c>
      <c r="B10072" s="6">
        <v>0.26073926073926001</v>
      </c>
      <c r="C10072" s="6">
        <v>0.454754925693231</v>
      </c>
    </row>
    <row r="10073" spans="1:3" s="8" customFormat="1" x14ac:dyDescent="0.2">
      <c r="A10073" s="6" t="str">
        <f>"FGFRL1"</f>
        <v>FGFRL1</v>
      </c>
      <c r="B10073" s="6">
        <v>0.26073926073926001</v>
      </c>
      <c r="C10073" s="6">
        <v>0.454754925693231</v>
      </c>
    </row>
    <row r="10074" spans="1:3" s="8" customFormat="1" x14ac:dyDescent="0.2">
      <c r="A10074" s="6" t="str">
        <f>"ROBO1"</f>
        <v>ROBO1</v>
      </c>
      <c r="B10074" s="6">
        <v>0.26073926073926001</v>
      </c>
      <c r="C10074" s="6">
        <v>0.454754925693231</v>
      </c>
    </row>
    <row r="10075" spans="1:3" s="8" customFormat="1" x14ac:dyDescent="0.2">
      <c r="A10075" s="6" t="str">
        <f>"NME9"</f>
        <v>NME9</v>
      </c>
      <c r="B10075" s="6">
        <v>0.26073926073926001</v>
      </c>
      <c r="C10075" s="6">
        <v>0.454754925693231</v>
      </c>
    </row>
    <row r="10076" spans="1:3" s="8" customFormat="1" x14ac:dyDescent="0.2">
      <c r="A10076" s="6" t="str">
        <f>"STK16"</f>
        <v>STK16</v>
      </c>
      <c r="B10076" s="6">
        <v>0.26073926073926001</v>
      </c>
      <c r="C10076" s="6">
        <v>0.454754925693231</v>
      </c>
    </row>
    <row r="10077" spans="1:3" s="8" customFormat="1" x14ac:dyDescent="0.2">
      <c r="A10077" s="6" t="str">
        <f>"TUBG1"</f>
        <v>TUBG1</v>
      </c>
      <c r="B10077" s="6">
        <v>0.26073926073926001</v>
      </c>
      <c r="C10077" s="6">
        <v>0.454754925693231</v>
      </c>
    </row>
    <row r="10078" spans="1:3" s="8" customFormat="1" x14ac:dyDescent="0.2">
      <c r="A10078" s="6" t="str">
        <f>"NSF"</f>
        <v>NSF</v>
      </c>
      <c r="B10078" s="6">
        <v>0.26073926073926001</v>
      </c>
      <c r="C10078" s="6">
        <v>0.454754925693231</v>
      </c>
    </row>
    <row r="10079" spans="1:3" s="8" customFormat="1" x14ac:dyDescent="0.2">
      <c r="A10079" s="6" t="str">
        <f>"UBE2A"</f>
        <v>UBE2A</v>
      </c>
      <c r="B10079" s="6">
        <v>0.26073926073926001</v>
      </c>
      <c r="C10079" s="6">
        <v>0.454754925693231</v>
      </c>
    </row>
    <row r="10080" spans="1:3" s="8" customFormat="1" x14ac:dyDescent="0.2">
      <c r="A10080" s="6" t="str">
        <f>"RTF2"</f>
        <v>RTF2</v>
      </c>
      <c r="B10080" s="6">
        <v>0.26073926073926001</v>
      </c>
      <c r="C10080" s="6">
        <v>0.454754925693231</v>
      </c>
    </row>
    <row r="10081" spans="1:3" s="8" customFormat="1" x14ac:dyDescent="0.2">
      <c r="A10081" s="6" t="str">
        <f>"FBXO7"</f>
        <v>FBXO7</v>
      </c>
      <c r="B10081" s="6">
        <v>0.26073926073926001</v>
      </c>
      <c r="C10081" s="6">
        <v>0.454754925693231</v>
      </c>
    </row>
    <row r="10082" spans="1:3" s="8" customFormat="1" x14ac:dyDescent="0.2">
      <c r="A10082" s="6" t="str">
        <f>"UBE2L3"</f>
        <v>UBE2L3</v>
      </c>
      <c r="B10082" s="6">
        <v>0.26073926073926001</v>
      </c>
      <c r="C10082" s="6">
        <v>0.454754925693231</v>
      </c>
    </row>
    <row r="10083" spans="1:3" s="8" customFormat="1" x14ac:dyDescent="0.2">
      <c r="A10083" s="6" t="str">
        <f>"EEF2"</f>
        <v>EEF2</v>
      </c>
      <c r="B10083" s="6">
        <v>0.26073926073926001</v>
      </c>
      <c r="C10083" s="6">
        <v>0.454754925693231</v>
      </c>
    </row>
    <row r="10084" spans="1:3" s="8" customFormat="1" x14ac:dyDescent="0.2">
      <c r="A10084" s="6" t="str">
        <f>"TRAF3IP2"</f>
        <v>TRAF3IP2</v>
      </c>
      <c r="B10084" s="6">
        <v>0.26100000000000001</v>
      </c>
      <c r="C10084" s="6">
        <v>0.455164534364772</v>
      </c>
    </row>
    <row r="10085" spans="1:3" s="8" customFormat="1" x14ac:dyDescent="0.2">
      <c r="A10085" s="6" t="str">
        <f>"DMKN"</f>
        <v>DMKN</v>
      </c>
      <c r="B10085" s="6">
        <v>0.26126126126126098</v>
      </c>
      <c r="C10085" s="6">
        <v>0.455574972036693</v>
      </c>
    </row>
    <row r="10086" spans="1:3" s="8" customFormat="1" x14ac:dyDescent="0.2">
      <c r="A10086" s="6" t="str">
        <f>"AC006130.3"</f>
        <v>AC006130.3</v>
      </c>
      <c r="B10086" s="6">
        <v>0.26161616161616102</v>
      </c>
      <c r="C10086" s="6">
        <v>0.45559350568259699</v>
      </c>
    </row>
    <row r="10087" spans="1:3" s="8" customFormat="1" x14ac:dyDescent="0.2">
      <c r="A10087" s="6" t="str">
        <f>"C1orf229"</f>
        <v>C1orf229</v>
      </c>
      <c r="B10087" s="6">
        <v>0.26131687242798302</v>
      </c>
      <c r="C10087" s="6">
        <v>0.45559350568259699</v>
      </c>
    </row>
    <row r="10088" spans="1:3" s="8" customFormat="1" x14ac:dyDescent="0.2">
      <c r="A10088" s="6" t="str">
        <f>"TMEM74B"</f>
        <v>TMEM74B</v>
      </c>
      <c r="B10088" s="6">
        <v>0.26173826173826098</v>
      </c>
      <c r="C10088" s="6">
        <v>0.45559350568259699</v>
      </c>
    </row>
    <row r="10089" spans="1:3" s="8" customFormat="1" x14ac:dyDescent="0.2">
      <c r="A10089" s="6" t="str">
        <f>"LINC00653"</f>
        <v>LINC00653</v>
      </c>
      <c r="B10089" s="6">
        <v>0.26173826173826098</v>
      </c>
      <c r="C10089" s="6">
        <v>0.45559350568259699</v>
      </c>
    </row>
    <row r="10090" spans="1:3" s="8" customFormat="1" x14ac:dyDescent="0.2">
      <c r="A10090" s="6" t="str">
        <f>"C1GALT1C1L"</f>
        <v>C1GALT1C1L</v>
      </c>
      <c r="B10090" s="6">
        <v>0.26173826173826098</v>
      </c>
      <c r="C10090" s="6">
        <v>0.45559350568259699</v>
      </c>
    </row>
    <row r="10091" spans="1:3" s="8" customFormat="1" x14ac:dyDescent="0.2">
      <c r="A10091" s="6" t="str">
        <f>"TMEM200A"</f>
        <v>TMEM200A</v>
      </c>
      <c r="B10091" s="6">
        <v>0.26173826173826098</v>
      </c>
      <c r="C10091" s="6">
        <v>0.45559350568259699</v>
      </c>
    </row>
    <row r="10092" spans="1:3" s="8" customFormat="1" x14ac:dyDescent="0.2">
      <c r="A10092" s="6" t="str">
        <f>"MAP2K5"</f>
        <v>MAP2K5</v>
      </c>
      <c r="B10092" s="6">
        <v>0.26173826173826098</v>
      </c>
      <c r="C10092" s="6">
        <v>0.45559350568259699</v>
      </c>
    </row>
    <row r="10093" spans="1:3" s="8" customFormat="1" x14ac:dyDescent="0.2">
      <c r="A10093" s="6" t="str">
        <f>"CLASP2"</f>
        <v>CLASP2</v>
      </c>
      <c r="B10093" s="6">
        <v>0.26173826173826098</v>
      </c>
      <c r="C10093" s="6">
        <v>0.45559350568259699</v>
      </c>
    </row>
    <row r="10094" spans="1:3" s="8" customFormat="1" x14ac:dyDescent="0.2">
      <c r="A10094" s="6" t="str">
        <f>"HSD17B10"</f>
        <v>HSD17B10</v>
      </c>
      <c r="B10094" s="6">
        <v>0.26173826173826098</v>
      </c>
      <c r="C10094" s="6">
        <v>0.45559350568259699</v>
      </c>
    </row>
    <row r="10095" spans="1:3" s="8" customFormat="1" x14ac:dyDescent="0.2">
      <c r="A10095" s="6" t="str">
        <f>"TMED1"</f>
        <v>TMED1</v>
      </c>
      <c r="B10095" s="6">
        <v>0.26173826173826098</v>
      </c>
      <c r="C10095" s="6">
        <v>0.45559350568259699</v>
      </c>
    </row>
    <row r="10096" spans="1:3" s="8" customFormat="1" x14ac:dyDescent="0.2">
      <c r="A10096" s="6" t="str">
        <f>"TMEM222"</f>
        <v>TMEM222</v>
      </c>
      <c r="B10096" s="6">
        <v>0.26173826173826098</v>
      </c>
      <c r="C10096" s="6">
        <v>0.45559350568259699</v>
      </c>
    </row>
    <row r="10097" spans="1:3" s="8" customFormat="1" x14ac:dyDescent="0.2">
      <c r="A10097" s="6" t="str">
        <f>"PNKP"</f>
        <v>PNKP</v>
      </c>
      <c r="B10097" s="6">
        <v>0.26173826173826098</v>
      </c>
      <c r="C10097" s="6">
        <v>0.45559350568259699</v>
      </c>
    </row>
    <row r="10098" spans="1:3" s="8" customFormat="1" x14ac:dyDescent="0.2">
      <c r="A10098" s="6" t="str">
        <f>"ACADSB"</f>
        <v>ACADSB</v>
      </c>
      <c r="B10098" s="6">
        <v>0.26173826173826098</v>
      </c>
      <c r="C10098" s="6">
        <v>0.45559350568259699</v>
      </c>
    </row>
    <row r="10099" spans="1:3" s="8" customFormat="1" x14ac:dyDescent="0.2">
      <c r="A10099" s="6" t="str">
        <f>"LRRC71"</f>
        <v>LRRC71</v>
      </c>
      <c r="B10099" s="6">
        <v>0.26173826173826098</v>
      </c>
      <c r="C10099" s="6">
        <v>0.45559350568259699</v>
      </c>
    </row>
    <row r="10100" spans="1:3" s="8" customFormat="1" x14ac:dyDescent="0.2">
      <c r="A10100" s="6" t="str">
        <f>"STX10"</f>
        <v>STX10</v>
      </c>
      <c r="B10100" s="6">
        <v>0.26173826173826098</v>
      </c>
      <c r="C10100" s="6">
        <v>0.45559350568259699</v>
      </c>
    </row>
    <row r="10101" spans="1:3" s="8" customFormat="1" x14ac:dyDescent="0.2">
      <c r="A10101" s="6" t="str">
        <f>"FRK"</f>
        <v>FRK</v>
      </c>
      <c r="B10101" s="6">
        <v>0.26173826173826098</v>
      </c>
      <c r="C10101" s="6">
        <v>0.45559350568259699</v>
      </c>
    </row>
    <row r="10102" spans="1:3" s="8" customFormat="1" x14ac:dyDescent="0.2">
      <c r="A10102" s="6" t="str">
        <f>"SRSF2"</f>
        <v>SRSF2</v>
      </c>
      <c r="B10102" s="6">
        <v>0.26173826173826098</v>
      </c>
      <c r="C10102" s="6">
        <v>0.45559350568259699</v>
      </c>
    </row>
    <row r="10103" spans="1:3" s="8" customFormat="1" x14ac:dyDescent="0.2">
      <c r="A10103" s="6" t="str">
        <f>"SLC7A2"</f>
        <v>SLC7A2</v>
      </c>
      <c r="B10103" s="6">
        <v>0.26173826173826098</v>
      </c>
      <c r="C10103" s="6">
        <v>0.45559350568259699</v>
      </c>
    </row>
    <row r="10104" spans="1:3" s="8" customFormat="1" x14ac:dyDescent="0.2">
      <c r="A10104" s="6" t="str">
        <f>"NME5"</f>
        <v>NME5</v>
      </c>
      <c r="B10104" s="6">
        <v>0.26200000000000001</v>
      </c>
      <c r="C10104" s="6">
        <v>0.45600395922003301</v>
      </c>
    </row>
    <row r="10105" spans="1:3" s="8" customFormat="1" x14ac:dyDescent="0.2">
      <c r="A10105" s="6" t="str">
        <f>"TUBA8"</f>
        <v>TUBA8</v>
      </c>
      <c r="B10105" s="6">
        <v>0.262737262737262</v>
      </c>
      <c r="C10105" s="6">
        <v>0.45629353362686698</v>
      </c>
    </row>
    <row r="10106" spans="1:3" s="8" customFormat="1" x14ac:dyDescent="0.2">
      <c r="A10106" s="6" t="str">
        <f>"CPNE6"</f>
        <v>CPNE6</v>
      </c>
      <c r="B10106" s="6">
        <v>0.262737262737262</v>
      </c>
      <c r="C10106" s="6">
        <v>0.45629353362686698</v>
      </c>
    </row>
    <row r="10107" spans="1:3" s="8" customFormat="1" x14ac:dyDescent="0.2">
      <c r="A10107" s="6" t="str">
        <f>"H2BC16P"</f>
        <v>H2BC16P</v>
      </c>
      <c r="B10107" s="6">
        <v>0.262737262737262</v>
      </c>
      <c r="C10107" s="6">
        <v>0.45629353362686698</v>
      </c>
    </row>
    <row r="10108" spans="1:3" s="8" customFormat="1" x14ac:dyDescent="0.2">
      <c r="A10108" s="6" t="str">
        <f>"C14orf178"</f>
        <v>C14orf178</v>
      </c>
      <c r="B10108" s="6">
        <v>0.262737262737262</v>
      </c>
      <c r="C10108" s="6">
        <v>0.45629353362686698</v>
      </c>
    </row>
    <row r="10109" spans="1:3" s="8" customFormat="1" x14ac:dyDescent="0.2">
      <c r="A10109" s="6" t="str">
        <f>"TMPRSS11BNL"</f>
        <v>TMPRSS11BNL</v>
      </c>
      <c r="B10109" s="6">
        <v>0.262737262737262</v>
      </c>
      <c r="C10109" s="6">
        <v>0.45629353362686698</v>
      </c>
    </row>
    <row r="10110" spans="1:3" s="8" customFormat="1" x14ac:dyDescent="0.2">
      <c r="A10110" s="6" t="str">
        <f>"LRRD1"</f>
        <v>LRRD1</v>
      </c>
      <c r="B10110" s="6">
        <v>0.262737262737262</v>
      </c>
      <c r="C10110" s="6">
        <v>0.45629353362686698</v>
      </c>
    </row>
    <row r="10111" spans="1:3" s="8" customFormat="1" x14ac:dyDescent="0.2">
      <c r="A10111" s="6" t="str">
        <f>"TESPA1"</f>
        <v>TESPA1</v>
      </c>
      <c r="B10111" s="6">
        <v>0.262737262737262</v>
      </c>
      <c r="C10111" s="6">
        <v>0.45629353362686698</v>
      </c>
    </row>
    <row r="10112" spans="1:3" s="8" customFormat="1" x14ac:dyDescent="0.2">
      <c r="A10112" s="6" t="str">
        <f>"AC142472.1"</f>
        <v>AC142472.1</v>
      </c>
      <c r="B10112" s="6">
        <v>0.262737262737262</v>
      </c>
      <c r="C10112" s="6">
        <v>0.45629353362686698</v>
      </c>
    </row>
    <row r="10113" spans="1:3" s="8" customFormat="1" x14ac:dyDescent="0.2">
      <c r="A10113" s="6" t="str">
        <f>"CDCA3"</f>
        <v>CDCA3</v>
      </c>
      <c r="B10113" s="6">
        <v>0.262737262737262</v>
      </c>
      <c r="C10113" s="6">
        <v>0.45629353362686698</v>
      </c>
    </row>
    <row r="10114" spans="1:3" s="8" customFormat="1" x14ac:dyDescent="0.2">
      <c r="A10114" s="6" t="str">
        <f>"POLQ"</f>
        <v>POLQ</v>
      </c>
      <c r="B10114" s="6">
        <v>0.262737262737262</v>
      </c>
      <c r="C10114" s="6">
        <v>0.45629353362686698</v>
      </c>
    </row>
    <row r="10115" spans="1:3" s="8" customFormat="1" x14ac:dyDescent="0.2">
      <c r="A10115" s="6" t="str">
        <f>"TMEM242"</f>
        <v>TMEM242</v>
      </c>
      <c r="B10115" s="6">
        <v>0.262737262737262</v>
      </c>
      <c r="C10115" s="6">
        <v>0.45629353362686698</v>
      </c>
    </row>
    <row r="10116" spans="1:3" s="8" customFormat="1" x14ac:dyDescent="0.2">
      <c r="A10116" s="6" t="str">
        <f>"TINAGL1"</f>
        <v>TINAGL1</v>
      </c>
      <c r="B10116" s="6">
        <v>0.262737262737262</v>
      </c>
      <c r="C10116" s="6">
        <v>0.45629353362686698</v>
      </c>
    </row>
    <row r="10117" spans="1:3" s="8" customFormat="1" x14ac:dyDescent="0.2">
      <c r="A10117" s="6" t="str">
        <f>"MOB3C"</f>
        <v>MOB3C</v>
      </c>
      <c r="B10117" s="6">
        <v>0.262737262737262</v>
      </c>
      <c r="C10117" s="6">
        <v>0.45629353362686698</v>
      </c>
    </row>
    <row r="10118" spans="1:3" s="8" customFormat="1" x14ac:dyDescent="0.2">
      <c r="A10118" s="6" t="str">
        <f>"TAF4"</f>
        <v>TAF4</v>
      </c>
      <c r="B10118" s="6">
        <v>0.262737262737262</v>
      </c>
      <c r="C10118" s="6">
        <v>0.45629353362686698</v>
      </c>
    </row>
    <row r="10119" spans="1:3" s="8" customFormat="1" x14ac:dyDescent="0.2">
      <c r="A10119" s="6" t="str">
        <f>"COMMD6"</f>
        <v>COMMD6</v>
      </c>
      <c r="B10119" s="6">
        <v>0.262737262737262</v>
      </c>
      <c r="C10119" s="6">
        <v>0.45629353362686698</v>
      </c>
    </row>
    <row r="10120" spans="1:3" s="8" customFormat="1" x14ac:dyDescent="0.2">
      <c r="A10120" s="6" t="str">
        <f>"TARS2"</f>
        <v>TARS2</v>
      </c>
      <c r="B10120" s="6">
        <v>0.262737262737262</v>
      </c>
      <c r="C10120" s="6">
        <v>0.45629353362686698</v>
      </c>
    </row>
    <row r="10121" spans="1:3" s="8" customFormat="1" x14ac:dyDescent="0.2">
      <c r="A10121" s="6" t="str">
        <f>"AL035661.1"</f>
        <v>AL035661.1</v>
      </c>
      <c r="B10121" s="6">
        <v>0.262737262737262</v>
      </c>
      <c r="C10121" s="6">
        <v>0.45629353362686698</v>
      </c>
    </row>
    <row r="10122" spans="1:3" s="8" customFormat="1" x14ac:dyDescent="0.2">
      <c r="A10122" s="6" t="str">
        <f>"DSTYK"</f>
        <v>DSTYK</v>
      </c>
      <c r="B10122" s="6">
        <v>0.262737262737262</v>
      </c>
      <c r="C10122" s="6">
        <v>0.45629353362686698</v>
      </c>
    </row>
    <row r="10123" spans="1:3" s="8" customFormat="1" x14ac:dyDescent="0.2">
      <c r="A10123" s="6" t="str">
        <f>"MGST3"</f>
        <v>MGST3</v>
      </c>
      <c r="B10123" s="6">
        <v>0.262737262737262</v>
      </c>
      <c r="C10123" s="6">
        <v>0.45629353362686698</v>
      </c>
    </row>
    <row r="10124" spans="1:3" s="8" customFormat="1" x14ac:dyDescent="0.2">
      <c r="A10124" s="6" t="str">
        <f>"DPP3"</f>
        <v>DPP3</v>
      </c>
      <c r="B10124" s="6">
        <v>0.262737262737262</v>
      </c>
      <c r="C10124" s="6">
        <v>0.45629353362686698</v>
      </c>
    </row>
    <row r="10125" spans="1:3" s="8" customFormat="1" x14ac:dyDescent="0.2">
      <c r="A10125" s="6" t="str">
        <f>"NFX1"</f>
        <v>NFX1</v>
      </c>
      <c r="B10125" s="6">
        <v>0.262737262737262</v>
      </c>
      <c r="C10125" s="6">
        <v>0.45629353362686698</v>
      </c>
    </row>
    <row r="10126" spans="1:3" s="8" customFormat="1" x14ac:dyDescent="0.2">
      <c r="A10126" s="6" t="str">
        <f>"NME2"</f>
        <v>NME2</v>
      </c>
      <c r="B10126" s="6">
        <v>0.262737262737262</v>
      </c>
      <c r="C10126" s="6">
        <v>0.45629353362686698</v>
      </c>
    </row>
    <row r="10127" spans="1:3" s="8" customFormat="1" x14ac:dyDescent="0.2">
      <c r="A10127" s="6" t="str">
        <f>"AL157911.1"</f>
        <v>AL157911.1</v>
      </c>
      <c r="B10127" s="6">
        <v>0.26300000000000001</v>
      </c>
      <c r="C10127" s="6">
        <v>0.45665962279055899</v>
      </c>
    </row>
    <row r="10128" spans="1:3" s="8" customFormat="1" x14ac:dyDescent="0.2">
      <c r="A10128" s="6" t="str">
        <f>"AC079741.2"</f>
        <v>AC079741.2</v>
      </c>
      <c r="B10128" s="6">
        <v>0.26300000000000001</v>
      </c>
      <c r="C10128" s="6">
        <v>0.45665962279055899</v>
      </c>
    </row>
    <row r="10129" spans="1:3" s="8" customFormat="1" x14ac:dyDescent="0.2">
      <c r="A10129" s="6" t="str">
        <f>"AL021396.1"</f>
        <v>AL021396.1</v>
      </c>
      <c r="B10129" s="6">
        <v>0.26373626373626302</v>
      </c>
      <c r="C10129" s="6">
        <v>0.45690034103827198</v>
      </c>
    </row>
    <row r="10130" spans="1:3" s="8" customFormat="1" x14ac:dyDescent="0.2">
      <c r="A10130" s="6" t="str">
        <f>"AC011477.7"</f>
        <v>AC011477.7</v>
      </c>
      <c r="B10130" s="6">
        <v>0.26373626373626302</v>
      </c>
      <c r="C10130" s="6">
        <v>0.45690034103827198</v>
      </c>
    </row>
    <row r="10131" spans="1:3" s="8" customFormat="1" x14ac:dyDescent="0.2">
      <c r="A10131" s="6" t="str">
        <f>"AC099552.5"</f>
        <v>AC099552.5</v>
      </c>
      <c r="B10131" s="6">
        <v>0.26373626373626302</v>
      </c>
      <c r="C10131" s="6">
        <v>0.45690034103827198</v>
      </c>
    </row>
    <row r="10132" spans="1:3" s="8" customFormat="1" x14ac:dyDescent="0.2">
      <c r="A10132" s="6" t="str">
        <f>"B3GAT1"</f>
        <v>B3GAT1</v>
      </c>
      <c r="B10132" s="6">
        <v>0.26373626373626302</v>
      </c>
      <c r="C10132" s="6">
        <v>0.45690034103827198</v>
      </c>
    </row>
    <row r="10133" spans="1:3" s="8" customFormat="1" x14ac:dyDescent="0.2">
      <c r="A10133" s="6" t="str">
        <f>"AC109460.1"</f>
        <v>AC109460.1</v>
      </c>
      <c r="B10133" s="6">
        <v>0.26373626373626302</v>
      </c>
      <c r="C10133" s="6">
        <v>0.45690034103827198</v>
      </c>
    </row>
    <row r="10134" spans="1:3" s="8" customFormat="1" x14ac:dyDescent="0.2">
      <c r="A10134" s="6" t="str">
        <f>"MEIS1-AS2"</f>
        <v>MEIS1-AS2</v>
      </c>
      <c r="B10134" s="6">
        <v>0.263211382113821</v>
      </c>
      <c r="C10134" s="6">
        <v>0.45690034103827198</v>
      </c>
    </row>
    <row r="10135" spans="1:3" s="8" customFormat="1" x14ac:dyDescent="0.2">
      <c r="A10135" s="6" t="str">
        <f>"AC091060.1"</f>
        <v>AC091060.1</v>
      </c>
      <c r="B10135" s="6">
        <v>0.26373626373626302</v>
      </c>
      <c r="C10135" s="6">
        <v>0.45690034103827198</v>
      </c>
    </row>
    <row r="10136" spans="1:3" s="8" customFormat="1" x14ac:dyDescent="0.2">
      <c r="A10136" s="6" t="str">
        <f>"LINC01602"</f>
        <v>LINC01602</v>
      </c>
      <c r="B10136" s="6">
        <v>0.26373626373626302</v>
      </c>
      <c r="C10136" s="6">
        <v>0.45690034103827198</v>
      </c>
    </row>
    <row r="10137" spans="1:3" s="8" customFormat="1" x14ac:dyDescent="0.2">
      <c r="A10137" s="6" t="str">
        <f>"AC133644.2"</f>
        <v>AC133644.2</v>
      </c>
      <c r="B10137" s="6">
        <v>0.26373626373626302</v>
      </c>
      <c r="C10137" s="6">
        <v>0.45690034103827198</v>
      </c>
    </row>
    <row r="10138" spans="1:3" s="8" customFormat="1" x14ac:dyDescent="0.2">
      <c r="A10138" s="6" t="str">
        <f>"AC015982.2"</f>
        <v>AC015982.2</v>
      </c>
      <c r="B10138" s="6">
        <v>0.26373626373626302</v>
      </c>
      <c r="C10138" s="6">
        <v>0.45690034103827198</v>
      </c>
    </row>
    <row r="10139" spans="1:3" s="8" customFormat="1" x14ac:dyDescent="0.2">
      <c r="A10139" s="6" t="str">
        <f>"SVOP"</f>
        <v>SVOP</v>
      </c>
      <c r="B10139" s="6">
        <v>0.26373626373626302</v>
      </c>
      <c r="C10139" s="6">
        <v>0.45690034103827198</v>
      </c>
    </row>
    <row r="10140" spans="1:3" s="8" customFormat="1" x14ac:dyDescent="0.2">
      <c r="A10140" s="6" t="str">
        <f>"AC079140.6"</f>
        <v>AC079140.6</v>
      </c>
      <c r="B10140" s="6">
        <v>0.26373626373626302</v>
      </c>
      <c r="C10140" s="6">
        <v>0.45690034103827198</v>
      </c>
    </row>
    <row r="10141" spans="1:3" s="8" customFormat="1" x14ac:dyDescent="0.2">
      <c r="A10141" s="6" t="str">
        <f>"FAM238C"</f>
        <v>FAM238C</v>
      </c>
      <c r="B10141" s="6">
        <v>0.26373626373626302</v>
      </c>
      <c r="C10141" s="6">
        <v>0.45690034103827198</v>
      </c>
    </row>
    <row r="10142" spans="1:3" s="8" customFormat="1" x14ac:dyDescent="0.2">
      <c r="A10142" s="6" t="str">
        <f>"NKAPL"</f>
        <v>NKAPL</v>
      </c>
      <c r="B10142" s="6">
        <v>0.26373626373626302</v>
      </c>
      <c r="C10142" s="6">
        <v>0.45690034103827198</v>
      </c>
    </row>
    <row r="10143" spans="1:3" s="8" customFormat="1" x14ac:dyDescent="0.2">
      <c r="A10143" s="6" t="str">
        <f>"ZNF57"</f>
        <v>ZNF57</v>
      </c>
      <c r="B10143" s="6">
        <v>0.26373626373626302</v>
      </c>
      <c r="C10143" s="6">
        <v>0.45690034103827198</v>
      </c>
    </row>
    <row r="10144" spans="1:3" s="8" customFormat="1" x14ac:dyDescent="0.2">
      <c r="A10144" s="6" t="str">
        <f>"GCDH"</f>
        <v>GCDH</v>
      </c>
      <c r="B10144" s="6">
        <v>0.26373626373626302</v>
      </c>
      <c r="C10144" s="6">
        <v>0.45690034103827198</v>
      </c>
    </row>
    <row r="10145" spans="1:3" s="8" customFormat="1" x14ac:dyDescent="0.2">
      <c r="A10145" s="6" t="str">
        <f>"EIF1AD"</f>
        <v>EIF1AD</v>
      </c>
      <c r="B10145" s="6">
        <v>0.26373626373626302</v>
      </c>
      <c r="C10145" s="6">
        <v>0.45690034103827198</v>
      </c>
    </row>
    <row r="10146" spans="1:3" s="8" customFormat="1" x14ac:dyDescent="0.2">
      <c r="A10146" s="6" t="str">
        <f>"PELO"</f>
        <v>PELO</v>
      </c>
      <c r="B10146" s="6">
        <v>0.26373626373626302</v>
      </c>
      <c r="C10146" s="6">
        <v>0.45690034103827198</v>
      </c>
    </row>
    <row r="10147" spans="1:3" s="8" customFormat="1" x14ac:dyDescent="0.2">
      <c r="A10147" s="6" t="str">
        <f>"TTBK2"</f>
        <v>TTBK2</v>
      </c>
      <c r="B10147" s="6">
        <v>0.26373626373626302</v>
      </c>
      <c r="C10147" s="6">
        <v>0.45690034103827198</v>
      </c>
    </row>
    <row r="10148" spans="1:3" s="8" customFormat="1" x14ac:dyDescent="0.2">
      <c r="A10148" s="6" t="str">
        <f>"PGRMC2"</f>
        <v>PGRMC2</v>
      </c>
      <c r="B10148" s="6">
        <v>0.26373626373626302</v>
      </c>
      <c r="C10148" s="6">
        <v>0.45690034103827198</v>
      </c>
    </row>
    <row r="10149" spans="1:3" s="8" customFormat="1" x14ac:dyDescent="0.2">
      <c r="A10149" s="6" t="str">
        <f>"YARS1"</f>
        <v>YARS1</v>
      </c>
      <c r="B10149" s="6">
        <v>0.26373626373626302</v>
      </c>
      <c r="C10149" s="6">
        <v>0.45690034103827198</v>
      </c>
    </row>
    <row r="10150" spans="1:3" s="8" customFormat="1" x14ac:dyDescent="0.2">
      <c r="A10150" s="6" t="str">
        <f>"PKP4"</f>
        <v>PKP4</v>
      </c>
      <c r="B10150" s="6">
        <v>0.26373626373626302</v>
      </c>
      <c r="C10150" s="6">
        <v>0.45690034103827198</v>
      </c>
    </row>
    <row r="10151" spans="1:3" s="8" customFormat="1" x14ac:dyDescent="0.2">
      <c r="A10151" s="6" t="str">
        <f>"RIPK4"</f>
        <v>RIPK4</v>
      </c>
      <c r="B10151" s="6">
        <v>0.26373626373626302</v>
      </c>
      <c r="C10151" s="6">
        <v>0.45690034103827198</v>
      </c>
    </row>
    <row r="10152" spans="1:3" s="8" customFormat="1" x14ac:dyDescent="0.2">
      <c r="A10152" s="6" t="str">
        <f>"MORF4L2-AS1"</f>
        <v>MORF4L2-AS1</v>
      </c>
      <c r="B10152" s="6">
        <v>0.26405622489959801</v>
      </c>
      <c r="C10152" s="6">
        <v>0.45740958118752201</v>
      </c>
    </row>
    <row r="10153" spans="1:3" s="8" customFormat="1" x14ac:dyDescent="0.2">
      <c r="A10153" s="6" t="str">
        <f>"HIGD2B"</f>
        <v>HIGD2B</v>
      </c>
      <c r="B10153" s="6">
        <v>0.26473526473526399</v>
      </c>
      <c r="C10153" s="6">
        <v>0.45772909489723601</v>
      </c>
    </row>
    <row r="10154" spans="1:3" s="8" customFormat="1" x14ac:dyDescent="0.2">
      <c r="A10154" s="6" t="str">
        <f>"ITGA10"</f>
        <v>ITGA10</v>
      </c>
      <c r="B10154" s="6">
        <v>0.26473526473526399</v>
      </c>
      <c r="C10154" s="6">
        <v>0.45772909489723601</v>
      </c>
    </row>
    <row r="10155" spans="1:3" s="8" customFormat="1" x14ac:dyDescent="0.2">
      <c r="A10155" s="6" t="str">
        <f>"NR1I2"</f>
        <v>NR1I2</v>
      </c>
      <c r="B10155" s="6">
        <v>0.26473526473526399</v>
      </c>
      <c r="C10155" s="6">
        <v>0.45772909489723601</v>
      </c>
    </row>
    <row r="10156" spans="1:3" s="8" customFormat="1" x14ac:dyDescent="0.2">
      <c r="A10156" s="6" t="str">
        <f>"AC011477.1"</f>
        <v>AC011477.1</v>
      </c>
      <c r="B10156" s="6">
        <v>0.26473526473526399</v>
      </c>
      <c r="C10156" s="6">
        <v>0.45772909489723601</v>
      </c>
    </row>
    <row r="10157" spans="1:3" s="8" customFormat="1" x14ac:dyDescent="0.2">
      <c r="A10157" s="6" t="str">
        <f>"SLC30A4"</f>
        <v>SLC30A4</v>
      </c>
      <c r="B10157" s="6">
        <v>0.26473526473526399</v>
      </c>
      <c r="C10157" s="6">
        <v>0.45772909489723601</v>
      </c>
    </row>
    <row r="10158" spans="1:3" s="8" customFormat="1" x14ac:dyDescent="0.2">
      <c r="A10158" s="6" t="str">
        <f>"HSPE1-MOB4"</f>
        <v>HSPE1-MOB4</v>
      </c>
      <c r="B10158" s="6">
        <v>0.26473526473526399</v>
      </c>
      <c r="C10158" s="6">
        <v>0.45772909489723601</v>
      </c>
    </row>
    <row r="10159" spans="1:3" s="8" customFormat="1" x14ac:dyDescent="0.2">
      <c r="A10159" s="6" t="str">
        <f>"FAM66D"</f>
        <v>FAM66D</v>
      </c>
      <c r="B10159" s="6">
        <v>0.26473526473526399</v>
      </c>
      <c r="C10159" s="6">
        <v>0.45772909489723601</v>
      </c>
    </row>
    <row r="10160" spans="1:3" s="8" customFormat="1" x14ac:dyDescent="0.2">
      <c r="A10160" s="6" t="str">
        <f>"AC005083.1"</f>
        <v>AC005083.1</v>
      </c>
      <c r="B10160" s="6">
        <v>0.26473526473526399</v>
      </c>
      <c r="C10160" s="6">
        <v>0.45772909489723601</v>
      </c>
    </row>
    <row r="10161" spans="1:3" s="8" customFormat="1" x14ac:dyDescent="0.2">
      <c r="A10161" s="6" t="str">
        <f>"USP27X"</f>
        <v>USP27X</v>
      </c>
      <c r="B10161" s="6">
        <v>0.26473526473526399</v>
      </c>
      <c r="C10161" s="6">
        <v>0.45772909489723601</v>
      </c>
    </row>
    <row r="10162" spans="1:3" s="8" customFormat="1" x14ac:dyDescent="0.2">
      <c r="A10162" s="6" t="str">
        <f>"TMEM42"</f>
        <v>TMEM42</v>
      </c>
      <c r="B10162" s="6">
        <v>0.26473526473526399</v>
      </c>
      <c r="C10162" s="6">
        <v>0.45772909489723601</v>
      </c>
    </row>
    <row r="10163" spans="1:3" s="8" customFormat="1" x14ac:dyDescent="0.2">
      <c r="A10163" s="6" t="str">
        <f>"AC025539.1"</f>
        <v>AC025539.1</v>
      </c>
      <c r="B10163" s="6">
        <v>0.26473526473526399</v>
      </c>
      <c r="C10163" s="6">
        <v>0.45772909489723601</v>
      </c>
    </row>
    <row r="10164" spans="1:3" s="8" customFormat="1" x14ac:dyDescent="0.2">
      <c r="A10164" s="6" t="str">
        <f>"CNEP1R1"</f>
        <v>CNEP1R1</v>
      </c>
      <c r="B10164" s="6">
        <v>0.26473526473526399</v>
      </c>
      <c r="C10164" s="6">
        <v>0.45772909489723601</v>
      </c>
    </row>
    <row r="10165" spans="1:3" s="8" customFormat="1" x14ac:dyDescent="0.2">
      <c r="A10165" s="6" t="str">
        <f>"TATDN1"</f>
        <v>TATDN1</v>
      </c>
      <c r="B10165" s="6">
        <v>0.26473526473526399</v>
      </c>
      <c r="C10165" s="6">
        <v>0.45772909489723601</v>
      </c>
    </row>
    <row r="10166" spans="1:3" s="8" customFormat="1" x14ac:dyDescent="0.2">
      <c r="A10166" s="6" t="str">
        <f>"NBPF10"</f>
        <v>NBPF10</v>
      </c>
      <c r="B10166" s="6">
        <v>0.26473526473526399</v>
      </c>
      <c r="C10166" s="6">
        <v>0.45772909489723601</v>
      </c>
    </row>
    <row r="10167" spans="1:3" s="8" customFormat="1" x14ac:dyDescent="0.2">
      <c r="A10167" s="6" t="str">
        <f>"KPNA2"</f>
        <v>KPNA2</v>
      </c>
      <c r="B10167" s="6">
        <v>0.26473526473526399</v>
      </c>
      <c r="C10167" s="6">
        <v>0.45772909489723601</v>
      </c>
    </row>
    <row r="10168" spans="1:3" s="8" customFormat="1" x14ac:dyDescent="0.2">
      <c r="A10168" s="6" t="str">
        <f>"SAV1"</f>
        <v>SAV1</v>
      </c>
      <c r="B10168" s="6">
        <v>0.26473526473526399</v>
      </c>
      <c r="C10168" s="6">
        <v>0.45772909489723601</v>
      </c>
    </row>
    <row r="10169" spans="1:3" s="8" customFormat="1" x14ac:dyDescent="0.2">
      <c r="A10169" s="6" t="str">
        <f>"TIMM50"</f>
        <v>TIMM50</v>
      </c>
      <c r="B10169" s="6">
        <v>0.26473526473526399</v>
      </c>
      <c r="C10169" s="6">
        <v>0.45772909489723601</v>
      </c>
    </row>
    <row r="10170" spans="1:3" s="8" customFormat="1" x14ac:dyDescent="0.2">
      <c r="A10170" s="6" t="str">
        <f>"LLGL2"</f>
        <v>LLGL2</v>
      </c>
      <c r="B10170" s="6">
        <v>0.26473526473526399</v>
      </c>
      <c r="C10170" s="6">
        <v>0.45772909489723601</v>
      </c>
    </row>
    <row r="10171" spans="1:3" s="8" customFormat="1" x14ac:dyDescent="0.2">
      <c r="A10171" s="6" t="str">
        <f>"LRRFIP1"</f>
        <v>LRRFIP1</v>
      </c>
      <c r="B10171" s="6">
        <v>0.26473526473526399</v>
      </c>
      <c r="C10171" s="6">
        <v>0.45772909489723601</v>
      </c>
    </row>
    <row r="10172" spans="1:3" s="8" customFormat="1" x14ac:dyDescent="0.2">
      <c r="A10172" s="6" t="str">
        <f>"AL008730.1"</f>
        <v>AL008730.1</v>
      </c>
      <c r="B10172" s="6">
        <v>0.26500000000000001</v>
      </c>
      <c r="C10172" s="6">
        <v>0.45814177563661301</v>
      </c>
    </row>
    <row r="10173" spans="1:3" s="8" customFormat="1" x14ac:dyDescent="0.2">
      <c r="A10173" s="6" t="str">
        <f>"AL136982.6"</f>
        <v>AL136982.6</v>
      </c>
      <c r="B10173" s="6">
        <v>0.26573426573426501</v>
      </c>
      <c r="C10173" s="6">
        <v>0.45873466804155899</v>
      </c>
    </row>
    <row r="10174" spans="1:3" s="8" customFormat="1" x14ac:dyDescent="0.2">
      <c r="A10174" s="6" t="str">
        <f>"MORC2-AS1"</f>
        <v>MORC2-AS1</v>
      </c>
      <c r="B10174" s="6">
        <v>0.26573426573426501</v>
      </c>
      <c r="C10174" s="6">
        <v>0.45873466804155899</v>
      </c>
    </row>
    <row r="10175" spans="1:3" s="8" customFormat="1" x14ac:dyDescent="0.2">
      <c r="A10175" s="6" t="str">
        <f>"RHBG"</f>
        <v>RHBG</v>
      </c>
      <c r="B10175" s="6">
        <v>0.26573426573426501</v>
      </c>
      <c r="C10175" s="6">
        <v>0.45873466804155899</v>
      </c>
    </row>
    <row r="10176" spans="1:3" s="8" customFormat="1" x14ac:dyDescent="0.2">
      <c r="A10176" s="6" t="str">
        <f>"AC008770.3"</f>
        <v>AC008770.3</v>
      </c>
      <c r="B10176" s="6">
        <v>0.26573426573426501</v>
      </c>
      <c r="C10176" s="6">
        <v>0.45873466804155899</v>
      </c>
    </row>
    <row r="10177" spans="1:3" s="8" customFormat="1" x14ac:dyDescent="0.2">
      <c r="A10177" s="6" t="str">
        <f>"AL035252.3"</f>
        <v>AL035252.3</v>
      </c>
      <c r="B10177" s="6">
        <v>0.26573426573426501</v>
      </c>
      <c r="C10177" s="6">
        <v>0.45873466804155899</v>
      </c>
    </row>
    <row r="10178" spans="1:3" s="8" customFormat="1" x14ac:dyDescent="0.2">
      <c r="A10178" s="6" t="str">
        <f>"AADAT"</f>
        <v>AADAT</v>
      </c>
      <c r="B10178" s="6">
        <v>0.26573426573426501</v>
      </c>
      <c r="C10178" s="6">
        <v>0.45873466804155899</v>
      </c>
    </row>
    <row r="10179" spans="1:3" s="8" customFormat="1" x14ac:dyDescent="0.2">
      <c r="A10179" s="6" t="str">
        <f>"TADA1"</f>
        <v>TADA1</v>
      </c>
      <c r="B10179" s="6">
        <v>0.26573426573426501</v>
      </c>
      <c r="C10179" s="6">
        <v>0.45873466804155899</v>
      </c>
    </row>
    <row r="10180" spans="1:3" s="8" customFormat="1" x14ac:dyDescent="0.2">
      <c r="A10180" s="6" t="str">
        <f>"BX890604.1"</f>
        <v>BX890604.1</v>
      </c>
      <c r="B10180" s="6">
        <v>0.26573426573426501</v>
      </c>
      <c r="C10180" s="6">
        <v>0.45873466804155899</v>
      </c>
    </row>
    <row r="10181" spans="1:3" s="8" customFormat="1" x14ac:dyDescent="0.2">
      <c r="A10181" s="6" t="str">
        <f>"AP5M1"</f>
        <v>AP5M1</v>
      </c>
      <c r="B10181" s="6">
        <v>0.26573426573426501</v>
      </c>
      <c r="C10181" s="6">
        <v>0.45873466804155899</v>
      </c>
    </row>
    <row r="10182" spans="1:3" s="8" customFormat="1" x14ac:dyDescent="0.2">
      <c r="A10182" s="6" t="str">
        <f>"DARS1"</f>
        <v>DARS1</v>
      </c>
      <c r="B10182" s="6">
        <v>0.26573426573426501</v>
      </c>
      <c r="C10182" s="6">
        <v>0.45873466804155899</v>
      </c>
    </row>
    <row r="10183" spans="1:3" s="8" customFormat="1" x14ac:dyDescent="0.2">
      <c r="A10183" s="6" t="str">
        <f>"RNF31"</f>
        <v>RNF31</v>
      </c>
      <c r="B10183" s="6">
        <v>0.26573426573426501</v>
      </c>
      <c r="C10183" s="6">
        <v>0.45873466804155899</v>
      </c>
    </row>
    <row r="10184" spans="1:3" s="8" customFormat="1" x14ac:dyDescent="0.2">
      <c r="A10184" s="6" t="str">
        <f>"SIX2"</f>
        <v>SIX2</v>
      </c>
      <c r="B10184" s="6">
        <v>0.26573426573426501</v>
      </c>
      <c r="C10184" s="6">
        <v>0.45873466804155899</v>
      </c>
    </row>
    <row r="10185" spans="1:3" s="8" customFormat="1" x14ac:dyDescent="0.2">
      <c r="A10185" s="6" t="str">
        <f>"TMEM94"</f>
        <v>TMEM94</v>
      </c>
      <c r="B10185" s="6">
        <v>0.26573426573426501</v>
      </c>
      <c r="C10185" s="6">
        <v>0.45873466804155899</v>
      </c>
    </row>
    <row r="10186" spans="1:3" s="8" customFormat="1" x14ac:dyDescent="0.2">
      <c r="A10186" s="6" t="str">
        <f>"RPS29"</f>
        <v>RPS29</v>
      </c>
      <c r="B10186" s="6">
        <v>0.26573426573426501</v>
      </c>
      <c r="C10186" s="6">
        <v>0.45873466804155899</v>
      </c>
    </row>
    <row r="10187" spans="1:3" s="8" customFormat="1" x14ac:dyDescent="0.2">
      <c r="A10187" s="6" t="str">
        <f>"RHOA"</f>
        <v>RHOA</v>
      </c>
      <c r="B10187" s="6">
        <v>0.26573426573426501</v>
      </c>
      <c r="C10187" s="6">
        <v>0.45873466804155899</v>
      </c>
    </row>
    <row r="10188" spans="1:3" s="8" customFormat="1" x14ac:dyDescent="0.2">
      <c r="A10188" s="6" t="str">
        <f>"UTS2B"</f>
        <v>UTS2B</v>
      </c>
      <c r="B10188" s="6">
        <v>0.26597938144329802</v>
      </c>
      <c r="C10188" s="6">
        <v>0.45911273616363601</v>
      </c>
    </row>
    <row r="10189" spans="1:3" s="8" customFormat="1" x14ac:dyDescent="0.2">
      <c r="A10189" s="6" t="str">
        <f>"EFCC1"</f>
        <v>EFCC1</v>
      </c>
      <c r="B10189" s="6">
        <v>0.26673326673326597</v>
      </c>
      <c r="C10189" s="6">
        <v>0.45987231711322302</v>
      </c>
    </row>
    <row r="10190" spans="1:3" s="8" customFormat="1" x14ac:dyDescent="0.2">
      <c r="A10190" s="6" t="str">
        <f>"DLX3"</f>
        <v>DLX3</v>
      </c>
      <c r="B10190" s="6">
        <v>0.26673326673326597</v>
      </c>
      <c r="C10190" s="6">
        <v>0.45987231711322302</v>
      </c>
    </row>
    <row r="10191" spans="1:3" s="8" customFormat="1" x14ac:dyDescent="0.2">
      <c r="A10191" s="6" t="str">
        <f>"SEC23A"</f>
        <v>SEC23A</v>
      </c>
      <c r="B10191" s="6">
        <v>0.26673326673326597</v>
      </c>
      <c r="C10191" s="6">
        <v>0.45987231711322302</v>
      </c>
    </row>
    <row r="10192" spans="1:3" s="8" customFormat="1" x14ac:dyDescent="0.2">
      <c r="A10192" s="6" t="str">
        <f>"WDR74"</f>
        <v>WDR74</v>
      </c>
      <c r="B10192" s="6">
        <v>0.26673326673326597</v>
      </c>
      <c r="C10192" s="6">
        <v>0.45987231711322302</v>
      </c>
    </row>
    <row r="10193" spans="1:3" s="8" customFormat="1" x14ac:dyDescent="0.2">
      <c r="A10193" s="6" t="str">
        <f>"NCAPD2"</f>
        <v>NCAPD2</v>
      </c>
      <c r="B10193" s="6">
        <v>0.26673326673326597</v>
      </c>
      <c r="C10193" s="6">
        <v>0.45987231711322302</v>
      </c>
    </row>
    <row r="10194" spans="1:3" s="8" customFormat="1" x14ac:dyDescent="0.2">
      <c r="A10194" s="6" t="str">
        <f>"MON2"</f>
        <v>MON2</v>
      </c>
      <c r="B10194" s="6">
        <v>0.26673326673326597</v>
      </c>
      <c r="C10194" s="6">
        <v>0.45987231711322302</v>
      </c>
    </row>
    <row r="10195" spans="1:3" s="8" customFormat="1" x14ac:dyDescent="0.2">
      <c r="A10195" s="6" t="str">
        <f>"TMEM98"</f>
        <v>TMEM98</v>
      </c>
      <c r="B10195" s="6">
        <v>0.26673326673326597</v>
      </c>
      <c r="C10195" s="6">
        <v>0.45987231711322302</v>
      </c>
    </row>
    <row r="10196" spans="1:3" s="8" customFormat="1" x14ac:dyDescent="0.2">
      <c r="A10196" s="6" t="str">
        <f>"XYLT2"</f>
        <v>XYLT2</v>
      </c>
      <c r="B10196" s="6">
        <v>0.26673326673326597</v>
      </c>
      <c r="C10196" s="6">
        <v>0.45987231711322302</v>
      </c>
    </row>
    <row r="10197" spans="1:3" s="8" customFormat="1" x14ac:dyDescent="0.2">
      <c r="A10197" s="6" t="str">
        <f>"PRRT3"</f>
        <v>PRRT3</v>
      </c>
      <c r="B10197" s="6">
        <v>0.26673326673326597</v>
      </c>
      <c r="C10197" s="6">
        <v>0.45987231711322302</v>
      </c>
    </row>
    <row r="10198" spans="1:3" s="8" customFormat="1" x14ac:dyDescent="0.2">
      <c r="A10198" s="6" t="str">
        <f>"SLC35A4"</f>
        <v>SLC35A4</v>
      </c>
      <c r="B10198" s="6">
        <v>0.26673326673326597</v>
      </c>
      <c r="C10198" s="6">
        <v>0.45987231711322302</v>
      </c>
    </row>
    <row r="10199" spans="1:3" s="8" customFormat="1" x14ac:dyDescent="0.2">
      <c r="A10199" s="6" t="str">
        <f>"ATP6V0E1"</f>
        <v>ATP6V0E1</v>
      </c>
      <c r="B10199" s="6">
        <v>0.26673326673326597</v>
      </c>
      <c r="C10199" s="6">
        <v>0.45987231711322302</v>
      </c>
    </row>
    <row r="10200" spans="1:3" s="8" customFormat="1" x14ac:dyDescent="0.2">
      <c r="A10200" s="6" t="str">
        <f>"CTNND1"</f>
        <v>CTNND1</v>
      </c>
      <c r="B10200" s="6">
        <v>0.26673326673326597</v>
      </c>
      <c r="C10200" s="6">
        <v>0.45987231711322302</v>
      </c>
    </row>
    <row r="10201" spans="1:3" s="8" customFormat="1" x14ac:dyDescent="0.2">
      <c r="A10201" s="6" t="str">
        <f>"FOXD4L1"</f>
        <v>FOXD4L1</v>
      </c>
      <c r="B10201" s="6">
        <v>0.26680040120360998</v>
      </c>
      <c r="C10201" s="6">
        <v>0.459942966153362</v>
      </c>
    </row>
    <row r="10202" spans="1:3" s="8" customFormat="1" x14ac:dyDescent="0.2">
      <c r="A10202" s="6" t="str">
        <f>"AP001318.2"</f>
        <v>AP001318.2</v>
      </c>
      <c r="B10202" s="6">
        <v>0.26700000000000002</v>
      </c>
      <c r="C10202" s="6">
        <v>0.46015172008232802</v>
      </c>
    </row>
    <row r="10203" spans="1:3" s="8" customFormat="1" x14ac:dyDescent="0.2">
      <c r="A10203" s="6" t="str">
        <f>"LAX1"</f>
        <v>LAX1</v>
      </c>
      <c r="B10203" s="6">
        <v>0.26700000000000002</v>
      </c>
      <c r="C10203" s="6">
        <v>0.46015172008232802</v>
      </c>
    </row>
    <row r="10204" spans="1:3" s="8" customFormat="1" x14ac:dyDescent="0.2">
      <c r="A10204" s="6" t="str">
        <f>"FUCA2"</f>
        <v>FUCA2</v>
      </c>
      <c r="B10204" s="6">
        <v>0.26700000000000002</v>
      </c>
      <c r="C10204" s="6">
        <v>0.46015172008232802</v>
      </c>
    </row>
    <row r="10205" spans="1:3" s="8" customFormat="1" x14ac:dyDescent="0.2">
      <c r="A10205" s="6" t="str">
        <f>"LINC01476"</f>
        <v>LINC01476</v>
      </c>
      <c r="B10205" s="6">
        <v>0.26773226773226699</v>
      </c>
      <c r="C10205" s="6">
        <v>0.46051102375077702</v>
      </c>
    </row>
    <row r="10206" spans="1:3" s="8" customFormat="1" x14ac:dyDescent="0.2">
      <c r="A10206" s="6" t="str">
        <f>"SLCO5A1"</f>
        <v>SLCO5A1</v>
      </c>
      <c r="B10206" s="6">
        <v>0.26773226773226699</v>
      </c>
      <c r="C10206" s="6">
        <v>0.46051102375077702</v>
      </c>
    </row>
    <row r="10207" spans="1:3" s="8" customFormat="1" x14ac:dyDescent="0.2">
      <c r="A10207" s="6" t="str">
        <f>"AC007036.3"</f>
        <v>AC007036.3</v>
      </c>
      <c r="B10207" s="6">
        <v>0.26773226773226699</v>
      </c>
      <c r="C10207" s="6">
        <v>0.46051102375077702</v>
      </c>
    </row>
    <row r="10208" spans="1:3" s="8" customFormat="1" x14ac:dyDescent="0.2">
      <c r="A10208" s="6" t="str">
        <f>"AZGP1P1"</f>
        <v>AZGP1P1</v>
      </c>
      <c r="B10208" s="6">
        <v>0.26773226773226699</v>
      </c>
      <c r="C10208" s="6">
        <v>0.46051102375077702</v>
      </c>
    </row>
    <row r="10209" spans="1:3" s="8" customFormat="1" x14ac:dyDescent="0.2">
      <c r="A10209" s="6" t="str">
        <f>"ZDHHC15"</f>
        <v>ZDHHC15</v>
      </c>
      <c r="B10209" s="6">
        <v>0.26773226773226699</v>
      </c>
      <c r="C10209" s="6">
        <v>0.46051102375077702</v>
      </c>
    </row>
    <row r="10210" spans="1:3" s="8" customFormat="1" x14ac:dyDescent="0.2">
      <c r="A10210" s="6" t="str">
        <f>"PRKAG2-AS1"</f>
        <v>PRKAG2-AS1</v>
      </c>
      <c r="B10210" s="6">
        <v>0.26773226773226699</v>
      </c>
      <c r="C10210" s="6">
        <v>0.46051102375077702</v>
      </c>
    </row>
    <row r="10211" spans="1:3" s="8" customFormat="1" x14ac:dyDescent="0.2">
      <c r="A10211" s="6" t="str">
        <f>"AC135050.6"</f>
        <v>AC135050.6</v>
      </c>
      <c r="B10211" s="6">
        <v>0.26773226773226699</v>
      </c>
      <c r="C10211" s="6">
        <v>0.46051102375077702</v>
      </c>
    </row>
    <row r="10212" spans="1:3" s="8" customFormat="1" x14ac:dyDescent="0.2">
      <c r="A10212" s="6" t="str">
        <f>"COL6A6"</f>
        <v>COL6A6</v>
      </c>
      <c r="B10212" s="6">
        <v>0.26773226773226699</v>
      </c>
      <c r="C10212" s="6">
        <v>0.46051102375077702</v>
      </c>
    </row>
    <row r="10213" spans="1:3" s="8" customFormat="1" x14ac:dyDescent="0.2">
      <c r="A10213" s="6" t="str">
        <f>"TIFA"</f>
        <v>TIFA</v>
      </c>
      <c r="B10213" s="6">
        <v>0.26773226773226699</v>
      </c>
      <c r="C10213" s="6">
        <v>0.46051102375077702</v>
      </c>
    </row>
    <row r="10214" spans="1:3" s="8" customFormat="1" x14ac:dyDescent="0.2">
      <c r="A10214" s="6" t="str">
        <f>"AREG"</f>
        <v>AREG</v>
      </c>
      <c r="B10214" s="6">
        <v>0.26773226773226699</v>
      </c>
      <c r="C10214" s="6">
        <v>0.46051102375077702</v>
      </c>
    </row>
    <row r="10215" spans="1:3" s="8" customFormat="1" x14ac:dyDescent="0.2">
      <c r="A10215" s="6" t="str">
        <f>"DPH7"</f>
        <v>DPH7</v>
      </c>
      <c r="B10215" s="6">
        <v>0.26773226773226699</v>
      </c>
      <c r="C10215" s="6">
        <v>0.46051102375077702</v>
      </c>
    </row>
    <row r="10216" spans="1:3" s="8" customFormat="1" x14ac:dyDescent="0.2">
      <c r="A10216" s="6" t="str">
        <f>"PEX3"</f>
        <v>PEX3</v>
      </c>
      <c r="B10216" s="6">
        <v>0.26773226773226699</v>
      </c>
      <c r="C10216" s="6">
        <v>0.46051102375077702</v>
      </c>
    </row>
    <row r="10217" spans="1:3" s="8" customFormat="1" x14ac:dyDescent="0.2">
      <c r="A10217" s="6" t="str">
        <f>"SEPTIN11"</f>
        <v>SEPTIN11</v>
      </c>
      <c r="B10217" s="6">
        <v>0.26773226773226699</v>
      </c>
      <c r="C10217" s="6">
        <v>0.46051102375077702</v>
      </c>
    </row>
    <row r="10218" spans="1:3" s="8" customFormat="1" x14ac:dyDescent="0.2">
      <c r="A10218" s="6" t="str">
        <f>"TRAFD1"</f>
        <v>TRAFD1</v>
      </c>
      <c r="B10218" s="6">
        <v>0.26773226773226699</v>
      </c>
      <c r="C10218" s="6">
        <v>0.46051102375077702</v>
      </c>
    </row>
    <row r="10219" spans="1:3" s="8" customFormat="1" x14ac:dyDescent="0.2">
      <c r="A10219" s="6" t="str">
        <f>"ARID5B"</f>
        <v>ARID5B</v>
      </c>
      <c r="B10219" s="6">
        <v>0.26773226773226699</v>
      </c>
      <c r="C10219" s="6">
        <v>0.46051102375077702</v>
      </c>
    </row>
    <row r="10220" spans="1:3" s="8" customFormat="1" x14ac:dyDescent="0.2">
      <c r="A10220" s="6" t="str">
        <f>"RNF103"</f>
        <v>RNF103</v>
      </c>
      <c r="B10220" s="6">
        <v>0.26773226773226699</v>
      </c>
      <c r="C10220" s="6">
        <v>0.46051102375077702</v>
      </c>
    </row>
    <row r="10221" spans="1:3" s="8" customFormat="1" x14ac:dyDescent="0.2">
      <c r="A10221" s="6" t="str">
        <f>"CUL9"</f>
        <v>CUL9</v>
      </c>
      <c r="B10221" s="6">
        <v>0.26773226773226699</v>
      </c>
      <c r="C10221" s="6">
        <v>0.46051102375077702</v>
      </c>
    </row>
    <row r="10222" spans="1:3" s="8" customFormat="1" x14ac:dyDescent="0.2">
      <c r="A10222" s="6" t="str">
        <f>"FAM234A"</f>
        <v>FAM234A</v>
      </c>
      <c r="B10222" s="6">
        <v>0.26773226773226699</v>
      </c>
      <c r="C10222" s="6">
        <v>0.46051102375077702</v>
      </c>
    </row>
    <row r="10223" spans="1:3" s="8" customFormat="1" x14ac:dyDescent="0.2">
      <c r="A10223" s="6" t="str">
        <f>"NPLOC4"</f>
        <v>NPLOC4</v>
      </c>
      <c r="B10223" s="6">
        <v>0.26773226773226699</v>
      </c>
      <c r="C10223" s="6">
        <v>0.46051102375077702</v>
      </c>
    </row>
    <row r="10224" spans="1:3" s="8" customFormat="1" x14ac:dyDescent="0.2">
      <c r="A10224" s="6" t="str">
        <f>"TUBB"</f>
        <v>TUBB</v>
      </c>
      <c r="B10224" s="6">
        <v>0.26773226773226699</v>
      </c>
      <c r="C10224" s="6">
        <v>0.46051102375077702</v>
      </c>
    </row>
    <row r="10225" spans="1:3" s="8" customFormat="1" x14ac:dyDescent="0.2">
      <c r="A10225" s="6" t="str">
        <f>"STIM2-AS1"</f>
        <v>STIM2-AS1</v>
      </c>
      <c r="B10225" s="6">
        <v>0.26800000000000002</v>
      </c>
      <c r="C10225" s="6">
        <v>0.46092644757433399</v>
      </c>
    </row>
    <row r="10226" spans="1:3" s="8" customFormat="1" x14ac:dyDescent="0.2">
      <c r="A10226" s="6" t="str">
        <f>"IGHV5-51"</f>
        <v>IGHV5-51</v>
      </c>
      <c r="B10226" s="6">
        <v>0.26873126873126801</v>
      </c>
      <c r="C10226" s="6">
        <v>0.461236762261652</v>
      </c>
    </row>
    <row r="10227" spans="1:3" s="8" customFormat="1" x14ac:dyDescent="0.2">
      <c r="A10227" s="6" t="str">
        <f>"AC092338.3"</f>
        <v>AC092338.3</v>
      </c>
      <c r="B10227" s="6">
        <v>0.26873126873126801</v>
      </c>
      <c r="C10227" s="6">
        <v>0.461236762261652</v>
      </c>
    </row>
    <row r="10228" spans="1:3" s="8" customFormat="1" x14ac:dyDescent="0.2">
      <c r="A10228" s="6" t="str">
        <f>"AC004596.1"</f>
        <v>AC004596.1</v>
      </c>
      <c r="B10228" s="6">
        <v>0.26873126873126801</v>
      </c>
      <c r="C10228" s="6">
        <v>0.461236762261652</v>
      </c>
    </row>
    <row r="10229" spans="1:3" s="8" customFormat="1" x14ac:dyDescent="0.2">
      <c r="A10229" s="6" t="str">
        <f>"AC005786.3"</f>
        <v>AC005786.3</v>
      </c>
      <c r="B10229" s="6">
        <v>0.26873126873126801</v>
      </c>
      <c r="C10229" s="6">
        <v>0.461236762261652</v>
      </c>
    </row>
    <row r="10230" spans="1:3" s="8" customFormat="1" x14ac:dyDescent="0.2">
      <c r="A10230" s="6" t="str">
        <f>"GUCY2D"</f>
        <v>GUCY2D</v>
      </c>
      <c r="B10230" s="6">
        <v>0.26873126873126801</v>
      </c>
      <c r="C10230" s="6">
        <v>0.461236762261652</v>
      </c>
    </row>
    <row r="10231" spans="1:3" s="8" customFormat="1" x14ac:dyDescent="0.2">
      <c r="A10231" s="6" t="str">
        <f>"AC002456.1"</f>
        <v>AC002456.1</v>
      </c>
      <c r="B10231" s="6">
        <v>0.26873126873126801</v>
      </c>
      <c r="C10231" s="6">
        <v>0.461236762261652</v>
      </c>
    </row>
    <row r="10232" spans="1:3" s="8" customFormat="1" x14ac:dyDescent="0.2">
      <c r="A10232" s="6" t="str">
        <f>"AC073046.1"</f>
        <v>AC073046.1</v>
      </c>
      <c r="B10232" s="6">
        <v>0.26853707414829597</v>
      </c>
      <c r="C10232" s="6">
        <v>0.461236762261652</v>
      </c>
    </row>
    <row r="10233" spans="1:3" s="8" customFormat="1" x14ac:dyDescent="0.2">
      <c r="A10233" s="6" t="str">
        <f>"SOWAHD"</f>
        <v>SOWAHD</v>
      </c>
      <c r="B10233" s="6">
        <v>0.26873126873126801</v>
      </c>
      <c r="C10233" s="6">
        <v>0.461236762261652</v>
      </c>
    </row>
    <row r="10234" spans="1:3" s="8" customFormat="1" x14ac:dyDescent="0.2">
      <c r="A10234" s="6" t="str">
        <f>"MTMR8"</f>
        <v>MTMR8</v>
      </c>
      <c r="B10234" s="6">
        <v>0.26873126873126801</v>
      </c>
      <c r="C10234" s="6">
        <v>0.461236762261652</v>
      </c>
    </row>
    <row r="10235" spans="1:3" s="8" customFormat="1" x14ac:dyDescent="0.2">
      <c r="A10235" s="6" t="str">
        <f>"C8orf44"</f>
        <v>C8orf44</v>
      </c>
      <c r="B10235" s="6">
        <v>0.26873126873126801</v>
      </c>
      <c r="C10235" s="6">
        <v>0.461236762261652</v>
      </c>
    </row>
    <row r="10236" spans="1:3" s="8" customFormat="1" x14ac:dyDescent="0.2">
      <c r="A10236" s="6" t="str">
        <f>"DICER1-AS1"</f>
        <v>DICER1-AS1</v>
      </c>
      <c r="B10236" s="6">
        <v>0.26873126873126801</v>
      </c>
      <c r="C10236" s="6">
        <v>0.461236762261652</v>
      </c>
    </row>
    <row r="10237" spans="1:3" s="8" customFormat="1" x14ac:dyDescent="0.2">
      <c r="A10237" s="6" t="str">
        <f>"ACP3"</f>
        <v>ACP3</v>
      </c>
      <c r="B10237" s="6">
        <v>0.26873126873126801</v>
      </c>
      <c r="C10237" s="6">
        <v>0.461236762261652</v>
      </c>
    </row>
    <row r="10238" spans="1:3" s="8" customFormat="1" x14ac:dyDescent="0.2">
      <c r="A10238" s="6" t="str">
        <f>"NAT9"</f>
        <v>NAT9</v>
      </c>
      <c r="B10238" s="6">
        <v>0.26873126873126801</v>
      </c>
      <c r="C10238" s="6">
        <v>0.461236762261652</v>
      </c>
    </row>
    <row r="10239" spans="1:3" s="8" customFormat="1" x14ac:dyDescent="0.2">
      <c r="A10239" s="6" t="str">
        <f>"PAK6"</f>
        <v>PAK6</v>
      </c>
      <c r="B10239" s="6">
        <v>0.26873126873126801</v>
      </c>
      <c r="C10239" s="6">
        <v>0.461236762261652</v>
      </c>
    </row>
    <row r="10240" spans="1:3" s="8" customFormat="1" x14ac:dyDescent="0.2">
      <c r="A10240" s="6" t="str">
        <f>"CEP57"</f>
        <v>CEP57</v>
      </c>
      <c r="B10240" s="6">
        <v>0.26873126873126801</v>
      </c>
      <c r="C10240" s="6">
        <v>0.461236762261652</v>
      </c>
    </row>
    <row r="10241" spans="1:3" s="8" customFormat="1" x14ac:dyDescent="0.2">
      <c r="A10241" s="6" t="str">
        <f>"ACAD8"</f>
        <v>ACAD8</v>
      </c>
      <c r="B10241" s="6">
        <v>0.26873126873126801</v>
      </c>
      <c r="C10241" s="6">
        <v>0.461236762261652</v>
      </c>
    </row>
    <row r="10242" spans="1:3" s="8" customFormat="1" x14ac:dyDescent="0.2">
      <c r="A10242" s="6" t="str">
        <f>"IMPACT"</f>
        <v>IMPACT</v>
      </c>
      <c r="B10242" s="6">
        <v>0.26873126873126801</v>
      </c>
      <c r="C10242" s="6">
        <v>0.461236762261652</v>
      </c>
    </row>
    <row r="10243" spans="1:3" s="8" customFormat="1" x14ac:dyDescent="0.2">
      <c r="A10243" s="6" t="str">
        <f>"MANF"</f>
        <v>MANF</v>
      </c>
      <c r="B10243" s="6">
        <v>0.26873126873126801</v>
      </c>
      <c r="C10243" s="6">
        <v>0.461236762261652</v>
      </c>
    </row>
    <row r="10244" spans="1:3" s="8" customFormat="1" x14ac:dyDescent="0.2">
      <c r="A10244" s="6" t="str">
        <f>"NIPAL3"</f>
        <v>NIPAL3</v>
      </c>
      <c r="B10244" s="6">
        <v>0.26873126873126801</v>
      </c>
      <c r="C10244" s="6">
        <v>0.461236762261652</v>
      </c>
    </row>
    <row r="10245" spans="1:3" s="8" customFormat="1" x14ac:dyDescent="0.2">
      <c r="A10245" s="6" t="str">
        <f>"MAPRE3"</f>
        <v>MAPRE3</v>
      </c>
      <c r="B10245" s="6">
        <v>0.26873126873126801</v>
      </c>
      <c r="C10245" s="6">
        <v>0.461236762261652</v>
      </c>
    </row>
    <row r="10246" spans="1:3" s="8" customFormat="1" x14ac:dyDescent="0.2">
      <c r="A10246" s="6" t="str">
        <f>"ARF4"</f>
        <v>ARF4</v>
      </c>
      <c r="B10246" s="6">
        <v>0.26873126873126801</v>
      </c>
      <c r="C10246" s="6">
        <v>0.461236762261652</v>
      </c>
    </row>
    <row r="10247" spans="1:3" s="8" customFormat="1" x14ac:dyDescent="0.2">
      <c r="A10247" s="6" t="str">
        <f>"EGOT"</f>
        <v>EGOT</v>
      </c>
      <c r="B10247" s="6">
        <v>0.26973026973026898</v>
      </c>
      <c r="C10247" s="6">
        <v>0.46200438953215101</v>
      </c>
    </row>
    <row r="10248" spans="1:3" s="8" customFormat="1" x14ac:dyDescent="0.2">
      <c r="A10248" s="6" t="str">
        <f>"AL589935.1"</f>
        <v>AL589935.1</v>
      </c>
      <c r="B10248" s="6">
        <v>0.26973026973026898</v>
      </c>
      <c r="C10248" s="6">
        <v>0.46200438953215101</v>
      </c>
    </row>
    <row r="10249" spans="1:3" s="8" customFormat="1" x14ac:dyDescent="0.2">
      <c r="A10249" s="6" t="str">
        <f>"AC099050.1"</f>
        <v>AC099050.1</v>
      </c>
      <c r="B10249" s="6">
        <v>0.26973026973026898</v>
      </c>
      <c r="C10249" s="6">
        <v>0.46200438953215101</v>
      </c>
    </row>
    <row r="10250" spans="1:3" s="8" customFormat="1" x14ac:dyDescent="0.2">
      <c r="A10250" s="6" t="str">
        <f>"TEAD4"</f>
        <v>TEAD4</v>
      </c>
      <c r="B10250" s="6">
        <v>0.26973026973026898</v>
      </c>
      <c r="C10250" s="6">
        <v>0.46200438953215101</v>
      </c>
    </row>
    <row r="10251" spans="1:3" s="8" customFormat="1" x14ac:dyDescent="0.2">
      <c r="A10251" s="6" t="str">
        <f>"PIP5KL1"</f>
        <v>PIP5KL1</v>
      </c>
      <c r="B10251" s="6">
        <v>0.26973026973026898</v>
      </c>
      <c r="C10251" s="6">
        <v>0.46200438953215101</v>
      </c>
    </row>
    <row r="10252" spans="1:3" s="8" customFormat="1" x14ac:dyDescent="0.2">
      <c r="A10252" s="6" t="str">
        <f>"PCDHGA6"</f>
        <v>PCDHGA6</v>
      </c>
      <c r="B10252" s="6">
        <v>0.26973026973026898</v>
      </c>
      <c r="C10252" s="6">
        <v>0.46200438953215101</v>
      </c>
    </row>
    <row r="10253" spans="1:3" s="8" customFormat="1" x14ac:dyDescent="0.2">
      <c r="A10253" s="6" t="str">
        <f>"WWOX"</f>
        <v>WWOX</v>
      </c>
      <c r="B10253" s="6">
        <v>0.26973026973026898</v>
      </c>
      <c r="C10253" s="6">
        <v>0.46200438953215101</v>
      </c>
    </row>
    <row r="10254" spans="1:3" s="8" customFormat="1" x14ac:dyDescent="0.2">
      <c r="A10254" s="6" t="str">
        <f>"CTBP1-DT"</f>
        <v>CTBP1-DT</v>
      </c>
      <c r="B10254" s="6">
        <v>0.26973026973026898</v>
      </c>
      <c r="C10254" s="6">
        <v>0.46200438953215101</v>
      </c>
    </row>
    <row r="10255" spans="1:3" s="8" customFormat="1" x14ac:dyDescent="0.2">
      <c r="A10255" s="6" t="str">
        <f>"PNO1"</f>
        <v>PNO1</v>
      </c>
      <c r="B10255" s="6">
        <v>0.26973026973026898</v>
      </c>
      <c r="C10255" s="6">
        <v>0.46200438953215101</v>
      </c>
    </row>
    <row r="10256" spans="1:3" s="8" customFormat="1" x14ac:dyDescent="0.2">
      <c r="A10256" s="6" t="str">
        <f>"CDK4"</f>
        <v>CDK4</v>
      </c>
      <c r="B10256" s="6">
        <v>0.26973026973026898</v>
      </c>
      <c r="C10256" s="6">
        <v>0.46200438953215101</v>
      </c>
    </row>
    <row r="10257" spans="1:3" s="8" customFormat="1" x14ac:dyDescent="0.2">
      <c r="A10257" s="6" t="str">
        <f>"MRPL14"</f>
        <v>MRPL14</v>
      </c>
      <c r="B10257" s="6">
        <v>0.26973026973026898</v>
      </c>
      <c r="C10257" s="6">
        <v>0.46200438953215101</v>
      </c>
    </row>
    <row r="10258" spans="1:3" s="8" customFormat="1" x14ac:dyDescent="0.2">
      <c r="A10258" s="6" t="str">
        <f>"MEX3D"</f>
        <v>MEX3D</v>
      </c>
      <c r="B10258" s="6">
        <v>0.26973026973026898</v>
      </c>
      <c r="C10258" s="6">
        <v>0.46200438953215101</v>
      </c>
    </row>
    <row r="10259" spans="1:3" s="8" customFormat="1" x14ac:dyDescent="0.2">
      <c r="A10259" s="6" t="str">
        <f>"IL17RC"</f>
        <v>IL17RC</v>
      </c>
      <c r="B10259" s="6">
        <v>0.26973026973026898</v>
      </c>
      <c r="C10259" s="6">
        <v>0.46200438953215101</v>
      </c>
    </row>
    <row r="10260" spans="1:3" s="8" customFormat="1" x14ac:dyDescent="0.2">
      <c r="A10260" s="6" t="str">
        <f>"GTF2IRD1"</f>
        <v>GTF2IRD1</v>
      </c>
      <c r="B10260" s="6">
        <v>0.26973026973026898</v>
      </c>
      <c r="C10260" s="6">
        <v>0.46200438953215101</v>
      </c>
    </row>
    <row r="10261" spans="1:3" s="8" customFormat="1" x14ac:dyDescent="0.2">
      <c r="A10261" s="6" t="str">
        <f>"ZADH2"</f>
        <v>ZADH2</v>
      </c>
      <c r="B10261" s="6">
        <v>0.26973026973026898</v>
      </c>
      <c r="C10261" s="6">
        <v>0.46200438953215101</v>
      </c>
    </row>
    <row r="10262" spans="1:3" s="8" customFormat="1" x14ac:dyDescent="0.2">
      <c r="A10262" s="6" t="str">
        <f>"HTATIP2"</f>
        <v>HTATIP2</v>
      </c>
      <c r="B10262" s="6">
        <v>0.26973026973026898</v>
      </c>
      <c r="C10262" s="6">
        <v>0.46200438953215101</v>
      </c>
    </row>
    <row r="10263" spans="1:3" s="8" customFormat="1" x14ac:dyDescent="0.2">
      <c r="A10263" s="6" t="str">
        <f>"MPDU1"</f>
        <v>MPDU1</v>
      </c>
      <c r="B10263" s="6">
        <v>0.26973026973026898</v>
      </c>
      <c r="C10263" s="6">
        <v>0.46200438953215101</v>
      </c>
    </row>
    <row r="10264" spans="1:3" s="8" customFormat="1" x14ac:dyDescent="0.2">
      <c r="A10264" s="6" t="str">
        <f>"TTC12"</f>
        <v>TTC12</v>
      </c>
      <c r="B10264" s="6">
        <v>0.26973026973026898</v>
      </c>
      <c r="C10264" s="6">
        <v>0.46200438953215101</v>
      </c>
    </row>
    <row r="10265" spans="1:3" s="8" customFormat="1" x14ac:dyDescent="0.2">
      <c r="A10265" s="6" t="str">
        <f>"CCDC186"</f>
        <v>CCDC186</v>
      </c>
      <c r="B10265" s="6">
        <v>0.26973026973026898</v>
      </c>
      <c r="C10265" s="6">
        <v>0.46200438953215101</v>
      </c>
    </row>
    <row r="10266" spans="1:3" s="8" customFormat="1" x14ac:dyDescent="0.2">
      <c r="A10266" s="6" t="str">
        <f>"CFAP57"</f>
        <v>CFAP57</v>
      </c>
      <c r="B10266" s="6">
        <v>0.26973026973026898</v>
      </c>
      <c r="C10266" s="6">
        <v>0.46200438953215101</v>
      </c>
    </row>
    <row r="10267" spans="1:3" s="8" customFormat="1" x14ac:dyDescent="0.2">
      <c r="A10267" s="6" t="str">
        <f>"CLUH"</f>
        <v>CLUH</v>
      </c>
      <c r="B10267" s="6">
        <v>0.26973026973026898</v>
      </c>
      <c r="C10267" s="6">
        <v>0.46200438953215101</v>
      </c>
    </row>
    <row r="10268" spans="1:3" s="8" customFormat="1" x14ac:dyDescent="0.2">
      <c r="A10268" s="6" t="str">
        <f>"FAM66A"</f>
        <v>FAM66A</v>
      </c>
      <c r="B10268" s="6">
        <v>0.27</v>
      </c>
      <c r="C10268" s="6">
        <v>0.46237631476431601</v>
      </c>
    </row>
    <row r="10269" spans="1:3" s="8" customFormat="1" x14ac:dyDescent="0.2">
      <c r="A10269" s="6" t="str">
        <f>"MAP1B"</f>
        <v>MAP1B</v>
      </c>
      <c r="B10269" s="6">
        <v>0.27</v>
      </c>
      <c r="C10269" s="6">
        <v>0.46237631476431601</v>
      </c>
    </row>
    <row r="10270" spans="1:3" s="8" customFormat="1" x14ac:dyDescent="0.2">
      <c r="A10270" s="6" t="str">
        <f>"AC020912.1"</f>
        <v>AC020912.1</v>
      </c>
      <c r="B10270" s="6">
        <v>0.27027027027027001</v>
      </c>
      <c r="C10270" s="6">
        <v>0.46279408242598402</v>
      </c>
    </row>
    <row r="10271" spans="1:3" s="8" customFormat="1" x14ac:dyDescent="0.2">
      <c r="A10271" s="6" t="str">
        <f>"ARMC4P1"</f>
        <v>ARMC4P1</v>
      </c>
      <c r="B10271" s="6">
        <v>0.27072927072927</v>
      </c>
      <c r="C10271" s="6">
        <v>0.46285887180393698</v>
      </c>
    </row>
    <row r="10272" spans="1:3" s="8" customFormat="1" x14ac:dyDescent="0.2">
      <c r="A10272" s="6" t="str">
        <f>"IGHV4-59"</f>
        <v>IGHV4-59</v>
      </c>
      <c r="B10272" s="6">
        <v>0.27072927072927</v>
      </c>
      <c r="C10272" s="6">
        <v>0.46285887180393698</v>
      </c>
    </row>
    <row r="10273" spans="1:3" s="8" customFormat="1" x14ac:dyDescent="0.2">
      <c r="A10273" s="6" t="str">
        <f>"AL096816.1"</f>
        <v>AL096816.1</v>
      </c>
      <c r="B10273" s="6">
        <v>0.27072927072927</v>
      </c>
      <c r="C10273" s="6">
        <v>0.46285887180393698</v>
      </c>
    </row>
    <row r="10274" spans="1:3" s="8" customFormat="1" x14ac:dyDescent="0.2">
      <c r="A10274" s="6" t="str">
        <f>"PKDREJ"</f>
        <v>PKDREJ</v>
      </c>
      <c r="B10274" s="6">
        <v>0.27072927072927</v>
      </c>
      <c r="C10274" s="6">
        <v>0.46285887180393698</v>
      </c>
    </row>
    <row r="10275" spans="1:3" s="8" customFormat="1" x14ac:dyDescent="0.2">
      <c r="A10275" s="6" t="str">
        <f>"KRT31"</f>
        <v>KRT31</v>
      </c>
      <c r="B10275" s="6">
        <v>0.27072927072927</v>
      </c>
      <c r="C10275" s="6">
        <v>0.46285887180393698</v>
      </c>
    </row>
    <row r="10276" spans="1:3" s="8" customFormat="1" x14ac:dyDescent="0.2">
      <c r="A10276" s="6" t="str">
        <f>"AL357033.1"</f>
        <v>AL357033.1</v>
      </c>
      <c r="B10276" s="6">
        <v>0.27072927072927</v>
      </c>
      <c r="C10276" s="6">
        <v>0.46285887180393698</v>
      </c>
    </row>
    <row r="10277" spans="1:3" s="8" customFormat="1" x14ac:dyDescent="0.2">
      <c r="A10277" s="6" t="str">
        <f>"EFR3B"</f>
        <v>EFR3B</v>
      </c>
      <c r="B10277" s="6">
        <v>0.27072927072927</v>
      </c>
      <c r="C10277" s="6">
        <v>0.46285887180393698</v>
      </c>
    </row>
    <row r="10278" spans="1:3" s="8" customFormat="1" x14ac:dyDescent="0.2">
      <c r="A10278" s="6" t="str">
        <f>"ZNF527"</f>
        <v>ZNF527</v>
      </c>
      <c r="B10278" s="6">
        <v>0.27072927072927</v>
      </c>
      <c r="C10278" s="6">
        <v>0.46285887180393698</v>
      </c>
    </row>
    <row r="10279" spans="1:3" s="8" customFormat="1" x14ac:dyDescent="0.2">
      <c r="A10279" s="6" t="str">
        <f>"CCL15"</f>
        <v>CCL15</v>
      </c>
      <c r="B10279" s="6">
        <v>0.27072927072927</v>
      </c>
      <c r="C10279" s="6">
        <v>0.46285887180393698</v>
      </c>
    </row>
    <row r="10280" spans="1:3" s="8" customFormat="1" x14ac:dyDescent="0.2">
      <c r="A10280" s="6" t="str">
        <f>"CCDC144NL-AS1"</f>
        <v>CCDC144NL-AS1</v>
      </c>
      <c r="B10280" s="6">
        <v>0.27072927072927</v>
      </c>
      <c r="C10280" s="6">
        <v>0.46285887180393698</v>
      </c>
    </row>
    <row r="10281" spans="1:3" s="8" customFormat="1" x14ac:dyDescent="0.2">
      <c r="A10281" s="6" t="str">
        <f>"IL19"</f>
        <v>IL19</v>
      </c>
      <c r="B10281" s="6">
        <v>0.27072927072927</v>
      </c>
      <c r="C10281" s="6">
        <v>0.46285887180393698</v>
      </c>
    </row>
    <row r="10282" spans="1:3" s="8" customFormat="1" x14ac:dyDescent="0.2">
      <c r="A10282" s="6" t="str">
        <f>"NBPF11"</f>
        <v>NBPF11</v>
      </c>
      <c r="B10282" s="6">
        <v>0.27072927072927</v>
      </c>
      <c r="C10282" s="6">
        <v>0.46285887180393698</v>
      </c>
    </row>
    <row r="10283" spans="1:3" s="8" customFormat="1" x14ac:dyDescent="0.2">
      <c r="A10283" s="6" t="str">
        <f>"CLCC1"</f>
        <v>CLCC1</v>
      </c>
      <c r="B10283" s="6">
        <v>0.27072927072927</v>
      </c>
      <c r="C10283" s="6">
        <v>0.46285887180393698</v>
      </c>
    </row>
    <row r="10284" spans="1:3" s="8" customFormat="1" x14ac:dyDescent="0.2">
      <c r="A10284" s="6" t="str">
        <f>"SNRNP35"</f>
        <v>SNRNP35</v>
      </c>
      <c r="B10284" s="6">
        <v>0.27072927072927</v>
      </c>
      <c r="C10284" s="6">
        <v>0.46285887180393698</v>
      </c>
    </row>
    <row r="10285" spans="1:3" s="8" customFormat="1" x14ac:dyDescent="0.2">
      <c r="A10285" s="6" t="str">
        <f>"OFD1"</f>
        <v>OFD1</v>
      </c>
      <c r="B10285" s="6">
        <v>0.27072927072927</v>
      </c>
      <c r="C10285" s="6">
        <v>0.46285887180393698</v>
      </c>
    </row>
    <row r="10286" spans="1:3" s="8" customFormat="1" x14ac:dyDescent="0.2">
      <c r="A10286" s="6" t="str">
        <f>"CCDC190"</f>
        <v>CCDC190</v>
      </c>
      <c r="B10286" s="6">
        <v>0.27072927072927</v>
      </c>
      <c r="C10286" s="6">
        <v>0.46285887180393698</v>
      </c>
    </row>
    <row r="10287" spans="1:3" s="8" customFormat="1" x14ac:dyDescent="0.2">
      <c r="A10287" s="6" t="str">
        <f>"C10orf95"</f>
        <v>C10orf95</v>
      </c>
      <c r="B10287" s="6">
        <v>0.27100000000000002</v>
      </c>
      <c r="C10287" s="6">
        <v>0.46327668675870098</v>
      </c>
    </row>
    <row r="10288" spans="1:3" s="8" customFormat="1" x14ac:dyDescent="0.2">
      <c r="A10288" s="6" t="str">
        <f>"AC012254.3"</f>
        <v>AC012254.3</v>
      </c>
      <c r="B10288" s="6">
        <v>0.27172827172827102</v>
      </c>
      <c r="C10288" s="6">
        <v>0.46357523334335199</v>
      </c>
    </row>
    <row r="10289" spans="1:3" s="8" customFormat="1" x14ac:dyDescent="0.2">
      <c r="A10289" s="6" t="str">
        <f>"FOXD1"</f>
        <v>FOXD1</v>
      </c>
      <c r="B10289" s="6">
        <v>0.27172827172827102</v>
      </c>
      <c r="C10289" s="6">
        <v>0.46357523334335199</v>
      </c>
    </row>
    <row r="10290" spans="1:3" s="8" customFormat="1" x14ac:dyDescent="0.2">
      <c r="A10290" s="6" t="str">
        <f>"AC006504.1"</f>
        <v>AC006504.1</v>
      </c>
      <c r="B10290" s="6">
        <v>0.27172827172827102</v>
      </c>
      <c r="C10290" s="6">
        <v>0.46357523334335199</v>
      </c>
    </row>
    <row r="10291" spans="1:3" s="8" customFormat="1" x14ac:dyDescent="0.2">
      <c r="A10291" s="6" t="str">
        <f>"IGSF9B"</f>
        <v>IGSF9B</v>
      </c>
      <c r="B10291" s="6">
        <v>0.27172827172827102</v>
      </c>
      <c r="C10291" s="6">
        <v>0.46357523334335199</v>
      </c>
    </row>
    <row r="10292" spans="1:3" s="8" customFormat="1" x14ac:dyDescent="0.2">
      <c r="A10292" s="6" t="str">
        <f>"ZNF775"</f>
        <v>ZNF775</v>
      </c>
      <c r="B10292" s="6">
        <v>0.27172827172827102</v>
      </c>
      <c r="C10292" s="6">
        <v>0.46357523334335199</v>
      </c>
    </row>
    <row r="10293" spans="1:3" s="8" customFormat="1" x14ac:dyDescent="0.2">
      <c r="A10293" s="6" t="str">
        <f>"SPATA5L1"</f>
        <v>SPATA5L1</v>
      </c>
      <c r="B10293" s="6">
        <v>0.27172827172827102</v>
      </c>
      <c r="C10293" s="6">
        <v>0.46357523334335199</v>
      </c>
    </row>
    <row r="10294" spans="1:3" s="8" customFormat="1" x14ac:dyDescent="0.2">
      <c r="A10294" s="6" t="str">
        <f>"SPATA6L"</f>
        <v>SPATA6L</v>
      </c>
      <c r="B10294" s="6">
        <v>0.27172827172827102</v>
      </c>
      <c r="C10294" s="6">
        <v>0.46357523334335199</v>
      </c>
    </row>
    <row r="10295" spans="1:3" s="8" customFormat="1" x14ac:dyDescent="0.2">
      <c r="A10295" s="6" t="str">
        <f>"LAMA2"</f>
        <v>LAMA2</v>
      </c>
      <c r="B10295" s="6">
        <v>0.27172827172827102</v>
      </c>
      <c r="C10295" s="6">
        <v>0.46357523334335199</v>
      </c>
    </row>
    <row r="10296" spans="1:3" s="8" customFormat="1" x14ac:dyDescent="0.2">
      <c r="A10296" s="6" t="str">
        <f>"DMAC2"</f>
        <v>DMAC2</v>
      </c>
      <c r="B10296" s="6">
        <v>0.27172827172827102</v>
      </c>
      <c r="C10296" s="6">
        <v>0.46357523334335199</v>
      </c>
    </row>
    <row r="10297" spans="1:3" s="8" customFormat="1" x14ac:dyDescent="0.2">
      <c r="A10297" s="6" t="str">
        <f>"ESD"</f>
        <v>ESD</v>
      </c>
      <c r="B10297" s="6">
        <v>0.27172827172827102</v>
      </c>
      <c r="C10297" s="6">
        <v>0.46357523334335199</v>
      </c>
    </row>
    <row r="10298" spans="1:3" s="8" customFormat="1" x14ac:dyDescent="0.2">
      <c r="A10298" s="6" t="str">
        <f>"DBNDD2"</f>
        <v>DBNDD2</v>
      </c>
      <c r="B10298" s="6">
        <v>0.27172827172827102</v>
      </c>
      <c r="C10298" s="6">
        <v>0.46357523334335199</v>
      </c>
    </row>
    <row r="10299" spans="1:3" s="8" customFormat="1" x14ac:dyDescent="0.2">
      <c r="A10299" s="6" t="str">
        <f>"B3GALNT2"</f>
        <v>B3GALNT2</v>
      </c>
      <c r="B10299" s="6">
        <v>0.27172827172827102</v>
      </c>
      <c r="C10299" s="6">
        <v>0.46357523334335199</v>
      </c>
    </row>
    <row r="10300" spans="1:3" s="8" customFormat="1" x14ac:dyDescent="0.2">
      <c r="A10300" s="6" t="str">
        <f>"RAB35"</f>
        <v>RAB35</v>
      </c>
      <c r="B10300" s="6">
        <v>0.27172827172827102</v>
      </c>
      <c r="C10300" s="6">
        <v>0.46357523334335199</v>
      </c>
    </row>
    <row r="10301" spans="1:3" s="8" customFormat="1" x14ac:dyDescent="0.2">
      <c r="A10301" s="6" t="str">
        <f>"CYCS"</f>
        <v>CYCS</v>
      </c>
      <c r="B10301" s="6">
        <v>0.27172827172827102</v>
      </c>
      <c r="C10301" s="6">
        <v>0.46357523334335199</v>
      </c>
    </row>
    <row r="10302" spans="1:3" s="8" customFormat="1" x14ac:dyDescent="0.2">
      <c r="A10302" s="6" t="str">
        <f>"ANXA4"</f>
        <v>ANXA4</v>
      </c>
      <c r="B10302" s="6">
        <v>0.27172827172827102</v>
      </c>
      <c r="C10302" s="6">
        <v>0.46357523334335199</v>
      </c>
    </row>
    <row r="10303" spans="1:3" s="8" customFormat="1" x14ac:dyDescent="0.2">
      <c r="A10303" s="6" t="str">
        <f>"ZNF33A"</f>
        <v>ZNF33A</v>
      </c>
      <c r="B10303" s="6">
        <v>0.27172827172827102</v>
      </c>
      <c r="C10303" s="6">
        <v>0.46357523334335199</v>
      </c>
    </row>
    <row r="10304" spans="1:3" s="8" customFormat="1" x14ac:dyDescent="0.2">
      <c r="A10304" s="6" t="str">
        <f>"ARPP19"</f>
        <v>ARPP19</v>
      </c>
      <c r="B10304" s="6">
        <v>0.27172827172827102</v>
      </c>
      <c r="C10304" s="6">
        <v>0.46357523334335199</v>
      </c>
    </row>
    <row r="10305" spans="1:3" s="8" customFormat="1" x14ac:dyDescent="0.2">
      <c r="A10305" s="6" t="str">
        <f>"MTA2"</f>
        <v>MTA2</v>
      </c>
      <c r="B10305" s="6">
        <v>0.27172827172827102</v>
      </c>
      <c r="C10305" s="6">
        <v>0.46357523334335199</v>
      </c>
    </row>
    <row r="10306" spans="1:3" s="8" customFormat="1" x14ac:dyDescent="0.2">
      <c r="A10306" s="6" t="str">
        <f>"ERCC1"</f>
        <v>ERCC1</v>
      </c>
      <c r="B10306" s="6">
        <v>0.27172827172827102</v>
      </c>
      <c r="C10306" s="6">
        <v>0.46357523334335199</v>
      </c>
    </row>
    <row r="10307" spans="1:3" s="8" customFormat="1" x14ac:dyDescent="0.2">
      <c r="A10307" s="6" t="str">
        <f>"PHACTR4"</f>
        <v>PHACTR4</v>
      </c>
      <c r="B10307" s="6">
        <v>0.27172827172827102</v>
      </c>
      <c r="C10307" s="6">
        <v>0.46357523334335199</v>
      </c>
    </row>
    <row r="10308" spans="1:3" s="8" customFormat="1" x14ac:dyDescent="0.2">
      <c r="A10308" s="6" t="str">
        <f>"GFPT1"</f>
        <v>GFPT1</v>
      </c>
      <c r="B10308" s="6">
        <v>0.27172827172827102</v>
      </c>
      <c r="C10308" s="6">
        <v>0.46357523334335199</v>
      </c>
    </row>
    <row r="10309" spans="1:3" s="8" customFormat="1" x14ac:dyDescent="0.2">
      <c r="A10309" s="6" t="str">
        <f>"ROPN1"</f>
        <v>ROPN1</v>
      </c>
      <c r="B10309" s="6">
        <v>0.27272727272727199</v>
      </c>
      <c r="C10309" s="6">
        <v>0.46383947805748699</v>
      </c>
    </row>
    <row r="10310" spans="1:3" s="8" customFormat="1" x14ac:dyDescent="0.2">
      <c r="A10310" s="6" t="str">
        <f>"FCRL3"</f>
        <v>FCRL3</v>
      </c>
      <c r="B10310" s="6">
        <v>0.27272727272727199</v>
      </c>
      <c r="C10310" s="6">
        <v>0.46383947805748699</v>
      </c>
    </row>
    <row r="10311" spans="1:3" s="8" customFormat="1" x14ac:dyDescent="0.2">
      <c r="A10311" s="6" t="str">
        <f>"AL512380.2"</f>
        <v>AL512380.2</v>
      </c>
      <c r="B10311" s="6">
        <v>0.27272727272727199</v>
      </c>
      <c r="C10311" s="6">
        <v>0.46383947805748699</v>
      </c>
    </row>
    <row r="10312" spans="1:3" s="8" customFormat="1" x14ac:dyDescent="0.2">
      <c r="A10312" s="6" t="str">
        <f>"OTOGL"</f>
        <v>OTOGL</v>
      </c>
      <c r="B10312" s="6">
        <v>0.27272727272727199</v>
      </c>
      <c r="C10312" s="6">
        <v>0.46383947805748699</v>
      </c>
    </row>
    <row r="10313" spans="1:3" s="8" customFormat="1" x14ac:dyDescent="0.2">
      <c r="A10313" s="6" t="str">
        <f>"AL359844.1"</f>
        <v>AL359844.1</v>
      </c>
      <c r="B10313" s="6">
        <v>0.27272727272727199</v>
      </c>
      <c r="C10313" s="6">
        <v>0.46383947805748699</v>
      </c>
    </row>
    <row r="10314" spans="1:3" s="8" customFormat="1" x14ac:dyDescent="0.2">
      <c r="A10314" s="6" t="str">
        <f>"BMP2"</f>
        <v>BMP2</v>
      </c>
      <c r="B10314" s="6">
        <v>0.27272727272727199</v>
      </c>
      <c r="C10314" s="6">
        <v>0.46383947805748699</v>
      </c>
    </row>
    <row r="10315" spans="1:3" s="8" customFormat="1" x14ac:dyDescent="0.2">
      <c r="A10315" s="6" t="str">
        <f>"ABCC6P1"</f>
        <v>ABCC6P1</v>
      </c>
      <c r="B10315" s="6">
        <v>0.27272727272727199</v>
      </c>
      <c r="C10315" s="6">
        <v>0.46383947805748699</v>
      </c>
    </row>
    <row r="10316" spans="1:3" s="8" customFormat="1" x14ac:dyDescent="0.2">
      <c r="A10316" s="6" t="str">
        <f>"RHOXF1-AS1"</f>
        <v>RHOXF1-AS1</v>
      </c>
      <c r="B10316" s="6">
        <v>0.27272727272727199</v>
      </c>
      <c r="C10316" s="6">
        <v>0.46383947805748699</v>
      </c>
    </row>
    <row r="10317" spans="1:3" s="8" customFormat="1" x14ac:dyDescent="0.2">
      <c r="A10317" s="6" t="str">
        <f>"KPNA2P3"</f>
        <v>KPNA2P3</v>
      </c>
      <c r="B10317" s="6">
        <v>0.27272727272727199</v>
      </c>
      <c r="C10317" s="6">
        <v>0.46383947805748699</v>
      </c>
    </row>
    <row r="10318" spans="1:3" s="8" customFormat="1" x14ac:dyDescent="0.2">
      <c r="A10318" s="6" t="str">
        <f>"MAPK11"</f>
        <v>MAPK11</v>
      </c>
      <c r="B10318" s="6">
        <v>0.27272727272727199</v>
      </c>
      <c r="C10318" s="6">
        <v>0.46383947805748699</v>
      </c>
    </row>
    <row r="10319" spans="1:3" s="8" customFormat="1" x14ac:dyDescent="0.2">
      <c r="A10319" s="6" t="str">
        <f>"ZNF566"</f>
        <v>ZNF566</v>
      </c>
      <c r="B10319" s="6">
        <v>0.27272727272727199</v>
      </c>
      <c r="C10319" s="6">
        <v>0.46383947805748699</v>
      </c>
    </row>
    <row r="10320" spans="1:3" s="8" customFormat="1" x14ac:dyDescent="0.2">
      <c r="A10320" s="6" t="str">
        <f>"ZNF391"</f>
        <v>ZNF391</v>
      </c>
      <c r="B10320" s="6">
        <v>0.27272727272727199</v>
      </c>
      <c r="C10320" s="6">
        <v>0.46383947805748699</v>
      </c>
    </row>
    <row r="10321" spans="1:3" s="8" customFormat="1" x14ac:dyDescent="0.2">
      <c r="A10321" s="6" t="str">
        <f>"DISP1"</f>
        <v>DISP1</v>
      </c>
      <c r="B10321" s="6">
        <v>0.27272727272727199</v>
      </c>
      <c r="C10321" s="6">
        <v>0.46383947805748699</v>
      </c>
    </row>
    <row r="10322" spans="1:3" s="8" customFormat="1" x14ac:dyDescent="0.2">
      <c r="A10322" s="6" t="str">
        <f>"B3GALT6"</f>
        <v>B3GALT6</v>
      </c>
      <c r="B10322" s="6">
        <v>0.27272727272727199</v>
      </c>
      <c r="C10322" s="6">
        <v>0.46383947805748699</v>
      </c>
    </row>
    <row r="10323" spans="1:3" s="8" customFormat="1" x14ac:dyDescent="0.2">
      <c r="A10323" s="6" t="str">
        <f>"CXorf56"</f>
        <v>CXorf56</v>
      </c>
      <c r="B10323" s="6">
        <v>0.27272727272727199</v>
      </c>
      <c r="C10323" s="6">
        <v>0.46383947805748699</v>
      </c>
    </row>
    <row r="10324" spans="1:3" s="8" customFormat="1" x14ac:dyDescent="0.2">
      <c r="A10324" s="6" t="str">
        <f>"PPP3CB"</f>
        <v>PPP3CB</v>
      </c>
      <c r="B10324" s="6">
        <v>0.27272727272727199</v>
      </c>
      <c r="C10324" s="6">
        <v>0.46383947805748699</v>
      </c>
    </row>
    <row r="10325" spans="1:3" s="8" customFormat="1" x14ac:dyDescent="0.2">
      <c r="A10325" s="6" t="str">
        <f>"TMEM184C"</f>
        <v>TMEM184C</v>
      </c>
      <c r="B10325" s="6">
        <v>0.27272727272727199</v>
      </c>
      <c r="C10325" s="6">
        <v>0.46383947805748699</v>
      </c>
    </row>
    <row r="10326" spans="1:3" s="8" customFormat="1" x14ac:dyDescent="0.2">
      <c r="A10326" s="6" t="str">
        <f>"CBWD1"</f>
        <v>CBWD1</v>
      </c>
      <c r="B10326" s="6">
        <v>0.27272727272727199</v>
      </c>
      <c r="C10326" s="6">
        <v>0.46383947805748699</v>
      </c>
    </row>
    <row r="10327" spans="1:3" s="8" customFormat="1" x14ac:dyDescent="0.2">
      <c r="A10327" s="6" t="str">
        <f>"ELMO3"</f>
        <v>ELMO3</v>
      </c>
      <c r="B10327" s="6">
        <v>0.27272727272727199</v>
      </c>
      <c r="C10327" s="6">
        <v>0.46383947805748699</v>
      </c>
    </row>
    <row r="10328" spans="1:3" s="8" customFormat="1" x14ac:dyDescent="0.2">
      <c r="A10328" s="6" t="str">
        <f>"PRKAG1"</f>
        <v>PRKAG1</v>
      </c>
      <c r="B10328" s="6">
        <v>0.27272727272727199</v>
      </c>
      <c r="C10328" s="6">
        <v>0.46383947805748699</v>
      </c>
    </row>
    <row r="10329" spans="1:3" s="8" customFormat="1" x14ac:dyDescent="0.2">
      <c r="A10329" s="6" t="str">
        <f>"AGO4"</f>
        <v>AGO4</v>
      </c>
      <c r="B10329" s="6">
        <v>0.27272727272727199</v>
      </c>
      <c r="C10329" s="6">
        <v>0.46383947805748699</v>
      </c>
    </row>
    <row r="10330" spans="1:3" s="8" customFormat="1" x14ac:dyDescent="0.2">
      <c r="A10330" s="6" t="str">
        <f>"TOR1AIP2"</f>
        <v>TOR1AIP2</v>
      </c>
      <c r="B10330" s="6">
        <v>0.27272727272727199</v>
      </c>
      <c r="C10330" s="6">
        <v>0.46383947805748699</v>
      </c>
    </row>
    <row r="10331" spans="1:3" s="8" customFormat="1" x14ac:dyDescent="0.2">
      <c r="A10331" s="6" t="str">
        <f>"CLPX"</f>
        <v>CLPX</v>
      </c>
      <c r="B10331" s="6">
        <v>0.27272727272727199</v>
      </c>
      <c r="C10331" s="6">
        <v>0.46383947805748699</v>
      </c>
    </row>
    <row r="10332" spans="1:3" s="8" customFormat="1" x14ac:dyDescent="0.2">
      <c r="A10332" s="6" t="str">
        <f>"VAC14"</f>
        <v>VAC14</v>
      </c>
      <c r="B10332" s="6">
        <v>0.27272727272727199</v>
      </c>
      <c r="C10332" s="6">
        <v>0.46383947805748699</v>
      </c>
    </row>
    <row r="10333" spans="1:3" s="8" customFormat="1" x14ac:dyDescent="0.2">
      <c r="A10333" s="6" t="str">
        <f>"RRAGD"</f>
        <v>RRAGD</v>
      </c>
      <c r="B10333" s="6">
        <v>0.27272727272727199</v>
      </c>
      <c r="C10333" s="6">
        <v>0.46383947805748699</v>
      </c>
    </row>
    <row r="10334" spans="1:3" s="8" customFormat="1" x14ac:dyDescent="0.2">
      <c r="A10334" s="6" t="str">
        <f>"USF1"</f>
        <v>USF1</v>
      </c>
      <c r="B10334" s="6">
        <v>0.27200000000000002</v>
      </c>
      <c r="C10334" s="6">
        <v>0.46383947805748699</v>
      </c>
    </row>
    <row r="10335" spans="1:3" s="8" customFormat="1" x14ac:dyDescent="0.2">
      <c r="A10335" s="6" t="str">
        <f>"PPP3CA"</f>
        <v>PPP3CA</v>
      </c>
      <c r="B10335" s="6">
        <v>0.27272727272727199</v>
      </c>
      <c r="C10335" s="6">
        <v>0.46383947805748699</v>
      </c>
    </row>
    <row r="10336" spans="1:3" s="8" customFormat="1" x14ac:dyDescent="0.2">
      <c r="A10336" s="6" t="str">
        <f>"ALAS1"</f>
        <v>ALAS1</v>
      </c>
      <c r="B10336" s="6">
        <v>0.27200000000000002</v>
      </c>
      <c r="C10336" s="6">
        <v>0.46383947805748699</v>
      </c>
    </row>
    <row r="10337" spans="1:3" s="8" customFormat="1" x14ac:dyDescent="0.2">
      <c r="A10337" s="6" t="str">
        <f>"MAN1A2"</f>
        <v>MAN1A2</v>
      </c>
      <c r="B10337" s="6">
        <v>0.27272727272727199</v>
      </c>
      <c r="C10337" s="6">
        <v>0.46383947805748699</v>
      </c>
    </row>
    <row r="10338" spans="1:3" s="8" customFormat="1" x14ac:dyDescent="0.2">
      <c r="A10338" s="6" t="str">
        <f>"H1-10"</f>
        <v>H1-10</v>
      </c>
      <c r="B10338" s="6">
        <v>0.27272727272727199</v>
      </c>
      <c r="C10338" s="6">
        <v>0.46383947805748699</v>
      </c>
    </row>
    <row r="10339" spans="1:3" s="8" customFormat="1" x14ac:dyDescent="0.2">
      <c r="A10339" s="6" t="str">
        <f>"EIF3L"</f>
        <v>EIF3L</v>
      </c>
      <c r="B10339" s="6">
        <v>0.27200000000000002</v>
      </c>
      <c r="C10339" s="6">
        <v>0.46383947805748699</v>
      </c>
    </row>
    <row r="10340" spans="1:3" s="8" customFormat="1" x14ac:dyDescent="0.2">
      <c r="A10340" s="6" t="str">
        <f>"FOSL2"</f>
        <v>FOSL2</v>
      </c>
      <c r="B10340" s="6">
        <v>0.27272727272727199</v>
      </c>
      <c r="C10340" s="6">
        <v>0.46383947805748699</v>
      </c>
    </row>
    <row r="10341" spans="1:3" s="8" customFormat="1" x14ac:dyDescent="0.2">
      <c r="A10341" s="6" t="str">
        <f>"AL117332.1"</f>
        <v>AL117332.1</v>
      </c>
      <c r="B10341" s="6">
        <v>0.27282266526757598</v>
      </c>
      <c r="C10341" s="6">
        <v>0.463956841979212</v>
      </c>
    </row>
    <row r="10342" spans="1:3" s="8" customFormat="1" x14ac:dyDescent="0.2">
      <c r="A10342" s="6" t="str">
        <f>"GBA"</f>
        <v>GBA</v>
      </c>
      <c r="B10342" s="6">
        <v>0.27300000000000002</v>
      </c>
      <c r="C10342" s="6">
        <v>0.46412375519675098</v>
      </c>
    </row>
    <row r="10343" spans="1:3" s="8" customFormat="1" x14ac:dyDescent="0.2">
      <c r="A10343" s="6" t="str">
        <f>"KIAA1143"</f>
        <v>KIAA1143</v>
      </c>
      <c r="B10343" s="6">
        <v>0.27300000000000002</v>
      </c>
      <c r="C10343" s="6">
        <v>0.46412375519675098</v>
      </c>
    </row>
    <row r="10344" spans="1:3" s="8" customFormat="1" x14ac:dyDescent="0.2">
      <c r="A10344" s="6" t="str">
        <f>"CFAP73"</f>
        <v>CFAP73</v>
      </c>
      <c r="B10344" s="6">
        <v>0.27300000000000002</v>
      </c>
      <c r="C10344" s="6">
        <v>0.46412375519675098</v>
      </c>
    </row>
    <row r="10345" spans="1:3" s="8" customFormat="1" x14ac:dyDescent="0.2">
      <c r="A10345" s="6" t="str">
        <f>"IL27"</f>
        <v>IL27</v>
      </c>
      <c r="B10345" s="6">
        <v>0.27372627372627301</v>
      </c>
      <c r="C10345" s="6">
        <v>0.46455002385896998</v>
      </c>
    </row>
    <row r="10346" spans="1:3" s="8" customFormat="1" x14ac:dyDescent="0.2">
      <c r="A10346" s="6" t="str">
        <f>"IRAIN"</f>
        <v>IRAIN</v>
      </c>
      <c r="B10346" s="6">
        <v>0.27372627372627301</v>
      </c>
      <c r="C10346" s="6">
        <v>0.46455002385896998</v>
      </c>
    </row>
    <row r="10347" spans="1:3" s="8" customFormat="1" x14ac:dyDescent="0.2">
      <c r="A10347" s="6" t="str">
        <f>"MB21D2"</f>
        <v>MB21D2</v>
      </c>
      <c r="B10347" s="6">
        <v>0.27372627372627301</v>
      </c>
      <c r="C10347" s="6">
        <v>0.46455002385896998</v>
      </c>
    </row>
    <row r="10348" spans="1:3" s="8" customFormat="1" x14ac:dyDescent="0.2">
      <c r="A10348" s="6" t="str">
        <f>"DNAH10OS"</f>
        <v>DNAH10OS</v>
      </c>
      <c r="B10348" s="6">
        <v>0.27372627372627301</v>
      </c>
      <c r="C10348" s="6">
        <v>0.46455002385896998</v>
      </c>
    </row>
    <row r="10349" spans="1:3" s="8" customFormat="1" x14ac:dyDescent="0.2">
      <c r="A10349" s="6" t="str">
        <f>"ARSG"</f>
        <v>ARSG</v>
      </c>
      <c r="B10349" s="6">
        <v>0.27372627372627301</v>
      </c>
      <c r="C10349" s="6">
        <v>0.46455002385896998</v>
      </c>
    </row>
    <row r="10350" spans="1:3" s="8" customFormat="1" x14ac:dyDescent="0.2">
      <c r="A10350" s="6" t="str">
        <f>"COL4A6"</f>
        <v>COL4A6</v>
      </c>
      <c r="B10350" s="6">
        <v>0.27372627372627301</v>
      </c>
      <c r="C10350" s="6">
        <v>0.46455002385896998</v>
      </c>
    </row>
    <row r="10351" spans="1:3" s="8" customFormat="1" x14ac:dyDescent="0.2">
      <c r="A10351" s="6" t="str">
        <f>"SPRY2"</f>
        <v>SPRY2</v>
      </c>
      <c r="B10351" s="6">
        <v>0.27372627372627301</v>
      </c>
      <c r="C10351" s="6">
        <v>0.46455002385896998</v>
      </c>
    </row>
    <row r="10352" spans="1:3" s="8" customFormat="1" x14ac:dyDescent="0.2">
      <c r="A10352" s="6" t="str">
        <f>"MRPL36"</f>
        <v>MRPL36</v>
      </c>
      <c r="B10352" s="6">
        <v>0.27372627372627301</v>
      </c>
      <c r="C10352" s="6">
        <v>0.46455002385896998</v>
      </c>
    </row>
    <row r="10353" spans="1:3" s="8" customFormat="1" x14ac:dyDescent="0.2">
      <c r="A10353" s="6" t="str">
        <f>"MAPKAPK5"</f>
        <v>MAPKAPK5</v>
      </c>
      <c r="B10353" s="6">
        <v>0.27372627372627301</v>
      </c>
      <c r="C10353" s="6">
        <v>0.46455002385896998</v>
      </c>
    </row>
    <row r="10354" spans="1:3" s="8" customFormat="1" x14ac:dyDescent="0.2">
      <c r="A10354" s="6" t="str">
        <f>"GOLGA7"</f>
        <v>GOLGA7</v>
      </c>
      <c r="B10354" s="6">
        <v>0.27372627372627301</v>
      </c>
      <c r="C10354" s="6">
        <v>0.46455002385896998</v>
      </c>
    </row>
    <row r="10355" spans="1:3" s="8" customFormat="1" x14ac:dyDescent="0.2">
      <c r="A10355" s="6" t="str">
        <f>"KDM7A-DT"</f>
        <v>KDM7A-DT</v>
      </c>
      <c r="B10355" s="6">
        <v>0.27372627372627301</v>
      </c>
      <c r="C10355" s="6">
        <v>0.46455002385896998</v>
      </c>
    </row>
    <row r="10356" spans="1:3" s="8" customFormat="1" x14ac:dyDescent="0.2">
      <c r="A10356" s="6" t="str">
        <f>"HPS1"</f>
        <v>HPS1</v>
      </c>
      <c r="B10356" s="6">
        <v>0.27372627372627301</v>
      </c>
      <c r="C10356" s="6">
        <v>0.46455002385896998</v>
      </c>
    </row>
    <row r="10357" spans="1:3" s="8" customFormat="1" x14ac:dyDescent="0.2">
      <c r="A10357" s="6" t="str">
        <f>"NBPF1"</f>
        <v>NBPF1</v>
      </c>
      <c r="B10357" s="6">
        <v>0.27372627372627301</v>
      </c>
      <c r="C10357" s="6">
        <v>0.46455002385896998</v>
      </c>
    </row>
    <row r="10358" spans="1:3" s="8" customFormat="1" x14ac:dyDescent="0.2">
      <c r="A10358" s="6" t="str">
        <f>"MMP10"</f>
        <v>MMP10</v>
      </c>
      <c r="B10358" s="6">
        <v>0.27372627372627301</v>
      </c>
      <c r="C10358" s="6">
        <v>0.46455002385896998</v>
      </c>
    </row>
    <row r="10359" spans="1:3" s="8" customFormat="1" x14ac:dyDescent="0.2">
      <c r="A10359" s="6" t="str">
        <f>"C5orf15"</f>
        <v>C5orf15</v>
      </c>
      <c r="B10359" s="6">
        <v>0.27372627372627301</v>
      </c>
      <c r="C10359" s="6">
        <v>0.46455002385896998</v>
      </c>
    </row>
    <row r="10360" spans="1:3" s="8" customFormat="1" x14ac:dyDescent="0.2">
      <c r="A10360" s="6" t="str">
        <f>"QSOX1"</f>
        <v>QSOX1</v>
      </c>
      <c r="B10360" s="6">
        <v>0.27372627372627301</v>
      </c>
      <c r="C10360" s="6">
        <v>0.46455002385896998</v>
      </c>
    </row>
    <row r="10361" spans="1:3" s="8" customFormat="1" x14ac:dyDescent="0.2">
      <c r="A10361" s="6" t="str">
        <f>"EEF1G"</f>
        <v>EEF1G</v>
      </c>
      <c r="B10361" s="6">
        <v>0.27372627372627301</v>
      </c>
      <c r="C10361" s="6">
        <v>0.46455002385896998</v>
      </c>
    </row>
    <row r="10362" spans="1:3" s="8" customFormat="1" x14ac:dyDescent="0.2">
      <c r="A10362" s="6" t="str">
        <f>"HSPA8"</f>
        <v>HSPA8</v>
      </c>
      <c r="B10362" s="6">
        <v>0.27372627372627301</v>
      </c>
      <c r="C10362" s="6">
        <v>0.46455002385896998</v>
      </c>
    </row>
    <row r="10363" spans="1:3" s="8" customFormat="1" x14ac:dyDescent="0.2">
      <c r="A10363" s="6" t="str">
        <f>"AC009108.3"</f>
        <v>AC009108.3</v>
      </c>
      <c r="B10363" s="6">
        <v>0.27394438722966002</v>
      </c>
      <c r="C10363" s="6">
        <v>0.46487532378366497</v>
      </c>
    </row>
    <row r="10364" spans="1:3" s="8" customFormat="1" x14ac:dyDescent="0.2">
      <c r="A10364" s="6" t="str">
        <f>"SMIM12"</f>
        <v>SMIM12</v>
      </c>
      <c r="B10364" s="6">
        <v>0.27400000000000002</v>
      </c>
      <c r="C10364" s="6">
        <v>0.46487996912389001</v>
      </c>
    </row>
    <row r="10365" spans="1:3" s="8" customFormat="1" x14ac:dyDescent="0.2">
      <c r="A10365" s="6" t="str">
        <f>"CHD4"</f>
        <v>CHD4</v>
      </c>
      <c r="B10365" s="6">
        <v>0.27400000000000002</v>
      </c>
      <c r="C10365" s="6">
        <v>0.46487996912389001</v>
      </c>
    </row>
    <row r="10366" spans="1:3" s="8" customFormat="1" x14ac:dyDescent="0.2">
      <c r="A10366" s="6" t="str">
        <f>"HCP5B"</f>
        <v>HCP5B</v>
      </c>
      <c r="B10366" s="6">
        <v>0.27433628318584002</v>
      </c>
      <c r="C10366" s="6">
        <v>0.46540561539216802</v>
      </c>
    </row>
    <row r="10367" spans="1:3" s="8" customFormat="1" x14ac:dyDescent="0.2">
      <c r="A10367" s="6" t="str">
        <f>"THSD8"</f>
        <v>THSD8</v>
      </c>
      <c r="B10367" s="6">
        <v>0.274371859296482</v>
      </c>
      <c r="C10367" s="6">
        <v>0.465421066358223</v>
      </c>
    </row>
    <row r="10368" spans="1:3" s="8" customFormat="1" x14ac:dyDescent="0.2">
      <c r="A10368" s="6" t="str">
        <f>"AC011484.1"</f>
        <v>AC011484.1</v>
      </c>
      <c r="B10368" s="6">
        <v>0.27472527472527403</v>
      </c>
      <c r="C10368" s="6">
        <v>0.46557143704406601</v>
      </c>
    </row>
    <row r="10369" spans="1:3" s="8" customFormat="1" x14ac:dyDescent="0.2">
      <c r="A10369" s="6" t="str">
        <f>"DPY19L2"</f>
        <v>DPY19L2</v>
      </c>
      <c r="B10369" s="6">
        <v>0.27472527472527403</v>
      </c>
      <c r="C10369" s="6">
        <v>0.46557143704406601</v>
      </c>
    </row>
    <row r="10370" spans="1:3" s="8" customFormat="1" x14ac:dyDescent="0.2">
      <c r="A10370" s="6" t="str">
        <f>"CBR3-AS1"</f>
        <v>CBR3-AS1</v>
      </c>
      <c r="B10370" s="6">
        <v>0.27472527472527403</v>
      </c>
      <c r="C10370" s="6">
        <v>0.46557143704406601</v>
      </c>
    </row>
    <row r="10371" spans="1:3" s="8" customFormat="1" x14ac:dyDescent="0.2">
      <c r="A10371" s="6" t="str">
        <f>"ANAPC4"</f>
        <v>ANAPC4</v>
      </c>
      <c r="B10371" s="6">
        <v>0.27472527472527403</v>
      </c>
      <c r="C10371" s="6">
        <v>0.46557143704406601</v>
      </c>
    </row>
    <row r="10372" spans="1:3" s="8" customFormat="1" x14ac:dyDescent="0.2">
      <c r="A10372" s="6" t="str">
        <f>"NUDCD2"</f>
        <v>NUDCD2</v>
      </c>
      <c r="B10372" s="6">
        <v>0.27472527472527403</v>
      </c>
      <c r="C10372" s="6">
        <v>0.46557143704406601</v>
      </c>
    </row>
    <row r="10373" spans="1:3" s="8" customFormat="1" x14ac:dyDescent="0.2">
      <c r="A10373" s="6" t="str">
        <f>"ZNF322"</f>
        <v>ZNF322</v>
      </c>
      <c r="B10373" s="6">
        <v>0.27472527472527403</v>
      </c>
      <c r="C10373" s="6">
        <v>0.46557143704406601</v>
      </c>
    </row>
    <row r="10374" spans="1:3" s="8" customFormat="1" x14ac:dyDescent="0.2">
      <c r="A10374" s="6" t="str">
        <f>"PEX11B"</f>
        <v>PEX11B</v>
      </c>
      <c r="B10374" s="6">
        <v>0.27472527472527403</v>
      </c>
      <c r="C10374" s="6">
        <v>0.46557143704406601</v>
      </c>
    </row>
    <row r="10375" spans="1:3" s="8" customFormat="1" x14ac:dyDescent="0.2">
      <c r="A10375" s="6" t="str">
        <f>"PTAR1"</f>
        <v>PTAR1</v>
      </c>
      <c r="B10375" s="6">
        <v>0.27472527472527403</v>
      </c>
      <c r="C10375" s="6">
        <v>0.46557143704406601</v>
      </c>
    </row>
    <row r="10376" spans="1:3" s="8" customFormat="1" x14ac:dyDescent="0.2">
      <c r="A10376" s="6" t="str">
        <f>"RTCA"</f>
        <v>RTCA</v>
      </c>
      <c r="B10376" s="6">
        <v>0.27472527472527403</v>
      </c>
      <c r="C10376" s="6">
        <v>0.46557143704406601</v>
      </c>
    </row>
    <row r="10377" spans="1:3" s="8" customFormat="1" x14ac:dyDescent="0.2">
      <c r="A10377" s="6" t="str">
        <f>"CCDC153"</f>
        <v>CCDC153</v>
      </c>
      <c r="B10377" s="6">
        <v>0.27472527472527403</v>
      </c>
      <c r="C10377" s="6">
        <v>0.46557143704406601</v>
      </c>
    </row>
    <row r="10378" spans="1:3" s="8" customFormat="1" x14ac:dyDescent="0.2">
      <c r="A10378" s="6" t="str">
        <f>"AL139327.1"</f>
        <v>AL139327.1</v>
      </c>
      <c r="B10378" s="6">
        <v>0.27500000000000002</v>
      </c>
      <c r="C10378" s="6">
        <v>0.46594719599152001</v>
      </c>
    </row>
    <row r="10379" spans="1:3" s="8" customFormat="1" x14ac:dyDescent="0.2">
      <c r="A10379" s="6" t="str">
        <f>"MEIG1"</f>
        <v>MEIG1</v>
      </c>
      <c r="B10379" s="6">
        <v>0.27500000000000002</v>
      </c>
      <c r="C10379" s="6">
        <v>0.46594719599152001</v>
      </c>
    </row>
    <row r="10380" spans="1:3" s="8" customFormat="1" x14ac:dyDescent="0.2">
      <c r="A10380" s="6" t="str">
        <f>"AL357153.3"</f>
        <v>AL357153.3</v>
      </c>
      <c r="B10380" s="6">
        <v>0.27572427572427499</v>
      </c>
      <c r="C10380" s="6">
        <v>0.46636549291416501</v>
      </c>
    </row>
    <row r="10381" spans="1:3" s="8" customFormat="1" x14ac:dyDescent="0.2">
      <c r="A10381" s="6" t="str">
        <f>"GAS2"</f>
        <v>GAS2</v>
      </c>
      <c r="B10381" s="6">
        <v>0.27572427572427499</v>
      </c>
      <c r="C10381" s="6">
        <v>0.46636549291416501</v>
      </c>
    </row>
    <row r="10382" spans="1:3" s="8" customFormat="1" x14ac:dyDescent="0.2">
      <c r="A10382" s="6" t="str">
        <f>"DDIT4L"</f>
        <v>DDIT4L</v>
      </c>
      <c r="B10382" s="6">
        <v>0.27572427572427499</v>
      </c>
      <c r="C10382" s="6">
        <v>0.46636549291416501</v>
      </c>
    </row>
    <row r="10383" spans="1:3" s="8" customFormat="1" x14ac:dyDescent="0.2">
      <c r="A10383" s="6" t="str">
        <f>"TUBG2"</f>
        <v>TUBG2</v>
      </c>
      <c r="B10383" s="6">
        <v>0.27572427572427499</v>
      </c>
      <c r="C10383" s="6">
        <v>0.46636549291416501</v>
      </c>
    </row>
    <row r="10384" spans="1:3" s="8" customFormat="1" x14ac:dyDescent="0.2">
      <c r="A10384" s="6" t="str">
        <f>"DMAC2L"</f>
        <v>DMAC2L</v>
      </c>
      <c r="B10384" s="6">
        <v>0.27572427572427499</v>
      </c>
      <c r="C10384" s="6">
        <v>0.46636549291416501</v>
      </c>
    </row>
    <row r="10385" spans="1:3" s="8" customFormat="1" x14ac:dyDescent="0.2">
      <c r="A10385" s="6" t="str">
        <f>"OPLAH"</f>
        <v>OPLAH</v>
      </c>
      <c r="B10385" s="6">
        <v>0.27572427572427499</v>
      </c>
      <c r="C10385" s="6">
        <v>0.46636549291416501</v>
      </c>
    </row>
    <row r="10386" spans="1:3" s="8" customFormat="1" x14ac:dyDescent="0.2">
      <c r="A10386" s="6" t="str">
        <f>"TUSC1"</f>
        <v>TUSC1</v>
      </c>
      <c r="B10386" s="6">
        <v>0.27572427572427499</v>
      </c>
      <c r="C10386" s="6">
        <v>0.46636549291416501</v>
      </c>
    </row>
    <row r="10387" spans="1:3" s="8" customFormat="1" x14ac:dyDescent="0.2">
      <c r="A10387" s="6" t="str">
        <f>"ACOX3"</f>
        <v>ACOX3</v>
      </c>
      <c r="B10387" s="6">
        <v>0.27572427572427499</v>
      </c>
      <c r="C10387" s="6">
        <v>0.46636549291416501</v>
      </c>
    </row>
    <row r="10388" spans="1:3" s="8" customFormat="1" x14ac:dyDescent="0.2">
      <c r="A10388" s="6" t="str">
        <f>"XPO5"</f>
        <v>XPO5</v>
      </c>
      <c r="B10388" s="6">
        <v>0.27572427572427499</v>
      </c>
      <c r="C10388" s="6">
        <v>0.46636549291416501</v>
      </c>
    </row>
    <row r="10389" spans="1:3" s="8" customFormat="1" x14ac:dyDescent="0.2">
      <c r="A10389" s="6" t="str">
        <f>"NCAPH2"</f>
        <v>NCAPH2</v>
      </c>
      <c r="B10389" s="6">
        <v>0.27572427572427499</v>
      </c>
      <c r="C10389" s="6">
        <v>0.46636549291416501</v>
      </c>
    </row>
    <row r="10390" spans="1:3" s="8" customFormat="1" x14ac:dyDescent="0.2">
      <c r="A10390" s="6" t="str">
        <f>"ISY1-RAB43"</f>
        <v>ISY1-RAB43</v>
      </c>
      <c r="B10390" s="6">
        <v>0.27572427572427499</v>
      </c>
      <c r="C10390" s="6">
        <v>0.46636549291416501</v>
      </c>
    </row>
    <row r="10391" spans="1:3" s="8" customFormat="1" x14ac:dyDescent="0.2">
      <c r="A10391" s="6" t="str">
        <f>"ACSL4"</f>
        <v>ACSL4</v>
      </c>
      <c r="B10391" s="6">
        <v>0.27572427572427499</v>
      </c>
      <c r="C10391" s="6">
        <v>0.46636549291416501</v>
      </c>
    </row>
    <row r="10392" spans="1:3" s="8" customFormat="1" x14ac:dyDescent="0.2">
      <c r="A10392" s="6" t="str">
        <f>"POLG"</f>
        <v>POLG</v>
      </c>
      <c r="B10392" s="6">
        <v>0.27572427572427499</v>
      </c>
      <c r="C10392" s="6">
        <v>0.46636549291416501</v>
      </c>
    </row>
    <row r="10393" spans="1:3" s="8" customFormat="1" x14ac:dyDescent="0.2">
      <c r="A10393" s="6" t="str">
        <f>"MTMR4"</f>
        <v>MTMR4</v>
      </c>
      <c r="B10393" s="6">
        <v>0.27572427572427499</v>
      </c>
      <c r="C10393" s="6">
        <v>0.46636549291416501</v>
      </c>
    </row>
    <row r="10394" spans="1:3" s="8" customFormat="1" x14ac:dyDescent="0.2">
      <c r="A10394" s="6" t="str">
        <f>"RSPH10B2"</f>
        <v>RSPH10B2</v>
      </c>
      <c r="B10394" s="6">
        <v>0.27572427572427499</v>
      </c>
      <c r="C10394" s="6">
        <v>0.46636549291416501</v>
      </c>
    </row>
    <row r="10395" spans="1:3" s="8" customFormat="1" x14ac:dyDescent="0.2">
      <c r="A10395" s="6" t="str">
        <f>"TSPOAP1"</f>
        <v>TSPOAP1</v>
      </c>
      <c r="B10395" s="6">
        <v>0.27572427572427499</v>
      </c>
      <c r="C10395" s="6">
        <v>0.46636549291416501</v>
      </c>
    </row>
    <row r="10396" spans="1:3" s="8" customFormat="1" x14ac:dyDescent="0.2">
      <c r="A10396" s="6" t="str">
        <f>"TMBIM4"</f>
        <v>TMBIM4</v>
      </c>
      <c r="B10396" s="6">
        <v>0.27572427572427499</v>
      </c>
      <c r="C10396" s="6">
        <v>0.46636549291416501</v>
      </c>
    </row>
    <row r="10397" spans="1:3" s="8" customFormat="1" x14ac:dyDescent="0.2">
      <c r="A10397" s="6" t="str">
        <f>"UBAC1"</f>
        <v>UBAC1</v>
      </c>
      <c r="B10397" s="6">
        <v>0.27572427572427499</v>
      </c>
      <c r="C10397" s="6">
        <v>0.46636549291416501</v>
      </c>
    </row>
    <row r="10398" spans="1:3" s="8" customFormat="1" x14ac:dyDescent="0.2">
      <c r="A10398" s="6" t="str">
        <f>"AC010547.3"</f>
        <v>AC010547.3</v>
      </c>
      <c r="B10398" s="6">
        <v>0.27600000000000002</v>
      </c>
      <c r="C10398" s="6">
        <v>0.46674206578188099</v>
      </c>
    </row>
    <row r="10399" spans="1:3" s="8" customFormat="1" x14ac:dyDescent="0.2">
      <c r="A10399" s="6" t="str">
        <f>"AC139453.2"</f>
        <v>AC139453.2</v>
      </c>
      <c r="B10399" s="6">
        <v>0.27600000000000002</v>
      </c>
      <c r="C10399" s="6">
        <v>0.46674206578188099</v>
      </c>
    </row>
    <row r="10400" spans="1:3" s="8" customFormat="1" x14ac:dyDescent="0.2">
      <c r="A10400" s="6" t="str">
        <f>"AC008632.1"</f>
        <v>AC008632.1</v>
      </c>
      <c r="B10400" s="6">
        <v>0.27672327672327601</v>
      </c>
      <c r="C10400" s="6">
        <v>0.467156499414563</v>
      </c>
    </row>
    <row r="10401" spans="1:3" s="8" customFormat="1" x14ac:dyDescent="0.2">
      <c r="A10401" s="6" t="str">
        <f>"AC090260.1"</f>
        <v>AC090260.1</v>
      </c>
      <c r="B10401" s="6">
        <v>0.27655310621242402</v>
      </c>
      <c r="C10401" s="6">
        <v>0.467156499414563</v>
      </c>
    </row>
    <row r="10402" spans="1:3" s="8" customFormat="1" x14ac:dyDescent="0.2">
      <c r="A10402" s="6" t="str">
        <f>"EPCAM-DT"</f>
        <v>EPCAM-DT</v>
      </c>
      <c r="B10402" s="6">
        <v>0.27672327672327601</v>
      </c>
      <c r="C10402" s="6">
        <v>0.467156499414563</v>
      </c>
    </row>
    <row r="10403" spans="1:3" s="8" customFormat="1" x14ac:dyDescent="0.2">
      <c r="A10403" s="6" t="str">
        <f>"RN7SL181P"</f>
        <v>RN7SL181P</v>
      </c>
      <c r="B10403" s="6">
        <v>0.27672327672327601</v>
      </c>
      <c r="C10403" s="6">
        <v>0.467156499414563</v>
      </c>
    </row>
    <row r="10404" spans="1:3" s="8" customFormat="1" x14ac:dyDescent="0.2">
      <c r="A10404" s="6" t="str">
        <f>"AC112504.1"</f>
        <v>AC112504.1</v>
      </c>
      <c r="B10404" s="6">
        <v>0.27672327672327601</v>
      </c>
      <c r="C10404" s="6">
        <v>0.467156499414563</v>
      </c>
    </row>
    <row r="10405" spans="1:3" s="8" customFormat="1" x14ac:dyDescent="0.2">
      <c r="A10405" s="6" t="str">
        <f>"AC112907.3"</f>
        <v>AC112907.3</v>
      </c>
      <c r="B10405" s="6">
        <v>0.27627627627627599</v>
      </c>
      <c r="C10405" s="6">
        <v>0.467156499414563</v>
      </c>
    </row>
    <row r="10406" spans="1:3" s="8" customFormat="1" x14ac:dyDescent="0.2">
      <c r="A10406" s="6" t="str">
        <f>"RIOK1"</f>
        <v>RIOK1</v>
      </c>
      <c r="B10406" s="6">
        <v>0.27672327672327601</v>
      </c>
      <c r="C10406" s="6">
        <v>0.467156499414563</v>
      </c>
    </row>
    <row r="10407" spans="1:3" s="8" customFormat="1" x14ac:dyDescent="0.2">
      <c r="A10407" s="6" t="str">
        <f>"ZNF394"</f>
        <v>ZNF394</v>
      </c>
      <c r="B10407" s="6">
        <v>0.27672327672327601</v>
      </c>
      <c r="C10407" s="6">
        <v>0.467156499414563</v>
      </c>
    </row>
    <row r="10408" spans="1:3" s="8" customFormat="1" x14ac:dyDescent="0.2">
      <c r="A10408" s="6" t="str">
        <f>"ZGPAT"</f>
        <v>ZGPAT</v>
      </c>
      <c r="B10408" s="6">
        <v>0.27672327672327601</v>
      </c>
      <c r="C10408" s="6">
        <v>0.467156499414563</v>
      </c>
    </row>
    <row r="10409" spans="1:3" s="8" customFormat="1" x14ac:dyDescent="0.2">
      <c r="A10409" s="6" t="str">
        <f>"ABHD12B"</f>
        <v>ABHD12B</v>
      </c>
      <c r="B10409" s="6">
        <v>0.27672327672327601</v>
      </c>
      <c r="C10409" s="6">
        <v>0.467156499414563</v>
      </c>
    </row>
    <row r="10410" spans="1:3" s="8" customFormat="1" x14ac:dyDescent="0.2">
      <c r="A10410" s="6" t="str">
        <f>"RHBDL2"</f>
        <v>RHBDL2</v>
      </c>
      <c r="B10410" s="6">
        <v>0.27672327672327601</v>
      </c>
      <c r="C10410" s="6">
        <v>0.467156499414563</v>
      </c>
    </row>
    <row r="10411" spans="1:3" s="8" customFormat="1" x14ac:dyDescent="0.2">
      <c r="A10411" s="6" t="str">
        <f>"ZNF706"</f>
        <v>ZNF706</v>
      </c>
      <c r="B10411" s="6">
        <v>0.27672327672327601</v>
      </c>
      <c r="C10411" s="6">
        <v>0.467156499414563</v>
      </c>
    </row>
    <row r="10412" spans="1:3" s="8" customFormat="1" x14ac:dyDescent="0.2">
      <c r="A10412" s="6" t="str">
        <f>"RAB3IP"</f>
        <v>RAB3IP</v>
      </c>
      <c r="B10412" s="6">
        <v>0.27672327672327601</v>
      </c>
      <c r="C10412" s="6">
        <v>0.467156499414563</v>
      </c>
    </row>
    <row r="10413" spans="1:3" s="8" customFormat="1" x14ac:dyDescent="0.2">
      <c r="A10413" s="6" t="str">
        <f>"ZNF875"</f>
        <v>ZNF875</v>
      </c>
      <c r="B10413" s="6">
        <v>0.27672327672327601</v>
      </c>
      <c r="C10413" s="6">
        <v>0.467156499414563</v>
      </c>
    </row>
    <row r="10414" spans="1:3" s="8" customFormat="1" x14ac:dyDescent="0.2">
      <c r="A10414" s="6" t="str">
        <f>"TMEM181"</f>
        <v>TMEM181</v>
      </c>
      <c r="B10414" s="6">
        <v>0.27672327672327601</v>
      </c>
      <c r="C10414" s="6">
        <v>0.467156499414563</v>
      </c>
    </row>
    <row r="10415" spans="1:3" s="8" customFormat="1" x14ac:dyDescent="0.2">
      <c r="A10415" s="6" t="str">
        <f>"HCP5"</f>
        <v>HCP5</v>
      </c>
      <c r="B10415" s="6">
        <v>0.27672327672327601</v>
      </c>
      <c r="C10415" s="6">
        <v>0.467156499414563</v>
      </c>
    </row>
    <row r="10416" spans="1:3" s="8" customFormat="1" x14ac:dyDescent="0.2">
      <c r="A10416" s="6" t="str">
        <f>"RIOK3"</f>
        <v>RIOK3</v>
      </c>
      <c r="B10416" s="6">
        <v>0.27672327672327601</v>
      </c>
      <c r="C10416" s="6">
        <v>0.467156499414563</v>
      </c>
    </row>
    <row r="10417" spans="1:3" s="8" customFormat="1" x14ac:dyDescent="0.2">
      <c r="A10417" s="6" t="str">
        <f>"VPS13D"</f>
        <v>VPS13D</v>
      </c>
      <c r="B10417" s="6">
        <v>0.27672327672327601</v>
      </c>
      <c r="C10417" s="6">
        <v>0.467156499414563</v>
      </c>
    </row>
    <row r="10418" spans="1:3" s="8" customFormat="1" x14ac:dyDescent="0.2">
      <c r="A10418" s="6" t="str">
        <f>"AC025048.4"</f>
        <v>AC025048.4</v>
      </c>
      <c r="B10418" s="6">
        <v>0.27687626774847801</v>
      </c>
      <c r="C10418" s="6">
        <v>0.467369904203633</v>
      </c>
    </row>
    <row r="10419" spans="1:3" s="8" customFormat="1" x14ac:dyDescent="0.2">
      <c r="A10419" s="6" t="str">
        <f>"ACTR1A"</f>
        <v>ACTR1A</v>
      </c>
      <c r="B10419" s="6">
        <v>0.27700000000000002</v>
      </c>
      <c r="C10419" s="6">
        <v>0.467533883662891</v>
      </c>
    </row>
    <row r="10420" spans="1:3" s="8" customFormat="1" x14ac:dyDescent="0.2">
      <c r="A10420" s="6" t="str">
        <f>"RPSAP41"</f>
        <v>RPSAP41</v>
      </c>
      <c r="B10420" s="6">
        <v>0.27772227772227698</v>
      </c>
      <c r="C10420" s="6">
        <v>0.46780999439299997</v>
      </c>
    </row>
    <row r="10421" spans="1:3" s="8" customFormat="1" x14ac:dyDescent="0.2">
      <c r="A10421" s="6" t="str">
        <f>"KDM2B-DT"</f>
        <v>KDM2B-DT</v>
      </c>
      <c r="B10421" s="6">
        <v>0.27743902439024298</v>
      </c>
      <c r="C10421" s="6">
        <v>0.46780999439299997</v>
      </c>
    </row>
    <row r="10422" spans="1:3" s="8" customFormat="1" x14ac:dyDescent="0.2">
      <c r="A10422" s="6" t="str">
        <f>"AL121672.2"</f>
        <v>AL121672.2</v>
      </c>
      <c r="B10422" s="6">
        <v>0.27772227772227698</v>
      </c>
      <c r="C10422" s="6">
        <v>0.46780999439299997</v>
      </c>
    </row>
    <row r="10423" spans="1:3" s="8" customFormat="1" x14ac:dyDescent="0.2">
      <c r="A10423" s="6" t="str">
        <f>"AC008429.1"</f>
        <v>AC008429.1</v>
      </c>
      <c r="B10423" s="6">
        <v>0.27727727727727702</v>
      </c>
      <c r="C10423" s="6">
        <v>0.46780999439299997</v>
      </c>
    </row>
    <row r="10424" spans="1:3" s="8" customFormat="1" x14ac:dyDescent="0.2">
      <c r="A10424" s="6" t="str">
        <f>"LINC00330"</f>
        <v>LINC00330</v>
      </c>
      <c r="B10424" s="6">
        <v>0.27772227772227698</v>
      </c>
      <c r="C10424" s="6">
        <v>0.46780999439299997</v>
      </c>
    </row>
    <row r="10425" spans="1:3" s="8" customFormat="1" x14ac:dyDescent="0.2">
      <c r="A10425" s="6" t="str">
        <f>"AL035587.2"</f>
        <v>AL035587.2</v>
      </c>
      <c r="B10425" s="6">
        <v>0.27772227772227698</v>
      </c>
      <c r="C10425" s="6">
        <v>0.46780999439299997</v>
      </c>
    </row>
    <row r="10426" spans="1:3" s="8" customFormat="1" x14ac:dyDescent="0.2">
      <c r="A10426" s="6" t="str">
        <f>"ST8SIA6"</f>
        <v>ST8SIA6</v>
      </c>
      <c r="B10426" s="6">
        <v>0.27772227772227698</v>
      </c>
      <c r="C10426" s="6">
        <v>0.46780999439299997</v>
      </c>
    </row>
    <row r="10427" spans="1:3" s="8" customFormat="1" x14ac:dyDescent="0.2">
      <c r="A10427" s="6" t="str">
        <f>"AC021148.2"</f>
        <v>AC021148.2</v>
      </c>
      <c r="B10427" s="6">
        <v>0.27772227772227698</v>
      </c>
      <c r="C10427" s="6">
        <v>0.46780999439299997</v>
      </c>
    </row>
    <row r="10428" spans="1:3" s="8" customFormat="1" x14ac:dyDescent="0.2">
      <c r="A10428" s="6" t="str">
        <f>"AL357153.1"</f>
        <v>AL357153.1</v>
      </c>
      <c r="B10428" s="6">
        <v>0.27772227772227698</v>
      </c>
      <c r="C10428" s="6">
        <v>0.46780999439299997</v>
      </c>
    </row>
    <row r="10429" spans="1:3" s="8" customFormat="1" x14ac:dyDescent="0.2">
      <c r="A10429" s="6" t="str">
        <f>"HUS1"</f>
        <v>HUS1</v>
      </c>
      <c r="B10429" s="6">
        <v>0.27772227772227698</v>
      </c>
      <c r="C10429" s="6">
        <v>0.46780999439299997</v>
      </c>
    </row>
    <row r="10430" spans="1:3" s="8" customFormat="1" x14ac:dyDescent="0.2">
      <c r="A10430" s="6" t="str">
        <f>"RIPK3"</f>
        <v>RIPK3</v>
      </c>
      <c r="B10430" s="6">
        <v>0.27772227772227698</v>
      </c>
      <c r="C10430" s="6">
        <v>0.46780999439299997</v>
      </c>
    </row>
    <row r="10431" spans="1:3" s="8" customFormat="1" x14ac:dyDescent="0.2">
      <c r="A10431" s="6" t="str">
        <f>"FBXL15"</f>
        <v>FBXL15</v>
      </c>
      <c r="B10431" s="6">
        <v>0.27772227772227698</v>
      </c>
      <c r="C10431" s="6">
        <v>0.46780999439299997</v>
      </c>
    </row>
    <row r="10432" spans="1:3" s="8" customFormat="1" x14ac:dyDescent="0.2">
      <c r="A10432" s="6" t="str">
        <f>"POLR2D"</f>
        <v>POLR2D</v>
      </c>
      <c r="B10432" s="6">
        <v>0.27772227772227698</v>
      </c>
      <c r="C10432" s="6">
        <v>0.46780999439299997</v>
      </c>
    </row>
    <row r="10433" spans="1:3" s="8" customFormat="1" x14ac:dyDescent="0.2">
      <c r="A10433" s="6" t="str">
        <f>"SMIM7"</f>
        <v>SMIM7</v>
      </c>
      <c r="B10433" s="6">
        <v>0.27772227772227698</v>
      </c>
      <c r="C10433" s="6">
        <v>0.46780999439299997</v>
      </c>
    </row>
    <row r="10434" spans="1:3" s="8" customFormat="1" x14ac:dyDescent="0.2">
      <c r="A10434" s="6" t="str">
        <f>"C1orf198"</f>
        <v>C1orf198</v>
      </c>
      <c r="B10434" s="6">
        <v>0.27772227772227698</v>
      </c>
      <c r="C10434" s="6">
        <v>0.46780999439299997</v>
      </c>
    </row>
    <row r="10435" spans="1:3" s="8" customFormat="1" x14ac:dyDescent="0.2">
      <c r="A10435" s="6" t="str">
        <f>"AGFG1"</f>
        <v>AGFG1</v>
      </c>
      <c r="B10435" s="6">
        <v>0.27772227772227698</v>
      </c>
      <c r="C10435" s="6">
        <v>0.46780999439299997</v>
      </c>
    </row>
    <row r="10436" spans="1:3" s="8" customFormat="1" x14ac:dyDescent="0.2">
      <c r="A10436" s="6" t="str">
        <f>"TMTC3"</f>
        <v>TMTC3</v>
      </c>
      <c r="B10436" s="6">
        <v>0.27772227772227698</v>
      </c>
      <c r="C10436" s="6">
        <v>0.46780999439299997</v>
      </c>
    </row>
    <row r="10437" spans="1:3" s="8" customFormat="1" x14ac:dyDescent="0.2">
      <c r="A10437" s="6" t="str">
        <f>"KRR1"</f>
        <v>KRR1</v>
      </c>
      <c r="B10437" s="6">
        <v>0.27772227772227698</v>
      </c>
      <c r="C10437" s="6">
        <v>0.46780999439299997</v>
      </c>
    </row>
    <row r="10438" spans="1:3" s="8" customFormat="1" x14ac:dyDescent="0.2">
      <c r="A10438" s="6" t="str">
        <f>"TM7SF3"</f>
        <v>TM7SF3</v>
      </c>
      <c r="B10438" s="6">
        <v>0.27772227772227698</v>
      </c>
      <c r="C10438" s="6">
        <v>0.46780999439299997</v>
      </c>
    </row>
    <row r="10439" spans="1:3" s="8" customFormat="1" x14ac:dyDescent="0.2">
      <c r="A10439" s="6" t="str">
        <f>"RPL17-C18orf32"</f>
        <v>RPL17-C18orf32</v>
      </c>
      <c r="B10439" s="6">
        <v>0.27772227772227698</v>
      </c>
      <c r="C10439" s="6">
        <v>0.46780999439299997</v>
      </c>
    </row>
    <row r="10440" spans="1:3" s="8" customFormat="1" x14ac:dyDescent="0.2">
      <c r="A10440" s="6" t="str">
        <f>"RDH10"</f>
        <v>RDH10</v>
      </c>
      <c r="B10440" s="6">
        <v>0.27772227772227698</v>
      </c>
      <c r="C10440" s="6">
        <v>0.46780999439299997</v>
      </c>
    </row>
    <row r="10441" spans="1:3" s="8" customFormat="1" x14ac:dyDescent="0.2">
      <c r="A10441" s="6" t="str">
        <f>"AC010536.1"</f>
        <v>AC010536.1</v>
      </c>
      <c r="B10441" s="6">
        <v>0.27777777777777701</v>
      </c>
      <c r="C10441" s="6">
        <v>0.46785866326096198</v>
      </c>
    </row>
    <row r="10442" spans="1:3" s="8" customFormat="1" x14ac:dyDescent="0.2">
      <c r="A10442" s="6" t="str">
        <f>"AL356095.2"</f>
        <v>AL356095.2</v>
      </c>
      <c r="B10442" s="6">
        <v>0.27800407331975502</v>
      </c>
      <c r="C10442" s="6">
        <v>0.46810529783152099</v>
      </c>
    </row>
    <row r="10443" spans="1:3" s="8" customFormat="1" x14ac:dyDescent="0.2">
      <c r="A10443" s="6" t="str">
        <f>"CA14"</f>
        <v>CA14</v>
      </c>
      <c r="B10443" s="6">
        <v>0.27800000000000002</v>
      </c>
      <c r="C10443" s="6">
        <v>0.46810529783152099</v>
      </c>
    </row>
    <row r="10444" spans="1:3" s="8" customFormat="1" x14ac:dyDescent="0.2">
      <c r="A10444" s="6" t="str">
        <f>"NUDT5"</f>
        <v>NUDT5</v>
      </c>
      <c r="B10444" s="6">
        <v>0.27800000000000002</v>
      </c>
      <c r="C10444" s="6">
        <v>0.46810529783152099</v>
      </c>
    </row>
    <row r="10445" spans="1:3" s="8" customFormat="1" x14ac:dyDescent="0.2">
      <c r="A10445" s="6" t="str">
        <f>"AL512484.1"</f>
        <v>AL512484.1</v>
      </c>
      <c r="B10445" s="6">
        <v>0.278721278721278</v>
      </c>
      <c r="C10445" s="6">
        <v>0.46881910895685502</v>
      </c>
    </row>
    <row r="10446" spans="1:3" s="8" customFormat="1" x14ac:dyDescent="0.2">
      <c r="A10446" s="6" t="str">
        <f>"PLVAP"</f>
        <v>PLVAP</v>
      </c>
      <c r="B10446" s="6">
        <v>0.278721278721278</v>
      </c>
      <c r="C10446" s="6">
        <v>0.46881910895685502</v>
      </c>
    </row>
    <row r="10447" spans="1:3" s="8" customFormat="1" x14ac:dyDescent="0.2">
      <c r="A10447" s="6" t="str">
        <f>"FEZ1"</f>
        <v>FEZ1</v>
      </c>
      <c r="B10447" s="6">
        <v>0.278721278721278</v>
      </c>
      <c r="C10447" s="6">
        <v>0.46881910895685502</v>
      </c>
    </row>
    <row r="10448" spans="1:3" s="8" customFormat="1" x14ac:dyDescent="0.2">
      <c r="A10448" s="6" t="str">
        <f>"YTHDF3-AS1"</f>
        <v>YTHDF3-AS1</v>
      </c>
      <c r="B10448" s="6">
        <v>0.278721278721278</v>
      </c>
      <c r="C10448" s="6">
        <v>0.46881910895685502</v>
      </c>
    </row>
    <row r="10449" spans="1:3" s="8" customFormat="1" x14ac:dyDescent="0.2">
      <c r="A10449" s="6" t="str">
        <f>"FAM167A"</f>
        <v>FAM167A</v>
      </c>
      <c r="B10449" s="6">
        <v>0.278721278721278</v>
      </c>
      <c r="C10449" s="6">
        <v>0.46881910895685502</v>
      </c>
    </row>
    <row r="10450" spans="1:3" s="8" customFormat="1" x14ac:dyDescent="0.2">
      <c r="A10450" s="6" t="str">
        <f>"VSIG10"</f>
        <v>VSIG10</v>
      </c>
      <c r="B10450" s="6">
        <v>0.278721278721278</v>
      </c>
      <c r="C10450" s="6">
        <v>0.46881910895685502</v>
      </c>
    </row>
    <row r="10451" spans="1:3" s="8" customFormat="1" x14ac:dyDescent="0.2">
      <c r="A10451" s="6" t="str">
        <f>"POFUT2"</f>
        <v>POFUT2</v>
      </c>
      <c r="B10451" s="6">
        <v>0.278721278721278</v>
      </c>
      <c r="C10451" s="6">
        <v>0.46881910895685502</v>
      </c>
    </row>
    <row r="10452" spans="1:3" s="8" customFormat="1" x14ac:dyDescent="0.2">
      <c r="A10452" s="6" t="str">
        <f>"SMIM19"</f>
        <v>SMIM19</v>
      </c>
      <c r="B10452" s="6">
        <v>0.278721278721278</v>
      </c>
      <c r="C10452" s="6">
        <v>0.46881910895685502</v>
      </c>
    </row>
    <row r="10453" spans="1:3" s="8" customFormat="1" x14ac:dyDescent="0.2">
      <c r="A10453" s="6" t="str">
        <f>"C4orf19"</f>
        <v>C4orf19</v>
      </c>
      <c r="B10453" s="6">
        <v>0.278721278721278</v>
      </c>
      <c r="C10453" s="6">
        <v>0.46881910895685502</v>
      </c>
    </row>
    <row r="10454" spans="1:3" s="8" customFormat="1" x14ac:dyDescent="0.2">
      <c r="A10454" s="6" t="str">
        <f>"ARF6"</f>
        <v>ARF6</v>
      </c>
      <c r="B10454" s="6">
        <v>0.278721278721278</v>
      </c>
      <c r="C10454" s="6">
        <v>0.46881910895685502</v>
      </c>
    </row>
    <row r="10455" spans="1:3" s="8" customFormat="1" x14ac:dyDescent="0.2">
      <c r="A10455" s="6" t="str">
        <f>"PAPOLA"</f>
        <v>PAPOLA</v>
      </c>
      <c r="B10455" s="6">
        <v>0.278721278721278</v>
      </c>
      <c r="C10455" s="6">
        <v>0.46881910895685502</v>
      </c>
    </row>
    <row r="10456" spans="1:3" s="8" customFormat="1" x14ac:dyDescent="0.2">
      <c r="A10456" s="6" t="str">
        <f>"AC083841.1"</f>
        <v>AC083841.1</v>
      </c>
      <c r="B10456" s="6">
        <v>0.27900000000000003</v>
      </c>
      <c r="C10456" s="6">
        <v>0.46919816373374101</v>
      </c>
    </row>
    <row r="10457" spans="1:3" s="8" customFormat="1" x14ac:dyDescent="0.2">
      <c r="A10457" s="6" t="str">
        <f>"SH3GLB1"</f>
        <v>SH3GLB1</v>
      </c>
      <c r="B10457" s="6">
        <v>0.27900000000000003</v>
      </c>
      <c r="C10457" s="6">
        <v>0.46919816373374101</v>
      </c>
    </row>
    <row r="10458" spans="1:3" s="8" customFormat="1" x14ac:dyDescent="0.2">
      <c r="A10458" s="6" t="str">
        <f>"AC239585.2"</f>
        <v>AC239585.2</v>
      </c>
      <c r="B10458" s="6">
        <v>0.27952329360779998</v>
      </c>
      <c r="C10458" s="6">
        <v>0.46960105008606001</v>
      </c>
    </row>
    <row r="10459" spans="1:3" s="8" customFormat="1" x14ac:dyDescent="0.2">
      <c r="A10459" s="6" t="str">
        <f>"AL139246.2"</f>
        <v>AL139246.2</v>
      </c>
      <c r="B10459" s="6">
        <v>0.27972027972027902</v>
      </c>
      <c r="C10459" s="6">
        <v>0.46960105008606001</v>
      </c>
    </row>
    <row r="10460" spans="1:3" s="8" customFormat="1" x14ac:dyDescent="0.2">
      <c r="A10460" s="6" t="str">
        <f>"GFAP"</f>
        <v>GFAP</v>
      </c>
      <c r="B10460" s="6">
        <v>0.27972027972027902</v>
      </c>
      <c r="C10460" s="6">
        <v>0.46960105008606001</v>
      </c>
    </row>
    <row r="10461" spans="1:3" s="8" customFormat="1" x14ac:dyDescent="0.2">
      <c r="A10461" s="6" t="str">
        <f>"ZDHHC8P1"</f>
        <v>ZDHHC8P1</v>
      </c>
      <c r="B10461" s="6">
        <v>0.27972027972027902</v>
      </c>
      <c r="C10461" s="6">
        <v>0.46960105008606001</v>
      </c>
    </row>
    <row r="10462" spans="1:3" s="8" customFormat="1" x14ac:dyDescent="0.2">
      <c r="A10462" s="6" t="str">
        <f>"AL139353.1"</f>
        <v>AL139353.1</v>
      </c>
      <c r="B10462" s="6">
        <v>0.27972027972027902</v>
      </c>
      <c r="C10462" s="6">
        <v>0.46960105008606001</v>
      </c>
    </row>
    <row r="10463" spans="1:3" s="8" customFormat="1" x14ac:dyDescent="0.2">
      <c r="A10463" s="6" t="str">
        <f>"CPVL"</f>
        <v>CPVL</v>
      </c>
      <c r="B10463" s="6">
        <v>0.27972027972027902</v>
      </c>
      <c r="C10463" s="6">
        <v>0.46960105008606001</v>
      </c>
    </row>
    <row r="10464" spans="1:3" s="8" customFormat="1" x14ac:dyDescent="0.2">
      <c r="A10464" s="6" t="str">
        <f>"SKP2"</f>
        <v>SKP2</v>
      </c>
      <c r="B10464" s="6">
        <v>0.27972027972027902</v>
      </c>
      <c r="C10464" s="6">
        <v>0.46960105008606001</v>
      </c>
    </row>
    <row r="10465" spans="1:3" s="8" customFormat="1" x14ac:dyDescent="0.2">
      <c r="A10465" s="6" t="str">
        <f>"ELF5"</f>
        <v>ELF5</v>
      </c>
      <c r="B10465" s="6">
        <v>0.27972027972027902</v>
      </c>
      <c r="C10465" s="6">
        <v>0.46960105008606001</v>
      </c>
    </row>
    <row r="10466" spans="1:3" s="8" customFormat="1" x14ac:dyDescent="0.2">
      <c r="A10466" s="6" t="str">
        <f>"NR2C1"</f>
        <v>NR2C1</v>
      </c>
      <c r="B10466" s="6">
        <v>0.27972027972027902</v>
      </c>
      <c r="C10466" s="6">
        <v>0.46960105008606001</v>
      </c>
    </row>
    <row r="10467" spans="1:3" s="8" customFormat="1" x14ac:dyDescent="0.2">
      <c r="A10467" s="6" t="str">
        <f>"MFSD11"</f>
        <v>MFSD11</v>
      </c>
      <c r="B10467" s="6">
        <v>0.27972027972027902</v>
      </c>
      <c r="C10467" s="6">
        <v>0.46960105008606001</v>
      </c>
    </row>
    <row r="10468" spans="1:3" s="8" customFormat="1" x14ac:dyDescent="0.2">
      <c r="A10468" s="6" t="str">
        <f>"CIAO2A"</f>
        <v>CIAO2A</v>
      </c>
      <c r="B10468" s="6">
        <v>0.27972027972027902</v>
      </c>
      <c r="C10468" s="6">
        <v>0.46960105008606001</v>
      </c>
    </row>
    <row r="10469" spans="1:3" s="8" customFormat="1" x14ac:dyDescent="0.2">
      <c r="A10469" s="6" t="str">
        <f>"EIF1B"</f>
        <v>EIF1B</v>
      </c>
      <c r="B10469" s="6">
        <v>0.27972027972027902</v>
      </c>
      <c r="C10469" s="6">
        <v>0.46960105008606001</v>
      </c>
    </row>
    <row r="10470" spans="1:3" s="8" customFormat="1" x14ac:dyDescent="0.2">
      <c r="A10470" s="6" t="str">
        <f>"CACYBP"</f>
        <v>CACYBP</v>
      </c>
      <c r="B10470" s="6">
        <v>0.27972027972027902</v>
      </c>
      <c r="C10470" s="6">
        <v>0.46960105008606001</v>
      </c>
    </row>
    <row r="10471" spans="1:3" s="8" customFormat="1" x14ac:dyDescent="0.2">
      <c r="A10471" s="6" t="str">
        <f>"WDR46"</f>
        <v>WDR46</v>
      </c>
      <c r="B10471" s="6">
        <v>0.27972027972027902</v>
      </c>
      <c r="C10471" s="6">
        <v>0.46960105008606001</v>
      </c>
    </row>
    <row r="10472" spans="1:3" s="8" customFormat="1" x14ac:dyDescent="0.2">
      <c r="A10472" s="6" t="str">
        <f>"PLAAT3"</f>
        <v>PLAAT3</v>
      </c>
      <c r="B10472" s="6">
        <v>0.27972027972027902</v>
      </c>
      <c r="C10472" s="6">
        <v>0.46960105008606001</v>
      </c>
    </row>
    <row r="10473" spans="1:3" s="8" customFormat="1" x14ac:dyDescent="0.2">
      <c r="A10473" s="6" t="str">
        <f>"CRCP"</f>
        <v>CRCP</v>
      </c>
      <c r="B10473" s="6">
        <v>0.27972027972027902</v>
      </c>
      <c r="C10473" s="6">
        <v>0.46960105008606001</v>
      </c>
    </row>
    <row r="10474" spans="1:3" s="8" customFormat="1" x14ac:dyDescent="0.2">
      <c r="A10474" s="6" t="str">
        <f>"PTDSS1"</f>
        <v>PTDSS1</v>
      </c>
      <c r="B10474" s="6">
        <v>0.27972027972027902</v>
      </c>
      <c r="C10474" s="6">
        <v>0.46960105008606001</v>
      </c>
    </row>
    <row r="10475" spans="1:3" s="8" customFormat="1" x14ac:dyDescent="0.2">
      <c r="A10475" s="6" t="str">
        <f>"ATXN7L3"</f>
        <v>ATXN7L3</v>
      </c>
      <c r="B10475" s="6">
        <v>0.27972027972027902</v>
      </c>
      <c r="C10475" s="6">
        <v>0.46960105008606001</v>
      </c>
    </row>
    <row r="10476" spans="1:3" s="8" customFormat="1" x14ac:dyDescent="0.2">
      <c r="A10476" s="6" t="str">
        <f>"PIWIL3"</f>
        <v>PIWIL3</v>
      </c>
      <c r="B10476" s="6">
        <v>0.28000000000000003</v>
      </c>
      <c r="C10476" s="6">
        <v>0.46993605039610498</v>
      </c>
    </row>
    <row r="10477" spans="1:3" s="8" customFormat="1" x14ac:dyDescent="0.2">
      <c r="A10477" s="6" t="str">
        <f>"CIP2A"</f>
        <v>CIP2A</v>
      </c>
      <c r="B10477" s="6">
        <v>0.28000000000000003</v>
      </c>
      <c r="C10477" s="6">
        <v>0.46993605039610498</v>
      </c>
    </row>
    <row r="10478" spans="1:3" s="8" customFormat="1" x14ac:dyDescent="0.2">
      <c r="A10478" s="6" t="str">
        <f>"RREB1"</f>
        <v>RREB1</v>
      </c>
      <c r="B10478" s="6">
        <v>0.28000000000000003</v>
      </c>
      <c r="C10478" s="6">
        <v>0.46993605039610498</v>
      </c>
    </row>
    <row r="10479" spans="1:3" s="8" customFormat="1" x14ac:dyDescent="0.2">
      <c r="A10479" s="6" t="str">
        <f>"ARSF"</f>
        <v>ARSF</v>
      </c>
      <c r="B10479" s="6">
        <v>0.28071928071927998</v>
      </c>
      <c r="C10479" s="6">
        <v>0.47015599887301901</v>
      </c>
    </row>
    <row r="10480" spans="1:3" s="8" customFormat="1" x14ac:dyDescent="0.2">
      <c r="A10480" s="6" t="str">
        <f>"AL096794.1"</f>
        <v>AL096794.1</v>
      </c>
      <c r="B10480" s="6">
        <v>0.28071928071927998</v>
      </c>
      <c r="C10480" s="6">
        <v>0.47015599887301901</v>
      </c>
    </row>
    <row r="10481" spans="1:3" s="8" customFormat="1" x14ac:dyDescent="0.2">
      <c r="A10481" s="6" t="str">
        <f>"AC126773.4"</f>
        <v>AC126773.4</v>
      </c>
      <c r="B10481" s="6">
        <v>0.28071928071927998</v>
      </c>
      <c r="C10481" s="6">
        <v>0.47015599887301901</v>
      </c>
    </row>
    <row r="10482" spans="1:3" s="8" customFormat="1" x14ac:dyDescent="0.2">
      <c r="A10482" s="6" t="str">
        <f>"ZBED9"</f>
        <v>ZBED9</v>
      </c>
      <c r="B10482" s="6">
        <v>0.28071928071927998</v>
      </c>
      <c r="C10482" s="6">
        <v>0.47015599887301901</v>
      </c>
    </row>
    <row r="10483" spans="1:3" s="8" customFormat="1" x14ac:dyDescent="0.2">
      <c r="A10483" s="6" t="str">
        <f>"SSTR2"</f>
        <v>SSTR2</v>
      </c>
      <c r="B10483" s="6">
        <v>0.28071928071927998</v>
      </c>
      <c r="C10483" s="6">
        <v>0.47015599887301901</v>
      </c>
    </row>
    <row r="10484" spans="1:3" s="8" customFormat="1" x14ac:dyDescent="0.2">
      <c r="A10484" s="6" t="str">
        <f>"AL121900.1"</f>
        <v>AL121900.1</v>
      </c>
      <c r="B10484" s="6">
        <v>0.28071928071927998</v>
      </c>
      <c r="C10484" s="6">
        <v>0.47015599887301901</v>
      </c>
    </row>
    <row r="10485" spans="1:3" s="8" customFormat="1" x14ac:dyDescent="0.2">
      <c r="A10485" s="6" t="str">
        <f>"PLEKHA8"</f>
        <v>PLEKHA8</v>
      </c>
      <c r="B10485" s="6">
        <v>0.28071928071927998</v>
      </c>
      <c r="C10485" s="6">
        <v>0.47015599887301901</v>
      </c>
    </row>
    <row r="10486" spans="1:3" s="8" customFormat="1" x14ac:dyDescent="0.2">
      <c r="A10486" s="6" t="str">
        <f>"TRAC"</f>
        <v>TRAC</v>
      </c>
      <c r="B10486" s="6">
        <v>0.28071928071927998</v>
      </c>
      <c r="C10486" s="6">
        <v>0.47015599887301901</v>
      </c>
    </row>
    <row r="10487" spans="1:3" s="8" customFormat="1" x14ac:dyDescent="0.2">
      <c r="A10487" s="6" t="str">
        <f>"PINLYP"</f>
        <v>PINLYP</v>
      </c>
      <c r="B10487" s="6">
        <v>0.28071928071927998</v>
      </c>
      <c r="C10487" s="6">
        <v>0.47015599887301901</v>
      </c>
    </row>
    <row r="10488" spans="1:3" s="8" customFormat="1" x14ac:dyDescent="0.2">
      <c r="A10488" s="6" t="str">
        <f>"SKA2"</f>
        <v>SKA2</v>
      </c>
      <c r="B10488" s="6">
        <v>0.28071928071927998</v>
      </c>
      <c r="C10488" s="6">
        <v>0.47015599887301901</v>
      </c>
    </row>
    <row r="10489" spans="1:3" s="8" customFormat="1" x14ac:dyDescent="0.2">
      <c r="A10489" s="6" t="str">
        <f>"ZNF574"</f>
        <v>ZNF574</v>
      </c>
      <c r="B10489" s="6">
        <v>0.28071928071927998</v>
      </c>
      <c r="C10489" s="6">
        <v>0.47015599887301901</v>
      </c>
    </row>
    <row r="10490" spans="1:3" s="8" customFormat="1" x14ac:dyDescent="0.2">
      <c r="A10490" s="6" t="str">
        <f>"NFYA"</f>
        <v>NFYA</v>
      </c>
      <c r="B10490" s="6">
        <v>0.28071928071927998</v>
      </c>
      <c r="C10490" s="6">
        <v>0.47015599887301901</v>
      </c>
    </row>
    <row r="10491" spans="1:3" s="8" customFormat="1" x14ac:dyDescent="0.2">
      <c r="A10491" s="6" t="str">
        <f>"MXRA5"</f>
        <v>MXRA5</v>
      </c>
      <c r="B10491" s="6">
        <v>0.28071928071927998</v>
      </c>
      <c r="C10491" s="6">
        <v>0.47015599887301901</v>
      </c>
    </row>
    <row r="10492" spans="1:3" s="8" customFormat="1" x14ac:dyDescent="0.2">
      <c r="A10492" s="6" t="str">
        <f>"FRG1"</f>
        <v>FRG1</v>
      </c>
      <c r="B10492" s="6">
        <v>0.28071928071927998</v>
      </c>
      <c r="C10492" s="6">
        <v>0.47015599887301901</v>
      </c>
    </row>
    <row r="10493" spans="1:3" s="8" customFormat="1" x14ac:dyDescent="0.2">
      <c r="A10493" s="6" t="str">
        <f>"GOSR2"</f>
        <v>GOSR2</v>
      </c>
      <c r="B10493" s="6">
        <v>0.28071928071927998</v>
      </c>
      <c r="C10493" s="6">
        <v>0.47015599887301901</v>
      </c>
    </row>
    <row r="10494" spans="1:3" s="8" customFormat="1" x14ac:dyDescent="0.2">
      <c r="A10494" s="6" t="str">
        <f>"SEZ6L2"</f>
        <v>SEZ6L2</v>
      </c>
      <c r="B10494" s="6">
        <v>0.28071928071927998</v>
      </c>
      <c r="C10494" s="6">
        <v>0.47015599887301901</v>
      </c>
    </row>
    <row r="10495" spans="1:3" s="8" customFormat="1" x14ac:dyDescent="0.2">
      <c r="A10495" s="6" t="str">
        <f>"SRA1"</f>
        <v>SRA1</v>
      </c>
      <c r="B10495" s="6">
        <v>0.28071928071927998</v>
      </c>
      <c r="C10495" s="6">
        <v>0.47015599887301901</v>
      </c>
    </row>
    <row r="10496" spans="1:3" s="8" customFormat="1" x14ac:dyDescent="0.2">
      <c r="A10496" s="6" t="str">
        <f>"MMS19"</f>
        <v>MMS19</v>
      </c>
      <c r="B10496" s="6">
        <v>0.28071928071927998</v>
      </c>
      <c r="C10496" s="6">
        <v>0.47015599887301901</v>
      </c>
    </row>
    <row r="10497" spans="1:3" s="8" customFormat="1" x14ac:dyDescent="0.2">
      <c r="A10497" s="6" t="str">
        <f>"TRIO"</f>
        <v>TRIO</v>
      </c>
      <c r="B10497" s="6">
        <v>0.28071928071927998</v>
      </c>
      <c r="C10497" s="6">
        <v>0.47015599887301901</v>
      </c>
    </row>
    <row r="10498" spans="1:3" s="8" customFormat="1" x14ac:dyDescent="0.2">
      <c r="A10498" s="6" t="str">
        <f>"PIP4K2C"</f>
        <v>PIP4K2C</v>
      </c>
      <c r="B10498" s="6">
        <v>0.28071928071927998</v>
      </c>
      <c r="C10498" s="6">
        <v>0.47015599887301901</v>
      </c>
    </row>
    <row r="10499" spans="1:3" s="8" customFormat="1" x14ac:dyDescent="0.2">
      <c r="A10499" s="6" t="str">
        <f>"PRXL2A"</f>
        <v>PRXL2A</v>
      </c>
      <c r="B10499" s="6">
        <v>0.28071928071927998</v>
      </c>
      <c r="C10499" s="6">
        <v>0.47015599887301901</v>
      </c>
    </row>
    <row r="10500" spans="1:3" s="8" customFormat="1" x14ac:dyDescent="0.2">
      <c r="A10500" s="6" t="str">
        <f>"TPT1"</f>
        <v>TPT1</v>
      </c>
      <c r="B10500" s="6">
        <v>0.28071928071927998</v>
      </c>
      <c r="C10500" s="6">
        <v>0.47015599887301901</v>
      </c>
    </row>
    <row r="10501" spans="1:3" s="8" customFormat="1" x14ac:dyDescent="0.2">
      <c r="A10501" s="6" t="str">
        <f>"SGO1-AS1"</f>
        <v>SGO1-AS1</v>
      </c>
      <c r="B10501" s="6">
        <v>0.28100000000000003</v>
      </c>
      <c r="C10501" s="6">
        <v>0.47053652033139698</v>
      </c>
    </row>
    <row r="10502" spans="1:3" s="8" customFormat="1" x14ac:dyDescent="0.2">
      <c r="A10502" s="6" t="str">
        <f>"TBL3"</f>
        <v>TBL3</v>
      </c>
      <c r="B10502" s="6">
        <v>0.28100000000000003</v>
      </c>
      <c r="C10502" s="6">
        <v>0.47053652033139698</v>
      </c>
    </row>
    <row r="10503" spans="1:3" s="8" customFormat="1" x14ac:dyDescent="0.2">
      <c r="A10503" s="6" t="str">
        <f>"AC012073.1"</f>
        <v>AC012073.1</v>
      </c>
      <c r="B10503" s="6">
        <v>0.28112449799196698</v>
      </c>
      <c r="C10503" s="6">
        <v>0.47070016879554</v>
      </c>
    </row>
    <row r="10504" spans="1:3" s="8" customFormat="1" x14ac:dyDescent="0.2">
      <c r="A10504" s="6" t="str">
        <f>"CLEC4C"</f>
        <v>CLEC4C</v>
      </c>
      <c r="B10504" s="6">
        <v>0.28171828171828101</v>
      </c>
      <c r="C10504" s="6">
        <v>0.47106640031706598</v>
      </c>
    </row>
    <row r="10505" spans="1:3" s="8" customFormat="1" x14ac:dyDescent="0.2">
      <c r="A10505" s="6" t="str">
        <f>"ST3GAL5-AS1"</f>
        <v>ST3GAL5-AS1</v>
      </c>
      <c r="B10505" s="6">
        <v>0.28171828171828101</v>
      </c>
      <c r="C10505" s="6">
        <v>0.47106640031706598</v>
      </c>
    </row>
    <row r="10506" spans="1:3" s="8" customFormat="1" x14ac:dyDescent="0.2">
      <c r="A10506" s="6" t="str">
        <f>"KRT16P3"</f>
        <v>KRT16P3</v>
      </c>
      <c r="B10506" s="6">
        <v>0.28171828171828101</v>
      </c>
      <c r="C10506" s="6">
        <v>0.47106640031706598</v>
      </c>
    </row>
    <row r="10507" spans="1:3" s="8" customFormat="1" x14ac:dyDescent="0.2">
      <c r="A10507" s="6" t="str">
        <f>"AC005037.1"</f>
        <v>AC005037.1</v>
      </c>
      <c r="B10507" s="6">
        <v>0.281443298969072</v>
      </c>
      <c r="C10507" s="6">
        <v>0.47106640031706598</v>
      </c>
    </row>
    <row r="10508" spans="1:3" s="8" customFormat="1" x14ac:dyDescent="0.2">
      <c r="A10508" s="6" t="str">
        <f>"AC073210.3"</f>
        <v>AC073210.3</v>
      </c>
      <c r="B10508" s="6">
        <v>0.28171828171828101</v>
      </c>
      <c r="C10508" s="6">
        <v>0.47106640031706598</v>
      </c>
    </row>
    <row r="10509" spans="1:3" s="8" customFormat="1" x14ac:dyDescent="0.2">
      <c r="A10509" s="6" t="str">
        <f>"ZNF503-AS2"</f>
        <v>ZNF503-AS2</v>
      </c>
      <c r="B10509" s="6">
        <v>0.28171828171828101</v>
      </c>
      <c r="C10509" s="6">
        <v>0.47106640031706598</v>
      </c>
    </row>
    <row r="10510" spans="1:3" s="8" customFormat="1" x14ac:dyDescent="0.2">
      <c r="A10510" s="6" t="str">
        <f>"SMKR1"</f>
        <v>SMKR1</v>
      </c>
      <c r="B10510" s="6">
        <v>0.28171828171828101</v>
      </c>
      <c r="C10510" s="6">
        <v>0.47106640031706598</v>
      </c>
    </row>
    <row r="10511" spans="1:3" s="8" customFormat="1" x14ac:dyDescent="0.2">
      <c r="A10511" s="6" t="str">
        <f>"CD40"</f>
        <v>CD40</v>
      </c>
      <c r="B10511" s="6">
        <v>0.28171828171828101</v>
      </c>
      <c r="C10511" s="6">
        <v>0.47106640031706598</v>
      </c>
    </row>
    <row r="10512" spans="1:3" s="8" customFormat="1" x14ac:dyDescent="0.2">
      <c r="A10512" s="6" t="str">
        <f>"SLC25A16"</f>
        <v>SLC25A16</v>
      </c>
      <c r="B10512" s="6">
        <v>0.28171828171828101</v>
      </c>
      <c r="C10512" s="6">
        <v>0.47106640031706598</v>
      </c>
    </row>
    <row r="10513" spans="1:3" s="8" customFormat="1" x14ac:dyDescent="0.2">
      <c r="A10513" s="6" t="str">
        <f>"UVSSA"</f>
        <v>UVSSA</v>
      </c>
      <c r="B10513" s="6">
        <v>0.28171828171828101</v>
      </c>
      <c r="C10513" s="6">
        <v>0.47106640031706598</v>
      </c>
    </row>
    <row r="10514" spans="1:3" s="8" customFormat="1" x14ac:dyDescent="0.2">
      <c r="A10514" s="6" t="str">
        <f>"NAB1"</f>
        <v>NAB1</v>
      </c>
      <c r="B10514" s="6">
        <v>0.28171828171828101</v>
      </c>
      <c r="C10514" s="6">
        <v>0.47106640031706598</v>
      </c>
    </row>
    <row r="10515" spans="1:3" s="8" customFormat="1" x14ac:dyDescent="0.2">
      <c r="A10515" s="6" t="str">
        <f>"SAP30BP"</f>
        <v>SAP30BP</v>
      </c>
      <c r="B10515" s="6">
        <v>0.28171828171828101</v>
      </c>
      <c r="C10515" s="6">
        <v>0.47106640031706598</v>
      </c>
    </row>
    <row r="10516" spans="1:3" s="8" customFormat="1" x14ac:dyDescent="0.2">
      <c r="A10516" s="6" t="str">
        <f>"ATP6V1A"</f>
        <v>ATP6V1A</v>
      </c>
      <c r="B10516" s="6">
        <v>0.28171828171828101</v>
      </c>
      <c r="C10516" s="6">
        <v>0.47106640031706598</v>
      </c>
    </row>
    <row r="10517" spans="1:3" s="8" customFormat="1" x14ac:dyDescent="0.2">
      <c r="A10517" s="6" t="str">
        <f>"ARSD"</f>
        <v>ARSD</v>
      </c>
      <c r="B10517" s="6">
        <v>0.28171828171828101</v>
      </c>
      <c r="C10517" s="6">
        <v>0.47106640031706598</v>
      </c>
    </row>
    <row r="10518" spans="1:3" s="8" customFormat="1" x14ac:dyDescent="0.2">
      <c r="A10518" s="6" t="str">
        <f>"LINC02334"</f>
        <v>LINC02334</v>
      </c>
      <c r="B10518" s="6">
        <v>0.28181818181818102</v>
      </c>
      <c r="C10518" s="6">
        <v>0.47118863830853902</v>
      </c>
    </row>
    <row r="10519" spans="1:3" s="8" customFormat="1" x14ac:dyDescent="0.2">
      <c r="A10519" s="6" t="str">
        <f>"LINC01311"</f>
        <v>LINC01311</v>
      </c>
      <c r="B10519" s="6">
        <v>0.28267800212539801</v>
      </c>
      <c r="C10519" s="6">
        <v>0.472018676348338</v>
      </c>
    </row>
    <row r="10520" spans="1:3" s="8" customFormat="1" x14ac:dyDescent="0.2">
      <c r="A10520" s="6" t="str">
        <f>"LINC01392"</f>
        <v>LINC01392</v>
      </c>
      <c r="B10520" s="6">
        <v>0.28271728271728203</v>
      </c>
      <c r="C10520" s="6">
        <v>0.472018676348338</v>
      </c>
    </row>
    <row r="10521" spans="1:3" s="8" customFormat="1" x14ac:dyDescent="0.2">
      <c r="A10521" s="6" t="str">
        <f>"VASH2"</f>
        <v>VASH2</v>
      </c>
      <c r="B10521" s="6">
        <v>0.28241206030150701</v>
      </c>
      <c r="C10521" s="6">
        <v>0.472018676348338</v>
      </c>
    </row>
    <row r="10522" spans="1:3" s="8" customFormat="1" x14ac:dyDescent="0.2">
      <c r="A10522" s="6" t="str">
        <f>"ZNF557"</f>
        <v>ZNF557</v>
      </c>
      <c r="B10522" s="6">
        <v>0.28271728271728203</v>
      </c>
      <c r="C10522" s="6">
        <v>0.472018676348338</v>
      </c>
    </row>
    <row r="10523" spans="1:3" s="8" customFormat="1" x14ac:dyDescent="0.2">
      <c r="A10523" s="6" t="str">
        <f>"ZNF736"</f>
        <v>ZNF736</v>
      </c>
      <c r="B10523" s="6">
        <v>0.28271728271728203</v>
      </c>
      <c r="C10523" s="6">
        <v>0.472018676348338</v>
      </c>
    </row>
    <row r="10524" spans="1:3" s="8" customFormat="1" x14ac:dyDescent="0.2">
      <c r="A10524" s="6" t="str">
        <f>"ZNF396"</f>
        <v>ZNF396</v>
      </c>
      <c r="B10524" s="6">
        <v>0.28271728271728203</v>
      </c>
      <c r="C10524" s="6">
        <v>0.472018676348338</v>
      </c>
    </row>
    <row r="10525" spans="1:3" s="8" customFormat="1" x14ac:dyDescent="0.2">
      <c r="A10525" s="6" t="str">
        <f>"OMA1"</f>
        <v>OMA1</v>
      </c>
      <c r="B10525" s="6">
        <v>0.28271728271728203</v>
      </c>
      <c r="C10525" s="6">
        <v>0.472018676348338</v>
      </c>
    </row>
    <row r="10526" spans="1:3" s="8" customFormat="1" x14ac:dyDescent="0.2">
      <c r="A10526" s="6" t="str">
        <f>"DCAF13"</f>
        <v>DCAF13</v>
      </c>
      <c r="B10526" s="6">
        <v>0.28271728271728203</v>
      </c>
      <c r="C10526" s="6">
        <v>0.472018676348338</v>
      </c>
    </row>
    <row r="10527" spans="1:3" s="8" customFormat="1" x14ac:dyDescent="0.2">
      <c r="A10527" s="6" t="str">
        <f>"AC005943.1"</f>
        <v>AC005943.1</v>
      </c>
      <c r="B10527" s="6">
        <v>0.28271728271728203</v>
      </c>
      <c r="C10527" s="6">
        <v>0.472018676348338</v>
      </c>
    </row>
    <row r="10528" spans="1:3" s="8" customFormat="1" x14ac:dyDescent="0.2">
      <c r="A10528" s="6" t="str">
        <f>"PIK3CB"</f>
        <v>PIK3CB</v>
      </c>
      <c r="B10528" s="6">
        <v>0.28271728271728203</v>
      </c>
      <c r="C10528" s="6">
        <v>0.472018676348338</v>
      </c>
    </row>
    <row r="10529" spans="1:3" s="8" customFormat="1" x14ac:dyDescent="0.2">
      <c r="A10529" s="6" t="str">
        <f>"FOXK2"</f>
        <v>FOXK2</v>
      </c>
      <c r="B10529" s="6">
        <v>0.28271728271728203</v>
      </c>
      <c r="C10529" s="6">
        <v>0.472018676348338</v>
      </c>
    </row>
    <row r="10530" spans="1:3" s="8" customFormat="1" x14ac:dyDescent="0.2">
      <c r="A10530" s="6" t="str">
        <f>"CMAS"</f>
        <v>CMAS</v>
      </c>
      <c r="B10530" s="6">
        <v>0.28271728271728203</v>
      </c>
      <c r="C10530" s="6">
        <v>0.472018676348338</v>
      </c>
    </row>
    <row r="10531" spans="1:3" s="8" customFormat="1" x14ac:dyDescent="0.2">
      <c r="A10531" s="6" t="str">
        <f>"VPS53"</f>
        <v>VPS53</v>
      </c>
      <c r="B10531" s="6">
        <v>0.28271728271728203</v>
      </c>
      <c r="C10531" s="6">
        <v>0.472018676348338</v>
      </c>
    </row>
    <row r="10532" spans="1:3" s="8" customFormat="1" x14ac:dyDescent="0.2">
      <c r="A10532" s="6" t="str">
        <f>"RANGAP1"</f>
        <v>RANGAP1</v>
      </c>
      <c r="B10532" s="6">
        <v>0.28271728271728203</v>
      </c>
      <c r="C10532" s="6">
        <v>0.472018676348338</v>
      </c>
    </row>
    <row r="10533" spans="1:3" s="8" customFormat="1" x14ac:dyDescent="0.2">
      <c r="A10533" s="6" t="str">
        <f>"TOP2B"</f>
        <v>TOP2B</v>
      </c>
      <c r="B10533" s="6">
        <v>0.28271728271728203</v>
      </c>
      <c r="C10533" s="6">
        <v>0.472018676348338</v>
      </c>
    </row>
    <row r="10534" spans="1:3" s="8" customFormat="1" x14ac:dyDescent="0.2">
      <c r="A10534" s="6" t="str">
        <f>"AC008655.1"</f>
        <v>AC008655.1</v>
      </c>
      <c r="B10534" s="6">
        <v>0.28294177732379899</v>
      </c>
      <c r="C10534" s="6">
        <v>0.47234863879822397</v>
      </c>
    </row>
    <row r="10535" spans="1:3" s="8" customFormat="1" x14ac:dyDescent="0.2">
      <c r="A10535" s="6" t="str">
        <f>"AC021086.1"</f>
        <v>AC021086.1</v>
      </c>
      <c r="B10535" s="6">
        <v>0.28371628371628299</v>
      </c>
      <c r="C10535" s="6">
        <v>0.47296806341174902</v>
      </c>
    </row>
    <row r="10536" spans="1:3" s="8" customFormat="1" x14ac:dyDescent="0.2">
      <c r="A10536" s="6" t="str">
        <f>"NFYC-AS1"</f>
        <v>NFYC-AS1</v>
      </c>
      <c r="B10536" s="6">
        <v>0.28347280334727998</v>
      </c>
      <c r="C10536" s="6">
        <v>0.47296806341174902</v>
      </c>
    </row>
    <row r="10537" spans="1:3" s="8" customFormat="1" x14ac:dyDescent="0.2">
      <c r="A10537" s="6" t="str">
        <f>"CLEC18A"</f>
        <v>CLEC18A</v>
      </c>
      <c r="B10537" s="6">
        <v>0.28371628371628299</v>
      </c>
      <c r="C10537" s="6">
        <v>0.47296806341174902</v>
      </c>
    </row>
    <row r="10538" spans="1:3" s="8" customFormat="1" x14ac:dyDescent="0.2">
      <c r="A10538" s="6" t="str">
        <f>"HTR3A"</f>
        <v>HTR3A</v>
      </c>
      <c r="B10538" s="6">
        <v>0.28371628371628299</v>
      </c>
      <c r="C10538" s="6">
        <v>0.47296806341174902</v>
      </c>
    </row>
    <row r="10539" spans="1:3" s="8" customFormat="1" x14ac:dyDescent="0.2">
      <c r="A10539" s="6" t="str">
        <f>"FNBP1P1"</f>
        <v>FNBP1P1</v>
      </c>
      <c r="B10539" s="6">
        <v>0.28371628371628299</v>
      </c>
      <c r="C10539" s="6">
        <v>0.47296806341174902</v>
      </c>
    </row>
    <row r="10540" spans="1:3" s="8" customFormat="1" x14ac:dyDescent="0.2">
      <c r="A10540" s="6" t="str">
        <f>"AP002761.4"</f>
        <v>AP002761.4</v>
      </c>
      <c r="B10540" s="6">
        <v>0.28371628371628299</v>
      </c>
      <c r="C10540" s="6">
        <v>0.47296806341174902</v>
      </c>
    </row>
    <row r="10541" spans="1:3" s="8" customFormat="1" x14ac:dyDescent="0.2">
      <c r="A10541" s="6" t="str">
        <f>"SNHG11"</f>
        <v>SNHG11</v>
      </c>
      <c r="B10541" s="6">
        <v>0.28371628371628299</v>
      </c>
      <c r="C10541" s="6">
        <v>0.47296806341174902</v>
      </c>
    </row>
    <row r="10542" spans="1:3" s="8" customFormat="1" x14ac:dyDescent="0.2">
      <c r="A10542" s="6" t="str">
        <f>"MFGE8"</f>
        <v>MFGE8</v>
      </c>
      <c r="B10542" s="6">
        <v>0.28371628371628299</v>
      </c>
      <c r="C10542" s="6">
        <v>0.47296806341174902</v>
      </c>
    </row>
    <row r="10543" spans="1:3" s="8" customFormat="1" x14ac:dyDescent="0.2">
      <c r="A10543" s="6" t="str">
        <f>"RPAP2"</f>
        <v>RPAP2</v>
      </c>
      <c r="B10543" s="6">
        <v>0.28371628371628299</v>
      </c>
      <c r="C10543" s="6">
        <v>0.47296806341174902</v>
      </c>
    </row>
    <row r="10544" spans="1:3" s="8" customFormat="1" x14ac:dyDescent="0.2">
      <c r="A10544" s="6" t="str">
        <f>"DOLPP1"</f>
        <v>DOLPP1</v>
      </c>
      <c r="B10544" s="6">
        <v>0.28371628371628299</v>
      </c>
      <c r="C10544" s="6">
        <v>0.47296806341174902</v>
      </c>
    </row>
    <row r="10545" spans="1:3" s="8" customFormat="1" x14ac:dyDescent="0.2">
      <c r="A10545" s="6" t="str">
        <f>"BCL7C"</f>
        <v>BCL7C</v>
      </c>
      <c r="B10545" s="6">
        <v>0.28371628371628299</v>
      </c>
      <c r="C10545" s="6">
        <v>0.47296806341174902</v>
      </c>
    </row>
    <row r="10546" spans="1:3" s="8" customFormat="1" x14ac:dyDescent="0.2">
      <c r="A10546" s="6" t="str">
        <f>"CEP97"</f>
        <v>CEP97</v>
      </c>
      <c r="B10546" s="6">
        <v>0.28371628371628299</v>
      </c>
      <c r="C10546" s="6">
        <v>0.47296806341174902</v>
      </c>
    </row>
    <row r="10547" spans="1:3" s="8" customFormat="1" x14ac:dyDescent="0.2">
      <c r="A10547" s="6" t="str">
        <f>"SCRN2"</f>
        <v>SCRN2</v>
      </c>
      <c r="B10547" s="6">
        <v>0.28371628371628299</v>
      </c>
      <c r="C10547" s="6">
        <v>0.47296806341174902</v>
      </c>
    </row>
    <row r="10548" spans="1:3" s="8" customFormat="1" x14ac:dyDescent="0.2">
      <c r="A10548" s="6" t="str">
        <f>"STS"</f>
        <v>STS</v>
      </c>
      <c r="B10548" s="6">
        <v>0.28371628371628299</v>
      </c>
      <c r="C10548" s="6">
        <v>0.47296806341174902</v>
      </c>
    </row>
    <row r="10549" spans="1:3" s="8" customFormat="1" x14ac:dyDescent="0.2">
      <c r="A10549" s="6" t="str">
        <f>"ZNF217"</f>
        <v>ZNF217</v>
      </c>
      <c r="B10549" s="6">
        <v>0.28371628371628299</v>
      </c>
      <c r="C10549" s="6">
        <v>0.47296806341174902</v>
      </c>
    </row>
    <row r="10550" spans="1:3" s="8" customFormat="1" x14ac:dyDescent="0.2">
      <c r="A10550" s="6" t="str">
        <f>"CBX2"</f>
        <v>CBX2</v>
      </c>
      <c r="B10550" s="6">
        <v>0.28399999999999997</v>
      </c>
      <c r="C10550" s="6">
        <v>0.47339615129396101</v>
      </c>
    </row>
    <row r="10551" spans="1:3" s="8" customFormat="1" x14ac:dyDescent="0.2">
      <c r="A10551" s="6" t="str">
        <f>"AC018638.7"</f>
        <v>AC018638.7</v>
      </c>
      <c r="B10551" s="6">
        <v>0.28471528471528401</v>
      </c>
      <c r="C10551" s="6">
        <v>0.47355595596231198</v>
      </c>
    </row>
    <row r="10552" spans="1:3" s="8" customFormat="1" x14ac:dyDescent="0.2">
      <c r="A10552" s="6" t="str">
        <f>"RPL39P16"</f>
        <v>RPL39P16</v>
      </c>
      <c r="B10552" s="6">
        <v>0.28438469493278101</v>
      </c>
      <c r="C10552" s="6">
        <v>0.47355595596231198</v>
      </c>
    </row>
    <row r="10553" spans="1:3" s="8" customFormat="1" x14ac:dyDescent="0.2">
      <c r="A10553" s="6" t="str">
        <f>"SOX8"</f>
        <v>SOX8</v>
      </c>
      <c r="B10553" s="6">
        <v>0.28471528471528401</v>
      </c>
      <c r="C10553" s="6">
        <v>0.47355595596231198</v>
      </c>
    </row>
    <row r="10554" spans="1:3" s="8" customFormat="1" x14ac:dyDescent="0.2">
      <c r="A10554" s="6" t="str">
        <f>"LINC00345"</f>
        <v>LINC00345</v>
      </c>
      <c r="B10554" s="6">
        <v>0.28471528471528401</v>
      </c>
      <c r="C10554" s="6">
        <v>0.47355595596231198</v>
      </c>
    </row>
    <row r="10555" spans="1:3" s="8" customFormat="1" x14ac:dyDescent="0.2">
      <c r="A10555" s="6" t="str">
        <f>"DPYS"</f>
        <v>DPYS</v>
      </c>
      <c r="B10555" s="6">
        <v>0.28471528471528401</v>
      </c>
      <c r="C10555" s="6">
        <v>0.47355595596231198</v>
      </c>
    </row>
    <row r="10556" spans="1:3" s="8" customFormat="1" x14ac:dyDescent="0.2">
      <c r="A10556" s="6" t="str">
        <f>"AC005520.2"</f>
        <v>AC005520.2</v>
      </c>
      <c r="B10556" s="6">
        <v>0.28471528471528401</v>
      </c>
      <c r="C10556" s="6">
        <v>0.47355595596231198</v>
      </c>
    </row>
    <row r="10557" spans="1:3" s="8" customFormat="1" x14ac:dyDescent="0.2">
      <c r="A10557" s="6" t="str">
        <f>"ANKRD46"</f>
        <v>ANKRD46</v>
      </c>
      <c r="B10557" s="6">
        <v>0.28471528471528401</v>
      </c>
      <c r="C10557" s="6">
        <v>0.47355595596231198</v>
      </c>
    </row>
    <row r="10558" spans="1:3" s="8" customFormat="1" x14ac:dyDescent="0.2">
      <c r="A10558" s="6" t="str">
        <f>"KRT8P12"</f>
        <v>KRT8P12</v>
      </c>
      <c r="B10558" s="6">
        <v>0.28471528471528401</v>
      </c>
      <c r="C10558" s="6">
        <v>0.47355595596231198</v>
      </c>
    </row>
    <row r="10559" spans="1:3" s="8" customFormat="1" x14ac:dyDescent="0.2">
      <c r="A10559" s="6" t="str">
        <f>"RBM15"</f>
        <v>RBM15</v>
      </c>
      <c r="B10559" s="6">
        <v>0.28471528471528401</v>
      </c>
      <c r="C10559" s="6">
        <v>0.47355595596231198</v>
      </c>
    </row>
    <row r="10560" spans="1:3" s="8" customFormat="1" x14ac:dyDescent="0.2">
      <c r="A10560" s="6" t="str">
        <f>"RRP9"</f>
        <v>RRP9</v>
      </c>
      <c r="B10560" s="6">
        <v>0.28471528471528401</v>
      </c>
      <c r="C10560" s="6">
        <v>0.47355595596231198</v>
      </c>
    </row>
    <row r="10561" spans="1:3" s="8" customFormat="1" x14ac:dyDescent="0.2">
      <c r="A10561" s="6" t="str">
        <f>"ETNK2"</f>
        <v>ETNK2</v>
      </c>
      <c r="B10561" s="6">
        <v>0.28471528471528401</v>
      </c>
      <c r="C10561" s="6">
        <v>0.47355595596231198</v>
      </c>
    </row>
    <row r="10562" spans="1:3" s="8" customFormat="1" x14ac:dyDescent="0.2">
      <c r="A10562" s="6" t="str">
        <f>"CDCA7L"</f>
        <v>CDCA7L</v>
      </c>
      <c r="B10562" s="6">
        <v>0.28471528471528401</v>
      </c>
      <c r="C10562" s="6">
        <v>0.47355595596231198</v>
      </c>
    </row>
    <row r="10563" spans="1:3" s="8" customFormat="1" x14ac:dyDescent="0.2">
      <c r="A10563" s="6" t="str">
        <f>"ELF2"</f>
        <v>ELF2</v>
      </c>
      <c r="B10563" s="6">
        <v>0.28471528471528401</v>
      </c>
      <c r="C10563" s="6">
        <v>0.47355595596231198</v>
      </c>
    </row>
    <row r="10564" spans="1:3" s="8" customFormat="1" x14ac:dyDescent="0.2">
      <c r="A10564" s="6" t="str">
        <f>"FEM1C"</f>
        <v>FEM1C</v>
      </c>
      <c r="B10564" s="6">
        <v>0.28471528471528401</v>
      </c>
      <c r="C10564" s="6">
        <v>0.47355595596231198</v>
      </c>
    </row>
    <row r="10565" spans="1:3" s="8" customFormat="1" x14ac:dyDescent="0.2">
      <c r="A10565" s="6" t="str">
        <f>"ABHD12"</f>
        <v>ABHD12</v>
      </c>
      <c r="B10565" s="6">
        <v>0.28471528471528401</v>
      </c>
      <c r="C10565" s="6">
        <v>0.47355595596231198</v>
      </c>
    </row>
    <row r="10566" spans="1:3" s="8" customFormat="1" x14ac:dyDescent="0.2">
      <c r="A10566" s="6" t="str">
        <f>"SLC35F6"</f>
        <v>SLC35F6</v>
      </c>
      <c r="B10566" s="6">
        <v>0.28471528471528401</v>
      </c>
      <c r="C10566" s="6">
        <v>0.47355595596231198</v>
      </c>
    </row>
    <row r="10567" spans="1:3" s="8" customFormat="1" x14ac:dyDescent="0.2">
      <c r="A10567" s="6" t="str">
        <f>"CCDC85C"</f>
        <v>CCDC85C</v>
      </c>
      <c r="B10567" s="6">
        <v>0.28471528471528401</v>
      </c>
      <c r="C10567" s="6">
        <v>0.47355595596231198</v>
      </c>
    </row>
    <row r="10568" spans="1:3" s="8" customFormat="1" x14ac:dyDescent="0.2">
      <c r="A10568" s="6" t="str">
        <f>"ATP6V0A4"</f>
        <v>ATP6V0A4</v>
      </c>
      <c r="B10568" s="6">
        <v>0.28471528471528401</v>
      </c>
      <c r="C10568" s="6">
        <v>0.47355595596231198</v>
      </c>
    </row>
    <row r="10569" spans="1:3" s="8" customFormat="1" x14ac:dyDescent="0.2">
      <c r="A10569" s="6" t="str">
        <f>"ARHGEF37"</f>
        <v>ARHGEF37</v>
      </c>
      <c r="B10569" s="6">
        <v>0.28471528471528401</v>
      </c>
      <c r="C10569" s="6">
        <v>0.47355595596231198</v>
      </c>
    </row>
    <row r="10570" spans="1:3" s="8" customFormat="1" x14ac:dyDescent="0.2">
      <c r="A10570" s="6" t="str">
        <f>"WDFY1"</f>
        <v>WDFY1</v>
      </c>
      <c r="B10570" s="6">
        <v>0.28471528471528401</v>
      </c>
      <c r="C10570" s="6">
        <v>0.47355595596231198</v>
      </c>
    </row>
    <row r="10571" spans="1:3" s="8" customFormat="1" x14ac:dyDescent="0.2">
      <c r="A10571" s="6" t="str">
        <f>"CSNK1G2"</f>
        <v>CSNK1G2</v>
      </c>
      <c r="B10571" s="6">
        <v>0.28471528471528401</v>
      </c>
      <c r="C10571" s="6">
        <v>0.47355595596231198</v>
      </c>
    </row>
    <row r="10572" spans="1:3" s="8" customFormat="1" x14ac:dyDescent="0.2">
      <c r="A10572" s="6" t="str">
        <f>"RHOC"</f>
        <v>RHOC</v>
      </c>
      <c r="B10572" s="6">
        <v>0.28471528471528401</v>
      </c>
      <c r="C10572" s="6">
        <v>0.47355595596231198</v>
      </c>
    </row>
    <row r="10573" spans="1:3" s="8" customFormat="1" x14ac:dyDescent="0.2">
      <c r="A10573" s="6" t="str">
        <f>"AP3D1"</f>
        <v>AP3D1</v>
      </c>
      <c r="B10573" s="6">
        <v>0.28471528471528401</v>
      </c>
      <c r="C10573" s="6">
        <v>0.47355595596231198</v>
      </c>
    </row>
    <row r="10574" spans="1:3" s="8" customFormat="1" x14ac:dyDescent="0.2">
      <c r="A10574" s="6" t="str">
        <f>"DUSP16"</f>
        <v>DUSP16</v>
      </c>
      <c r="B10574" s="6">
        <v>0.28499999999999998</v>
      </c>
      <c r="C10574" s="6">
        <v>0.47398467795327698</v>
      </c>
    </row>
    <row r="10575" spans="1:3" s="8" customFormat="1" x14ac:dyDescent="0.2">
      <c r="A10575" s="6" t="str">
        <f>"AL162426.1"</f>
        <v>AL162426.1</v>
      </c>
      <c r="B10575" s="6">
        <v>0.28571428571428498</v>
      </c>
      <c r="C10575" s="6">
        <v>0.47467876039304602</v>
      </c>
    </row>
    <row r="10576" spans="1:3" s="8" customFormat="1" x14ac:dyDescent="0.2">
      <c r="A10576" s="6" t="str">
        <f>"AC010996.1"</f>
        <v>AC010996.1</v>
      </c>
      <c r="B10576" s="6">
        <v>0.28571428571428498</v>
      </c>
      <c r="C10576" s="6">
        <v>0.47467876039304602</v>
      </c>
    </row>
    <row r="10577" spans="1:3" s="8" customFormat="1" x14ac:dyDescent="0.2">
      <c r="A10577" s="6" t="str">
        <f>"PPM1F-AS1"</f>
        <v>PPM1F-AS1</v>
      </c>
      <c r="B10577" s="6">
        <v>0.28571428571428498</v>
      </c>
      <c r="C10577" s="6">
        <v>0.47467876039304602</v>
      </c>
    </row>
    <row r="10578" spans="1:3" s="8" customFormat="1" x14ac:dyDescent="0.2">
      <c r="A10578" s="6" t="str">
        <f>"AL136419.3"</f>
        <v>AL136419.3</v>
      </c>
      <c r="B10578" s="6">
        <v>0.28571428571428498</v>
      </c>
      <c r="C10578" s="6">
        <v>0.47467876039304602</v>
      </c>
    </row>
    <row r="10579" spans="1:3" s="8" customFormat="1" x14ac:dyDescent="0.2">
      <c r="A10579" s="6" t="str">
        <f>"TRPM6"</f>
        <v>TRPM6</v>
      </c>
      <c r="B10579" s="6">
        <v>0.28571428571428498</v>
      </c>
      <c r="C10579" s="6">
        <v>0.47467876039304602</v>
      </c>
    </row>
    <row r="10580" spans="1:3" s="8" customFormat="1" x14ac:dyDescent="0.2">
      <c r="A10580" s="6" t="str">
        <f>"TNRC6C"</f>
        <v>TNRC6C</v>
      </c>
      <c r="B10580" s="6">
        <v>0.28571428571428498</v>
      </c>
      <c r="C10580" s="6">
        <v>0.47467876039304602</v>
      </c>
    </row>
    <row r="10581" spans="1:3" s="8" customFormat="1" x14ac:dyDescent="0.2">
      <c r="A10581" s="6" t="str">
        <f>"SUPT7L"</f>
        <v>SUPT7L</v>
      </c>
      <c r="B10581" s="6">
        <v>0.28571428571428498</v>
      </c>
      <c r="C10581" s="6">
        <v>0.47467876039304602</v>
      </c>
    </row>
    <row r="10582" spans="1:3" s="8" customFormat="1" x14ac:dyDescent="0.2">
      <c r="A10582" s="6" t="str">
        <f>"TRAPPC5"</f>
        <v>TRAPPC5</v>
      </c>
      <c r="B10582" s="6">
        <v>0.28571428571428498</v>
      </c>
      <c r="C10582" s="6">
        <v>0.47467876039304602</v>
      </c>
    </row>
    <row r="10583" spans="1:3" s="8" customFormat="1" x14ac:dyDescent="0.2">
      <c r="A10583" s="6" t="str">
        <f>"SNF8"</f>
        <v>SNF8</v>
      </c>
      <c r="B10583" s="6">
        <v>0.28571428571428498</v>
      </c>
      <c r="C10583" s="6">
        <v>0.47467876039304602</v>
      </c>
    </row>
    <row r="10584" spans="1:3" s="8" customFormat="1" x14ac:dyDescent="0.2">
      <c r="A10584" s="6" t="str">
        <f>"SART1"</f>
        <v>SART1</v>
      </c>
      <c r="B10584" s="6">
        <v>0.28571428571428498</v>
      </c>
      <c r="C10584" s="6">
        <v>0.47467876039304602</v>
      </c>
    </row>
    <row r="10585" spans="1:3" s="8" customFormat="1" x14ac:dyDescent="0.2">
      <c r="A10585" s="6" t="str">
        <f>"MUC2"</f>
        <v>MUC2</v>
      </c>
      <c r="B10585" s="6">
        <v>0.28571428571428498</v>
      </c>
      <c r="C10585" s="6">
        <v>0.47467876039304602</v>
      </c>
    </row>
    <row r="10586" spans="1:3" s="8" customFormat="1" x14ac:dyDescent="0.2">
      <c r="A10586" s="6" t="str">
        <f>"SPINK2"</f>
        <v>SPINK2</v>
      </c>
      <c r="B10586" s="6">
        <v>0.28585757271815398</v>
      </c>
      <c r="C10586" s="6">
        <v>0.47483047822812002</v>
      </c>
    </row>
    <row r="10587" spans="1:3" s="8" customFormat="1" x14ac:dyDescent="0.2">
      <c r="A10587" s="6" t="str">
        <f>"AL589843.1"</f>
        <v>AL589843.1</v>
      </c>
      <c r="B10587" s="6">
        <v>0.28585961342827998</v>
      </c>
      <c r="C10587" s="6">
        <v>0.47483047822812002</v>
      </c>
    </row>
    <row r="10588" spans="1:3" s="8" customFormat="1" x14ac:dyDescent="0.2">
      <c r="A10588" s="6" t="str">
        <f>"AC015909.5"</f>
        <v>AC015909.5</v>
      </c>
      <c r="B10588" s="6">
        <v>0.28602383531960901</v>
      </c>
      <c r="C10588" s="6">
        <v>0.47496865806591898</v>
      </c>
    </row>
    <row r="10589" spans="1:3" s="8" customFormat="1" x14ac:dyDescent="0.2">
      <c r="A10589" s="6" t="str">
        <f>"GPAA1P2"</f>
        <v>GPAA1P2</v>
      </c>
      <c r="B10589" s="6">
        <v>0.28599999999999998</v>
      </c>
      <c r="C10589" s="6">
        <v>0.47496865806591898</v>
      </c>
    </row>
    <row r="10590" spans="1:3" s="8" customFormat="1" x14ac:dyDescent="0.2">
      <c r="A10590" s="6" t="str">
        <f>"CR382285.1"</f>
        <v>CR382285.1</v>
      </c>
      <c r="B10590" s="6">
        <v>0.28599999999999998</v>
      </c>
      <c r="C10590" s="6">
        <v>0.47496865806591898</v>
      </c>
    </row>
    <row r="10591" spans="1:3" s="8" customFormat="1" x14ac:dyDescent="0.2">
      <c r="A10591" s="6" t="str">
        <f>"HOXB-AS2"</f>
        <v>HOXB-AS2</v>
      </c>
      <c r="B10591" s="6">
        <v>0.286713286713286</v>
      </c>
      <c r="C10591" s="6">
        <v>0.47499212677279301</v>
      </c>
    </row>
    <row r="10592" spans="1:3" s="8" customFormat="1" x14ac:dyDescent="0.2">
      <c r="A10592" s="6" t="str">
        <f>"AL670729.3"</f>
        <v>AL670729.3</v>
      </c>
      <c r="B10592" s="6">
        <v>0.286713286713286</v>
      </c>
      <c r="C10592" s="6">
        <v>0.47499212677279301</v>
      </c>
    </row>
    <row r="10593" spans="1:3" s="8" customFormat="1" x14ac:dyDescent="0.2">
      <c r="A10593" s="6" t="str">
        <f>"PRIMA1"</f>
        <v>PRIMA1</v>
      </c>
      <c r="B10593" s="6">
        <v>0.286713286713286</v>
      </c>
      <c r="C10593" s="6">
        <v>0.47499212677279301</v>
      </c>
    </row>
    <row r="10594" spans="1:3" s="8" customFormat="1" x14ac:dyDescent="0.2">
      <c r="A10594" s="6" t="str">
        <f>"MEI4"</f>
        <v>MEI4</v>
      </c>
      <c r="B10594" s="6">
        <v>0.286713286713286</v>
      </c>
      <c r="C10594" s="6">
        <v>0.47499212677279301</v>
      </c>
    </row>
    <row r="10595" spans="1:3" s="8" customFormat="1" x14ac:dyDescent="0.2">
      <c r="A10595" s="6" t="str">
        <f>"TAT"</f>
        <v>TAT</v>
      </c>
      <c r="B10595" s="6">
        <v>0.286713286713286</v>
      </c>
      <c r="C10595" s="6">
        <v>0.47499212677279301</v>
      </c>
    </row>
    <row r="10596" spans="1:3" s="8" customFormat="1" x14ac:dyDescent="0.2">
      <c r="A10596" s="6" t="str">
        <f>"HLA-K"</f>
        <v>HLA-K</v>
      </c>
      <c r="B10596" s="6">
        <v>0.286713286713286</v>
      </c>
      <c r="C10596" s="6">
        <v>0.47499212677279301</v>
      </c>
    </row>
    <row r="10597" spans="1:3" s="8" customFormat="1" x14ac:dyDescent="0.2">
      <c r="A10597" s="6" t="str">
        <f>"AC005229.4"</f>
        <v>AC005229.4</v>
      </c>
      <c r="B10597" s="6">
        <v>0.286713286713286</v>
      </c>
      <c r="C10597" s="6">
        <v>0.47499212677279301</v>
      </c>
    </row>
    <row r="10598" spans="1:3" s="8" customFormat="1" x14ac:dyDescent="0.2">
      <c r="A10598" s="6" t="str">
        <f>"ZNF441"</f>
        <v>ZNF441</v>
      </c>
      <c r="B10598" s="6">
        <v>0.286713286713286</v>
      </c>
      <c r="C10598" s="6">
        <v>0.47499212677279301</v>
      </c>
    </row>
    <row r="10599" spans="1:3" s="8" customFormat="1" x14ac:dyDescent="0.2">
      <c r="A10599" s="6" t="str">
        <f>"EEF2KMT"</f>
        <v>EEF2KMT</v>
      </c>
      <c r="B10599" s="6">
        <v>0.286713286713286</v>
      </c>
      <c r="C10599" s="6">
        <v>0.47499212677279301</v>
      </c>
    </row>
    <row r="10600" spans="1:3" s="8" customFormat="1" x14ac:dyDescent="0.2">
      <c r="A10600" s="6" t="str">
        <f>"DBR1"</f>
        <v>DBR1</v>
      </c>
      <c r="B10600" s="6">
        <v>0.286713286713286</v>
      </c>
      <c r="C10600" s="6">
        <v>0.47499212677279301</v>
      </c>
    </row>
    <row r="10601" spans="1:3" s="8" customFormat="1" x14ac:dyDescent="0.2">
      <c r="A10601" s="6" t="str">
        <f>"BNIPL"</f>
        <v>BNIPL</v>
      </c>
      <c r="B10601" s="6">
        <v>0.286713286713286</v>
      </c>
      <c r="C10601" s="6">
        <v>0.47499212677279301</v>
      </c>
    </row>
    <row r="10602" spans="1:3" s="8" customFormat="1" x14ac:dyDescent="0.2">
      <c r="A10602" s="6" t="str">
        <f>"UNC50"</f>
        <v>UNC50</v>
      </c>
      <c r="B10602" s="6">
        <v>0.286713286713286</v>
      </c>
      <c r="C10602" s="6">
        <v>0.47499212677279301</v>
      </c>
    </row>
    <row r="10603" spans="1:3" s="8" customFormat="1" x14ac:dyDescent="0.2">
      <c r="A10603" s="6" t="str">
        <f>"PSMG3"</f>
        <v>PSMG3</v>
      </c>
      <c r="B10603" s="6">
        <v>0.286713286713286</v>
      </c>
      <c r="C10603" s="6">
        <v>0.47499212677279301</v>
      </c>
    </row>
    <row r="10604" spans="1:3" s="8" customFormat="1" x14ac:dyDescent="0.2">
      <c r="A10604" s="6" t="str">
        <f>"RAB9A"</f>
        <v>RAB9A</v>
      </c>
      <c r="B10604" s="6">
        <v>0.286713286713286</v>
      </c>
      <c r="C10604" s="6">
        <v>0.47499212677279301</v>
      </c>
    </row>
    <row r="10605" spans="1:3" s="8" customFormat="1" x14ac:dyDescent="0.2">
      <c r="A10605" s="6" t="str">
        <f>"ACAT2"</f>
        <v>ACAT2</v>
      </c>
      <c r="B10605" s="6">
        <v>0.286713286713286</v>
      </c>
      <c r="C10605" s="6">
        <v>0.47499212677279301</v>
      </c>
    </row>
    <row r="10606" spans="1:3" s="8" customFormat="1" x14ac:dyDescent="0.2">
      <c r="A10606" s="6" t="str">
        <f>"DGCR8"</f>
        <v>DGCR8</v>
      </c>
      <c r="B10606" s="6">
        <v>0.286713286713286</v>
      </c>
      <c r="C10606" s="6">
        <v>0.47499212677279301</v>
      </c>
    </row>
    <row r="10607" spans="1:3" s="8" customFormat="1" x14ac:dyDescent="0.2">
      <c r="A10607" s="6" t="str">
        <f>"MAP3K1"</f>
        <v>MAP3K1</v>
      </c>
      <c r="B10607" s="6">
        <v>0.286713286713286</v>
      </c>
      <c r="C10607" s="6">
        <v>0.47499212677279301</v>
      </c>
    </row>
    <row r="10608" spans="1:3" s="8" customFormat="1" x14ac:dyDescent="0.2">
      <c r="A10608" s="6" t="str">
        <f>"TOMM40"</f>
        <v>TOMM40</v>
      </c>
      <c r="B10608" s="6">
        <v>0.286713286713286</v>
      </c>
      <c r="C10608" s="6">
        <v>0.47499212677279301</v>
      </c>
    </row>
    <row r="10609" spans="1:3" s="8" customFormat="1" x14ac:dyDescent="0.2">
      <c r="A10609" s="6" t="str">
        <f>"POMP"</f>
        <v>POMP</v>
      </c>
      <c r="B10609" s="6">
        <v>0.286713286713286</v>
      </c>
      <c r="C10609" s="6">
        <v>0.47499212677279301</v>
      </c>
    </row>
    <row r="10610" spans="1:3" s="8" customFormat="1" x14ac:dyDescent="0.2">
      <c r="A10610" s="6" t="str">
        <f>"TUSC2"</f>
        <v>TUSC2</v>
      </c>
      <c r="B10610" s="6">
        <v>0.286713286713286</v>
      </c>
      <c r="C10610" s="6">
        <v>0.47499212677279301</v>
      </c>
    </row>
    <row r="10611" spans="1:3" s="8" customFormat="1" x14ac:dyDescent="0.2">
      <c r="A10611" s="6" t="str">
        <f>"SESTD1"</f>
        <v>SESTD1</v>
      </c>
      <c r="B10611" s="6">
        <v>0.286713286713286</v>
      </c>
      <c r="C10611" s="6">
        <v>0.47499212677279301</v>
      </c>
    </row>
    <row r="10612" spans="1:3" s="8" customFormat="1" x14ac:dyDescent="0.2">
      <c r="A10612" s="6" t="str">
        <f>"TMEM106B"</f>
        <v>TMEM106B</v>
      </c>
      <c r="B10612" s="6">
        <v>0.286713286713286</v>
      </c>
      <c r="C10612" s="6">
        <v>0.47499212677279301</v>
      </c>
    </row>
    <row r="10613" spans="1:3" s="8" customFormat="1" x14ac:dyDescent="0.2">
      <c r="A10613" s="6" t="str">
        <f>"FRMD4B"</f>
        <v>FRMD4B</v>
      </c>
      <c r="B10613" s="6">
        <v>0.286713286713286</v>
      </c>
      <c r="C10613" s="6">
        <v>0.47499212677279301</v>
      </c>
    </row>
    <row r="10614" spans="1:3" s="8" customFormat="1" x14ac:dyDescent="0.2">
      <c r="A10614" s="6" t="str">
        <f>"TSPYL1"</f>
        <v>TSPYL1</v>
      </c>
      <c r="B10614" s="6">
        <v>0.286713286713286</v>
      </c>
      <c r="C10614" s="6">
        <v>0.47499212677279301</v>
      </c>
    </row>
    <row r="10615" spans="1:3" s="8" customFormat="1" x14ac:dyDescent="0.2">
      <c r="A10615" s="6" t="str">
        <f>"ATP6V1G1"</f>
        <v>ATP6V1G1</v>
      </c>
      <c r="B10615" s="6">
        <v>0.286713286713286</v>
      </c>
      <c r="C10615" s="6">
        <v>0.47499212677279301</v>
      </c>
    </row>
    <row r="10616" spans="1:3" s="8" customFormat="1" x14ac:dyDescent="0.2">
      <c r="A10616" s="6" t="str">
        <f>"AL121762.1"</f>
        <v>AL121762.1</v>
      </c>
      <c r="B10616" s="6">
        <v>0.28701825557809302</v>
      </c>
      <c r="C10616" s="6">
        <v>0.47540778128157402</v>
      </c>
    </row>
    <row r="10617" spans="1:3" s="8" customFormat="1" x14ac:dyDescent="0.2">
      <c r="A10617" s="6" t="str">
        <f>"ZNF395"</f>
        <v>ZNF395</v>
      </c>
      <c r="B10617" s="6">
        <v>0.28699999999999998</v>
      </c>
      <c r="C10617" s="6">
        <v>0.47540778128157402</v>
      </c>
    </row>
    <row r="10618" spans="1:3" s="8" customFormat="1" x14ac:dyDescent="0.2">
      <c r="A10618" s="6" t="str">
        <f>"AC087667.1"</f>
        <v>AC087667.1</v>
      </c>
      <c r="B10618" s="6">
        <v>0.28728728728728697</v>
      </c>
      <c r="C10618" s="6">
        <v>0.47576376527214698</v>
      </c>
    </row>
    <row r="10619" spans="1:3" s="8" customFormat="1" x14ac:dyDescent="0.2">
      <c r="A10619" s="6" t="str">
        <f>"AL138966.2"</f>
        <v>AL138966.2</v>
      </c>
      <c r="B10619" s="6">
        <v>0.28728728728728697</v>
      </c>
      <c r="C10619" s="6">
        <v>0.47576376527214698</v>
      </c>
    </row>
    <row r="10620" spans="1:3" s="8" customFormat="1" x14ac:dyDescent="0.2">
      <c r="A10620" s="6" t="str">
        <f>"AC091132.4"</f>
        <v>AC091132.4</v>
      </c>
      <c r="B10620" s="6">
        <v>0.28771228771228702</v>
      </c>
      <c r="C10620" s="6">
        <v>0.47606406955235397</v>
      </c>
    </row>
    <row r="10621" spans="1:3" s="8" customFormat="1" x14ac:dyDescent="0.2">
      <c r="A10621" s="6" t="str">
        <f>"FMO9P"</f>
        <v>FMO9P</v>
      </c>
      <c r="B10621" s="6">
        <v>0.28771228771228702</v>
      </c>
      <c r="C10621" s="6">
        <v>0.47606406955235397</v>
      </c>
    </row>
    <row r="10622" spans="1:3" s="8" customFormat="1" x14ac:dyDescent="0.2">
      <c r="A10622" s="6" t="str">
        <f>"MMD"</f>
        <v>MMD</v>
      </c>
      <c r="B10622" s="6">
        <v>0.28771228771228702</v>
      </c>
      <c r="C10622" s="6">
        <v>0.47606406955235397</v>
      </c>
    </row>
    <row r="10623" spans="1:3" s="8" customFormat="1" x14ac:dyDescent="0.2">
      <c r="A10623" s="6" t="str">
        <f>"AGAP4"</f>
        <v>AGAP4</v>
      </c>
      <c r="B10623" s="6">
        <v>0.28771228771228702</v>
      </c>
      <c r="C10623" s="6">
        <v>0.47606406955235397</v>
      </c>
    </row>
    <row r="10624" spans="1:3" s="8" customFormat="1" x14ac:dyDescent="0.2">
      <c r="A10624" s="6" t="str">
        <f>"SPTSSA"</f>
        <v>SPTSSA</v>
      </c>
      <c r="B10624" s="6">
        <v>0.28771228771228702</v>
      </c>
      <c r="C10624" s="6">
        <v>0.47606406955235397</v>
      </c>
    </row>
    <row r="10625" spans="1:3" s="8" customFormat="1" x14ac:dyDescent="0.2">
      <c r="A10625" s="6" t="str">
        <f>"FAM193A"</f>
        <v>FAM193A</v>
      </c>
      <c r="B10625" s="6">
        <v>0.28771228771228702</v>
      </c>
      <c r="C10625" s="6">
        <v>0.47606406955235397</v>
      </c>
    </row>
    <row r="10626" spans="1:3" s="8" customFormat="1" x14ac:dyDescent="0.2">
      <c r="A10626" s="6" t="str">
        <f>"DPY19L4"</f>
        <v>DPY19L4</v>
      </c>
      <c r="B10626" s="6">
        <v>0.28771228771228702</v>
      </c>
      <c r="C10626" s="6">
        <v>0.47606406955235397</v>
      </c>
    </row>
    <row r="10627" spans="1:3" s="8" customFormat="1" x14ac:dyDescent="0.2">
      <c r="A10627" s="6" t="str">
        <f>"AACS"</f>
        <v>AACS</v>
      </c>
      <c r="B10627" s="6">
        <v>0.28771228771228702</v>
      </c>
      <c r="C10627" s="6">
        <v>0.47606406955235397</v>
      </c>
    </row>
    <row r="10628" spans="1:3" s="8" customFormat="1" x14ac:dyDescent="0.2">
      <c r="A10628" s="6" t="str">
        <f>"MAP6"</f>
        <v>MAP6</v>
      </c>
      <c r="B10628" s="6">
        <v>0.28771228771228702</v>
      </c>
      <c r="C10628" s="6">
        <v>0.47606406955235397</v>
      </c>
    </row>
    <row r="10629" spans="1:3" s="8" customFormat="1" x14ac:dyDescent="0.2">
      <c r="A10629" s="6" t="str">
        <f>"VRTN"</f>
        <v>VRTN</v>
      </c>
      <c r="B10629" s="6">
        <v>0.28871128871128798</v>
      </c>
      <c r="C10629" s="6">
        <v>0.477133392922866</v>
      </c>
    </row>
    <row r="10630" spans="1:3" s="8" customFormat="1" x14ac:dyDescent="0.2">
      <c r="A10630" s="6" t="str">
        <f>"AC005480.1"</f>
        <v>AC005480.1</v>
      </c>
      <c r="B10630" s="6">
        <v>0.28871128871128798</v>
      </c>
      <c r="C10630" s="6">
        <v>0.477133392922866</v>
      </c>
    </row>
    <row r="10631" spans="1:3" s="8" customFormat="1" x14ac:dyDescent="0.2">
      <c r="A10631" s="6" t="str">
        <f>"AC009065.4"</f>
        <v>AC009065.4</v>
      </c>
      <c r="B10631" s="6">
        <v>0.28871128871128798</v>
      </c>
      <c r="C10631" s="6">
        <v>0.477133392922866</v>
      </c>
    </row>
    <row r="10632" spans="1:3" s="8" customFormat="1" x14ac:dyDescent="0.2">
      <c r="A10632" s="6" t="str">
        <f>"CCDC163"</f>
        <v>CCDC163</v>
      </c>
      <c r="B10632" s="6">
        <v>0.28871128871128798</v>
      </c>
      <c r="C10632" s="6">
        <v>0.477133392922866</v>
      </c>
    </row>
    <row r="10633" spans="1:3" s="8" customFormat="1" x14ac:dyDescent="0.2">
      <c r="A10633" s="6" t="str">
        <f>"GSTT2B"</f>
        <v>GSTT2B</v>
      </c>
      <c r="B10633" s="6">
        <v>0.28871128871128798</v>
      </c>
      <c r="C10633" s="6">
        <v>0.477133392922866</v>
      </c>
    </row>
    <row r="10634" spans="1:3" s="8" customFormat="1" x14ac:dyDescent="0.2">
      <c r="A10634" s="6" t="str">
        <f>"LINC02693"</f>
        <v>LINC02693</v>
      </c>
      <c r="B10634" s="6">
        <v>0.28871128871128798</v>
      </c>
      <c r="C10634" s="6">
        <v>0.477133392922866</v>
      </c>
    </row>
    <row r="10635" spans="1:3" s="8" customFormat="1" x14ac:dyDescent="0.2">
      <c r="A10635" s="6" t="str">
        <f>"LINC00265"</f>
        <v>LINC00265</v>
      </c>
      <c r="B10635" s="6">
        <v>0.28871128871128798</v>
      </c>
      <c r="C10635" s="6">
        <v>0.477133392922866</v>
      </c>
    </row>
    <row r="10636" spans="1:3" s="8" customFormat="1" x14ac:dyDescent="0.2">
      <c r="A10636" s="6" t="str">
        <f>"AF228730.5"</f>
        <v>AF228730.5</v>
      </c>
      <c r="B10636" s="6">
        <v>0.28871128871128798</v>
      </c>
      <c r="C10636" s="6">
        <v>0.477133392922866</v>
      </c>
    </row>
    <row r="10637" spans="1:3" s="8" customFormat="1" x14ac:dyDescent="0.2">
      <c r="A10637" s="6" t="str">
        <f>"RBM6"</f>
        <v>RBM6</v>
      </c>
      <c r="B10637" s="6">
        <v>0.28871128871128798</v>
      </c>
      <c r="C10637" s="6">
        <v>0.477133392922866</v>
      </c>
    </row>
    <row r="10638" spans="1:3" s="8" customFormat="1" x14ac:dyDescent="0.2">
      <c r="A10638" s="6" t="str">
        <f>"GARS1"</f>
        <v>GARS1</v>
      </c>
      <c r="B10638" s="6">
        <v>0.28871128871128798</v>
      </c>
      <c r="C10638" s="6">
        <v>0.477133392922866</v>
      </c>
    </row>
    <row r="10639" spans="1:3" s="8" customFormat="1" x14ac:dyDescent="0.2">
      <c r="A10639" s="6" t="str">
        <f>"CCDC97"</f>
        <v>CCDC97</v>
      </c>
      <c r="B10639" s="6">
        <v>0.28871128871128798</v>
      </c>
      <c r="C10639" s="6">
        <v>0.477133392922866</v>
      </c>
    </row>
    <row r="10640" spans="1:3" s="8" customFormat="1" x14ac:dyDescent="0.2">
      <c r="A10640" s="6" t="str">
        <f>"SGSM2"</f>
        <v>SGSM2</v>
      </c>
      <c r="B10640" s="6">
        <v>0.28871128871128798</v>
      </c>
      <c r="C10640" s="6">
        <v>0.477133392922866</v>
      </c>
    </row>
    <row r="10641" spans="1:3" s="8" customFormat="1" x14ac:dyDescent="0.2">
      <c r="A10641" s="6" t="str">
        <f>"TMEM87A"</f>
        <v>TMEM87A</v>
      </c>
      <c r="B10641" s="6">
        <v>0.28871128871128798</v>
      </c>
      <c r="C10641" s="6">
        <v>0.477133392922866</v>
      </c>
    </row>
    <row r="10642" spans="1:3" s="8" customFormat="1" x14ac:dyDescent="0.2">
      <c r="A10642" s="6" t="str">
        <f>"AL603750.1"</f>
        <v>AL603750.1</v>
      </c>
      <c r="B10642" s="6">
        <v>0.28899999999999998</v>
      </c>
      <c r="C10642" s="6">
        <v>0.47747589965235299</v>
      </c>
    </row>
    <row r="10643" spans="1:3" s="8" customFormat="1" x14ac:dyDescent="0.2">
      <c r="A10643" s="6" t="str">
        <f>"ZNF770"</f>
        <v>ZNF770</v>
      </c>
      <c r="B10643" s="6">
        <v>0.28899999999999998</v>
      </c>
      <c r="C10643" s="6">
        <v>0.47747589965235299</v>
      </c>
    </row>
    <row r="10644" spans="1:3" s="8" customFormat="1" x14ac:dyDescent="0.2">
      <c r="A10644" s="6" t="str">
        <f>"ARMC3"</f>
        <v>ARMC3</v>
      </c>
      <c r="B10644" s="6">
        <v>0.28899999999999998</v>
      </c>
      <c r="C10644" s="6">
        <v>0.47747589965235299</v>
      </c>
    </row>
    <row r="10645" spans="1:3" s="8" customFormat="1" x14ac:dyDescent="0.2">
      <c r="A10645" s="6" t="str">
        <f>"DRG1"</f>
        <v>DRG1</v>
      </c>
      <c r="B10645" s="6">
        <v>0.28928928928928899</v>
      </c>
      <c r="C10645" s="6">
        <v>0.47790894991195598</v>
      </c>
    </row>
    <row r="10646" spans="1:3" s="8" customFormat="1" x14ac:dyDescent="0.2">
      <c r="A10646" s="6" t="str">
        <f>"HLA-U"</f>
        <v>HLA-U</v>
      </c>
      <c r="B10646" s="6">
        <v>0.289579158316633</v>
      </c>
      <c r="C10646" s="6">
        <v>0.478065478065478</v>
      </c>
    </row>
    <row r="10647" spans="1:3" s="8" customFormat="1" x14ac:dyDescent="0.2">
      <c r="A10647" s="6" t="str">
        <f>"AL138752.2"</f>
        <v>AL138752.2</v>
      </c>
      <c r="B10647" s="6">
        <v>0.289710289710289</v>
      </c>
      <c r="C10647" s="6">
        <v>0.478065478065478</v>
      </c>
    </row>
    <row r="10648" spans="1:3" s="8" customFormat="1" x14ac:dyDescent="0.2">
      <c r="A10648" s="6" t="str">
        <f>"AC118344.2"</f>
        <v>AC118344.2</v>
      </c>
      <c r="B10648" s="6">
        <v>0.289710289710289</v>
      </c>
      <c r="C10648" s="6">
        <v>0.478065478065478</v>
      </c>
    </row>
    <row r="10649" spans="1:3" s="8" customFormat="1" x14ac:dyDescent="0.2">
      <c r="A10649" s="6" t="str">
        <f>"MC1R"</f>
        <v>MC1R</v>
      </c>
      <c r="B10649" s="6">
        <v>0.289710289710289</v>
      </c>
      <c r="C10649" s="6">
        <v>0.478065478065478</v>
      </c>
    </row>
    <row r="10650" spans="1:3" s="8" customFormat="1" x14ac:dyDescent="0.2">
      <c r="A10650" s="6" t="str">
        <f>"TOMM40L"</f>
        <v>TOMM40L</v>
      </c>
      <c r="B10650" s="6">
        <v>0.289710289710289</v>
      </c>
      <c r="C10650" s="6">
        <v>0.478065478065478</v>
      </c>
    </row>
    <row r="10651" spans="1:3" s="8" customFormat="1" x14ac:dyDescent="0.2">
      <c r="A10651" s="6" t="str">
        <f>"POLR1F"</f>
        <v>POLR1F</v>
      </c>
      <c r="B10651" s="6">
        <v>0.289710289710289</v>
      </c>
      <c r="C10651" s="6">
        <v>0.478065478065478</v>
      </c>
    </row>
    <row r="10652" spans="1:3" s="8" customFormat="1" x14ac:dyDescent="0.2">
      <c r="A10652" s="6" t="str">
        <f>"AK8"</f>
        <v>AK8</v>
      </c>
      <c r="B10652" s="6">
        <v>0.289710289710289</v>
      </c>
      <c r="C10652" s="6">
        <v>0.478065478065478</v>
      </c>
    </row>
    <row r="10653" spans="1:3" s="8" customFormat="1" x14ac:dyDescent="0.2">
      <c r="A10653" s="6" t="str">
        <f>"TSN"</f>
        <v>TSN</v>
      </c>
      <c r="B10653" s="6">
        <v>0.289710289710289</v>
      </c>
      <c r="C10653" s="6">
        <v>0.478065478065478</v>
      </c>
    </row>
    <row r="10654" spans="1:3" s="8" customFormat="1" x14ac:dyDescent="0.2">
      <c r="A10654" s="6" t="str">
        <f>"CCZ1B"</f>
        <v>CCZ1B</v>
      </c>
      <c r="B10654" s="6">
        <v>0.289710289710289</v>
      </c>
      <c r="C10654" s="6">
        <v>0.478065478065478</v>
      </c>
    </row>
    <row r="10655" spans="1:3" s="8" customFormat="1" x14ac:dyDescent="0.2">
      <c r="A10655" s="6" t="str">
        <f>"BCL2L2"</f>
        <v>BCL2L2</v>
      </c>
      <c r="B10655" s="6">
        <v>0.289710289710289</v>
      </c>
      <c r="C10655" s="6">
        <v>0.478065478065478</v>
      </c>
    </row>
    <row r="10656" spans="1:3" s="8" customFormat="1" x14ac:dyDescent="0.2">
      <c r="A10656" s="6" t="str">
        <f>"RGL2"</f>
        <v>RGL2</v>
      </c>
      <c r="B10656" s="6">
        <v>0.289710289710289</v>
      </c>
      <c r="C10656" s="6">
        <v>0.478065478065478</v>
      </c>
    </row>
    <row r="10657" spans="1:3" s="8" customFormat="1" x14ac:dyDescent="0.2">
      <c r="A10657" s="6" t="str">
        <f>"LIMA1"</f>
        <v>LIMA1</v>
      </c>
      <c r="B10657" s="6">
        <v>0.289710289710289</v>
      </c>
      <c r="C10657" s="6">
        <v>0.478065478065478</v>
      </c>
    </row>
    <row r="10658" spans="1:3" s="8" customFormat="1" x14ac:dyDescent="0.2">
      <c r="A10658" s="6" t="str">
        <f>"ROR1-AS1"</f>
        <v>ROR1-AS1</v>
      </c>
      <c r="B10658" s="6">
        <v>0.289869608826479</v>
      </c>
      <c r="C10658" s="6">
        <v>0.47828349456740299</v>
      </c>
    </row>
    <row r="10659" spans="1:3" s="8" customFormat="1" x14ac:dyDescent="0.2">
      <c r="A10659" s="6" t="str">
        <f>"AL122035.1"</f>
        <v>AL122035.1</v>
      </c>
      <c r="B10659" s="6">
        <v>0.28989898989898899</v>
      </c>
      <c r="C10659" s="6">
        <v>0.47828709311163797</v>
      </c>
    </row>
    <row r="10660" spans="1:3" s="8" customFormat="1" x14ac:dyDescent="0.2">
      <c r="A10660" s="6" t="str">
        <f>"AC120024.1"</f>
        <v>AC120024.1</v>
      </c>
      <c r="B10660" s="6">
        <v>0.29002079002079001</v>
      </c>
      <c r="C10660" s="6">
        <v>0.47844315336575299</v>
      </c>
    </row>
    <row r="10661" spans="1:3" s="8" customFormat="1" x14ac:dyDescent="0.2">
      <c r="A10661" s="6" t="str">
        <f>"LINC01943"</f>
        <v>LINC01943</v>
      </c>
      <c r="B10661" s="6">
        <v>0.29029029029029002</v>
      </c>
      <c r="C10661" s="6">
        <v>0.47884282030623498</v>
      </c>
    </row>
    <row r="10662" spans="1:3" s="8" customFormat="1" x14ac:dyDescent="0.2">
      <c r="A10662" s="6" t="str">
        <f>"ACTBP9"</f>
        <v>ACTBP9</v>
      </c>
      <c r="B10662" s="6">
        <v>0.29070929070929002</v>
      </c>
      <c r="C10662" s="6">
        <v>0.47899476835009003</v>
      </c>
    </row>
    <row r="10663" spans="1:3" s="8" customFormat="1" x14ac:dyDescent="0.2">
      <c r="A10663" s="6" t="str">
        <f>"ZKSCAN7-AS1"</f>
        <v>ZKSCAN7-AS1</v>
      </c>
      <c r="B10663" s="6">
        <v>0.29070929070929002</v>
      </c>
      <c r="C10663" s="6">
        <v>0.47899476835009003</v>
      </c>
    </row>
    <row r="10664" spans="1:3" s="8" customFormat="1" x14ac:dyDescent="0.2">
      <c r="A10664" s="6" t="str">
        <f>"AC102945.2"</f>
        <v>AC102945.2</v>
      </c>
      <c r="B10664" s="6">
        <v>0.29070929070929002</v>
      </c>
      <c r="C10664" s="6">
        <v>0.47899476835009003</v>
      </c>
    </row>
    <row r="10665" spans="1:3" s="8" customFormat="1" x14ac:dyDescent="0.2">
      <c r="A10665" s="6" t="str">
        <f>"AC079305.2"</f>
        <v>AC079305.2</v>
      </c>
      <c r="B10665" s="6">
        <v>0.29070929070929002</v>
      </c>
      <c r="C10665" s="6">
        <v>0.47899476835009003</v>
      </c>
    </row>
    <row r="10666" spans="1:3" s="8" customFormat="1" x14ac:dyDescent="0.2">
      <c r="A10666" s="6" t="str">
        <f>"SLC15A1"</f>
        <v>SLC15A1</v>
      </c>
      <c r="B10666" s="6">
        <v>0.29070929070929002</v>
      </c>
      <c r="C10666" s="6">
        <v>0.47899476835009003</v>
      </c>
    </row>
    <row r="10667" spans="1:3" s="8" customFormat="1" x14ac:dyDescent="0.2">
      <c r="A10667" s="6" t="str">
        <f>"LAGE3"</f>
        <v>LAGE3</v>
      </c>
      <c r="B10667" s="6">
        <v>0.29070929070929002</v>
      </c>
      <c r="C10667" s="6">
        <v>0.47899476835009003</v>
      </c>
    </row>
    <row r="10668" spans="1:3" s="8" customFormat="1" x14ac:dyDescent="0.2">
      <c r="A10668" s="6" t="str">
        <f>"SLC25A20"</f>
        <v>SLC25A20</v>
      </c>
      <c r="B10668" s="6">
        <v>0.29070929070929002</v>
      </c>
      <c r="C10668" s="6">
        <v>0.47899476835009003</v>
      </c>
    </row>
    <row r="10669" spans="1:3" s="8" customFormat="1" x14ac:dyDescent="0.2">
      <c r="A10669" s="6" t="str">
        <f>"FBXL18"</f>
        <v>FBXL18</v>
      </c>
      <c r="B10669" s="6">
        <v>0.29070929070929002</v>
      </c>
      <c r="C10669" s="6">
        <v>0.47899476835009003</v>
      </c>
    </row>
    <row r="10670" spans="1:3" s="8" customFormat="1" x14ac:dyDescent="0.2">
      <c r="A10670" s="6" t="str">
        <f>"IVD"</f>
        <v>IVD</v>
      </c>
      <c r="B10670" s="6">
        <v>0.29070929070929002</v>
      </c>
      <c r="C10670" s="6">
        <v>0.47899476835009003</v>
      </c>
    </row>
    <row r="10671" spans="1:3" s="8" customFormat="1" x14ac:dyDescent="0.2">
      <c r="A10671" s="6" t="str">
        <f>"SEC11C"</f>
        <v>SEC11C</v>
      </c>
      <c r="B10671" s="6">
        <v>0.29070929070929002</v>
      </c>
      <c r="C10671" s="6">
        <v>0.47899476835009003</v>
      </c>
    </row>
    <row r="10672" spans="1:3" s="8" customFormat="1" x14ac:dyDescent="0.2">
      <c r="A10672" s="6" t="str">
        <f>"RAB5A"</f>
        <v>RAB5A</v>
      </c>
      <c r="B10672" s="6">
        <v>0.29070929070929002</v>
      </c>
      <c r="C10672" s="6">
        <v>0.47899476835009003</v>
      </c>
    </row>
    <row r="10673" spans="1:3" s="8" customFormat="1" x14ac:dyDescent="0.2">
      <c r="A10673" s="6" t="str">
        <f>"KIF2A"</f>
        <v>KIF2A</v>
      </c>
      <c r="B10673" s="6">
        <v>0.29070929070929002</v>
      </c>
      <c r="C10673" s="6">
        <v>0.47899476835009003</v>
      </c>
    </row>
    <row r="10674" spans="1:3" s="8" customFormat="1" x14ac:dyDescent="0.2">
      <c r="A10674" s="6" t="str">
        <f>"AL807752.1"</f>
        <v>AL807752.1</v>
      </c>
      <c r="B10674" s="6">
        <v>0.29099999999999998</v>
      </c>
      <c r="C10674" s="6">
        <v>0.47942883912676798</v>
      </c>
    </row>
    <row r="10675" spans="1:3" s="8" customFormat="1" x14ac:dyDescent="0.2">
      <c r="A10675" s="6" t="str">
        <f>"AC016745.1"</f>
        <v>AC016745.1</v>
      </c>
      <c r="B10675" s="6">
        <v>0.291291291291291</v>
      </c>
      <c r="C10675" s="6">
        <v>0.47965201060394602</v>
      </c>
    </row>
    <row r="10676" spans="1:3" s="8" customFormat="1" x14ac:dyDescent="0.2">
      <c r="A10676" s="6" t="str">
        <f>"TRAT1"</f>
        <v>TRAT1</v>
      </c>
      <c r="B10676" s="6">
        <v>0.29170829170829099</v>
      </c>
      <c r="C10676" s="6">
        <v>0.47965201060394602</v>
      </c>
    </row>
    <row r="10677" spans="1:3" s="8" customFormat="1" x14ac:dyDescent="0.2">
      <c r="A10677" s="6" t="str">
        <f>"TERB1"</f>
        <v>TERB1</v>
      </c>
      <c r="B10677" s="6">
        <v>0.29170829170829099</v>
      </c>
      <c r="C10677" s="6">
        <v>0.47965201060394602</v>
      </c>
    </row>
    <row r="10678" spans="1:3" s="8" customFormat="1" x14ac:dyDescent="0.2">
      <c r="A10678" s="6" t="str">
        <f>"AC091544.4"</f>
        <v>AC091544.4</v>
      </c>
      <c r="B10678" s="6">
        <v>0.29170829170829099</v>
      </c>
      <c r="C10678" s="6">
        <v>0.47965201060394602</v>
      </c>
    </row>
    <row r="10679" spans="1:3" s="8" customFormat="1" x14ac:dyDescent="0.2">
      <c r="A10679" s="6" t="str">
        <f>"TRPM1"</f>
        <v>TRPM1</v>
      </c>
      <c r="B10679" s="6">
        <v>0.29170829170829099</v>
      </c>
      <c r="C10679" s="6">
        <v>0.47965201060394602</v>
      </c>
    </row>
    <row r="10680" spans="1:3" s="8" customFormat="1" x14ac:dyDescent="0.2">
      <c r="A10680" s="6" t="str">
        <f>"AL356608.3"</f>
        <v>AL356608.3</v>
      </c>
      <c r="B10680" s="6">
        <v>0.29170829170829099</v>
      </c>
      <c r="C10680" s="6">
        <v>0.47965201060394602</v>
      </c>
    </row>
    <row r="10681" spans="1:3" s="8" customFormat="1" x14ac:dyDescent="0.2">
      <c r="A10681" s="6" t="str">
        <f>"ATP2C2-AS1"</f>
        <v>ATP2C2-AS1</v>
      </c>
      <c r="B10681" s="6">
        <v>0.29170829170829099</v>
      </c>
      <c r="C10681" s="6">
        <v>0.47965201060394602</v>
      </c>
    </row>
    <row r="10682" spans="1:3" s="8" customFormat="1" x14ac:dyDescent="0.2">
      <c r="A10682" s="6" t="str">
        <f>"SH3BGR"</f>
        <v>SH3BGR</v>
      </c>
      <c r="B10682" s="6">
        <v>0.29170829170829099</v>
      </c>
      <c r="C10682" s="6">
        <v>0.47965201060394602</v>
      </c>
    </row>
    <row r="10683" spans="1:3" s="8" customFormat="1" x14ac:dyDescent="0.2">
      <c r="A10683" s="6" t="str">
        <f>"RAB32"</f>
        <v>RAB32</v>
      </c>
      <c r="B10683" s="6">
        <v>0.29170829170829099</v>
      </c>
      <c r="C10683" s="6">
        <v>0.47965201060394602</v>
      </c>
    </row>
    <row r="10684" spans="1:3" s="8" customFormat="1" x14ac:dyDescent="0.2">
      <c r="A10684" s="6" t="str">
        <f>"ATP1A1-AS1"</f>
        <v>ATP1A1-AS1</v>
      </c>
      <c r="B10684" s="6">
        <v>0.29170829170829099</v>
      </c>
      <c r="C10684" s="6">
        <v>0.47965201060394602</v>
      </c>
    </row>
    <row r="10685" spans="1:3" s="8" customFormat="1" x14ac:dyDescent="0.2">
      <c r="A10685" s="6" t="str">
        <f>"DBF4B"</f>
        <v>DBF4B</v>
      </c>
      <c r="B10685" s="6">
        <v>0.29170829170829099</v>
      </c>
      <c r="C10685" s="6">
        <v>0.47965201060394602</v>
      </c>
    </row>
    <row r="10686" spans="1:3" s="8" customFormat="1" x14ac:dyDescent="0.2">
      <c r="A10686" s="6" t="str">
        <f>"ZNF420"</f>
        <v>ZNF420</v>
      </c>
      <c r="B10686" s="6">
        <v>0.29170829170829099</v>
      </c>
      <c r="C10686" s="6">
        <v>0.47965201060394602</v>
      </c>
    </row>
    <row r="10687" spans="1:3" s="8" customFormat="1" x14ac:dyDescent="0.2">
      <c r="A10687" s="6" t="str">
        <f>"C16orf87"</f>
        <v>C16orf87</v>
      </c>
      <c r="B10687" s="6">
        <v>0.29170829170829099</v>
      </c>
      <c r="C10687" s="6">
        <v>0.47965201060394602</v>
      </c>
    </row>
    <row r="10688" spans="1:3" s="8" customFormat="1" x14ac:dyDescent="0.2">
      <c r="A10688" s="6" t="str">
        <f>"ST20-MTHFS"</f>
        <v>ST20-MTHFS</v>
      </c>
      <c r="B10688" s="6">
        <v>0.29170829170829099</v>
      </c>
      <c r="C10688" s="6">
        <v>0.47965201060394602</v>
      </c>
    </row>
    <row r="10689" spans="1:3" s="8" customFormat="1" x14ac:dyDescent="0.2">
      <c r="A10689" s="6" t="str">
        <f>"GPR155"</f>
        <v>GPR155</v>
      </c>
      <c r="B10689" s="6">
        <v>0.29170829170829099</v>
      </c>
      <c r="C10689" s="6">
        <v>0.47965201060394602</v>
      </c>
    </row>
    <row r="10690" spans="1:3" s="8" customFormat="1" x14ac:dyDescent="0.2">
      <c r="A10690" s="6" t="str">
        <f>"HDHD3"</f>
        <v>HDHD3</v>
      </c>
      <c r="B10690" s="6">
        <v>0.29170829170829099</v>
      </c>
      <c r="C10690" s="6">
        <v>0.47965201060394602</v>
      </c>
    </row>
    <row r="10691" spans="1:3" s="8" customFormat="1" x14ac:dyDescent="0.2">
      <c r="A10691" s="6" t="str">
        <f>"HRAS"</f>
        <v>HRAS</v>
      </c>
      <c r="B10691" s="6">
        <v>0.29170829170829099</v>
      </c>
      <c r="C10691" s="6">
        <v>0.47965201060394602</v>
      </c>
    </row>
    <row r="10692" spans="1:3" s="8" customFormat="1" x14ac:dyDescent="0.2">
      <c r="A10692" s="6" t="str">
        <f>"SUPT4H1"</f>
        <v>SUPT4H1</v>
      </c>
      <c r="B10692" s="6">
        <v>0.29170829170829099</v>
      </c>
      <c r="C10692" s="6">
        <v>0.47965201060394602</v>
      </c>
    </row>
    <row r="10693" spans="1:3" s="8" customFormat="1" x14ac:dyDescent="0.2">
      <c r="A10693" s="6" t="str">
        <f>"FOCAD"</f>
        <v>FOCAD</v>
      </c>
      <c r="B10693" s="6">
        <v>0.29170829170829099</v>
      </c>
      <c r="C10693" s="6">
        <v>0.47965201060394602</v>
      </c>
    </row>
    <row r="10694" spans="1:3" s="8" customFormat="1" x14ac:dyDescent="0.2">
      <c r="A10694" s="6" t="str">
        <f>"ATP2C1"</f>
        <v>ATP2C1</v>
      </c>
      <c r="B10694" s="6">
        <v>0.29170829170829099</v>
      </c>
      <c r="C10694" s="6">
        <v>0.47965201060394602</v>
      </c>
    </row>
    <row r="10695" spans="1:3" s="8" customFormat="1" x14ac:dyDescent="0.2">
      <c r="A10695" s="6" t="str">
        <f>"CHMP1B"</f>
        <v>CHMP1B</v>
      </c>
      <c r="B10695" s="6">
        <v>0.29170829170829099</v>
      </c>
      <c r="C10695" s="6">
        <v>0.47965201060394602</v>
      </c>
    </row>
    <row r="10696" spans="1:3" s="8" customFormat="1" x14ac:dyDescent="0.2">
      <c r="A10696" s="6" t="str">
        <f>"DHX38"</f>
        <v>DHX38</v>
      </c>
      <c r="B10696" s="6">
        <v>0.29199999999999998</v>
      </c>
      <c r="C10696" s="6">
        <v>0.48004188481675297</v>
      </c>
    </row>
    <row r="10697" spans="1:3" s="8" customFormat="1" x14ac:dyDescent="0.2">
      <c r="A10697" s="6" t="str">
        <f>"AC007906.2"</f>
        <v>AC007906.2</v>
      </c>
      <c r="B10697" s="6">
        <v>0.29199999999999998</v>
      </c>
      <c r="C10697" s="6">
        <v>0.48004188481675297</v>
      </c>
    </row>
    <row r="10698" spans="1:3" s="8" customFormat="1" x14ac:dyDescent="0.2">
      <c r="A10698" s="6" t="str">
        <f>"CBY3"</f>
        <v>CBY3</v>
      </c>
      <c r="B10698" s="6">
        <v>0.29270729270729201</v>
      </c>
      <c r="C10698" s="6">
        <v>0.48048590692354698</v>
      </c>
    </row>
    <row r="10699" spans="1:3" s="8" customFormat="1" x14ac:dyDescent="0.2">
      <c r="A10699" s="6" t="str">
        <f>"AC023796.1"</f>
        <v>AC023796.1</v>
      </c>
      <c r="B10699" s="6">
        <v>0.29270729270729201</v>
      </c>
      <c r="C10699" s="6">
        <v>0.48048590692354698</v>
      </c>
    </row>
    <row r="10700" spans="1:3" s="8" customFormat="1" x14ac:dyDescent="0.2">
      <c r="A10700" s="6" t="str">
        <f>"SLC9B1"</f>
        <v>SLC9B1</v>
      </c>
      <c r="B10700" s="6">
        <v>0.29270729270729201</v>
      </c>
      <c r="C10700" s="6">
        <v>0.48048590692354698</v>
      </c>
    </row>
    <row r="10701" spans="1:3" s="8" customFormat="1" x14ac:dyDescent="0.2">
      <c r="A10701" s="6" t="str">
        <f>"SIGLEC11"</f>
        <v>SIGLEC11</v>
      </c>
      <c r="B10701" s="6">
        <v>0.29270729270729201</v>
      </c>
      <c r="C10701" s="6">
        <v>0.48048590692354698</v>
      </c>
    </row>
    <row r="10702" spans="1:3" s="8" customFormat="1" x14ac:dyDescent="0.2">
      <c r="A10702" s="6" t="str">
        <f>"AC069544.1"</f>
        <v>AC069544.1</v>
      </c>
      <c r="B10702" s="6">
        <v>0.29270729270729201</v>
      </c>
      <c r="C10702" s="6">
        <v>0.48048590692354698</v>
      </c>
    </row>
    <row r="10703" spans="1:3" s="8" customFormat="1" x14ac:dyDescent="0.2">
      <c r="A10703" s="6" t="str">
        <f>"AC083798.2"</f>
        <v>AC083798.2</v>
      </c>
      <c r="B10703" s="6">
        <v>0.29270729270729201</v>
      </c>
      <c r="C10703" s="6">
        <v>0.48048590692354698</v>
      </c>
    </row>
    <row r="10704" spans="1:3" s="8" customFormat="1" x14ac:dyDescent="0.2">
      <c r="A10704" s="6" t="str">
        <f>"AC092171.3"</f>
        <v>AC092171.3</v>
      </c>
      <c r="B10704" s="6">
        <v>0.29270729270729201</v>
      </c>
      <c r="C10704" s="6">
        <v>0.48048590692354698</v>
      </c>
    </row>
    <row r="10705" spans="1:3" s="8" customFormat="1" x14ac:dyDescent="0.2">
      <c r="A10705" s="6" t="str">
        <f>"TEFM"</f>
        <v>TEFM</v>
      </c>
      <c r="B10705" s="6">
        <v>0.29270729270729201</v>
      </c>
      <c r="C10705" s="6">
        <v>0.48048590692354698</v>
      </c>
    </row>
    <row r="10706" spans="1:3" s="8" customFormat="1" x14ac:dyDescent="0.2">
      <c r="A10706" s="6" t="str">
        <f>"TAF1C"</f>
        <v>TAF1C</v>
      </c>
      <c r="B10706" s="6">
        <v>0.29270729270729201</v>
      </c>
      <c r="C10706" s="6">
        <v>0.48048590692354698</v>
      </c>
    </row>
    <row r="10707" spans="1:3" s="8" customFormat="1" x14ac:dyDescent="0.2">
      <c r="A10707" s="6" t="str">
        <f>"PRR18"</f>
        <v>PRR18</v>
      </c>
      <c r="B10707" s="6">
        <v>0.29270729270729201</v>
      </c>
      <c r="C10707" s="6">
        <v>0.48048590692354698</v>
      </c>
    </row>
    <row r="10708" spans="1:3" s="8" customFormat="1" x14ac:dyDescent="0.2">
      <c r="A10708" s="6" t="str">
        <f>"POMGNT1"</f>
        <v>POMGNT1</v>
      </c>
      <c r="B10708" s="6">
        <v>0.29270729270729201</v>
      </c>
      <c r="C10708" s="6">
        <v>0.48048590692354698</v>
      </c>
    </row>
    <row r="10709" spans="1:3" s="8" customFormat="1" x14ac:dyDescent="0.2">
      <c r="A10709" s="6" t="str">
        <f>"HDHD2"</f>
        <v>HDHD2</v>
      </c>
      <c r="B10709" s="6">
        <v>0.29270729270729201</v>
      </c>
      <c r="C10709" s="6">
        <v>0.48048590692354698</v>
      </c>
    </row>
    <row r="10710" spans="1:3" s="8" customFormat="1" x14ac:dyDescent="0.2">
      <c r="A10710" s="6" t="str">
        <f>"ATR"</f>
        <v>ATR</v>
      </c>
      <c r="B10710" s="6">
        <v>0.29270729270729201</v>
      </c>
      <c r="C10710" s="6">
        <v>0.48048590692354698</v>
      </c>
    </row>
    <row r="10711" spans="1:3" s="8" customFormat="1" x14ac:dyDescent="0.2">
      <c r="A10711" s="6" t="str">
        <f>"EIF2S1"</f>
        <v>EIF2S1</v>
      </c>
      <c r="B10711" s="6">
        <v>0.29270729270729201</v>
      </c>
      <c r="C10711" s="6">
        <v>0.48048590692354698</v>
      </c>
    </row>
    <row r="10712" spans="1:3" s="8" customFormat="1" x14ac:dyDescent="0.2">
      <c r="A10712" s="6" t="str">
        <f>"PIGG"</f>
        <v>PIGG</v>
      </c>
      <c r="B10712" s="6">
        <v>0.29270729270729201</v>
      </c>
      <c r="C10712" s="6">
        <v>0.48048590692354698</v>
      </c>
    </row>
    <row r="10713" spans="1:3" s="8" customFormat="1" x14ac:dyDescent="0.2">
      <c r="A10713" s="6" t="str">
        <f>"SLC38A2"</f>
        <v>SLC38A2</v>
      </c>
      <c r="B10713" s="6">
        <v>0.29270729270729201</v>
      </c>
      <c r="C10713" s="6">
        <v>0.48048590692354698</v>
      </c>
    </row>
    <row r="10714" spans="1:3" s="8" customFormat="1" x14ac:dyDescent="0.2">
      <c r="A10714" s="6" t="str">
        <f>"DGKH"</f>
        <v>DGKH</v>
      </c>
      <c r="B10714" s="6">
        <v>0.29299999999999998</v>
      </c>
      <c r="C10714" s="6">
        <v>0.48092149724633598</v>
      </c>
    </row>
    <row r="10715" spans="1:3" s="8" customFormat="1" x14ac:dyDescent="0.2">
      <c r="A10715" s="6" t="str">
        <f>"RCVRN"</f>
        <v>RCVRN</v>
      </c>
      <c r="B10715" s="6">
        <v>0.29329329329329301</v>
      </c>
      <c r="C10715" s="6">
        <v>0.48122730791385199</v>
      </c>
    </row>
    <row r="10716" spans="1:3" s="8" customFormat="1" x14ac:dyDescent="0.2">
      <c r="A10716" s="6" t="str">
        <f>"AC008870.2"</f>
        <v>AC008870.2</v>
      </c>
      <c r="B10716" s="6">
        <v>0.29329329329329301</v>
      </c>
      <c r="C10716" s="6">
        <v>0.48122730791385199</v>
      </c>
    </row>
    <row r="10717" spans="1:3" s="8" customFormat="1" x14ac:dyDescent="0.2">
      <c r="A10717" s="6" t="str">
        <f>"WHSC1L2P"</f>
        <v>WHSC1L2P</v>
      </c>
      <c r="B10717" s="6">
        <v>0.29370629370629298</v>
      </c>
      <c r="C10717" s="6">
        <v>0.48122730791385199</v>
      </c>
    </row>
    <row r="10718" spans="1:3" s="8" customFormat="1" x14ac:dyDescent="0.2">
      <c r="A10718" s="6" t="str">
        <f>"AL591163.1"</f>
        <v>AL591163.1</v>
      </c>
      <c r="B10718" s="6">
        <v>0.29370629370629298</v>
      </c>
      <c r="C10718" s="6">
        <v>0.48122730791385199</v>
      </c>
    </row>
    <row r="10719" spans="1:3" s="8" customFormat="1" x14ac:dyDescent="0.2">
      <c r="A10719" s="6" t="str">
        <f>"NAPSA"</f>
        <v>NAPSA</v>
      </c>
      <c r="B10719" s="6">
        <v>0.29329329329329301</v>
      </c>
      <c r="C10719" s="6">
        <v>0.48122730791385199</v>
      </c>
    </row>
    <row r="10720" spans="1:3" s="8" customFormat="1" x14ac:dyDescent="0.2">
      <c r="A10720" s="6" t="str">
        <f>"NUDT10"</f>
        <v>NUDT10</v>
      </c>
      <c r="B10720" s="6">
        <v>0.29370629370629298</v>
      </c>
      <c r="C10720" s="6">
        <v>0.48122730791385199</v>
      </c>
    </row>
    <row r="10721" spans="1:3" s="8" customFormat="1" x14ac:dyDescent="0.2">
      <c r="A10721" s="6" t="str">
        <f>"FP565260.3"</f>
        <v>FP565260.3</v>
      </c>
      <c r="B10721" s="6">
        <v>0.29370629370629298</v>
      </c>
      <c r="C10721" s="6">
        <v>0.48122730791385199</v>
      </c>
    </row>
    <row r="10722" spans="1:3" s="8" customFormat="1" x14ac:dyDescent="0.2">
      <c r="A10722" s="6" t="str">
        <f>"GBGT1"</f>
        <v>GBGT1</v>
      </c>
      <c r="B10722" s="6">
        <v>0.29370629370629298</v>
      </c>
      <c r="C10722" s="6">
        <v>0.48122730791385199</v>
      </c>
    </row>
    <row r="10723" spans="1:3" s="8" customFormat="1" x14ac:dyDescent="0.2">
      <c r="A10723" s="6" t="str">
        <f>"CALCRL"</f>
        <v>CALCRL</v>
      </c>
      <c r="B10723" s="6">
        <v>0.29370629370629298</v>
      </c>
      <c r="C10723" s="6">
        <v>0.48122730791385199</v>
      </c>
    </row>
    <row r="10724" spans="1:3" s="8" customFormat="1" x14ac:dyDescent="0.2">
      <c r="A10724" s="6" t="str">
        <f>"SKIDA1"</f>
        <v>SKIDA1</v>
      </c>
      <c r="B10724" s="6">
        <v>0.29370629370629298</v>
      </c>
      <c r="C10724" s="6">
        <v>0.48122730791385199</v>
      </c>
    </row>
    <row r="10725" spans="1:3" s="8" customFormat="1" x14ac:dyDescent="0.2">
      <c r="A10725" s="6" t="str">
        <f>"AC008397.1"</f>
        <v>AC008397.1</v>
      </c>
      <c r="B10725" s="6">
        <v>0.29370629370629298</v>
      </c>
      <c r="C10725" s="6">
        <v>0.48122730791385199</v>
      </c>
    </row>
    <row r="10726" spans="1:3" s="8" customFormat="1" x14ac:dyDescent="0.2">
      <c r="A10726" s="6" t="str">
        <f>"AC124944.2"</f>
        <v>AC124944.2</v>
      </c>
      <c r="B10726" s="6">
        <v>0.29370629370629298</v>
      </c>
      <c r="C10726" s="6">
        <v>0.48122730791385199</v>
      </c>
    </row>
    <row r="10727" spans="1:3" s="8" customFormat="1" x14ac:dyDescent="0.2">
      <c r="A10727" s="6" t="str">
        <f>"ZFAND2A-DT"</f>
        <v>ZFAND2A-DT</v>
      </c>
      <c r="B10727" s="6">
        <v>0.29370629370629298</v>
      </c>
      <c r="C10727" s="6">
        <v>0.48122730791385199</v>
      </c>
    </row>
    <row r="10728" spans="1:3" s="8" customFormat="1" x14ac:dyDescent="0.2">
      <c r="A10728" s="6" t="str">
        <f>"COQ10A"</f>
        <v>COQ10A</v>
      </c>
      <c r="B10728" s="6">
        <v>0.29370629370629298</v>
      </c>
      <c r="C10728" s="6">
        <v>0.48122730791385199</v>
      </c>
    </row>
    <row r="10729" spans="1:3" s="8" customFormat="1" x14ac:dyDescent="0.2">
      <c r="A10729" s="6" t="str">
        <f>"ATRIP"</f>
        <v>ATRIP</v>
      </c>
      <c r="B10729" s="6">
        <v>0.29370629370629298</v>
      </c>
      <c r="C10729" s="6">
        <v>0.48122730791385199</v>
      </c>
    </row>
    <row r="10730" spans="1:3" s="8" customFormat="1" x14ac:dyDescent="0.2">
      <c r="A10730" s="6" t="str">
        <f>"MOCS3"</f>
        <v>MOCS3</v>
      </c>
      <c r="B10730" s="6">
        <v>0.29370629370629298</v>
      </c>
      <c r="C10730" s="6">
        <v>0.48122730791385199</v>
      </c>
    </row>
    <row r="10731" spans="1:3" s="8" customFormat="1" x14ac:dyDescent="0.2">
      <c r="A10731" s="6" t="str">
        <f>"ZDHHC13"</f>
        <v>ZDHHC13</v>
      </c>
      <c r="B10731" s="6">
        <v>0.29370629370629298</v>
      </c>
      <c r="C10731" s="6">
        <v>0.48122730791385199</v>
      </c>
    </row>
    <row r="10732" spans="1:3" s="8" customFormat="1" x14ac:dyDescent="0.2">
      <c r="A10732" s="6" t="str">
        <f>"RANBP9"</f>
        <v>RANBP9</v>
      </c>
      <c r="B10732" s="6">
        <v>0.29370629370629298</v>
      </c>
      <c r="C10732" s="6">
        <v>0.48122730791385199</v>
      </c>
    </row>
    <row r="10733" spans="1:3" s="8" customFormat="1" x14ac:dyDescent="0.2">
      <c r="A10733" s="6" t="str">
        <f>"PLBD1"</f>
        <v>PLBD1</v>
      </c>
      <c r="B10733" s="6">
        <v>0.29370629370629298</v>
      </c>
      <c r="C10733" s="6">
        <v>0.48122730791385199</v>
      </c>
    </row>
    <row r="10734" spans="1:3" s="8" customFormat="1" x14ac:dyDescent="0.2">
      <c r="A10734" s="6" t="str">
        <f>"AC239800.2"</f>
        <v>AC239800.2</v>
      </c>
      <c r="B10734" s="6">
        <v>0.29388164493480401</v>
      </c>
      <c r="C10734" s="6">
        <v>0.48146975165690797</v>
      </c>
    </row>
    <row r="10735" spans="1:3" s="8" customFormat="1" x14ac:dyDescent="0.2">
      <c r="A10735" s="6" t="str">
        <f>"SF3A3"</f>
        <v>SF3A3</v>
      </c>
      <c r="B10735" s="6">
        <v>0.29399999999999998</v>
      </c>
      <c r="C10735" s="6">
        <v>0.48157391709361802</v>
      </c>
    </row>
    <row r="10736" spans="1:3" s="8" customFormat="1" x14ac:dyDescent="0.2">
      <c r="A10736" s="6" t="str">
        <f>"PSME1"</f>
        <v>PSME1</v>
      </c>
      <c r="B10736" s="6">
        <v>0.29399999999999998</v>
      </c>
      <c r="C10736" s="6">
        <v>0.48157391709361802</v>
      </c>
    </row>
    <row r="10737" spans="1:3" s="8" customFormat="1" x14ac:dyDescent="0.2">
      <c r="A10737" s="6" t="str">
        <f>"ATXN1-AS1"</f>
        <v>ATXN1-AS1</v>
      </c>
      <c r="B10737" s="6">
        <v>0.29417670682730901</v>
      </c>
      <c r="C10737" s="6">
        <v>0.481818481077813</v>
      </c>
    </row>
    <row r="10738" spans="1:3" s="8" customFormat="1" x14ac:dyDescent="0.2">
      <c r="A10738" s="6" t="str">
        <f>"EFCAB8"</f>
        <v>EFCAB8</v>
      </c>
      <c r="B10738" s="6">
        <v>0.294705294705294</v>
      </c>
      <c r="C10738" s="6">
        <v>0.48187631598455399</v>
      </c>
    </row>
    <row r="10739" spans="1:3" s="8" customFormat="1" x14ac:dyDescent="0.2">
      <c r="A10739" s="6" t="str">
        <f>"ATP1B4"</f>
        <v>ATP1B4</v>
      </c>
      <c r="B10739" s="6">
        <v>0.29447236180904501</v>
      </c>
      <c r="C10739" s="6">
        <v>0.48187631598455399</v>
      </c>
    </row>
    <row r="10740" spans="1:3" s="8" customFormat="1" x14ac:dyDescent="0.2">
      <c r="A10740" s="6" t="str">
        <f>"AC104118.1"</f>
        <v>AC104118.1</v>
      </c>
      <c r="B10740" s="6">
        <v>0.294589178356713</v>
      </c>
      <c r="C10740" s="6">
        <v>0.48187631598455399</v>
      </c>
    </row>
    <row r="10741" spans="1:3" s="8" customFormat="1" x14ac:dyDescent="0.2">
      <c r="A10741" s="6" t="str">
        <f>"AL122058.1"</f>
        <v>AL122058.1</v>
      </c>
      <c r="B10741" s="6">
        <v>0.294705294705294</v>
      </c>
      <c r="C10741" s="6">
        <v>0.48187631598455399</v>
      </c>
    </row>
    <row r="10742" spans="1:3" s="8" customFormat="1" x14ac:dyDescent="0.2">
      <c r="A10742" s="6" t="str">
        <f>"AP001790.1"</f>
        <v>AP001790.1</v>
      </c>
      <c r="B10742" s="6">
        <v>0.294705294705294</v>
      </c>
      <c r="C10742" s="6">
        <v>0.48187631598455399</v>
      </c>
    </row>
    <row r="10743" spans="1:3" s="8" customFormat="1" x14ac:dyDescent="0.2">
      <c r="A10743" s="6" t="str">
        <f>"LINC02579"</f>
        <v>LINC02579</v>
      </c>
      <c r="B10743" s="6">
        <v>0.294705294705294</v>
      </c>
      <c r="C10743" s="6">
        <v>0.48187631598455399</v>
      </c>
    </row>
    <row r="10744" spans="1:3" s="8" customFormat="1" x14ac:dyDescent="0.2">
      <c r="A10744" s="6" t="str">
        <f>"FOXD2"</f>
        <v>FOXD2</v>
      </c>
      <c r="B10744" s="6">
        <v>0.294705294705294</v>
      </c>
      <c r="C10744" s="6">
        <v>0.48187631598455399</v>
      </c>
    </row>
    <row r="10745" spans="1:3" s="8" customFormat="1" x14ac:dyDescent="0.2">
      <c r="A10745" s="6" t="str">
        <f>"GRPEL2"</f>
        <v>GRPEL2</v>
      </c>
      <c r="B10745" s="6">
        <v>0.294705294705294</v>
      </c>
      <c r="C10745" s="6">
        <v>0.48187631598455399</v>
      </c>
    </row>
    <row r="10746" spans="1:3" s="8" customFormat="1" x14ac:dyDescent="0.2">
      <c r="A10746" s="6" t="str">
        <f>"TBPL1"</f>
        <v>TBPL1</v>
      </c>
      <c r="B10746" s="6">
        <v>0.294705294705294</v>
      </c>
      <c r="C10746" s="6">
        <v>0.48187631598455399</v>
      </c>
    </row>
    <row r="10747" spans="1:3" s="8" customFormat="1" x14ac:dyDescent="0.2">
      <c r="A10747" s="6" t="str">
        <f>"EVI5L"</f>
        <v>EVI5L</v>
      </c>
      <c r="B10747" s="6">
        <v>0.294705294705294</v>
      </c>
      <c r="C10747" s="6">
        <v>0.48187631598455399</v>
      </c>
    </row>
    <row r="10748" spans="1:3" s="8" customFormat="1" x14ac:dyDescent="0.2">
      <c r="A10748" s="6" t="str">
        <f>"ZNF776"</f>
        <v>ZNF776</v>
      </c>
      <c r="B10748" s="6">
        <v>0.294705294705294</v>
      </c>
      <c r="C10748" s="6">
        <v>0.48187631598455399</v>
      </c>
    </row>
    <row r="10749" spans="1:3" s="8" customFormat="1" x14ac:dyDescent="0.2">
      <c r="A10749" s="6" t="str">
        <f>"ERVK3-1"</f>
        <v>ERVK3-1</v>
      </c>
      <c r="B10749" s="6">
        <v>0.294705294705294</v>
      </c>
      <c r="C10749" s="6">
        <v>0.48187631598455399</v>
      </c>
    </row>
    <row r="10750" spans="1:3" s="8" customFormat="1" x14ac:dyDescent="0.2">
      <c r="A10750" s="6" t="str">
        <f>"MOB4"</f>
        <v>MOB4</v>
      </c>
      <c r="B10750" s="6">
        <v>0.294705294705294</v>
      </c>
      <c r="C10750" s="6">
        <v>0.48187631598455399</v>
      </c>
    </row>
    <row r="10751" spans="1:3" s="8" customFormat="1" x14ac:dyDescent="0.2">
      <c r="A10751" s="6" t="str">
        <f>"VPS54"</f>
        <v>VPS54</v>
      </c>
      <c r="B10751" s="6">
        <v>0.294705294705294</v>
      </c>
      <c r="C10751" s="6">
        <v>0.48187631598455399</v>
      </c>
    </row>
    <row r="10752" spans="1:3" s="8" customFormat="1" x14ac:dyDescent="0.2">
      <c r="A10752" s="6" t="str">
        <f>"ISYNA1"</f>
        <v>ISYNA1</v>
      </c>
      <c r="B10752" s="6">
        <v>0.294705294705294</v>
      </c>
      <c r="C10752" s="6">
        <v>0.48187631598455399</v>
      </c>
    </row>
    <row r="10753" spans="1:3" s="8" customFormat="1" x14ac:dyDescent="0.2">
      <c r="A10753" s="6" t="str">
        <f>"DGCR6L"</f>
        <v>DGCR6L</v>
      </c>
      <c r="B10753" s="6">
        <v>0.294705294705294</v>
      </c>
      <c r="C10753" s="6">
        <v>0.48187631598455399</v>
      </c>
    </row>
    <row r="10754" spans="1:3" s="8" customFormat="1" x14ac:dyDescent="0.2">
      <c r="A10754" s="6" t="str">
        <f>"ILVBL"</f>
        <v>ILVBL</v>
      </c>
      <c r="B10754" s="6">
        <v>0.294705294705294</v>
      </c>
      <c r="C10754" s="6">
        <v>0.48187631598455399</v>
      </c>
    </row>
    <row r="10755" spans="1:3" s="8" customFormat="1" x14ac:dyDescent="0.2">
      <c r="A10755" s="6" t="str">
        <f>"SCARB2"</f>
        <v>SCARB2</v>
      </c>
      <c r="B10755" s="6">
        <v>0.294705294705294</v>
      </c>
      <c r="C10755" s="6">
        <v>0.48187631598455399</v>
      </c>
    </row>
    <row r="10756" spans="1:3" s="8" customFormat="1" x14ac:dyDescent="0.2">
      <c r="A10756" s="6" t="str">
        <f>"AL953883.1"</f>
        <v>AL953883.1</v>
      </c>
      <c r="B10756" s="6">
        <v>0.295728368017524</v>
      </c>
      <c r="C10756" s="6">
        <v>0.48260673997402798</v>
      </c>
    </row>
    <row r="10757" spans="1:3" s="8" customFormat="1" x14ac:dyDescent="0.2">
      <c r="A10757" s="6" t="str">
        <f>"SYT6"</f>
        <v>SYT6</v>
      </c>
      <c r="B10757" s="6">
        <v>0.29570429570429502</v>
      </c>
      <c r="C10757" s="6">
        <v>0.48260673997402798</v>
      </c>
    </row>
    <row r="10758" spans="1:3" s="8" customFormat="1" x14ac:dyDescent="0.2">
      <c r="A10758" s="6" t="str">
        <f>"AC114744.2"</f>
        <v>AC114744.2</v>
      </c>
      <c r="B10758" s="6">
        <v>0.29570429570429502</v>
      </c>
      <c r="C10758" s="6">
        <v>0.48260673997402798</v>
      </c>
    </row>
    <row r="10759" spans="1:3" s="8" customFormat="1" x14ac:dyDescent="0.2">
      <c r="A10759" s="6" t="str">
        <f>"TNK2-AS1"</f>
        <v>TNK2-AS1</v>
      </c>
      <c r="B10759" s="6">
        <v>0.29570429570429502</v>
      </c>
      <c r="C10759" s="6">
        <v>0.48260673997402798</v>
      </c>
    </row>
    <row r="10760" spans="1:3" s="8" customFormat="1" x14ac:dyDescent="0.2">
      <c r="A10760" s="6" t="str">
        <f>"HLA-F-AS1"</f>
        <v>HLA-F-AS1</v>
      </c>
      <c r="B10760" s="6">
        <v>0.29570429570429502</v>
      </c>
      <c r="C10760" s="6">
        <v>0.48260673997402798</v>
      </c>
    </row>
    <row r="10761" spans="1:3" s="8" customFormat="1" x14ac:dyDescent="0.2">
      <c r="A10761" s="6" t="str">
        <f>"POU3F1"</f>
        <v>POU3F1</v>
      </c>
      <c r="B10761" s="6">
        <v>0.29570429570429502</v>
      </c>
      <c r="C10761" s="6">
        <v>0.48260673997402798</v>
      </c>
    </row>
    <row r="10762" spans="1:3" s="8" customFormat="1" x14ac:dyDescent="0.2">
      <c r="A10762" s="6" t="str">
        <f>"POLR1H"</f>
        <v>POLR1H</v>
      </c>
      <c r="B10762" s="6">
        <v>0.29570429570429502</v>
      </c>
      <c r="C10762" s="6">
        <v>0.48260673997402798</v>
      </c>
    </row>
    <row r="10763" spans="1:3" s="8" customFormat="1" x14ac:dyDescent="0.2">
      <c r="A10763" s="6" t="str">
        <f>"IL32"</f>
        <v>IL32</v>
      </c>
      <c r="B10763" s="6">
        <v>0.29570429570429502</v>
      </c>
      <c r="C10763" s="6">
        <v>0.48260673997402798</v>
      </c>
    </row>
    <row r="10764" spans="1:3" s="8" customFormat="1" x14ac:dyDescent="0.2">
      <c r="A10764" s="6" t="str">
        <f>"VPS33B"</f>
        <v>VPS33B</v>
      </c>
      <c r="B10764" s="6">
        <v>0.29570429570429502</v>
      </c>
      <c r="C10764" s="6">
        <v>0.48260673997402798</v>
      </c>
    </row>
    <row r="10765" spans="1:3" s="8" customFormat="1" x14ac:dyDescent="0.2">
      <c r="A10765" s="6" t="str">
        <f>"ZFAND2B"</f>
        <v>ZFAND2B</v>
      </c>
      <c r="B10765" s="6">
        <v>0.29570429570429502</v>
      </c>
      <c r="C10765" s="6">
        <v>0.48260673997402798</v>
      </c>
    </row>
    <row r="10766" spans="1:3" s="8" customFormat="1" x14ac:dyDescent="0.2">
      <c r="A10766" s="6" t="str">
        <f>"ACSF3"</f>
        <v>ACSF3</v>
      </c>
      <c r="B10766" s="6">
        <v>0.29570429570429502</v>
      </c>
      <c r="C10766" s="6">
        <v>0.48260673997402798</v>
      </c>
    </row>
    <row r="10767" spans="1:3" s="8" customFormat="1" x14ac:dyDescent="0.2">
      <c r="A10767" s="6" t="str">
        <f>"ANKRD13C"</f>
        <v>ANKRD13C</v>
      </c>
      <c r="B10767" s="6">
        <v>0.29570429570429502</v>
      </c>
      <c r="C10767" s="6">
        <v>0.48260673997402798</v>
      </c>
    </row>
    <row r="10768" spans="1:3" s="8" customFormat="1" x14ac:dyDescent="0.2">
      <c r="A10768" s="6" t="str">
        <f>"UMPS"</f>
        <v>UMPS</v>
      </c>
      <c r="B10768" s="6">
        <v>0.29570429570429502</v>
      </c>
      <c r="C10768" s="6">
        <v>0.48260673997402798</v>
      </c>
    </row>
    <row r="10769" spans="1:3" s="8" customFormat="1" x14ac:dyDescent="0.2">
      <c r="A10769" s="6" t="str">
        <f>"NIPSNAP1"</f>
        <v>NIPSNAP1</v>
      </c>
      <c r="B10769" s="6">
        <v>0.29570429570429502</v>
      </c>
      <c r="C10769" s="6">
        <v>0.48260673997402798</v>
      </c>
    </row>
    <row r="10770" spans="1:3" s="8" customFormat="1" x14ac:dyDescent="0.2">
      <c r="A10770" s="6" t="str">
        <f>"CADPS2"</f>
        <v>CADPS2</v>
      </c>
      <c r="B10770" s="6">
        <v>0.29570429570429502</v>
      </c>
      <c r="C10770" s="6">
        <v>0.48260673997402798</v>
      </c>
    </row>
    <row r="10771" spans="1:3" s="8" customFormat="1" x14ac:dyDescent="0.2">
      <c r="A10771" s="6" t="str">
        <f>"ANKRD45"</f>
        <v>ANKRD45</v>
      </c>
      <c r="B10771" s="6">
        <v>0.29570429570429502</v>
      </c>
      <c r="C10771" s="6">
        <v>0.48260673997402798</v>
      </c>
    </row>
    <row r="10772" spans="1:3" s="8" customFormat="1" x14ac:dyDescent="0.2">
      <c r="A10772" s="6" t="str">
        <f>"UBR7"</f>
        <v>UBR7</v>
      </c>
      <c r="B10772" s="6">
        <v>0.29570429570429502</v>
      </c>
      <c r="C10772" s="6">
        <v>0.48260673997402798</v>
      </c>
    </row>
    <row r="10773" spans="1:3" s="8" customFormat="1" x14ac:dyDescent="0.2">
      <c r="A10773" s="6" t="str">
        <f>"SULT1A1"</f>
        <v>SULT1A1</v>
      </c>
      <c r="B10773" s="6">
        <v>0.29570429570429502</v>
      </c>
      <c r="C10773" s="6">
        <v>0.48260673997402798</v>
      </c>
    </row>
    <row r="10774" spans="1:3" s="8" customFormat="1" x14ac:dyDescent="0.2">
      <c r="A10774" s="6" t="str">
        <f>"RHOQ"</f>
        <v>RHOQ</v>
      </c>
      <c r="B10774" s="6">
        <v>0.29529529529529502</v>
      </c>
      <c r="C10774" s="6">
        <v>0.48260673997402798</v>
      </c>
    </row>
    <row r="10775" spans="1:3" s="8" customFormat="1" x14ac:dyDescent="0.2">
      <c r="A10775" s="6" t="str">
        <f>"DDRGK1"</f>
        <v>DDRGK1</v>
      </c>
      <c r="B10775" s="6">
        <v>0.29570429570429502</v>
      </c>
      <c r="C10775" s="6">
        <v>0.48260673997402798</v>
      </c>
    </row>
    <row r="10776" spans="1:3" s="8" customFormat="1" x14ac:dyDescent="0.2">
      <c r="A10776" s="6" t="str">
        <f>"RIC8A"</f>
        <v>RIC8A</v>
      </c>
      <c r="B10776" s="6">
        <v>0.29570429570429502</v>
      </c>
      <c r="C10776" s="6">
        <v>0.48260673997402798</v>
      </c>
    </row>
    <row r="10777" spans="1:3" s="8" customFormat="1" x14ac:dyDescent="0.2">
      <c r="A10777" s="6" t="str">
        <f>"TATDN2"</f>
        <v>TATDN2</v>
      </c>
      <c r="B10777" s="6">
        <v>0.29599999999999999</v>
      </c>
      <c r="C10777" s="6">
        <v>0.48300519673348102</v>
      </c>
    </row>
    <row r="10778" spans="1:3" s="8" customFormat="1" x14ac:dyDescent="0.2">
      <c r="A10778" s="6" t="str">
        <f>"ZNF451-AS1"</f>
        <v>ZNF451-AS1</v>
      </c>
      <c r="B10778" s="6">
        <v>0.29670329670329598</v>
      </c>
      <c r="C10778" s="6">
        <v>0.48334544832599302</v>
      </c>
    </row>
    <row r="10779" spans="1:3" s="8" customFormat="1" x14ac:dyDescent="0.2">
      <c r="A10779" s="6" t="str">
        <f>"RNF207-AS1"</f>
        <v>RNF207-AS1</v>
      </c>
      <c r="B10779" s="6">
        <v>0.29670329670329598</v>
      </c>
      <c r="C10779" s="6">
        <v>0.48334544832599302</v>
      </c>
    </row>
    <row r="10780" spans="1:3" s="8" customFormat="1" x14ac:dyDescent="0.2">
      <c r="A10780" s="6" t="str">
        <f>"AL110114.1"</f>
        <v>AL110114.1</v>
      </c>
      <c r="B10780" s="6">
        <v>0.29670329670329598</v>
      </c>
      <c r="C10780" s="6">
        <v>0.48334544832599302</v>
      </c>
    </row>
    <row r="10781" spans="1:3" s="8" customFormat="1" x14ac:dyDescent="0.2">
      <c r="A10781" s="6" t="str">
        <f>"MARCO"</f>
        <v>MARCO</v>
      </c>
      <c r="B10781" s="6">
        <v>0.29670329670329598</v>
      </c>
      <c r="C10781" s="6">
        <v>0.48334544832599302</v>
      </c>
    </row>
    <row r="10782" spans="1:3" s="8" customFormat="1" x14ac:dyDescent="0.2">
      <c r="A10782" s="6" t="str">
        <f>"RPL10P19"</f>
        <v>RPL10P19</v>
      </c>
      <c r="B10782" s="6">
        <v>0.29670329670329598</v>
      </c>
      <c r="C10782" s="6">
        <v>0.48334544832599302</v>
      </c>
    </row>
    <row r="10783" spans="1:3" s="8" customFormat="1" x14ac:dyDescent="0.2">
      <c r="A10783" s="6" t="str">
        <f>"LASTR"</f>
        <v>LASTR</v>
      </c>
      <c r="B10783" s="6">
        <v>0.29670329670329598</v>
      </c>
      <c r="C10783" s="6">
        <v>0.48334544832599302</v>
      </c>
    </row>
    <row r="10784" spans="1:3" s="8" customFormat="1" x14ac:dyDescent="0.2">
      <c r="A10784" s="6" t="str">
        <f>"AC009163.7"</f>
        <v>AC009163.7</v>
      </c>
      <c r="B10784" s="6">
        <v>0.29670329670329598</v>
      </c>
      <c r="C10784" s="6">
        <v>0.48334544832599302</v>
      </c>
    </row>
    <row r="10785" spans="1:3" s="8" customFormat="1" x14ac:dyDescent="0.2">
      <c r="A10785" s="6" t="str">
        <f>"AL138787.1"</f>
        <v>AL138787.1</v>
      </c>
      <c r="B10785" s="6">
        <v>0.29670329670329598</v>
      </c>
      <c r="C10785" s="6">
        <v>0.48334544832599302</v>
      </c>
    </row>
    <row r="10786" spans="1:3" s="8" customFormat="1" x14ac:dyDescent="0.2">
      <c r="A10786" s="6" t="str">
        <f>"CCDC127"</f>
        <v>CCDC127</v>
      </c>
      <c r="B10786" s="6">
        <v>0.29670329670329598</v>
      </c>
      <c r="C10786" s="6">
        <v>0.48334544832599302</v>
      </c>
    </row>
    <row r="10787" spans="1:3" s="8" customFormat="1" x14ac:dyDescent="0.2">
      <c r="A10787" s="6" t="str">
        <f>"WDR36"</f>
        <v>WDR36</v>
      </c>
      <c r="B10787" s="6">
        <v>0.29670329670329598</v>
      </c>
      <c r="C10787" s="6">
        <v>0.48334544832599302</v>
      </c>
    </row>
    <row r="10788" spans="1:3" s="8" customFormat="1" x14ac:dyDescent="0.2">
      <c r="A10788" s="6" t="str">
        <f>"EIF2B2"</f>
        <v>EIF2B2</v>
      </c>
      <c r="B10788" s="6">
        <v>0.29670329670329598</v>
      </c>
      <c r="C10788" s="6">
        <v>0.48334544832599302</v>
      </c>
    </row>
    <row r="10789" spans="1:3" s="8" customFormat="1" x14ac:dyDescent="0.2">
      <c r="A10789" s="6" t="str">
        <f>"HES4"</f>
        <v>HES4</v>
      </c>
      <c r="B10789" s="6">
        <v>0.29670329670329598</v>
      </c>
      <c r="C10789" s="6">
        <v>0.48334544832599302</v>
      </c>
    </row>
    <row r="10790" spans="1:3" s="8" customFormat="1" x14ac:dyDescent="0.2">
      <c r="A10790" s="6" t="str">
        <f>"SPAG7"</f>
        <v>SPAG7</v>
      </c>
      <c r="B10790" s="6">
        <v>0.29670329670329598</v>
      </c>
      <c r="C10790" s="6">
        <v>0.48334544832599302</v>
      </c>
    </row>
    <row r="10791" spans="1:3" s="8" customFormat="1" x14ac:dyDescent="0.2">
      <c r="A10791" s="6" t="str">
        <f>"GNPTAB"</f>
        <v>GNPTAB</v>
      </c>
      <c r="B10791" s="6">
        <v>0.29670329670329598</v>
      </c>
      <c r="C10791" s="6">
        <v>0.48334544832599302</v>
      </c>
    </row>
    <row r="10792" spans="1:3" s="8" customFormat="1" x14ac:dyDescent="0.2">
      <c r="A10792" s="6" t="str">
        <f>"IRF2"</f>
        <v>IRF2</v>
      </c>
      <c r="B10792" s="6">
        <v>0.29670329670329598</v>
      </c>
      <c r="C10792" s="6">
        <v>0.48334544832599302</v>
      </c>
    </row>
    <row r="10793" spans="1:3" s="8" customFormat="1" x14ac:dyDescent="0.2">
      <c r="A10793" s="6" t="str">
        <f>"ARHGAP5"</f>
        <v>ARHGAP5</v>
      </c>
      <c r="B10793" s="6">
        <v>0.29670329670329598</v>
      </c>
      <c r="C10793" s="6">
        <v>0.48334544832599302</v>
      </c>
    </row>
    <row r="10794" spans="1:3" s="8" customFormat="1" x14ac:dyDescent="0.2">
      <c r="A10794" s="6" t="str">
        <f>"EIF3F"</f>
        <v>EIF3F</v>
      </c>
      <c r="B10794" s="6">
        <v>0.29670329670329598</v>
      </c>
      <c r="C10794" s="6">
        <v>0.48334544832599302</v>
      </c>
    </row>
    <row r="10795" spans="1:3" s="8" customFormat="1" x14ac:dyDescent="0.2">
      <c r="A10795" s="6" t="str">
        <f>"SRSF5"</f>
        <v>SRSF5</v>
      </c>
      <c r="B10795" s="6">
        <v>0.29670329670329598</v>
      </c>
      <c r="C10795" s="6">
        <v>0.48334544832599302</v>
      </c>
    </row>
    <row r="10796" spans="1:3" s="8" customFormat="1" x14ac:dyDescent="0.2">
      <c r="A10796" s="6" t="str">
        <f>"POLDIP2"</f>
        <v>POLDIP2</v>
      </c>
      <c r="B10796" s="6">
        <v>0.29699999999999999</v>
      </c>
      <c r="C10796" s="6">
        <v>0.48378397406206503</v>
      </c>
    </row>
    <row r="10797" spans="1:3" s="8" customFormat="1" x14ac:dyDescent="0.2">
      <c r="A10797" s="6" t="str">
        <f>"TUBB1"</f>
        <v>TUBB1</v>
      </c>
      <c r="B10797" s="6">
        <v>0.297702297702297</v>
      </c>
      <c r="C10797" s="6">
        <v>0.48389694978713199</v>
      </c>
    </row>
    <row r="10798" spans="1:3" s="8" customFormat="1" x14ac:dyDescent="0.2">
      <c r="A10798" s="6" t="str">
        <f>"SLC7A14"</f>
        <v>SLC7A14</v>
      </c>
      <c r="B10798" s="6">
        <v>0.297702297702297</v>
      </c>
      <c r="C10798" s="6">
        <v>0.48389694978713199</v>
      </c>
    </row>
    <row r="10799" spans="1:3" s="8" customFormat="1" x14ac:dyDescent="0.2">
      <c r="A10799" s="6" t="str">
        <f>"GNG12-AS1"</f>
        <v>GNG12-AS1</v>
      </c>
      <c r="B10799" s="6">
        <v>0.297702297702297</v>
      </c>
      <c r="C10799" s="6">
        <v>0.48389694978713199</v>
      </c>
    </row>
    <row r="10800" spans="1:3" s="8" customFormat="1" x14ac:dyDescent="0.2">
      <c r="A10800" s="6" t="str">
        <f>"PHACTR3"</f>
        <v>PHACTR3</v>
      </c>
      <c r="B10800" s="6">
        <v>0.297702297702297</v>
      </c>
      <c r="C10800" s="6">
        <v>0.48389694978713199</v>
      </c>
    </row>
    <row r="10801" spans="1:3" s="8" customFormat="1" x14ac:dyDescent="0.2">
      <c r="A10801" s="6" t="str">
        <f>"FAM153A"</f>
        <v>FAM153A</v>
      </c>
      <c r="B10801" s="6">
        <v>0.297702297702297</v>
      </c>
      <c r="C10801" s="6">
        <v>0.48389694978713199</v>
      </c>
    </row>
    <row r="10802" spans="1:3" s="8" customFormat="1" x14ac:dyDescent="0.2">
      <c r="A10802" s="6" t="str">
        <f>"ARPC4-TTLL3"</f>
        <v>ARPC4-TTLL3</v>
      </c>
      <c r="B10802" s="6">
        <v>0.297702297702297</v>
      </c>
      <c r="C10802" s="6">
        <v>0.48389694978713199</v>
      </c>
    </row>
    <row r="10803" spans="1:3" s="8" customFormat="1" x14ac:dyDescent="0.2">
      <c r="A10803" s="6" t="str">
        <f>"MARS2"</f>
        <v>MARS2</v>
      </c>
      <c r="B10803" s="6">
        <v>0.297702297702297</v>
      </c>
      <c r="C10803" s="6">
        <v>0.48389694978713199</v>
      </c>
    </row>
    <row r="10804" spans="1:3" s="8" customFormat="1" x14ac:dyDescent="0.2">
      <c r="A10804" s="6" t="str">
        <f>"DDO"</f>
        <v>DDO</v>
      </c>
      <c r="B10804" s="6">
        <v>0.297702297702297</v>
      </c>
      <c r="C10804" s="6">
        <v>0.48389694978713199</v>
      </c>
    </row>
    <row r="10805" spans="1:3" s="8" customFormat="1" x14ac:dyDescent="0.2">
      <c r="A10805" s="6" t="str">
        <f>"GRM7"</f>
        <v>GRM7</v>
      </c>
      <c r="B10805" s="6">
        <v>0.297702297702297</v>
      </c>
      <c r="C10805" s="6">
        <v>0.48389694978713199</v>
      </c>
    </row>
    <row r="10806" spans="1:3" s="8" customFormat="1" x14ac:dyDescent="0.2">
      <c r="A10806" s="6" t="str">
        <f>"ST8SIA5"</f>
        <v>ST8SIA5</v>
      </c>
      <c r="B10806" s="6">
        <v>0.297702297702297</v>
      </c>
      <c r="C10806" s="6">
        <v>0.48389694978713199</v>
      </c>
    </row>
    <row r="10807" spans="1:3" s="8" customFormat="1" x14ac:dyDescent="0.2">
      <c r="A10807" s="6" t="str">
        <f>"PBX3"</f>
        <v>PBX3</v>
      </c>
      <c r="B10807" s="6">
        <v>0.297702297702297</v>
      </c>
      <c r="C10807" s="6">
        <v>0.48389694978713199</v>
      </c>
    </row>
    <row r="10808" spans="1:3" s="8" customFormat="1" x14ac:dyDescent="0.2">
      <c r="A10808" s="6" t="str">
        <f>"SCLY"</f>
        <v>SCLY</v>
      </c>
      <c r="B10808" s="6">
        <v>0.297702297702297</v>
      </c>
      <c r="C10808" s="6">
        <v>0.48389694978713199</v>
      </c>
    </row>
    <row r="10809" spans="1:3" s="8" customFormat="1" x14ac:dyDescent="0.2">
      <c r="A10809" s="6" t="str">
        <f>"ANKRD37"</f>
        <v>ANKRD37</v>
      </c>
      <c r="B10809" s="6">
        <v>0.297702297702297</v>
      </c>
      <c r="C10809" s="6">
        <v>0.48389694978713199</v>
      </c>
    </row>
    <row r="10810" spans="1:3" s="8" customFormat="1" x14ac:dyDescent="0.2">
      <c r="A10810" s="6" t="str">
        <f>"OSBPL11"</f>
        <v>OSBPL11</v>
      </c>
      <c r="B10810" s="6">
        <v>0.297702297702297</v>
      </c>
      <c r="C10810" s="6">
        <v>0.48389694978713199</v>
      </c>
    </row>
    <row r="10811" spans="1:3" s="8" customFormat="1" x14ac:dyDescent="0.2">
      <c r="A10811" s="6" t="str">
        <f>"TSC22D2"</f>
        <v>TSC22D2</v>
      </c>
      <c r="B10811" s="6">
        <v>0.297702297702297</v>
      </c>
      <c r="C10811" s="6">
        <v>0.48389694978713199</v>
      </c>
    </row>
    <row r="10812" spans="1:3" s="8" customFormat="1" x14ac:dyDescent="0.2">
      <c r="A10812" s="6" t="str">
        <f>"BCAP29"</f>
        <v>BCAP29</v>
      </c>
      <c r="B10812" s="6">
        <v>0.297702297702297</v>
      </c>
      <c r="C10812" s="6">
        <v>0.48389694978713199</v>
      </c>
    </row>
    <row r="10813" spans="1:3" s="8" customFormat="1" x14ac:dyDescent="0.2">
      <c r="A10813" s="6" t="str">
        <f>"WDR20"</f>
        <v>WDR20</v>
      </c>
      <c r="B10813" s="6">
        <v>0.297702297702297</v>
      </c>
      <c r="C10813" s="6">
        <v>0.48389694978713199</v>
      </c>
    </row>
    <row r="10814" spans="1:3" s="8" customFormat="1" x14ac:dyDescent="0.2">
      <c r="A10814" s="6" t="str">
        <f>"AHSA2P"</f>
        <v>AHSA2P</v>
      </c>
      <c r="B10814" s="6">
        <v>0.297702297702297</v>
      </c>
      <c r="C10814" s="6">
        <v>0.48389694978713199</v>
      </c>
    </row>
    <row r="10815" spans="1:3" s="8" customFormat="1" x14ac:dyDescent="0.2">
      <c r="A10815" s="6" t="str">
        <f>"LARP4"</f>
        <v>LARP4</v>
      </c>
      <c r="B10815" s="6">
        <v>0.29729729729729698</v>
      </c>
      <c r="C10815" s="6">
        <v>0.48389694978713199</v>
      </c>
    </row>
    <row r="10816" spans="1:3" s="8" customFormat="1" x14ac:dyDescent="0.2">
      <c r="A10816" s="6" t="str">
        <f>"ORMDL3"</f>
        <v>ORMDL3</v>
      </c>
      <c r="B10816" s="6">
        <v>0.297702297702297</v>
      </c>
      <c r="C10816" s="6">
        <v>0.48389694978713199</v>
      </c>
    </row>
    <row r="10817" spans="1:3" s="8" customFormat="1" x14ac:dyDescent="0.2">
      <c r="A10817" s="6" t="str">
        <f>"STK24"</f>
        <v>STK24</v>
      </c>
      <c r="B10817" s="6">
        <v>0.297702297702297</v>
      </c>
      <c r="C10817" s="6">
        <v>0.48389694978713199</v>
      </c>
    </row>
    <row r="10818" spans="1:3" s="8" customFormat="1" x14ac:dyDescent="0.2">
      <c r="A10818" s="6" t="str">
        <f>"RPL36"</f>
        <v>RPL36</v>
      </c>
      <c r="B10818" s="6">
        <v>0.297702297702297</v>
      </c>
      <c r="C10818" s="6">
        <v>0.48389694978713199</v>
      </c>
    </row>
    <row r="10819" spans="1:3" s="8" customFormat="1" x14ac:dyDescent="0.2">
      <c r="A10819" s="6" t="str">
        <f>"SNTN"</f>
        <v>SNTN</v>
      </c>
      <c r="B10819" s="6">
        <v>0.297702297702297</v>
      </c>
      <c r="C10819" s="6">
        <v>0.48389694978713199</v>
      </c>
    </row>
    <row r="10820" spans="1:3" s="8" customFormat="1" x14ac:dyDescent="0.2">
      <c r="A10820" s="6" t="str">
        <f>"AC133041.1"</f>
        <v>AC133041.1</v>
      </c>
      <c r="B10820" s="6">
        <v>0.29829829829829801</v>
      </c>
      <c r="C10820" s="6">
        <v>0.48482089631918601</v>
      </c>
    </row>
    <row r="10821" spans="1:3" s="8" customFormat="1" x14ac:dyDescent="0.2">
      <c r="A10821" s="6" t="str">
        <f>"AL096828.3"</f>
        <v>AL096828.3</v>
      </c>
      <c r="B10821" s="6">
        <v>0.29870129870129802</v>
      </c>
      <c r="C10821" s="6">
        <v>0.48493801462133101</v>
      </c>
    </row>
    <row r="10822" spans="1:3" s="8" customFormat="1" x14ac:dyDescent="0.2">
      <c r="A10822" s="6" t="str">
        <f>"SPEG"</f>
        <v>SPEG</v>
      </c>
      <c r="B10822" s="6">
        <v>0.29870129870129802</v>
      </c>
      <c r="C10822" s="6">
        <v>0.48493801462133101</v>
      </c>
    </row>
    <row r="10823" spans="1:3" s="8" customFormat="1" x14ac:dyDescent="0.2">
      <c r="A10823" s="6" t="str">
        <f>"C11orf72"</f>
        <v>C11orf72</v>
      </c>
      <c r="B10823" s="6">
        <v>0.29870129870129802</v>
      </c>
      <c r="C10823" s="6">
        <v>0.48493801462133101</v>
      </c>
    </row>
    <row r="10824" spans="1:3" s="8" customFormat="1" x14ac:dyDescent="0.2">
      <c r="A10824" s="6" t="str">
        <f>"ZNF493"</f>
        <v>ZNF493</v>
      </c>
      <c r="B10824" s="6">
        <v>0.29870129870129802</v>
      </c>
      <c r="C10824" s="6">
        <v>0.48493801462133101</v>
      </c>
    </row>
    <row r="10825" spans="1:3" s="8" customFormat="1" x14ac:dyDescent="0.2">
      <c r="A10825" s="6" t="str">
        <f>"BOP1"</f>
        <v>BOP1</v>
      </c>
      <c r="B10825" s="6">
        <v>0.29870129870129802</v>
      </c>
      <c r="C10825" s="6">
        <v>0.48493801462133101</v>
      </c>
    </row>
    <row r="10826" spans="1:3" s="8" customFormat="1" x14ac:dyDescent="0.2">
      <c r="A10826" s="6" t="str">
        <f>"C17orf75"</f>
        <v>C17orf75</v>
      </c>
      <c r="B10826" s="6">
        <v>0.29870129870129802</v>
      </c>
      <c r="C10826" s="6">
        <v>0.48493801462133101</v>
      </c>
    </row>
    <row r="10827" spans="1:3" s="8" customFormat="1" x14ac:dyDescent="0.2">
      <c r="A10827" s="6" t="str">
        <f>"STAMBP"</f>
        <v>STAMBP</v>
      </c>
      <c r="B10827" s="6">
        <v>0.29870129870129802</v>
      </c>
      <c r="C10827" s="6">
        <v>0.48493801462133101</v>
      </c>
    </row>
    <row r="10828" spans="1:3" s="8" customFormat="1" x14ac:dyDescent="0.2">
      <c r="A10828" s="6" t="str">
        <f>"TRNP1"</f>
        <v>TRNP1</v>
      </c>
      <c r="B10828" s="6">
        <v>0.29870129870129802</v>
      </c>
      <c r="C10828" s="6">
        <v>0.48493801462133101</v>
      </c>
    </row>
    <row r="10829" spans="1:3" s="8" customFormat="1" x14ac:dyDescent="0.2">
      <c r="A10829" s="6" t="str">
        <f>"RRP1"</f>
        <v>RRP1</v>
      </c>
      <c r="B10829" s="6">
        <v>0.29870129870129802</v>
      </c>
      <c r="C10829" s="6">
        <v>0.48493801462133101</v>
      </c>
    </row>
    <row r="10830" spans="1:3" s="8" customFormat="1" x14ac:dyDescent="0.2">
      <c r="A10830" s="6" t="str">
        <f>"ATP5MPL"</f>
        <v>ATP5MPL</v>
      </c>
      <c r="B10830" s="6">
        <v>0.29870129870129802</v>
      </c>
      <c r="C10830" s="6">
        <v>0.48493801462133101</v>
      </c>
    </row>
    <row r="10831" spans="1:3" s="8" customFormat="1" x14ac:dyDescent="0.2">
      <c r="A10831" s="6" t="str">
        <f>"ROPN1L"</f>
        <v>ROPN1L</v>
      </c>
      <c r="B10831" s="6">
        <v>0.29870129870129802</v>
      </c>
      <c r="C10831" s="6">
        <v>0.48493801462133101</v>
      </c>
    </row>
    <row r="10832" spans="1:3" s="8" customFormat="1" x14ac:dyDescent="0.2">
      <c r="A10832" s="6" t="str">
        <f>"KTN1"</f>
        <v>KTN1</v>
      </c>
      <c r="B10832" s="6">
        <v>0.29870129870129802</v>
      </c>
      <c r="C10832" s="6">
        <v>0.48493801462133101</v>
      </c>
    </row>
    <row r="10833" spans="1:3" s="8" customFormat="1" x14ac:dyDescent="0.2">
      <c r="A10833" s="6" t="str">
        <f>"AC124303.1"</f>
        <v>AC124303.1</v>
      </c>
      <c r="B10833" s="6">
        <v>0.29879275653923498</v>
      </c>
      <c r="C10833" s="6">
        <v>0.48504171260948198</v>
      </c>
    </row>
    <row r="10834" spans="1:3" s="8" customFormat="1" x14ac:dyDescent="0.2">
      <c r="A10834" s="6" t="str">
        <f>"PLA2G4E-AS1"</f>
        <v>PLA2G4E-AS1</v>
      </c>
      <c r="B10834" s="6">
        <v>0.298879202988792</v>
      </c>
      <c r="C10834" s="6">
        <v>0.48513725702528498</v>
      </c>
    </row>
    <row r="10835" spans="1:3" s="8" customFormat="1" x14ac:dyDescent="0.2">
      <c r="A10835" s="6" t="str">
        <f>"AC016582.1"</f>
        <v>AC016582.1</v>
      </c>
      <c r="B10835" s="6">
        <v>0.29970029970029899</v>
      </c>
      <c r="C10835" s="6">
        <v>0.48570784054654997</v>
      </c>
    </row>
    <row r="10836" spans="1:3" s="8" customFormat="1" x14ac:dyDescent="0.2">
      <c r="A10836" s="6" t="str">
        <f>"AC006030.1"</f>
        <v>AC006030.1</v>
      </c>
      <c r="B10836" s="6">
        <v>0.29970029970029899</v>
      </c>
      <c r="C10836" s="6">
        <v>0.48570784054654997</v>
      </c>
    </row>
    <row r="10837" spans="1:3" s="8" customFormat="1" x14ac:dyDescent="0.2">
      <c r="A10837" s="6" t="str">
        <f>"DTX1"</f>
        <v>DTX1</v>
      </c>
      <c r="B10837" s="6">
        <v>0.29970029970029899</v>
      </c>
      <c r="C10837" s="6">
        <v>0.48570784054654997</v>
      </c>
    </row>
    <row r="10838" spans="1:3" s="8" customFormat="1" x14ac:dyDescent="0.2">
      <c r="A10838" s="6" t="str">
        <f>"BMX"</f>
        <v>BMX</v>
      </c>
      <c r="B10838" s="6">
        <v>0.29970029970029899</v>
      </c>
      <c r="C10838" s="6">
        <v>0.48570784054654997</v>
      </c>
    </row>
    <row r="10839" spans="1:3" s="8" customFormat="1" x14ac:dyDescent="0.2">
      <c r="A10839" s="6" t="str">
        <f>"AL358777.3"</f>
        <v>AL358777.3</v>
      </c>
      <c r="B10839" s="6">
        <v>0.29970029970029899</v>
      </c>
      <c r="C10839" s="6">
        <v>0.48570784054654997</v>
      </c>
    </row>
    <row r="10840" spans="1:3" s="8" customFormat="1" x14ac:dyDescent="0.2">
      <c r="A10840" s="6" t="str">
        <f>"TMEM9B-AS1"</f>
        <v>TMEM9B-AS1</v>
      </c>
      <c r="B10840" s="6">
        <v>0.29970029970029899</v>
      </c>
      <c r="C10840" s="6">
        <v>0.48570784054654997</v>
      </c>
    </row>
    <row r="10841" spans="1:3" s="8" customFormat="1" x14ac:dyDescent="0.2">
      <c r="A10841" s="6" t="str">
        <f>"TMEM106A"</f>
        <v>TMEM106A</v>
      </c>
      <c r="B10841" s="6">
        <v>0.29970029970029899</v>
      </c>
      <c r="C10841" s="6">
        <v>0.48570784054654997</v>
      </c>
    </row>
    <row r="10842" spans="1:3" s="8" customFormat="1" x14ac:dyDescent="0.2">
      <c r="A10842" s="6" t="str">
        <f>"DCLRE1B"</f>
        <v>DCLRE1B</v>
      </c>
      <c r="B10842" s="6">
        <v>0.29970029970029899</v>
      </c>
      <c r="C10842" s="6">
        <v>0.48570784054654997</v>
      </c>
    </row>
    <row r="10843" spans="1:3" s="8" customFormat="1" x14ac:dyDescent="0.2">
      <c r="A10843" s="6" t="str">
        <f>"TSPAN33"</f>
        <v>TSPAN33</v>
      </c>
      <c r="B10843" s="6">
        <v>0.29970029970029899</v>
      </c>
      <c r="C10843" s="6">
        <v>0.48570784054654997</v>
      </c>
    </row>
    <row r="10844" spans="1:3" s="8" customFormat="1" x14ac:dyDescent="0.2">
      <c r="A10844" s="6" t="str">
        <f>"BLNK"</f>
        <v>BLNK</v>
      </c>
      <c r="B10844" s="6">
        <v>0.29970029970029899</v>
      </c>
      <c r="C10844" s="6">
        <v>0.48570784054654997</v>
      </c>
    </row>
    <row r="10845" spans="1:3" s="8" customFormat="1" x14ac:dyDescent="0.2">
      <c r="A10845" s="6" t="str">
        <f>"WDFY2"</f>
        <v>WDFY2</v>
      </c>
      <c r="B10845" s="6">
        <v>0.29970029970029899</v>
      </c>
      <c r="C10845" s="6">
        <v>0.48570784054654997</v>
      </c>
    </row>
    <row r="10846" spans="1:3" s="8" customFormat="1" x14ac:dyDescent="0.2">
      <c r="A10846" s="6" t="str">
        <f>"ACP2"</f>
        <v>ACP2</v>
      </c>
      <c r="B10846" s="6">
        <v>0.29970029970029899</v>
      </c>
      <c r="C10846" s="6">
        <v>0.48570784054654997</v>
      </c>
    </row>
    <row r="10847" spans="1:3" s="8" customFormat="1" x14ac:dyDescent="0.2">
      <c r="A10847" s="6" t="str">
        <f>"H2AZ1"</f>
        <v>H2AZ1</v>
      </c>
      <c r="B10847" s="6">
        <v>0.29970029970029899</v>
      </c>
      <c r="C10847" s="6">
        <v>0.48570784054654997</v>
      </c>
    </row>
    <row r="10848" spans="1:3" s="8" customFormat="1" x14ac:dyDescent="0.2">
      <c r="A10848" s="6" t="str">
        <f>"HSPE1"</f>
        <v>HSPE1</v>
      </c>
      <c r="B10848" s="6">
        <v>0.29970029970029899</v>
      </c>
      <c r="C10848" s="6">
        <v>0.48570784054654997</v>
      </c>
    </row>
    <row r="10849" spans="1:3" s="8" customFormat="1" x14ac:dyDescent="0.2">
      <c r="A10849" s="6" t="str">
        <f>"AFTPH"</f>
        <v>AFTPH</v>
      </c>
      <c r="B10849" s="6">
        <v>0.29970029970029899</v>
      </c>
      <c r="C10849" s="6">
        <v>0.48570784054654997</v>
      </c>
    </row>
    <row r="10850" spans="1:3" s="8" customFormat="1" x14ac:dyDescent="0.2">
      <c r="A10850" s="6" t="str">
        <f>"RPL36A"</f>
        <v>RPL36A</v>
      </c>
      <c r="B10850" s="6">
        <v>0.29970029970029899</v>
      </c>
      <c r="C10850" s="6">
        <v>0.48570784054654997</v>
      </c>
    </row>
    <row r="10851" spans="1:3" s="8" customFormat="1" x14ac:dyDescent="0.2">
      <c r="A10851" s="6" t="str">
        <f>"NARS1"</f>
        <v>NARS1</v>
      </c>
      <c r="B10851" s="6">
        <v>0.29970029970029899</v>
      </c>
      <c r="C10851" s="6">
        <v>0.48570784054654997</v>
      </c>
    </row>
    <row r="10852" spans="1:3" s="8" customFormat="1" x14ac:dyDescent="0.2">
      <c r="A10852" s="6" t="str">
        <f>"AP003419.3"</f>
        <v>AP003419.3</v>
      </c>
      <c r="B10852" s="6">
        <v>0.3</v>
      </c>
      <c r="C10852" s="6">
        <v>0.48601437258153601</v>
      </c>
    </row>
    <row r="10853" spans="1:3" s="8" customFormat="1" x14ac:dyDescent="0.2">
      <c r="A10853" s="6" t="str">
        <f>"STPG1"</f>
        <v>STPG1</v>
      </c>
      <c r="B10853" s="6">
        <v>0.3</v>
      </c>
      <c r="C10853" s="6">
        <v>0.48601437258153601</v>
      </c>
    </row>
    <row r="10854" spans="1:3" s="8" customFormat="1" x14ac:dyDescent="0.2">
      <c r="A10854" s="6" t="str">
        <f>"DHX8"</f>
        <v>DHX8</v>
      </c>
      <c r="B10854" s="6">
        <v>0.3</v>
      </c>
      <c r="C10854" s="6">
        <v>0.48601437258153601</v>
      </c>
    </row>
    <row r="10855" spans="1:3" s="8" customFormat="1" x14ac:dyDescent="0.2">
      <c r="A10855" s="6" t="str">
        <f>"NRBP1"</f>
        <v>NRBP1</v>
      </c>
      <c r="B10855" s="6">
        <v>0.3</v>
      </c>
      <c r="C10855" s="6">
        <v>0.48601437258153601</v>
      </c>
    </row>
    <row r="10856" spans="1:3" s="8" customFormat="1" x14ac:dyDescent="0.2">
      <c r="A10856" s="6" t="str">
        <f>"AL627230.1"</f>
        <v>AL627230.1</v>
      </c>
      <c r="B10856" s="6">
        <v>0.30030030030030003</v>
      </c>
      <c r="C10856" s="6">
        <v>0.48645605531833003</v>
      </c>
    </row>
    <row r="10857" spans="1:3" s="8" customFormat="1" x14ac:dyDescent="0.2">
      <c r="A10857" s="6" t="str">
        <f>"AC073429.2"</f>
        <v>AC073429.2</v>
      </c>
      <c r="B10857" s="6">
        <v>0.30069930069930001</v>
      </c>
      <c r="C10857" s="6">
        <v>0.48665407303235098</v>
      </c>
    </row>
    <row r="10858" spans="1:3" s="8" customFormat="1" x14ac:dyDescent="0.2">
      <c r="A10858" s="6" t="str">
        <f>"GRM1"</f>
        <v>GRM1</v>
      </c>
      <c r="B10858" s="6">
        <v>0.30069930069930001</v>
      </c>
      <c r="C10858" s="6">
        <v>0.48665407303235098</v>
      </c>
    </row>
    <row r="10859" spans="1:3" s="8" customFormat="1" x14ac:dyDescent="0.2">
      <c r="A10859" s="6" t="str">
        <f>"AC104071.1"</f>
        <v>AC104071.1</v>
      </c>
      <c r="B10859" s="6">
        <v>0.30069930069930001</v>
      </c>
      <c r="C10859" s="6">
        <v>0.48665407303235098</v>
      </c>
    </row>
    <row r="10860" spans="1:3" s="8" customFormat="1" x14ac:dyDescent="0.2">
      <c r="A10860" s="6" t="str">
        <f>"PITX2"</f>
        <v>PITX2</v>
      </c>
      <c r="B10860" s="6">
        <v>0.30069930069930001</v>
      </c>
      <c r="C10860" s="6">
        <v>0.48665407303235098</v>
      </c>
    </row>
    <row r="10861" spans="1:3" s="8" customFormat="1" x14ac:dyDescent="0.2">
      <c r="A10861" s="6" t="str">
        <f>"AL162595.1"</f>
        <v>AL162595.1</v>
      </c>
      <c r="B10861" s="6">
        <v>0.30069930069930001</v>
      </c>
      <c r="C10861" s="6">
        <v>0.48665407303235098</v>
      </c>
    </row>
    <row r="10862" spans="1:3" s="8" customFormat="1" x14ac:dyDescent="0.2">
      <c r="A10862" s="6" t="str">
        <f>"AMY1A"</f>
        <v>AMY1A</v>
      </c>
      <c r="B10862" s="6">
        <v>0.30069930069930001</v>
      </c>
      <c r="C10862" s="6">
        <v>0.48665407303235098</v>
      </c>
    </row>
    <row r="10863" spans="1:3" s="8" customFormat="1" x14ac:dyDescent="0.2">
      <c r="A10863" s="6" t="str">
        <f>"ACOX2"</f>
        <v>ACOX2</v>
      </c>
      <c r="B10863" s="6">
        <v>0.30069930069930001</v>
      </c>
      <c r="C10863" s="6">
        <v>0.48665407303235098</v>
      </c>
    </row>
    <row r="10864" spans="1:3" s="8" customFormat="1" x14ac:dyDescent="0.2">
      <c r="A10864" s="6" t="str">
        <f>"CHIC2"</f>
        <v>CHIC2</v>
      </c>
      <c r="B10864" s="6">
        <v>0.30069930069930001</v>
      </c>
      <c r="C10864" s="6">
        <v>0.48665407303235098</v>
      </c>
    </row>
    <row r="10865" spans="1:3" s="8" customFormat="1" x14ac:dyDescent="0.2">
      <c r="A10865" s="6" t="str">
        <f>"SNRNP200"</f>
        <v>SNRNP200</v>
      </c>
      <c r="B10865" s="6">
        <v>0.30069930069930001</v>
      </c>
      <c r="C10865" s="6">
        <v>0.48665407303235098</v>
      </c>
    </row>
    <row r="10866" spans="1:3" s="8" customFormat="1" x14ac:dyDescent="0.2">
      <c r="A10866" s="6" t="str">
        <f>"RPS8"</f>
        <v>RPS8</v>
      </c>
      <c r="B10866" s="6">
        <v>0.30069930069930001</v>
      </c>
      <c r="C10866" s="6">
        <v>0.48665407303235098</v>
      </c>
    </row>
    <row r="10867" spans="1:3" s="8" customFormat="1" x14ac:dyDescent="0.2">
      <c r="A10867" s="6" t="str">
        <f>"HES5"</f>
        <v>HES5</v>
      </c>
      <c r="B10867" s="6">
        <v>0.30099999999999999</v>
      </c>
      <c r="C10867" s="6">
        <v>0.48705107205300402</v>
      </c>
    </row>
    <row r="10868" spans="1:3" s="8" customFormat="1" x14ac:dyDescent="0.2">
      <c r="A10868" s="6" t="str">
        <f>"NUDT11"</f>
        <v>NUDT11</v>
      </c>
      <c r="B10868" s="6">
        <v>0.30099999999999999</v>
      </c>
      <c r="C10868" s="6">
        <v>0.48705107205300402</v>
      </c>
    </row>
    <row r="10869" spans="1:3" s="8" customFormat="1" x14ac:dyDescent="0.2">
      <c r="A10869" s="6" t="str">
        <f>"AP001029.2"</f>
        <v>AP001029.2</v>
      </c>
      <c r="B10869" s="6">
        <v>0.30169830169830097</v>
      </c>
      <c r="C10869" s="6">
        <v>0.48746328558880198</v>
      </c>
    </row>
    <row r="10870" spans="1:3" s="8" customFormat="1" x14ac:dyDescent="0.2">
      <c r="A10870" s="6" t="str">
        <f>"RNU2-1"</f>
        <v>RNU2-1</v>
      </c>
      <c r="B10870" s="6">
        <v>0.30169830169830097</v>
      </c>
      <c r="C10870" s="6">
        <v>0.48746328558880198</v>
      </c>
    </row>
    <row r="10871" spans="1:3" s="8" customFormat="1" x14ac:dyDescent="0.2">
      <c r="A10871" s="6" t="str">
        <f>"KRT8P36"</f>
        <v>KRT8P36</v>
      </c>
      <c r="B10871" s="6">
        <v>0.30169830169830097</v>
      </c>
      <c r="C10871" s="6">
        <v>0.48746328558880198</v>
      </c>
    </row>
    <row r="10872" spans="1:3" s="8" customFormat="1" x14ac:dyDescent="0.2">
      <c r="A10872" s="6" t="str">
        <f>"DISP2"</f>
        <v>DISP2</v>
      </c>
      <c r="B10872" s="6">
        <v>0.30169830169830097</v>
      </c>
      <c r="C10872" s="6">
        <v>0.48746328558880198</v>
      </c>
    </row>
    <row r="10873" spans="1:3" s="8" customFormat="1" x14ac:dyDescent="0.2">
      <c r="A10873" s="6" t="str">
        <f>"ADAT2"</f>
        <v>ADAT2</v>
      </c>
      <c r="B10873" s="6">
        <v>0.30169830169830097</v>
      </c>
      <c r="C10873" s="6">
        <v>0.48746328558880198</v>
      </c>
    </row>
    <row r="10874" spans="1:3" s="8" customFormat="1" x14ac:dyDescent="0.2">
      <c r="A10874" s="6" t="str">
        <f>"RTKN"</f>
        <v>RTKN</v>
      </c>
      <c r="B10874" s="6">
        <v>0.30169830169830097</v>
      </c>
      <c r="C10874" s="6">
        <v>0.48746328558880198</v>
      </c>
    </row>
    <row r="10875" spans="1:3" s="8" customFormat="1" x14ac:dyDescent="0.2">
      <c r="A10875" s="6" t="str">
        <f>"CDK1"</f>
        <v>CDK1</v>
      </c>
      <c r="B10875" s="6">
        <v>0.30169830169830097</v>
      </c>
      <c r="C10875" s="6">
        <v>0.48746328558880198</v>
      </c>
    </row>
    <row r="10876" spans="1:3" s="8" customFormat="1" x14ac:dyDescent="0.2">
      <c r="A10876" s="6" t="str">
        <f>"ZDHHC6"</f>
        <v>ZDHHC6</v>
      </c>
      <c r="B10876" s="6">
        <v>0.30169830169830097</v>
      </c>
      <c r="C10876" s="6">
        <v>0.48746328558880198</v>
      </c>
    </row>
    <row r="10877" spans="1:3" s="8" customFormat="1" x14ac:dyDescent="0.2">
      <c r="A10877" s="6" t="str">
        <f>"BPGM"</f>
        <v>BPGM</v>
      </c>
      <c r="B10877" s="6">
        <v>0.30169830169830097</v>
      </c>
      <c r="C10877" s="6">
        <v>0.48746328558880198</v>
      </c>
    </row>
    <row r="10878" spans="1:3" s="8" customFormat="1" x14ac:dyDescent="0.2">
      <c r="A10878" s="6" t="str">
        <f>"TTC30A"</f>
        <v>TTC30A</v>
      </c>
      <c r="B10878" s="6">
        <v>0.30169830169830097</v>
      </c>
      <c r="C10878" s="6">
        <v>0.48746328558880198</v>
      </c>
    </row>
    <row r="10879" spans="1:3" s="8" customFormat="1" x14ac:dyDescent="0.2">
      <c r="A10879" s="6" t="str">
        <f>"RSL24D1"</f>
        <v>RSL24D1</v>
      </c>
      <c r="B10879" s="6">
        <v>0.30169830169830097</v>
      </c>
      <c r="C10879" s="6">
        <v>0.48746328558880198</v>
      </c>
    </row>
    <row r="10880" spans="1:3" s="8" customFormat="1" x14ac:dyDescent="0.2">
      <c r="A10880" s="6" t="str">
        <f>"TTC37"</f>
        <v>TTC37</v>
      </c>
      <c r="B10880" s="6">
        <v>0.30169830169830097</v>
      </c>
      <c r="C10880" s="6">
        <v>0.48746328558880198</v>
      </c>
    </row>
    <row r="10881" spans="1:3" s="8" customFormat="1" x14ac:dyDescent="0.2">
      <c r="A10881" s="6" t="str">
        <f>"MTCH2"</f>
        <v>MTCH2</v>
      </c>
      <c r="B10881" s="6">
        <v>0.30169830169830097</v>
      </c>
      <c r="C10881" s="6">
        <v>0.48746328558880198</v>
      </c>
    </row>
    <row r="10882" spans="1:3" s="8" customFormat="1" x14ac:dyDescent="0.2">
      <c r="A10882" s="6" t="str">
        <f>"SMU1"</f>
        <v>SMU1</v>
      </c>
      <c r="B10882" s="6">
        <v>0.30169830169830097</v>
      </c>
      <c r="C10882" s="6">
        <v>0.48746328558880198</v>
      </c>
    </row>
    <row r="10883" spans="1:3" s="8" customFormat="1" x14ac:dyDescent="0.2">
      <c r="A10883" s="6" t="str">
        <f>"CFAP65"</f>
        <v>CFAP65</v>
      </c>
      <c r="B10883" s="6">
        <v>0.30169830169830097</v>
      </c>
      <c r="C10883" s="6">
        <v>0.48746328558880198</v>
      </c>
    </row>
    <row r="10884" spans="1:3" s="8" customFormat="1" x14ac:dyDescent="0.2">
      <c r="A10884" s="6" t="str">
        <f>"CLSTN1"</f>
        <v>CLSTN1</v>
      </c>
      <c r="B10884" s="6">
        <v>0.30169830169830097</v>
      </c>
      <c r="C10884" s="6">
        <v>0.48746328558880198</v>
      </c>
    </row>
    <row r="10885" spans="1:3" s="8" customFormat="1" x14ac:dyDescent="0.2">
      <c r="A10885" s="6" t="str">
        <f>"AL132640.2"</f>
        <v>AL132640.2</v>
      </c>
      <c r="B10885" s="6">
        <v>0.30199999999999999</v>
      </c>
      <c r="C10885" s="6">
        <v>0.48790591694230001</v>
      </c>
    </row>
    <row r="10886" spans="1:3" s="8" customFormat="1" x14ac:dyDescent="0.2">
      <c r="A10886" s="6" t="str">
        <f>"AC079804.1"</f>
        <v>AC079804.1</v>
      </c>
      <c r="B10886" s="6">
        <v>0.302697302697302</v>
      </c>
      <c r="C10886" s="6">
        <v>0.488404236614917</v>
      </c>
    </row>
    <row r="10887" spans="1:3" s="8" customFormat="1" x14ac:dyDescent="0.2">
      <c r="A10887" s="6" t="str">
        <f>"LINC01359"</f>
        <v>LINC01359</v>
      </c>
      <c r="B10887" s="6">
        <v>0.302697302697302</v>
      </c>
      <c r="C10887" s="6">
        <v>0.488404236614917</v>
      </c>
    </row>
    <row r="10888" spans="1:3" s="8" customFormat="1" x14ac:dyDescent="0.2">
      <c r="A10888" s="6" t="str">
        <f>"LINC01587"</f>
        <v>LINC01587</v>
      </c>
      <c r="B10888" s="6">
        <v>0.302697302697302</v>
      </c>
      <c r="C10888" s="6">
        <v>0.488404236614917</v>
      </c>
    </row>
    <row r="10889" spans="1:3" s="8" customFormat="1" x14ac:dyDescent="0.2">
      <c r="A10889" s="6" t="str">
        <f>"AGT"</f>
        <v>AGT</v>
      </c>
      <c r="B10889" s="6">
        <v>0.302697302697302</v>
      </c>
      <c r="C10889" s="6">
        <v>0.488404236614917</v>
      </c>
    </row>
    <row r="10890" spans="1:3" s="8" customFormat="1" x14ac:dyDescent="0.2">
      <c r="A10890" s="6" t="str">
        <f>"AL008721.2"</f>
        <v>AL008721.2</v>
      </c>
      <c r="B10890" s="6">
        <v>0.302697302697302</v>
      </c>
      <c r="C10890" s="6">
        <v>0.488404236614917</v>
      </c>
    </row>
    <row r="10891" spans="1:3" s="8" customFormat="1" x14ac:dyDescent="0.2">
      <c r="A10891" s="6" t="str">
        <f>"LYPD5"</f>
        <v>LYPD5</v>
      </c>
      <c r="B10891" s="6">
        <v>0.302697302697302</v>
      </c>
      <c r="C10891" s="6">
        <v>0.488404236614917</v>
      </c>
    </row>
    <row r="10892" spans="1:3" s="8" customFormat="1" x14ac:dyDescent="0.2">
      <c r="A10892" s="6" t="str">
        <f>"PIGZ"</f>
        <v>PIGZ</v>
      </c>
      <c r="B10892" s="6">
        <v>0.302697302697302</v>
      </c>
      <c r="C10892" s="6">
        <v>0.488404236614917</v>
      </c>
    </row>
    <row r="10893" spans="1:3" s="8" customFormat="1" x14ac:dyDescent="0.2">
      <c r="A10893" s="6" t="str">
        <f>"CEP76"</f>
        <v>CEP76</v>
      </c>
      <c r="B10893" s="6">
        <v>0.302697302697302</v>
      </c>
      <c r="C10893" s="6">
        <v>0.488404236614917</v>
      </c>
    </row>
    <row r="10894" spans="1:3" s="8" customFormat="1" x14ac:dyDescent="0.2">
      <c r="A10894" s="6" t="str">
        <f>"CYB5RL"</f>
        <v>CYB5RL</v>
      </c>
      <c r="B10894" s="6">
        <v>0.302697302697302</v>
      </c>
      <c r="C10894" s="6">
        <v>0.488404236614917</v>
      </c>
    </row>
    <row r="10895" spans="1:3" s="8" customFormat="1" x14ac:dyDescent="0.2">
      <c r="A10895" s="6" t="str">
        <f>"PRPF4"</f>
        <v>PRPF4</v>
      </c>
      <c r="B10895" s="6">
        <v>0.302697302697302</v>
      </c>
      <c r="C10895" s="6">
        <v>0.488404236614917</v>
      </c>
    </row>
    <row r="10896" spans="1:3" s="8" customFormat="1" x14ac:dyDescent="0.2">
      <c r="A10896" s="6" t="str">
        <f>"PANX2"</f>
        <v>PANX2</v>
      </c>
      <c r="B10896" s="6">
        <v>0.302697302697302</v>
      </c>
      <c r="C10896" s="6">
        <v>0.488404236614917</v>
      </c>
    </row>
    <row r="10897" spans="1:3" s="8" customFormat="1" x14ac:dyDescent="0.2">
      <c r="A10897" s="6" t="str">
        <f>"MAP2K1"</f>
        <v>MAP2K1</v>
      </c>
      <c r="B10897" s="6">
        <v>0.302697302697302</v>
      </c>
      <c r="C10897" s="6">
        <v>0.488404236614917</v>
      </c>
    </row>
    <row r="10898" spans="1:3" s="8" customFormat="1" x14ac:dyDescent="0.2">
      <c r="A10898" s="6" t="str">
        <f>"PSIP1"</f>
        <v>PSIP1</v>
      </c>
      <c r="B10898" s="6">
        <v>0.302697302697302</v>
      </c>
      <c r="C10898" s="6">
        <v>0.488404236614917</v>
      </c>
    </row>
    <row r="10899" spans="1:3" s="8" customFormat="1" x14ac:dyDescent="0.2">
      <c r="A10899" s="6" t="str">
        <f>"ABCD3"</f>
        <v>ABCD3</v>
      </c>
      <c r="B10899" s="6">
        <v>0.302697302697302</v>
      </c>
      <c r="C10899" s="6">
        <v>0.488404236614917</v>
      </c>
    </row>
    <row r="10900" spans="1:3" s="8" customFormat="1" x14ac:dyDescent="0.2">
      <c r="A10900" s="6" t="str">
        <f>"AC080080.1"</f>
        <v>AC080080.1</v>
      </c>
      <c r="B10900" s="6">
        <v>0.30290872617853498</v>
      </c>
      <c r="C10900" s="6">
        <v>0.48870052675689202</v>
      </c>
    </row>
    <row r="10901" spans="1:3" s="8" customFormat="1" x14ac:dyDescent="0.2">
      <c r="A10901" s="6" t="str">
        <f>"OR51B5"</f>
        <v>OR51B5</v>
      </c>
      <c r="B10901" s="6">
        <v>0.30299999999999999</v>
      </c>
      <c r="C10901" s="6">
        <v>0.48875809558756</v>
      </c>
    </row>
    <row r="10902" spans="1:3" s="8" customFormat="1" x14ac:dyDescent="0.2">
      <c r="A10902" s="6" t="str">
        <f>"LINC01619"</f>
        <v>LINC01619</v>
      </c>
      <c r="B10902" s="6">
        <v>0.30299999999999999</v>
      </c>
      <c r="C10902" s="6">
        <v>0.48875809558756</v>
      </c>
    </row>
    <row r="10903" spans="1:3" s="8" customFormat="1" x14ac:dyDescent="0.2">
      <c r="A10903" s="6" t="str">
        <f>"CENPUP2"</f>
        <v>CENPUP2</v>
      </c>
      <c r="B10903" s="6">
        <v>0.30369630369630302</v>
      </c>
      <c r="C10903" s="6">
        <v>0.48947715895470201</v>
      </c>
    </row>
    <row r="10904" spans="1:3" s="8" customFormat="1" x14ac:dyDescent="0.2">
      <c r="A10904" s="6" t="str">
        <f>"DLEU2L"</f>
        <v>DLEU2L</v>
      </c>
      <c r="B10904" s="6">
        <v>0.30369630369630302</v>
      </c>
      <c r="C10904" s="6">
        <v>0.48947715895470201</v>
      </c>
    </row>
    <row r="10905" spans="1:3" s="8" customFormat="1" x14ac:dyDescent="0.2">
      <c r="A10905" s="6" t="str">
        <f>"TMC3"</f>
        <v>TMC3</v>
      </c>
      <c r="B10905" s="6">
        <v>0.30369630369630302</v>
      </c>
      <c r="C10905" s="6">
        <v>0.48947715895470201</v>
      </c>
    </row>
    <row r="10906" spans="1:3" s="8" customFormat="1" x14ac:dyDescent="0.2">
      <c r="A10906" s="6" t="str">
        <f>"MBD5"</f>
        <v>MBD5</v>
      </c>
      <c r="B10906" s="6">
        <v>0.30369630369630302</v>
      </c>
      <c r="C10906" s="6">
        <v>0.48947715895470201</v>
      </c>
    </row>
    <row r="10907" spans="1:3" s="8" customFormat="1" x14ac:dyDescent="0.2">
      <c r="A10907" s="6" t="str">
        <f>"ACO1"</f>
        <v>ACO1</v>
      </c>
      <c r="B10907" s="6">
        <v>0.30369630369630302</v>
      </c>
      <c r="C10907" s="6">
        <v>0.48947715895470201</v>
      </c>
    </row>
    <row r="10908" spans="1:3" s="8" customFormat="1" x14ac:dyDescent="0.2">
      <c r="A10908" s="6" t="str">
        <f>"USP38"</f>
        <v>USP38</v>
      </c>
      <c r="B10908" s="6">
        <v>0.30369630369630302</v>
      </c>
      <c r="C10908" s="6">
        <v>0.48947715895470201</v>
      </c>
    </row>
    <row r="10909" spans="1:3" s="8" customFormat="1" x14ac:dyDescent="0.2">
      <c r="A10909" s="6" t="str">
        <f>"MAN1C1"</f>
        <v>MAN1C1</v>
      </c>
      <c r="B10909" s="6">
        <v>0.30369630369630302</v>
      </c>
      <c r="C10909" s="6">
        <v>0.48947715895470201</v>
      </c>
    </row>
    <row r="10910" spans="1:3" s="8" customFormat="1" x14ac:dyDescent="0.2">
      <c r="A10910" s="6" t="str">
        <f>"TRIM37"</f>
        <v>TRIM37</v>
      </c>
      <c r="B10910" s="6">
        <v>0.30369630369630302</v>
      </c>
      <c r="C10910" s="6">
        <v>0.48947715895470201</v>
      </c>
    </row>
    <row r="10911" spans="1:3" s="8" customFormat="1" x14ac:dyDescent="0.2">
      <c r="A10911" s="6" t="str">
        <f>"XBP1"</f>
        <v>XBP1</v>
      </c>
      <c r="B10911" s="6">
        <v>0.30369630369630302</v>
      </c>
      <c r="C10911" s="6">
        <v>0.48947715895470201</v>
      </c>
    </row>
    <row r="10912" spans="1:3" s="8" customFormat="1" x14ac:dyDescent="0.2">
      <c r="A10912" s="6" t="str">
        <f>"AC069222.1"</f>
        <v>AC069222.1</v>
      </c>
      <c r="B10912" s="6">
        <v>0.30373360242179598</v>
      </c>
      <c r="C10912" s="6">
        <v>0.48949240811885802</v>
      </c>
    </row>
    <row r="10913" spans="1:3" s="8" customFormat="1" x14ac:dyDescent="0.2">
      <c r="A10913" s="6" t="str">
        <f>"AL512378.1"</f>
        <v>AL512378.1</v>
      </c>
      <c r="B10913" s="6">
        <v>0.30469530469530398</v>
      </c>
      <c r="C10913" s="6">
        <v>0.49032325778001601</v>
      </c>
    </row>
    <row r="10914" spans="1:3" s="8" customFormat="1" x14ac:dyDescent="0.2">
      <c r="A10914" s="6" t="str">
        <f>"EPHA5"</f>
        <v>EPHA5</v>
      </c>
      <c r="B10914" s="6">
        <v>0.30469530469530398</v>
      </c>
      <c r="C10914" s="6">
        <v>0.49032325778001601</v>
      </c>
    </row>
    <row r="10915" spans="1:3" s="8" customFormat="1" x14ac:dyDescent="0.2">
      <c r="A10915" s="6" t="str">
        <f>"USP6"</f>
        <v>USP6</v>
      </c>
      <c r="B10915" s="6">
        <v>0.30469530469530398</v>
      </c>
      <c r="C10915" s="6">
        <v>0.49032325778001601</v>
      </c>
    </row>
    <row r="10916" spans="1:3" s="8" customFormat="1" x14ac:dyDescent="0.2">
      <c r="A10916" s="6" t="str">
        <f>"AGAP12P"</f>
        <v>AGAP12P</v>
      </c>
      <c r="B10916" s="6">
        <v>0.30469530469530398</v>
      </c>
      <c r="C10916" s="6">
        <v>0.49032325778001601</v>
      </c>
    </row>
    <row r="10917" spans="1:3" s="8" customFormat="1" x14ac:dyDescent="0.2">
      <c r="A10917" s="6" t="str">
        <f>"COL6A2"</f>
        <v>COL6A2</v>
      </c>
      <c r="B10917" s="6">
        <v>0.30469530469530398</v>
      </c>
      <c r="C10917" s="6">
        <v>0.49032325778001601</v>
      </c>
    </row>
    <row r="10918" spans="1:3" s="8" customFormat="1" x14ac:dyDescent="0.2">
      <c r="A10918" s="6" t="str">
        <f>"PYGO1"</f>
        <v>PYGO1</v>
      </c>
      <c r="B10918" s="6">
        <v>0.30469530469530398</v>
      </c>
      <c r="C10918" s="6">
        <v>0.49032325778001601</v>
      </c>
    </row>
    <row r="10919" spans="1:3" s="8" customFormat="1" x14ac:dyDescent="0.2">
      <c r="A10919" s="6" t="str">
        <f>"LINC00491"</f>
        <v>LINC00491</v>
      </c>
      <c r="B10919" s="6">
        <v>0.30469530469530398</v>
      </c>
      <c r="C10919" s="6">
        <v>0.49032325778001601</v>
      </c>
    </row>
    <row r="10920" spans="1:3" s="8" customFormat="1" x14ac:dyDescent="0.2">
      <c r="A10920" s="6" t="str">
        <f>"NLGN2"</f>
        <v>NLGN2</v>
      </c>
      <c r="B10920" s="6">
        <v>0.30469530469530398</v>
      </c>
      <c r="C10920" s="6">
        <v>0.49032325778001601</v>
      </c>
    </row>
    <row r="10921" spans="1:3" s="8" customFormat="1" x14ac:dyDescent="0.2">
      <c r="A10921" s="6" t="str">
        <f>"MAP7D3"</f>
        <v>MAP7D3</v>
      </c>
      <c r="B10921" s="6">
        <v>0.30469530469530398</v>
      </c>
      <c r="C10921" s="6">
        <v>0.49032325778001601</v>
      </c>
    </row>
    <row r="10922" spans="1:3" s="8" customFormat="1" x14ac:dyDescent="0.2">
      <c r="A10922" s="6" t="str">
        <f>"TMEM60"</f>
        <v>TMEM60</v>
      </c>
      <c r="B10922" s="6">
        <v>0.30469530469530398</v>
      </c>
      <c r="C10922" s="6">
        <v>0.49032325778001601</v>
      </c>
    </row>
    <row r="10923" spans="1:3" s="8" customFormat="1" x14ac:dyDescent="0.2">
      <c r="A10923" s="6" t="str">
        <f>"SMG8"</f>
        <v>SMG8</v>
      </c>
      <c r="B10923" s="6">
        <v>0.30469530469530398</v>
      </c>
      <c r="C10923" s="6">
        <v>0.49032325778001601</v>
      </c>
    </row>
    <row r="10924" spans="1:3" s="8" customFormat="1" x14ac:dyDescent="0.2">
      <c r="A10924" s="6" t="str">
        <f>"ACOT9"</f>
        <v>ACOT9</v>
      </c>
      <c r="B10924" s="6">
        <v>0.30469530469530398</v>
      </c>
      <c r="C10924" s="6">
        <v>0.49032325778001601</v>
      </c>
    </row>
    <row r="10925" spans="1:3" s="8" customFormat="1" x14ac:dyDescent="0.2">
      <c r="A10925" s="6" t="str">
        <f>"TWF2"</f>
        <v>TWF2</v>
      </c>
      <c r="B10925" s="6">
        <v>0.30469530469530398</v>
      </c>
      <c r="C10925" s="6">
        <v>0.49032325778001601</v>
      </c>
    </row>
    <row r="10926" spans="1:3" s="8" customFormat="1" x14ac:dyDescent="0.2">
      <c r="A10926" s="6" t="str">
        <f>"NSD2"</f>
        <v>NSD2</v>
      </c>
      <c r="B10926" s="6">
        <v>0.30469530469530398</v>
      </c>
      <c r="C10926" s="6">
        <v>0.49032325778001601</v>
      </c>
    </row>
    <row r="10927" spans="1:3" s="8" customFormat="1" x14ac:dyDescent="0.2">
      <c r="A10927" s="6" t="str">
        <f>"NHP2"</f>
        <v>NHP2</v>
      </c>
      <c r="B10927" s="6">
        <v>0.30469530469530398</v>
      </c>
      <c r="C10927" s="6">
        <v>0.49032325778001601</v>
      </c>
    </row>
    <row r="10928" spans="1:3" s="8" customFormat="1" x14ac:dyDescent="0.2">
      <c r="A10928" s="6" t="str">
        <f>"SDHD"</f>
        <v>SDHD</v>
      </c>
      <c r="B10928" s="6">
        <v>0.30469530469530398</v>
      </c>
      <c r="C10928" s="6">
        <v>0.49032325778001601</v>
      </c>
    </row>
    <row r="10929" spans="1:3" s="8" customFormat="1" x14ac:dyDescent="0.2">
      <c r="A10929" s="6" t="str">
        <f>"AKIRIN1"</f>
        <v>AKIRIN1</v>
      </c>
      <c r="B10929" s="6">
        <v>0.30499999999999999</v>
      </c>
      <c r="C10929" s="6">
        <v>0.49072376246683103</v>
      </c>
    </row>
    <row r="10930" spans="1:3" s="8" customFormat="1" x14ac:dyDescent="0.2">
      <c r="A10930" s="6" t="str">
        <f>"TPPP3"</f>
        <v>TPPP3</v>
      </c>
      <c r="B10930" s="6">
        <v>0.30499999999999999</v>
      </c>
      <c r="C10930" s="6">
        <v>0.49072376246683103</v>
      </c>
    </row>
    <row r="10931" spans="1:3" s="8" customFormat="1" x14ac:dyDescent="0.2">
      <c r="A10931" s="6" t="str">
        <f>"FGF5"</f>
        <v>FGF5</v>
      </c>
      <c r="B10931" s="6">
        <v>0.305694305694305</v>
      </c>
      <c r="C10931" s="6">
        <v>0.491032124904418</v>
      </c>
    </row>
    <row r="10932" spans="1:3" s="8" customFormat="1" x14ac:dyDescent="0.2">
      <c r="A10932" s="6" t="str">
        <f>"HTR1D"</f>
        <v>HTR1D</v>
      </c>
      <c r="B10932" s="6">
        <v>0.305694305694305</v>
      </c>
      <c r="C10932" s="6">
        <v>0.491032124904418</v>
      </c>
    </row>
    <row r="10933" spans="1:3" s="8" customFormat="1" x14ac:dyDescent="0.2">
      <c r="A10933" s="6" t="str">
        <f>"AC138811.2"</f>
        <v>AC138811.2</v>
      </c>
      <c r="B10933" s="6">
        <v>0.305694305694305</v>
      </c>
      <c r="C10933" s="6">
        <v>0.491032124904418</v>
      </c>
    </row>
    <row r="10934" spans="1:3" s="8" customFormat="1" x14ac:dyDescent="0.2">
      <c r="A10934" s="6" t="str">
        <f>"AL390957.1"</f>
        <v>AL390957.1</v>
      </c>
      <c r="B10934" s="6">
        <v>0.305694305694305</v>
      </c>
      <c r="C10934" s="6">
        <v>0.491032124904418</v>
      </c>
    </row>
    <row r="10935" spans="1:3" s="8" customFormat="1" x14ac:dyDescent="0.2">
      <c r="A10935" s="6" t="str">
        <f>"AC021321.1"</f>
        <v>AC021321.1</v>
      </c>
      <c r="B10935" s="6">
        <v>0.30561122244488897</v>
      </c>
      <c r="C10935" s="6">
        <v>0.491032124904418</v>
      </c>
    </row>
    <row r="10936" spans="1:3" s="8" customFormat="1" x14ac:dyDescent="0.2">
      <c r="A10936" s="6" t="str">
        <f>"VPS37D"</f>
        <v>VPS37D</v>
      </c>
      <c r="B10936" s="6">
        <v>0.305694305694305</v>
      </c>
      <c r="C10936" s="6">
        <v>0.491032124904418</v>
      </c>
    </row>
    <row r="10937" spans="1:3" s="8" customFormat="1" x14ac:dyDescent="0.2">
      <c r="A10937" s="6" t="str">
        <f>"PEG10"</f>
        <v>PEG10</v>
      </c>
      <c r="B10937" s="6">
        <v>0.305694305694305</v>
      </c>
      <c r="C10937" s="6">
        <v>0.491032124904418</v>
      </c>
    </row>
    <row r="10938" spans="1:3" s="8" customFormat="1" x14ac:dyDescent="0.2">
      <c r="A10938" s="6" t="str">
        <f>"TIPARP-AS1"</f>
        <v>TIPARP-AS1</v>
      </c>
      <c r="B10938" s="6">
        <v>0.305694305694305</v>
      </c>
      <c r="C10938" s="6">
        <v>0.491032124904418</v>
      </c>
    </row>
    <row r="10939" spans="1:3" s="8" customFormat="1" x14ac:dyDescent="0.2">
      <c r="A10939" s="6" t="str">
        <f>"AGAP7P"</f>
        <v>AGAP7P</v>
      </c>
      <c r="B10939" s="6">
        <v>0.305694305694305</v>
      </c>
      <c r="C10939" s="6">
        <v>0.491032124904418</v>
      </c>
    </row>
    <row r="10940" spans="1:3" s="8" customFormat="1" x14ac:dyDescent="0.2">
      <c r="A10940" s="6" t="str">
        <f>"KCNN3"</f>
        <v>KCNN3</v>
      </c>
      <c r="B10940" s="6">
        <v>0.305694305694305</v>
      </c>
      <c r="C10940" s="6">
        <v>0.491032124904418</v>
      </c>
    </row>
    <row r="10941" spans="1:3" s="8" customFormat="1" x14ac:dyDescent="0.2">
      <c r="A10941" s="6" t="str">
        <f>"USE1"</f>
        <v>USE1</v>
      </c>
      <c r="B10941" s="6">
        <v>0.305694305694305</v>
      </c>
      <c r="C10941" s="6">
        <v>0.491032124904418</v>
      </c>
    </row>
    <row r="10942" spans="1:3" s="8" customFormat="1" x14ac:dyDescent="0.2">
      <c r="A10942" s="6" t="str">
        <f>"PLA2G4A"</f>
        <v>PLA2G4A</v>
      </c>
      <c r="B10942" s="6">
        <v>0.305694305694305</v>
      </c>
      <c r="C10942" s="6">
        <v>0.491032124904418</v>
      </c>
    </row>
    <row r="10943" spans="1:3" s="8" customFormat="1" x14ac:dyDescent="0.2">
      <c r="A10943" s="6" t="str">
        <f>"GTPBP6"</f>
        <v>GTPBP6</v>
      </c>
      <c r="B10943" s="6">
        <v>0.305694305694305</v>
      </c>
      <c r="C10943" s="6">
        <v>0.491032124904418</v>
      </c>
    </row>
    <row r="10944" spans="1:3" s="8" customFormat="1" x14ac:dyDescent="0.2">
      <c r="A10944" s="6" t="str">
        <f>"EGLN3"</f>
        <v>EGLN3</v>
      </c>
      <c r="B10944" s="6">
        <v>0.305694305694305</v>
      </c>
      <c r="C10944" s="6">
        <v>0.491032124904418</v>
      </c>
    </row>
    <row r="10945" spans="1:3" s="8" customFormat="1" x14ac:dyDescent="0.2">
      <c r="A10945" s="6" t="str">
        <f>"MAST2"</f>
        <v>MAST2</v>
      </c>
      <c r="B10945" s="6">
        <v>0.305694305694305</v>
      </c>
      <c r="C10945" s="6">
        <v>0.491032124904418</v>
      </c>
    </row>
    <row r="10946" spans="1:3" s="8" customFormat="1" x14ac:dyDescent="0.2">
      <c r="A10946" s="6" t="str">
        <f>"SSR3"</f>
        <v>SSR3</v>
      </c>
      <c r="B10946" s="6">
        <v>0.305694305694305</v>
      </c>
      <c r="C10946" s="6">
        <v>0.491032124904418</v>
      </c>
    </row>
    <row r="10947" spans="1:3" s="8" customFormat="1" x14ac:dyDescent="0.2">
      <c r="A10947" s="6" t="str">
        <f>"GPR108"</f>
        <v>GPR108</v>
      </c>
      <c r="B10947" s="6">
        <v>0.305694305694305</v>
      </c>
      <c r="C10947" s="6">
        <v>0.491032124904418</v>
      </c>
    </row>
    <row r="10948" spans="1:3" s="8" customFormat="1" x14ac:dyDescent="0.2">
      <c r="A10948" s="6" t="str">
        <f>"SLC44A4"</f>
        <v>SLC44A4</v>
      </c>
      <c r="B10948" s="6">
        <v>0.305694305694305</v>
      </c>
      <c r="C10948" s="6">
        <v>0.491032124904418</v>
      </c>
    </row>
    <row r="10949" spans="1:3" s="8" customFormat="1" x14ac:dyDescent="0.2">
      <c r="A10949" s="6" t="str">
        <f>"CYTH1"</f>
        <v>CYTH1</v>
      </c>
      <c r="B10949" s="6">
        <v>0.30599999999999999</v>
      </c>
      <c r="C10949" s="6">
        <v>0.49147826086956498</v>
      </c>
    </row>
    <row r="10950" spans="1:3" s="8" customFormat="1" x14ac:dyDescent="0.2">
      <c r="A10950" s="6" t="str">
        <f>"LINC00824"</f>
        <v>LINC00824</v>
      </c>
      <c r="B10950" s="6">
        <v>0.306224899598393</v>
      </c>
      <c r="C10950" s="6">
        <v>0.491794559734966</v>
      </c>
    </row>
    <row r="10951" spans="1:3" s="8" customFormat="1" x14ac:dyDescent="0.2">
      <c r="A10951" s="6" t="str">
        <f>"LRRN2"</f>
        <v>LRRN2</v>
      </c>
      <c r="B10951" s="6">
        <v>0.30669330669330602</v>
      </c>
      <c r="C10951" s="6">
        <v>0.49205247307437</v>
      </c>
    </row>
    <row r="10952" spans="1:3" s="8" customFormat="1" x14ac:dyDescent="0.2">
      <c r="A10952" s="6" t="str">
        <f>"EPGN"</f>
        <v>EPGN</v>
      </c>
      <c r="B10952" s="6">
        <v>0.30669330669330602</v>
      </c>
      <c r="C10952" s="6">
        <v>0.49205247307437</v>
      </c>
    </row>
    <row r="10953" spans="1:3" s="8" customFormat="1" x14ac:dyDescent="0.2">
      <c r="A10953" s="6" t="str">
        <f>"FGFBP2"</f>
        <v>FGFBP2</v>
      </c>
      <c r="B10953" s="6">
        <v>0.30669330669330602</v>
      </c>
      <c r="C10953" s="6">
        <v>0.49205247307437</v>
      </c>
    </row>
    <row r="10954" spans="1:3" s="8" customFormat="1" x14ac:dyDescent="0.2">
      <c r="A10954" s="6" t="str">
        <f>"ESR1"</f>
        <v>ESR1</v>
      </c>
      <c r="B10954" s="6">
        <v>0.30669330669330602</v>
      </c>
      <c r="C10954" s="6">
        <v>0.49205247307437</v>
      </c>
    </row>
    <row r="10955" spans="1:3" s="8" customFormat="1" x14ac:dyDescent="0.2">
      <c r="A10955" s="6" t="str">
        <f>"ANGPTL4"</f>
        <v>ANGPTL4</v>
      </c>
      <c r="B10955" s="6">
        <v>0.30669330669330602</v>
      </c>
      <c r="C10955" s="6">
        <v>0.49205247307437</v>
      </c>
    </row>
    <row r="10956" spans="1:3" s="8" customFormat="1" x14ac:dyDescent="0.2">
      <c r="A10956" s="6" t="str">
        <f>"ERVK13-1"</f>
        <v>ERVK13-1</v>
      </c>
      <c r="B10956" s="6">
        <v>0.30669330669330602</v>
      </c>
      <c r="C10956" s="6">
        <v>0.49205247307437</v>
      </c>
    </row>
    <row r="10957" spans="1:3" s="8" customFormat="1" x14ac:dyDescent="0.2">
      <c r="A10957" s="6" t="str">
        <f>"POLR3A"</f>
        <v>POLR3A</v>
      </c>
      <c r="B10957" s="6">
        <v>0.30669330669330602</v>
      </c>
      <c r="C10957" s="6">
        <v>0.49205247307437</v>
      </c>
    </row>
    <row r="10958" spans="1:3" s="8" customFormat="1" x14ac:dyDescent="0.2">
      <c r="A10958" s="6" t="str">
        <f>"JAG2"</f>
        <v>JAG2</v>
      </c>
      <c r="B10958" s="6">
        <v>0.30669330669330602</v>
      </c>
      <c r="C10958" s="6">
        <v>0.49205247307437</v>
      </c>
    </row>
    <row r="10959" spans="1:3" s="8" customFormat="1" x14ac:dyDescent="0.2">
      <c r="A10959" s="6" t="str">
        <f>"NAV2"</f>
        <v>NAV2</v>
      </c>
      <c r="B10959" s="6">
        <v>0.30669330669330602</v>
      </c>
      <c r="C10959" s="6">
        <v>0.49205247307437</v>
      </c>
    </row>
    <row r="10960" spans="1:3" s="8" customFormat="1" x14ac:dyDescent="0.2">
      <c r="A10960" s="6" t="str">
        <f>"PINK1"</f>
        <v>PINK1</v>
      </c>
      <c r="B10960" s="6">
        <v>0.30669330669330602</v>
      </c>
      <c r="C10960" s="6">
        <v>0.49205247307437</v>
      </c>
    </row>
    <row r="10961" spans="1:3" s="8" customFormat="1" x14ac:dyDescent="0.2">
      <c r="A10961" s="6" t="str">
        <f>"ST6GALNAC1"</f>
        <v>ST6GALNAC1</v>
      </c>
      <c r="B10961" s="6">
        <v>0.30669330669330602</v>
      </c>
      <c r="C10961" s="6">
        <v>0.49205247307437</v>
      </c>
    </row>
    <row r="10962" spans="1:3" s="8" customFormat="1" x14ac:dyDescent="0.2">
      <c r="A10962" s="6" t="str">
        <f>"AP002008.1"</f>
        <v>AP002008.1</v>
      </c>
      <c r="B10962" s="6">
        <v>0.307</v>
      </c>
      <c r="C10962" s="6">
        <v>0.49249958945351602</v>
      </c>
    </row>
    <row r="10963" spans="1:3" s="8" customFormat="1" x14ac:dyDescent="0.2">
      <c r="A10963" s="6" t="str">
        <f>"AL157895.1"</f>
        <v>AL157895.1</v>
      </c>
      <c r="B10963" s="6">
        <v>0.30769230769230699</v>
      </c>
      <c r="C10963" s="6">
        <v>0.492980550201506</v>
      </c>
    </row>
    <row r="10964" spans="1:3" s="8" customFormat="1" x14ac:dyDescent="0.2">
      <c r="A10964" s="6" t="str">
        <f>"AC010761.2"</f>
        <v>AC010761.2</v>
      </c>
      <c r="B10964" s="6">
        <v>0.30769230769230699</v>
      </c>
      <c r="C10964" s="6">
        <v>0.492980550201506</v>
      </c>
    </row>
    <row r="10965" spans="1:3" s="8" customFormat="1" x14ac:dyDescent="0.2">
      <c r="A10965" s="6" t="str">
        <f>"AC090246.1"</f>
        <v>AC090246.1</v>
      </c>
      <c r="B10965" s="6">
        <v>0.30769230769230699</v>
      </c>
      <c r="C10965" s="6">
        <v>0.492980550201506</v>
      </c>
    </row>
    <row r="10966" spans="1:3" s="8" customFormat="1" x14ac:dyDescent="0.2">
      <c r="A10966" s="6" t="str">
        <f>"AC140504.1"</f>
        <v>AC140504.1</v>
      </c>
      <c r="B10966" s="6">
        <v>0.30769230769230699</v>
      </c>
      <c r="C10966" s="6">
        <v>0.492980550201506</v>
      </c>
    </row>
    <row r="10967" spans="1:3" s="8" customFormat="1" x14ac:dyDescent="0.2">
      <c r="A10967" s="6" t="str">
        <f>"B3GNT8"</f>
        <v>B3GNT8</v>
      </c>
      <c r="B10967" s="6">
        <v>0.30769230769230699</v>
      </c>
      <c r="C10967" s="6">
        <v>0.492980550201506</v>
      </c>
    </row>
    <row r="10968" spans="1:3" s="8" customFormat="1" x14ac:dyDescent="0.2">
      <c r="A10968" s="6" t="str">
        <f>"AL121845.3"</f>
        <v>AL121845.3</v>
      </c>
      <c r="B10968" s="6">
        <v>0.30769230769230699</v>
      </c>
      <c r="C10968" s="6">
        <v>0.492980550201506</v>
      </c>
    </row>
    <row r="10969" spans="1:3" s="8" customFormat="1" x14ac:dyDescent="0.2">
      <c r="A10969" s="6" t="str">
        <f>"AC073111.3"</f>
        <v>AC073111.3</v>
      </c>
      <c r="B10969" s="6">
        <v>0.30769230769230699</v>
      </c>
      <c r="C10969" s="6">
        <v>0.492980550201506</v>
      </c>
    </row>
    <row r="10970" spans="1:3" s="8" customFormat="1" x14ac:dyDescent="0.2">
      <c r="A10970" s="6" t="str">
        <f>"SERTAD3"</f>
        <v>SERTAD3</v>
      </c>
      <c r="B10970" s="6">
        <v>0.30769230769230699</v>
      </c>
      <c r="C10970" s="6">
        <v>0.492980550201506</v>
      </c>
    </row>
    <row r="10971" spans="1:3" s="8" customFormat="1" x14ac:dyDescent="0.2">
      <c r="A10971" s="6" t="str">
        <f>"VRK2"</f>
        <v>VRK2</v>
      </c>
      <c r="B10971" s="6">
        <v>0.30769230769230699</v>
      </c>
      <c r="C10971" s="6">
        <v>0.492980550201506</v>
      </c>
    </row>
    <row r="10972" spans="1:3" s="8" customFormat="1" x14ac:dyDescent="0.2">
      <c r="A10972" s="6" t="str">
        <f>"GYG1"</f>
        <v>GYG1</v>
      </c>
      <c r="B10972" s="6">
        <v>0.30769230769230699</v>
      </c>
      <c r="C10972" s="6">
        <v>0.492980550201506</v>
      </c>
    </row>
    <row r="10973" spans="1:3" s="8" customFormat="1" x14ac:dyDescent="0.2">
      <c r="A10973" s="6" t="str">
        <f>"MRFAP1L1"</f>
        <v>MRFAP1L1</v>
      </c>
      <c r="B10973" s="6">
        <v>0.30769230769230699</v>
      </c>
      <c r="C10973" s="6">
        <v>0.492980550201506</v>
      </c>
    </row>
    <row r="10974" spans="1:3" s="8" customFormat="1" x14ac:dyDescent="0.2">
      <c r="A10974" s="6" t="str">
        <f>"AC138969.1"</f>
        <v>AC138969.1</v>
      </c>
      <c r="B10974" s="6">
        <v>0.30769230769230699</v>
      </c>
      <c r="C10974" s="6">
        <v>0.492980550201506</v>
      </c>
    </row>
    <row r="10975" spans="1:3" s="8" customFormat="1" x14ac:dyDescent="0.2">
      <c r="A10975" s="6" t="str">
        <f>"SGPP2"</f>
        <v>SGPP2</v>
      </c>
      <c r="B10975" s="6">
        <v>0.30769230769230699</v>
      </c>
      <c r="C10975" s="6">
        <v>0.492980550201506</v>
      </c>
    </row>
    <row r="10976" spans="1:3" s="8" customFormat="1" x14ac:dyDescent="0.2">
      <c r="A10976" s="6" t="str">
        <f>"RSPH1"</f>
        <v>RSPH1</v>
      </c>
      <c r="B10976" s="6">
        <v>0.30769230769230699</v>
      </c>
      <c r="C10976" s="6">
        <v>0.492980550201506</v>
      </c>
    </row>
    <row r="10977" spans="1:3" s="8" customFormat="1" x14ac:dyDescent="0.2">
      <c r="A10977" s="6" t="str">
        <f>"PPP6C"</f>
        <v>PPP6C</v>
      </c>
      <c r="B10977" s="6">
        <v>0.308</v>
      </c>
      <c r="C10977" s="6">
        <v>0.49342857142857099</v>
      </c>
    </row>
    <row r="10978" spans="1:3" s="8" customFormat="1" x14ac:dyDescent="0.2">
      <c r="A10978" s="6" t="str">
        <f>"NDST3"</f>
        <v>NDST3</v>
      </c>
      <c r="B10978" s="6">
        <v>0.30869130869130801</v>
      </c>
      <c r="C10978" s="6">
        <v>0.49368148904301601</v>
      </c>
    </row>
    <row r="10979" spans="1:3" s="8" customFormat="1" x14ac:dyDescent="0.2">
      <c r="A10979" s="6" t="str">
        <f>"ARF4-AS1"</f>
        <v>ARF4-AS1</v>
      </c>
      <c r="B10979" s="6">
        <v>0.30861723446893702</v>
      </c>
      <c r="C10979" s="6">
        <v>0.49368148904301601</v>
      </c>
    </row>
    <row r="10980" spans="1:3" s="8" customFormat="1" x14ac:dyDescent="0.2">
      <c r="A10980" s="6" t="str">
        <f>"AC115618.1"</f>
        <v>AC115618.1</v>
      </c>
      <c r="B10980" s="6">
        <v>0.308523409363745</v>
      </c>
      <c r="C10980" s="6">
        <v>0.49368148904301601</v>
      </c>
    </row>
    <row r="10981" spans="1:3" s="8" customFormat="1" x14ac:dyDescent="0.2">
      <c r="A10981" s="6" t="str">
        <f>"AL139260.1"</f>
        <v>AL139260.1</v>
      </c>
      <c r="B10981" s="6">
        <v>0.308553971486761</v>
      </c>
      <c r="C10981" s="6">
        <v>0.49368148904301601</v>
      </c>
    </row>
    <row r="10982" spans="1:3" s="8" customFormat="1" x14ac:dyDescent="0.2">
      <c r="A10982" s="6" t="str">
        <f>"IMMP2L"</f>
        <v>IMMP2L</v>
      </c>
      <c r="B10982" s="6">
        <v>0.30869130869130801</v>
      </c>
      <c r="C10982" s="6">
        <v>0.49368148904301601</v>
      </c>
    </row>
    <row r="10983" spans="1:3" s="8" customFormat="1" x14ac:dyDescent="0.2">
      <c r="A10983" s="6" t="str">
        <f>"DCAF15"</f>
        <v>DCAF15</v>
      </c>
      <c r="B10983" s="6">
        <v>0.30869130869130801</v>
      </c>
      <c r="C10983" s="6">
        <v>0.49368148904301601</v>
      </c>
    </row>
    <row r="10984" spans="1:3" s="8" customFormat="1" x14ac:dyDescent="0.2">
      <c r="A10984" s="6" t="str">
        <f>"TOPBP1"</f>
        <v>TOPBP1</v>
      </c>
      <c r="B10984" s="6">
        <v>0.30869130869130801</v>
      </c>
      <c r="C10984" s="6">
        <v>0.49368148904301601</v>
      </c>
    </row>
    <row r="10985" spans="1:3" s="8" customFormat="1" x14ac:dyDescent="0.2">
      <c r="A10985" s="6" t="str">
        <f>"GTF2H1"</f>
        <v>GTF2H1</v>
      </c>
      <c r="B10985" s="6">
        <v>0.30869130869130801</v>
      </c>
      <c r="C10985" s="6">
        <v>0.49368148904301601</v>
      </c>
    </row>
    <row r="10986" spans="1:3" s="8" customFormat="1" x14ac:dyDescent="0.2">
      <c r="A10986" s="6" t="str">
        <f>"FAM3B"</f>
        <v>FAM3B</v>
      </c>
      <c r="B10986" s="6">
        <v>0.30869130869130801</v>
      </c>
      <c r="C10986" s="6">
        <v>0.49368148904301601</v>
      </c>
    </row>
    <row r="10987" spans="1:3" s="8" customFormat="1" x14ac:dyDescent="0.2">
      <c r="A10987" s="6" t="str">
        <f>"NAA38"</f>
        <v>NAA38</v>
      </c>
      <c r="B10987" s="6">
        <v>0.30869130869130801</v>
      </c>
      <c r="C10987" s="6">
        <v>0.49368148904301601</v>
      </c>
    </row>
    <row r="10988" spans="1:3" s="8" customFormat="1" x14ac:dyDescent="0.2">
      <c r="A10988" s="6" t="str">
        <f>"TCF12"</f>
        <v>TCF12</v>
      </c>
      <c r="B10988" s="6">
        <v>0.30869130869130801</v>
      </c>
      <c r="C10988" s="6">
        <v>0.49368148904301601</v>
      </c>
    </row>
    <row r="10989" spans="1:3" s="8" customFormat="1" x14ac:dyDescent="0.2">
      <c r="A10989" s="6" t="str">
        <f>"KIFAP3"</f>
        <v>KIFAP3</v>
      </c>
      <c r="B10989" s="6">
        <v>0.30869130869130801</v>
      </c>
      <c r="C10989" s="6">
        <v>0.49368148904301601</v>
      </c>
    </row>
    <row r="10990" spans="1:3" s="8" customFormat="1" x14ac:dyDescent="0.2">
      <c r="A10990" s="6" t="str">
        <f>"SCFD1"</f>
        <v>SCFD1</v>
      </c>
      <c r="B10990" s="6">
        <v>0.30869130869130801</v>
      </c>
      <c r="C10990" s="6">
        <v>0.49368148904301601</v>
      </c>
    </row>
    <row r="10991" spans="1:3" s="8" customFormat="1" x14ac:dyDescent="0.2">
      <c r="A10991" s="6" t="str">
        <f>"FRMD8"</f>
        <v>FRMD8</v>
      </c>
      <c r="B10991" s="6">
        <v>0.30869130869130801</v>
      </c>
      <c r="C10991" s="6">
        <v>0.49368148904301601</v>
      </c>
    </row>
    <row r="10992" spans="1:3" s="8" customFormat="1" x14ac:dyDescent="0.2">
      <c r="A10992" s="6" t="str">
        <f>"NRAS"</f>
        <v>NRAS</v>
      </c>
      <c r="B10992" s="6">
        <v>0.30869130869130801</v>
      </c>
      <c r="C10992" s="6">
        <v>0.49368148904301601</v>
      </c>
    </row>
    <row r="10993" spans="1:3" s="8" customFormat="1" x14ac:dyDescent="0.2">
      <c r="A10993" s="6" t="str">
        <f>"LAMTOR1"</f>
        <v>LAMTOR1</v>
      </c>
      <c r="B10993" s="6">
        <v>0.30869130869130801</v>
      </c>
      <c r="C10993" s="6">
        <v>0.49368148904301601</v>
      </c>
    </row>
    <row r="10994" spans="1:3" s="8" customFormat="1" x14ac:dyDescent="0.2">
      <c r="A10994" s="6" t="str">
        <f>"XPOT"</f>
        <v>XPOT</v>
      </c>
      <c r="B10994" s="6">
        <v>0.30869130869130801</v>
      </c>
      <c r="C10994" s="6">
        <v>0.49368148904301601</v>
      </c>
    </row>
    <row r="10995" spans="1:3" s="8" customFormat="1" x14ac:dyDescent="0.2">
      <c r="A10995" s="6" t="str">
        <f>"MAPRE1"</f>
        <v>MAPRE1</v>
      </c>
      <c r="B10995" s="6">
        <v>0.30869130869130801</v>
      </c>
      <c r="C10995" s="6">
        <v>0.49368148904301601</v>
      </c>
    </row>
    <row r="10996" spans="1:3" s="8" customFormat="1" x14ac:dyDescent="0.2">
      <c r="A10996" s="6" t="str">
        <f>"SPEN"</f>
        <v>SPEN</v>
      </c>
      <c r="B10996" s="6">
        <v>0.30869130869130801</v>
      </c>
      <c r="C10996" s="6">
        <v>0.49368148904301601</v>
      </c>
    </row>
    <row r="10997" spans="1:3" s="8" customFormat="1" x14ac:dyDescent="0.2">
      <c r="A10997" s="6" t="str">
        <f>"SDHB"</f>
        <v>SDHB</v>
      </c>
      <c r="B10997" s="6">
        <v>0.309</v>
      </c>
      <c r="C10997" s="6">
        <v>0.49413022917424498</v>
      </c>
    </row>
    <row r="10998" spans="1:3" s="8" customFormat="1" x14ac:dyDescent="0.2">
      <c r="A10998" s="6" t="str">
        <f>"AL359710.1"</f>
        <v>AL359710.1</v>
      </c>
      <c r="B10998" s="6">
        <v>0.30969030969030897</v>
      </c>
      <c r="C10998" s="6">
        <v>0.49473920283405098</v>
      </c>
    </row>
    <row r="10999" spans="1:3" s="8" customFormat="1" x14ac:dyDescent="0.2">
      <c r="A10999" s="6" t="str">
        <f>"LINC01819"</f>
        <v>LINC01819</v>
      </c>
      <c r="B10999" s="6">
        <v>0.30969030969030897</v>
      </c>
      <c r="C10999" s="6">
        <v>0.49473920283405098</v>
      </c>
    </row>
    <row r="11000" spans="1:3" s="8" customFormat="1" x14ac:dyDescent="0.2">
      <c r="A11000" s="6" t="str">
        <f>"BEGAIN"</f>
        <v>BEGAIN</v>
      </c>
      <c r="B11000" s="6">
        <v>0.30969030969030897</v>
      </c>
      <c r="C11000" s="6">
        <v>0.49473920283405098</v>
      </c>
    </row>
    <row r="11001" spans="1:3" s="8" customFormat="1" x14ac:dyDescent="0.2">
      <c r="A11001" s="6" t="str">
        <f>"MMP12"</f>
        <v>MMP12</v>
      </c>
      <c r="B11001" s="6">
        <v>0.30969030969030897</v>
      </c>
      <c r="C11001" s="6">
        <v>0.49473920283405098</v>
      </c>
    </row>
    <row r="11002" spans="1:3" s="8" customFormat="1" x14ac:dyDescent="0.2">
      <c r="A11002" s="6" t="str">
        <f>"SAMD12-AS1"</f>
        <v>SAMD12-AS1</v>
      </c>
      <c r="B11002" s="6">
        <v>0.30969030969030897</v>
      </c>
      <c r="C11002" s="6">
        <v>0.49473920283405098</v>
      </c>
    </row>
    <row r="11003" spans="1:3" s="8" customFormat="1" x14ac:dyDescent="0.2">
      <c r="A11003" s="6" t="str">
        <f>"ZNF519"</f>
        <v>ZNF519</v>
      </c>
      <c r="B11003" s="6">
        <v>0.30969030969030897</v>
      </c>
      <c r="C11003" s="6">
        <v>0.49473920283405098</v>
      </c>
    </row>
    <row r="11004" spans="1:3" s="8" customFormat="1" x14ac:dyDescent="0.2">
      <c r="A11004" s="6" t="str">
        <f>"AC069404.1"</f>
        <v>AC069404.1</v>
      </c>
      <c r="B11004" s="6">
        <v>0.30969030969030897</v>
      </c>
      <c r="C11004" s="6">
        <v>0.49473920283405098</v>
      </c>
    </row>
    <row r="11005" spans="1:3" s="8" customFormat="1" x14ac:dyDescent="0.2">
      <c r="A11005" s="6" t="str">
        <f>"ZNF880"</f>
        <v>ZNF880</v>
      </c>
      <c r="B11005" s="6">
        <v>0.30969030969030897</v>
      </c>
      <c r="C11005" s="6">
        <v>0.49473920283405098</v>
      </c>
    </row>
    <row r="11006" spans="1:3" s="8" customFormat="1" x14ac:dyDescent="0.2">
      <c r="A11006" s="6" t="str">
        <f>"ORMDL1"</f>
        <v>ORMDL1</v>
      </c>
      <c r="B11006" s="6">
        <v>0.30969030969030897</v>
      </c>
      <c r="C11006" s="6">
        <v>0.49473920283405098</v>
      </c>
    </row>
    <row r="11007" spans="1:3" s="8" customFormat="1" x14ac:dyDescent="0.2">
      <c r="A11007" s="6" t="str">
        <f>"MOCS2"</f>
        <v>MOCS2</v>
      </c>
      <c r="B11007" s="6">
        <v>0.30969030969030897</v>
      </c>
      <c r="C11007" s="6">
        <v>0.49473920283405098</v>
      </c>
    </row>
    <row r="11008" spans="1:3" s="8" customFormat="1" x14ac:dyDescent="0.2">
      <c r="A11008" s="6" t="str">
        <f>"HECTD1"</f>
        <v>HECTD1</v>
      </c>
      <c r="B11008" s="6">
        <v>0.30969030969030897</v>
      </c>
      <c r="C11008" s="6">
        <v>0.49473920283405098</v>
      </c>
    </row>
    <row r="11009" spans="1:3" s="8" customFormat="1" x14ac:dyDescent="0.2">
      <c r="A11009" s="6" t="str">
        <f>"AC007731.4"</f>
        <v>AC007731.4</v>
      </c>
      <c r="B11009" s="6">
        <v>0.31</v>
      </c>
      <c r="C11009" s="6">
        <v>0.49514397311290698</v>
      </c>
    </row>
    <row r="11010" spans="1:3" s="8" customFormat="1" x14ac:dyDescent="0.2">
      <c r="A11010" s="6" t="str">
        <f>"IMPDH2"</f>
        <v>IMPDH2</v>
      </c>
      <c r="B11010" s="6">
        <v>0.31</v>
      </c>
      <c r="C11010" s="6">
        <v>0.49514397311290698</v>
      </c>
    </row>
    <row r="11011" spans="1:3" s="8" customFormat="1" x14ac:dyDescent="0.2">
      <c r="A11011" s="6" t="str">
        <f>"UNC13C"</f>
        <v>UNC13C</v>
      </c>
      <c r="B11011" s="6">
        <v>0.31068931068930999</v>
      </c>
      <c r="C11011" s="6">
        <v>0.49538999266964401</v>
      </c>
    </row>
    <row r="11012" spans="1:3" s="8" customFormat="1" x14ac:dyDescent="0.2">
      <c r="A11012" s="6" t="str">
        <f>"IGHV1-2"</f>
        <v>IGHV1-2</v>
      </c>
      <c r="B11012" s="6">
        <v>0.31068931068930999</v>
      </c>
      <c r="C11012" s="6">
        <v>0.49538999266964401</v>
      </c>
    </row>
    <row r="11013" spans="1:3" s="8" customFormat="1" x14ac:dyDescent="0.2">
      <c r="A11013" s="6" t="str">
        <f>"RPL35P5"</f>
        <v>RPL35P5</v>
      </c>
      <c r="B11013" s="6">
        <v>0.31062951496388003</v>
      </c>
      <c r="C11013" s="6">
        <v>0.49538999266964401</v>
      </c>
    </row>
    <row r="11014" spans="1:3" s="8" customFormat="1" x14ac:dyDescent="0.2">
      <c r="A11014" s="6" t="str">
        <f>"RN7SL834P"</f>
        <v>RN7SL834P</v>
      </c>
      <c r="B11014" s="6">
        <v>0.31068931068930999</v>
      </c>
      <c r="C11014" s="6">
        <v>0.49538999266964401</v>
      </c>
    </row>
    <row r="11015" spans="1:3" s="8" customFormat="1" x14ac:dyDescent="0.2">
      <c r="A11015" s="6" t="str">
        <f>"TVP23A"</f>
        <v>TVP23A</v>
      </c>
      <c r="B11015" s="6">
        <v>0.31068931068930999</v>
      </c>
      <c r="C11015" s="6">
        <v>0.49538999266964401</v>
      </c>
    </row>
    <row r="11016" spans="1:3" s="8" customFormat="1" x14ac:dyDescent="0.2">
      <c r="A11016" s="6" t="str">
        <f>"ANOS2P"</f>
        <v>ANOS2P</v>
      </c>
      <c r="B11016" s="6">
        <v>0.31068931068930999</v>
      </c>
      <c r="C11016" s="6">
        <v>0.49538999266964401</v>
      </c>
    </row>
    <row r="11017" spans="1:3" s="8" customFormat="1" x14ac:dyDescent="0.2">
      <c r="A11017" s="6" t="str">
        <f>"LINC01679"</f>
        <v>LINC01679</v>
      </c>
      <c r="B11017" s="6">
        <v>0.31068931068930999</v>
      </c>
      <c r="C11017" s="6">
        <v>0.49538999266964401</v>
      </c>
    </row>
    <row r="11018" spans="1:3" s="8" customFormat="1" x14ac:dyDescent="0.2">
      <c r="A11018" s="6" t="str">
        <f>"PKD1L3"</f>
        <v>PKD1L3</v>
      </c>
      <c r="B11018" s="6">
        <v>0.31068931068930999</v>
      </c>
      <c r="C11018" s="6">
        <v>0.49538999266964401</v>
      </c>
    </row>
    <row r="11019" spans="1:3" s="8" customFormat="1" x14ac:dyDescent="0.2">
      <c r="A11019" s="6" t="str">
        <f>"WASIR2"</f>
        <v>WASIR2</v>
      </c>
      <c r="B11019" s="6">
        <v>0.31068931068930999</v>
      </c>
      <c r="C11019" s="6">
        <v>0.49538999266964401</v>
      </c>
    </row>
    <row r="11020" spans="1:3" s="8" customFormat="1" x14ac:dyDescent="0.2">
      <c r="A11020" s="6" t="str">
        <f>"BMS1P1"</f>
        <v>BMS1P1</v>
      </c>
      <c r="B11020" s="6">
        <v>0.31068931068930999</v>
      </c>
      <c r="C11020" s="6">
        <v>0.49538999266964401</v>
      </c>
    </row>
    <row r="11021" spans="1:3" s="8" customFormat="1" x14ac:dyDescent="0.2">
      <c r="A11021" s="6" t="str">
        <f>"BCS1L"</f>
        <v>BCS1L</v>
      </c>
      <c r="B11021" s="6">
        <v>0.31068931068930999</v>
      </c>
      <c r="C11021" s="6">
        <v>0.49538999266964401</v>
      </c>
    </row>
    <row r="11022" spans="1:3" s="8" customFormat="1" x14ac:dyDescent="0.2">
      <c r="A11022" s="6" t="str">
        <f>"AC138207.7"</f>
        <v>AC138207.7</v>
      </c>
      <c r="B11022" s="6">
        <v>0.31068931068930999</v>
      </c>
      <c r="C11022" s="6">
        <v>0.49538999266964401</v>
      </c>
    </row>
    <row r="11023" spans="1:3" s="8" customFormat="1" x14ac:dyDescent="0.2">
      <c r="A11023" s="6" t="str">
        <f>"POLR3K"</f>
        <v>POLR3K</v>
      </c>
      <c r="B11023" s="6">
        <v>0.31068931068930999</v>
      </c>
      <c r="C11023" s="6">
        <v>0.49538999266964401</v>
      </c>
    </row>
    <row r="11024" spans="1:3" s="8" customFormat="1" x14ac:dyDescent="0.2">
      <c r="A11024" s="6" t="str">
        <f>"CAD"</f>
        <v>CAD</v>
      </c>
      <c r="B11024" s="6">
        <v>0.31068931068930999</v>
      </c>
      <c r="C11024" s="6">
        <v>0.49538999266964401</v>
      </c>
    </row>
    <row r="11025" spans="1:3" s="8" customFormat="1" x14ac:dyDescent="0.2">
      <c r="A11025" s="6" t="str">
        <f>"LTV1"</f>
        <v>LTV1</v>
      </c>
      <c r="B11025" s="6">
        <v>0.31068931068930999</v>
      </c>
      <c r="C11025" s="6">
        <v>0.49538999266964401</v>
      </c>
    </row>
    <row r="11026" spans="1:3" s="8" customFormat="1" x14ac:dyDescent="0.2">
      <c r="A11026" s="6" t="str">
        <f>"SKIV2L"</f>
        <v>SKIV2L</v>
      </c>
      <c r="B11026" s="6">
        <v>0.31068931068930999</v>
      </c>
      <c r="C11026" s="6">
        <v>0.49538999266964401</v>
      </c>
    </row>
    <row r="11027" spans="1:3" s="8" customFormat="1" x14ac:dyDescent="0.2">
      <c r="A11027" s="6" t="str">
        <f>"DUSP4"</f>
        <v>DUSP4</v>
      </c>
      <c r="B11027" s="6">
        <v>0.31068931068930999</v>
      </c>
      <c r="C11027" s="6">
        <v>0.49538999266964401</v>
      </c>
    </row>
    <row r="11028" spans="1:3" s="8" customFormat="1" x14ac:dyDescent="0.2">
      <c r="A11028" s="6" t="str">
        <f>"MARS1"</f>
        <v>MARS1</v>
      </c>
      <c r="B11028" s="6">
        <v>0.31068931068930999</v>
      </c>
      <c r="C11028" s="6">
        <v>0.49538999266964401</v>
      </c>
    </row>
    <row r="11029" spans="1:3" s="8" customFormat="1" x14ac:dyDescent="0.2">
      <c r="A11029" s="6" t="str">
        <f>"CD24"</f>
        <v>CD24</v>
      </c>
      <c r="B11029" s="6">
        <v>0.31068931068930999</v>
      </c>
      <c r="C11029" s="6">
        <v>0.49538999266964401</v>
      </c>
    </row>
    <row r="11030" spans="1:3" s="8" customFormat="1" x14ac:dyDescent="0.2">
      <c r="A11030" s="6" t="str">
        <f>"RBM15-AS1"</f>
        <v>RBM15-AS1</v>
      </c>
      <c r="B11030" s="6">
        <v>0.31135902636916801</v>
      </c>
      <c r="C11030" s="6">
        <v>0.49603830869103699</v>
      </c>
    </row>
    <row r="11031" spans="1:3" s="8" customFormat="1" x14ac:dyDescent="0.2">
      <c r="A11031" s="6" t="str">
        <f>"AL008628.1"</f>
        <v>AL008628.1</v>
      </c>
      <c r="B11031" s="6">
        <v>0.31118314424635302</v>
      </c>
      <c r="C11031" s="6">
        <v>0.49603830869103699</v>
      </c>
    </row>
    <row r="11032" spans="1:3" s="8" customFormat="1" x14ac:dyDescent="0.2">
      <c r="A11032" s="6" t="str">
        <f>"TPM1-AS"</f>
        <v>TPM1-AS</v>
      </c>
      <c r="B11032" s="6">
        <v>0.31168831168831101</v>
      </c>
      <c r="C11032" s="6">
        <v>0.49603830869103699</v>
      </c>
    </row>
    <row r="11033" spans="1:3" s="8" customFormat="1" x14ac:dyDescent="0.2">
      <c r="A11033" s="6" t="str">
        <f>"AC019127.1"</f>
        <v>AC019127.1</v>
      </c>
      <c r="B11033" s="6">
        <v>0.31168831168831101</v>
      </c>
      <c r="C11033" s="6">
        <v>0.49603830869103699</v>
      </c>
    </row>
    <row r="11034" spans="1:3" s="8" customFormat="1" x14ac:dyDescent="0.2">
      <c r="A11034" s="6" t="str">
        <f>"AL357558.3"</f>
        <v>AL357558.3</v>
      </c>
      <c r="B11034" s="6">
        <v>0.31168831168831101</v>
      </c>
      <c r="C11034" s="6">
        <v>0.49603830869103699</v>
      </c>
    </row>
    <row r="11035" spans="1:3" s="8" customFormat="1" x14ac:dyDescent="0.2">
      <c r="A11035" s="6" t="str">
        <f>"AC006238.1"</f>
        <v>AC006238.1</v>
      </c>
      <c r="B11035" s="6">
        <v>0.31162324649298501</v>
      </c>
      <c r="C11035" s="6">
        <v>0.49603830869103699</v>
      </c>
    </row>
    <row r="11036" spans="1:3" s="8" customFormat="1" x14ac:dyDescent="0.2">
      <c r="A11036" s="6" t="str">
        <f>"AC078795.1"</f>
        <v>AC078795.1</v>
      </c>
      <c r="B11036" s="6">
        <v>0.31168831168831101</v>
      </c>
      <c r="C11036" s="6">
        <v>0.49603830869103699</v>
      </c>
    </row>
    <row r="11037" spans="1:3" s="8" customFormat="1" x14ac:dyDescent="0.2">
      <c r="A11037" s="6" t="str">
        <f>"AC008496.3"</f>
        <v>AC008496.3</v>
      </c>
      <c r="B11037" s="6">
        <v>0.31168831168831101</v>
      </c>
      <c r="C11037" s="6">
        <v>0.49603830869103699</v>
      </c>
    </row>
    <row r="11038" spans="1:3" s="8" customFormat="1" x14ac:dyDescent="0.2">
      <c r="A11038" s="6" t="str">
        <f>"NREP"</f>
        <v>NREP</v>
      </c>
      <c r="B11038" s="6">
        <v>0.31168831168831101</v>
      </c>
      <c r="C11038" s="6">
        <v>0.49603830869103699</v>
      </c>
    </row>
    <row r="11039" spans="1:3" s="8" customFormat="1" x14ac:dyDescent="0.2">
      <c r="A11039" s="6" t="str">
        <f>"OLFM1"</f>
        <v>OLFM1</v>
      </c>
      <c r="B11039" s="6">
        <v>0.31168831168831101</v>
      </c>
      <c r="C11039" s="6">
        <v>0.49603830869103699</v>
      </c>
    </row>
    <row r="11040" spans="1:3" s="8" customFormat="1" x14ac:dyDescent="0.2">
      <c r="A11040" s="6" t="str">
        <f>"AC005332.5"</f>
        <v>AC005332.5</v>
      </c>
      <c r="B11040" s="6">
        <v>0.31168831168831101</v>
      </c>
      <c r="C11040" s="6">
        <v>0.49603830869103699</v>
      </c>
    </row>
    <row r="11041" spans="1:3" s="8" customFormat="1" x14ac:dyDescent="0.2">
      <c r="A11041" s="6" t="str">
        <f>"HULC"</f>
        <v>HULC</v>
      </c>
      <c r="B11041" s="6">
        <v>0.31168831168831101</v>
      </c>
      <c r="C11041" s="6">
        <v>0.49603830869103699</v>
      </c>
    </row>
    <row r="11042" spans="1:3" s="8" customFormat="1" x14ac:dyDescent="0.2">
      <c r="A11042" s="6" t="str">
        <f>"PART1"</f>
        <v>PART1</v>
      </c>
      <c r="B11042" s="6">
        <v>0.31168831168831101</v>
      </c>
      <c r="C11042" s="6">
        <v>0.49603830869103699</v>
      </c>
    </row>
    <row r="11043" spans="1:3" s="8" customFormat="1" x14ac:dyDescent="0.2">
      <c r="A11043" s="6" t="str">
        <f>"BBS12"</f>
        <v>BBS12</v>
      </c>
      <c r="B11043" s="6">
        <v>0.31168831168831101</v>
      </c>
      <c r="C11043" s="6">
        <v>0.49603830869103699</v>
      </c>
    </row>
    <row r="11044" spans="1:3" s="8" customFormat="1" x14ac:dyDescent="0.2">
      <c r="A11044" s="6" t="str">
        <f>"PLOD3"</f>
        <v>PLOD3</v>
      </c>
      <c r="B11044" s="6">
        <v>0.31168831168831101</v>
      </c>
      <c r="C11044" s="6">
        <v>0.49603830869103699</v>
      </c>
    </row>
    <row r="11045" spans="1:3" s="8" customFormat="1" x14ac:dyDescent="0.2">
      <c r="A11045" s="6" t="str">
        <f>"NAT14"</f>
        <v>NAT14</v>
      </c>
      <c r="B11045" s="6">
        <v>0.31168831168831101</v>
      </c>
      <c r="C11045" s="6">
        <v>0.49603830869103699</v>
      </c>
    </row>
    <row r="11046" spans="1:3" s="8" customFormat="1" x14ac:dyDescent="0.2">
      <c r="A11046" s="6" t="str">
        <f>"BBS5"</f>
        <v>BBS5</v>
      </c>
      <c r="B11046" s="6">
        <v>0.31168831168831101</v>
      </c>
      <c r="C11046" s="6">
        <v>0.49603830869103699</v>
      </c>
    </row>
    <row r="11047" spans="1:3" s="8" customFormat="1" x14ac:dyDescent="0.2">
      <c r="A11047" s="6" t="str">
        <f>"TP73"</f>
        <v>TP73</v>
      </c>
      <c r="B11047" s="6">
        <v>0.31168831168831101</v>
      </c>
      <c r="C11047" s="6">
        <v>0.49603830869103699</v>
      </c>
    </row>
    <row r="11048" spans="1:3" s="8" customFormat="1" x14ac:dyDescent="0.2">
      <c r="A11048" s="6" t="str">
        <f>"TUBGCP2"</f>
        <v>TUBGCP2</v>
      </c>
      <c r="B11048" s="6">
        <v>0.31168831168831101</v>
      </c>
      <c r="C11048" s="6">
        <v>0.49603830869103699</v>
      </c>
    </row>
    <row r="11049" spans="1:3" s="8" customFormat="1" x14ac:dyDescent="0.2">
      <c r="A11049" s="6" t="str">
        <f>"CIBAR2"</f>
        <v>CIBAR2</v>
      </c>
      <c r="B11049" s="6">
        <v>0.31168831168831101</v>
      </c>
      <c r="C11049" s="6">
        <v>0.49603830869103699</v>
      </c>
    </row>
    <row r="11050" spans="1:3" s="8" customFormat="1" x14ac:dyDescent="0.2">
      <c r="A11050" s="6" t="str">
        <f>"ZKSCAN1"</f>
        <v>ZKSCAN1</v>
      </c>
      <c r="B11050" s="6">
        <v>0.31168831168831101</v>
      </c>
      <c r="C11050" s="6">
        <v>0.49603830869103699</v>
      </c>
    </row>
    <row r="11051" spans="1:3" s="8" customFormat="1" x14ac:dyDescent="0.2">
      <c r="A11051" s="6" t="str">
        <f>"FTH1P16"</f>
        <v>FTH1P16</v>
      </c>
      <c r="B11051" s="6">
        <v>0.312</v>
      </c>
      <c r="C11051" s="6">
        <v>0.49648941176470501</v>
      </c>
    </row>
    <row r="11052" spans="1:3" s="8" customFormat="1" x14ac:dyDescent="0.2">
      <c r="A11052" s="6" t="str">
        <f>"AP001931.1"</f>
        <v>AP001931.1</v>
      </c>
      <c r="B11052" s="6">
        <v>0.31268731268731198</v>
      </c>
      <c r="C11052" s="6">
        <v>0.49672903661520501</v>
      </c>
    </row>
    <row r="11053" spans="1:3" s="8" customFormat="1" x14ac:dyDescent="0.2">
      <c r="A11053" s="6" t="str">
        <f>"AL034550.2"</f>
        <v>AL034550.2</v>
      </c>
      <c r="B11053" s="6">
        <v>0.31243358129649301</v>
      </c>
      <c r="C11053" s="6">
        <v>0.49672903661520501</v>
      </c>
    </row>
    <row r="11054" spans="1:3" s="8" customFormat="1" x14ac:dyDescent="0.2">
      <c r="A11054" s="6" t="str">
        <f>"ZNF705E"</f>
        <v>ZNF705E</v>
      </c>
      <c r="B11054" s="6">
        <v>0.31268731268731198</v>
      </c>
      <c r="C11054" s="6">
        <v>0.49672903661520501</v>
      </c>
    </row>
    <row r="11055" spans="1:3" s="8" customFormat="1" x14ac:dyDescent="0.2">
      <c r="A11055" s="6" t="str">
        <f>"PFKFB1"</f>
        <v>PFKFB1</v>
      </c>
      <c r="B11055" s="6">
        <v>0.31268731268731198</v>
      </c>
      <c r="C11055" s="6">
        <v>0.49672903661520501</v>
      </c>
    </row>
    <row r="11056" spans="1:3" s="8" customFormat="1" x14ac:dyDescent="0.2">
      <c r="A11056" s="6" t="str">
        <f>"TUBAL3"</f>
        <v>TUBAL3</v>
      </c>
      <c r="B11056" s="6">
        <v>0.31231231231231199</v>
      </c>
      <c r="C11056" s="6">
        <v>0.49672903661520501</v>
      </c>
    </row>
    <row r="11057" spans="1:3" s="8" customFormat="1" x14ac:dyDescent="0.2">
      <c r="A11057" s="6" t="str">
        <f>"PGM5P3-AS1"</f>
        <v>PGM5P3-AS1</v>
      </c>
      <c r="B11057" s="6">
        <v>0.31268731268731198</v>
      </c>
      <c r="C11057" s="6">
        <v>0.49672903661520501</v>
      </c>
    </row>
    <row r="11058" spans="1:3" s="8" customFormat="1" x14ac:dyDescent="0.2">
      <c r="A11058" s="6" t="str">
        <f>"PCDHA4"</f>
        <v>PCDHA4</v>
      </c>
      <c r="B11058" s="6">
        <v>0.31268731268731198</v>
      </c>
      <c r="C11058" s="6">
        <v>0.49672903661520501</v>
      </c>
    </row>
    <row r="11059" spans="1:3" s="8" customFormat="1" x14ac:dyDescent="0.2">
      <c r="A11059" s="6" t="str">
        <f>"REEP1"</f>
        <v>REEP1</v>
      </c>
      <c r="B11059" s="6">
        <v>0.31268731268731198</v>
      </c>
      <c r="C11059" s="6">
        <v>0.49672903661520501</v>
      </c>
    </row>
    <row r="11060" spans="1:3" s="8" customFormat="1" x14ac:dyDescent="0.2">
      <c r="A11060" s="6" t="str">
        <f>"AL390719.2"</f>
        <v>AL390719.2</v>
      </c>
      <c r="B11060" s="6">
        <v>0.31268731268731198</v>
      </c>
      <c r="C11060" s="6">
        <v>0.49672903661520501</v>
      </c>
    </row>
    <row r="11061" spans="1:3" s="8" customFormat="1" x14ac:dyDescent="0.2">
      <c r="A11061" s="6" t="str">
        <f>"ZNF70"</f>
        <v>ZNF70</v>
      </c>
      <c r="B11061" s="6">
        <v>0.31268731268731198</v>
      </c>
      <c r="C11061" s="6">
        <v>0.49672903661520501</v>
      </c>
    </row>
    <row r="11062" spans="1:3" s="8" customFormat="1" x14ac:dyDescent="0.2">
      <c r="A11062" s="6" t="str">
        <f>"CHFR"</f>
        <v>CHFR</v>
      </c>
      <c r="B11062" s="6">
        <v>0.31268731268731198</v>
      </c>
      <c r="C11062" s="6">
        <v>0.49672903661520501</v>
      </c>
    </row>
    <row r="11063" spans="1:3" s="8" customFormat="1" x14ac:dyDescent="0.2">
      <c r="A11063" s="6" t="str">
        <f>"LSM3"</f>
        <v>LSM3</v>
      </c>
      <c r="B11063" s="6">
        <v>0.31268731268731198</v>
      </c>
      <c r="C11063" s="6">
        <v>0.49672903661520501</v>
      </c>
    </row>
    <row r="11064" spans="1:3" s="8" customFormat="1" x14ac:dyDescent="0.2">
      <c r="A11064" s="6" t="str">
        <f>"POMT2"</f>
        <v>POMT2</v>
      </c>
      <c r="B11064" s="6">
        <v>0.31268731268731198</v>
      </c>
      <c r="C11064" s="6">
        <v>0.49672903661520501</v>
      </c>
    </row>
    <row r="11065" spans="1:3" s="8" customFormat="1" x14ac:dyDescent="0.2">
      <c r="A11065" s="6" t="str">
        <f>"EGLN1"</f>
        <v>EGLN1</v>
      </c>
      <c r="B11065" s="6">
        <v>0.31268731268731198</v>
      </c>
      <c r="C11065" s="6">
        <v>0.49672903661520501</v>
      </c>
    </row>
    <row r="11066" spans="1:3" s="8" customFormat="1" x14ac:dyDescent="0.2">
      <c r="A11066" s="6" t="str">
        <f>"TPD52"</f>
        <v>TPD52</v>
      </c>
      <c r="B11066" s="6">
        <v>0.31268731268731198</v>
      </c>
      <c r="C11066" s="6">
        <v>0.49672903661520501</v>
      </c>
    </row>
    <row r="11067" spans="1:3" s="8" customFormat="1" x14ac:dyDescent="0.2">
      <c r="A11067" s="6" t="str">
        <f>"ARL8B"</f>
        <v>ARL8B</v>
      </c>
      <c r="B11067" s="6">
        <v>0.31268731268731198</v>
      </c>
      <c r="C11067" s="6">
        <v>0.49672903661520501</v>
      </c>
    </row>
    <row r="11068" spans="1:3" s="8" customFormat="1" x14ac:dyDescent="0.2">
      <c r="A11068" s="6" t="str">
        <f>"SAR1A"</f>
        <v>SAR1A</v>
      </c>
      <c r="B11068" s="6">
        <v>0.31268731268731198</v>
      </c>
      <c r="C11068" s="6">
        <v>0.49672903661520501</v>
      </c>
    </row>
    <row r="11069" spans="1:3" s="8" customFormat="1" x14ac:dyDescent="0.2">
      <c r="A11069" s="6" t="str">
        <f>"PARP14"</f>
        <v>PARP14</v>
      </c>
      <c r="B11069" s="6">
        <v>0.31268731268731198</v>
      </c>
      <c r="C11069" s="6">
        <v>0.49672903661520501</v>
      </c>
    </row>
    <row r="11070" spans="1:3" s="8" customFormat="1" x14ac:dyDescent="0.2">
      <c r="A11070" s="6" t="str">
        <f>"SCAMP4"</f>
        <v>SCAMP4</v>
      </c>
      <c r="B11070" s="6">
        <v>0.31268731268731198</v>
      </c>
      <c r="C11070" s="6">
        <v>0.49672903661520501</v>
      </c>
    </row>
    <row r="11071" spans="1:3" s="8" customFormat="1" x14ac:dyDescent="0.2">
      <c r="A11071" s="6" t="str">
        <f>"HEXD-IT1"</f>
        <v>HEXD-IT1</v>
      </c>
      <c r="B11071" s="6">
        <v>0.31306990881458902</v>
      </c>
      <c r="C11071" s="6">
        <v>0.497291894904764</v>
      </c>
    </row>
    <row r="11072" spans="1:3" s="8" customFormat="1" x14ac:dyDescent="0.2">
      <c r="A11072" s="6" t="str">
        <f>"AC090948.2"</f>
        <v>AC090948.2</v>
      </c>
      <c r="B11072" s="6">
        <v>0.313686313686313</v>
      </c>
      <c r="C11072" s="6">
        <v>0.49773146903628701</v>
      </c>
    </row>
    <row r="11073" spans="1:3" s="8" customFormat="1" x14ac:dyDescent="0.2">
      <c r="A11073" s="6" t="str">
        <f>"SGO1"</f>
        <v>SGO1</v>
      </c>
      <c r="B11073" s="6">
        <v>0.313686313686313</v>
      </c>
      <c r="C11073" s="6">
        <v>0.49773146903628701</v>
      </c>
    </row>
    <row r="11074" spans="1:3" s="8" customFormat="1" x14ac:dyDescent="0.2">
      <c r="A11074" s="6" t="str">
        <f>"NKAIN3"</f>
        <v>NKAIN3</v>
      </c>
      <c r="B11074" s="6">
        <v>0.313686313686313</v>
      </c>
      <c r="C11074" s="6">
        <v>0.49773146903628701</v>
      </c>
    </row>
    <row r="11075" spans="1:3" s="8" customFormat="1" x14ac:dyDescent="0.2">
      <c r="A11075" s="6" t="str">
        <f>"FDXACB1"</f>
        <v>FDXACB1</v>
      </c>
      <c r="B11075" s="6">
        <v>0.313686313686313</v>
      </c>
      <c r="C11075" s="6">
        <v>0.49773146903628701</v>
      </c>
    </row>
    <row r="11076" spans="1:3" s="8" customFormat="1" x14ac:dyDescent="0.2">
      <c r="A11076" s="6" t="str">
        <f>"MMP7"</f>
        <v>MMP7</v>
      </c>
      <c r="B11076" s="6">
        <v>0.313686313686313</v>
      </c>
      <c r="C11076" s="6">
        <v>0.49773146903628701</v>
      </c>
    </row>
    <row r="11077" spans="1:3" s="8" customFormat="1" x14ac:dyDescent="0.2">
      <c r="A11077" s="6" t="str">
        <f>"XPA"</f>
        <v>XPA</v>
      </c>
      <c r="B11077" s="6">
        <v>0.313686313686313</v>
      </c>
      <c r="C11077" s="6">
        <v>0.49773146903628701</v>
      </c>
    </row>
    <row r="11078" spans="1:3" s="8" customFormat="1" x14ac:dyDescent="0.2">
      <c r="A11078" s="6" t="str">
        <f>"PBDC1"</f>
        <v>PBDC1</v>
      </c>
      <c r="B11078" s="6">
        <v>0.313686313686313</v>
      </c>
      <c r="C11078" s="6">
        <v>0.49773146903628701</v>
      </c>
    </row>
    <row r="11079" spans="1:3" s="8" customFormat="1" x14ac:dyDescent="0.2">
      <c r="A11079" s="6" t="str">
        <f>"FAM122A"</f>
        <v>FAM122A</v>
      </c>
      <c r="B11079" s="6">
        <v>0.313686313686313</v>
      </c>
      <c r="C11079" s="6">
        <v>0.49773146903628701</v>
      </c>
    </row>
    <row r="11080" spans="1:3" s="8" customFormat="1" x14ac:dyDescent="0.2">
      <c r="A11080" s="6" t="str">
        <f>"GTF3C3"</f>
        <v>GTF3C3</v>
      </c>
      <c r="B11080" s="6">
        <v>0.313686313686313</v>
      </c>
      <c r="C11080" s="6">
        <v>0.49773146903628701</v>
      </c>
    </row>
    <row r="11081" spans="1:3" s="8" customFormat="1" x14ac:dyDescent="0.2">
      <c r="A11081" s="6" t="str">
        <f>"CACFD1"</f>
        <v>CACFD1</v>
      </c>
      <c r="B11081" s="6">
        <v>0.313686313686313</v>
      </c>
      <c r="C11081" s="6">
        <v>0.49773146903628701</v>
      </c>
    </row>
    <row r="11082" spans="1:3" s="8" customFormat="1" x14ac:dyDescent="0.2">
      <c r="A11082" s="6" t="str">
        <f>"ZFYVE21"</f>
        <v>ZFYVE21</v>
      </c>
      <c r="B11082" s="6">
        <v>0.313686313686313</v>
      </c>
      <c r="C11082" s="6">
        <v>0.49773146903628701</v>
      </c>
    </row>
    <row r="11083" spans="1:3" s="8" customFormat="1" x14ac:dyDescent="0.2">
      <c r="A11083" s="6" t="str">
        <f>"TCP1"</f>
        <v>TCP1</v>
      </c>
      <c r="B11083" s="6">
        <v>0.313686313686313</v>
      </c>
      <c r="C11083" s="6">
        <v>0.49773146903628701</v>
      </c>
    </row>
    <row r="11084" spans="1:3" s="8" customFormat="1" x14ac:dyDescent="0.2">
      <c r="A11084" s="6" t="str">
        <f>"MTHFR"</f>
        <v>MTHFR</v>
      </c>
      <c r="B11084" s="6">
        <v>0.314</v>
      </c>
      <c r="C11084" s="6">
        <v>0.49818424614274098</v>
      </c>
    </row>
    <row r="11085" spans="1:3" s="8" customFormat="1" x14ac:dyDescent="0.2">
      <c r="A11085" s="6" t="str">
        <f>"DKK2"</f>
        <v>DKK2</v>
      </c>
      <c r="B11085" s="6">
        <v>0.31468531468531402</v>
      </c>
      <c r="C11085" s="6">
        <v>0.49828244695421597</v>
      </c>
    </row>
    <row r="11086" spans="1:3" s="8" customFormat="1" x14ac:dyDescent="0.2">
      <c r="A11086" s="6" t="str">
        <f>"FUT9"</f>
        <v>FUT9</v>
      </c>
      <c r="B11086" s="6">
        <v>0.31468531468531402</v>
      </c>
      <c r="C11086" s="6">
        <v>0.49828244695421597</v>
      </c>
    </row>
    <row r="11087" spans="1:3" s="8" customFormat="1" x14ac:dyDescent="0.2">
      <c r="A11087" s="6" t="str">
        <f>"AL355994.2"</f>
        <v>AL355994.2</v>
      </c>
      <c r="B11087" s="6">
        <v>0.31468531468531402</v>
      </c>
      <c r="C11087" s="6">
        <v>0.49828244695421597</v>
      </c>
    </row>
    <row r="11088" spans="1:3" s="8" customFormat="1" x14ac:dyDescent="0.2">
      <c r="A11088" s="6" t="str">
        <f>"ANKRD2"</f>
        <v>ANKRD2</v>
      </c>
      <c r="B11088" s="6">
        <v>0.31462925851703399</v>
      </c>
      <c r="C11088" s="6">
        <v>0.49828244695421597</v>
      </c>
    </row>
    <row r="11089" spans="1:3" s="8" customFormat="1" x14ac:dyDescent="0.2">
      <c r="A11089" s="6" t="str">
        <f>"AP002813.1"</f>
        <v>AP002813.1</v>
      </c>
      <c r="B11089" s="6">
        <v>0.31468531468531402</v>
      </c>
      <c r="C11089" s="6">
        <v>0.49828244695421597</v>
      </c>
    </row>
    <row r="11090" spans="1:3" s="8" customFormat="1" x14ac:dyDescent="0.2">
      <c r="A11090" s="6" t="str">
        <f>"AVPR1A"</f>
        <v>AVPR1A</v>
      </c>
      <c r="B11090" s="6">
        <v>0.31468531468531402</v>
      </c>
      <c r="C11090" s="6">
        <v>0.49828244695421597</v>
      </c>
    </row>
    <row r="11091" spans="1:3" s="8" customFormat="1" x14ac:dyDescent="0.2">
      <c r="A11091" s="6" t="str">
        <f>"AC008105.2"</f>
        <v>AC008105.2</v>
      </c>
      <c r="B11091" s="6">
        <v>0.31468531468531402</v>
      </c>
      <c r="C11091" s="6">
        <v>0.49828244695421597</v>
      </c>
    </row>
    <row r="11092" spans="1:3" s="8" customFormat="1" x14ac:dyDescent="0.2">
      <c r="A11092" s="6" t="str">
        <f>"CX3CR1"</f>
        <v>CX3CR1</v>
      </c>
      <c r="B11092" s="6">
        <v>0.31468531468531402</v>
      </c>
      <c r="C11092" s="6">
        <v>0.49828244695421597</v>
      </c>
    </row>
    <row r="11093" spans="1:3" s="8" customFormat="1" x14ac:dyDescent="0.2">
      <c r="A11093" s="6" t="str">
        <f>"C3orf62"</f>
        <v>C3orf62</v>
      </c>
      <c r="B11093" s="6">
        <v>0.31468531468531402</v>
      </c>
      <c r="C11093" s="6">
        <v>0.49828244695421597</v>
      </c>
    </row>
    <row r="11094" spans="1:3" s="8" customFormat="1" x14ac:dyDescent="0.2">
      <c r="A11094" s="6" t="str">
        <f>"SFXN5"</f>
        <v>SFXN5</v>
      </c>
      <c r="B11094" s="6">
        <v>0.31468531468531402</v>
      </c>
      <c r="C11094" s="6">
        <v>0.49828244695421597</v>
      </c>
    </row>
    <row r="11095" spans="1:3" s="8" customFormat="1" x14ac:dyDescent="0.2">
      <c r="A11095" s="6" t="str">
        <f>"FAM47E-STBD1"</f>
        <v>FAM47E-STBD1</v>
      </c>
      <c r="B11095" s="6">
        <v>0.31468531468531402</v>
      </c>
      <c r="C11095" s="6">
        <v>0.49828244695421597</v>
      </c>
    </row>
    <row r="11096" spans="1:3" s="8" customFormat="1" x14ac:dyDescent="0.2">
      <c r="A11096" s="6" t="str">
        <f>"PDE6D"</f>
        <v>PDE6D</v>
      </c>
      <c r="B11096" s="6">
        <v>0.31468531468531402</v>
      </c>
      <c r="C11096" s="6">
        <v>0.49828244695421597</v>
      </c>
    </row>
    <row r="11097" spans="1:3" s="8" customFormat="1" x14ac:dyDescent="0.2">
      <c r="A11097" s="6" t="str">
        <f>"RP2"</f>
        <v>RP2</v>
      </c>
      <c r="B11097" s="6">
        <v>0.31468531468531402</v>
      </c>
      <c r="C11097" s="6">
        <v>0.49828244695421597</v>
      </c>
    </row>
    <row r="11098" spans="1:3" s="8" customFormat="1" x14ac:dyDescent="0.2">
      <c r="A11098" s="6" t="str">
        <f>"DYRK3"</f>
        <v>DYRK3</v>
      </c>
      <c r="B11098" s="6">
        <v>0.31468531468531402</v>
      </c>
      <c r="C11098" s="6">
        <v>0.49828244695421597</v>
      </c>
    </row>
    <row r="11099" spans="1:3" s="8" customFormat="1" x14ac:dyDescent="0.2">
      <c r="A11099" s="6" t="str">
        <f>"CLN6"</f>
        <v>CLN6</v>
      </c>
      <c r="B11099" s="6">
        <v>0.31468531468531402</v>
      </c>
      <c r="C11099" s="6">
        <v>0.49828244695421597</v>
      </c>
    </row>
    <row r="11100" spans="1:3" s="8" customFormat="1" x14ac:dyDescent="0.2">
      <c r="A11100" s="6" t="str">
        <f>"CD36"</f>
        <v>CD36</v>
      </c>
      <c r="B11100" s="6">
        <v>0.31468531468531402</v>
      </c>
      <c r="C11100" s="6">
        <v>0.49828244695421597</v>
      </c>
    </row>
    <row r="11101" spans="1:3" s="8" customFormat="1" x14ac:dyDescent="0.2">
      <c r="A11101" s="6" t="str">
        <f>"TRABD"</f>
        <v>TRABD</v>
      </c>
      <c r="B11101" s="6">
        <v>0.31468531468531402</v>
      </c>
      <c r="C11101" s="6">
        <v>0.49828244695421597</v>
      </c>
    </row>
    <row r="11102" spans="1:3" s="8" customFormat="1" x14ac:dyDescent="0.2">
      <c r="A11102" s="6" t="str">
        <f>"WAPL"</f>
        <v>WAPL</v>
      </c>
      <c r="B11102" s="6">
        <v>0.31468531468531402</v>
      </c>
      <c r="C11102" s="6">
        <v>0.49828244695421597</v>
      </c>
    </row>
    <row r="11103" spans="1:3" s="8" customFormat="1" x14ac:dyDescent="0.2">
      <c r="A11103" s="6" t="str">
        <f>"YTHDF2"</f>
        <v>YTHDF2</v>
      </c>
      <c r="B11103" s="6">
        <v>0.31468531468531402</v>
      </c>
      <c r="C11103" s="6">
        <v>0.49828244695421597</v>
      </c>
    </row>
    <row r="11104" spans="1:3" s="8" customFormat="1" x14ac:dyDescent="0.2">
      <c r="A11104" s="6" t="str">
        <f>"PLPP2"</f>
        <v>PLPP2</v>
      </c>
      <c r="B11104" s="6">
        <v>0.31468531468531402</v>
      </c>
      <c r="C11104" s="6">
        <v>0.49828244695421597</v>
      </c>
    </row>
    <row r="11105" spans="1:3" s="8" customFormat="1" x14ac:dyDescent="0.2">
      <c r="A11105" s="6" t="str">
        <f>"CTSC"</f>
        <v>CTSC</v>
      </c>
      <c r="B11105" s="6">
        <v>0.31468531468531402</v>
      </c>
      <c r="C11105" s="6">
        <v>0.49828244695421597</v>
      </c>
    </row>
    <row r="11106" spans="1:3" s="8" customFormat="1" x14ac:dyDescent="0.2">
      <c r="A11106" s="6" t="str">
        <f>"TJP3"</f>
        <v>TJP3</v>
      </c>
      <c r="B11106" s="6">
        <v>0.31468531468531402</v>
      </c>
      <c r="C11106" s="6">
        <v>0.49828244695421597</v>
      </c>
    </row>
    <row r="11107" spans="1:3" s="8" customFormat="1" x14ac:dyDescent="0.2">
      <c r="A11107" s="6" t="str">
        <f>"USP2"</f>
        <v>USP2</v>
      </c>
      <c r="B11107" s="6">
        <v>0.315</v>
      </c>
      <c r="C11107" s="6">
        <v>0.498735818476499</v>
      </c>
    </row>
    <row r="11108" spans="1:3" s="8" customFormat="1" x14ac:dyDescent="0.2">
      <c r="A11108" s="6" t="str">
        <f>"ITGA11"</f>
        <v>ITGA11</v>
      </c>
      <c r="B11108" s="6">
        <v>0.31568431568431499</v>
      </c>
      <c r="C11108" s="6">
        <v>0.499145131462369</v>
      </c>
    </row>
    <row r="11109" spans="1:3" s="8" customFormat="1" x14ac:dyDescent="0.2">
      <c r="A11109" s="6" t="str">
        <f>"BNIP5"</f>
        <v>BNIP5</v>
      </c>
      <c r="B11109" s="6">
        <v>0.31568431568431499</v>
      </c>
      <c r="C11109" s="6">
        <v>0.499145131462369</v>
      </c>
    </row>
    <row r="11110" spans="1:3" s="8" customFormat="1" x14ac:dyDescent="0.2">
      <c r="A11110" s="6" t="str">
        <f>"RAB33A"</f>
        <v>RAB33A</v>
      </c>
      <c r="B11110" s="6">
        <v>0.31568431568431499</v>
      </c>
      <c r="C11110" s="6">
        <v>0.499145131462369</v>
      </c>
    </row>
    <row r="11111" spans="1:3" s="8" customFormat="1" x14ac:dyDescent="0.2">
      <c r="A11111" s="6" t="str">
        <f>"AL139393.2"</f>
        <v>AL139393.2</v>
      </c>
      <c r="B11111" s="6">
        <v>0.31568431568431499</v>
      </c>
      <c r="C11111" s="6">
        <v>0.499145131462369</v>
      </c>
    </row>
    <row r="11112" spans="1:3" s="8" customFormat="1" x14ac:dyDescent="0.2">
      <c r="A11112" s="6" t="str">
        <f>"AC068831.6"</f>
        <v>AC068831.6</v>
      </c>
      <c r="B11112" s="6">
        <v>0.31568431568431499</v>
      </c>
      <c r="C11112" s="6">
        <v>0.499145131462369</v>
      </c>
    </row>
    <row r="11113" spans="1:3" s="8" customFormat="1" x14ac:dyDescent="0.2">
      <c r="A11113" s="6" t="str">
        <f>"AP003500.1"</f>
        <v>AP003500.1</v>
      </c>
      <c r="B11113" s="6">
        <v>0.31568431568431499</v>
      </c>
      <c r="C11113" s="6">
        <v>0.499145131462369</v>
      </c>
    </row>
    <row r="11114" spans="1:3" s="8" customFormat="1" x14ac:dyDescent="0.2">
      <c r="A11114" s="6" t="str">
        <f>"NAIPP4"</f>
        <v>NAIPP4</v>
      </c>
      <c r="B11114" s="6">
        <v>0.31568431568431499</v>
      </c>
      <c r="C11114" s="6">
        <v>0.499145131462369</v>
      </c>
    </row>
    <row r="11115" spans="1:3" s="8" customFormat="1" x14ac:dyDescent="0.2">
      <c r="A11115" s="6" t="str">
        <f>"CPS1"</f>
        <v>CPS1</v>
      </c>
      <c r="B11115" s="6">
        <v>0.31568431568431499</v>
      </c>
      <c r="C11115" s="6">
        <v>0.499145131462369</v>
      </c>
    </row>
    <row r="11116" spans="1:3" s="8" customFormat="1" x14ac:dyDescent="0.2">
      <c r="A11116" s="6" t="str">
        <f>"BCAR3-AS1"</f>
        <v>BCAR3-AS1</v>
      </c>
      <c r="B11116" s="6">
        <v>0.31568431568431499</v>
      </c>
      <c r="C11116" s="6">
        <v>0.499145131462369</v>
      </c>
    </row>
    <row r="11117" spans="1:3" s="8" customFormat="1" x14ac:dyDescent="0.2">
      <c r="A11117" s="6" t="str">
        <f>"MIATNB"</f>
        <v>MIATNB</v>
      </c>
      <c r="B11117" s="6">
        <v>0.31568431568431499</v>
      </c>
      <c r="C11117" s="6">
        <v>0.499145131462369</v>
      </c>
    </row>
    <row r="11118" spans="1:3" s="8" customFormat="1" x14ac:dyDescent="0.2">
      <c r="A11118" s="6" t="str">
        <f>"C1orf174"</f>
        <v>C1orf174</v>
      </c>
      <c r="B11118" s="6">
        <v>0.31568431568431499</v>
      </c>
      <c r="C11118" s="6">
        <v>0.499145131462369</v>
      </c>
    </row>
    <row r="11119" spans="1:3" s="8" customFormat="1" x14ac:dyDescent="0.2">
      <c r="A11119" s="6" t="str">
        <f>"CDC14B"</f>
        <v>CDC14B</v>
      </c>
      <c r="B11119" s="6">
        <v>0.31568431568431499</v>
      </c>
      <c r="C11119" s="6">
        <v>0.499145131462369</v>
      </c>
    </row>
    <row r="11120" spans="1:3" s="8" customFormat="1" x14ac:dyDescent="0.2">
      <c r="A11120" s="6" t="str">
        <f>"TFDP1"</f>
        <v>TFDP1</v>
      </c>
      <c r="B11120" s="6">
        <v>0.31568431568431499</v>
      </c>
      <c r="C11120" s="6">
        <v>0.499145131462369</v>
      </c>
    </row>
    <row r="11121" spans="1:3" s="8" customFormat="1" x14ac:dyDescent="0.2">
      <c r="A11121" s="6" t="str">
        <f>"COX7A2"</f>
        <v>COX7A2</v>
      </c>
      <c r="B11121" s="6">
        <v>0.31568431568431499</v>
      </c>
      <c r="C11121" s="6">
        <v>0.499145131462369</v>
      </c>
    </row>
    <row r="11122" spans="1:3" s="8" customFormat="1" x14ac:dyDescent="0.2">
      <c r="A11122" s="6" t="str">
        <f>"EIF3E"</f>
        <v>EIF3E</v>
      </c>
      <c r="B11122" s="6">
        <v>0.31568431568431499</v>
      </c>
      <c r="C11122" s="6">
        <v>0.499145131462369</v>
      </c>
    </row>
    <row r="11123" spans="1:3" s="8" customFormat="1" x14ac:dyDescent="0.2">
      <c r="A11123" s="6" t="str">
        <f>"PIH1D2"</f>
        <v>PIH1D2</v>
      </c>
      <c r="B11123" s="6">
        <v>0.316</v>
      </c>
      <c r="C11123" s="6">
        <v>0.49950952894642198</v>
      </c>
    </row>
    <row r="11124" spans="1:3" s="8" customFormat="1" x14ac:dyDescent="0.2">
      <c r="A11124" s="6" t="str">
        <f>"TMED7"</f>
        <v>TMED7</v>
      </c>
      <c r="B11124" s="6">
        <v>0.316</v>
      </c>
      <c r="C11124" s="6">
        <v>0.49950952894642198</v>
      </c>
    </row>
    <row r="11125" spans="1:3" s="8" customFormat="1" x14ac:dyDescent="0.2">
      <c r="A11125" s="6" t="str">
        <f>"TADA3"</f>
        <v>TADA3</v>
      </c>
      <c r="B11125" s="6">
        <v>0.316</v>
      </c>
      <c r="C11125" s="6">
        <v>0.49950952894642198</v>
      </c>
    </row>
    <row r="11126" spans="1:3" s="8" customFormat="1" x14ac:dyDescent="0.2">
      <c r="A11126" s="6" t="str">
        <f>"FOXCUT"</f>
        <v>FOXCUT</v>
      </c>
      <c r="B11126" s="6">
        <v>0.31668331668331601</v>
      </c>
      <c r="C11126" s="6">
        <v>0.49978095858548199</v>
      </c>
    </row>
    <row r="11127" spans="1:3" s="8" customFormat="1" x14ac:dyDescent="0.2">
      <c r="A11127" s="6" t="str">
        <f>"AL662884.4"</f>
        <v>AL662884.4</v>
      </c>
      <c r="B11127" s="6">
        <v>0.31668331668331601</v>
      </c>
      <c r="C11127" s="6">
        <v>0.49978095858548199</v>
      </c>
    </row>
    <row r="11128" spans="1:3" s="8" customFormat="1" x14ac:dyDescent="0.2">
      <c r="A11128" s="6" t="str">
        <f>"AC008555.2"</f>
        <v>AC008555.2</v>
      </c>
      <c r="B11128" s="6">
        <v>0.31668331668331601</v>
      </c>
      <c r="C11128" s="6">
        <v>0.49978095858548199</v>
      </c>
    </row>
    <row r="11129" spans="1:3" s="8" customFormat="1" x14ac:dyDescent="0.2">
      <c r="A11129" s="6" t="str">
        <f>"FAM41C"</f>
        <v>FAM41C</v>
      </c>
      <c r="B11129" s="6">
        <v>0.31668331668331601</v>
      </c>
      <c r="C11129" s="6">
        <v>0.49978095858548199</v>
      </c>
    </row>
    <row r="11130" spans="1:3" s="8" customFormat="1" x14ac:dyDescent="0.2">
      <c r="A11130" s="6" t="str">
        <f>"AC005358.1"</f>
        <v>AC005358.1</v>
      </c>
      <c r="B11130" s="6">
        <v>0.316455696202531</v>
      </c>
      <c r="C11130" s="6">
        <v>0.49978095858548199</v>
      </c>
    </row>
    <row r="11131" spans="1:3" s="8" customFormat="1" x14ac:dyDescent="0.2">
      <c r="A11131" s="6" t="str">
        <f>"TBILA"</f>
        <v>TBILA</v>
      </c>
      <c r="B11131" s="6">
        <v>0.31668331668331601</v>
      </c>
      <c r="C11131" s="6">
        <v>0.49978095858548199</v>
      </c>
    </row>
    <row r="11132" spans="1:3" s="8" customFormat="1" x14ac:dyDescent="0.2">
      <c r="A11132" s="6" t="str">
        <f>"PDZD4"</f>
        <v>PDZD4</v>
      </c>
      <c r="B11132" s="6">
        <v>0.31668331668331601</v>
      </c>
      <c r="C11132" s="6">
        <v>0.49978095858548199</v>
      </c>
    </row>
    <row r="11133" spans="1:3" s="8" customFormat="1" x14ac:dyDescent="0.2">
      <c r="A11133" s="6" t="str">
        <f>"PCDHGA9"</f>
        <v>PCDHGA9</v>
      </c>
      <c r="B11133" s="6">
        <v>0.31668331668331601</v>
      </c>
      <c r="C11133" s="6">
        <v>0.49978095858548199</v>
      </c>
    </row>
    <row r="11134" spans="1:3" s="8" customFormat="1" x14ac:dyDescent="0.2">
      <c r="A11134" s="6" t="str">
        <f>"HVCN1"</f>
        <v>HVCN1</v>
      </c>
      <c r="B11134" s="6">
        <v>0.31668331668331601</v>
      </c>
      <c r="C11134" s="6">
        <v>0.49978095858548199</v>
      </c>
    </row>
    <row r="11135" spans="1:3" s="8" customFormat="1" x14ac:dyDescent="0.2">
      <c r="A11135" s="6" t="str">
        <f>"PIGP"</f>
        <v>PIGP</v>
      </c>
      <c r="B11135" s="6">
        <v>0.31668331668331601</v>
      </c>
      <c r="C11135" s="6">
        <v>0.49978095858548199</v>
      </c>
    </row>
    <row r="11136" spans="1:3" s="8" customFormat="1" x14ac:dyDescent="0.2">
      <c r="A11136" s="6" t="str">
        <f>"ZNF131"</f>
        <v>ZNF131</v>
      </c>
      <c r="B11136" s="6">
        <v>0.31668331668331601</v>
      </c>
      <c r="C11136" s="6">
        <v>0.49978095858548199</v>
      </c>
    </row>
    <row r="11137" spans="1:3" s="8" customFormat="1" x14ac:dyDescent="0.2">
      <c r="A11137" s="6" t="str">
        <f>"NDC1"</f>
        <v>NDC1</v>
      </c>
      <c r="B11137" s="6">
        <v>0.31668331668331601</v>
      </c>
      <c r="C11137" s="6">
        <v>0.49978095858548199</v>
      </c>
    </row>
    <row r="11138" spans="1:3" s="8" customFormat="1" x14ac:dyDescent="0.2">
      <c r="A11138" s="6" t="str">
        <f>"MTM1"</f>
        <v>MTM1</v>
      </c>
      <c r="B11138" s="6">
        <v>0.31668331668331601</v>
      </c>
      <c r="C11138" s="6">
        <v>0.49978095858548199</v>
      </c>
    </row>
    <row r="11139" spans="1:3" s="8" customFormat="1" x14ac:dyDescent="0.2">
      <c r="A11139" s="6" t="str">
        <f>"MOAP1"</f>
        <v>MOAP1</v>
      </c>
      <c r="B11139" s="6">
        <v>0.31668331668331601</v>
      </c>
      <c r="C11139" s="6">
        <v>0.49978095858548199</v>
      </c>
    </row>
    <row r="11140" spans="1:3" s="8" customFormat="1" x14ac:dyDescent="0.2">
      <c r="A11140" s="6" t="str">
        <f>"RASAL2"</f>
        <v>RASAL2</v>
      </c>
      <c r="B11140" s="6">
        <v>0.31668331668331601</v>
      </c>
      <c r="C11140" s="6">
        <v>0.49978095858548199</v>
      </c>
    </row>
    <row r="11141" spans="1:3" s="8" customFormat="1" x14ac:dyDescent="0.2">
      <c r="A11141" s="6" t="str">
        <f>"KDSR"</f>
        <v>KDSR</v>
      </c>
      <c r="B11141" s="6">
        <v>0.31668331668331601</v>
      </c>
      <c r="C11141" s="6">
        <v>0.49978095858548199</v>
      </c>
    </row>
    <row r="11142" spans="1:3" s="8" customFormat="1" x14ac:dyDescent="0.2">
      <c r="A11142" s="6" t="str">
        <f>"RRP7A"</f>
        <v>RRP7A</v>
      </c>
      <c r="B11142" s="6">
        <v>0.31668331668331601</v>
      </c>
      <c r="C11142" s="6">
        <v>0.49978095858548199</v>
      </c>
    </row>
    <row r="11143" spans="1:3" s="8" customFormat="1" x14ac:dyDescent="0.2">
      <c r="A11143" s="6" t="str">
        <f>"DNAH10"</f>
        <v>DNAH10</v>
      </c>
      <c r="B11143" s="6">
        <v>0.31668331668331601</v>
      </c>
      <c r="C11143" s="6">
        <v>0.49978095858548199</v>
      </c>
    </row>
    <row r="11144" spans="1:3" s="8" customFormat="1" x14ac:dyDescent="0.2">
      <c r="A11144" s="6" t="str">
        <f>"AC008798.2"</f>
        <v>AC008798.2</v>
      </c>
      <c r="B11144" s="6">
        <v>0.317023445463812</v>
      </c>
      <c r="C11144" s="6">
        <v>0.50027284080011403</v>
      </c>
    </row>
    <row r="11145" spans="1:3" s="8" customFormat="1" x14ac:dyDescent="0.2">
      <c r="A11145" s="6" t="str">
        <f>"AC135776.4"</f>
        <v>AC135776.4</v>
      </c>
      <c r="B11145" s="6">
        <v>0.31722054380664599</v>
      </c>
      <c r="C11145" s="6">
        <v>0.50053894851903002</v>
      </c>
    </row>
    <row r="11146" spans="1:3" s="8" customFormat="1" x14ac:dyDescent="0.2">
      <c r="A11146" s="6" t="str">
        <f>"AC005332.1"</f>
        <v>AC005332.1</v>
      </c>
      <c r="B11146" s="6">
        <v>0.31763527054108198</v>
      </c>
      <c r="C11146" s="6">
        <v>0.50059376952467705</v>
      </c>
    </row>
    <row r="11147" spans="1:3" s="8" customFormat="1" x14ac:dyDescent="0.2">
      <c r="A11147" s="6" t="str">
        <f>"AC026150.2"</f>
        <v>AC026150.2</v>
      </c>
      <c r="B11147" s="6">
        <v>0.31768231768231697</v>
      </c>
      <c r="C11147" s="6">
        <v>0.50059376952467705</v>
      </c>
    </row>
    <row r="11148" spans="1:3" s="8" customFormat="1" x14ac:dyDescent="0.2">
      <c r="A11148" s="6" t="str">
        <f>"ATP6V1G3"</f>
        <v>ATP6V1G3</v>
      </c>
      <c r="B11148" s="6">
        <v>0.31768231768231697</v>
      </c>
      <c r="C11148" s="6">
        <v>0.50059376952467705</v>
      </c>
    </row>
    <row r="11149" spans="1:3" s="8" customFormat="1" x14ac:dyDescent="0.2">
      <c r="A11149" s="6" t="str">
        <f>"MEI1"</f>
        <v>MEI1</v>
      </c>
      <c r="B11149" s="6">
        <v>0.31768231768231697</v>
      </c>
      <c r="C11149" s="6">
        <v>0.50059376952467705</v>
      </c>
    </row>
    <row r="11150" spans="1:3" s="8" customFormat="1" x14ac:dyDescent="0.2">
      <c r="A11150" s="6" t="str">
        <f>"LRRFIP1P1"</f>
        <v>LRRFIP1P1</v>
      </c>
      <c r="B11150" s="6">
        <v>0.31768231768231697</v>
      </c>
      <c r="C11150" s="6">
        <v>0.50059376952467705</v>
      </c>
    </row>
    <row r="11151" spans="1:3" s="8" customFormat="1" x14ac:dyDescent="0.2">
      <c r="A11151" s="6" t="str">
        <f>"AL356776.2"</f>
        <v>AL356776.2</v>
      </c>
      <c r="B11151" s="6">
        <v>0.31768231768231697</v>
      </c>
      <c r="C11151" s="6">
        <v>0.50059376952467705</v>
      </c>
    </row>
    <row r="11152" spans="1:3" s="8" customFormat="1" x14ac:dyDescent="0.2">
      <c r="A11152" s="6" t="str">
        <f>"SLC22A18AS"</f>
        <v>SLC22A18AS</v>
      </c>
      <c r="B11152" s="6">
        <v>0.31768231768231697</v>
      </c>
      <c r="C11152" s="6">
        <v>0.50059376952467705</v>
      </c>
    </row>
    <row r="11153" spans="1:3" s="8" customFormat="1" x14ac:dyDescent="0.2">
      <c r="A11153" s="6" t="str">
        <f>"PDZD7"</f>
        <v>PDZD7</v>
      </c>
      <c r="B11153" s="6">
        <v>0.31768231768231697</v>
      </c>
      <c r="C11153" s="6">
        <v>0.50059376952467705</v>
      </c>
    </row>
    <row r="11154" spans="1:3" s="8" customFormat="1" x14ac:dyDescent="0.2">
      <c r="A11154" s="6" t="str">
        <f>"LIPT1"</f>
        <v>LIPT1</v>
      </c>
      <c r="B11154" s="6">
        <v>0.31768231768231697</v>
      </c>
      <c r="C11154" s="6">
        <v>0.50059376952467705</v>
      </c>
    </row>
    <row r="11155" spans="1:3" s="8" customFormat="1" x14ac:dyDescent="0.2">
      <c r="A11155" s="6" t="str">
        <f>"TEX26"</f>
        <v>TEX26</v>
      </c>
      <c r="B11155" s="6">
        <v>0.31768231768231697</v>
      </c>
      <c r="C11155" s="6">
        <v>0.50059376952467705</v>
      </c>
    </row>
    <row r="11156" spans="1:3" s="8" customFormat="1" x14ac:dyDescent="0.2">
      <c r="A11156" s="6" t="str">
        <f>"VPS13A"</f>
        <v>VPS13A</v>
      </c>
      <c r="B11156" s="6">
        <v>0.31768231768231697</v>
      </c>
      <c r="C11156" s="6">
        <v>0.50059376952467705</v>
      </c>
    </row>
    <row r="11157" spans="1:3" s="8" customFormat="1" x14ac:dyDescent="0.2">
      <c r="A11157" s="6" t="str">
        <f>"ANKHD1-EIF4EBP3"</f>
        <v>ANKHD1-EIF4EBP3</v>
      </c>
      <c r="B11157" s="6">
        <v>0.31768231768231697</v>
      </c>
      <c r="C11157" s="6">
        <v>0.50059376952467705</v>
      </c>
    </row>
    <row r="11158" spans="1:3" s="8" customFormat="1" x14ac:dyDescent="0.2">
      <c r="A11158" s="6" t="str">
        <f>"DHX40"</f>
        <v>DHX40</v>
      </c>
      <c r="B11158" s="6">
        <v>0.31731731731731699</v>
      </c>
      <c r="C11158" s="6">
        <v>0.50059376952467705</v>
      </c>
    </row>
    <row r="11159" spans="1:3" s="8" customFormat="1" x14ac:dyDescent="0.2">
      <c r="A11159" s="6" t="str">
        <f>"HSBP1"</f>
        <v>HSBP1</v>
      </c>
      <c r="B11159" s="6">
        <v>0.31768231768231697</v>
      </c>
      <c r="C11159" s="6">
        <v>0.50059376952467705</v>
      </c>
    </row>
    <row r="11160" spans="1:3" s="8" customFormat="1" x14ac:dyDescent="0.2">
      <c r="A11160" s="6" t="str">
        <f>"DYNC1H1"</f>
        <v>DYNC1H1</v>
      </c>
      <c r="B11160" s="6">
        <v>0.31768231768231697</v>
      </c>
      <c r="C11160" s="6">
        <v>0.50059376952467705</v>
      </c>
    </row>
    <row r="11161" spans="1:3" s="8" customFormat="1" x14ac:dyDescent="0.2">
      <c r="A11161" s="6" t="str">
        <f>"AC034238.2"</f>
        <v>AC034238.2</v>
      </c>
      <c r="B11161" s="6">
        <v>0.31795386158475403</v>
      </c>
      <c r="C11161" s="6">
        <v>0.50095968464432805</v>
      </c>
    </row>
    <row r="11162" spans="1:3" s="8" customFormat="1" x14ac:dyDescent="0.2">
      <c r="A11162" s="6" t="str">
        <f>"AP000251.1"</f>
        <v>AP000251.1</v>
      </c>
      <c r="B11162" s="6">
        <v>0.318</v>
      </c>
      <c r="C11162" s="6">
        <v>0.50095968464432805</v>
      </c>
    </row>
    <row r="11163" spans="1:3" s="8" customFormat="1" x14ac:dyDescent="0.2">
      <c r="A11163" s="6" t="str">
        <f>"RRP12"</f>
        <v>RRP12</v>
      </c>
      <c r="B11163" s="6">
        <v>0.318</v>
      </c>
      <c r="C11163" s="6">
        <v>0.50095968464432805</v>
      </c>
    </row>
    <row r="11164" spans="1:3" s="8" customFormat="1" x14ac:dyDescent="0.2">
      <c r="A11164" s="6" t="str">
        <f>"AC231533.2"</f>
        <v>AC231533.2</v>
      </c>
      <c r="B11164" s="6">
        <v>0.31868131868131799</v>
      </c>
      <c r="C11164" s="6">
        <v>0.50158362940317802</v>
      </c>
    </row>
    <row r="11165" spans="1:3" s="8" customFormat="1" x14ac:dyDescent="0.2">
      <c r="A11165" s="6" t="str">
        <f>"ZNF573"</f>
        <v>ZNF573</v>
      </c>
      <c r="B11165" s="6">
        <v>0.31868131868131799</v>
      </c>
      <c r="C11165" s="6">
        <v>0.50158362940317802</v>
      </c>
    </row>
    <row r="11166" spans="1:3" s="8" customFormat="1" x14ac:dyDescent="0.2">
      <c r="A11166" s="6" t="str">
        <f>"AC016590.3"</f>
        <v>AC016590.3</v>
      </c>
      <c r="B11166" s="6">
        <v>0.31868131868131799</v>
      </c>
      <c r="C11166" s="6">
        <v>0.50158362940317802</v>
      </c>
    </row>
    <row r="11167" spans="1:3" s="8" customFormat="1" x14ac:dyDescent="0.2">
      <c r="A11167" s="6" t="str">
        <f>"CHADL"</f>
        <v>CHADL</v>
      </c>
      <c r="B11167" s="6">
        <v>0.31868131868131799</v>
      </c>
      <c r="C11167" s="6">
        <v>0.50158362940317802</v>
      </c>
    </row>
    <row r="11168" spans="1:3" s="8" customFormat="1" x14ac:dyDescent="0.2">
      <c r="A11168" s="6" t="str">
        <f>"LINC00886"</f>
        <v>LINC00886</v>
      </c>
      <c r="B11168" s="6">
        <v>0.31868131868131799</v>
      </c>
      <c r="C11168" s="6">
        <v>0.50158362940317802</v>
      </c>
    </row>
    <row r="11169" spans="1:3" s="8" customFormat="1" x14ac:dyDescent="0.2">
      <c r="A11169" s="6" t="str">
        <f>"TRIT1"</f>
        <v>TRIT1</v>
      </c>
      <c r="B11169" s="6">
        <v>0.31868131868131799</v>
      </c>
      <c r="C11169" s="6">
        <v>0.50158362940317802</v>
      </c>
    </row>
    <row r="11170" spans="1:3" s="8" customFormat="1" x14ac:dyDescent="0.2">
      <c r="A11170" s="6" t="str">
        <f>"STAM"</f>
        <v>STAM</v>
      </c>
      <c r="B11170" s="6">
        <v>0.31868131868131799</v>
      </c>
      <c r="C11170" s="6">
        <v>0.50158362940317802</v>
      </c>
    </row>
    <row r="11171" spans="1:3" s="8" customFormat="1" x14ac:dyDescent="0.2">
      <c r="A11171" s="6" t="str">
        <f>"TECPR2"</f>
        <v>TECPR2</v>
      </c>
      <c r="B11171" s="6">
        <v>0.31868131868131799</v>
      </c>
      <c r="C11171" s="6">
        <v>0.50158362940317802</v>
      </c>
    </row>
    <row r="11172" spans="1:3" s="8" customFormat="1" x14ac:dyDescent="0.2">
      <c r="A11172" s="6" t="str">
        <f>"FBXO34"</f>
        <v>FBXO34</v>
      </c>
      <c r="B11172" s="6">
        <v>0.31868131868131799</v>
      </c>
      <c r="C11172" s="6">
        <v>0.50158362940317802</v>
      </c>
    </row>
    <row r="11173" spans="1:3" s="8" customFormat="1" x14ac:dyDescent="0.2">
      <c r="A11173" s="6" t="str">
        <f>"PRKAA1"</f>
        <v>PRKAA1</v>
      </c>
      <c r="B11173" s="6">
        <v>0.31868131868131799</v>
      </c>
      <c r="C11173" s="6">
        <v>0.50158362940317802</v>
      </c>
    </row>
    <row r="11174" spans="1:3" s="8" customFormat="1" x14ac:dyDescent="0.2">
      <c r="A11174" s="6" t="str">
        <f>"STEAP1B"</f>
        <v>STEAP1B</v>
      </c>
      <c r="B11174" s="6">
        <v>0.31968031968031901</v>
      </c>
      <c r="C11174" s="6">
        <v>0.50279595181205095</v>
      </c>
    </row>
    <row r="11175" spans="1:3" s="8" customFormat="1" x14ac:dyDescent="0.2">
      <c r="A11175" s="6" t="str">
        <f>"AL139042.1"</f>
        <v>AL139042.1</v>
      </c>
      <c r="B11175" s="6">
        <v>0.31968031968031901</v>
      </c>
      <c r="C11175" s="6">
        <v>0.50279595181205095</v>
      </c>
    </row>
    <row r="11176" spans="1:3" s="8" customFormat="1" x14ac:dyDescent="0.2">
      <c r="A11176" s="6" t="str">
        <f>"AL136419.1"</f>
        <v>AL136419.1</v>
      </c>
      <c r="B11176" s="6">
        <v>0.31968031968031901</v>
      </c>
      <c r="C11176" s="6">
        <v>0.50279595181205095</v>
      </c>
    </row>
    <row r="11177" spans="1:3" s="8" customFormat="1" x14ac:dyDescent="0.2">
      <c r="A11177" s="6" t="str">
        <f>"GASK1B"</f>
        <v>GASK1B</v>
      </c>
      <c r="B11177" s="6">
        <v>0.31968031968031901</v>
      </c>
      <c r="C11177" s="6">
        <v>0.50279595181205095</v>
      </c>
    </row>
    <row r="11178" spans="1:3" s="8" customFormat="1" x14ac:dyDescent="0.2">
      <c r="A11178" s="6" t="str">
        <f>"FAM149B1"</f>
        <v>FAM149B1</v>
      </c>
      <c r="B11178" s="6">
        <v>0.31968031968031901</v>
      </c>
      <c r="C11178" s="6">
        <v>0.50279595181205095</v>
      </c>
    </row>
    <row r="11179" spans="1:3" s="8" customFormat="1" x14ac:dyDescent="0.2">
      <c r="A11179" s="6" t="str">
        <f>"SBDS"</f>
        <v>SBDS</v>
      </c>
      <c r="B11179" s="6">
        <v>0.31968031968031901</v>
      </c>
      <c r="C11179" s="6">
        <v>0.50279595181205095</v>
      </c>
    </row>
    <row r="11180" spans="1:3" s="8" customFormat="1" x14ac:dyDescent="0.2">
      <c r="A11180" s="6" t="str">
        <f>"TTC3"</f>
        <v>TTC3</v>
      </c>
      <c r="B11180" s="6">
        <v>0.31968031968031901</v>
      </c>
      <c r="C11180" s="6">
        <v>0.50279595181205095</v>
      </c>
    </row>
    <row r="11181" spans="1:3" s="8" customFormat="1" x14ac:dyDescent="0.2">
      <c r="A11181" s="6" t="str">
        <f>"RPS23"</f>
        <v>RPS23</v>
      </c>
      <c r="B11181" s="6">
        <v>0.31968031968031901</v>
      </c>
      <c r="C11181" s="6">
        <v>0.50279595181205095</v>
      </c>
    </row>
    <row r="11182" spans="1:3" s="8" customFormat="1" x14ac:dyDescent="0.2">
      <c r="A11182" s="6" t="str">
        <f>"UBE2E3"</f>
        <v>UBE2E3</v>
      </c>
      <c r="B11182" s="6">
        <v>0.32</v>
      </c>
      <c r="C11182" s="6">
        <v>0.50320872831336005</v>
      </c>
    </row>
    <row r="11183" spans="1:3" s="8" customFormat="1" x14ac:dyDescent="0.2">
      <c r="A11183" s="6" t="str">
        <f>"ANXA7"</f>
        <v>ANXA7</v>
      </c>
      <c r="B11183" s="6">
        <v>0.32</v>
      </c>
      <c r="C11183" s="6">
        <v>0.50320872831336005</v>
      </c>
    </row>
    <row r="11184" spans="1:3" s="8" customFormat="1" x14ac:dyDescent="0.2">
      <c r="A11184" s="6" t="str">
        <f>"SMR3A"</f>
        <v>SMR3A</v>
      </c>
      <c r="B11184" s="6">
        <v>0.32067932067931998</v>
      </c>
      <c r="C11184" s="6">
        <v>0.50337664477996502</v>
      </c>
    </row>
    <row r="11185" spans="1:3" s="8" customFormat="1" x14ac:dyDescent="0.2">
      <c r="A11185" s="6" t="str">
        <f>"AL355987.3"</f>
        <v>AL355987.3</v>
      </c>
      <c r="B11185" s="6">
        <v>0.32067932067931998</v>
      </c>
      <c r="C11185" s="6">
        <v>0.50337664477996502</v>
      </c>
    </row>
    <row r="11186" spans="1:3" s="8" customFormat="1" x14ac:dyDescent="0.2">
      <c r="A11186" s="6" t="str">
        <f>"AL008727.1"</f>
        <v>AL008727.1</v>
      </c>
      <c r="B11186" s="6">
        <v>0.32067932067931998</v>
      </c>
      <c r="C11186" s="6">
        <v>0.50337664477996502</v>
      </c>
    </row>
    <row r="11187" spans="1:3" s="8" customFormat="1" x14ac:dyDescent="0.2">
      <c r="A11187" s="6" t="str">
        <f>"AL121992.1"</f>
        <v>AL121992.1</v>
      </c>
      <c r="B11187" s="6">
        <v>0.32067932067931998</v>
      </c>
      <c r="C11187" s="6">
        <v>0.50337664477996502</v>
      </c>
    </row>
    <row r="11188" spans="1:3" s="8" customFormat="1" x14ac:dyDescent="0.2">
      <c r="A11188" s="6" t="str">
        <f>"AC079163.2"</f>
        <v>AC079163.2</v>
      </c>
      <c r="B11188" s="6">
        <v>0.32067932067931998</v>
      </c>
      <c r="C11188" s="6">
        <v>0.50337664477996502</v>
      </c>
    </row>
    <row r="11189" spans="1:3" s="8" customFormat="1" x14ac:dyDescent="0.2">
      <c r="A11189" s="6" t="str">
        <f>"FBN2"</f>
        <v>FBN2</v>
      </c>
      <c r="B11189" s="6">
        <v>0.32067932067931998</v>
      </c>
      <c r="C11189" s="6">
        <v>0.50337664477996502</v>
      </c>
    </row>
    <row r="11190" spans="1:3" s="8" customFormat="1" x14ac:dyDescent="0.2">
      <c r="A11190" s="6" t="str">
        <f>"AC010255.2"</f>
        <v>AC010255.2</v>
      </c>
      <c r="B11190" s="6">
        <v>0.32067932067931998</v>
      </c>
      <c r="C11190" s="6">
        <v>0.50337664477996502</v>
      </c>
    </row>
    <row r="11191" spans="1:3" s="8" customFormat="1" x14ac:dyDescent="0.2">
      <c r="A11191" s="6" t="str">
        <f>"HELLS"</f>
        <v>HELLS</v>
      </c>
      <c r="B11191" s="6">
        <v>0.32067932067931998</v>
      </c>
      <c r="C11191" s="6">
        <v>0.50337664477996502</v>
      </c>
    </row>
    <row r="11192" spans="1:3" s="8" customFormat="1" x14ac:dyDescent="0.2">
      <c r="A11192" s="6" t="str">
        <f>"DLEU1"</f>
        <v>DLEU1</v>
      </c>
      <c r="B11192" s="6">
        <v>0.32067932067931998</v>
      </c>
      <c r="C11192" s="6">
        <v>0.50337664477996502</v>
      </c>
    </row>
    <row r="11193" spans="1:3" s="8" customFormat="1" x14ac:dyDescent="0.2">
      <c r="A11193" s="6" t="str">
        <f>"GSTO2"</f>
        <v>GSTO2</v>
      </c>
      <c r="B11193" s="6">
        <v>0.32067932067931998</v>
      </c>
      <c r="C11193" s="6">
        <v>0.50337664477996502</v>
      </c>
    </row>
    <row r="11194" spans="1:3" s="8" customFormat="1" x14ac:dyDescent="0.2">
      <c r="A11194" s="6" t="str">
        <f>"LACTB"</f>
        <v>LACTB</v>
      </c>
      <c r="B11194" s="6">
        <v>0.32067932067931998</v>
      </c>
      <c r="C11194" s="6">
        <v>0.50337664477996502</v>
      </c>
    </row>
    <row r="11195" spans="1:3" s="8" customFormat="1" x14ac:dyDescent="0.2">
      <c r="A11195" s="6" t="str">
        <f>"RECQL"</f>
        <v>RECQL</v>
      </c>
      <c r="B11195" s="6">
        <v>0.32067932067931998</v>
      </c>
      <c r="C11195" s="6">
        <v>0.50337664477996502</v>
      </c>
    </row>
    <row r="11196" spans="1:3" s="8" customFormat="1" x14ac:dyDescent="0.2">
      <c r="A11196" s="6" t="str">
        <f>"PRR14L"</f>
        <v>PRR14L</v>
      </c>
      <c r="B11196" s="6">
        <v>0.32067932067931998</v>
      </c>
      <c r="C11196" s="6">
        <v>0.50337664477996502</v>
      </c>
    </row>
    <row r="11197" spans="1:3" s="8" customFormat="1" x14ac:dyDescent="0.2">
      <c r="A11197" s="6" t="str">
        <f>"PLRG1"</f>
        <v>PLRG1</v>
      </c>
      <c r="B11197" s="6">
        <v>0.32067932067931998</v>
      </c>
      <c r="C11197" s="6">
        <v>0.50337664477996502</v>
      </c>
    </row>
    <row r="11198" spans="1:3" s="8" customFormat="1" x14ac:dyDescent="0.2">
      <c r="A11198" s="6" t="str">
        <f>"GSS"</f>
        <v>GSS</v>
      </c>
      <c r="B11198" s="6">
        <v>0.32067932067931998</v>
      </c>
      <c r="C11198" s="6">
        <v>0.50337664477996502</v>
      </c>
    </row>
    <row r="11199" spans="1:3" s="8" customFormat="1" x14ac:dyDescent="0.2">
      <c r="A11199" s="6" t="str">
        <f>"TOMM70"</f>
        <v>TOMM70</v>
      </c>
      <c r="B11199" s="6">
        <v>0.32067932067931998</v>
      </c>
      <c r="C11199" s="6">
        <v>0.50337664477996502</v>
      </c>
    </row>
    <row r="11200" spans="1:3" s="8" customFormat="1" x14ac:dyDescent="0.2">
      <c r="A11200" s="6" t="str">
        <f>"MBNL1"</f>
        <v>MBNL1</v>
      </c>
      <c r="B11200" s="6">
        <v>0.32067932067931998</v>
      </c>
      <c r="C11200" s="6">
        <v>0.50337664477996502</v>
      </c>
    </row>
    <row r="11201" spans="1:3" s="8" customFormat="1" x14ac:dyDescent="0.2">
      <c r="A11201" s="6" t="str">
        <f>"TCTN2"</f>
        <v>TCTN2</v>
      </c>
      <c r="B11201" s="6">
        <v>0.32067932067931998</v>
      </c>
      <c r="C11201" s="6">
        <v>0.50337664477996502</v>
      </c>
    </row>
    <row r="11202" spans="1:3" s="8" customFormat="1" x14ac:dyDescent="0.2">
      <c r="A11202" s="6" t="str">
        <f>"XRN2"</f>
        <v>XRN2</v>
      </c>
      <c r="B11202" s="6">
        <v>0.32032032032031998</v>
      </c>
      <c r="C11202" s="6">
        <v>0.50337664477996502</v>
      </c>
    </row>
    <row r="11203" spans="1:3" s="8" customFormat="1" x14ac:dyDescent="0.2">
      <c r="A11203" s="6" t="str">
        <f>"RPS7"</f>
        <v>RPS7</v>
      </c>
      <c r="B11203" s="6">
        <v>0.32067932067931998</v>
      </c>
      <c r="C11203" s="6">
        <v>0.50337664477996502</v>
      </c>
    </row>
    <row r="11204" spans="1:3" s="8" customFormat="1" x14ac:dyDescent="0.2">
      <c r="A11204" s="6" t="str">
        <f>"POLRMTP1"</f>
        <v>POLRMTP1</v>
      </c>
      <c r="B11204" s="6">
        <v>0.32088799192734602</v>
      </c>
      <c r="C11204" s="6">
        <v>0.50365923860130801</v>
      </c>
    </row>
    <row r="11205" spans="1:3" s="8" customFormat="1" x14ac:dyDescent="0.2">
      <c r="A11205" s="6" t="str">
        <f>"SLC38A10"</f>
        <v>SLC38A10</v>
      </c>
      <c r="B11205" s="6">
        <v>0.32100000000000001</v>
      </c>
      <c r="C11205" s="6">
        <v>0.50379007497322303</v>
      </c>
    </row>
    <row r="11206" spans="1:3" s="8" customFormat="1" x14ac:dyDescent="0.2">
      <c r="A11206" s="6" t="str">
        <f>"TWIST2"</f>
        <v>TWIST2</v>
      </c>
      <c r="B11206" s="6">
        <v>0.321678321678321</v>
      </c>
      <c r="C11206" s="6">
        <v>0.50404487688394295</v>
      </c>
    </row>
    <row r="11207" spans="1:3" s="8" customFormat="1" x14ac:dyDescent="0.2">
      <c r="A11207" s="6" t="str">
        <f>"AL137002.2"</f>
        <v>AL137002.2</v>
      </c>
      <c r="B11207" s="6">
        <v>0.321678321678321</v>
      </c>
      <c r="C11207" s="6">
        <v>0.50404487688394295</v>
      </c>
    </row>
    <row r="11208" spans="1:3" s="8" customFormat="1" x14ac:dyDescent="0.2">
      <c r="A11208" s="6" t="str">
        <f>"AC005840.2"</f>
        <v>AC005840.2</v>
      </c>
      <c r="B11208" s="6">
        <v>0.321678321678321</v>
      </c>
      <c r="C11208" s="6">
        <v>0.50404487688394295</v>
      </c>
    </row>
    <row r="11209" spans="1:3" s="8" customFormat="1" x14ac:dyDescent="0.2">
      <c r="A11209" s="6" t="str">
        <f>"AC068888.2"</f>
        <v>AC068888.2</v>
      </c>
      <c r="B11209" s="6">
        <v>0.321678321678321</v>
      </c>
      <c r="C11209" s="6">
        <v>0.50404487688394295</v>
      </c>
    </row>
    <row r="11210" spans="1:3" s="8" customFormat="1" x14ac:dyDescent="0.2">
      <c r="A11210" s="6" t="str">
        <f>"AC004593.1"</f>
        <v>AC004593.1</v>
      </c>
      <c r="B11210" s="6">
        <v>0.321678321678321</v>
      </c>
      <c r="C11210" s="6">
        <v>0.50404487688394295</v>
      </c>
    </row>
    <row r="11211" spans="1:3" s="8" customFormat="1" x14ac:dyDescent="0.2">
      <c r="A11211" s="6" t="str">
        <f>"ZNF221"</f>
        <v>ZNF221</v>
      </c>
      <c r="B11211" s="6">
        <v>0.321678321678321</v>
      </c>
      <c r="C11211" s="6">
        <v>0.50404487688394295</v>
      </c>
    </row>
    <row r="11212" spans="1:3" s="8" customFormat="1" x14ac:dyDescent="0.2">
      <c r="A11212" s="6" t="str">
        <f>"SPARC"</f>
        <v>SPARC</v>
      </c>
      <c r="B11212" s="6">
        <v>0.321678321678321</v>
      </c>
      <c r="C11212" s="6">
        <v>0.50404487688394295</v>
      </c>
    </row>
    <row r="11213" spans="1:3" s="8" customFormat="1" x14ac:dyDescent="0.2">
      <c r="A11213" s="6" t="str">
        <f>"EGFL6"</f>
        <v>EGFL6</v>
      </c>
      <c r="B11213" s="6">
        <v>0.321678321678321</v>
      </c>
      <c r="C11213" s="6">
        <v>0.50404487688394295</v>
      </c>
    </row>
    <row r="11214" spans="1:3" s="8" customFormat="1" x14ac:dyDescent="0.2">
      <c r="A11214" s="6" t="str">
        <f>"KCNQ1OT1"</f>
        <v>KCNQ1OT1</v>
      </c>
      <c r="B11214" s="6">
        <v>0.321678321678321</v>
      </c>
      <c r="C11214" s="6">
        <v>0.50404487688394295</v>
      </c>
    </row>
    <row r="11215" spans="1:3" s="8" customFormat="1" x14ac:dyDescent="0.2">
      <c r="A11215" s="6" t="str">
        <f>"TRAF6"</f>
        <v>TRAF6</v>
      </c>
      <c r="B11215" s="6">
        <v>0.321678321678321</v>
      </c>
      <c r="C11215" s="6">
        <v>0.50404487688394295</v>
      </c>
    </row>
    <row r="11216" spans="1:3" s="8" customFormat="1" x14ac:dyDescent="0.2">
      <c r="A11216" s="6" t="str">
        <f>"PLCG1"</f>
        <v>PLCG1</v>
      </c>
      <c r="B11216" s="6">
        <v>0.321678321678321</v>
      </c>
      <c r="C11216" s="6">
        <v>0.50404487688394295</v>
      </c>
    </row>
    <row r="11217" spans="1:3" s="8" customFormat="1" x14ac:dyDescent="0.2">
      <c r="A11217" s="6" t="str">
        <f>"IKBKG"</f>
        <v>IKBKG</v>
      </c>
      <c r="B11217" s="6">
        <v>0.321678321678321</v>
      </c>
      <c r="C11217" s="6">
        <v>0.50404487688394295</v>
      </c>
    </row>
    <row r="11218" spans="1:3" s="8" customFormat="1" x14ac:dyDescent="0.2">
      <c r="A11218" s="6" t="str">
        <f>"CTDP1"</f>
        <v>CTDP1</v>
      </c>
      <c r="B11218" s="6">
        <v>0.321678321678321</v>
      </c>
      <c r="C11218" s="6">
        <v>0.50404487688394295</v>
      </c>
    </row>
    <row r="11219" spans="1:3" s="8" customFormat="1" x14ac:dyDescent="0.2">
      <c r="A11219" s="6" t="str">
        <f>"SLC30A5"</f>
        <v>SLC30A5</v>
      </c>
      <c r="B11219" s="6">
        <v>0.321678321678321</v>
      </c>
      <c r="C11219" s="6">
        <v>0.50404487688394295</v>
      </c>
    </row>
    <row r="11220" spans="1:3" s="8" customFormat="1" x14ac:dyDescent="0.2">
      <c r="A11220" s="6" t="str">
        <f>"GPR162"</f>
        <v>GPR162</v>
      </c>
      <c r="B11220" s="6">
        <v>0.321678321678321</v>
      </c>
      <c r="C11220" s="6">
        <v>0.50404487688394295</v>
      </c>
    </row>
    <row r="11221" spans="1:3" s="8" customFormat="1" x14ac:dyDescent="0.2">
      <c r="A11221" s="6" t="str">
        <f>"PATJ"</f>
        <v>PATJ</v>
      </c>
      <c r="B11221" s="6">
        <v>0.321678321678321</v>
      </c>
      <c r="C11221" s="6">
        <v>0.50404487688394295</v>
      </c>
    </row>
    <row r="11222" spans="1:3" s="8" customFormat="1" x14ac:dyDescent="0.2">
      <c r="A11222" s="6" t="str">
        <f>"USP19"</f>
        <v>USP19</v>
      </c>
      <c r="B11222" s="6">
        <v>0.321678321678321</v>
      </c>
      <c r="C11222" s="6">
        <v>0.50404487688394295</v>
      </c>
    </row>
    <row r="11223" spans="1:3" s="8" customFormat="1" x14ac:dyDescent="0.2">
      <c r="A11223" s="6" t="str">
        <f>"TXNDC5"</f>
        <v>TXNDC5</v>
      </c>
      <c r="B11223" s="6">
        <v>0.321678321678321</v>
      </c>
      <c r="C11223" s="6">
        <v>0.50404487688394295</v>
      </c>
    </row>
    <row r="11224" spans="1:3" s="8" customFormat="1" x14ac:dyDescent="0.2">
      <c r="A11224" s="6" t="str">
        <f>"AL109659.2"</f>
        <v>AL109659.2</v>
      </c>
      <c r="B11224" s="6">
        <v>0.32267732267732202</v>
      </c>
      <c r="C11224" s="6">
        <v>0.50502519287565995</v>
      </c>
    </row>
    <row r="11225" spans="1:3" s="8" customFormat="1" x14ac:dyDescent="0.2">
      <c r="A11225" s="6" t="str">
        <f>"AC008676.1"</f>
        <v>AC008676.1</v>
      </c>
      <c r="B11225" s="6">
        <v>0.32267732267732202</v>
      </c>
      <c r="C11225" s="6">
        <v>0.50502519287565995</v>
      </c>
    </row>
    <row r="11226" spans="1:3" s="8" customFormat="1" x14ac:dyDescent="0.2">
      <c r="A11226" s="6" t="str">
        <f>"AC121758.2"</f>
        <v>AC121758.2</v>
      </c>
      <c r="B11226" s="6">
        <v>0.32251082251082203</v>
      </c>
      <c r="C11226" s="6">
        <v>0.50502519287565995</v>
      </c>
    </row>
    <row r="11227" spans="1:3" s="8" customFormat="1" x14ac:dyDescent="0.2">
      <c r="A11227" s="6" t="str">
        <f>"CA9"</f>
        <v>CA9</v>
      </c>
      <c r="B11227" s="6">
        <v>0.32267732267732202</v>
      </c>
      <c r="C11227" s="6">
        <v>0.50502519287565995</v>
      </c>
    </row>
    <row r="11228" spans="1:3" s="8" customFormat="1" x14ac:dyDescent="0.2">
      <c r="A11228" s="6" t="str">
        <f>"AL390208.1"</f>
        <v>AL390208.1</v>
      </c>
      <c r="B11228" s="6">
        <v>0.32267732267732202</v>
      </c>
      <c r="C11228" s="6">
        <v>0.50502519287565995</v>
      </c>
    </row>
    <row r="11229" spans="1:3" s="8" customFormat="1" x14ac:dyDescent="0.2">
      <c r="A11229" s="6" t="str">
        <f>"ZKSCAN2-DT"</f>
        <v>ZKSCAN2-DT</v>
      </c>
      <c r="B11229" s="6">
        <v>0.32267732267732202</v>
      </c>
      <c r="C11229" s="6">
        <v>0.50502519287565995</v>
      </c>
    </row>
    <row r="11230" spans="1:3" s="8" customFormat="1" x14ac:dyDescent="0.2">
      <c r="A11230" s="6" t="str">
        <f>"C14orf28"</f>
        <v>C14orf28</v>
      </c>
      <c r="B11230" s="6">
        <v>0.32267732267732202</v>
      </c>
      <c r="C11230" s="6">
        <v>0.50502519287565995</v>
      </c>
    </row>
    <row r="11231" spans="1:3" s="8" customFormat="1" x14ac:dyDescent="0.2">
      <c r="A11231" s="6" t="str">
        <f>"TMEM234"</f>
        <v>TMEM234</v>
      </c>
      <c r="B11231" s="6">
        <v>0.32267732267732202</v>
      </c>
      <c r="C11231" s="6">
        <v>0.50502519287565995</v>
      </c>
    </row>
    <row r="11232" spans="1:3" s="8" customFormat="1" x14ac:dyDescent="0.2">
      <c r="A11232" s="6" t="str">
        <f>"SIAH1"</f>
        <v>SIAH1</v>
      </c>
      <c r="B11232" s="6">
        <v>0.32267732267732202</v>
      </c>
      <c r="C11232" s="6">
        <v>0.50502519287565995</v>
      </c>
    </row>
    <row r="11233" spans="1:3" s="8" customFormat="1" x14ac:dyDescent="0.2">
      <c r="A11233" s="6" t="str">
        <f>"DZANK1"</f>
        <v>DZANK1</v>
      </c>
      <c r="B11233" s="6">
        <v>0.32267732267732202</v>
      </c>
      <c r="C11233" s="6">
        <v>0.50502519287565995</v>
      </c>
    </row>
    <row r="11234" spans="1:3" s="8" customFormat="1" x14ac:dyDescent="0.2">
      <c r="A11234" s="6" t="str">
        <f>"ZNF397"</f>
        <v>ZNF397</v>
      </c>
      <c r="B11234" s="6">
        <v>0.32267732267732202</v>
      </c>
      <c r="C11234" s="6">
        <v>0.50502519287565995</v>
      </c>
    </row>
    <row r="11235" spans="1:3" s="8" customFormat="1" x14ac:dyDescent="0.2">
      <c r="A11235" s="6" t="str">
        <f>"SLC30A9"</f>
        <v>SLC30A9</v>
      </c>
      <c r="B11235" s="6">
        <v>0.32267732267732202</v>
      </c>
      <c r="C11235" s="6">
        <v>0.50502519287565995</v>
      </c>
    </row>
    <row r="11236" spans="1:3" s="8" customFormat="1" x14ac:dyDescent="0.2">
      <c r="A11236" s="6" t="str">
        <f>"ARF3"</f>
        <v>ARF3</v>
      </c>
      <c r="B11236" s="6">
        <v>0.32267732267732202</v>
      </c>
      <c r="C11236" s="6">
        <v>0.50502519287565995</v>
      </c>
    </row>
    <row r="11237" spans="1:3" s="8" customFormat="1" x14ac:dyDescent="0.2">
      <c r="A11237" s="6" t="str">
        <f>"POLR2B"</f>
        <v>POLR2B</v>
      </c>
      <c r="B11237" s="6">
        <v>0.32300000000000001</v>
      </c>
      <c r="C11237" s="6">
        <v>0.50548522605909496</v>
      </c>
    </row>
    <row r="11238" spans="1:3" s="8" customFormat="1" x14ac:dyDescent="0.2">
      <c r="A11238" s="6" t="str">
        <f>"NEXMIF"</f>
        <v>NEXMIF</v>
      </c>
      <c r="B11238" s="6">
        <v>0.32367632367632299</v>
      </c>
      <c r="C11238" s="6">
        <v>0.50600324284534803</v>
      </c>
    </row>
    <row r="11239" spans="1:3" s="8" customFormat="1" x14ac:dyDescent="0.2">
      <c r="A11239" s="6" t="str">
        <f>"ARMCX2"</f>
        <v>ARMCX2</v>
      </c>
      <c r="B11239" s="6">
        <v>0.32367632367632299</v>
      </c>
      <c r="C11239" s="6">
        <v>0.50600324284534803</v>
      </c>
    </row>
    <row r="11240" spans="1:3" s="8" customFormat="1" x14ac:dyDescent="0.2">
      <c r="A11240" s="6" t="str">
        <f>"MARK1"</f>
        <v>MARK1</v>
      </c>
      <c r="B11240" s="6">
        <v>0.32367632367632299</v>
      </c>
      <c r="C11240" s="6">
        <v>0.50600324284534803</v>
      </c>
    </row>
    <row r="11241" spans="1:3" s="8" customFormat="1" x14ac:dyDescent="0.2">
      <c r="A11241" s="6" t="str">
        <f>"TPST1"</f>
        <v>TPST1</v>
      </c>
      <c r="B11241" s="6">
        <v>0.32367632367632299</v>
      </c>
      <c r="C11241" s="6">
        <v>0.50600324284534803</v>
      </c>
    </row>
    <row r="11242" spans="1:3" s="8" customFormat="1" x14ac:dyDescent="0.2">
      <c r="A11242" s="6" t="str">
        <f>"TBL2"</f>
        <v>TBL2</v>
      </c>
      <c r="B11242" s="6">
        <v>0.32367632367632299</v>
      </c>
      <c r="C11242" s="6">
        <v>0.50600324284534803</v>
      </c>
    </row>
    <row r="11243" spans="1:3" s="8" customFormat="1" x14ac:dyDescent="0.2">
      <c r="A11243" s="6" t="str">
        <f>"PPP2R5E"</f>
        <v>PPP2R5E</v>
      </c>
      <c r="B11243" s="6">
        <v>0.32367632367632299</v>
      </c>
      <c r="C11243" s="6">
        <v>0.50600324284534803</v>
      </c>
    </row>
    <row r="11244" spans="1:3" s="8" customFormat="1" x14ac:dyDescent="0.2">
      <c r="A11244" s="6" t="str">
        <f>"EPB41L4A"</f>
        <v>EPB41L4A</v>
      </c>
      <c r="B11244" s="6">
        <v>0.32367632367632299</v>
      </c>
      <c r="C11244" s="6">
        <v>0.50600324284534803</v>
      </c>
    </row>
    <row r="11245" spans="1:3" s="8" customFormat="1" x14ac:dyDescent="0.2">
      <c r="A11245" s="6" t="str">
        <f>"ABHD14B"</f>
        <v>ABHD14B</v>
      </c>
      <c r="B11245" s="6">
        <v>0.32367632367632299</v>
      </c>
      <c r="C11245" s="6">
        <v>0.50600324284534803</v>
      </c>
    </row>
    <row r="11246" spans="1:3" s="8" customFormat="1" x14ac:dyDescent="0.2">
      <c r="A11246" s="6" t="str">
        <f>"DROSHA"</f>
        <v>DROSHA</v>
      </c>
      <c r="B11246" s="6">
        <v>0.32367632367632299</v>
      </c>
      <c r="C11246" s="6">
        <v>0.50600324284534803</v>
      </c>
    </row>
    <row r="11247" spans="1:3" s="8" customFormat="1" x14ac:dyDescent="0.2">
      <c r="A11247" s="6" t="str">
        <f>"RBCK1"</f>
        <v>RBCK1</v>
      </c>
      <c r="B11247" s="6">
        <v>0.32367632367632299</v>
      </c>
      <c r="C11247" s="6">
        <v>0.50600324284534803</v>
      </c>
    </row>
    <row r="11248" spans="1:3" s="8" customFormat="1" x14ac:dyDescent="0.2">
      <c r="A11248" s="6" t="str">
        <f>"PGRMC1"</f>
        <v>PGRMC1</v>
      </c>
      <c r="B11248" s="6">
        <v>0.32367632367632299</v>
      </c>
      <c r="C11248" s="6">
        <v>0.50600324284534803</v>
      </c>
    </row>
    <row r="11249" spans="1:3" s="8" customFormat="1" x14ac:dyDescent="0.2">
      <c r="A11249" s="6" t="str">
        <f>"UBXN10"</f>
        <v>UBXN10</v>
      </c>
      <c r="B11249" s="6">
        <v>0.32367632367632299</v>
      </c>
      <c r="C11249" s="6">
        <v>0.50600324284534803</v>
      </c>
    </row>
    <row r="11250" spans="1:3" s="8" customFormat="1" x14ac:dyDescent="0.2">
      <c r="A11250" s="6" t="str">
        <f>"ZNF582-AS1"</f>
        <v>ZNF582-AS1</v>
      </c>
      <c r="B11250" s="6">
        <v>0.32400000000000001</v>
      </c>
      <c r="C11250" s="6">
        <v>0.50646421904169203</v>
      </c>
    </row>
    <row r="11251" spans="1:3" s="8" customFormat="1" x14ac:dyDescent="0.2">
      <c r="A11251" s="6" t="str">
        <f>"AC116158.1"</f>
        <v>AC116158.1</v>
      </c>
      <c r="B11251" s="6">
        <v>0.32467532467532401</v>
      </c>
      <c r="C11251" s="6">
        <v>0.50666408493884496</v>
      </c>
    </row>
    <row r="11252" spans="1:3" s="8" customFormat="1" x14ac:dyDescent="0.2">
      <c r="A11252" s="6" t="str">
        <f>"AL592211.2"</f>
        <v>AL592211.2</v>
      </c>
      <c r="B11252" s="6">
        <v>0.32426988922457201</v>
      </c>
      <c r="C11252" s="6">
        <v>0.50666408493884496</v>
      </c>
    </row>
    <row r="11253" spans="1:3" s="8" customFormat="1" x14ac:dyDescent="0.2">
      <c r="A11253" s="6" t="str">
        <f>"SSBP3-AS1"</f>
        <v>SSBP3-AS1</v>
      </c>
      <c r="B11253" s="6">
        <v>0.32467532467532401</v>
      </c>
      <c r="C11253" s="6">
        <v>0.50666408493884496</v>
      </c>
    </row>
    <row r="11254" spans="1:3" s="8" customFormat="1" x14ac:dyDescent="0.2">
      <c r="A11254" s="6" t="str">
        <f>"BVES"</f>
        <v>BVES</v>
      </c>
      <c r="B11254" s="6">
        <v>0.32464929859719399</v>
      </c>
      <c r="C11254" s="6">
        <v>0.50666408493884496</v>
      </c>
    </row>
    <row r="11255" spans="1:3" s="8" customFormat="1" x14ac:dyDescent="0.2">
      <c r="A11255" s="6" t="str">
        <f>"OLFM4"</f>
        <v>OLFM4</v>
      </c>
      <c r="B11255" s="6">
        <v>0.32467532467532401</v>
      </c>
      <c r="C11255" s="6">
        <v>0.50666408493884496</v>
      </c>
    </row>
    <row r="11256" spans="1:3" s="8" customFormat="1" x14ac:dyDescent="0.2">
      <c r="A11256" s="6" t="str">
        <f>"RPL13AP7"</f>
        <v>RPL13AP7</v>
      </c>
      <c r="B11256" s="6">
        <v>0.32464929859719399</v>
      </c>
      <c r="C11256" s="6">
        <v>0.50666408493884496</v>
      </c>
    </row>
    <row r="11257" spans="1:3" s="8" customFormat="1" x14ac:dyDescent="0.2">
      <c r="A11257" s="6" t="str">
        <f>"CXCR3"</f>
        <v>CXCR3</v>
      </c>
      <c r="B11257" s="6">
        <v>0.32467532467532401</v>
      </c>
      <c r="C11257" s="6">
        <v>0.50666408493884496</v>
      </c>
    </row>
    <row r="11258" spans="1:3" s="8" customFormat="1" x14ac:dyDescent="0.2">
      <c r="A11258" s="6" t="str">
        <f>"IMMP1L"</f>
        <v>IMMP1L</v>
      </c>
      <c r="B11258" s="6">
        <v>0.32467532467532401</v>
      </c>
      <c r="C11258" s="6">
        <v>0.50666408493884496</v>
      </c>
    </row>
    <row r="11259" spans="1:3" s="8" customFormat="1" x14ac:dyDescent="0.2">
      <c r="A11259" s="6" t="str">
        <f>"ZNF697"</f>
        <v>ZNF697</v>
      </c>
      <c r="B11259" s="6">
        <v>0.32467532467532401</v>
      </c>
      <c r="C11259" s="6">
        <v>0.50666408493884496</v>
      </c>
    </row>
    <row r="11260" spans="1:3" s="8" customFormat="1" x14ac:dyDescent="0.2">
      <c r="A11260" s="6" t="str">
        <f>"TLCD5"</f>
        <v>TLCD5</v>
      </c>
      <c r="B11260" s="6">
        <v>0.32467532467532401</v>
      </c>
      <c r="C11260" s="6">
        <v>0.50666408493884496</v>
      </c>
    </row>
    <row r="11261" spans="1:3" s="8" customFormat="1" x14ac:dyDescent="0.2">
      <c r="A11261" s="6" t="str">
        <f>"ITGA9"</f>
        <v>ITGA9</v>
      </c>
      <c r="B11261" s="6">
        <v>0.32467532467532401</v>
      </c>
      <c r="C11261" s="6">
        <v>0.50666408493884496</v>
      </c>
    </row>
    <row r="11262" spans="1:3" s="8" customFormat="1" x14ac:dyDescent="0.2">
      <c r="A11262" s="6" t="str">
        <f>"ITSN2"</f>
        <v>ITSN2</v>
      </c>
      <c r="B11262" s="6">
        <v>0.32467532467532401</v>
      </c>
      <c r="C11262" s="6">
        <v>0.50666408493884496</v>
      </c>
    </row>
    <row r="11263" spans="1:3" s="8" customFormat="1" x14ac:dyDescent="0.2">
      <c r="A11263" s="6" t="str">
        <f>"TSR3"</f>
        <v>TSR3</v>
      </c>
      <c r="B11263" s="6">
        <v>0.32467532467532401</v>
      </c>
      <c r="C11263" s="6">
        <v>0.50666408493884496</v>
      </c>
    </row>
    <row r="11264" spans="1:3" s="8" customFormat="1" x14ac:dyDescent="0.2">
      <c r="A11264" s="6" t="str">
        <f>"ARPC5L"</f>
        <v>ARPC5L</v>
      </c>
      <c r="B11264" s="6">
        <v>0.32467532467532401</v>
      </c>
      <c r="C11264" s="6">
        <v>0.50666408493884496</v>
      </c>
    </row>
    <row r="11265" spans="1:3" s="8" customFormat="1" x14ac:dyDescent="0.2">
      <c r="A11265" s="6" t="str">
        <f>"CCDC57"</f>
        <v>CCDC57</v>
      </c>
      <c r="B11265" s="6">
        <v>0.32467532467532401</v>
      </c>
      <c r="C11265" s="6">
        <v>0.50666408493884496</v>
      </c>
    </row>
    <row r="11266" spans="1:3" s="8" customFormat="1" x14ac:dyDescent="0.2">
      <c r="A11266" s="6" t="str">
        <f>"DCAF6"</f>
        <v>DCAF6</v>
      </c>
      <c r="B11266" s="6">
        <v>0.32467532467532401</v>
      </c>
      <c r="C11266" s="6">
        <v>0.50666408493884496</v>
      </c>
    </row>
    <row r="11267" spans="1:3" s="8" customFormat="1" x14ac:dyDescent="0.2">
      <c r="A11267" s="6" t="str">
        <f>"USP34"</f>
        <v>USP34</v>
      </c>
      <c r="B11267" s="6">
        <v>0.32467532467532401</v>
      </c>
      <c r="C11267" s="6">
        <v>0.50666408493884496</v>
      </c>
    </row>
    <row r="11268" spans="1:3" s="8" customFormat="1" x14ac:dyDescent="0.2">
      <c r="A11268" s="6" t="str">
        <f>"PBXIP1"</f>
        <v>PBXIP1</v>
      </c>
      <c r="B11268" s="6">
        <v>0.32467532467532401</v>
      </c>
      <c r="C11268" s="6">
        <v>0.50666408493884496</v>
      </c>
    </row>
    <row r="11269" spans="1:3" s="8" customFormat="1" x14ac:dyDescent="0.2">
      <c r="A11269" s="6" t="str">
        <f>"SMIM14"</f>
        <v>SMIM14</v>
      </c>
      <c r="B11269" s="6">
        <v>0.32467532467532401</v>
      </c>
      <c r="C11269" s="6">
        <v>0.50666408493884496</v>
      </c>
    </row>
    <row r="11270" spans="1:3" s="8" customFormat="1" x14ac:dyDescent="0.2">
      <c r="A11270" s="6" t="str">
        <f>"AL359643.2"</f>
        <v>AL359643.2</v>
      </c>
      <c r="B11270" s="6">
        <v>0.32500000000000001</v>
      </c>
      <c r="C11270" s="6">
        <v>0.50703575547866198</v>
      </c>
    </row>
    <row r="11271" spans="1:3" s="8" customFormat="1" x14ac:dyDescent="0.2">
      <c r="A11271" s="6" t="str">
        <f>"SLIT2"</f>
        <v>SLIT2</v>
      </c>
      <c r="B11271" s="6">
        <v>0.32500000000000001</v>
      </c>
      <c r="C11271" s="6">
        <v>0.50703575547866198</v>
      </c>
    </row>
    <row r="11272" spans="1:3" s="8" customFormat="1" x14ac:dyDescent="0.2">
      <c r="A11272" s="6" t="str">
        <f>"C1orf87"</f>
        <v>C1orf87</v>
      </c>
      <c r="B11272" s="6">
        <v>0.32500000000000001</v>
      </c>
      <c r="C11272" s="6">
        <v>0.50703575547866198</v>
      </c>
    </row>
    <row r="11273" spans="1:3" s="8" customFormat="1" x14ac:dyDescent="0.2">
      <c r="A11273" s="6" t="str">
        <f>"C7"</f>
        <v>C7</v>
      </c>
      <c r="B11273" s="6">
        <v>0.32567432567432503</v>
      </c>
      <c r="C11273" s="6">
        <v>0.50745745171974599</v>
      </c>
    </row>
    <row r="11274" spans="1:3" s="8" customFormat="1" x14ac:dyDescent="0.2">
      <c r="A11274" s="6" t="str">
        <f>"AC100830.1"</f>
        <v>AC100830.1</v>
      </c>
      <c r="B11274" s="6">
        <v>0.32546201232032801</v>
      </c>
      <c r="C11274" s="6">
        <v>0.50745745171974599</v>
      </c>
    </row>
    <row r="11275" spans="1:3" s="8" customFormat="1" x14ac:dyDescent="0.2">
      <c r="A11275" s="6" t="str">
        <f>"UQCRHL"</f>
        <v>UQCRHL</v>
      </c>
      <c r="B11275" s="6">
        <v>0.32567432567432503</v>
      </c>
      <c r="C11275" s="6">
        <v>0.50745745171974599</v>
      </c>
    </row>
    <row r="11276" spans="1:3" s="8" customFormat="1" x14ac:dyDescent="0.2">
      <c r="A11276" s="6" t="str">
        <f>"AC117464.1"</f>
        <v>AC117464.1</v>
      </c>
      <c r="B11276" s="6">
        <v>0.32567432567432503</v>
      </c>
      <c r="C11276" s="6">
        <v>0.50745745171974599</v>
      </c>
    </row>
    <row r="11277" spans="1:3" s="8" customFormat="1" x14ac:dyDescent="0.2">
      <c r="A11277" s="6" t="str">
        <f>"HS3ST2"</f>
        <v>HS3ST2</v>
      </c>
      <c r="B11277" s="6">
        <v>0.32567432567432503</v>
      </c>
      <c r="C11277" s="6">
        <v>0.50745745171974599</v>
      </c>
    </row>
    <row r="11278" spans="1:3" s="8" customFormat="1" x14ac:dyDescent="0.2">
      <c r="A11278" s="6" t="str">
        <f>"TMEM211"</f>
        <v>TMEM211</v>
      </c>
      <c r="B11278" s="6">
        <v>0.32567432567432503</v>
      </c>
      <c r="C11278" s="6">
        <v>0.50745745171974599</v>
      </c>
    </row>
    <row r="11279" spans="1:3" s="8" customFormat="1" x14ac:dyDescent="0.2">
      <c r="A11279" s="6" t="str">
        <f>"KCNQ3"</f>
        <v>KCNQ3</v>
      </c>
      <c r="B11279" s="6">
        <v>0.32567432567432503</v>
      </c>
      <c r="C11279" s="6">
        <v>0.50745745171974599</v>
      </c>
    </row>
    <row r="11280" spans="1:3" s="8" customFormat="1" x14ac:dyDescent="0.2">
      <c r="A11280" s="6" t="str">
        <f>"ZNF117"</f>
        <v>ZNF117</v>
      </c>
      <c r="B11280" s="6">
        <v>0.32567432567432503</v>
      </c>
      <c r="C11280" s="6">
        <v>0.50745745171974599</v>
      </c>
    </row>
    <row r="11281" spans="1:3" s="8" customFormat="1" x14ac:dyDescent="0.2">
      <c r="A11281" s="6" t="str">
        <f>"DDT"</f>
        <v>DDT</v>
      </c>
      <c r="B11281" s="6">
        <v>0.32567432567432503</v>
      </c>
      <c r="C11281" s="6">
        <v>0.50745745171974599</v>
      </c>
    </row>
    <row r="11282" spans="1:3" s="8" customFormat="1" x14ac:dyDescent="0.2">
      <c r="A11282" s="6" t="str">
        <f>"MFSD10"</f>
        <v>MFSD10</v>
      </c>
      <c r="B11282" s="6">
        <v>0.32567432567432503</v>
      </c>
      <c r="C11282" s="6">
        <v>0.50745745171974599</v>
      </c>
    </row>
    <row r="11283" spans="1:3" s="8" customFormat="1" x14ac:dyDescent="0.2">
      <c r="A11283" s="6" t="str">
        <f>"JHY"</f>
        <v>JHY</v>
      </c>
      <c r="B11283" s="6">
        <v>0.32567432567432503</v>
      </c>
      <c r="C11283" s="6">
        <v>0.50745745171974599</v>
      </c>
    </row>
    <row r="11284" spans="1:3" s="8" customFormat="1" x14ac:dyDescent="0.2">
      <c r="A11284" s="6" t="str">
        <f>"CPSF6"</f>
        <v>CPSF6</v>
      </c>
      <c r="B11284" s="6">
        <v>0.32567432567432503</v>
      </c>
      <c r="C11284" s="6">
        <v>0.50745745171974599</v>
      </c>
    </row>
    <row r="11285" spans="1:3" s="8" customFormat="1" x14ac:dyDescent="0.2">
      <c r="A11285" s="6" t="str">
        <f>"SBF1"</f>
        <v>SBF1</v>
      </c>
      <c r="B11285" s="6">
        <v>0.32567432567432503</v>
      </c>
      <c r="C11285" s="6">
        <v>0.50745745171974599</v>
      </c>
    </row>
    <row r="11286" spans="1:3" s="8" customFormat="1" x14ac:dyDescent="0.2">
      <c r="A11286" s="6" t="str">
        <f>"MBTPS1"</f>
        <v>MBTPS1</v>
      </c>
      <c r="B11286" s="6">
        <v>0.32567432567432503</v>
      </c>
      <c r="C11286" s="6">
        <v>0.50745745171974599</v>
      </c>
    </row>
    <row r="11287" spans="1:3" s="8" customFormat="1" x14ac:dyDescent="0.2">
      <c r="A11287" s="6" t="str">
        <f>"AC091057.2"</f>
        <v>AC091057.2</v>
      </c>
      <c r="B11287" s="6">
        <v>0.32600000000000001</v>
      </c>
      <c r="C11287" s="6">
        <v>0.50791990076200599</v>
      </c>
    </row>
    <row r="11288" spans="1:3" s="8" customFormat="1" x14ac:dyDescent="0.2">
      <c r="A11288" s="6" t="str">
        <f>"AC008758.5"</f>
        <v>AC008758.5</v>
      </c>
      <c r="B11288" s="6">
        <v>0.32667332667332599</v>
      </c>
      <c r="C11288" s="6">
        <v>0.50829340555913405</v>
      </c>
    </row>
    <row r="11289" spans="1:3" s="8" customFormat="1" x14ac:dyDescent="0.2">
      <c r="A11289" s="6" t="str">
        <f>"AC113410.5"</f>
        <v>AC113410.5</v>
      </c>
      <c r="B11289" s="6">
        <v>0.32667332667332599</v>
      </c>
      <c r="C11289" s="6">
        <v>0.50829340555913405</v>
      </c>
    </row>
    <row r="11290" spans="1:3" s="8" customFormat="1" x14ac:dyDescent="0.2">
      <c r="A11290" s="6" t="str">
        <f>"AL161910.1"</f>
        <v>AL161910.1</v>
      </c>
      <c r="B11290" s="6">
        <v>0.32667332667332599</v>
      </c>
      <c r="C11290" s="6">
        <v>0.50829340555913405</v>
      </c>
    </row>
    <row r="11291" spans="1:3" s="8" customFormat="1" x14ac:dyDescent="0.2">
      <c r="A11291" s="6" t="str">
        <f>"SNORC"</f>
        <v>SNORC</v>
      </c>
      <c r="B11291" s="6">
        <v>0.32667332667332599</v>
      </c>
      <c r="C11291" s="6">
        <v>0.50829340555913405</v>
      </c>
    </row>
    <row r="11292" spans="1:3" s="8" customFormat="1" x14ac:dyDescent="0.2">
      <c r="A11292" s="6" t="str">
        <f>"AL590434.1"</f>
        <v>AL590434.1</v>
      </c>
      <c r="B11292" s="6">
        <v>0.32667332667332599</v>
      </c>
      <c r="C11292" s="6">
        <v>0.50829340555913405</v>
      </c>
    </row>
    <row r="11293" spans="1:3" s="8" customFormat="1" x14ac:dyDescent="0.2">
      <c r="A11293" s="6" t="str">
        <f>"MROH7"</f>
        <v>MROH7</v>
      </c>
      <c r="B11293" s="6">
        <v>0.32667332667332599</v>
      </c>
      <c r="C11293" s="6">
        <v>0.50829340555913405</v>
      </c>
    </row>
    <row r="11294" spans="1:3" s="8" customFormat="1" x14ac:dyDescent="0.2">
      <c r="A11294" s="6" t="str">
        <f>"YARS2"</f>
        <v>YARS2</v>
      </c>
      <c r="B11294" s="6">
        <v>0.32667332667332599</v>
      </c>
      <c r="C11294" s="6">
        <v>0.50829340555913405</v>
      </c>
    </row>
    <row r="11295" spans="1:3" s="8" customFormat="1" x14ac:dyDescent="0.2">
      <c r="A11295" s="6" t="str">
        <f>"TSNARE1"</f>
        <v>TSNARE1</v>
      </c>
      <c r="B11295" s="6">
        <v>0.32667332667332599</v>
      </c>
      <c r="C11295" s="6">
        <v>0.50829340555913405</v>
      </c>
    </row>
    <row r="11296" spans="1:3" s="8" customFormat="1" x14ac:dyDescent="0.2">
      <c r="A11296" s="6" t="str">
        <f>"ZNF414"</f>
        <v>ZNF414</v>
      </c>
      <c r="B11296" s="6">
        <v>0.32667332667332599</v>
      </c>
      <c r="C11296" s="6">
        <v>0.50829340555913405</v>
      </c>
    </row>
    <row r="11297" spans="1:3" s="8" customFormat="1" x14ac:dyDescent="0.2">
      <c r="A11297" s="6" t="str">
        <f>"FN3KRP"</f>
        <v>FN3KRP</v>
      </c>
      <c r="B11297" s="6">
        <v>0.32667332667332599</v>
      </c>
      <c r="C11297" s="6">
        <v>0.50829340555913405</v>
      </c>
    </row>
    <row r="11298" spans="1:3" s="8" customFormat="1" x14ac:dyDescent="0.2">
      <c r="A11298" s="6" t="str">
        <f>"FAM171A1"</f>
        <v>FAM171A1</v>
      </c>
      <c r="B11298" s="6">
        <v>0.32667332667332599</v>
      </c>
      <c r="C11298" s="6">
        <v>0.50829340555913405</v>
      </c>
    </row>
    <row r="11299" spans="1:3" s="8" customFormat="1" x14ac:dyDescent="0.2">
      <c r="A11299" s="6" t="str">
        <f>"DHTKD1"</f>
        <v>DHTKD1</v>
      </c>
      <c r="B11299" s="6">
        <v>0.32667332667332599</v>
      </c>
      <c r="C11299" s="6">
        <v>0.50829340555913405</v>
      </c>
    </row>
    <row r="11300" spans="1:3" s="8" customFormat="1" x14ac:dyDescent="0.2">
      <c r="A11300" s="6" t="str">
        <f>"SPPL2A"</f>
        <v>SPPL2A</v>
      </c>
      <c r="B11300" s="6">
        <v>0.32667332667332599</v>
      </c>
      <c r="C11300" s="6">
        <v>0.50829340555913405</v>
      </c>
    </row>
    <row r="11301" spans="1:3" s="8" customFormat="1" x14ac:dyDescent="0.2">
      <c r="A11301" s="6" t="str">
        <f>"ATP5MC2"</f>
        <v>ATP5MC2</v>
      </c>
      <c r="B11301" s="6">
        <v>0.32667332667332599</v>
      </c>
      <c r="C11301" s="6">
        <v>0.50829340555913405</v>
      </c>
    </row>
    <row r="11302" spans="1:3" s="8" customFormat="1" x14ac:dyDescent="0.2">
      <c r="A11302" s="6" t="str">
        <f>"SCGB3A1"</f>
        <v>SCGB3A1</v>
      </c>
      <c r="B11302" s="6">
        <v>0.32667332667332599</v>
      </c>
      <c r="C11302" s="6">
        <v>0.50829340555913405</v>
      </c>
    </row>
    <row r="11303" spans="1:3" s="8" customFormat="1" x14ac:dyDescent="0.2">
      <c r="A11303" s="6" t="str">
        <f>"MGC4859"</f>
        <v>MGC4859</v>
      </c>
      <c r="B11303" s="6">
        <v>0.327327327327327</v>
      </c>
      <c r="C11303" s="6">
        <v>0.50926594617976595</v>
      </c>
    </row>
    <row r="11304" spans="1:3" s="8" customFormat="1" x14ac:dyDescent="0.2">
      <c r="A11304" s="6" t="str">
        <f>"AC005162.2"</f>
        <v>AC005162.2</v>
      </c>
      <c r="B11304" s="6">
        <v>0.32767232767232701</v>
      </c>
      <c r="C11304" s="6">
        <v>0.50930701050032701</v>
      </c>
    </row>
    <row r="11305" spans="1:3" s="8" customFormat="1" x14ac:dyDescent="0.2">
      <c r="A11305" s="6" t="str">
        <f>"LINC00482"</f>
        <v>LINC00482</v>
      </c>
      <c r="B11305" s="6">
        <v>0.32767232767232701</v>
      </c>
      <c r="C11305" s="6">
        <v>0.50930701050032701</v>
      </c>
    </row>
    <row r="11306" spans="1:3" s="8" customFormat="1" x14ac:dyDescent="0.2">
      <c r="A11306" s="6" t="str">
        <f>"SEPTIN4-AS1"</f>
        <v>SEPTIN4-AS1</v>
      </c>
      <c r="B11306" s="6">
        <v>0.32767232767232701</v>
      </c>
      <c r="C11306" s="6">
        <v>0.50930701050032701</v>
      </c>
    </row>
    <row r="11307" spans="1:3" s="8" customFormat="1" x14ac:dyDescent="0.2">
      <c r="A11307" s="6" t="str">
        <f>"SEPTIN3"</f>
        <v>SEPTIN3</v>
      </c>
      <c r="B11307" s="6">
        <v>0.32767232767232701</v>
      </c>
      <c r="C11307" s="6">
        <v>0.50930701050032701</v>
      </c>
    </row>
    <row r="11308" spans="1:3" s="8" customFormat="1" x14ac:dyDescent="0.2">
      <c r="A11308" s="6" t="str">
        <f>"CORO7-PAM16"</f>
        <v>CORO7-PAM16</v>
      </c>
      <c r="B11308" s="6">
        <v>0.32767232767232701</v>
      </c>
      <c r="C11308" s="6">
        <v>0.50930701050032701</v>
      </c>
    </row>
    <row r="11309" spans="1:3" s="8" customFormat="1" x14ac:dyDescent="0.2">
      <c r="A11309" s="6" t="str">
        <f>"SARS2"</f>
        <v>SARS2</v>
      </c>
      <c r="B11309" s="6">
        <v>0.32767232767232701</v>
      </c>
      <c r="C11309" s="6">
        <v>0.50930701050032701</v>
      </c>
    </row>
    <row r="11310" spans="1:3" s="8" customFormat="1" x14ac:dyDescent="0.2">
      <c r="A11310" s="6" t="str">
        <f>"ZDHHC4"</f>
        <v>ZDHHC4</v>
      </c>
      <c r="B11310" s="6">
        <v>0.32767232767232701</v>
      </c>
      <c r="C11310" s="6">
        <v>0.50930701050032701</v>
      </c>
    </row>
    <row r="11311" spans="1:3" s="8" customFormat="1" x14ac:dyDescent="0.2">
      <c r="A11311" s="6" t="str">
        <f>"NFKBIB"</f>
        <v>NFKBIB</v>
      </c>
      <c r="B11311" s="6">
        <v>0.32767232767232701</v>
      </c>
      <c r="C11311" s="6">
        <v>0.50930701050032701</v>
      </c>
    </row>
    <row r="11312" spans="1:3" s="8" customFormat="1" x14ac:dyDescent="0.2">
      <c r="A11312" s="6" t="str">
        <f>"WDR55"</f>
        <v>WDR55</v>
      </c>
      <c r="B11312" s="6">
        <v>0.32767232767232701</v>
      </c>
      <c r="C11312" s="6">
        <v>0.50930701050032701</v>
      </c>
    </row>
    <row r="11313" spans="1:3" s="8" customFormat="1" x14ac:dyDescent="0.2">
      <c r="A11313" s="6" t="str">
        <f>"RHEB"</f>
        <v>RHEB</v>
      </c>
      <c r="B11313" s="6">
        <v>0.32767232767232701</v>
      </c>
      <c r="C11313" s="6">
        <v>0.50930701050032701</v>
      </c>
    </row>
    <row r="11314" spans="1:3" s="8" customFormat="1" x14ac:dyDescent="0.2">
      <c r="A11314" s="6" t="str">
        <f>"ARFGAP2"</f>
        <v>ARFGAP2</v>
      </c>
      <c r="B11314" s="6">
        <v>0.32767232767232701</v>
      </c>
      <c r="C11314" s="6">
        <v>0.50930701050032701</v>
      </c>
    </row>
    <row r="11315" spans="1:3" s="8" customFormat="1" x14ac:dyDescent="0.2">
      <c r="A11315" s="6" t="str">
        <f>"RPL12P38"</f>
        <v>RPL12P38</v>
      </c>
      <c r="B11315" s="6">
        <v>0.32793522267206399</v>
      </c>
      <c r="C11315" s="6">
        <v>0.50967058117956399</v>
      </c>
    </row>
    <row r="11316" spans="1:3" s="8" customFormat="1" x14ac:dyDescent="0.2">
      <c r="A11316" s="6" t="str">
        <f>"FCF1P2"</f>
        <v>FCF1P2</v>
      </c>
      <c r="B11316" s="6">
        <v>0.32800000000000001</v>
      </c>
      <c r="C11316" s="6">
        <v>0.50968115942028902</v>
      </c>
    </row>
    <row r="11317" spans="1:3" s="8" customFormat="1" x14ac:dyDescent="0.2">
      <c r="A11317" s="6" t="str">
        <f>"HERC4"</f>
        <v>HERC4</v>
      </c>
      <c r="B11317" s="6">
        <v>0.32800000000000001</v>
      </c>
      <c r="C11317" s="6">
        <v>0.50968115942028902</v>
      </c>
    </row>
    <row r="11318" spans="1:3" s="8" customFormat="1" x14ac:dyDescent="0.2">
      <c r="A11318" s="6" t="str">
        <f>"IGLV6-57"</f>
        <v>IGLV6-57</v>
      </c>
      <c r="B11318" s="6">
        <v>0.32867132867132798</v>
      </c>
      <c r="C11318" s="6">
        <v>0.51013828611145196</v>
      </c>
    </row>
    <row r="11319" spans="1:3" s="8" customFormat="1" x14ac:dyDescent="0.2">
      <c r="A11319" s="6" t="str">
        <f>"AKNAD1"</f>
        <v>AKNAD1</v>
      </c>
      <c r="B11319" s="6">
        <v>0.32867132867132798</v>
      </c>
      <c r="C11319" s="6">
        <v>0.51013828611145196</v>
      </c>
    </row>
    <row r="11320" spans="1:3" s="8" customFormat="1" x14ac:dyDescent="0.2">
      <c r="A11320" s="6" t="str">
        <f>"AC023905.1"</f>
        <v>AC023905.1</v>
      </c>
      <c r="B11320" s="6">
        <v>0.32867132867132798</v>
      </c>
      <c r="C11320" s="6">
        <v>0.51013828611145196</v>
      </c>
    </row>
    <row r="11321" spans="1:3" s="8" customFormat="1" x14ac:dyDescent="0.2">
      <c r="A11321" s="6" t="str">
        <f>"DACT1"</f>
        <v>DACT1</v>
      </c>
      <c r="B11321" s="6">
        <v>0.32867132867132798</v>
      </c>
      <c r="C11321" s="6">
        <v>0.51013828611145196</v>
      </c>
    </row>
    <row r="11322" spans="1:3" s="8" customFormat="1" x14ac:dyDescent="0.2">
      <c r="A11322" s="6" t="str">
        <f>"GCSAM"</f>
        <v>GCSAM</v>
      </c>
      <c r="B11322" s="6">
        <v>0.32867132867132798</v>
      </c>
      <c r="C11322" s="6">
        <v>0.51013828611145196</v>
      </c>
    </row>
    <row r="11323" spans="1:3" s="8" customFormat="1" x14ac:dyDescent="0.2">
      <c r="A11323" s="6" t="str">
        <f>"STAG3L4"</f>
        <v>STAG3L4</v>
      </c>
      <c r="B11323" s="6">
        <v>0.32867132867132798</v>
      </c>
      <c r="C11323" s="6">
        <v>0.51013828611145196</v>
      </c>
    </row>
    <row r="11324" spans="1:3" s="8" customFormat="1" x14ac:dyDescent="0.2">
      <c r="A11324" s="6" t="str">
        <f>"RAB12"</f>
        <v>RAB12</v>
      </c>
      <c r="B11324" s="6">
        <v>0.32867132867132798</v>
      </c>
      <c r="C11324" s="6">
        <v>0.51013828611145196</v>
      </c>
    </row>
    <row r="11325" spans="1:3" s="8" customFormat="1" x14ac:dyDescent="0.2">
      <c r="A11325" s="6" t="str">
        <f>"SMPD2"</f>
        <v>SMPD2</v>
      </c>
      <c r="B11325" s="6">
        <v>0.32867132867132798</v>
      </c>
      <c r="C11325" s="6">
        <v>0.51013828611145196</v>
      </c>
    </row>
    <row r="11326" spans="1:3" s="8" customFormat="1" x14ac:dyDescent="0.2">
      <c r="A11326" s="6" t="str">
        <f>"PWWP2B"</f>
        <v>PWWP2B</v>
      </c>
      <c r="B11326" s="6">
        <v>0.32867132867132798</v>
      </c>
      <c r="C11326" s="6">
        <v>0.51013828611145196</v>
      </c>
    </row>
    <row r="11327" spans="1:3" s="8" customFormat="1" x14ac:dyDescent="0.2">
      <c r="A11327" s="6" t="str">
        <f>"CUL3"</f>
        <v>CUL3</v>
      </c>
      <c r="B11327" s="6">
        <v>0.32867132867132798</v>
      </c>
      <c r="C11327" s="6">
        <v>0.51013828611145196</v>
      </c>
    </row>
    <row r="11328" spans="1:3" s="8" customFormat="1" x14ac:dyDescent="0.2">
      <c r="A11328" s="6" t="str">
        <f>"GOLGA3"</f>
        <v>GOLGA3</v>
      </c>
      <c r="B11328" s="6">
        <v>0.32867132867132798</v>
      </c>
      <c r="C11328" s="6">
        <v>0.51013828611145196</v>
      </c>
    </row>
    <row r="11329" spans="1:3" s="8" customFormat="1" x14ac:dyDescent="0.2">
      <c r="A11329" s="6" t="str">
        <f>"NDRG2"</f>
        <v>NDRG2</v>
      </c>
      <c r="B11329" s="6">
        <v>0.32867132867132798</v>
      </c>
      <c r="C11329" s="6">
        <v>0.51013828611145196</v>
      </c>
    </row>
    <row r="11330" spans="1:3" s="8" customFormat="1" x14ac:dyDescent="0.2">
      <c r="A11330" s="6" t="str">
        <f>"LRRC10B"</f>
        <v>LRRC10B</v>
      </c>
      <c r="B11330" s="6">
        <v>0.32867132867132798</v>
      </c>
      <c r="C11330" s="6">
        <v>0.51013828611145196</v>
      </c>
    </row>
    <row r="11331" spans="1:3" s="8" customFormat="1" x14ac:dyDescent="0.2">
      <c r="A11331" s="6" t="str">
        <f>"AC002310.1"</f>
        <v>AC002310.1</v>
      </c>
      <c r="B11331" s="6">
        <v>0.32900000000000001</v>
      </c>
      <c r="C11331" s="6">
        <v>0.51060335392762501</v>
      </c>
    </row>
    <row r="11332" spans="1:3" s="8" customFormat="1" x14ac:dyDescent="0.2">
      <c r="A11332" s="6" t="str">
        <f>"IGLV3-25"</f>
        <v>IGLV3-25</v>
      </c>
      <c r="B11332" s="6">
        <v>0.329670329670329</v>
      </c>
      <c r="C11332" s="6">
        <v>0.51114743646266403</v>
      </c>
    </row>
    <row r="11333" spans="1:3" s="8" customFormat="1" x14ac:dyDescent="0.2">
      <c r="A11333" s="6" t="str">
        <f>"SLC32A1"</f>
        <v>SLC32A1</v>
      </c>
      <c r="B11333" s="6">
        <v>0.329670329670329</v>
      </c>
      <c r="C11333" s="6">
        <v>0.51114743646266403</v>
      </c>
    </row>
    <row r="11334" spans="1:3" s="8" customFormat="1" x14ac:dyDescent="0.2">
      <c r="A11334" s="6" t="str">
        <f>"USP44"</f>
        <v>USP44</v>
      </c>
      <c r="B11334" s="6">
        <v>0.329670329670329</v>
      </c>
      <c r="C11334" s="6">
        <v>0.51114743646266403</v>
      </c>
    </row>
    <row r="11335" spans="1:3" s="8" customFormat="1" x14ac:dyDescent="0.2">
      <c r="A11335" s="6" t="str">
        <f>"STON1"</f>
        <v>STON1</v>
      </c>
      <c r="B11335" s="6">
        <v>0.329670329670329</v>
      </c>
      <c r="C11335" s="6">
        <v>0.51114743646266403</v>
      </c>
    </row>
    <row r="11336" spans="1:3" s="8" customFormat="1" x14ac:dyDescent="0.2">
      <c r="A11336" s="6" t="str">
        <f>"CPA3"</f>
        <v>CPA3</v>
      </c>
      <c r="B11336" s="6">
        <v>0.329670329670329</v>
      </c>
      <c r="C11336" s="6">
        <v>0.51114743646266403</v>
      </c>
    </row>
    <row r="11337" spans="1:3" s="8" customFormat="1" x14ac:dyDescent="0.2">
      <c r="A11337" s="6" t="str">
        <f>"WDR25"</f>
        <v>WDR25</v>
      </c>
      <c r="B11337" s="6">
        <v>0.329670329670329</v>
      </c>
      <c r="C11337" s="6">
        <v>0.51114743646266403</v>
      </c>
    </row>
    <row r="11338" spans="1:3" s="8" customFormat="1" x14ac:dyDescent="0.2">
      <c r="A11338" s="6" t="str">
        <f>"ZNF747"</f>
        <v>ZNF747</v>
      </c>
      <c r="B11338" s="6">
        <v>0.329670329670329</v>
      </c>
      <c r="C11338" s="6">
        <v>0.51114743646266403</v>
      </c>
    </row>
    <row r="11339" spans="1:3" s="8" customFormat="1" x14ac:dyDescent="0.2">
      <c r="A11339" s="6" t="str">
        <f>"TMEM41A"</f>
        <v>TMEM41A</v>
      </c>
      <c r="B11339" s="6">
        <v>0.329670329670329</v>
      </c>
      <c r="C11339" s="6">
        <v>0.51114743646266403</v>
      </c>
    </row>
    <row r="11340" spans="1:3" s="8" customFormat="1" x14ac:dyDescent="0.2">
      <c r="A11340" s="6" t="str">
        <f>"GNPTG"</f>
        <v>GNPTG</v>
      </c>
      <c r="B11340" s="6">
        <v>0.329670329670329</v>
      </c>
      <c r="C11340" s="6">
        <v>0.51114743646266403</v>
      </c>
    </row>
    <row r="11341" spans="1:3" s="8" customFormat="1" x14ac:dyDescent="0.2">
      <c r="A11341" s="6" t="str">
        <f>"PPIL2"</f>
        <v>PPIL2</v>
      </c>
      <c r="B11341" s="6">
        <v>0.329670329670329</v>
      </c>
      <c r="C11341" s="6">
        <v>0.51114743646266403</v>
      </c>
    </row>
    <row r="11342" spans="1:3" s="8" customFormat="1" x14ac:dyDescent="0.2">
      <c r="A11342" s="6" t="str">
        <f>"CORO1C"</f>
        <v>CORO1C</v>
      </c>
      <c r="B11342" s="6">
        <v>0.329670329670329</v>
      </c>
      <c r="C11342" s="6">
        <v>0.51114743646266403</v>
      </c>
    </row>
    <row r="11343" spans="1:3" s="8" customFormat="1" x14ac:dyDescent="0.2">
      <c r="A11343" s="6" t="str">
        <f>"AC083906.5"</f>
        <v>AC083906.5</v>
      </c>
      <c r="B11343" s="6">
        <v>0.32992849846782402</v>
      </c>
      <c r="C11343" s="6">
        <v>0.51150262008977398</v>
      </c>
    </row>
    <row r="11344" spans="1:3" s="8" customFormat="1" x14ac:dyDescent="0.2">
      <c r="A11344" s="6" t="str">
        <f>"DNAH3"</f>
        <v>DNAH3</v>
      </c>
      <c r="B11344" s="6">
        <v>0.33</v>
      </c>
      <c r="C11344" s="6">
        <v>0.51156836815657203</v>
      </c>
    </row>
    <row r="11345" spans="1:3" s="8" customFormat="1" x14ac:dyDescent="0.2">
      <c r="A11345" s="6" t="str">
        <f>"LINC01797"</f>
        <v>LINC01797</v>
      </c>
      <c r="B11345" s="6">
        <v>0.33066933066933002</v>
      </c>
      <c r="C11345" s="6">
        <v>0.51201915379442597</v>
      </c>
    </row>
    <row r="11346" spans="1:3" s="8" customFormat="1" x14ac:dyDescent="0.2">
      <c r="A11346" s="6" t="str">
        <f>"AC025263.1"</f>
        <v>AC025263.1</v>
      </c>
      <c r="B11346" s="6">
        <v>0.33066933066933002</v>
      </c>
      <c r="C11346" s="6">
        <v>0.51201915379442597</v>
      </c>
    </row>
    <row r="11347" spans="1:3" s="8" customFormat="1" x14ac:dyDescent="0.2">
      <c r="A11347" s="6" t="str">
        <f>"LINC01761"</f>
        <v>LINC01761</v>
      </c>
      <c r="B11347" s="6">
        <v>0.33033033033032999</v>
      </c>
      <c r="C11347" s="6">
        <v>0.51201915379442597</v>
      </c>
    </row>
    <row r="11348" spans="1:3" s="8" customFormat="1" x14ac:dyDescent="0.2">
      <c r="A11348" s="6" t="str">
        <f>"AC005519.1"</f>
        <v>AC005519.1</v>
      </c>
      <c r="B11348" s="6">
        <v>0.33066933066933002</v>
      </c>
      <c r="C11348" s="6">
        <v>0.51201915379442597</v>
      </c>
    </row>
    <row r="11349" spans="1:3" s="8" customFormat="1" x14ac:dyDescent="0.2">
      <c r="A11349" s="6" t="str">
        <f>"ADCY1"</f>
        <v>ADCY1</v>
      </c>
      <c r="B11349" s="6">
        <v>0.33066933066933002</v>
      </c>
      <c r="C11349" s="6">
        <v>0.51201915379442597</v>
      </c>
    </row>
    <row r="11350" spans="1:3" s="8" customFormat="1" x14ac:dyDescent="0.2">
      <c r="A11350" s="6" t="str">
        <f>"ICOS"</f>
        <v>ICOS</v>
      </c>
      <c r="B11350" s="6">
        <v>0.33066933066933002</v>
      </c>
      <c r="C11350" s="6">
        <v>0.51201915379442597</v>
      </c>
    </row>
    <row r="11351" spans="1:3" s="8" customFormat="1" x14ac:dyDescent="0.2">
      <c r="A11351" s="6" t="str">
        <f>"TBL1Y"</f>
        <v>TBL1Y</v>
      </c>
      <c r="B11351" s="6">
        <v>0.33049040511727001</v>
      </c>
      <c r="C11351" s="6">
        <v>0.51201915379442597</v>
      </c>
    </row>
    <row r="11352" spans="1:3" s="8" customFormat="1" x14ac:dyDescent="0.2">
      <c r="A11352" s="6" t="str">
        <f>"AC009061.2"</f>
        <v>AC009061.2</v>
      </c>
      <c r="B11352" s="6">
        <v>0.33066933066933002</v>
      </c>
      <c r="C11352" s="6">
        <v>0.51201915379442597</v>
      </c>
    </row>
    <row r="11353" spans="1:3" s="8" customFormat="1" x14ac:dyDescent="0.2">
      <c r="A11353" s="6" t="str">
        <f>"GFOD1"</f>
        <v>GFOD1</v>
      </c>
      <c r="B11353" s="6">
        <v>0.33066933066933002</v>
      </c>
      <c r="C11353" s="6">
        <v>0.51201915379442597</v>
      </c>
    </row>
    <row r="11354" spans="1:3" s="8" customFormat="1" x14ac:dyDescent="0.2">
      <c r="A11354" s="6" t="str">
        <f>"SMIM20"</f>
        <v>SMIM20</v>
      </c>
      <c r="B11354" s="6">
        <v>0.33066933066933002</v>
      </c>
      <c r="C11354" s="6">
        <v>0.51201915379442597</v>
      </c>
    </row>
    <row r="11355" spans="1:3" s="8" customFormat="1" x14ac:dyDescent="0.2">
      <c r="A11355" s="6" t="str">
        <f>"RAP1A"</f>
        <v>RAP1A</v>
      </c>
      <c r="B11355" s="6">
        <v>0.33066933066933002</v>
      </c>
      <c r="C11355" s="6">
        <v>0.51201915379442597</v>
      </c>
    </row>
    <row r="11356" spans="1:3" s="8" customFormat="1" x14ac:dyDescent="0.2">
      <c r="A11356" s="6" t="str">
        <f>"PPIL6"</f>
        <v>PPIL6</v>
      </c>
      <c r="B11356" s="6">
        <v>0.33066933066933002</v>
      </c>
      <c r="C11356" s="6">
        <v>0.51201915379442597</v>
      </c>
    </row>
    <row r="11357" spans="1:3" s="8" customFormat="1" x14ac:dyDescent="0.2">
      <c r="A11357" s="6" t="str">
        <f>"EIF5B"</f>
        <v>EIF5B</v>
      </c>
      <c r="B11357" s="6">
        <v>0.33066933066933002</v>
      </c>
      <c r="C11357" s="6">
        <v>0.51201915379442597</v>
      </c>
    </row>
    <row r="11358" spans="1:3" s="8" customFormat="1" x14ac:dyDescent="0.2">
      <c r="A11358" s="6" t="str">
        <f>"ADGRA2"</f>
        <v>ADGRA2</v>
      </c>
      <c r="B11358" s="6">
        <v>0.33100000000000002</v>
      </c>
      <c r="C11358" s="6">
        <v>0.51239580949027197</v>
      </c>
    </row>
    <row r="11359" spans="1:3" s="8" customFormat="1" x14ac:dyDescent="0.2">
      <c r="A11359" s="6" t="str">
        <f>"CEP112"</f>
        <v>CEP112</v>
      </c>
      <c r="B11359" s="6">
        <v>0.33100000000000002</v>
      </c>
      <c r="C11359" s="6">
        <v>0.51239580949027197</v>
      </c>
    </row>
    <row r="11360" spans="1:3" s="8" customFormat="1" x14ac:dyDescent="0.2">
      <c r="A11360" s="6" t="str">
        <f>"CCT2"</f>
        <v>CCT2</v>
      </c>
      <c r="B11360" s="6">
        <v>0.33100000000000002</v>
      </c>
      <c r="C11360" s="6">
        <v>0.51239580949027197</v>
      </c>
    </row>
    <row r="11361" spans="1:3" s="8" customFormat="1" x14ac:dyDescent="0.2">
      <c r="A11361" s="6" t="str">
        <f>"GDF7"</f>
        <v>GDF7</v>
      </c>
      <c r="B11361" s="6">
        <v>0.33166833166833098</v>
      </c>
      <c r="C11361" s="6">
        <v>0.51279837721409804</v>
      </c>
    </row>
    <row r="11362" spans="1:3" s="8" customFormat="1" x14ac:dyDescent="0.2">
      <c r="A11362" s="6" t="str">
        <f>"AL020996.1"</f>
        <v>AL020996.1</v>
      </c>
      <c r="B11362" s="6">
        <v>0.33166833166833098</v>
      </c>
      <c r="C11362" s="6">
        <v>0.51279837721409804</v>
      </c>
    </row>
    <row r="11363" spans="1:3" s="8" customFormat="1" x14ac:dyDescent="0.2">
      <c r="A11363" s="6" t="str">
        <f>"RHBDL1"</f>
        <v>RHBDL1</v>
      </c>
      <c r="B11363" s="6">
        <v>0.33166833166833098</v>
      </c>
      <c r="C11363" s="6">
        <v>0.51279837721409804</v>
      </c>
    </row>
    <row r="11364" spans="1:3" s="8" customFormat="1" x14ac:dyDescent="0.2">
      <c r="A11364" s="6" t="str">
        <f>"AC092944.1"</f>
        <v>AC092944.1</v>
      </c>
      <c r="B11364" s="6">
        <v>0.33166833166833098</v>
      </c>
      <c r="C11364" s="6">
        <v>0.51279837721409804</v>
      </c>
    </row>
    <row r="11365" spans="1:3" s="8" customFormat="1" x14ac:dyDescent="0.2">
      <c r="A11365" s="6" t="str">
        <f>"SLC25A30"</f>
        <v>SLC25A30</v>
      </c>
      <c r="B11365" s="6">
        <v>0.33166833166833098</v>
      </c>
      <c r="C11365" s="6">
        <v>0.51279837721409804</v>
      </c>
    </row>
    <row r="11366" spans="1:3" s="8" customFormat="1" x14ac:dyDescent="0.2">
      <c r="A11366" s="6" t="str">
        <f>"SCARF2"</f>
        <v>SCARF2</v>
      </c>
      <c r="B11366" s="6">
        <v>0.33166833166833098</v>
      </c>
      <c r="C11366" s="6">
        <v>0.51279837721409804</v>
      </c>
    </row>
    <row r="11367" spans="1:3" s="8" customFormat="1" x14ac:dyDescent="0.2">
      <c r="A11367" s="6" t="str">
        <f>"PIGC"</f>
        <v>PIGC</v>
      </c>
      <c r="B11367" s="6">
        <v>0.33166833166833098</v>
      </c>
      <c r="C11367" s="6">
        <v>0.51279837721409804</v>
      </c>
    </row>
    <row r="11368" spans="1:3" s="8" customFormat="1" x14ac:dyDescent="0.2">
      <c r="A11368" s="6" t="str">
        <f>"PIP4K2B"</f>
        <v>PIP4K2B</v>
      </c>
      <c r="B11368" s="6">
        <v>0.33166833166833098</v>
      </c>
      <c r="C11368" s="6">
        <v>0.51279837721409804</v>
      </c>
    </row>
    <row r="11369" spans="1:3" s="8" customFormat="1" x14ac:dyDescent="0.2">
      <c r="A11369" s="6" t="str">
        <f>"WDR35"</f>
        <v>WDR35</v>
      </c>
      <c r="B11369" s="6">
        <v>0.33166833166833098</v>
      </c>
      <c r="C11369" s="6">
        <v>0.51279837721409804</v>
      </c>
    </row>
    <row r="11370" spans="1:3" s="8" customFormat="1" x14ac:dyDescent="0.2">
      <c r="A11370" s="6" t="str">
        <f>"SH3BGRL"</f>
        <v>SH3BGRL</v>
      </c>
      <c r="B11370" s="6">
        <v>0.33166833166833098</v>
      </c>
      <c r="C11370" s="6">
        <v>0.51279837721409804</v>
      </c>
    </row>
    <row r="11371" spans="1:3" s="8" customFormat="1" x14ac:dyDescent="0.2">
      <c r="A11371" s="6" t="str">
        <f>"NFKB1"</f>
        <v>NFKB1</v>
      </c>
      <c r="B11371" s="6">
        <v>0.33166833166833098</v>
      </c>
      <c r="C11371" s="6">
        <v>0.51279837721409804</v>
      </c>
    </row>
    <row r="11372" spans="1:3" s="8" customFormat="1" x14ac:dyDescent="0.2">
      <c r="A11372" s="6" t="str">
        <f>"YWHAG"</f>
        <v>YWHAG</v>
      </c>
      <c r="B11372" s="6">
        <v>0.33166833166833098</v>
      </c>
      <c r="C11372" s="6">
        <v>0.51279837721409804</v>
      </c>
    </row>
    <row r="11373" spans="1:3" s="8" customFormat="1" x14ac:dyDescent="0.2">
      <c r="A11373" s="6" t="str">
        <f>"AP2A1"</f>
        <v>AP2A1</v>
      </c>
      <c r="B11373" s="6">
        <v>0.33166833166833098</v>
      </c>
      <c r="C11373" s="6">
        <v>0.51279837721409804</v>
      </c>
    </row>
    <row r="11374" spans="1:3" s="8" customFormat="1" x14ac:dyDescent="0.2">
      <c r="A11374" s="6" t="str">
        <f>"TBC1D9B"</f>
        <v>TBC1D9B</v>
      </c>
      <c r="B11374" s="6">
        <v>0.33166833166833098</v>
      </c>
      <c r="C11374" s="6">
        <v>0.51279837721409804</v>
      </c>
    </row>
    <row r="11375" spans="1:3" s="8" customFormat="1" x14ac:dyDescent="0.2">
      <c r="A11375" s="6" t="str">
        <f>"AC073130.3"</f>
        <v>AC073130.3</v>
      </c>
      <c r="B11375" s="6">
        <v>0.33200000000000002</v>
      </c>
      <c r="C11375" s="6">
        <v>0.51322092307692302</v>
      </c>
    </row>
    <row r="11376" spans="1:3" s="8" customFormat="1" x14ac:dyDescent="0.2">
      <c r="A11376" s="6" t="str">
        <f>"AC010654.1"</f>
        <v>AC010654.1</v>
      </c>
      <c r="B11376" s="6">
        <v>0.33200000000000002</v>
      </c>
      <c r="C11376" s="6">
        <v>0.51322092307692302</v>
      </c>
    </row>
    <row r="11377" spans="1:3" s="8" customFormat="1" x14ac:dyDescent="0.2">
      <c r="A11377" s="6" t="str">
        <f>"LINCR-0003"</f>
        <v>LINCR-0003</v>
      </c>
      <c r="B11377" s="6">
        <v>0.33266733266733201</v>
      </c>
      <c r="C11377" s="6">
        <v>0.51375569801707099</v>
      </c>
    </row>
    <row r="11378" spans="1:3" s="8" customFormat="1" x14ac:dyDescent="0.2">
      <c r="A11378" s="6" t="str">
        <f>"AC087883.2"</f>
        <v>AC087883.2</v>
      </c>
      <c r="B11378" s="6">
        <v>0.33262260127931698</v>
      </c>
      <c r="C11378" s="6">
        <v>0.51375569801707099</v>
      </c>
    </row>
    <row r="11379" spans="1:3" s="8" customFormat="1" x14ac:dyDescent="0.2">
      <c r="A11379" s="6" t="str">
        <f>"HHIPL1"</f>
        <v>HHIPL1</v>
      </c>
      <c r="B11379" s="6">
        <v>0.33266733266733201</v>
      </c>
      <c r="C11379" s="6">
        <v>0.51375569801707099</v>
      </c>
    </row>
    <row r="11380" spans="1:3" s="8" customFormat="1" x14ac:dyDescent="0.2">
      <c r="A11380" s="6" t="str">
        <f>"AC055733.4"</f>
        <v>AC055733.4</v>
      </c>
      <c r="B11380" s="6">
        <v>0.33266733266733201</v>
      </c>
      <c r="C11380" s="6">
        <v>0.51375569801707099</v>
      </c>
    </row>
    <row r="11381" spans="1:3" s="8" customFormat="1" x14ac:dyDescent="0.2">
      <c r="A11381" s="6" t="str">
        <f>"GATA2"</f>
        <v>GATA2</v>
      </c>
      <c r="B11381" s="6">
        <v>0.33266733266733201</v>
      </c>
      <c r="C11381" s="6">
        <v>0.51375569801707099</v>
      </c>
    </row>
    <row r="11382" spans="1:3" s="8" customFormat="1" x14ac:dyDescent="0.2">
      <c r="A11382" s="6" t="str">
        <f>"METAP1D"</f>
        <v>METAP1D</v>
      </c>
      <c r="B11382" s="6">
        <v>0.33266733266733201</v>
      </c>
      <c r="C11382" s="6">
        <v>0.51375569801707099</v>
      </c>
    </row>
    <row r="11383" spans="1:3" s="8" customFormat="1" x14ac:dyDescent="0.2">
      <c r="A11383" s="6" t="str">
        <f>"L3MBTL3"</f>
        <v>L3MBTL3</v>
      </c>
      <c r="B11383" s="6">
        <v>0.33266733266733201</v>
      </c>
      <c r="C11383" s="6">
        <v>0.51375569801707099</v>
      </c>
    </row>
    <row r="11384" spans="1:3" s="8" customFormat="1" x14ac:dyDescent="0.2">
      <c r="A11384" s="6" t="str">
        <f>"DDX39A"</f>
        <v>DDX39A</v>
      </c>
      <c r="B11384" s="6">
        <v>0.33266733266733201</v>
      </c>
      <c r="C11384" s="6">
        <v>0.51375569801707099</v>
      </c>
    </row>
    <row r="11385" spans="1:3" s="8" customFormat="1" x14ac:dyDescent="0.2">
      <c r="A11385" s="6" t="str">
        <f>"PPP4R3A"</f>
        <v>PPP4R3A</v>
      </c>
      <c r="B11385" s="6">
        <v>0.33266733266733201</v>
      </c>
      <c r="C11385" s="6">
        <v>0.51375569801707099</v>
      </c>
    </row>
    <row r="11386" spans="1:3" s="8" customFormat="1" x14ac:dyDescent="0.2">
      <c r="A11386" s="6" t="str">
        <f>"ITGA2"</f>
        <v>ITGA2</v>
      </c>
      <c r="B11386" s="6">
        <v>0.33266733266733201</v>
      </c>
      <c r="C11386" s="6">
        <v>0.51375569801707099</v>
      </c>
    </row>
    <row r="11387" spans="1:3" s="8" customFormat="1" x14ac:dyDescent="0.2">
      <c r="A11387" s="6" t="str">
        <f>"PLAC8"</f>
        <v>PLAC8</v>
      </c>
      <c r="B11387" s="6">
        <v>0.33266733266733201</v>
      </c>
      <c r="C11387" s="6">
        <v>0.51375569801707099</v>
      </c>
    </row>
    <row r="11388" spans="1:3" s="8" customFormat="1" x14ac:dyDescent="0.2">
      <c r="A11388" s="6" t="str">
        <f>"GUSBP5"</f>
        <v>GUSBP5</v>
      </c>
      <c r="B11388" s="6">
        <v>0.33366633366633303</v>
      </c>
      <c r="C11388" s="6">
        <v>0.51489151480375694</v>
      </c>
    </row>
    <row r="11389" spans="1:3" s="8" customFormat="1" x14ac:dyDescent="0.2">
      <c r="A11389" s="6" t="str">
        <f>"ZNF488"</f>
        <v>ZNF488</v>
      </c>
      <c r="B11389" s="6">
        <v>0.33366633366633303</v>
      </c>
      <c r="C11389" s="6">
        <v>0.51489151480375694</v>
      </c>
    </row>
    <row r="11390" spans="1:3" s="8" customFormat="1" x14ac:dyDescent="0.2">
      <c r="A11390" s="6" t="str">
        <f>"NLGN4X"</f>
        <v>NLGN4X</v>
      </c>
      <c r="B11390" s="6">
        <v>0.33366633366633303</v>
      </c>
      <c r="C11390" s="6">
        <v>0.51489151480375694</v>
      </c>
    </row>
    <row r="11391" spans="1:3" s="8" customFormat="1" x14ac:dyDescent="0.2">
      <c r="A11391" s="6" t="str">
        <f>"IKZF3"</f>
        <v>IKZF3</v>
      </c>
      <c r="B11391" s="6">
        <v>0.33366633366633303</v>
      </c>
      <c r="C11391" s="6">
        <v>0.51489151480375694</v>
      </c>
    </row>
    <row r="11392" spans="1:3" s="8" customFormat="1" x14ac:dyDescent="0.2">
      <c r="A11392" s="6" t="str">
        <f>"NAALADL2"</f>
        <v>NAALADL2</v>
      </c>
      <c r="B11392" s="6">
        <v>0.33366633366633303</v>
      </c>
      <c r="C11392" s="6">
        <v>0.51489151480375694</v>
      </c>
    </row>
    <row r="11393" spans="1:3" s="8" customFormat="1" x14ac:dyDescent="0.2">
      <c r="A11393" s="6" t="str">
        <f>"ATP6V1B1"</f>
        <v>ATP6V1B1</v>
      </c>
      <c r="B11393" s="6">
        <v>0.33366633366633303</v>
      </c>
      <c r="C11393" s="6">
        <v>0.51489151480375694</v>
      </c>
    </row>
    <row r="11394" spans="1:3" s="8" customFormat="1" x14ac:dyDescent="0.2">
      <c r="A11394" s="6" t="str">
        <f>"CSTF2"</f>
        <v>CSTF2</v>
      </c>
      <c r="B11394" s="6">
        <v>0.33366633366633303</v>
      </c>
      <c r="C11394" s="6">
        <v>0.51489151480375694</v>
      </c>
    </row>
    <row r="11395" spans="1:3" s="8" customFormat="1" x14ac:dyDescent="0.2">
      <c r="A11395" s="6" t="str">
        <f>"TMF1"</f>
        <v>TMF1</v>
      </c>
      <c r="B11395" s="6">
        <v>0.33366633366633303</v>
      </c>
      <c r="C11395" s="6">
        <v>0.51489151480375694</v>
      </c>
    </row>
    <row r="11396" spans="1:3" s="8" customFormat="1" x14ac:dyDescent="0.2">
      <c r="A11396" s="6" t="str">
        <f>"TMPRSS2"</f>
        <v>TMPRSS2</v>
      </c>
      <c r="B11396" s="6">
        <v>0.33366633366633303</v>
      </c>
      <c r="C11396" s="6">
        <v>0.51489151480375694</v>
      </c>
    </row>
    <row r="11397" spans="1:3" s="8" customFormat="1" x14ac:dyDescent="0.2">
      <c r="A11397" s="6" t="str">
        <f>"AC010542.5"</f>
        <v>AC010542.5</v>
      </c>
      <c r="B11397" s="6">
        <v>0.33466533466533399</v>
      </c>
      <c r="C11397" s="6">
        <v>0.51567617266141397</v>
      </c>
    </row>
    <row r="11398" spans="1:3" s="8" customFormat="1" x14ac:dyDescent="0.2">
      <c r="A11398" s="6" t="str">
        <f>"RPL17P50"</f>
        <v>RPL17P50</v>
      </c>
      <c r="B11398" s="6">
        <v>0.33467336683416998</v>
      </c>
      <c r="C11398" s="6">
        <v>0.51567617266141397</v>
      </c>
    </row>
    <row r="11399" spans="1:3" s="8" customFormat="1" x14ac:dyDescent="0.2">
      <c r="A11399" s="6" t="str">
        <f>"AC092656.1"</f>
        <v>AC092656.1</v>
      </c>
      <c r="B11399" s="6">
        <v>0.33466533466533399</v>
      </c>
      <c r="C11399" s="6">
        <v>0.51567617266141397</v>
      </c>
    </row>
    <row r="11400" spans="1:3" s="8" customFormat="1" x14ac:dyDescent="0.2">
      <c r="A11400" s="6" t="str">
        <f>"AL844908.2"</f>
        <v>AL844908.2</v>
      </c>
      <c r="B11400" s="6">
        <v>0.33466533466533399</v>
      </c>
      <c r="C11400" s="6">
        <v>0.51567617266141397</v>
      </c>
    </row>
    <row r="11401" spans="1:3" s="8" customFormat="1" x14ac:dyDescent="0.2">
      <c r="A11401" s="6" t="str">
        <f>"AC025614.2"</f>
        <v>AC025614.2</v>
      </c>
      <c r="B11401" s="6">
        <v>0.33438818565400802</v>
      </c>
      <c r="C11401" s="6">
        <v>0.51567617266141397</v>
      </c>
    </row>
    <row r="11402" spans="1:3" s="8" customFormat="1" x14ac:dyDescent="0.2">
      <c r="A11402" s="6" t="str">
        <f>"AP000320.1"</f>
        <v>AP000320.1</v>
      </c>
      <c r="B11402" s="6">
        <v>0.33466933867735399</v>
      </c>
      <c r="C11402" s="6">
        <v>0.51567617266141397</v>
      </c>
    </row>
    <row r="11403" spans="1:3" s="8" customFormat="1" x14ac:dyDescent="0.2">
      <c r="A11403" s="6" t="str">
        <f>"MAST4-AS1"</f>
        <v>MAST4-AS1</v>
      </c>
      <c r="B11403" s="6">
        <v>0.33466533466533399</v>
      </c>
      <c r="C11403" s="6">
        <v>0.51567617266141397</v>
      </c>
    </row>
    <row r="11404" spans="1:3" s="8" customFormat="1" x14ac:dyDescent="0.2">
      <c r="A11404" s="6" t="str">
        <f>"FAM234B"</f>
        <v>FAM234B</v>
      </c>
      <c r="B11404" s="6">
        <v>0.33466533466533399</v>
      </c>
      <c r="C11404" s="6">
        <v>0.51567617266141397</v>
      </c>
    </row>
    <row r="11405" spans="1:3" s="8" customFormat="1" x14ac:dyDescent="0.2">
      <c r="A11405" s="6" t="str">
        <f>"HSPA1L"</f>
        <v>HSPA1L</v>
      </c>
      <c r="B11405" s="6">
        <v>0.33466533466533399</v>
      </c>
      <c r="C11405" s="6">
        <v>0.51567617266141397</v>
      </c>
    </row>
    <row r="11406" spans="1:3" s="8" customFormat="1" x14ac:dyDescent="0.2">
      <c r="A11406" s="6" t="str">
        <f>"TSPAN5"</f>
        <v>TSPAN5</v>
      </c>
      <c r="B11406" s="6">
        <v>0.33466533466533399</v>
      </c>
      <c r="C11406" s="6">
        <v>0.51567617266141397</v>
      </c>
    </row>
    <row r="11407" spans="1:3" s="8" customFormat="1" x14ac:dyDescent="0.2">
      <c r="A11407" s="6" t="str">
        <f>"PIR"</f>
        <v>PIR</v>
      </c>
      <c r="B11407" s="6">
        <v>0.33466533466533399</v>
      </c>
      <c r="C11407" s="6">
        <v>0.51567617266141397</v>
      </c>
    </row>
    <row r="11408" spans="1:3" s="8" customFormat="1" x14ac:dyDescent="0.2">
      <c r="A11408" s="6" t="str">
        <f>"CLN8"</f>
        <v>CLN8</v>
      </c>
      <c r="B11408" s="6">
        <v>0.33466533466533399</v>
      </c>
      <c r="C11408" s="6">
        <v>0.51567617266141397</v>
      </c>
    </row>
    <row r="11409" spans="1:3" s="8" customFormat="1" x14ac:dyDescent="0.2">
      <c r="A11409" s="6" t="str">
        <f>"POLR1D"</f>
        <v>POLR1D</v>
      </c>
      <c r="B11409" s="6">
        <v>0.33466533466533399</v>
      </c>
      <c r="C11409" s="6">
        <v>0.51567617266141397</v>
      </c>
    </row>
    <row r="11410" spans="1:3" s="8" customFormat="1" x14ac:dyDescent="0.2">
      <c r="A11410" s="6" t="str">
        <f>"NR1H2"</f>
        <v>NR1H2</v>
      </c>
      <c r="B11410" s="6">
        <v>0.33466533466533399</v>
      </c>
      <c r="C11410" s="6">
        <v>0.51567617266141397</v>
      </c>
    </row>
    <row r="11411" spans="1:3" s="8" customFormat="1" x14ac:dyDescent="0.2">
      <c r="A11411" s="6" t="str">
        <f>"USP4"</f>
        <v>USP4</v>
      </c>
      <c r="B11411" s="6">
        <v>0.33466533466533399</v>
      </c>
      <c r="C11411" s="6">
        <v>0.51567617266141397</v>
      </c>
    </row>
    <row r="11412" spans="1:3" s="8" customFormat="1" x14ac:dyDescent="0.2">
      <c r="A11412" s="6" t="str">
        <f>"PRKACA"</f>
        <v>PRKACA</v>
      </c>
      <c r="B11412" s="6">
        <v>0.33466533466533399</v>
      </c>
      <c r="C11412" s="6">
        <v>0.51567617266141397</v>
      </c>
    </row>
    <row r="11413" spans="1:3" s="8" customFormat="1" x14ac:dyDescent="0.2">
      <c r="A11413" s="6" t="str">
        <f>"ZDHHC1"</f>
        <v>ZDHHC1</v>
      </c>
      <c r="B11413" s="6">
        <v>0.33466533466533399</v>
      </c>
      <c r="C11413" s="6">
        <v>0.51567617266141397</v>
      </c>
    </row>
    <row r="11414" spans="1:3" s="8" customFormat="1" x14ac:dyDescent="0.2">
      <c r="A11414" s="6" t="str">
        <f>"AP003175.1"</f>
        <v>AP003175.1</v>
      </c>
      <c r="B11414" s="6">
        <v>0.33491124260354999</v>
      </c>
      <c r="C11414" s="6">
        <v>0.51599748444237503</v>
      </c>
    </row>
    <row r="11415" spans="1:3" s="8" customFormat="1" x14ac:dyDescent="0.2">
      <c r="A11415" s="6" t="str">
        <f>"LINC00881"</f>
        <v>LINC00881</v>
      </c>
      <c r="B11415" s="6">
        <v>0.33500000000000002</v>
      </c>
      <c r="C11415" s="6">
        <v>0.51608901349220204</v>
      </c>
    </row>
    <row r="11416" spans="1:3" s="8" customFormat="1" x14ac:dyDescent="0.2">
      <c r="A11416" s="6" t="str">
        <f>"AC018523.2"</f>
        <v>AC018523.2</v>
      </c>
      <c r="B11416" s="6">
        <v>0.33566433566433501</v>
      </c>
      <c r="C11416" s="6">
        <v>0.51634342387557297</v>
      </c>
    </row>
    <row r="11417" spans="1:3" s="8" customFormat="1" x14ac:dyDescent="0.2">
      <c r="A11417" s="6" t="str">
        <f>"AC011453.1"</f>
        <v>AC011453.1</v>
      </c>
      <c r="B11417" s="6">
        <v>0.33566433566433501</v>
      </c>
      <c r="C11417" s="6">
        <v>0.51634342387557297</v>
      </c>
    </row>
    <row r="11418" spans="1:3" s="8" customFormat="1" x14ac:dyDescent="0.2">
      <c r="A11418" s="6" t="str">
        <f>"AC093155.3"</f>
        <v>AC093155.3</v>
      </c>
      <c r="B11418" s="6">
        <v>0.33566433566433501</v>
      </c>
      <c r="C11418" s="6">
        <v>0.51634342387557297</v>
      </c>
    </row>
    <row r="11419" spans="1:3" s="8" customFormat="1" x14ac:dyDescent="0.2">
      <c r="A11419" s="6" t="str">
        <f>"LINC01644"</f>
        <v>LINC01644</v>
      </c>
      <c r="B11419" s="6">
        <v>0.33566433566433501</v>
      </c>
      <c r="C11419" s="6">
        <v>0.51634342387557297</v>
      </c>
    </row>
    <row r="11420" spans="1:3" s="8" customFormat="1" x14ac:dyDescent="0.2">
      <c r="A11420" s="6" t="str">
        <f>"AC090515.2"</f>
        <v>AC090515.2</v>
      </c>
      <c r="B11420" s="6">
        <v>0.33566433566433501</v>
      </c>
      <c r="C11420" s="6">
        <v>0.51634342387557297</v>
      </c>
    </row>
    <row r="11421" spans="1:3" s="8" customFormat="1" x14ac:dyDescent="0.2">
      <c r="A11421" s="6" t="str">
        <f>"FAM53A"</f>
        <v>FAM53A</v>
      </c>
      <c r="B11421" s="6">
        <v>0.33566433566433501</v>
      </c>
      <c r="C11421" s="6">
        <v>0.51634342387557297</v>
      </c>
    </row>
    <row r="11422" spans="1:3" s="8" customFormat="1" x14ac:dyDescent="0.2">
      <c r="A11422" s="6" t="str">
        <f>"GPR135"</f>
        <v>GPR135</v>
      </c>
      <c r="B11422" s="6">
        <v>0.33566433566433501</v>
      </c>
      <c r="C11422" s="6">
        <v>0.51634342387557297</v>
      </c>
    </row>
    <row r="11423" spans="1:3" s="8" customFormat="1" x14ac:dyDescent="0.2">
      <c r="A11423" s="6" t="str">
        <f>"PCDHB14"</f>
        <v>PCDHB14</v>
      </c>
      <c r="B11423" s="6">
        <v>0.33566433566433501</v>
      </c>
      <c r="C11423" s="6">
        <v>0.51634342387557297</v>
      </c>
    </row>
    <row r="11424" spans="1:3" s="8" customFormat="1" x14ac:dyDescent="0.2">
      <c r="A11424" s="6" t="str">
        <f>"APH1B"</f>
        <v>APH1B</v>
      </c>
      <c r="B11424" s="6">
        <v>0.33566433566433501</v>
      </c>
      <c r="C11424" s="6">
        <v>0.51634342387557297</v>
      </c>
    </row>
    <row r="11425" spans="1:3" s="8" customFormat="1" x14ac:dyDescent="0.2">
      <c r="A11425" s="6" t="str">
        <f>"ABITRAM"</f>
        <v>ABITRAM</v>
      </c>
      <c r="B11425" s="6">
        <v>0.33566433566433501</v>
      </c>
      <c r="C11425" s="6">
        <v>0.51634342387557297</v>
      </c>
    </row>
    <row r="11426" spans="1:3" s="8" customFormat="1" x14ac:dyDescent="0.2">
      <c r="A11426" s="6" t="str">
        <f>"SEC11A"</f>
        <v>SEC11A</v>
      </c>
      <c r="B11426" s="6">
        <v>0.33566433566433501</v>
      </c>
      <c r="C11426" s="6">
        <v>0.51634342387557297</v>
      </c>
    </row>
    <row r="11427" spans="1:3" s="8" customFormat="1" x14ac:dyDescent="0.2">
      <c r="A11427" s="6" t="str">
        <f>"MARCHF7"</f>
        <v>MARCHF7</v>
      </c>
      <c r="B11427" s="6">
        <v>0.33566433566433501</v>
      </c>
      <c r="C11427" s="6">
        <v>0.51634342387557297</v>
      </c>
    </row>
    <row r="11428" spans="1:3" s="8" customFormat="1" x14ac:dyDescent="0.2">
      <c r="A11428" s="6" t="str">
        <f>"KNDC1"</f>
        <v>KNDC1</v>
      </c>
      <c r="B11428" s="6">
        <v>0.33566433566433501</v>
      </c>
      <c r="C11428" s="6">
        <v>0.51634342387557297</v>
      </c>
    </row>
    <row r="11429" spans="1:3" s="8" customFormat="1" x14ac:dyDescent="0.2">
      <c r="A11429" s="6" t="str">
        <f>"SS18"</f>
        <v>SS18</v>
      </c>
      <c r="B11429" s="6">
        <v>0.33566433566433501</v>
      </c>
      <c r="C11429" s="6">
        <v>0.51634342387557297</v>
      </c>
    </row>
    <row r="11430" spans="1:3" s="8" customFormat="1" x14ac:dyDescent="0.2">
      <c r="A11430" s="6" t="str">
        <f>"PARP1"</f>
        <v>PARP1</v>
      </c>
      <c r="B11430" s="6">
        <v>0.33566433566433501</v>
      </c>
      <c r="C11430" s="6">
        <v>0.51634342387557297</v>
      </c>
    </row>
    <row r="11431" spans="1:3" s="8" customFormat="1" x14ac:dyDescent="0.2">
      <c r="A11431" s="6" t="str">
        <f>"DLG3"</f>
        <v>DLG3</v>
      </c>
      <c r="B11431" s="6">
        <v>0.33566433566433501</v>
      </c>
      <c r="C11431" s="6">
        <v>0.51634342387557297</v>
      </c>
    </row>
    <row r="11432" spans="1:3" s="8" customFormat="1" x14ac:dyDescent="0.2">
      <c r="A11432" s="6" t="str">
        <f>"NUDT3"</f>
        <v>NUDT3</v>
      </c>
      <c r="B11432" s="6">
        <v>0.33566433566433501</v>
      </c>
      <c r="C11432" s="6">
        <v>0.51634342387557297</v>
      </c>
    </row>
    <row r="11433" spans="1:3" s="8" customFormat="1" x14ac:dyDescent="0.2">
      <c r="A11433" s="6" t="str">
        <f>"GRK7"</f>
        <v>GRK7</v>
      </c>
      <c r="B11433" s="6">
        <v>0.33666333666333598</v>
      </c>
      <c r="C11433" s="6">
        <v>0.51729186577141795</v>
      </c>
    </row>
    <row r="11434" spans="1:3" s="8" customFormat="1" x14ac:dyDescent="0.2">
      <c r="A11434" s="6" t="str">
        <f>"RN7SL605P"</f>
        <v>RN7SL605P</v>
      </c>
      <c r="B11434" s="6">
        <v>0.33634538152610399</v>
      </c>
      <c r="C11434" s="6">
        <v>0.51729186577141795</v>
      </c>
    </row>
    <row r="11435" spans="1:3" s="8" customFormat="1" x14ac:dyDescent="0.2">
      <c r="A11435" s="6" t="str">
        <f>"MTTP"</f>
        <v>MTTP</v>
      </c>
      <c r="B11435" s="6">
        <v>0.33666333666333598</v>
      </c>
      <c r="C11435" s="6">
        <v>0.51729186577141795</v>
      </c>
    </row>
    <row r="11436" spans="1:3" s="8" customFormat="1" x14ac:dyDescent="0.2">
      <c r="A11436" s="6" t="str">
        <f>"STK24-AS1"</f>
        <v>STK24-AS1</v>
      </c>
      <c r="B11436" s="6">
        <v>0.33666333666333598</v>
      </c>
      <c r="C11436" s="6">
        <v>0.51729186577141795</v>
      </c>
    </row>
    <row r="11437" spans="1:3" s="8" customFormat="1" x14ac:dyDescent="0.2">
      <c r="A11437" s="6" t="str">
        <f>"SUPT3H"</f>
        <v>SUPT3H</v>
      </c>
      <c r="B11437" s="6">
        <v>0.33666333666333598</v>
      </c>
      <c r="C11437" s="6">
        <v>0.51729186577141795</v>
      </c>
    </row>
    <row r="11438" spans="1:3" s="8" customFormat="1" x14ac:dyDescent="0.2">
      <c r="A11438" s="6" t="str">
        <f>"NUDT22"</f>
        <v>NUDT22</v>
      </c>
      <c r="B11438" s="6">
        <v>0.33666333666333598</v>
      </c>
      <c r="C11438" s="6">
        <v>0.51729186577141795</v>
      </c>
    </row>
    <row r="11439" spans="1:3" s="8" customFormat="1" x14ac:dyDescent="0.2">
      <c r="A11439" s="6" t="str">
        <f>"C17orf49"</f>
        <v>C17orf49</v>
      </c>
      <c r="B11439" s="6">
        <v>0.33666333666333598</v>
      </c>
      <c r="C11439" s="6">
        <v>0.51729186577141795</v>
      </c>
    </row>
    <row r="11440" spans="1:3" s="8" customFormat="1" x14ac:dyDescent="0.2">
      <c r="A11440" s="6" t="str">
        <f>"SLC17A5"</f>
        <v>SLC17A5</v>
      </c>
      <c r="B11440" s="6">
        <v>0.33666333666333598</v>
      </c>
      <c r="C11440" s="6">
        <v>0.51729186577141795</v>
      </c>
    </row>
    <row r="11441" spans="1:3" s="8" customFormat="1" x14ac:dyDescent="0.2">
      <c r="A11441" s="6" t="str">
        <f>"LMBR1"</f>
        <v>LMBR1</v>
      </c>
      <c r="B11441" s="6">
        <v>0.33666333666333598</v>
      </c>
      <c r="C11441" s="6">
        <v>0.51729186577141795</v>
      </c>
    </row>
    <row r="11442" spans="1:3" s="8" customFormat="1" x14ac:dyDescent="0.2">
      <c r="A11442" s="6" t="str">
        <f>"SETX"</f>
        <v>SETX</v>
      </c>
      <c r="B11442" s="6">
        <v>0.33666333666333598</v>
      </c>
      <c r="C11442" s="6">
        <v>0.51729186577141795</v>
      </c>
    </row>
    <row r="11443" spans="1:3" s="8" customFormat="1" x14ac:dyDescent="0.2">
      <c r="A11443" s="6" t="str">
        <f>"CD99"</f>
        <v>CD99</v>
      </c>
      <c r="B11443" s="6">
        <v>0.33666333666333598</v>
      </c>
      <c r="C11443" s="6">
        <v>0.51729186577141795</v>
      </c>
    </row>
    <row r="11444" spans="1:3" s="8" customFormat="1" x14ac:dyDescent="0.2">
      <c r="A11444" s="6" t="str">
        <f>"NCSTN"</f>
        <v>NCSTN</v>
      </c>
      <c r="B11444" s="6">
        <v>0.33666333666333598</v>
      </c>
      <c r="C11444" s="6">
        <v>0.51729186577141795</v>
      </c>
    </row>
    <row r="11445" spans="1:3" s="8" customFormat="1" x14ac:dyDescent="0.2">
      <c r="A11445" s="6" t="str">
        <f>"LAMC2"</f>
        <v>LAMC2</v>
      </c>
      <c r="B11445" s="6">
        <v>0.33666333666333598</v>
      </c>
      <c r="C11445" s="6">
        <v>0.51729186577141795</v>
      </c>
    </row>
    <row r="11446" spans="1:3" s="8" customFormat="1" x14ac:dyDescent="0.2">
      <c r="A11446" s="6" t="str">
        <f>"AL117379.1"</f>
        <v>AL117379.1</v>
      </c>
      <c r="B11446" s="6">
        <v>0.33673469387755101</v>
      </c>
      <c r="C11446" s="6">
        <v>0.51735630031829205</v>
      </c>
    </row>
    <row r="11447" spans="1:3" s="8" customFormat="1" x14ac:dyDescent="0.2">
      <c r="A11447" s="6" t="str">
        <f>"ZNF663P"</f>
        <v>ZNF663P</v>
      </c>
      <c r="B11447" s="6">
        <v>0.33700000000000002</v>
      </c>
      <c r="C11447" s="6">
        <v>0.51771867901450297</v>
      </c>
    </row>
    <row r="11448" spans="1:3" s="8" customFormat="1" x14ac:dyDescent="0.2">
      <c r="A11448" s="6" t="str">
        <f>"GALNT8"</f>
        <v>GALNT8</v>
      </c>
      <c r="B11448" s="6">
        <v>0.337662337662337</v>
      </c>
      <c r="C11448" s="6">
        <v>0.51801208737171001</v>
      </c>
    </row>
    <row r="11449" spans="1:3" s="8" customFormat="1" x14ac:dyDescent="0.2">
      <c r="A11449" s="6" t="str">
        <f>"AL390726.3"</f>
        <v>AL390726.3</v>
      </c>
      <c r="B11449" s="6">
        <v>0.337662337662337</v>
      </c>
      <c r="C11449" s="6">
        <v>0.51801208737171001</v>
      </c>
    </row>
    <row r="11450" spans="1:3" s="8" customFormat="1" x14ac:dyDescent="0.2">
      <c r="A11450" s="6" t="str">
        <f>"BNIP3P5"</f>
        <v>BNIP3P5</v>
      </c>
      <c r="B11450" s="6">
        <v>0.337662337662337</v>
      </c>
      <c r="C11450" s="6">
        <v>0.51801208737171001</v>
      </c>
    </row>
    <row r="11451" spans="1:3" s="8" customFormat="1" x14ac:dyDescent="0.2">
      <c r="A11451" s="6" t="str">
        <f>"LINC01902"</f>
        <v>LINC01902</v>
      </c>
      <c r="B11451" s="6">
        <v>0.337662337662337</v>
      </c>
      <c r="C11451" s="6">
        <v>0.51801208737171001</v>
      </c>
    </row>
    <row r="11452" spans="1:3" s="8" customFormat="1" x14ac:dyDescent="0.2">
      <c r="A11452" s="6" t="str">
        <f>"AL359711.2"</f>
        <v>AL359711.2</v>
      </c>
      <c r="B11452" s="6">
        <v>0.33738601823708197</v>
      </c>
      <c r="C11452" s="6">
        <v>0.51801208737171001</v>
      </c>
    </row>
    <row r="11453" spans="1:3" s="8" customFormat="1" x14ac:dyDescent="0.2">
      <c r="A11453" s="6" t="str">
        <f>"AL512791.2"</f>
        <v>AL512791.2</v>
      </c>
      <c r="B11453" s="6">
        <v>0.337662337662337</v>
      </c>
      <c r="C11453" s="6">
        <v>0.51801208737171001</v>
      </c>
    </row>
    <row r="11454" spans="1:3" s="8" customFormat="1" x14ac:dyDescent="0.2">
      <c r="A11454" s="6" t="str">
        <f>"AC124798.1"</f>
        <v>AC124798.1</v>
      </c>
      <c r="B11454" s="6">
        <v>0.337662337662337</v>
      </c>
      <c r="C11454" s="6">
        <v>0.51801208737171001</v>
      </c>
    </row>
    <row r="11455" spans="1:3" s="8" customFormat="1" x14ac:dyDescent="0.2">
      <c r="A11455" s="6" t="str">
        <f>"HTR7P1"</f>
        <v>HTR7P1</v>
      </c>
      <c r="B11455" s="6">
        <v>0.33733733733733701</v>
      </c>
      <c r="C11455" s="6">
        <v>0.51801208737171001</v>
      </c>
    </row>
    <row r="11456" spans="1:3" s="8" customFormat="1" x14ac:dyDescent="0.2">
      <c r="A11456" s="6" t="str">
        <f>"APBA1"</f>
        <v>APBA1</v>
      </c>
      <c r="B11456" s="6">
        <v>0.337662337662337</v>
      </c>
      <c r="C11456" s="6">
        <v>0.51801208737171001</v>
      </c>
    </row>
    <row r="11457" spans="1:3" s="8" customFormat="1" x14ac:dyDescent="0.2">
      <c r="A11457" s="6" t="str">
        <f>"LINS1"</f>
        <v>LINS1</v>
      </c>
      <c r="B11457" s="6">
        <v>0.337662337662337</v>
      </c>
      <c r="C11457" s="6">
        <v>0.51801208737171001</v>
      </c>
    </row>
    <row r="11458" spans="1:3" s="8" customFormat="1" x14ac:dyDescent="0.2">
      <c r="A11458" s="6" t="str">
        <f>"FGFR1OP2"</f>
        <v>FGFR1OP2</v>
      </c>
      <c r="B11458" s="6">
        <v>0.337662337662337</v>
      </c>
      <c r="C11458" s="6">
        <v>0.51801208737171001</v>
      </c>
    </row>
    <row r="11459" spans="1:3" s="8" customFormat="1" x14ac:dyDescent="0.2">
      <c r="A11459" s="6" t="str">
        <f>"SRC"</f>
        <v>SRC</v>
      </c>
      <c r="B11459" s="6">
        <v>0.337662337662337</v>
      </c>
      <c r="C11459" s="6">
        <v>0.51801208737171001</v>
      </c>
    </row>
    <row r="11460" spans="1:3" s="8" customFormat="1" x14ac:dyDescent="0.2">
      <c r="A11460" s="6" t="str">
        <f>"DBNL"</f>
        <v>DBNL</v>
      </c>
      <c r="B11460" s="6">
        <v>0.337662337662337</v>
      </c>
      <c r="C11460" s="6">
        <v>0.51801208737171001</v>
      </c>
    </row>
    <row r="11461" spans="1:3" s="8" customFormat="1" x14ac:dyDescent="0.2">
      <c r="A11461" s="6" t="str">
        <f>"RAB1B"</f>
        <v>RAB1B</v>
      </c>
      <c r="B11461" s="6">
        <v>0.337662337662337</v>
      </c>
      <c r="C11461" s="6">
        <v>0.51801208737171001</v>
      </c>
    </row>
    <row r="11462" spans="1:3" s="8" customFormat="1" x14ac:dyDescent="0.2">
      <c r="A11462" s="6" t="str">
        <f>"CAPN2"</f>
        <v>CAPN2</v>
      </c>
      <c r="B11462" s="6">
        <v>0.337662337662337</v>
      </c>
      <c r="C11462" s="6">
        <v>0.51801208737171001</v>
      </c>
    </row>
    <row r="11463" spans="1:3" s="8" customFormat="1" x14ac:dyDescent="0.2">
      <c r="A11463" s="6" t="str">
        <f>"ACTN4"</f>
        <v>ACTN4</v>
      </c>
      <c r="B11463" s="6">
        <v>0.337662337662337</v>
      </c>
      <c r="C11463" s="6">
        <v>0.51801208737171001</v>
      </c>
    </row>
    <row r="11464" spans="1:3" s="8" customFormat="1" x14ac:dyDescent="0.2">
      <c r="A11464" s="6" t="str">
        <f>"RGS5-AS1"</f>
        <v>RGS5-AS1</v>
      </c>
      <c r="B11464" s="6">
        <v>0.33800000000000002</v>
      </c>
      <c r="C11464" s="6">
        <v>0.51839441779328299</v>
      </c>
    </row>
    <row r="11465" spans="1:3" s="8" customFormat="1" x14ac:dyDescent="0.2">
      <c r="A11465" s="6" t="str">
        <f>"AKAP3"</f>
        <v>AKAP3</v>
      </c>
      <c r="B11465" s="6">
        <v>0.33800000000000002</v>
      </c>
      <c r="C11465" s="6">
        <v>0.51839441779328299</v>
      </c>
    </row>
    <row r="11466" spans="1:3" s="8" customFormat="1" x14ac:dyDescent="0.2">
      <c r="A11466" s="6" t="str">
        <f>"DPM1"</f>
        <v>DPM1</v>
      </c>
      <c r="B11466" s="6">
        <v>0.33800000000000002</v>
      </c>
      <c r="C11466" s="6">
        <v>0.51839441779328299</v>
      </c>
    </row>
    <row r="11467" spans="1:3" s="8" customFormat="1" x14ac:dyDescent="0.2">
      <c r="A11467" s="6" t="str">
        <f>"SLC30A8"</f>
        <v>SLC30A8</v>
      </c>
      <c r="B11467" s="6">
        <v>0.33866133866133802</v>
      </c>
      <c r="C11467" s="6">
        <v>0.51873005043736697</v>
      </c>
    </row>
    <row r="11468" spans="1:3" s="8" customFormat="1" x14ac:dyDescent="0.2">
      <c r="A11468" s="6" t="str">
        <f>"Z93943.1"</f>
        <v>Z93943.1</v>
      </c>
      <c r="B11468" s="6">
        <v>0.33866133866133802</v>
      </c>
      <c r="C11468" s="6">
        <v>0.51873005043736697</v>
      </c>
    </row>
    <row r="11469" spans="1:3" s="8" customFormat="1" x14ac:dyDescent="0.2">
      <c r="A11469" s="6" t="str">
        <f>"AC232271.3"</f>
        <v>AC232271.3</v>
      </c>
      <c r="B11469" s="6">
        <v>0.33866133866133802</v>
      </c>
      <c r="C11469" s="6">
        <v>0.51873005043736697</v>
      </c>
    </row>
    <row r="11470" spans="1:3" s="8" customFormat="1" x14ac:dyDescent="0.2">
      <c r="A11470" s="6" t="str">
        <f>"AC053527.2"</f>
        <v>AC053527.2</v>
      </c>
      <c r="B11470" s="6">
        <v>0.33833833833833798</v>
      </c>
      <c r="C11470" s="6">
        <v>0.51873005043736697</v>
      </c>
    </row>
    <row r="11471" spans="1:3" s="8" customFormat="1" x14ac:dyDescent="0.2">
      <c r="A11471" s="6" t="str">
        <f>"CCDC15-DT"</f>
        <v>CCDC15-DT</v>
      </c>
      <c r="B11471" s="6">
        <v>0.33866133866133802</v>
      </c>
      <c r="C11471" s="6">
        <v>0.51873005043736697</v>
      </c>
    </row>
    <row r="11472" spans="1:3" s="8" customFormat="1" x14ac:dyDescent="0.2">
      <c r="A11472" s="6" t="str">
        <f>"CXCL11"</f>
        <v>CXCL11</v>
      </c>
      <c r="B11472" s="6">
        <v>0.33866133866133802</v>
      </c>
      <c r="C11472" s="6">
        <v>0.51873005043736697</v>
      </c>
    </row>
    <row r="11473" spans="1:3" s="8" customFormat="1" x14ac:dyDescent="0.2">
      <c r="A11473" s="6" t="str">
        <f>"UAP1L1"</f>
        <v>UAP1L1</v>
      </c>
      <c r="B11473" s="6">
        <v>0.33866133866133802</v>
      </c>
      <c r="C11473" s="6">
        <v>0.51873005043736697</v>
      </c>
    </row>
    <row r="11474" spans="1:3" s="8" customFormat="1" x14ac:dyDescent="0.2">
      <c r="A11474" s="6" t="str">
        <f>"ABHD11-AS1"</f>
        <v>ABHD11-AS1</v>
      </c>
      <c r="B11474" s="6">
        <v>0.33866133866133802</v>
      </c>
      <c r="C11474" s="6">
        <v>0.51873005043736697</v>
      </c>
    </row>
    <row r="11475" spans="1:3" s="8" customFormat="1" x14ac:dyDescent="0.2">
      <c r="A11475" s="6" t="str">
        <f>"TCF7L1"</f>
        <v>TCF7L1</v>
      </c>
      <c r="B11475" s="6">
        <v>0.33866133866133802</v>
      </c>
      <c r="C11475" s="6">
        <v>0.51873005043736697</v>
      </c>
    </row>
    <row r="11476" spans="1:3" s="8" customFormat="1" x14ac:dyDescent="0.2">
      <c r="A11476" s="6" t="str">
        <f>"C5orf51"</f>
        <v>C5orf51</v>
      </c>
      <c r="B11476" s="6">
        <v>0.33866133866133802</v>
      </c>
      <c r="C11476" s="6">
        <v>0.51873005043736697</v>
      </c>
    </row>
    <row r="11477" spans="1:3" s="8" customFormat="1" x14ac:dyDescent="0.2">
      <c r="A11477" s="6" t="str">
        <f>"AHCY"</f>
        <v>AHCY</v>
      </c>
      <c r="B11477" s="6">
        <v>0.33866133866133802</v>
      </c>
      <c r="C11477" s="6">
        <v>0.51873005043736697</v>
      </c>
    </row>
    <row r="11478" spans="1:3" s="8" customFormat="1" x14ac:dyDescent="0.2">
      <c r="A11478" s="6" t="str">
        <f>"SLC66A2"</f>
        <v>SLC66A2</v>
      </c>
      <c r="B11478" s="6">
        <v>0.33866133866133802</v>
      </c>
      <c r="C11478" s="6">
        <v>0.51873005043736697</v>
      </c>
    </row>
    <row r="11479" spans="1:3" s="8" customFormat="1" x14ac:dyDescent="0.2">
      <c r="A11479" s="6" t="str">
        <f>"UQCRB"</f>
        <v>UQCRB</v>
      </c>
      <c r="B11479" s="6">
        <v>0.33866133866133802</v>
      </c>
      <c r="C11479" s="6">
        <v>0.51873005043736697</v>
      </c>
    </row>
    <row r="11480" spans="1:3" s="8" customFormat="1" x14ac:dyDescent="0.2">
      <c r="A11480" s="6" t="str">
        <f>"ARPC3"</f>
        <v>ARPC3</v>
      </c>
      <c r="B11480" s="6">
        <v>0.33866133866133802</v>
      </c>
      <c r="C11480" s="6">
        <v>0.51873005043736697</v>
      </c>
    </row>
    <row r="11481" spans="1:3" s="8" customFormat="1" x14ac:dyDescent="0.2">
      <c r="A11481" s="6" t="str">
        <f>"RACK1"</f>
        <v>RACK1</v>
      </c>
      <c r="B11481" s="6">
        <v>0.33866133866133802</v>
      </c>
      <c r="C11481" s="6">
        <v>0.51873005043736697</v>
      </c>
    </row>
    <row r="11482" spans="1:3" s="8" customFormat="1" x14ac:dyDescent="0.2">
      <c r="A11482" s="6" t="str">
        <f>"GRM6"</f>
        <v>GRM6</v>
      </c>
      <c r="B11482" s="6">
        <v>0.33900000000000002</v>
      </c>
      <c r="C11482" s="6">
        <v>0.519203553697413</v>
      </c>
    </row>
    <row r="11483" spans="1:3" s="8" customFormat="1" x14ac:dyDescent="0.2">
      <c r="A11483" s="6" t="str">
        <f>"GYG2P1"</f>
        <v>GYG2P1</v>
      </c>
      <c r="B11483" s="6">
        <v>0.33913934426229497</v>
      </c>
      <c r="C11483" s="6">
        <v>0.51937173223377398</v>
      </c>
    </row>
    <row r="11484" spans="1:3" s="8" customFormat="1" x14ac:dyDescent="0.2">
      <c r="A11484" s="6" t="str">
        <f>"ZNF804A"</f>
        <v>ZNF804A</v>
      </c>
      <c r="B11484" s="6">
        <v>0.33966033966033898</v>
      </c>
      <c r="C11484" s="6">
        <v>0.51949094655887695</v>
      </c>
    </row>
    <row r="11485" spans="1:3" s="8" customFormat="1" x14ac:dyDescent="0.2">
      <c r="A11485" s="6" t="str">
        <f>"RCC2P6"</f>
        <v>RCC2P6</v>
      </c>
      <c r="B11485" s="6">
        <v>0.33966033966033898</v>
      </c>
      <c r="C11485" s="6">
        <v>0.51949094655887695</v>
      </c>
    </row>
    <row r="11486" spans="1:3" s="8" customFormat="1" x14ac:dyDescent="0.2">
      <c r="A11486" s="6" t="str">
        <f>"AL137186.2"</f>
        <v>AL137186.2</v>
      </c>
      <c r="B11486" s="6">
        <v>0.33966033966033898</v>
      </c>
      <c r="C11486" s="6">
        <v>0.51949094655887695</v>
      </c>
    </row>
    <row r="11487" spans="1:3" s="8" customFormat="1" x14ac:dyDescent="0.2">
      <c r="A11487" s="6" t="str">
        <f>"PRSS30P"</f>
        <v>PRSS30P</v>
      </c>
      <c r="B11487" s="6">
        <v>0.33966033966033898</v>
      </c>
      <c r="C11487" s="6">
        <v>0.51949094655887695</v>
      </c>
    </row>
    <row r="11488" spans="1:3" s="8" customFormat="1" x14ac:dyDescent="0.2">
      <c r="A11488" s="6" t="str">
        <f>"PPP2R2B"</f>
        <v>PPP2R2B</v>
      </c>
      <c r="B11488" s="6">
        <v>0.33966033966033898</v>
      </c>
      <c r="C11488" s="6">
        <v>0.51949094655887695</v>
      </c>
    </row>
    <row r="11489" spans="1:3" s="8" customFormat="1" x14ac:dyDescent="0.2">
      <c r="A11489" s="6" t="str">
        <f>"ZNF329"</f>
        <v>ZNF329</v>
      </c>
      <c r="B11489" s="6">
        <v>0.33966033966033898</v>
      </c>
      <c r="C11489" s="6">
        <v>0.51949094655887695</v>
      </c>
    </row>
    <row r="11490" spans="1:3" s="8" customFormat="1" x14ac:dyDescent="0.2">
      <c r="A11490" s="6" t="str">
        <f>"CFAP58"</f>
        <v>CFAP58</v>
      </c>
      <c r="B11490" s="6">
        <v>0.33966033966033898</v>
      </c>
      <c r="C11490" s="6">
        <v>0.51949094655887695</v>
      </c>
    </row>
    <row r="11491" spans="1:3" s="8" customFormat="1" x14ac:dyDescent="0.2">
      <c r="A11491" s="6" t="str">
        <f>"RSL1D1"</f>
        <v>RSL1D1</v>
      </c>
      <c r="B11491" s="6">
        <v>0.33966033966033898</v>
      </c>
      <c r="C11491" s="6">
        <v>0.51949094655887695</v>
      </c>
    </row>
    <row r="11492" spans="1:3" s="8" customFormat="1" x14ac:dyDescent="0.2">
      <c r="A11492" s="6" t="str">
        <f>"UBL5"</f>
        <v>UBL5</v>
      </c>
      <c r="B11492" s="6">
        <v>0.33966033966033898</v>
      </c>
      <c r="C11492" s="6">
        <v>0.51949094655887695</v>
      </c>
    </row>
    <row r="11493" spans="1:3" s="8" customFormat="1" x14ac:dyDescent="0.2">
      <c r="A11493" s="6" t="str">
        <f>"ZDHHC3"</f>
        <v>ZDHHC3</v>
      </c>
      <c r="B11493" s="6">
        <v>0.33966033966033898</v>
      </c>
      <c r="C11493" s="6">
        <v>0.51949094655887695</v>
      </c>
    </row>
    <row r="11494" spans="1:3" s="8" customFormat="1" x14ac:dyDescent="0.2">
      <c r="A11494" s="6" t="str">
        <f>"ARL6IP1"</f>
        <v>ARL6IP1</v>
      </c>
      <c r="B11494" s="6">
        <v>0.33966033966033898</v>
      </c>
      <c r="C11494" s="6">
        <v>0.51949094655887695</v>
      </c>
    </row>
    <row r="11495" spans="1:3" s="8" customFormat="1" x14ac:dyDescent="0.2">
      <c r="A11495" s="6" t="str">
        <f>"DNAAF3"</f>
        <v>DNAAF3</v>
      </c>
      <c r="B11495" s="6">
        <v>0.33966033966033898</v>
      </c>
      <c r="C11495" s="6">
        <v>0.51949094655887695</v>
      </c>
    </row>
    <row r="11496" spans="1:3" s="8" customFormat="1" x14ac:dyDescent="0.2">
      <c r="A11496" s="6" t="str">
        <f>"OSBP"</f>
        <v>OSBP</v>
      </c>
      <c r="B11496" s="6">
        <v>0.33966033966033898</v>
      </c>
      <c r="C11496" s="6">
        <v>0.51949094655887695</v>
      </c>
    </row>
    <row r="11497" spans="1:3" s="8" customFormat="1" x14ac:dyDescent="0.2">
      <c r="A11497" s="6" t="str">
        <f>"GPR107"</f>
        <v>GPR107</v>
      </c>
      <c r="B11497" s="6">
        <v>0.33966033966033898</v>
      </c>
      <c r="C11497" s="6">
        <v>0.51949094655887695</v>
      </c>
    </row>
    <row r="11498" spans="1:3" s="8" customFormat="1" x14ac:dyDescent="0.2">
      <c r="A11498" s="6" t="str">
        <f>"SURF4"</f>
        <v>SURF4</v>
      </c>
      <c r="B11498" s="6">
        <v>0.33966033966033898</v>
      </c>
      <c r="C11498" s="6">
        <v>0.51949094655887695</v>
      </c>
    </row>
    <row r="11499" spans="1:3" s="8" customFormat="1" x14ac:dyDescent="0.2">
      <c r="A11499" s="6" t="str">
        <f>"AC005332.2"</f>
        <v>AC005332.2</v>
      </c>
      <c r="B11499" s="6">
        <v>0.34</v>
      </c>
      <c r="C11499" s="6">
        <v>0.51996521134110196</v>
      </c>
    </row>
    <row r="11500" spans="1:3" s="8" customFormat="1" x14ac:dyDescent="0.2">
      <c r="A11500" s="6" t="str">
        <f>"CITED1"</f>
        <v>CITED1</v>
      </c>
      <c r="B11500" s="6">
        <v>0.34065934065934</v>
      </c>
      <c r="C11500" s="6">
        <v>0.52029478382296901</v>
      </c>
    </row>
    <row r="11501" spans="1:3" s="8" customFormat="1" x14ac:dyDescent="0.2">
      <c r="A11501" s="6" t="str">
        <f>"PGAM2"</f>
        <v>PGAM2</v>
      </c>
      <c r="B11501" s="6">
        <v>0.34065934065934</v>
      </c>
      <c r="C11501" s="6">
        <v>0.52029478382296901</v>
      </c>
    </row>
    <row r="11502" spans="1:3" s="8" customFormat="1" x14ac:dyDescent="0.2">
      <c r="A11502" s="6" t="str">
        <f>"COL4A3"</f>
        <v>COL4A3</v>
      </c>
      <c r="B11502" s="6">
        <v>0.34065934065934</v>
      </c>
      <c r="C11502" s="6">
        <v>0.52029478382296901</v>
      </c>
    </row>
    <row r="11503" spans="1:3" s="8" customFormat="1" x14ac:dyDescent="0.2">
      <c r="A11503" s="6" t="str">
        <f>"AC126474.1"</f>
        <v>AC126474.1</v>
      </c>
      <c r="B11503" s="6">
        <v>0.34065934065934</v>
      </c>
      <c r="C11503" s="6">
        <v>0.52029478382296901</v>
      </c>
    </row>
    <row r="11504" spans="1:3" s="8" customFormat="1" x14ac:dyDescent="0.2">
      <c r="A11504" s="6" t="str">
        <f>"SKOR1"</f>
        <v>SKOR1</v>
      </c>
      <c r="B11504" s="6">
        <v>0.34065934065934</v>
      </c>
      <c r="C11504" s="6">
        <v>0.52029478382296901</v>
      </c>
    </row>
    <row r="11505" spans="1:3" s="8" customFormat="1" x14ac:dyDescent="0.2">
      <c r="A11505" s="6" t="str">
        <f>"CGB7"</f>
        <v>CGB7</v>
      </c>
      <c r="B11505" s="6">
        <v>0.34065934065934</v>
      </c>
      <c r="C11505" s="6">
        <v>0.52029478382296901</v>
      </c>
    </row>
    <row r="11506" spans="1:3" s="8" customFormat="1" x14ac:dyDescent="0.2">
      <c r="A11506" s="6" t="str">
        <f>"LINC01252"</f>
        <v>LINC01252</v>
      </c>
      <c r="B11506" s="6">
        <v>0.34065934065934</v>
      </c>
      <c r="C11506" s="6">
        <v>0.52029478382296901</v>
      </c>
    </row>
    <row r="11507" spans="1:3" s="8" customFormat="1" x14ac:dyDescent="0.2">
      <c r="A11507" s="6" t="str">
        <f>"AC091057.1"</f>
        <v>AC091057.1</v>
      </c>
      <c r="B11507" s="6">
        <v>0.34065934065934</v>
      </c>
      <c r="C11507" s="6">
        <v>0.52029478382296901</v>
      </c>
    </row>
    <row r="11508" spans="1:3" s="8" customFormat="1" x14ac:dyDescent="0.2">
      <c r="A11508" s="6" t="str">
        <f>"ZNF711"</f>
        <v>ZNF711</v>
      </c>
      <c r="B11508" s="6">
        <v>0.34065934065934</v>
      </c>
      <c r="C11508" s="6">
        <v>0.52029478382296901</v>
      </c>
    </row>
    <row r="11509" spans="1:3" s="8" customFormat="1" x14ac:dyDescent="0.2">
      <c r="A11509" s="6" t="str">
        <f>"SNHG19"</f>
        <v>SNHG19</v>
      </c>
      <c r="B11509" s="6">
        <v>0.34065934065934</v>
      </c>
      <c r="C11509" s="6">
        <v>0.52029478382296901</v>
      </c>
    </row>
    <row r="11510" spans="1:3" s="8" customFormat="1" x14ac:dyDescent="0.2">
      <c r="A11510" s="6" t="str">
        <f>"CINP"</f>
        <v>CINP</v>
      </c>
      <c r="B11510" s="6">
        <v>0.34065934065934</v>
      </c>
      <c r="C11510" s="6">
        <v>0.52029478382296901</v>
      </c>
    </row>
    <row r="11511" spans="1:3" s="8" customFormat="1" x14ac:dyDescent="0.2">
      <c r="A11511" s="6" t="str">
        <f>"BTN2A1"</f>
        <v>BTN2A1</v>
      </c>
      <c r="B11511" s="6">
        <v>0.34065934065934</v>
      </c>
      <c r="C11511" s="6">
        <v>0.52029478382296901</v>
      </c>
    </row>
    <row r="11512" spans="1:3" s="8" customFormat="1" x14ac:dyDescent="0.2">
      <c r="A11512" s="6" t="str">
        <f>"VAT1"</f>
        <v>VAT1</v>
      </c>
      <c r="B11512" s="6">
        <v>0.34065934065934</v>
      </c>
      <c r="C11512" s="6">
        <v>0.52029478382296901</v>
      </c>
    </row>
    <row r="11513" spans="1:3" s="8" customFormat="1" x14ac:dyDescent="0.2">
      <c r="A11513" s="6" t="str">
        <f>"TMEM167A"</f>
        <v>TMEM167A</v>
      </c>
      <c r="B11513" s="6">
        <v>0.34065934065934</v>
      </c>
      <c r="C11513" s="6">
        <v>0.52029478382296901</v>
      </c>
    </row>
    <row r="11514" spans="1:3" s="8" customFormat="1" x14ac:dyDescent="0.2">
      <c r="A11514" s="6" t="str">
        <f>"LRRC23"</f>
        <v>LRRC23</v>
      </c>
      <c r="B11514" s="6">
        <v>0.34065934065934</v>
      </c>
      <c r="C11514" s="6">
        <v>0.52029478382296901</v>
      </c>
    </row>
    <row r="11515" spans="1:3" s="8" customFormat="1" x14ac:dyDescent="0.2">
      <c r="A11515" s="6" t="str">
        <f>"AC099518.6"</f>
        <v>AC099518.6</v>
      </c>
      <c r="B11515" s="6">
        <v>0.34102306920762199</v>
      </c>
      <c r="C11515" s="6">
        <v>0.52071462738336505</v>
      </c>
    </row>
    <row r="11516" spans="1:3" s="8" customFormat="1" x14ac:dyDescent="0.2">
      <c r="A11516" s="6" t="str">
        <f>"AC079416.2"</f>
        <v>AC079416.2</v>
      </c>
      <c r="B11516" s="6">
        <v>0.34100000000000003</v>
      </c>
      <c r="C11516" s="6">
        <v>0.52071462738336505</v>
      </c>
    </row>
    <row r="11517" spans="1:3" s="8" customFormat="1" x14ac:dyDescent="0.2">
      <c r="A11517" s="6" t="str">
        <f>"RAB8A"</f>
        <v>RAB8A</v>
      </c>
      <c r="B11517" s="6">
        <v>0.34100000000000003</v>
      </c>
      <c r="C11517" s="6">
        <v>0.52071462738336505</v>
      </c>
    </row>
    <row r="11518" spans="1:3" s="8" customFormat="1" x14ac:dyDescent="0.2">
      <c r="A11518" s="6" t="str">
        <f>"LRRC39"</f>
        <v>LRRC39</v>
      </c>
      <c r="B11518" s="6">
        <v>0.34165834165834102</v>
      </c>
      <c r="C11518" s="6">
        <v>0.52095381259353801</v>
      </c>
    </row>
    <row r="11519" spans="1:3" s="8" customFormat="1" x14ac:dyDescent="0.2">
      <c r="A11519" s="6" t="str">
        <f>"AC020656.2"</f>
        <v>AC020656.2</v>
      </c>
      <c r="B11519" s="6">
        <v>0.341683366733466</v>
      </c>
      <c r="C11519" s="6">
        <v>0.52095381259353801</v>
      </c>
    </row>
    <row r="11520" spans="1:3" s="8" customFormat="1" x14ac:dyDescent="0.2">
      <c r="A11520" s="6" t="str">
        <f>"LINC02878"</f>
        <v>LINC02878</v>
      </c>
      <c r="B11520" s="6">
        <v>0.341432225063938</v>
      </c>
      <c r="C11520" s="6">
        <v>0.52095381259353801</v>
      </c>
    </row>
    <row r="11521" spans="1:3" s="8" customFormat="1" x14ac:dyDescent="0.2">
      <c r="A11521" s="6" t="str">
        <f>"EGFL7"</f>
        <v>EGFL7</v>
      </c>
      <c r="B11521" s="6">
        <v>0.34165834165834102</v>
      </c>
      <c r="C11521" s="6">
        <v>0.52095381259353801</v>
      </c>
    </row>
    <row r="11522" spans="1:3" s="8" customFormat="1" x14ac:dyDescent="0.2">
      <c r="A11522" s="6" t="str">
        <f>"MAP3K14-AS1"</f>
        <v>MAP3K14-AS1</v>
      </c>
      <c r="B11522" s="6">
        <v>0.34165834165834102</v>
      </c>
      <c r="C11522" s="6">
        <v>0.52095381259353801</v>
      </c>
    </row>
    <row r="11523" spans="1:3" s="8" customFormat="1" x14ac:dyDescent="0.2">
      <c r="A11523" s="6" t="str">
        <f>"AC027237.3"</f>
        <v>AC027237.3</v>
      </c>
      <c r="B11523" s="6">
        <v>0.34165834165834102</v>
      </c>
      <c r="C11523" s="6">
        <v>0.52095381259353801</v>
      </c>
    </row>
    <row r="11524" spans="1:3" s="8" customFormat="1" x14ac:dyDescent="0.2">
      <c r="A11524" s="6" t="str">
        <f>"LIPT2"</f>
        <v>LIPT2</v>
      </c>
      <c r="B11524" s="6">
        <v>0.34165834165834102</v>
      </c>
      <c r="C11524" s="6">
        <v>0.52095381259353801</v>
      </c>
    </row>
    <row r="11525" spans="1:3" s="8" customFormat="1" x14ac:dyDescent="0.2">
      <c r="A11525" s="6" t="str">
        <f>"PAM16"</f>
        <v>PAM16</v>
      </c>
      <c r="B11525" s="6">
        <v>0.34165834165834102</v>
      </c>
      <c r="C11525" s="6">
        <v>0.52095381259353801</v>
      </c>
    </row>
    <row r="11526" spans="1:3" s="8" customFormat="1" x14ac:dyDescent="0.2">
      <c r="A11526" s="6" t="str">
        <f>"TLR5"</f>
        <v>TLR5</v>
      </c>
      <c r="B11526" s="6">
        <v>0.34165834165834102</v>
      </c>
      <c r="C11526" s="6">
        <v>0.52095381259353801</v>
      </c>
    </row>
    <row r="11527" spans="1:3" s="8" customFormat="1" x14ac:dyDescent="0.2">
      <c r="A11527" s="6" t="str">
        <f>"FBXW7"</f>
        <v>FBXW7</v>
      </c>
      <c r="B11527" s="6">
        <v>0.34165834165834102</v>
      </c>
      <c r="C11527" s="6">
        <v>0.52095381259353801</v>
      </c>
    </row>
    <row r="11528" spans="1:3" s="8" customFormat="1" x14ac:dyDescent="0.2">
      <c r="A11528" s="6" t="str">
        <f>"KDF1"</f>
        <v>KDF1</v>
      </c>
      <c r="B11528" s="6">
        <v>0.34165834165834102</v>
      </c>
      <c r="C11528" s="6">
        <v>0.52095381259353801</v>
      </c>
    </row>
    <row r="11529" spans="1:3" s="8" customFormat="1" x14ac:dyDescent="0.2">
      <c r="A11529" s="6" t="str">
        <f>"RUBCN"</f>
        <v>RUBCN</v>
      </c>
      <c r="B11529" s="6">
        <v>0.34165834165834102</v>
      </c>
      <c r="C11529" s="6">
        <v>0.52095381259353801</v>
      </c>
    </row>
    <row r="11530" spans="1:3" s="8" customFormat="1" x14ac:dyDescent="0.2">
      <c r="A11530" s="6" t="str">
        <f>"LTA4H"</f>
        <v>LTA4H</v>
      </c>
      <c r="B11530" s="6">
        <v>0.34165834165834102</v>
      </c>
      <c r="C11530" s="6">
        <v>0.52095381259353801</v>
      </c>
    </row>
    <row r="11531" spans="1:3" s="8" customFormat="1" x14ac:dyDescent="0.2">
      <c r="A11531" s="6" t="str">
        <f>"NDFIP2"</f>
        <v>NDFIP2</v>
      </c>
      <c r="B11531" s="6">
        <v>0.34165834165834102</v>
      </c>
      <c r="C11531" s="6">
        <v>0.52095381259353801</v>
      </c>
    </row>
    <row r="11532" spans="1:3" s="8" customFormat="1" x14ac:dyDescent="0.2">
      <c r="A11532" s="6" t="str">
        <f>"AFG3L2"</f>
        <v>AFG3L2</v>
      </c>
      <c r="B11532" s="6">
        <v>0.34165834165834102</v>
      </c>
      <c r="C11532" s="6">
        <v>0.52095381259353801</v>
      </c>
    </row>
    <row r="11533" spans="1:3" s="8" customFormat="1" x14ac:dyDescent="0.2">
      <c r="A11533" s="6" t="str">
        <f>"PTGFRN"</f>
        <v>PTGFRN</v>
      </c>
      <c r="B11533" s="6">
        <v>0.34165834165834102</v>
      </c>
      <c r="C11533" s="6">
        <v>0.52095381259353801</v>
      </c>
    </row>
    <row r="11534" spans="1:3" s="8" customFormat="1" x14ac:dyDescent="0.2">
      <c r="A11534" s="6" t="str">
        <f>"FAM3D"</f>
        <v>FAM3D</v>
      </c>
      <c r="B11534" s="6">
        <v>0.34165834165834102</v>
      </c>
      <c r="C11534" s="6">
        <v>0.52095381259353801</v>
      </c>
    </row>
    <row r="11535" spans="1:3" s="8" customFormat="1" x14ac:dyDescent="0.2">
      <c r="A11535" s="6" t="str">
        <f>"AC073174.1"</f>
        <v>AC073174.1</v>
      </c>
      <c r="B11535" s="6">
        <v>0.34202607823470399</v>
      </c>
      <c r="C11535" s="6">
        <v>0.52143112187263996</v>
      </c>
    </row>
    <row r="11536" spans="1:3" s="8" customFormat="1" x14ac:dyDescent="0.2">
      <c r="A11536" s="6" t="str">
        <f>"ABHD17AP5"</f>
        <v>ABHD17AP5</v>
      </c>
      <c r="B11536" s="6">
        <v>0.34207870837537802</v>
      </c>
      <c r="C11536" s="6">
        <v>0.52146614721045903</v>
      </c>
    </row>
    <row r="11537" spans="1:3" s="8" customFormat="1" x14ac:dyDescent="0.2">
      <c r="A11537" s="6" t="str">
        <f>"SNRPCP9"</f>
        <v>SNRPCP9</v>
      </c>
      <c r="B11537" s="6">
        <v>0.34265734265734199</v>
      </c>
      <c r="C11537" s="6">
        <v>0.52148676409504402</v>
      </c>
    </row>
    <row r="11538" spans="1:3" s="8" customFormat="1" x14ac:dyDescent="0.2">
      <c r="A11538" s="6" t="str">
        <f>"AL022316.1"</f>
        <v>AL022316.1</v>
      </c>
      <c r="B11538" s="6">
        <v>0.34268537074148298</v>
      </c>
      <c r="C11538" s="6">
        <v>0.52148676409504402</v>
      </c>
    </row>
    <row r="11539" spans="1:3" s="8" customFormat="1" x14ac:dyDescent="0.2">
      <c r="A11539" s="6" t="str">
        <f>"PLA2G2A"</f>
        <v>PLA2G2A</v>
      </c>
      <c r="B11539" s="6">
        <v>0.34265734265734199</v>
      </c>
      <c r="C11539" s="6">
        <v>0.52148676409504402</v>
      </c>
    </row>
    <row r="11540" spans="1:3" s="8" customFormat="1" x14ac:dyDescent="0.2">
      <c r="A11540" s="6" t="str">
        <f>"AC100847.1"</f>
        <v>AC100847.1</v>
      </c>
      <c r="B11540" s="6">
        <v>0.34265734265734199</v>
      </c>
      <c r="C11540" s="6">
        <v>0.52148676409504402</v>
      </c>
    </row>
    <row r="11541" spans="1:3" s="8" customFormat="1" x14ac:dyDescent="0.2">
      <c r="A11541" s="6" t="str">
        <f>"LINC02306"</f>
        <v>LINC02306</v>
      </c>
      <c r="B11541" s="6">
        <v>0.34265734265734199</v>
      </c>
      <c r="C11541" s="6">
        <v>0.52148676409504402</v>
      </c>
    </row>
    <row r="11542" spans="1:3" s="8" customFormat="1" x14ac:dyDescent="0.2">
      <c r="A11542" s="6" t="str">
        <f>"AC007881.3"</f>
        <v>AC007881.3</v>
      </c>
      <c r="B11542" s="6">
        <v>0.34221311475409799</v>
      </c>
      <c r="C11542" s="6">
        <v>0.52148676409504402</v>
      </c>
    </row>
    <row r="11543" spans="1:3" s="8" customFormat="1" x14ac:dyDescent="0.2">
      <c r="A11543" s="6" t="str">
        <f>"LINC00299"</f>
        <v>LINC00299</v>
      </c>
      <c r="B11543" s="6">
        <v>0.34265734265734199</v>
      </c>
      <c r="C11543" s="6">
        <v>0.52148676409504402</v>
      </c>
    </row>
    <row r="11544" spans="1:3" s="8" customFormat="1" x14ac:dyDescent="0.2">
      <c r="A11544" s="6" t="str">
        <f>"AL663070.1"</f>
        <v>AL663070.1</v>
      </c>
      <c r="B11544" s="6">
        <v>0.34265734265734199</v>
      </c>
      <c r="C11544" s="6">
        <v>0.52148676409504402</v>
      </c>
    </row>
    <row r="11545" spans="1:3" s="8" customFormat="1" x14ac:dyDescent="0.2">
      <c r="A11545" s="6" t="str">
        <f>"AL121985.1"</f>
        <v>AL121985.1</v>
      </c>
      <c r="B11545" s="6">
        <v>0.34213197969543102</v>
      </c>
      <c r="C11545" s="6">
        <v>0.52148676409504402</v>
      </c>
    </row>
    <row r="11546" spans="1:3" s="8" customFormat="1" x14ac:dyDescent="0.2">
      <c r="A11546" s="6" t="str">
        <f>"AL390195.2"</f>
        <v>AL390195.2</v>
      </c>
      <c r="B11546" s="6">
        <v>0.34265734265734199</v>
      </c>
      <c r="C11546" s="6">
        <v>0.52148676409504402</v>
      </c>
    </row>
    <row r="11547" spans="1:3" s="8" customFormat="1" x14ac:dyDescent="0.2">
      <c r="A11547" s="6" t="str">
        <f>"LINC00589"</f>
        <v>LINC00589</v>
      </c>
      <c r="B11547" s="6">
        <v>0.34265734265734199</v>
      </c>
      <c r="C11547" s="6">
        <v>0.52148676409504402</v>
      </c>
    </row>
    <row r="11548" spans="1:3" s="8" customFormat="1" x14ac:dyDescent="0.2">
      <c r="A11548" s="6" t="str">
        <f>"CACNA2D1"</f>
        <v>CACNA2D1</v>
      </c>
      <c r="B11548" s="6">
        <v>0.34265734265734199</v>
      </c>
      <c r="C11548" s="6">
        <v>0.52148676409504402</v>
      </c>
    </row>
    <row r="11549" spans="1:3" s="8" customFormat="1" x14ac:dyDescent="0.2">
      <c r="A11549" s="6" t="str">
        <f>"TUBBP5"</f>
        <v>TUBBP5</v>
      </c>
      <c r="B11549" s="6">
        <v>0.34265734265734199</v>
      </c>
      <c r="C11549" s="6">
        <v>0.52148676409504402</v>
      </c>
    </row>
    <row r="11550" spans="1:3" s="8" customFormat="1" x14ac:dyDescent="0.2">
      <c r="A11550" s="6" t="str">
        <f>"C1orf159"</f>
        <v>C1orf159</v>
      </c>
      <c r="B11550" s="6">
        <v>0.34265734265734199</v>
      </c>
      <c r="C11550" s="6">
        <v>0.52148676409504402</v>
      </c>
    </row>
    <row r="11551" spans="1:3" s="8" customFormat="1" x14ac:dyDescent="0.2">
      <c r="A11551" s="6" t="str">
        <f>"GEMIN7-AS1"</f>
        <v>GEMIN7-AS1</v>
      </c>
      <c r="B11551" s="6">
        <v>0.34265734265734199</v>
      </c>
      <c r="C11551" s="6">
        <v>0.52148676409504402</v>
      </c>
    </row>
    <row r="11552" spans="1:3" s="8" customFormat="1" x14ac:dyDescent="0.2">
      <c r="A11552" s="6" t="str">
        <f>"CDKAL1"</f>
        <v>CDKAL1</v>
      </c>
      <c r="B11552" s="6">
        <v>0.34265734265734199</v>
      </c>
      <c r="C11552" s="6">
        <v>0.52148676409504402</v>
      </c>
    </row>
    <row r="11553" spans="1:3" s="8" customFormat="1" x14ac:dyDescent="0.2">
      <c r="A11553" s="6" t="str">
        <f>"UTP25"</f>
        <v>UTP25</v>
      </c>
      <c r="B11553" s="6">
        <v>0.34265734265734199</v>
      </c>
      <c r="C11553" s="6">
        <v>0.52148676409504402</v>
      </c>
    </row>
    <row r="11554" spans="1:3" s="8" customFormat="1" x14ac:dyDescent="0.2">
      <c r="A11554" s="6" t="str">
        <f>"RAB27A"</f>
        <v>RAB27A</v>
      </c>
      <c r="B11554" s="6">
        <v>0.34265734265734199</v>
      </c>
      <c r="C11554" s="6">
        <v>0.52148676409504402</v>
      </c>
    </row>
    <row r="11555" spans="1:3" s="8" customFormat="1" x14ac:dyDescent="0.2">
      <c r="A11555" s="6" t="str">
        <f>"PKN2"</f>
        <v>PKN2</v>
      </c>
      <c r="B11555" s="6">
        <v>0.34265734265734199</v>
      </c>
      <c r="C11555" s="6">
        <v>0.52148676409504402</v>
      </c>
    </row>
    <row r="11556" spans="1:3" s="8" customFormat="1" x14ac:dyDescent="0.2">
      <c r="A11556" s="6" t="str">
        <f>"AP2B1"</f>
        <v>AP2B1</v>
      </c>
      <c r="B11556" s="6">
        <v>0.34265734265734199</v>
      </c>
      <c r="C11556" s="6">
        <v>0.52148676409504402</v>
      </c>
    </row>
    <row r="11557" spans="1:3" s="8" customFormat="1" x14ac:dyDescent="0.2">
      <c r="A11557" s="6" t="str">
        <f>"AC005614.1"</f>
        <v>AC005614.1</v>
      </c>
      <c r="B11557" s="6">
        <v>0.34293948126801099</v>
      </c>
      <c r="C11557" s="6">
        <v>0.52182830033027905</v>
      </c>
    </row>
    <row r="11558" spans="1:3" s="8" customFormat="1" x14ac:dyDescent="0.2">
      <c r="A11558" s="6" t="str">
        <f>"AC073115.2"</f>
        <v>AC073115.2</v>
      </c>
      <c r="B11558" s="6">
        <v>0.343373493975903</v>
      </c>
      <c r="C11558" s="6">
        <v>0.52210585336557302</v>
      </c>
    </row>
    <row r="11559" spans="1:3" s="8" customFormat="1" x14ac:dyDescent="0.2">
      <c r="A11559" s="6" t="str">
        <f>"SNAP25-AS1"</f>
        <v>SNAP25-AS1</v>
      </c>
      <c r="B11559" s="6">
        <v>0.34365634365634301</v>
      </c>
      <c r="C11559" s="6">
        <v>0.52210585336557302</v>
      </c>
    </row>
    <row r="11560" spans="1:3" s="8" customFormat="1" x14ac:dyDescent="0.2">
      <c r="A11560" s="6" t="str">
        <f>"MIAT"</f>
        <v>MIAT</v>
      </c>
      <c r="B11560" s="6">
        <v>0.34365634365634301</v>
      </c>
      <c r="C11560" s="6">
        <v>0.52210585336557302</v>
      </c>
    </row>
    <row r="11561" spans="1:3" s="8" customFormat="1" x14ac:dyDescent="0.2">
      <c r="A11561" s="6" t="str">
        <f>"NR2F1-AS1"</f>
        <v>NR2F1-AS1</v>
      </c>
      <c r="B11561" s="6">
        <v>0.34365634365634301</v>
      </c>
      <c r="C11561" s="6">
        <v>0.52210585336557302</v>
      </c>
    </row>
    <row r="11562" spans="1:3" s="8" customFormat="1" x14ac:dyDescent="0.2">
      <c r="A11562" s="6" t="str">
        <f>"SCAND2P"</f>
        <v>SCAND2P</v>
      </c>
      <c r="B11562" s="6">
        <v>0.34365634365634301</v>
      </c>
      <c r="C11562" s="6">
        <v>0.52210585336557302</v>
      </c>
    </row>
    <row r="11563" spans="1:3" s="8" customFormat="1" x14ac:dyDescent="0.2">
      <c r="A11563" s="6" t="str">
        <f>"AC016876.1"</f>
        <v>AC016876.1</v>
      </c>
      <c r="B11563" s="6">
        <v>0.34365634365634301</v>
      </c>
      <c r="C11563" s="6">
        <v>0.52210585336557302</v>
      </c>
    </row>
    <row r="11564" spans="1:3" s="8" customFormat="1" x14ac:dyDescent="0.2">
      <c r="A11564" s="6" t="str">
        <f>"AC097639.1"</f>
        <v>AC097639.1</v>
      </c>
      <c r="B11564" s="6">
        <v>0.34365634365634301</v>
      </c>
      <c r="C11564" s="6">
        <v>0.52210585336557302</v>
      </c>
    </row>
    <row r="11565" spans="1:3" s="8" customFormat="1" x14ac:dyDescent="0.2">
      <c r="A11565" s="6" t="str">
        <f>"SLC6A20"</f>
        <v>SLC6A20</v>
      </c>
      <c r="B11565" s="6">
        <v>0.34365634365634301</v>
      </c>
      <c r="C11565" s="6">
        <v>0.52210585336557302</v>
      </c>
    </row>
    <row r="11566" spans="1:3" s="8" customFormat="1" x14ac:dyDescent="0.2">
      <c r="A11566" s="6" t="str">
        <f>"HEY2"</f>
        <v>HEY2</v>
      </c>
      <c r="B11566" s="6">
        <v>0.34365634365634301</v>
      </c>
      <c r="C11566" s="6">
        <v>0.52210585336557302</v>
      </c>
    </row>
    <row r="11567" spans="1:3" s="8" customFormat="1" x14ac:dyDescent="0.2">
      <c r="A11567" s="6" t="str">
        <f>"BNIP2"</f>
        <v>BNIP2</v>
      </c>
      <c r="B11567" s="6">
        <v>0.34365634365634301</v>
      </c>
      <c r="C11567" s="6">
        <v>0.52210585336557302</v>
      </c>
    </row>
    <row r="11568" spans="1:3" s="8" customFormat="1" x14ac:dyDescent="0.2">
      <c r="A11568" s="6" t="str">
        <f>"CATIP"</f>
        <v>CATIP</v>
      </c>
      <c r="B11568" s="6">
        <v>0.34365634365634301</v>
      </c>
      <c r="C11568" s="6">
        <v>0.52210585336557302</v>
      </c>
    </row>
    <row r="11569" spans="1:3" s="8" customFormat="1" x14ac:dyDescent="0.2">
      <c r="A11569" s="6" t="str">
        <f>"RSPRY1"</f>
        <v>RSPRY1</v>
      </c>
      <c r="B11569" s="6">
        <v>0.34365634365634301</v>
      </c>
      <c r="C11569" s="6">
        <v>0.52210585336557302</v>
      </c>
    </row>
    <row r="11570" spans="1:3" s="8" customFormat="1" x14ac:dyDescent="0.2">
      <c r="A11570" s="6" t="str">
        <f>"CLN3"</f>
        <v>CLN3</v>
      </c>
      <c r="B11570" s="6">
        <v>0.34365634365634301</v>
      </c>
      <c r="C11570" s="6">
        <v>0.52210585336557302</v>
      </c>
    </row>
    <row r="11571" spans="1:3" s="8" customFormat="1" x14ac:dyDescent="0.2">
      <c r="A11571" s="6" t="str">
        <f>"ZNF148"</f>
        <v>ZNF148</v>
      </c>
      <c r="B11571" s="6">
        <v>0.34365634365634301</v>
      </c>
      <c r="C11571" s="6">
        <v>0.52210585336557302</v>
      </c>
    </row>
    <row r="11572" spans="1:3" s="8" customFormat="1" x14ac:dyDescent="0.2">
      <c r="A11572" s="6" t="str">
        <f>"UBE4A"</f>
        <v>UBE4A</v>
      </c>
      <c r="B11572" s="6">
        <v>0.34365634365634301</v>
      </c>
      <c r="C11572" s="6">
        <v>0.52210585336557302</v>
      </c>
    </row>
    <row r="11573" spans="1:3" s="8" customFormat="1" x14ac:dyDescent="0.2">
      <c r="A11573" s="6" t="str">
        <f>"PPP2R5C"</f>
        <v>PPP2R5C</v>
      </c>
      <c r="B11573" s="6">
        <v>0.34365634365634301</v>
      </c>
      <c r="C11573" s="6">
        <v>0.52210585336557302</v>
      </c>
    </row>
    <row r="11574" spans="1:3" s="8" customFormat="1" x14ac:dyDescent="0.2">
      <c r="A11574" s="6" t="str">
        <f>"RPS26"</f>
        <v>RPS26</v>
      </c>
      <c r="B11574" s="6">
        <v>0.34365634365634301</v>
      </c>
      <c r="C11574" s="6">
        <v>0.52210585336557302</v>
      </c>
    </row>
    <row r="11575" spans="1:3" s="8" customFormat="1" x14ac:dyDescent="0.2">
      <c r="A11575" s="6" t="str">
        <f>"DSP"</f>
        <v>DSP</v>
      </c>
      <c r="B11575" s="6">
        <v>0.34365634365634301</v>
      </c>
      <c r="C11575" s="6">
        <v>0.52210585336557302</v>
      </c>
    </row>
    <row r="11576" spans="1:3" s="8" customFormat="1" x14ac:dyDescent="0.2">
      <c r="A11576" s="6" t="str">
        <f>"AL355377.3"</f>
        <v>AL355377.3</v>
      </c>
      <c r="B11576" s="6">
        <v>0.34399999999999997</v>
      </c>
      <c r="C11576" s="6">
        <v>0.52249252828884796</v>
      </c>
    </row>
    <row r="11577" spans="1:3" s="8" customFormat="1" x14ac:dyDescent="0.2">
      <c r="A11577" s="6" t="str">
        <f>"RNF7P1"</f>
        <v>RNF7P1</v>
      </c>
      <c r="B11577" s="6">
        <v>0.34399999999999997</v>
      </c>
      <c r="C11577" s="6">
        <v>0.52249252828884796</v>
      </c>
    </row>
    <row r="11578" spans="1:3" s="8" customFormat="1" x14ac:dyDescent="0.2">
      <c r="A11578" s="6" t="str">
        <f>"SH3BGRL2"</f>
        <v>SH3BGRL2</v>
      </c>
      <c r="B11578" s="6">
        <v>0.34399999999999997</v>
      </c>
      <c r="C11578" s="6">
        <v>0.52249252828884796</v>
      </c>
    </row>
    <row r="11579" spans="1:3" s="8" customFormat="1" x14ac:dyDescent="0.2">
      <c r="A11579" s="6" t="str">
        <f>"PTGIS"</f>
        <v>PTGIS</v>
      </c>
      <c r="B11579" s="6">
        <v>0.34465534465534398</v>
      </c>
      <c r="C11579" s="6">
        <v>0.52285562767833405</v>
      </c>
    </row>
    <row r="11580" spans="1:3" s="8" customFormat="1" x14ac:dyDescent="0.2">
      <c r="A11580" s="6" t="str">
        <f>"SYCE3"</f>
        <v>SYCE3</v>
      </c>
      <c r="B11580" s="6">
        <v>0.34465534465534398</v>
      </c>
      <c r="C11580" s="6">
        <v>0.52285562767833405</v>
      </c>
    </row>
    <row r="11581" spans="1:3" s="8" customFormat="1" x14ac:dyDescent="0.2">
      <c r="A11581" s="6" t="str">
        <f>"AC023509.2"</f>
        <v>AC023509.2</v>
      </c>
      <c r="B11581" s="6">
        <v>0.34465534465534398</v>
      </c>
      <c r="C11581" s="6">
        <v>0.52285562767833405</v>
      </c>
    </row>
    <row r="11582" spans="1:3" s="8" customFormat="1" x14ac:dyDescent="0.2">
      <c r="A11582" s="6" t="str">
        <f>"RRM2P3"</f>
        <v>RRM2P3</v>
      </c>
      <c r="B11582" s="6">
        <v>0.34465534465534398</v>
      </c>
      <c r="C11582" s="6">
        <v>0.52285562767833405</v>
      </c>
    </row>
    <row r="11583" spans="1:3" s="8" customFormat="1" x14ac:dyDescent="0.2">
      <c r="A11583" s="6" t="str">
        <f>"C5"</f>
        <v>C5</v>
      </c>
      <c r="B11583" s="6">
        <v>0.34465534465534398</v>
      </c>
      <c r="C11583" s="6">
        <v>0.52285562767833405</v>
      </c>
    </row>
    <row r="11584" spans="1:3" s="8" customFormat="1" x14ac:dyDescent="0.2">
      <c r="A11584" s="6" t="str">
        <f>"MAP4K1"</f>
        <v>MAP4K1</v>
      </c>
      <c r="B11584" s="6">
        <v>0.34465534465534398</v>
      </c>
      <c r="C11584" s="6">
        <v>0.52285562767833405</v>
      </c>
    </row>
    <row r="11585" spans="1:3" s="8" customFormat="1" x14ac:dyDescent="0.2">
      <c r="A11585" s="6" t="str">
        <f>"HIF1A-AS3"</f>
        <v>HIF1A-AS3</v>
      </c>
      <c r="B11585" s="6">
        <v>0.34465534465534398</v>
      </c>
      <c r="C11585" s="6">
        <v>0.52285562767833405</v>
      </c>
    </row>
    <row r="11586" spans="1:3" s="8" customFormat="1" x14ac:dyDescent="0.2">
      <c r="A11586" s="6" t="str">
        <f>"PRAG1"</f>
        <v>PRAG1</v>
      </c>
      <c r="B11586" s="6">
        <v>0.34465534465534398</v>
      </c>
      <c r="C11586" s="6">
        <v>0.52285562767833405</v>
      </c>
    </row>
    <row r="11587" spans="1:3" s="8" customFormat="1" x14ac:dyDescent="0.2">
      <c r="A11587" s="6" t="str">
        <f>"AFMID"</f>
        <v>AFMID</v>
      </c>
      <c r="B11587" s="6">
        <v>0.34465534465534398</v>
      </c>
      <c r="C11587" s="6">
        <v>0.52285562767833405</v>
      </c>
    </row>
    <row r="11588" spans="1:3" s="8" customFormat="1" x14ac:dyDescent="0.2">
      <c r="A11588" s="6" t="str">
        <f>"RASSF7"</f>
        <v>RASSF7</v>
      </c>
      <c r="B11588" s="6">
        <v>0.34465534465534398</v>
      </c>
      <c r="C11588" s="6">
        <v>0.52285562767833405</v>
      </c>
    </row>
    <row r="11589" spans="1:3" s="8" customFormat="1" x14ac:dyDescent="0.2">
      <c r="A11589" s="6" t="str">
        <f>"SPIDR"</f>
        <v>SPIDR</v>
      </c>
      <c r="B11589" s="6">
        <v>0.34465534465534398</v>
      </c>
      <c r="C11589" s="6">
        <v>0.52285562767833405</v>
      </c>
    </row>
    <row r="11590" spans="1:3" s="8" customFormat="1" x14ac:dyDescent="0.2">
      <c r="A11590" s="6" t="str">
        <f>"ROMO1"</f>
        <v>ROMO1</v>
      </c>
      <c r="B11590" s="6">
        <v>0.34465534465534398</v>
      </c>
      <c r="C11590" s="6">
        <v>0.52285562767833405</v>
      </c>
    </row>
    <row r="11591" spans="1:3" s="8" customFormat="1" x14ac:dyDescent="0.2">
      <c r="A11591" s="6" t="str">
        <f>"CFAP94"</f>
        <v>CFAP94</v>
      </c>
      <c r="B11591" s="6">
        <v>0.34465534465534398</v>
      </c>
      <c r="C11591" s="6">
        <v>0.52285562767833405</v>
      </c>
    </row>
    <row r="11592" spans="1:3" s="8" customFormat="1" x14ac:dyDescent="0.2">
      <c r="A11592" s="6" t="str">
        <f>"RPL23A"</f>
        <v>RPL23A</v>
      </c>
      <c r="B11592" s="6">
        <v>0.34465534465534398</v>
      </c>
      <c r="C11592" s="6">
        <v>0.52285562767833405</v>
      </c>
    </row>
    <row r="11593" spans="1:3" s="8" customFormat="1" x14ac:dyDescent="0.2">
      <c r="A11593" s="6" t="str">
        <f>"AC000068.2"</f>
        <v>AC000068.2</v>
      </c>
      <c r="B11593" s="6">
        <v>0.34486486486486401</v>
      </c>
      <c r="C11593" s="6">
        <v>0.52312834573704103</v>
      </c>
    </row>
    <row r="11594" spans="1:3" s="8" customFormat="1" x14ac:dyDescent="0.2">
      <c r="A11594" s="6" t="str">
        <f>"ZBTB12"</f>
        <v>ZBTB12</v>
      </c>
      <c r="B11594" s="6">
        <v>0.34499999999999997</v>
      </c>
      <c r="C11594" s="6">
        <v>0.52328819114983105</v>
      </c>
    </row>
    <row r="11595" spans="1:3" s="8" customFormat="1" x14ac:dyDescent="0.2">
      <c r="A11595" s="6" t="str">
        <f>"Y"</f>
        <v>Y</v>
      </c>
      <c r="B11595" s="6">
        <v>0.34507042253521097</v>
      </c>
      <c r="C11595" s="6">
        <v>0.52334986284795104</v>
      </c>
    </row>
    <row r="11596" spans="1:3" s="8" customFormat="1" x14ac:dyDescent="0.2">
      <c r="A11596" s="6" t="str">
        <f>"AL139020.1"</f>
        <v>AL139020.1</v>
      </c>
      <c r="B11596" s="6">
        <v>0.345654345654345</v>
      </c>
      <c r="C11596" s="6">
        <v>0.52360320589128295</v>
      </c>
    </row>
    <row r="11597" spans="1:3" s="8" customFormat="1" x14ac:dyDescent="0.2">
      <c r="A11597" s="6" t="str">
        <f>"HDHD5-AS1"</f>
        <v>HDHD5-AS1</v>
      </c>
      <c r="B11597" s="6">
        <v>0.345654345654345</v>
      </c>
      <c r="C11597" s="6">
        <v>0.52360320589128295</v>
      </c>
    </row>
    <row r="11598" spans="1:3" s="8" customFormat="1" x14ac:dyDescent="0.2">
      <c r="A11598" s="6" t="str">
        <f>"EWSAT1"</f>
        <v>EWSAT1</v>
      </c>
      <c r="B11598" s="6">
        <v>0.345654345654345</v>
      </c>
      <c r="C11598" s="6">
        <v>0.52360320589128295</v>
      </c>
    </row>
    <row r="11599" spans="1:3" s="8" customFormat="1" x14ac:dyDescent="0.2">
      <c r="A11599" s="6" t="str">
        <f>"EFCAB13"</f>
        <v>EFCAB13</v>
      </c>
      <c r="B11599" s="6">
        <v>0.345654345654345</v>
      </c>
      <c r="C11599" s="6">
        <v>0.52360320589128295</v>
      </c>
    </row>
    <row r="11600" spans="1:3" s="8" customFormat="1" x14ac:dyDescent="0.2">
      <c r="A11600" s="6" t="str">
        <f>"SSR4P1"</f>
        <v>SSR4P1</v>
      </c>
      <c r="B11600" s="6">
        <v>0.345654345654345</v>
      </c>
      <c r="C11600" s="6">
        <v>0.52360320589128295</v>
      </c>
    </row>
    <row r="11601" spans="1:3" s="8" customFormat="1" x14ac:dyDescent="0.2">
      <c r="A11601" s="6" t="str">
        <f>"CBLN3"</f>
        <v>CBLN3</v>
      </c>
      <c r="B11601" s="6">
        <v>0.345654345654345</v>
      </c>
      <c r="C11601" s="6">
        <v>0.52360320589128295</v>
      </c>
    </row>
    <row r="11602" spans="1:3" s="8" customFormat="1" x14ac:dyDescent="0.2">
      <c r="A11602" s="6" t="str">
        <f>"PRRG2"</f>
        <v>PRRG2</v>
      </c>
      <c r="B11602" s="6">
        <v>0.345654345654345</v>
      </c>
      <c r="C11602" s="6">
        <v>0.52360320589128295</v>
      </c>
    </row>
    <row r="11603" spans="1:3" s="8" customFormat="1" x14ac:dyDescent="0.2">
      <c r="A11603" s="6" t="str">
        <f>"SETDB1"</f>
        <v>SETDB1</v>
      </c>
      <c r="B11603" s="6">
        <v>0.345654345654345</v>
      </c>
      <c r="C11603" s="6">
        <v>0.52360320589128295</v>
      </c>
    </row>
    <row r="11604" spans="1:3" s="8" customFormat="1" x14ac:dyDescent="0.2">
      <c r="A11604" s="6" t="str">
        <f>"LAS1L"</f>
        <v>LAS1L</v>
      </c>
      <c r="B11604" s="6">
        <v>0.345654345654345</v>
      </c>
      <c r="C11604" s="6">
        <v>0.52360320589128295</v>
      </c>
    </row>
    <row r="11605" spans="1:3" s="8" customFormat="1" x14ac:dyDescent="0.2">
      <c r="A11605" s="6" t="str">
        <f>"YIPF5"</f>
        <v>YIPF5</v>
      </c>
      <c r="B11605" s="6">
        <v>0.345654345654345</v>
      </c>
      <c r="C11605" s="6">
        <v>0.52360320589128295</v>
      </c>
    </row>
    <row r="11606" spans="1:3" s="8" customFormat="1" x14ac:dyDescent="0.2">
      <c r="A11606" s="6" t="str">
        <f>"DNAI2"</f>
        <v>DNAI2</v>
      </c>
      <c r="B11606" s="6">
        <v>0.345654345654345</v>
      </c>
      <c r="C11606" s="6">
        <v>0.52360320589128295</v>
      </c>
    </row>
    <row r="11607" spans="1:3" s="8" customFormat="1" x14ac:dyDescent="0.2">
      <c r="A11607" s="6" t="str">
        <f>"STOM"</f>
        <v>STOM</v>
      </c>
      <c r="B11607" s="6">
        <v>0.345654345654345</v>
      </c>
      <c r="C11607" s="6">
        <v>0.52360320589128295</v>
      </c>
    </row>
    <row r="11608" spans="1:3" s="8" customFormat="1" x14ac:dyDescent="0.2">
      <c r="A11608" s="6" t="str">
        <f>"TWF1"</f>
        <v>TWF1</v>
      </c>
      <c r="B11608" s="6">
        <v>0.345654345654345</v>
      </c>
      <c r="C11608" s="6">
        <v>0.52360320589128295</v>
      </c>
    </row>
    <row r="11609" spans="1:3" s="8" customFormat="1" x14ac:dyDescent="0.2">
      <c r="A11609" s="6" t="str">
        <f>"RPS18"</f>
        <v>RPS18</v>
      </c>
      <c r="B11609" s="6">
        <v>0.345654345654345</v>
      </c>
      <c r="C11609" s="6">
        <v>0.52360320589128295</v>
      </c>
    </row>
    <row r="11610" spans="1:3" s="8" customFormat="1" x14ac:dyDescent="0.2">
      <c r="A11610" s="6" t="str">
        <f>"GPC6"</f>
        <v>GPC6</v>
      </c>
      <c r="B11610" s="6">
        <v>0.34665334665334602</v>
      </c>
      <c r="C11610" s="6">
        <v>0.52439370677498598</v>
      </c>
    </row>
    <row r="11611" spans="1:3" s="8" customFormat="1" x14ac:dyDescent="0.2">
      <c r="A11611" s="6" t="str">
        <f>"RGS13"</f>
        <v>RGS13</v>
      </c>
      <c r="B11611" s="6">
        <v>0.34665334665334602</v>
      </c>
      <c r="C11611" s="6">
        <v>0.52439370677498598</v>
      </c>
    </row>
    <row r="11612" spans="1:3" s="8" customFormat="1" x14ac:dyDescent="0.2">
      <c r="A11612" s="6" t="str">
        <f>"MUSK"</f>
        <v>MUSK</v>
      </c>
      <c r="B11612" s="6">
        <v>0.34665334665334602</v>
      </c>
      <c r="C11612" s="6">
        <v>0.52439370677498598</v>
      </c>
    </row>
    <row r="11613" spans="1:3" s="8" customFormat="1" x14ac:dyDescent="0.2">
      <c r="A11613" s="6" t="str">
        <f>"SMCO2"</f>
        <v>SMCO2</v>
      </c>
      <c r="B11613" s="6">
        <v>0.34665334665334602</v>
      </c>
      <c r="C11613" s="6">
        <v>0.52439370677498598</v>
      </c>
    </row>
    <row r="11614" spans="1:3" s="8" customFormat="1" x14ac:dyDescent="0.2">
      <c r="A11614" s="6" t="str">
        <f>"AC092903.1"</f>
        <v>AC092903.1</v>
      </c>
      <c r="B11614" s="6">
        <v>0.34665334665334602</v>
      </c>
      <c r="C11614" s="6">
        <v>0.52439370677498598</v>
      </c>
    </row>
    <row r="11615" spans="1:3" s="8" customFormat="1" x14ac:dyDescent="0.2">
      <c r="A11615" s="6" t="str">
        <f>"FREM1"</f>
        <v>FREM1</v>
      </c>
      <c r="B11615" s="6">
        <v>0.34665334665334602</v>
      </c>
      <c r="C11615" s="6">
        <v>0.52439370677498598</v>
      </c>
    </row>
    <row r="11616" spans="1:3" s="8" customFormat="1" x14ac:dyDescent="0.2">
      <c r="A11616" s="6" t="str">
        <f>"CAMK2N2"</f>
        <v>CAMK2N2</v>
      </c>
      <c r="B11616" s="6">
        <v>0.34665334665334602</v>
      </c>
      <c r="C11616" s="6">
        <v>0.52439370677498598</v>
      </c>
    </row>
    <row r="11617" spans="1:3" s="8" customFormat="1" x14ac:dyDescent="0.2">
      <c r="A11617" s="6" t="str">
        <f>"GET1-SH3BGR"</f>
        <v>GET1-SH3BGR</v>
      </c>
      <c r="B11617" s="6">
        <v>0.34665334665334602</v>
      </c>
      <c r="C11617" s="6">
        <v>0.52439370677498598</v>
      </c>
    </row>
    <row r="11618" spans="1:3" s="8" customFormat="1" x14ac:dyDescent="0.2">
      <c r="A11618" s="6" t="str">
        <f>"AC006994.1"</f>
        <v>AC006994.1</v>
      </c>
      <c r="B11618" s="6">
        <v>0.34665334665334602</v>
      </c>
      <c r="C11618" s="6">
        <v>0.52439370677498598</v>
      </c>
    </row>
    <row r="11619" spans="1:3" s="8" customFormat="1" x14ac:dyDescent="0.2">
      <c r="A11619" s="6" t="str">
        <f>"BX664615.2"</f>
        <v>BX664615.2</v>
      </c>
      <c r="B11619" s="6">
        <v>0.34665334665334602</v>
      </c>
      <c r="C11619" s="6">
        <v>0.52439370677498598</v>
      </c>
    </row>
    <row r="11620" spans="1:3" s="8" customFormat="1" x14ac:dyDescent="0.2">
      <c r="A11620" s="6" t="str">
        <f>"POC1B-AS1"</f>
        <v>POC1B-AS1</v>
      </c>
      <c r="B11620" s="6">
        <v>0.34665334665334602</v>
      </c>
      <c r="C11620" s="6">
        <v>0.52439370677498598</v>
      </c>
    </row>
    <row r="11621" spans="1:3" s="8" customFormat="1" x14ac:dyDescent="0.2">
      <c r="A11621" s="6" t="str">
        <f>"ZNF829"</f>
        <v>ZNF829</v>
      </c>
      <c r="B11621" s="6">
        <v>0.34665334665334602</v>
      </c>
      <c r="C11621" s="6">
        <v>0.52439370677498598</v>
      </c>
    </row>
    <row r="11622" spans="1:3" s="8" customFormat="1" x14ac:dyDescent="0.2">
      <c r="A11622" s="6" t="str">
        <f>"ATM"</f>
        <v>ATM</v>
      </c>
      <c r="B11622" s="6">
        <v>0.34665334665334602</v>
      </c>
      <c r="C11622" s="6">
        <v>0.52439370677498598</v>
      </c>
    </row>
    <row r="11623" spans="1:3" s="8" customFormat="1" x14ac:dyDescent="0.2">
      <c r="A11623" s="6" t="str">
        <f>"TP53BP2"</f>
        <v>TP53BP2</v>
      </c>
      <c r="B11623" s="6">
        <v>0.34665334665334602</v>
      </c>
      <c r="C11623" s="6">
        <v>0.52439370677498598</v>
      </c>
    </row>
    <row r="11624" spans="1:3" s="8" customFormat="1" x14ac:dyDescent="0.2">
      <c r="A11624" s="6" t="str">
        <f>"LAMB2"</f>
        <v>LAMB2</v>
      </c>
      <c r="B11624" s="6">
        <v>0.34665334665334602</v>
      </c>
      <c r="C11624" s="6">
        <v>0.52439370677498598</v>
      </c>
    </row>
    <row r="11625" spans="1:3" s="8" customFormat="1" x14ac:dyDescent="0.2">
      <c r="A11625" s="6" t="str">
        <f>"SPACA9"</f>
        <v>SPACA9</v>
      </c>
      <c r="B11625" s="6">
        <v>0.34665334665334602</v>
      </c>
      <c r="C11625" s="6">
        <v>0.52439370677498598</v>
      </c>
    </row>
    <row r="11626" spans="1:3" s="8" customFormat="1" x14ac:dyDescent="0.2">
      <c r="A11626" s="6" t="str">
        <f>"AC090018.2"</f>
        <v>AC090018.2</v>
      </c>
      <c r="B11626" s="6">
        <v>0.346693386773547</v>
      </c>
      <c r="C11626" s="6">
        <v>0.52440916241084301</v>
      </c>
    </row>
    <row r="11627" spans="1:3" s="8" customFormat="1" x14ac:dyDescent="0.2">
      <c r="A11627" s="6" t="str">
        <f>"AP000223.1"</f>
        <v>AP000223.1</v>
      </c>
      <c r="B11627" s="6">
        <v>0.34689725330620502</v>
      </c>
      <c r="C11627" s="6">
        <v>0.52467239825703704</v>
      </c>
    </row>
    <row r="11628" spans="1:3" s="8" customFormat="1" x14ac:dyDescent="0.2">
      <c r="A11628" s="6" t="str">
        <f>"TINF2"</f>
        <v>TINF2</v>
      </c>
      <c r="B11628" s="6">
        <v>0.34699999999999998</v>
      </c>
      <c r="C11628" s="6">
        <v>0.52478266104756099</v>
      </c>
    </row>
    <row r="11629" spans="1:3" s="8" customFormat="1" x14ac:dyDescent="0.2">
      <c r="A11629" s="6" t="str">
        <f>"AC008464.1"</f>
        <v>AC008464.1</v>
      </c>
      <c r="B11629" s="6">
        <v>0.34765234765234698</v>
      </c>
      <c r="C11629" s="6">
        <v>0.52500162153202301</v>
      </c>
    </row>
    <row r="11630" spans="1:3" s="8" customFormat="1" x14ac:dyDescent="0.2">
      <c r="A11630" s="6" t="str">
        <f>"AC009237.15"</f>
        <v>AC009237.15</v>
      </c>
      <c r="B11630" s="6">
        <v>0.34764826175869101</v>
      </c>
      <c r="C11630" s="6">
        <v>0.52500162153202301</v>
      </c>
    </row>
    <row r="11631" spans="1:3" s="8" customFormat="1" x14ac:dyDescent="0.2">
      <c r="A11631" s="6" t="str">
        <f>"BLOC1S6P1"</f>
        <v>BLOC1S6P1</v>
      </c>
      <c r="B11631" s="6">
        <v>0.34765234765234698</v>
      </c>
      <c r="C11631" s="6">
        <v>0.52500162153202301</v>
      </c>
    </row>
    <row r="11632" spans="1:3" s="8" customFormat="1" x14ac:dyDescent="0.2">
      <c r="A11632" s="6" t="str">
        <f>"AL137802.3"</f>
        <v>AL137802.3</v>
      </c>
      <c r="B11632" s="6">
        <v>0.34765234765234698</v>
      </c>
      <c r="C11632" s="6">
        <v>0.52500162153202301</v>
      </c>
    </row>
    <row r="11633" spans="1:3" s="8" customFormat="1" x14ac:dyDescent="0.2">
      <c r="A11633" s="6" t="str">
        <f>"TPTE2P6"</f>
        <v>TPTE2P6</v>
      </c>
      <c r="B11633" s="6">
        <v>0.34765234765234698</v>
      </c>
      <c r="C11633" s="6">
        <v>0.52500162153202301</v>
      </c>
    </row>
    <row r="11634" spans="1:3" s="8" customFormat="1" x14ac:dyDescent="0.2">
      <c r="A11634" s="6" t="str">
        <f>"AL606469.1"</f>
        <v>AL606469.1</v>
      </c>
      <c r="B11634" s="6">
        <v>0.34765234765234698</v>
      </c>
      <c r="C11634" s="6">
        <v>0.52500162153202301</v>
      </c>
    </row>
    <row r="11635" spans="1:3" s="8" customFormat="1" x14ac:dyDescent="0.2">
      <c r="A11635" s="6" t="str">
        <f>"AL157813.1"</f>
        <v>AL157813.1</v>
      </c>
      <c r="B11635" s="6">
        <v>0.34765234765234698</v>
      </c>
      <c r="C11635" s="6">
        <v>0.52500162153202301</v>
      </c>
    </row>
    <row r="11636" spans="1:3" s="8" customFormat="1" x14ac:dyDescent="0.2">
      <c r="A11636" s="6" t="str">
        <f>"CCDC73"</f>
        <v>CCDC73</v>
      </c>
      <c r="B11636" s="6">
        <v>0.34765234765234698</v>
      </c>
      <c r="C11636" s="6">
        <v>0.52500162153202301</v>
      </c>
    </row>
    <row r="11637" spans="1:3" s="8" customFormat="1" x14ac:dyDescent="0.2">
      <c r="A11637" s="6" t="str">
        <f>"NAP1L5"</f>
        <v>NAP1L5</v>
      </c>
      <c r="B11637" s="6">
        <v>0.34765234765234698</v>
      </c>
      <c r="C11637" s="6">
        <v>0.52500162153202301</v>
      </c>
    </row>
    <row r="11638" spans="1:3" s="8" customFormat="1" x14ac:dyDescent="0.2">
      <c r="A11638" s="6" t="str">
        <f>"DSEL"</f>
        <v>DSEL</v>
      </c>
      <c r="B11638" s="6">
        <v>0.34765234765234698</v>
      </c>
      <c r="C11638" s="6">
        <v>0.52500162153202301</v>
      </c>
    </row>
    <row r="11639" spans="1:3" s="8" customFormat="1" x14ac:dyDescent="0.2">
      <c r="A11639" s="6" t="str">
        <f>"KCNS3"</f>
        <v>KCNS3</v>
      </c>
      <c r="B11639" s="6">
        <v>0.34765234765234698</v>
      </c>
      <c r="C11639" s="6">
        <v>0.52500162153202301</v>
      </c>
    </row>
    <row r="11640" spans="1:3" s="8" customFormat="1" x14ac:dyDescent="0.2">
      <c r="A11640" s="6" t="str">
        <f>"PNPT1"</f>
        <v>PNPT1</v>
      </c>
      <c r="B11640" s="6">
        <v>0.34765234765234698</v>
      </c>
      <c r="C11640" s="6">
        <v>0.52500162153202301</v>
      </c>
    </row>
    <row r="11641" spans="1:3" s="8" customFormat="1" x14ac:dyDescent="0.2">
      <c r="A11641" s="6" t="str">
        <f>"SCGB2A1"</f>
        <v>SCGB2A1</v>
      </c>
      <c r="B11641" s="6">
        <v>0.34765234765234698</v>
      </c>
      <c r="C11641" s="6">
        <v>0.52500162153202301</v>
      </c>
    </row>
    <row r="11642" spans="1:3" s="8" customFormat="1" x14ac:dyDescent="0.2">
      <c r="A11642" s="6" t="str">
        <f>"TTC17"</f>
        <v>TTC17</v>
      </c>
      <c r="B11642" s="6">
        <v>0.34765234765234698</v>
      </c>
      <c r="C11642" s="6">
        <v>0.52500162153202301</v>
      </c>
    </row>
    <row r="11643" spans="1:3" s="8" customFormat="1" x14ac:dyDescent="0.2">
      <c r="A11643" s="6" t="str">
        <f>"SND1"</f>
        <v>SND1</v>
      </c>
      <c r="B11643" s="6">
        <v>0.34765234765234698</v>
      </c>
      <c r="C11643" s="6">
        <v>0.52500162153202301</v>
      </c>
    </row>
    <row r="11644" spans="1:3" s="8" customFormat="1" x14ac:dyDescent="0.2">
      <c r="A11644" s="6" t="str">
        <f>"PIM3"</f>
        <v>PIM3</v>
      </c>
      <c r="B11644" s="6">
        <v>0.34765234765234698</v>
      </c>
      <c r="C11644" s="6">
        <v>0.52500162153202301</v>
      </c>
    </row>
    <row r="11645" spans="1:3" s="8" customFormat="1" x14ac:dyDescent="0.2">
      <c r="A11645" s="6" t="str">
        <f>"ITM2B"</f>
        <v>ITM2B</v>
      </c>
      <c r="B11645" s="6">
        <v>0.34765234765234698</v>
      </c>
      <c r="C11645" s="6">
        <v>0.52500162153202301</v>
      </c>
    </row>
    <row r="11646" spans="1:3" s="8" customFormat="1" x14ac:dyDescent="0.2">
      <c r="A11646" s="6" t="str">
        <f>"RDH16"</f>
        <v>RDH16</v>
      </c>
      <c r="B11646" s="6">
        <v>0.34773869346733599</v>
      </c>
      <c r="C11646" s="6">
        <v>0.52508692021723002</v>
      </c>
    </row>
    <row r="11647" spans="1:3" s="8" customFormat="1" x14ac:dyDescent="0.2">
      <c r="A11647" s="6" t="str">
        <f>"HIGD1A"</f>
        <v>HIGD1A</v>
      </c>
      <c r="B11647" s="6">
        <v>0.34799999999999998</v>
      </c>
      <c r="C11647" s="6">
        <v>0.52543637300360602</v>
      </c>
    </row>
    <row r="11648" spans="1:3" s="8" customFormat="1" x14ac:dyDescent="0.2">
      <c r="A11648" s="6" t="str">
        <f>"AL355483.1"</f>
        <v>AL355483.1</v>
      </c>
      <c r="B11648" s="6">
        <v>0.348651348651348</v>
      </c>
      <c r="C11648" s="6">
        <v>0.52583285999530904</v>
      </c>
    </row>
    <row r="11649" spans="1:3" s="8" customFormat="1" x14ac:dyDescent="0.2">
      <c r="A11649" s="6" t="str">
        <f>"CSN1S1"</f>
        <v>CSN1S1</v>
      </c>
      <c r="B11649" s="6">
        <v>0.348651348651348</v>
      </c>
      <c r="C11649" s="6">
        <v>0.52583285999530904</v>
      </c>
    </row>
    <row r="11650" spans="1:3" s="8" customFormat="1" x14ac:dyDescent="0.2">
      <c r="A11650" s="6" t="str">
        <f>"NME1-NME2"</f>
        <v>NME1-NME2</v>
      </c>
      <c r="B11650" s="6">
        <v>0.348651348651348</v>
      </c>
      <c r="C11650" s="6">
        <v>0.52583285999530904</v>
      </c>
    </row>
    <row r="11651" spans="1:3" s="8" customFormat="1" x14ac:dyDescent="0.2">
      <c r="A11651" s="6" t="str">
        <f>"LINC02762"</f>
        <v>LINC02762</v>
      </c>
      <c r="B11651" s="6">
        <v>0.348651348651348</v>
      </c>
      <c r="C11651" s="6">
        <v>0.52583285999530904</v>
      </c>
    </row>
    <row r="11652" spans="1:3" s="8" customFormat="1" x14ac:dyDescent="0.2">
      <c r="A11652" s="6" t="str">
        <f>"NAPSB"</f>
        <v>NAPSB</v>
      </c>
      <c r="B11652" s="6">
        <v>0.348651348651348</v>
      </c>
      <c r="C11652" s="6">
        <v>0.52583285999530904</v>
      </c>
    </row>
    <row r="11653" spans="1:3" s="8" customFormat="1" x14ac:dyDescent="0.2">
      <c r="A11653" s="6" t="str">
        <f>"WDR49"</f>
        <v>WDR49</v>
      </c>
      <c r="B11653" s="6">
        <v>0.348651348651348</v>
      </c>
      <c r="C11653" s="6">
        <v>0.52583285999530904</v>
      </c>
    </row>
    <row r="11654" spans="1:3" s="8" customFormat="1" x14ac:dyDescent="0.2">
      <c r="A11654" s="6" t="str">
        <f>"STAG1"</f>
        <v>STAG1</v>
      </c>
      <c r="B11654" s="6">
        <v>0.348651348651348</v>
      </c>
      <c r="C11654" s="6">
        <v>0.52583285999530904</v>
      </c>
    </row>
    <row r="11655" spans="1:3" s="8" customFormat="1" x14ac:dyDescent="0.2">
      <c r="A11655" s="6" t="str">
        <f>"ERGIC2"</f>
        <v>ERGIC2</v>
      </c>
      <c r="B11655" s="6">
        <v>0.348651348651348</v>
      </c>
      <c r="C11655" s="6">
        <v>0.52583285999530904</v>
      </c>
    </row>
    <row r="11656" spans="1:3" s="8" customFormat="1" x14ac:dyDescent="0.2">
      <c r="A11656" s="6" t="str">
        <f>"PPP1R26"</f>
        <v>PPP1R26</v>
      </c>
      <c r="B11656" s="6">
        <v>0.348651348651348</v>
      </c>
      <c r="C11656" s="6">
        <v>0.52583285999530904</v>
      </c>
    </row>
    <row r="11657" spans="1:3" s="8" customFormat="1" x14ac:dyDescent="0.2">
      <c r="A11657" s="6" t="str">
        <f>"ADCY9"</f>
        <v>ADCY9</v>
      </c>
      <c r="B11657" s="6">
        <v>0.348651348651348</v>
      </c>
      <c r="C11657" s="6">
        <v>0.52583285999530904</v>
      </c>
    </row>
    <row r="11658" spans="1:3" s="8" customFormat="1" x14ac:dyDescent="0.2">
      <c r="A11658" s="6" t="str">
        <f>"FGFR2"</f>
        <v>FGFR2</v>
      </c>
      <c r="B11658" s="6">
        <v>0.348651348651348</v>
      </c>
      <c r="C11658" s="6">
        <v>0.52583285999530904</v>
      </c>
    </row>
    <row r="11659" spans="1:3" s="8" customFormat="1" x14ac:dyDescent="0.2">
      <c r="A11659" s="6" t="str">
        <f>"CLIC1"</f>
        <v>CLIC1</v>
      </c>
      <c r="B11659" s="6">
        <v>0.348651348651348</v>
      </c>
      <c r="C11659" s="6">
        <v>0.52583285999530904</v>
      </c>
    </row>
    <row r="11660" spans="1:3" s="8" customFormat="1" x14ac:dyDescent="0.2">
      <c r="A11660" s="6" t="str">
        <f>"BPIFB1"</f>
        <v>BPIFB1</v>
      </c>
      <c r="B11660" s="6">
        <v>0.348651348651348</v>
      </c>
      <c r="C11660" s="6">
        <v>0.52583285999530904</v>
      </c>
    </row>
    <row r="11661" spans="1:3" s="8" customFormat="1" x14ac:dyDescent="0.2">
      <c r="A11661" s="6" t="str">
        <f>"SATL1"</f>
        <v>SATL1</v>
      </c>
      <c r="B11661" s="6">
        <v>0.34898477157360402</v>
      </c>
      <c r="C11661" s="6">
        <v>0.52629058519298899</v>
      </c>
    </row>
    <row r="11662" spans="1:3" s="8" customFormat="1" x14ac:dyDescent="0.2">
      <c r="A11662" s="6" t="str">
        <f>"PGAM4"</f>
        <v>PGAM4</v>
      </c>
      <c r="B11662" s="6">
        <v>0.34913112164297</v>
      </c>
      <c r="C11662" s="6">
        <v>0.52646613866477798</v>
      </c>
    </row>
    <row r="11663" spans="1:3" s="8" customFormat="1" x14ac:dyDescent="0.2">
      <c r="A11663" s="6" t="str">
        <f>"AC006058.1"</f>
        <v>AC006058.1</v>
      </c>
      <c r="B11663" s="6">
        <v>0.34965034965034902</v>
      </c>
      <c r="C11663" s="6">
        <v>0.52670708029227598</v>
      </c>
    </row>
    <row r="11664" spans="1:3" s="8" customFormat="1" x14ac:dyDescent="0.2">
      <c r="A11664" s="6" t="str">
        <f>"AC092171.4"</f>
        <v>AC092171.4</v>
      </c>
      <c r="B11664" s="6">
        <v>0.34965034965034902</v>
      </c>
      <c r="C11664" s="6">
        <v>0.52670708029227598</v>
      </c>
    </row>
    <row r="11665" spans="1:3" s="8" customFormat="1" x14ac:dyDescent="0.2">
      <c r="A11665" s="6" t="str">
        <f>"ANO3"</f>
        <v>ANO3</v>
      </c>
      <c r="B11665" s="6">
        <v>0.34965034965034902</v>
      </c>
      <c r="C11665" s="6">
        <v>0.52670708029227598</v>
      </c>
    </row>
    <row r="11666" spans="1:3" s="8" customFormat="1" x14ac:dyDescent="0.2">
      <c r="A11666" s="6" t="str">
        <f>"PGLYRP4"</f>
        <v>PGLYRP4</v>
      </c>
      <c r="B11666" s="6">
        <v>0.34965034965034902</v>
      </c>
      <c r="C11666" s="6">
        <v>0.52670708029227598</v>
      </c>
    </row>
    <row r="11667" spans="1:3" s="8" customFormat="1" x14ac:dyDescent="0.2">
      <c r="A11667" s="6" t="str">
        <f>"AC009163.3"</f>
        <v>AC009163.3</v>
      </c>
      <c r="B11667" s="6">
        <v>0.34965034965034902</v>
      </c>
      <c r="C11667" s="6">
        <v>0.52670708029227598</v>
      </c>
    </row>
    <row r="11668" spans="1:3" s="8" customFormat="1" x14ac:dyDescent="0.2">
      <c r="A11668" s="6" t="str">
        <f>"LINC02754"</f>
        <v>LINC02754</v>
      </c>
      <c r="B11668" s="6">
        <v>0.34965034965034902</v>
      </c>
      <c r="C11668" s="6">
        <v>0.52670708029227598</v>
      </c>
    </row>
    <row r="11669" spans="1:3" s="8" customFormat="1" x14ac:dyDescent="0.2">
      <c r="A11669" s="6" t="str">
        <f>"ANGEL1"</f>
        <v>ANGEL1</v>
      </c>
      <c r="B11669" s="6">
        <v>0.34965034965034902</v>
      </c>
      <c r="C11669" s="6">
        <v>0.52670708029227598</v>
      </c>
    </row>
    <row r="11670" spans="1:3" s="8" customFormat="1" x14ac:dyDescent="0.2">
      <c r="A11670" s="6" t="str">
        <f>"TAF1D"</f>
        <v>TAF1D</v>
      </c>
      <c r="B11670" s="6">
        <v>0.34965034965034902</v>
      </c>
      <c r="C11670" s="6">
        <v>0.52670708029227598</v>
      </c>
    </row>
    <row r="11671" spans="1:3" s="8" customFormat="1" x14ac:dyDescent="0.2">
      <c r="A11671" s="6" t="str">
        <f>"SAT2"</f>
        <v>SAT2</v>
      </c>
      <c r="B11671" s="6">
        <v>0.34965034965034902</v>
      </c>
      <c r="C11671" s="6">
        <v>0.52670708029227598</v>
      </c>
    </row>
    <row r="11672" spans="1:3" s="8" customFormat="1" x14ac:dyDescent="0.2">
      <c r="A11672" s="6" t="str">
        <f>"WWP1"</f>
        <v>WWP1</v>
      </c>
      <c r="B11672" s="6">
        <v>0.34934934934934903</v>
      </c>
      <c r="C11672" s="6">
        <v>0.52670708029227598</v>
      </c>
    </row>
    <row r="11673" spans="1:3" s="8" customFormat="1" x14ac:dyDescent="0.2">
      <c r="A11673" s="6" t="str">
        <f>"USP16"</f>
        <v>USP16</v>
      </c>
      <c r="B11673" s="6">
        <v>0.34965034965034902</v>
      </c>
      <c r="C11673" s="6">
        <v>0.52670708029227598</v>
      </c>
    </row>
    <row r="11674" spans="1:3" s="8" customFormat="1" x14ac:dyDescent="0.2">
      <c r="A11674" s="6" t="str">
        <f>"IL5RA"</f>
        <v>IL5RA</v>
      </c>
      <c r="B11674" s="6">
        <v>0.34965034965034902</v>
      </c>
      <c r="C11674" s="6">
        <v>0.52670708029227598</v>
      </c>
    </row>
    <row r="11675" spans="1:3" s="8" customFormat="1" x14ac:dyDescent="0.2">
      <c r="A11675" s="6" t="str">
        <f>"GALNTL6"</f>
        <v>GALNTL6</v>
      </c>
      <c r="B11675" s="6">
        <v>0.34979423868312698</v>
      </c>
      <c r="C11675" s="6">
        <v>0.52687869564880196</v>
      </c>
    </row>
    <row r="11676" spans="1:3" s="8" customFormat="1" x14ac:dyDescent="0.2">
      <c r="A11676" s="6" t="str">
        <f>"AC008764.9"</f>
        <v>AC008764.9</v>
      </c>
      <c r="B11676" s="6">
        <v>0.35</v>
      </c>
      <c r="C11676" s="6">
        <v>0.52714346895074904</v>
      </c>
    </row>
    <row r="11677" spans="1:3" s="8" customFormat="1" x14ac:dyDescent="0.2">
      <c r="A11677" s="6" t="str">
        <f>"AC058822.1"</f>
        <v>AC058822.1</v>
      </c>
      <c r="B11677" s="6">
        <v>0.35035035035035</v>
      </c>
      <c r="C11677" s="6">
        <v>0.52762594729021495</v>
      </c>
    </row>
    <row r="11678" spans="1:3" s="8" customFormat="1" x14ac:dyDescent="0.2">
      <c r="A11678" s="6" t="str">
        <f>"IL20"</f>
        <v>IL20</v>
      </c>
      <c r="B11678" s="6">
        <v>0.35064935064934999</v>
      </c>
      <c r="C11678" s="6">
        <v>0.52771466807755696</v>
      </c>
    </row>
    <row r="11679" spans="1:3" s="8" customFormat="1" x14ac:dyDescent="0.2">
      <c r="A11679" s="6" t="str">
        <f>"RPS15P4"</f>
        <v>RPS15P4</v>
      </c>
      <c r="B11679" s="6">
        <v>0.35064935064934999</v>
      </c>
      <c r="C11679" s="6">
        <v>0.52771466807755696</v>
      </c>
    </row>
    <row r="11680" spans="1:3" s="8" customFormat="1" x14ac:dyDescent="0.2">
      <c r="A11680" s="6" t="str">
        <f>"STUM"</f>
        <v>STUM</v>
      </c>
      <c r="B11680" s="6">
        <v>0.35064935064934999</v>
      </c>
      <c r="C11680" s="6">
        <v>0.52771466807755696</v>
      </c>
    </row>
    <row r="11681" spans="1:3" s="8" customFormat="1" x14ac:dyDescent="0.2">
      <c r="A11681" s="6" t="str">
        <f>"TLDC2"</f>
        <v>TLDC2</v>
      </c>
      <c r="B11681" s="6">
        <v>0.35064935064934999</v>
      </c>
      <c r="C11681" s="6">
        <v>0.52771466807755696</v>
      </c>
    </row>
    <row r="11682" spans="1:3" s="8" customFormat="1" x14ac:dyDescent="0.2">
      <c r="A11682" s="6" t="str">
        <f>"AC105180.2"</f>
        <v>AC105180.2</v>
      </c>
      <c r="B11682" s="6">
        <v>0.35064935064934999</v>
      </c>
      <c r="C11682" s="6">
        <v>0.52771466807755696</v>
      </c>
    </row>
    <row r="11683" spans="1:3" s="8" customFormat="1" x14ac:dyDescent="0.2">
      <c r="A11683" s="6" t="str">
        <f>"AP006621.3"</f>
        <v>AP006621.3</v>
      </c>
      <c r="B11683" s="6">
        <v>0.35064935064934999</v>
      </c>
      <c r="C11683" s="6">
        <v>0.52771466807755696</v>
      </c>
    </row>
    <row r="11684" spans="1:3" s="8" customFormat="1" x14ac:dyDescent="0.2">
      <c r="A11684" s="6" t="str">
        <f>"CCDC160"</f>
        <v>CCDC160</v>
      </c>
      <c r="B11684" s="6">
        <v>0.35064935064934999</v>
      </c>
      <c r="C11684" s="6">
        <v>0.52771466807755696</v>
      </c>
    </row>
    <row r="11685" spans="1:3" s="8" customFormat="1" x14ac:dyDescent="0.2">
      <c r="A11685" s="6" t="str">
        <f>"SWAP70"</f>
        <v>SWAP70</v>
      </c>
      <c r="B11685" s="6">
        <v>0.35064935064934999</v>
      </c>
      <c r="C11685" s="6">
        <v>0.52771466807755696</v>
      </c>
    </row>
    <row r="11686" spans="1:3" s="8" customFormat="1" x14ac:dyDescent="0.2">
      <c r="A11686" s="6" t="str">
        <f>"AL139147.1"</f>
        <v>AL139147.1</v>
      </c>
      <c r="B11686" s="6">
        <v>0.35098650051920999</v>
      </c>
      <c r="C11686" s="6">
        <v>0.52817686137182696</v>
      </c>
    </row>
    <row r="11687" spans="1:3" s="8" customFormat="1" x14ac:dyDescent="0.2">
      <c r="A11687" s="6" t="str">
        <f>"CCDC192"</f>
        <v>CCDC192</v>
      </c>
      <c r="B11687" s="6">
        <v>0.35164835164835101</v>
      </c>
      <c r="C11687" s="6">
        <v>0.52853958589491501</v>
      </c>
    </row>
    <row r="11688" spans="1:3" s="8" customFormat="1" x14ac:dyDescent="0.2">
      <c r="A11688" s="6" t="str">
        <f>"AC008770.2"</f>
        <v>AC008770.2</v>
      </c>
      <c r="B11688" s="6">
        <v>0.35164835164835101</v>
      </c>
      <c r="C11688" s="6">
        <v>0.52853958589491501</v>
      </c>
    </row>
    <row r="11689" spans="1:3" s="8" customFormat="1" x14ac:dyDescent="0.2">
      <c r="A11689" s="6" t="str">
        <f>"OR52I1"</f>
        <v>OR52I1</v>
      </c>
      <c r="B11689" s="6">
        <v>0.35164835164835101</v>
      </c>
      <c r="C11689" s="6">
        <v>0.52853958589491501</v>
      </c>
    </row>
    <row r="11690" spans="1:3" s="8" customFormat="1" x14ac:dyDescent="0.2">
      <c r="A11690" s="6" t="str">
        <f>"AC006480.2"</f>
        <v>AC006480.2</v>
      </c>
      <c r="B11690" s="6">
        <v>0.35164835164835101</v>
      </c>
      <c r="C11690" s="6">
        <v>0.52853958589491501</v>
      </c>
    </row>
    <row r="11691" spans="1:3" s="8" customFormat="1" x14ac:dyDescent="0.2">
      <c r="A11691" s="6" t="str">
        <f>"AC006206.2"</f>
        <v>AC006206.2</v>
      </c>
      <c r="B11691" s="6">
        <v>0.35164835164835101</v>
      </c>
      <c r="C11691" s="6">
        <v>0.52853958589491501</v>
      </c>
    </row>
    <row r="11692" spans="1:3" s="8" customFormat="1" x14ac:dyDescent="0.2">
      <c r="A11692" s="6" t="str">
        <f>"PCAT1"</f>
        <v>PCAT1</v>
      </c>
      <c r="B11692" s="6">
        <v>0.35164835164835101</v>
      </c>
      <c r="C11692" s="6">
        <v>0.52853958589491501</v>
      </c>
    </row>
    <row r="11693" spans="1:3" s="8" customFormat="1" x14ac:dyDescent="0.2">
      <c r="A11693" s="6" t="str">
        <f>"ZFHX4"</f>
        <v>ZFHX4</v>
      </c>
      <c r="B11693" s="6">
        <v>0.35164835164835101</v>
      </c>
      <c r="C11693" s="6">
        <v>0.52853958589491501</v>
      </c>
    </row>
    <row r="11694" spans="1:3" s="8" customFormat="1" x14ac:dyDescent="0.2">
      <c r="A11694" s="6" t="str">
        <f>"RO60"</f>
        <v>RO60</v>
      </c>
      <c r="B11694" s="6">
        <v>0.35164835164835101</v>
      </c>
      <c r="C11694" s="6">
        <v>0.52853958589491501</v>
      </c>
    </row>
    <row r="11695" spans="1:3" s="8" customFormat="1" x14ac:dyDescent="0.2">
      <c r="A11695" s="6" t="str">
        <f>"SEPTIN8"</f>
        <v>SEPTIN8</v>
      </c>
      <c r="B11695" s="6">
        <v>0.35164835164835101</v>
      </c>
      <c r="C11695" s="6">
        <v>0.52853958589491501</v>
      </c>
    </row>
    <row r="11696" spans="1:3" s="8" customFormat="1" x14ac:dyDescent="0.2">
      <c r="A11696" s="6" t="str">
        <f>"WDR47"</f>
        <v>WDR47</v>
      </c>
      <c r="B11696" s="6">
        <v>0.35164835164835101</v>
      </c>
      <c r="C11696" s="6">
        <v>0.52853958589491501</v>
      </c>
    </row>
    <row r="11697" spans="1:3" s="8" customFormat="1" x14ac:dyDescent="0.2">
      <c r="A11697" s="6" t="str">
        <f>"SMC6"</f>
        <v>SMC6</v>
      </c>
      <c r="B11697" s="6">
        <v>0.35164835164835101</v>
      </c>
      <c r="C11697" s="6">
        <v>0.52853958589491501</v>
      </c>
    </row>
    <row r="11698" spans="1:3" s="8" customFormat="1" x14ac:dyDescent="0.2">
      <c r="A11698" s="6" t="str">
        <f>"TASOR"</f>
        <v>TASOR</v>
      </c>
      <c r="B11698" s="6">
        <v>0.35164835164835101</v>
      </c>
      <c r="C11698" s="6">
        <v>0.52853958589491501</v>
      </c>
    </row>
    <row r="11699" spans="1:3" s="8" customFormat="1" x14ac:dyDescent="0.2">
      <c r="A11699" s="6" t="str">
        <f>"NT5C2"</f>
        <v>NT5C2</v>
      </c>
      <c r="B11699" s="6">
        <v>0.35164835164835101</v>
      </c>
      <c r="C11699" s="6">
        <v>0.52853958589491501</v>
      </c>
    </row>
    <row r="11700" spans="1:3" s="8" customFormat="1" x14ac:dyDescent="0.2">
      <c r="A11700" s="6" t="str">
        <f>"PDLIM1"</f>
        <v>PDLIM1</v>
      </c>
      <c r="B11700" s="6">
        <v>0.35164835164835101</v>
      </c>
      <c r="C11700" s="6">
        <v>0.52853958589491501</v>
      </c>
    </row>
    <row r="11701" spans="1:3" s="8" customFormat="1" x14ac:dyDescent="0.2">
      <c r="A11701" s="6" t="str">
        <f>"AC112229.1"</f>
        <v>AC112229.1</v>
      </c>
      <c r="B11701" s="6">
        <v>0.351909184726522</v>
      </c>
      <c r="C11701" s="6">
        <v>0.52888641916505696</v>
      </c>
    </row>
    <row r="11702" spans="1:3" s="8" customFormat="1" x14ac:dyDescent="0.2">
      <c r="A11702" s="6" t="str">
        <f>"MAP6D1"</f>
        <v>MAP6D1</v>
      </c>
      <c r="B11702" s="6">
        <v>0.35199999999999998</v>
      </c>
      <c r="C11702" s="6">
        <v>0.52897769421416896</v>
      </c>
    </row>
    <row r="11703" spans="1:3" s="8" customFormat="1" x14ac:dyDescent="0.2">
      <c r="A11703" s="6" t="str">
        <f>"DRICH1"</f>
        <v>DRICH1</v>
      </c>
      <c r="B11703" s="6">
        <v>0.35264735264735197</v>
      </c>
      <c r="C11703" s="6">
        <v>0.52958844042625697</v>
      </c>
    </row>
    <row r="11704" spans="1:3" s="8" customFormat="1" x14ac:dyDescent="0.2">
      <c r="A11704" s="6" t="str">
        <f>"AC126763.1"</f>
        <v>AC126763.1</v>
      </c>
      <c r="B11704" s="6">
        <v>0.35264735264735197</v>
      </c>
      <c r="C11704" s="6">
        <v>0.52958844042625697</v>
      </c>
    </row>
    <row r="11705" spans="1:3" s="8" customFormat="1" x14ac:dyDescent="0.2">
      <c r="A11705" s="6" t="str">
        <f>"MATK"</f>
        <v>MATK</v>
      </c>
      <c r="B11705" s="6">
        <v>0.35264735264735197</v>
      </c>
      <c r="C11705" s="6">
        <v>0.52958844042625697</v>
      </c>
    </row>
    <row r="11706" spans="1:3" s="8" customFormat="1" x14ac:dyDescent="0.2">
      <c r="A11706" s="6" t="str">
        <f>"EFS"</f>
        <v>EFS</v>
      </c>
      <c r="B11706" s="6">
        <v>0.35264735264735197</v>
      </c>
      <c r="C11706" s="6">
        <v>0.52958844042625697</v>
      </c>
    </row>
    <row r="11707" spans="1:3" s="8" customFormat="1" x14ac:dyDescent="0.2">
      <c r="A11707" s="6" t="str">
        <f>"GET1"</f>
        <v>GET1</v>
      </c>
      <c r="B11707" s="6">
        <v>0.35264735264735197</v>
      </c>
      <c r="C11707" s="6">
        <v>0.52958844042625697</v>
      </c>
    </row>
    <row r="11708" spans="1:3" s="8" customFormat="1" x14ac:dyDescent="0.2">
      <c r="A11708" s="6" t="str">
        <f>"SAMD15"</f>
        <v>SAMD15</v>
      </c>
      <c r="B11708" s="6">
        <v>0.35264735264735197</v>
      </c>
      <c r="C11708" s="6">
        <v>0.52958844042625697</v>
      </c>
    </row>
    <row r="11709" spans="1:3" s="8" customFormat="1" x14ac:dyDescent="0.2">
      <c r="A11709" s="6" t="str">
        <f>"ATP9A"</f>
        <v>ATP9A</v>
      </c>
      <c r="B11709" s="6">
        <v>0.35264735264735197</v>
      </c>
      <c r="C11709" s="6">
        <v>0.52958844042625697</v>
      </c>
    </row>
    <row r="11710" spans="1:3" s="8" customFormat="1" x14ac:dyDescent="0.2">
      <c r="A11710" s="6" t="str">
        <f>"RPL32"</f>
        <v>RPL32</v>
      </c>
      <c r="B11710" s="6">
        <v>0.35264735264735197</v>
      </c>
      <c r="C11710" s="6">
        <v>0.52958844042625697</v>
      </c>
    </row>
    <row r="11711" spans="1:3" s="8" customFormat="1" x14ac:dyDescent="0.2">
      <c r="A11711" s="6" t="str">
        <f>"AC018521.7"</f>
        <v>AC018521.7</v>
      </c>
      <c r="B11711" s="6">
        <v>0.35299999999999998</v>
      </c>
      <c r="C11711" s="6">
        <v>0.53007275832621603</v>
      </c>
    </row>
    <row r="11712" spans="1:3" s="8" customFormat="1" x14ac:dyDescent="0.2">
      <c r="A11712" s="6" t="str">
        <f>"IGHV4-61"</f>
        <v>IGHV4-61</v>
      </c>
      <c r="B11712" s="6">
        <v>0.353646353646353</v>
      </c>
      <c r="C11712" s="6">
        <v>0.53013789279773904</v>
      </c>
    </row>
    <row r="11713" spans="1:3" s="8" customFormat="1" x14ac:dyDescent="0.2">
      <c r="A11713" s="6" t="str">
        <f>"C6orf201"</f>
        <v>C6orf201</v>
      </c>
      <c r="B11713" s="6">
        <v>0.353646353646353</v>
      </c>
      <c r="C11713" s="6">
        <v>0.53013789279773904</v>
      </c>
    </row>
    <row r="11714" spans="1:3" s="8" customFormat="1" x14ac:dyDescent="0.2">
      <c r="A11714" s="6" t="str">
        <f>"AC068790.9"</f>
        <v>AC068790.9</v>
      </c>
      <c r="B11714" s="6">
        <v>0.35335335335335299</v>
      </c>
      <c r="C11714" s="6">
        <v>0.53013789279773904</v>
      </c>
    </row>
    <row r="11715" spans="1:3" s="8" customFormat="1" x14ac:dyDescent="0.2">
      <c r="A11715" s="6" t="str">
        <f>"CRABP1"</f>
        <v>CRABP1</v>
      </c>
      <c r="B11715" s="6">
        <v>0.353646353646353</v>
      </c>
      <c r="C11715" s="6">
        <v>0.53013789279773904</v>
      </c>
    </row>
    <row r="11716" spans="1:3" s="8" customFormat="1" x14ac:dyDescent="0.2">
      <c r="A11716" s="6" t="str">
        <f>"AC073046.4"</f>
        <v>AC073046.4</v>
      </c>
      <c r="B11716" s="6">
        <v>0.35335335335335299</v>
      </c>
      <c r="C11716" s="6">
        <v>0.53013789279773904</v>
      </c>
    </row>
    <row r="11717" spans="1:3" s="8" customFormat="1" x14ac:dyDescent="0.2">
      <c r="A11717" s="6" t="str">
        <f>"PRELP"</f>
        <v>PRELP</v>
      </c>
      <c r="B11717" s="6">
        <v>0.353646353646353</v>
      </c>
      <c r="C11717" s="6">
        <v>0.53013789279773904</v>
      </c>
    </row>
    <row r="11718" spans="1:3" s="8" customFormat="1" x14ac:dyDescent="0.2">
      <c r="A11718" s="6" t="str">
        <f>"AC011330.1"</f>
        <v>AC011330.1</v>
      </c>
      <c r="B11718" s="6">
        <v>0.353646353646353</v>
      </c>
      <c r="C11718" s="6">
        <v>0.53013789279773904</v>
      </c>
    </row>
    <row r="11719" spans="1:3" s="8" customFormat="1" x14ac:dyDescent="0.2">
      <c r="A11719" s="6" t="str">
        <f>"HEATR4"</f>
        <v>HEATR4</v>
      </c>
      <c r="B11719" s="6">
        <v>0.353646353646353</v>
      </c>
      <c r="C11719" s="6">
        <v>0.53013789279773904</v>
      </c>
    </row>
    <row r="11720" spans="1:3" s="8" customFormat="1" x14ac:dyDescent="0.2">
      <c r="A11720" s="6" t="str">
        <f>"TMCC1-AS1"</f>
        <v>TMCC1-AS1</v>
      </c>
      <c r="B11720" s="6">
        <v>0.353646353646353</v>
      </c>
      <c r="C11720" s="6">
        <v>0.53013789279773904</v>
      </c>
    </row>
    <row r="11721" spans="1:3" s="8" customFormat="1" x14ac:dyDescent="0.2">
      <c r="A11721" s="6" t="str">
        <f>"PDIA3P1"</f>
        <v>PDIA3P1</v>
      </c>
      <c r="B11721" s="6">
        <v>0.353646353646353</v>
      </c>
      <c r="C11721" s="6">
        <v>0.53013789279773904</v>
      </c>
    </row>
    <row r="11722" spans="1:3" s="8" customFormat="1" x14ac:dyDescent="0.2">
      <c r="A11722" s="6" t="str">
        <f>"ZNF503"</f>
        <v>ZNF503</v>
      </c>
      <c r="B11722" s="6">
        <v>0.353646353646353</v>
      </c>
      <c r="C11722" s="6">
        <v>0.53013789279773904</v>
      </c>
    </row>
    <row r="11723" spans="1:3" s="8" customFormat="1" x14ac:dyDescent="0.2">
      <c r="A11723" s="6" t="str">
        <f>"CENPO"</f>
        <v>CENPO</v>
      </c>
      <c r="B11723" s="6">
        <v>0.353646353646353</v>
      </c>
      <c r="C11723" s="6">
        <v>0.53013789279773904</v>
      </c>
    </row>
    <row r="11724" spans="1:3" s="8" customFormat="1" x14ac:dyDescent="0.2">
      <c r="A11724" s="6" t="str">
        <f>"SCARB1"</f>
        <v>SCARB1</v>
      </c>
      <c r="B11724" s="6">
        <v>0.353646353646353</v>
      </c>
      <c r="C11724" s="6">
        <v>0.53013789279773904</v>
      </c>
    </row>
    <row r="11725" spans="1:3" s="8" customFormat="1" x14ac:dyDescent="0.2">
      <c r="A11725" s="6" t="str">
        <f>"ESS2"</f>
        <v>ESS2</v>
      </c>
      <c r="B11725" s="6">
        <v>0.353646353646353</v>
      </c>
      <c r="C11725" s="6">
        <v>0.53013789279773904</v>
      </c>
    </row>
    <row r="11726" spans="1:3" s="8" customFormat="1" x14ac:dyDescent="0.2">
      <c r="A11726" s="6" t="str">
        <f>"KIAA0753"</f>
        <v>KIAA0753</v>
      </c>
      <c r="B11726" s="6">
        <v>0.353646353646353</v>
      </c>
      <c r="C11726" s="6">
        <v>0.53013789279773904</v>
      </c>
    </row>
    <row r="11727" spans="1:3" s="8" customFormat="1" x14ac:dyDescent="0.2">
      <c r="A11727" s="6" t="str">
        <f>"PTGR1"</f>
        <v>PTGR1</v>
      </c>
      <c r="B11727" s="6">
        <v>0.353646353646353</v>
      </c>
      <c r="C11727" s="6">
        <v>0.53013789279773904</v>
      </c>
    </row>
    <row r="11728" spans="1:3" s="8" customFormat="1" x14ac:dyDescent="0.2">
      <c r="A11728" s="6" t="str">
        <f>"FBXO21"</f>
        <v>FBXO21</v>
      </c>
      <c r="B11728" s="6">
        <v>0.353646353646353</v>
      </c>
      <c r="C11728" s="6">
        <v>0.53013789279773904</v>
      </c>
    </row>
    <row r="11729" spans="1:3" s="8" customFormat="1" x14ac:dyDescent="0.2">
      <c r="A11729" s="6" t="str">
        <f>"BBS1"</f>
        <v>BBS1</v>
      </c>
      <c r="B11729" s="6">
        <v>0.353646353646353</v>
      </c>
      <c r="C11729" s="6">
        <v>0.53013789279773904</v>
      </c>
    </row>
    <row r="11730" spans="1:3" s="8" customFormat="1" x14ac:dyDescent="0.2">
      <c r="A11730" s="6" t="str">
        <f>"PTPRS"</f>
        <v>PTPRS</v>
      </c>
      <c r="B11730" s="6">
        <v>0.353646353646353</v>
      </c>
      <c r="C11730" s="6">
        <v>0.53013789279773904</v>
      </c>
    </row>
    <row r="11731" spans="1:3" s="8" customFormat="1" x14ac:dyDescent="0.2">
      <c r="A11731" s="6" t="str">
        <f>"SUMO3"</f>
        <v>SUMO3</v>
      </c>
      <c r="B11731" s="6">
        <v>0.353646353646353</v>
      </c>
      <c r="C11731" s="6">
        <v>0.53013789279773904</v>
      </c>
    </row>
    <row r="11732" spans="1:3" s="8" customFormat="1" x14ac:dyDescent="0.2">
      <c r="A11732" s="6" t="str">
        <f>"UBA52P6"</f>
        <v>UBA52P6</v>
      </c>
      <c r="B11732" s="6">
        <v>0.35399999999999998</v>
      </c>
      <c r="C11732" s="6">
        <v>0.53048713141298698</v>
      </c>
    </row>
    <row r="11733" spans="1:3" s="8" customFormat="1" x14ac:dyDescent="0.2">
      <c r="A11733" s="6" t="str">
        <f>"LINC00842"</f>
        <v>LINC00842</v>
      </c>
      <c r="B11733" s="6">
        <v>0.35399999999999998</v>
      </c>
      <c r="C11733" s="6">
        <v>0.53048713141298698</v>
      </c>
    </row>
    <row r="11734" spans="1:3" s="8" customFormat="1" x14ac:dyDescent="0.2">
      <c r="A11734" s="6" t="str">
        <f>"GCSHP3"</f>
        <v>GCSHP3</v>
      </c>
      <c r="B11734" s="6">
        <v>0.35399999999999998</v>
      </c>
      <c r="C11734" s="6">
        <v>0.53048713141298698</v>
      </c>
    </row>
    <row r="11735" spans="1:3" s="8" customFormat="1" x14ac:dyDescent="0.2">
      <c r="A11735" s="6" t="str">
        <f>"AC008608.2"</f>
        <v>AC008608.2</v>
      </c>
      <c r="B11735" s="6">
        <v>0.35399999999999998</v>
      </c>
      <c r="C11735" s="6">
        <v>0.53048713141298698</v>
      </c>
    </row>
    <row r="11736" spans="1:3" s="8" customFormat="1" x14ac:dyDescent="0.2">
      <c r="A11736" s="6" t="str">
        <f>"AL691403.2"</f>
        <v>AL691403.2</v>
      </c>
      <c r="B11736" s="6">
        <v>0.35406218655967903</v>
      </c>
      <c r="C11736" s="6">
        <v>0.53053510766641598</v>
      </c>
    </row>
    <row r="11737" spans="1:3" s="8" customFormat="1" x14ac:dyDescent="0.2">
      <c r="A11737" s="6" t="str">
        <f>"ESPNL"</f>
        <v>ESPNL</v>
      </c>
      <c r="B11737" s="6">
        <v>0.35464535464535402</v>
      </c>
      <c r="C11737" s="6">
        <v>0.53100169585183199</v>
      </c>
    </row>
    <row r="11738" spans="1:3" s="8" customFormat="1" x14ac:dyDescent="0.2">
      <c r="A11738" s="6" t="str">
        <f>"AP005901.1"</f>
        <v>AP005901.1</v>
      </c>
      <c r="B11738" s="6">
        <v>0.35464535464535402</v>
      </c>
      <c r="C11738" s="6">
        <v>0.53100169585183199</v>
      </c>
    </row>
    <row r="11739" spans="1:3" s="8" customFormat="1" x14ac:dyDescent="0.2">
      <c r="A11739" s="6" t="str">
        <f>"ZNF667"</f>
        <v>ZNF667</v>
      </c>
      <c r="B11739" s="6">
        <v>0.35464535464535402</v>
      </c>
      <c r="C11739" s="6">
        <v>0.53100169585183199</v>
      </c>
    </row>
    <row r="11740" spans="1:3" s="8" customFormat="1" x14ac:dyDescent="0.2">
      <c r="A11740" s="6" t="str">
        <f>"ERICH6"</f>
        <v>ERICH6</v>
      </c>
      <c r="B11740" s="6">
        <v>0.35464535464535402</v>
      </c>
      <c r="C11740" s="6">
        <v>0.53100169585183199</v>
      </c>
    </row>
    <row r="11741" spans="1:3" s="8" customFormat="1" x14ac:dyDescent="0.2">
      <c r="A11741" s="6" t="str">
        <f>"MSRB3"</f>
        <v>MSRB3</v>
      </c>
      <c r="B11741" s="6">
        <v>0.35464535464535402</v>
      </c>
      <c r="C11741" s="6">
        <v>0.53100169585183199</v>
      </c>
    </row>
    <row r="11742" spans="1:3" s="8" customFormat="1" x14ac:dyDescent="0.2">
      <c r="A11742" s="6" t="str">
        <f>"RCCD1"</f>
        <v>RCCD1</v>
      </c>
      <c r="B11742" s="6">
        <v>0.35464535464535402</v>
      </c>
      <c r="C11742" s="6">
        <v>0.53100169585183199</v>
      </c>
    </row>
    <row r="11743" spans="1:3" s="8" customFormat="1" x14ac:dyDescent="0.2">
      <c r="A11743" s="6" t="str">
        <f>"HUNK"</f>
        <v>HUNK</v>
      </c>
      <c r="B11743" s="6">
        <v>0.35464535464535402</v>
      </c>
      <c r="C11743" s="6">
        <v>0.53100169585183199</v>
      </c>
    </row>
    <row r="11744" spans="1:3" s="8" customFormat="1" x14ac:dyDescent="0.2">
      <c r="A11744" s="6" t="str">
        <f>"BMS1"</f>
        <v>BMS1</v>
      </c>
      <c r="B11744" s="6">
        <v>0.35464535464535402</v>
      </c>
      <c r="C11744" s="6">
        <v>0.53100169585183199</v>
      </c>
    </row>
    <row r="11745" spans="1:3" s="8" customFormat="1" x14ac:dyDescent="0.2">
      <c r="A11745" s="6" t="str">
        <f>"RPS9"</f>
        <v>RPS9</v>
      </c>
      <c r="B11745" s="6">
        <v>0.35464535464535402</v>
      </c>
      <c r="C11745" s="6">
        <v>0.53100169585183199</v>
      </c>
    </row>
    <row r="11746" spans="1:3" s="8" customFormat="1" x14ac:dyDescent="0.2">
      <c r="A11746" s="6" t="str">
        <f>"AC096733.2"</f>
        <v>AC096733.2</v>
      </c>
      <c r="B11746" s="6">
        <v>0.35474006116207901</v>
      </c>
      <c r="C11746" s="6">
        <v>0.53109827462528703</v>
      </c>
    </row>
    <row r="11747" spans="1:3" s="8" customFormat="1" x14ac:dyDescent="0.2">
      <c r="A11747" s="6" t="str">
        <f>"ADD3-AS1"</f>
        <v>ADD3-AS1</v>
      </c>
      <c r="B11747" s="6">
        <v>0.35499999999999998</v>
      </c>
      <c r="C11747" s="6">
        <v>0.53144219308700802</v>
      </c>
    </row>
    <row r="11748" spans="1:3" s="8" customFormat="1" x14ac:dyDescent="0.2">
      <c r="A11748" s="6" t="str">
        <f>"AC091167.1"</f>
        <v>AC091167.1</v>
      </c>
      <c r="B11748" s="6">
        <v>0.35511064278187499</v>
      </c>
      <c r="C11748" s="6">
        <v>0.53156257279956598</v>
      </c>
    </row>
    <row r="11749" spans="1:3" s="8" customFormat="1" x14ac:dyDescent="0.2">
      <c r="A11749" s="6" t="str">
        <f>"AL121895.1"</f>
        <v>AL121895.1</v>
      </c>
      <c r="B11749" s="6">
        <v>0.35516888433981503</v>
      </c>
      <c r="C11749" s="6">
        <v>0.53160449967920598</v>
      </c>
    </row>
    <row r="11750" spans="1:3" s="8" customFormat="1" x14ac:dyDescent="0.2">
      <c r="A11750" s="6" t="str">
        <f>"SCARA5"</f>
        <v>SCARA5</v>
      </c>
      <c r="B11750" s="6">
        <v>0.35564435564435498</v>
      </c>
      <c r="C11750" s="6">
        <v>0.53177298891584601</v>
      </c>
    </row>
    <row r="11751" spans="1:3" s="8" customFormat="1" x14ac:dyDescent="0.2">
      <c r="A11751" s="6" t="str">
        <f>"TMC3-AS1"</f>
        <v>TMC3-AS1</v>
      </c>
      <c r="B11751" s="6">
        <v>0.35564435564435498</v>
      </c>
      <c r="C11751" s="6">
        <v>0.53177298891584601</v>
      </c>
    </row>
    <row r="11752" spans="1:3" s="8" customFormat="1" x14ac:dyDescent="0.2">
      <c r="A11752" s="6" t="str">
        <f>"AC124248.1"</f>
        <v>AC124248.1</v>
      </c>
      <c r="B11752" s="6">
        <v>0.35564435564435498</v>
      </c>
      <c r="C11752" s="6">
        <v>0.53177298891584601</v>
      </c>
    </row>
    <row r="11753" spans="1:3" s="8" customFormat="1" x14ac:dyDescent="0.2">
      <c r="A11753" s="6" t="str">
        <f>"SCIMP"</f>
        <v>SCIMP</v>
      </c>
      <c r="B11753" s="6">
        <v>0.35564435564435498</v>
      </c>
      <c r="C11753" s="6">
        <v>0.53177298891584601</v>
      </c>
    </row>
    <row r="11754" spans="1:3" s="8" customFormat="1" x14ac:dyDescent="0.2">
      <c r="A11754" s="6" t="str">
        <f>"AMT"</f>
        <v>AMT</v>
      </c>
      <c r="B11754" s="6">
        <v>0.35564435564435498</v>
      </c>
      <c r="C11754" s="6">
        <v>0.53177298891584601</v>
      </c>
    </row>
    <row r="11755" spans="1:3" s="8" customFormat="1" x14ac:dyDescent="0.2">
      <c r="A11755" s="6" t="str">
        <f>"PLAG1"</f>
        <v>PLAG1</v>
      </c>
      <c r="B11755" s="6">
        <v>0.35564435564435498</v>
      </c>
      <c r="C11755" s="6">
        <v>0.53177298891584601</v>
      </c>
    </row>
    <row r="11756" spans="1:3" s="8" customFormat="1" x14ac:dyDescent="0.2">
      <c r="A11756" s="6" t="str">
        <f>"FUT4"</f>
        <v>FUT4</v>
      </c>
      <c r="B11756" s="6">
        <v>0.35564435564435498</v>
      </c>
      <c r="C11756" s="6">
        <v>0.53177298891584601</v>
      </c>
    </row>
    <row r="11757" spans="1:3" s="8" customFormat="1" x14ac:dyDescent="0.2">
      <c r="A11757" s="6" t="str">
        <f>"HELQ"</f>
        <v>HELQ</v>
      </c>
      <c r="B11757" s="6">
        <v>0.35564435564435498</v>
      </c>
      <c r="C11757" s="6">
        <v>0.53177298891584601</v>
      </c>
    </row>
    <row r="11758" spans="1:3" s="8" customFormat="1" x14ac:dyDescent="0.2">
      <c r="A11758" s="6" t="str">
        <f>"QRSL1"</f>
        <v>QRSL1</v>
      </c>
      <c r="B11758" s="6">
        <v>0.35564435564435498</v>
      </c>
      <c r="C11758" s="6">
        <v>0.53177298891584601</v>
      </c>
    </row>
    <row r="11759" spans="1:3" s="8" customFormat="1" x14ac:dyDescent="0.2">
      <c r="A11759" s="6" t="str">
        <f>"AMY1C"</f>
        <v>AMY1C</v>
      </c>
      <c r="B11759" s="6">
        <v>0.35564435564435498</v>
      </c>
      <c r="C11759" s="6">
        <v>0.53177298891584601</v>
      </c>
    </row>
    <row r="11760" spans="1:3" s="8" customFormat="1" x14ac:dyDescent="0.2">
      <c r="A11760" s="6" t="str">
        <f>"ERI3"</f>
        <v>ERI3</v>
      </c>
      <c r="B11760" s="6">
        <v>0.35564435564435498</v>
      </c>
      <c r="C11760" s="6">
        <v>0.53177298891584601</v>
      </c>
    </row>
    <row r="11761" spans="1:3" s="8" customFormat="1" x14ac:dyDescent="0.2">
      <c r="A11761" s="6" t="str">
        <f>"NSUN2"</f>
        <v>NSUN2</v>
      </c>
      <c r="B11761" s="6">
        <v>0.35564435564435498</v>
      </c>
      <c r="C11761" s="6">
        <v>0.53177298891584601</v>
      </c>
    </row>
    <row r="11762" spans="1:3" s="8" customFormat="1" x14ac:dyDescent="0.2">
      <c r="A11762" s="6" t="str">
        <f>"AC110769.2"</f>
        <v>AC110769.2</v>
      </c>
      <c r="B11762" s="6">
        <v>0.355778894472361</v>
      </c>
      <c r="C11762" s="6">
        <v>0.53192892444537099</v>
      </c>
    </row>
    <row r="11763" spans="1:3" s="8" customFormat="1" x14ac:dyDescent="0.2">
      <c r="A11763" s="6" t="str">
        <f>"GOLGA6B"</f>
        <v>GOLGA6B</v>
      </c>
      <c r="B11763" s="6">
        <v>0.356643356643356</v>
      </c>
      <c r="C11763" s="6">
        <v>0.53231616867980502</v>
      </c>
    </row>
    <row r="11764" spans="1:3" s="8" customFormat="1" x14ac:dyDescent="0.2">
      <c r="A11764" s="6" t="str">
        <f>"CSPG4P11"</f>
        <v>CSPG4P11</v>
      </c>
      <c r="B11764" s="6">
        <v>0.356643356643356</v>
      </c>
      <c r="C11764" s="6">
        <v>0.53231616867980502</v>
      </c>
    </row>
    <row r="11765" spans="1:3" s="8" customFormat="1" x14ac:dyDescent="0.2">
      <c r="A11765" s="6" t="str">
        <f>"DDC"</f>
        <v>DDC</v>
      </c>
      <c r="B11765" s="6">
        <v>0.356643356643356</v>
      </c>
      <c r="C11765" s="6">
        <v>0.53231616867980502</v>
      </c>
    </row>
    <row r="11766" spans="1:3" s="8" customFormat="1" x14ac:dyDescent="0.2">
      <c r="A11766" s="6" t="str">
        <f>"TRIM31-AS1"</f>
        <v>TRIM31-AS1</v>
      </c>
      <c r="B11766" s="6">
        <v>0.356643356643356</v>
      </c>
      <c r="C11766" s="6">
        <v>0.53231616867980502</v>
      </c>
    </row>
    <row r="11767" spans="1:3" s="8" customFormat="1" x14ac:dyDescent="0.2">
      <c r="A11767" s="6" t="str">
        <f>"ERC2"</f>
        <v>ERC2</v>
      </c>
      <c r="B11767" s="6">
        <v>0.356643356643356</v>
      </c>
      <c r="C11767" s="6">
        <v>0.53231616867980502</v>
      </c>
    </row>
    <row r="11768" spans="1:3" s="8" customFormat="1" x14ac:dyDescent="0.2">
      <c r="A11768" s="6" t="str">
        <f>"TRIM72"</f>
        <v>TRIM72</v>
      </c>
      <c r="B11768" s="6">
        <v>0.356643356643356</v>
      </c>
      <c r="C11768" s="6">
        <v>0.53231616867980502</v>
      </c>
    </row>
    <row r="11769" spans="1:3" s="8" customFormat="1" x14ac:dyDescent="0.2">
      <c r="A11769" s="6" t="str">
        <f>"AC099778.1"</f>
        <v>AC099778.1</v>
      </c>
      <c r="B11769" s="6">
        <v>0.356643356643356</v>
      </c>
      <c r="C11769" s="6">
        <v>0.53231616867980502</v>
      </c>
    </row>
    <row r="11770" spans="1:3" s="8" customFormat="1" x14ac:dyDescent="0.2">
      <c r="A11770" s="6" t="str">
        <f>"LINC02362"</f>
        <v>LINC02362</v>
      </c>
      <c r="B11770" s="6">
        <v>0.356643356643356</v>
      </c>
      <c r="C11770" s="6">
        <v>0.53231616867980502</v>
      </c>
    </row>
    <row r="11771" spans="1:3" s="8" customFormat="1" x14ac:dyDescent="0.2">
      <c r="A11771" s="6" t="str">
        <f>"CABP4"</f>
        <v>CABP4</v>
      </c>
      <c r="B11771" s="6">
        <v>0.356643356643356</v>
      </c>
      <c r="C11771" s="6">
        <v>0.53231616867980502</v>
      </c>
    </row>
    <row r="11772" spans="1:3" s="8" customFormat="1" x14ac:dyDescent="0.2">
      <c r="A11772" s="6" t="str">
        <f>"ZNF780B"</f>
        <v>ZNF780B</v>
      </c>
      <c r="B11772" s="6">
        <v>0.356643356643356</v>
      </c>
      <c r="C11772" s="6">
        <v>0.53231616867980502</v>
      </c>
    </row>
    <row r="11773" spans="1:3" s="8" customFormat="1" x14ac:dyDescent="0.2">
      <c r="A11773" s="6" t="str">
        <f>"SYTL5"</f>
        <v>SYTL5</v>
      </c>
      <c r="B11773" s="6">
        <v>0.356643356643356</v>
      </c>
      <c r="C11773" s="6">
        <v>0.53231616867980502</v>
      </c>
    </row>
    <row r="11774" spans="1:3" s="8" customFormat="1" x14ac:dyDescent="0.2">
      <c r="A11774" s="6" t="str">
        <f>"PGP"</f>
        <v>PGP</v>
      </c>
      <c r="B11774" s="6">
        <v>0.356643356643356</v>
      </c>
      <c r="C11774" s="6">
        <v>0.53231616867980502</v>
      </c>
    </row>
    <row r="11775" spans="1:3" s="8" customFormat="1" x14ac:dyDescent="0.2">
      <c r="A11775" s="6" t="str">
        <f>"RNF5"</f>
        <v>RNF5</v>
      </c>
      <c r="B11775" s="6">
        <v>0.356643356643356</v>
      </c>
      <c r="C11775" s="6">
        <v>0.53231616867980502</v>
      </c>
    </row>
    <row r="11776" spans="1:3" s="8" customFormat="1" x14ac:dyDescent="0.2">
      <c r="A11776" s="6" t="str">
        <f>"ABAT"</f>
        <v>ABAT</v>
      </c>
      <c r="B11776" s="6">
        <v>0.356643356643356</v>
      </c>
      <c r="C11776" s="6">
        <v>0.53231616867980502</v>
      </c>
    </row>
    <row r="11777" spans="1:3" s="8" customFormat="1" x14ac:dyDescent="0.2">
      <c r="A11777" s="6" t="str">
        <f>"GATD3B"</f>
        <v>GATD3B</v>
      </c>
      <c r="B11777" s="6">
        <v>0.356643356643356</v>
      </c>
      <c r="C11777" s="6">
        <v>0.53231616867980502</v>
      </c>
    </row>
    <row r="11778" spans="1:3" s="8" customFormat="1" x14ac:dyDescent="0.2">
      <c r="A11778" s="6" t="str">
        <f>"DOP1B"</f>
        <v>DOP1B</v>
      </c>
      <c r="B11778" s="6">
        <v>0.356643356643356</v>
      </c>
      <c r="C11778" s="6">
        <v>0.53231616867980502</v>
      </c>
    </row>
    <row r="11779" spans="1:3" s="8" customFormat="1" x14ac:dyDescent="0.2">
      <c r="A11779" s="6" t="str">
        <f>"UBE3B"</f>
        <v>UBE3B</v>
      </c>
      <c r="B11779" s="6">
        <v>0.356643356643356</v>
      </c>
      <c r="C11779" s="6">
        <v>0.53231616867980502</v>
      </c>
    </row>
    <row r="11780" spans="1:3" s="8" customFormat="1" x14ac:dyDescent="0.2">
      <c r="A11780" s="6" t="str">
        <f>"KCTD11"</f>
        <v>KCTD11</v>
      </c>
      <c r="B11780" s="6">
        <v>0.356643356643356</v>
      </c>
      <c r="C11780" s="6">
        <v>0.53231616867980502</v>
      </c>
    </row>
    <row r="11781" spans="1:3" s="8" customFormat="1" x14ac:dyDescent="0.2">
      <c r="A11781" s="6" t="str">
        <f>"PER1"</f>
        <v>PER1</v>
      </c>
      <c r="B11781" s="6">
        <v>0.356643356643356</v>
      </c>
      <c r="C11781" s="6">
        <v>0.53231616867980502</v>
      </c>
    </row>
    <row r="11782" spans="1:3" s="8" customFormat="1" x14ac:dyDescent="0.2">
      <c r="A11782" s="6" t="str">
        <f>"RCN1"</f>
        <v>RCN1</v>
      </c>
      <c r="B11782" s="6">
        <v>0.356643356643356</v>
      </c>
      <c r="C11782" s="6">
        <v>0.53231616867980502</v>
      </c>
    </row>
    <row r="11783" spans="1:3" s="8" customFormat="1" x14ac:dyDescent="0.2">
      <c r="A11783" s="6" t="str">
        <f>"DCXR-DT"</f>
        <v>DCXR-DT</v>
      </c>
      <c r="B11783" s="6">
        <v>0.35735735735735702</v>
      </c>
      <c r="C11783" s="6">
        <v>0.53321885846898498</v>
      </c>
    </row>
    <row r="11784" spans="1:3" s="8" customFormat="1" x14ac:dyDescent="0.2">
      <c r="A11784" s="6" t="str">
        <f>"TDGF1"</f>
        <v>TDGF1</v>
      </c>
      <c r="B11784" s="6">
        <v>0.35764235764235702</v>
      </c>
      <c r="C11784" s="6">
        <v>0.53321885846898498</v>
      </c>
    </row>
    <row r="11785" spans="1:3" s="8" customFormat="1" x14ac:dyDescent="0.2">
      <c r="A11785" s="6" t="str">
        <f>"YPEL1"</f>
        <v>YPEL1</v>
      </c>
      <c r="B11785" s="6">
        <v>0.35764235764235702</v>
      </c>
      <c r="C11785" s="6">
        <v>0.53321885846898498</v>
      </c>
    </row>
    <row r="11786" spans="1:3" s="8" customFormat="1" x14ac:dyDescent="0.2">
      <c r="A11786" s="6" t="str">
        <f>"NFXL1"</f>
        <v>NFXL1</v>
      </c>
      <c r="B11786" s="6">
        <v>0.35764235764235702</v>
      </c>
      <c r="C11786" s="6">
        <v>0.53321885846898498</v>
      </c>
    </row>
    <row r="11787" spans="1:3" s="8" customFormat="1" x14ac:dyDescent="0.2">
      <c r="A11787" s="6" t="str">
        <f>"FGD2"</f>
        <v>FGD2</v>
      </c>
      <c r="B11787" s="6">
        <v>0.35764235764235702</v>
      </c>
      <c r="C11787" s="6">
        <v>0.53321885846898498</v>
      </c>
    </row>
    <row r="11788" spans="1:3" s="8" customFormat="1" x14ac:dyDescent="0.2">
      <c r="A11788" s="6" t="str">
        <f>"ZRSR2"</f>
        <v>ZRSR2</v>
      </c>
      <c r="B11788" s="6">
        <v>0.35764235764235702</v>
      </c>
      <c r="C11788" s="6">
        <v>0.53321885846898498</v>
      </c>
    </row>
    <row r="11789" spans="1:3" s="8" customFormat="1" x14ac:dyDescent="0.2">
      <c r="A11789" s="6" t="str">
        <f>"MIER2"</f>
        <v>MIER2</v>
      </c>
      <c r="B11789" s="6">
        <v>0.35764235764235702</v>
      </c>
      <c r="C11789" s="6">
        <v>0.53321885846898498</v>
      </c>
    </row>
    <row r="11790" spans="1:3" s="8" customFormat="1" x14ac:dyDescent="0.2">
      <c r="A11790" s="6" t="str">
        <f>"SLC7A6"</f>
        <v>SLC7A6</v>
      </c>
      <c r="B11790" s="6">
        <v>0.35764235764235702</v>
      </c>
      <c r="C11790" s="6">
        <v>0.53321885846898498</v>
      </c>
    </row>
    <row r="11791" spans="1:3" s="8" customFormat="1" x14ac:dyDescent="0.2">
      <c r="A11791" s="6" t="str">
        <f>"URGCP"</f>
        <v>URGCP</v>
      </c>
      <c r="B11791" s="6">
        <v>0.35764235764235702</v>
      </c>
      <c r="C11791" s="6">
        <v>0.53321885846898498</v>
      </c>
    </row>
    <row r="11792" spans="1:3" s="8" customFormat="1" x14ac:dyDescent="0.2">
      <c r="A11792" s="6" t="str">
        <f>"R3HCC1"</f>
        <v>R3HCC1</v>
      </c>
      <c r="B11792" s="6">
        <v>0.35764235764235702</v>
      </c>
      <c r="C11792" s="6">
        <v>0.53321885846898498</v>
      </c>
    </row>
    <row r="11793" spans="1:3" s="8" customFormat="1" x14ac:dyDescent="0.2">
      <c r="A11793" s="6" t="str">
        <f>"ZMYM4"</f>
        <v>ZMYM4</v>
      </c>
      <c r="B11793" s="6">
        <v>0.35764235764235702</v>
      </c>
      <c r="C11793" s="6">
        <v>0.53321885846898498</v>
      </c>
    </row>
    <row r="11794" spans="1:3" s="8" customFormat="1" x14ac:dyDescent="0.2">
      <c r="A11794" s="6" t="str">
        <f>"ARHGEF5"</f>
        <v>ARHGEF5</v>
      </c>
      <c r="B11794" s="6">
        <v>0.35764235764235702</v>
      </c>
      <c r="C11794" s="6">
        <v>0.53321885846898498</v>
      </c>
    </row>
    <row r="11795" spans="1:3" s="8" customFormat="1" x14ac:dyDescent="0.2">
      <c r="A11795" s="6" t="str">
        <f>"WDR19"</f>
        <v>WDR19</v>
      </c>
      <c r="B11795" s="6">
        <v>0.35764235764235702</v>
      </c>
      <c r="C11795" s="6">
        <v>0.53321885846898498</v>
      </c>
    </row>
    <row r="11796" spans="1:3" s="8" customFormat="1" x14ac:dyDescent="0.2">
      <c r="A11796" s="6" t="str">
        <f>"AC020779.1"</f>
        <v>AC020779.1</v>
      </c>
      <c r="B11796" s="6">
        <v>0.35786290322580599</v>
      </c>
      <c r="C11796" s="6">
        <v>0.53350244089212195</v>
      </c>
    </row>
    <row r="11797" spans="1:3" s="8" customFormat="1" x14ac:dyDescent="0.2">
      <c r="A11797" s="6" t="str">
        <f>"AC027702.1"</f>
        <v>AC027702.1</v>
      </c>
      <c r="B11797" s="6">
        <v>0.35864135864135799</v>
      </c>
      <c r="C11797" s="6">
        <v>0.53416480182531301</v>
      </c>
    </row>
    <row r="11798" spans="1:3" s="8" customFormat="1" x14ac:dyDescent="0.2">
      <c r="A11798" s="6" t="str">
        <f>"AC092724.1"</f>
        <v>AC092724.1</v>
      </c>
      <c r="B11798" s="6">
        <v>0.35864135864135799</v>
      </c>
      <c r="C11798" s="6">
        <v>0.53416480182531301</v>
      </c>
    </row>
    <row r="11799" spans="1:3" s="8" customFormat="1" x14ac:dyDescent="0.2">
      <c r="A11799" s="6" t="str">
        <f>"LINC01597"</f>
        <v>LINC01597</v>
      </c>
      <c r="B11799" s="6">
        <v>0.35864135864135799</v>
      </c>
      <c r="C11799" s="6">
        <v>0.53416480182531301</v>
      </c>
    </row>
    <row r="11800" spans="1:3" s="8" customFormat="1" x14ac:dyDescent="0.2">
      <c r="A11800" s="6" t="str">
        <f>"AC011451.4"</f>
        <v>AC011451.4</v>
      </c>
      <c r="B11800" s="6">
        <v>0.35864135864135799</v>
      </c>
      <c r="C11800" s="6">
        <v>0.53416480182531301</v>
      </c>
    </row>
    <row r="11801" spans="1:3" s="8" customFormat="1" x14ac:dyDescent="0.2">
      <c r="A11801" s="6" t="str">
        <f>"LINC02884"</f>
        <v>LINC02884</v>
      </c>
      <c r="B11801" s="6">
        <v>0.35864135864135799</v>
      </c>
      <c r="C11801" s="6">
        <v>0.53416480182531301</v>
      </c>
    </row>
    <row r="11802" spans="1:3" s="8" customFormat="1" x14ac:dyDescent="0.2">
      <c r="A11802" s="6" t="str">
        <f>"AL355512.1"</f>
        <v>AL355512.1</v>
      </c>
      <c r="B11802" s="6">
        <v>0.35864135864135799</v>
      </c>
      <c r="C11802" s="6">
        <v>0.53416480182531301</v>
      </c>
    </row>
    <row r="11803" spans="1:3" s="8" customFormat="1" x14ac:dyDescent="0.2">
      <c r="A11803" s="6" t="str">
        <f>"ZNF354C"</f>
        <v>ZNF354C</v>
      </c>
      <c r="B11803" s="6">
        <v>0.35864135864135799</v>
      </c>
      <c r="C11803" s="6">
        <v>0.53416480182531301</v>
      </c>
    </row>
    <row r="11804" spans="1:3" s="8" customFormat="1" x14ac:dyDescent="0.2">
      <c r="A11804" s="6" t="str">
        <f>"R3HCC1L"</f>
        <v>R3HCC1L</v>
      </c>
      <c r="B11804" s="6">
        <v>0.35864135864135799</v>
      </c>
      <c r="C11804" s="6">
        <v>0.53416480182531301</v>
      </c>
    </row>
    <row r="11805" spans="1:3" s="8" customFormat="1" x14ac:dyDescent="0.2">
      <c r="A11805" s="6" t="str">
        <f>"RNASEL"</f>
        <v>RNASEL</v>
      </c>
      <c r="B11805" s="6">
        <v>0.35864135864135799</v>
      </c>
      <c r="C11805" s="6">
        <v>0.53416480182531301</v>
      </c>
    </row>
    <row r="11806" spans="1:3" s="8" customFormat="1" x14ac:dyDescent="0.2">
      <c r="A11806" s="6" t="str">
        <f>"GGCT"</f>
        <v>GGCT</v>
      </c>
      <c r="B11806" s="6">
        <v>0.35864135864135799</v>
      </c>
      <c r="C11806" s="6">
        <v>0.53416480182531301</v>
      </c>
    </row>
    <row r="11807" spans="1:3" s="8" customFormat="1" x14ac:dyDescent="0.2">
      <c r="A11807" s="6" t="str">
        <f>"NIPAL2"</f>
        <v>NIPAL2</v>
      </c>
      <c r="B11807" s="6">
        <v>0.35864135864135799</v>
      </c>
      <c r="C11807" s="6">
        <v>0.53416480182531301</v>
      </c>
    </row>
    <row r="11808" spans="1:3" s="8" customFormat="1" x14ac:dyDescent="0.2">
      <c r="A11808" s="6" t="str">
        <f>"AC008013.1"</f>
        <v>AC008013.1</v>
      </c>
      <c r="B11808" s="6">
        <v>0.35935935935935898</v>
      </c>
      <c r="C11808" s="6">
        <v>0.53483728720535195</v>
      </c>
    </row>
    <row r="11809" spans="1:3" s="8" customFormat="1" x14ac:dyDescent="0.2">
      <c r="A11809" s="6" t="str">
        <f>"AC019257.1"</f>
        <v>AC019257.1</v>
      </c>
      <c r="B11809" s="6">
        <v>0.35964035964035901</v>
      </c>
      <c r="C11809" s="6">
        <v>0.53483728720535195</v>
      </c>
    </row>
    <row r="11810" spans="1:3" s="8" customFormat="1" x14ac:dyDescent="0.2">
      <c r="A11810" s="6" t="str">
        <f>"TPRG1LP1"</f>
        <v>TPRG1LP1</v>
      </c>
      <c r="B11810" s="6">
        <v>0.35964035964035901</v>
      </c>
      <c r="C11810" s="6">
        <v>0.53483728720535195</v>
      </c>
    </row>
    <row r="11811" spans="1:3" s="8" customFormat="1" x14ac:dyDescent="0.2">
      <c r="A11811" s="6" t="str">
        <f>"AC012409.1"</f>
        <v>AC012409.1</v>
      </c>
      <c r="B11811" s="6">
        <v>0.35964035964035901</v>
      </c>
      <c r="C11811" s="6">
        <v>0.53483728720535195</v>
      </c>
    </row>
    <row r="11812" spans="1:3" s="8" customFormat="1" x14ac:dyDescent="0.2">
      <c r="A11812" s="6" t="str">
        <f>"CYP4F29P"</f>
        <v>CYP4F29P</v>
      </c>
      <c r="B11812" s="6">
        <v>0.35964035964035901</v>
      </c>
      <c r="C11812" s="6">
        <v>0.53483728720535195</v>
      </c>
    </row>
    <row r="11813" spans="1:3" s="8" customFormat="1" x14ac:dyDescent="0.2">
      <c r="A11813" s="6" t="str">
        <f>"RNF103-CHMP3"</f>
        <v>RNF103-CHMP3</v>
      </c>
      <c r="B11813" s="6">
        <v>0.35964035964035901</v>
      </c>
      <c r="C11813" s="6">
        <v>0.53483728720535195</v>
      </c>
    </row>
    <row r="11814" spans="1:3" s="8" customFormat="1" x14ac:dyDescent="0.2">
      <c r="A11814" s="6" t="str">
        <f>"BX322639.1"</f>
        <v>BX322639.1</v>
      </c>
      <c r="B11814" s="6">
        <v>0.35964035964035901</v>
      </c>
      <c r="C11814" s="6">
        <v>0.53483728720535195</v>
      </c>
    </row>
    <row r="11815" spans="1:3" s="8" customFormat="1" x14ac:dyDescent="0.2">
      <c r="A11815" s="6" t="str">
        <f>"RNASEK-C17orf49"</f>
        <v>RNASEK-C17orf49</v>
      </c>
      <c r="B11815" s="6">
        <v>0.35964035964035901</v>
      </c>
      <c r="C11815" s="6">
        <v>0.53483728720535195</v>
      </c>
    </row>
    <row r="11816" spans="1:3" s="8" customFormat="1" x14ac:dyDescent="0.2">
      <c r="A11816" s="6" t="str">
        <f>"YAE1"</f>
        <v>YAE1</v>
      </c>
      <c r="B11816" s="6">
        <v>0.35964035964035901</v>
      </c>
      <c r="C11816" s="6">
        <v>0.53483728720535195</v>
      </c>
    </row>
    <row r="11817" spans="1:3" s="8" customFormat="1" x14ac:dyDescent="0.2">
      <c r="A11817" s="6" t="str">
        <f>"CPOX"</f>
        <v>CPOX</v>
      </c>
      <c r="B11817" s="6">
        <v>0.35964035964035901</v>
      </c>
      <c r="C11817" s="6">
        <v>0.53483728720535195</v>
      </c>
    </row>
    <row r="11818" spans="1:3" s="8" customFormat="1" x14ac:dyDescent="0.2">
      <c r="A11818" s="6" t="str">
        <f>"ZBTB37"</f>
        <v>ZBTB37</v>
      </c>
      <c r="B11818" s="6">
        <v>0.35964035964035901</v>
      </c>
      <c r="C11818" s="6">
        <v>0.53483728720535195</v>
      </c>
    </row>
    <row r="11819" spans="1:3" s="8" customFormat="1" x14ac:dyDescent="0.2">
      <c r="A11819" s="6" t="str">
        <f>"PPIH"</f>
        <v>PPIH</v>
      </c>
      <c r="B11819" s="6">
        <v>0.35964035964035901</v>
      </c>
      <c r="C11819" s="6">
        <v>0.53483728720535195</v>
      </c>
    </row>
    <row r="11820" spans="1:3" s="8" customFormat="1" x14ac:dyDescent="0.2">
      <c r="A11820" s="6" t="str">
        <f>"AC125611.4"</f>
        <v>AC125611.4</v>
      </c>
      <c r="B11820" s="6">
        <v>0.35964035964035901</v>
      </c>
      <c r="C11820" s="6">
        <v>0.53483728720535195</v>
      </c>
    </row>
    <row r="11821" spans="1:3" s="8" customFormat="1" x14ac:dyDescent="0.2">
      <c r="A11821" s="6" t="str">
        <f>"VAMP3"</f>
        <v>VAMP3</v>
      </c>
      <c r="B11821" s="6">
        <v>0.35964035964035901</v>
      </c>
      <c r="C11821" s="6">
        <v>0.53483728720535195</v>
      </c>
    </row>
    <row r="11822" spans="1:3" s="8" customFormat="1" x14ac:dyDescent="0.2">
      <c r="A11822" s="6" t="str">
        <f>"ZFP91"</f>
        <v>ZFP91</v>
      </c>
      <c r="B11822" s="6">
        <v>0.35964035964035901</v>
      </c>
      <c r="C11822" s="6">
        <v>0.53483728720535195</v>
      </c>
    </row>
    <row r="11823" spans="1:3" s="8" customFormat="1" x14ac:dyDescent="0.2">
      <c r="A11823" s="6" t="str">
        <f>"TAF15"</f>
        <v>TAF15</v>
      </c>
      <c r="B11823" s="6">
        <v>0.35964035964035901</v>
      </c>
      <c r="C11823" s="6">
        <v>0.53483728720535195</v>
      </c>
    </row>
    <row r="11824" spans="1:3" s="8" customFormat="1" x14ac:dyDescent="0.2">
      <c r="A11824" s="6" t="str">
        <f>"CC2D2A"</f>
        <v>CC2D2A</v>
      </c>
      <c r="B11824" s="6">
        <v>0.35964035964035901</v>
      </c>
      <c r="C11824" s="6">
        <v>0.53483728720535195</v>
      </c>
    </row>
    <row r="11825" spans="1:3" s="8" customFormat="1" x14ac:dyDescent="0.2">
      <c r="A11825" s="6" t="str">
        <f>"RPL35"</f>
        <v>RPL35</v>
      </c>
      <c r="B11825" s="6">
        <v>0.35964035964035901</v>
      </c>
      <c r="C11825" s="6">
        <v>0.53483728720535195</v>
      </c>
    </row>
    <row r="11826" spans="1:3" s="8" customFormat="1" x14ac:dyDescent="0.2">
      <c r="A11826" s="6" t="str">
        <f>"FAM224A"</f>
        <v>FAM224A</v>
      </c>
      <c r="B11826" s="6">
        <v>0.36060606060605999</v>
      </c>
      <c r="C11826" s="6">
        <v>0.53586974121028497</v>
      </c>
    </row>
    <row r="11827" spans="1:3" s="8" customFormat="1" x14ac:dyDescent="0.2">
      <c r="A11827" s="6" t="str">
        <f>"AC008840.1"</f>
        <v>AC008840.1</v>
      </c>
      <c r="B11827" s="6">
        <v>0.36063936063935997</v>
      </c>
      <c r="C11827" s="6">
        <v>0.53586974121028497</v>
      </c>
    </row>
    <row r="11828" spans="1:3" s="8" customFormat="1" x14ac:dyDescent="0.2">
      <c r="A11828" s="6" t="str">
        <f>"AC035140.1"</f>
        <v>AC035140.1</v>
      </c>
      <c r="B11828" s="6">
        <v>0.36063936063935997</v>
      </c>
      <c r="C11828" s="6">
        <v>0.53586974121028497</v>
      </c>
    </row>
    <row r="11829" spans="1:3" s="8" customFormat="1" x14ac:dyDescent="0.2">
      <c r="A11829" s="6" t="str">
        <f>"HEYL"</f>
        <v>HEYL</v>
      </c>
      <c r="B11829" s="6">
        <v>0.36063936063935997</v>
      </c>
      <c r="C11829" s="6">
        <v>0.53586974121028497</v>
      </c>
    </row>
    <row r="11830" spans="1:3" s="8" customFormat="1" x14ac:dyDescent="0.2">
      <c r="A11830" s="6" t="str">
        <f>"OR2A20P"</f>
        <v>OR2A20P</v>
      </c>
      <c r="B11830" s="6">
        <v>0.36063936063935997</v>
      </c>
      <c r="C11830" s="6">
        <v>0.53586974121028497</v>
      </c>
    </row>
    <row r="11831" spans="1:3" s="8" customFormat="1" x14ac:dyDescent="0.2">
      <c r="A11831" s="6" t="str">
        <f>"AC004130.2"</f>
        <v>AC004130.2</v>
      </c>
      <c r="B11831" s="6">
        <v>0.36063936063935997</v>
      </c>
      <c r="C11831" s="6">
        <v>0.53586974121028497</v>
      </c>
    </row>
    <row r="11832" spans="1:3" s="8" customFormat="1" x14ac:dyDescent="0.2">
      <c r="A11832" s="6" t="str">
        <f>"CDC7"</f>
        <v>CDC7</v>
      </c>
      <c r="B11832" s="6">
        <v>0.36063936063935997</v>
      </c>
      <c r="C11832" s="6">
        <v>0.53586974121028497</v>
      </c>
    </row>
    <row r="11833" spans="1:3" s="8" customFormat="1" x14ac:dyDescent="0.2">
      <c r="A11833" s="6" t="str">
        <f>"MBD3"</f>
        <v>MBD3</v>
      </c>
      <c r="B11833" s="6">
        <v>0.36063936063935997</v>
      </c>
      <c r="C11833" s="6">
        <v>0.53586974121028497</v>
      </c>
    </row>
    <row r="11834" spans="1:3" s="8" customFormat="1" x14ac:dyDescent="0.2">
      <c r="A11834" s="6" t="str">
        <f>"ARHGEF28"</f>
        <v>ARHGEF28</v>
      </c>
      <c r="B11834" s="6">
        <v>0.36063936063935997</v>
      </c>
      <c r="C11834" s="6">
        <v>0.53586974121028497</v>
      </c>
    </row>
    <row r="11835" spans="1:3" s="8" customFormat="1" x14ac:dyDescent="0.2">
      <c r="A11835" s="6" t="str">
        <f>"SPDEF"</f>
        <v>SPDEF</v>
      </c>
      <c r="B11835" s="6">
        <v>0.36063936063935997</v>
      </c>
      <c r="C11835" s="6">
        <v>0.53586974121028497</v>
      </c>
    </row>
    <row r="11836" spans="1:3" s="8" customFormat="1" x14ac:dyDescent="0.2">
      <c r="A11836" s="6" t="str">
        <f>"CCDC138"</f>
        <v>CCDC138</v>
      </c>
      <c r="B11836" s="6">
        <v>0.36099999999999999</v>
      </c>
      <c r="C11836" s="6">
        <v>0.53636028728348095</v>
      </c>
    </row>
    <row r="11837" spans="1:3" s="8" customFormat="1" x14ac:dyDescent="0.2">
      <c r="A11837" s="6" t="str">
        <f>"AC139493.2"</f>
        <v>AC139493.2</v>
      </c>
      <c r="B11837" s="6">
        <v>0.36163836163836099</v>
      </c>
      <c r="C11837" s="6">
        <v>0.53671918898117399</v>
      </c>
    </row>
    <row r="11838" spans="1:3" s="8" customFormat="1" x14ac:dyDescent="0.2">
      <c r="A11838" s="6" t="str">
        <f>"HCN2"</f>
        <v>HCN2</v>
      </c>
      <c r="B11838" s="6">
        <v>0.36163836163836099</v>
      </c>
      <c r="C11838" s="6">
        <v>0.53671918898117399</v>
      </c>
    </row>
    <row r="11839" spans="1:3" s="8" customFormat="1" x14ac:dyDescent="0.2">
      <c r="A11839" s="6" t="str">
        <f>"AC008629.1"</f>
        <v>AC008629.1</v>
      </c>
      <c r="B11839" s="6">
        <v>0.36163836163836099</v>
      </c>
      <c r="C11839" s="6">
        <v>0.53671918898117399</v>
      </c>
    </row>
    <row r="11840" spans="1:3" s="8" customFormat="1" x14ac:dyDescent="0.2">
      <c r="A11840" s="6" t="str">
        <f>"C4BPA"</f>
        <v>C4BPA</v>
      </c>
      <c r="B11840" s="6">
        <v>0.36163836163836099</v>
      </c>
      <c r="C11840" s="6">
        <v>0.53671918898117399</v>
      </c>
    </row>
    <row r="11841" spans="1:3" s="8" customFormat="1" x14ac:dyDescent="0.2">
      <c r="A11841" s="6" t="str">
        <f>"AL359232.1"</f>
        <v>AL359232.1</v>
      </c>
      <c r="B11841" s="6">
        <v>0.36153071500503497</v>
      </c>
      <c r="C11841" s="6">
        <v>0.53671918898117399</v>
      </c>
    </row>
    <row r="11842" spans="1:3" s="8" customFormat="1" x14ac:dyDescent="0.2">
      <c r="A11842" s="6" t="str">
        <f>"ZNF300"</f>
        <v>ZNF300</v>
      </c>
      <c r="B11842" s="6">
        <v>0.36163836163836099</v>
      </c>
      <c r="C11842" s="6">
        <v>0.53671918898117399</v>
      </c>
    </row>
    <row r="11843" spans="1:3" s="8" customFormat="1" x14ac:dyDescent="0.2">
      <c r="A11843" s="6" t="str">
        <f>"AC112128.1"</f>
        <v>AC112128.1</v>
      </c>
      <c r="B11843" s="6">
        <v>0.36163836163836099</v>
      </c>
      <c r="C11843" s="6">
        <v>0.53671918898117399</v>
      </c>
    </row>
    <row r="11844" spans="1:3" s="8" customFormat="1" x14ac:dyDescent="0.2">
      <c r="A11844" s="6" t="str">
        <f>"FAM160B2"</f>
        <v>FAM160B2</v>
      </c>
      <c r="B11844" s="6">
        <v>0.36163836163836099</v>
      </c>
      <c r="C11844" s="6">
        <v>0.53671918898117399</v>
      </c>
    </row>
    <row r="11845" spans="1:3" s="8" customFormat="1" x14ac:dyDescent="0.2">
      <c r="A11845" s="6" t="str">
        <f>"USP47"</f>
        <v>USP47</v>
      </c>
      <c r="B11845" s="6">
        <v>0.36163836163836099</v>
      </c>
      <c r="C11845" s="6">
        <v>0.53671918898117399</v>
      </c>
    </row>
    <row r="11846" spans="1:3" s="8" customFormat="1" x14ac:dyDescent="0.2">
      <c r="A11846" s="6" t="str">
        <f>"HDAC1"</f>
        <v>HDAC1</v>
      </c>
      <c r="B11846" s="6">
        <v>0.36163836163836099</v>
      </c>
      <c r="C11846" s="6">
        <v>0.53671918898117399</v>
      </c>
    </row>
    <row r="11847" spans="1:3" s="8" customFormat="1" x14ac:dyDescent="0.2">
      <c r="A11847" s="6" t="str">
        <f>"PPP6R3"</f>
        <v>PPP6R3</v>
      </c>
      <c r="B11847" s="6">
        <v>0.36163836163836099</v>
      </c>
      <c r="C11847" s="6">
        <v>0.53671918898117399</v>
      </c>
    </row>
    <row r="11848" spans="1:3" s="8" customFormat="1" x14ac:dyDescent="0.2">
      <c r="A11848" s="6" t="str">
        <f>"ST6GAL1"</f>
        <v>ST6GAL1</v>
      </c>
      <c r="B11848" s="6">
        <v>0.36163836163836099</v>
      </c>
      <c r="C11848" s="6">
        <v>0.53671918898117399</v>
      </c>
    </row>
    <row r="11849" spans="1:3" s="8" customFormat="1" x14ac:dyDescent="0.2">
      <c r="A11849" s="6" t="str">
        <f>"TRIM56"</f>
        <v>TRIM56</v>
      </c>
      <c r="B11849" s="6">
        <v>0.36163836163836099</v>
      </c>
      <c r="C11849" s="6">
        <v>0.53671918898117399</v>
      </c>
    </row>
    <row r="11850" spans="1:3" s="8" customFormat="1" x14ac:dyDescent="0.2">
      <c r="A11850" s="6" t="str">
        <f>"AC091564.2"</f>
        <v>AC091564.2</v>
      </c>
      <c r="B11850" s="6">
        <v>0.36199999999999999</v>
      </c>
      <c r="C11850" s="6">
        <v>0.53721056629251396</v>
      </c>
    </row>
    <row r="11851" spans="1:3" s="8" customFormat="1" x14ac:dyDescent="0.2">
      <c r="A11851" s="6" t="str">
        <f>"LINC02749"</f>
        <v>LINC02749</v>
      </c>
      <c r="B11851" s="6">
        <v>0.36263736263736202</v>
      </c>
      <c r="C11851" s="6">
        <v>0.53774796631939403</v>
      </c>
    </row>
    <row r="11852" spans="1:3" s="8" customFormat="1" x14ac:dyDescent="0.2">
      <c r="A11852" s="6" t="str">
        <f>"ANO4"</f>
        <v>ANO4</v>
      </c>
      <c r="B11852" s="6">
        <v>0.36263736263736202</v>
      </c>
      <c r="C11852" s="6">
        <v>0.53774796631939403</v>
      </c>
    </row>
    <row r="11853" spans="1:3" s="8" customFormat="1" x14ac:dyDescent="0.2">
      <c r="A11853" s="6" t="str">
        <f>"NAP1L2"</f>
        <v>NAP1L2</v>
      </c>
      <c r="B11853" s="6">
        <v>0.36263736263736202</v>
      </c>
      <c r="C11853" s="6">
        <v>0.53774796631939403</v>
      </c>
    </row>
    <row r="11854" spans="1:3" s="8" customFormat="1" x14ac:dyDescent="0.2">
      <c r="A11854" s="6" t="str">
        <f>"LINC00472"</f>
        <v>LINC00472</v>
      </c>
      <c r="B11854" s="6">
        <v>0.36263736263736202</v>
      </c>
      <c r="C11854" s="6">
        <v>0.53774796631939403</v>
      </c>
    </row>
    <row r="11855" spans="1:3" s="8" customFormat="1" x14ac:dyDescent="0.2">
      <c r="A11855" s="6" t="str">
        <f>"PDGFA"</f>
        <v>PDGFA</v>
      </c>
      <c r="B11855" s="6">
        <v>0.36263736263736202</v>
      </c>
      <c r="C11855" s="6">
        <v>0.53774796631939403</v>
      </c>
    </row>
    <row r="11856" spans="1:3" s="8" customFormat="1" x14ac:dyDescent="0.2">
      <c r="A11856" s="6" t="str">
        <f>"NSMCE2"</f>
        <v>NSMCE2</v>
      </c>
      <c r="B11856" s="6">
        <v>0.36263736263736202</v>
      </c>
      <c r="C11856" s="6">
        <v>0.53774796631939403</v>
      </c>
    </row>
    <row r="11857" spans="1:3" s="8" customFormat="1" x14ac:dyDescent="0.2">
      <c r="A11857" s="6" t="str">
        <f>"TPRA1"</f>
        <v>TPRA1</v>
      </c>
      <c r="B11857" s="6">
        <v>0.36263736263736202</v>
      </c>
      <c r="C11857" s="6">
        <v>0.53774796631939403</v>
      </c>
    </row>
    <row r="11858" spans="1:3" s="8" customFormat="1" x14ac:dyDescent="0.2">
      <c r="A11858" s="6" t="str">
        <f>"LAMA3"</f>
        <v>LAMA3</v>
      </c>
      <c r="B11858" s="6">
        <v>0.36263736263736202</v>
      </c>
      <c r="C11858" s="6">
        <v>0.53774796631939403</v>
      </c>
    </row>
    <row r="11859" spans="1:3" s="8" customFormat="1" x14ac:dyDescent="0.2">
      <c r="A11859" s="6" t="str">
        <f>"HIF1AN"</f>
        <v>HIF1AN</v>
      </c>
      <c r="B11859" s="6">
        <v>0.36263736263736202</v>
      </c>
      <c r="C11859" s="6">
        <v>0.53774796631939403</v>
      </c>
    </row>
    <row r="11860" spans="1:3" s="8" customFormat="1" x14ac:dyDescent="0.2">
      <c r="A11860" s="6" t="str">
        <f>"BCORP1"</f>
        <v>BCORP1</v>
      </c>
      <c r="B11860" s="6">
        <v>0.36329588014981201</v>
      </c>
      <c r="C11860" s="6">
        <v>0.53867904178719095</v>
      </c>
    </row>
    <row r="11861" spans="1:3" s="8" customFormat="1" x14ac:dyDescent="0.2">
      <c r="A11861" s="6" t="str">
        <f>"TRAV4"</f>
        <v>TRAV4</v>
      </c>
      <c r="B11861" s="6">
        <v>0.36363636363636298</v>
      </c>
      <c r="C11861" s="6">
        <v>0.53882041107119005</v>
      </c>
    </row>
    <row r="11862" spans="1:3" s="8" customFormat="1" x14ac:dyDescent="0.2">
      <c r="A11862" s="6" t="str">
        <f>"HSPB7"</f>
        <v>HSPB7</v>
      </c>
      <c r="B11862" s="6">
        <v>0.36363636363636298</v>
      </c>
      <c r="C11862" s="6">
        <v>0.53882041107119005</v>
      </c>
    </row>
    <row r="11863" spans="1:3" s="8" customFormat="1" x14ac:dyDescent="0.2">
      <c r="A11863" s="6" t="str">
        <f>"AC027807.1"</f>
        <v>AC027807.1</v>
      </c>
      <c r="B11863" s="6">
        <v>0.36363636363636298</v>
      </c>
      <c r="C11863" s="6">
        <v>0.53882041107119005</v>
      </c>
    </row>
    <row r="11864" spans="1:3" s="8" customFormat="1" x14ac:dyDescent="0.2">
      <c r="A11864" s="6" t="str">
        <f>"NRTN"</f>
        <v>NRTN</v>
      </c>
      <c r="B11864" s="6">
        <v>0.36363636363636298</v>
      </c>
      <c r="C11864" s="6">
        <v>0.53882041107119005</v>
      </c>
    </row>
    <row r="11865" spans="1:3" s="8" customFormat="1" x14ac:dyDescent="0.2">
      <c r="A11865" s="6" t="str">
        <f>"AL022238.3"</f>
        <v>AL022238.3</v>
      </c>
      <c r="B11865" s="6">
        <v>0.36363636363636298</v>
      </c>
      <c r="C11865" s="6">
        <v>0.53882041107119005</v>
      </c>
    </row>
    <row r="11866" spans="1:3" s="8" customFormat="1" x14ac:dyDescent="0.2">
      <c r="A11866" s="6" t="str">
        <f>"ZNF425"</f>
        <v>ZNF425</v>
      </c>
      <c r="B11866" s="6">
        <v>0.36363636363636298</v>
      </c>
      <c r="C11866" s="6">
        <v>0.53882041107119005</v>
      </c>
    </row>
    <row r="11867" spans="1:3" s="8" customFormat="1" x14ac:dyDescent="0.2">
      <c r="A11867" s="6" t="str">
        <f>"CITED4"</f>
        <v>CITED4</v>
      </c>
      <c r="B11867" s="6">
        <v>0.36363636363636298</v>
      </c>
      <c r="C11867" s="6">
        <v>0.53882041107119005</v>
      </c>
    </row>
    <row r="11868" spans="1:3" s="8" customFormat="1" x14ac:dyDescent="0.2">
      <c r="A11868" s="6" t="str">
        <f>"FAM32A"</f>
        <v>FAM32A</v>
      </c>
      <c r="B11868" s="6">
        <v>0.36363636363636298</v>
      </c>
      <c r="C11868" s="6">
        <v>0.53882041107119005</v>
      </c>
    </row>
    <row r="11869" spans="1:3" s="8" customFormat="1" x14ac:dyDescent="0.2">
      <c r="A11869" s="6" t="str">
        <f>"CSPP1"</f>
        <v>CSPP1</v>
      </c>
      <c r="B11869" s="6">
        <v>0.36399999999999999</v>
      </c>
      <c r="C11869" s="6">
        <v>0.53931378496798099</v>
      </c>
    </row>
    <row r="11870" spans="1:3" s="8" customFormat="1" x14ac:dyDescent="0.2">
      <c r="A11870" s="6" t="str">
        <f>"TUBB4A"</f>
        <v>TUBB4A</v>
      </c>
      <c r="B11870" s="6">
        <v>0.364635364635364</v>
      </c>
      <c r="C11870" s="6">
        <v>0.539982167066553</v>
      </c>
    </row>
    <row r="11871" spans="1:3" s="8" customFormat="1" x14ac:dyDescent="0.2">
      <c r="A11871" s="6" t="str">
        <f>"GSTA9P"</f>
        <v>GSTA9P</v>
      </c>
      <c r="B11871" s="6">
        <v>0.364635364635364</v>
      </c>
      <c r="C11871" s="6">
        <v>0.539982167066553</v>
      </c>
    </row>
    <row r="11872" spans="1:3" s="8" customFormat="1" x14ac:dyDescent="0.2">
      <c r="A11872" s="6" t="str">
        <f>"ZNF461"</f>
        <v>ZNF461</v>
      </c>
      <c r="B11872" s="6">
        <v>0.364635364635364</v>
      </c>
      <c r="C11872" s="6">
        <v>0.539982167066553</v>
      </c>
    </row>
    <row r="11873" spans="1:3" s="8" customFormat="1" x14ac:dyDescent="0.2">
      <c r="A11873" s="6" t="str">
        <f>"GSAP"</f>
        <v>GSAP</v>
      </c>
      <c r="B11873" s="6">
        <v>0.364635364635364</v>
      </c>
      <c r="C11873" s="6">
        <v>0.539982167066553</v>
      </c>
    </row>
    <row r="11874" spans="1:3" s="8" customFormat="1" x14ac:dyDescent="0.2">
      <c r="A11874" s="6" t="str">
        <f>"KPNA3"</f>
        <v>KPNA3</v>
      </c>
      <c r="B11874" s="6">
        <v>0.364635364635364</v>
      </c>
      <c r="C11874" s="6">
        <v>0.539982167066553</v>
      </c>
    </row>
    <row r="11875" spans="1:3" s="8" customFormat="1" x14ac:dyDescent="0.2">
      <c r="A11875" s="6" t="str">
        <f>"CDC42EP4"</f>
        <v>CDC42EP4</v>
      </c>
      <c r="B11875" s="6">
        <v>0.364635364635364</v>
      </c>
      <c r="C11875" s="6">
        <v>0.539982167066553</v>
      </c>
    </row>
    <row r="11876" spans="1:3" s="8" customFormat="1" x14ac:dyDescent="0.2">
      <c r="A11876" s="6" t="str">
        <f>"AC120042.1"</f>
        <v>AC120042.1</v>
      </c>
      <c r="B11876" s="6">
        <v>0.36491935483870902</v>
      </c>
      <c r="C11876" s="6">
        <v>0.54035721561969396</v>
      </c>
    </row>
    <row r="11877" spans="1:3" s="8" customFormat="1" x14ac:dyDescent="0.2">
      <c r="A11877" s="6" t="str">
        <f>"AC016134.1"</f>
        <v>AC016134.1</v>
      </c>
      <c r="B11877" s="6">
        <v>0.36563436563436502</v>
      </c>
      <c r="C11877" s="6">
        <v>0.54059654295086801</v>
      </c>
    </row>
    <row r="11878" spans="1:3" s="8" customFormat="1" x14ac:dyDescent="0.2">
      <c r="A11878" s="6" t="str">
        <f>"SLC3A1"</f>
        <v>SLC3A1</v>
      </c>
      <c r="B11878" s="6">
        <v>0.36563436563436502</v>
      </c>
      <c r="C11878" s="6">
        <v>0.54059654295086801</v>
      </c>
    </row>
    <row r="11879" spans="1:3" s="8" customFormat="1" x14ac:dyDescent="0.2">
      <c r="A11879" s="6" t="str">
        <f>"EFL1P1"</f>
        <v>EFL1P1</v>
      </c>
      <c r="B11879" s="6">
        <v>0.36563436563436502</v>
      </c>
      <c r="C11879" s="6">
        <v>0.54059654295086801</v>
      </c>
    </row>
    <row r="11880" spans="1:3" s="8" customFormat="1" x14ac:dyDescent="0.2">
      <c r="A11880" s="6" t="str">
        <f>"SLCO1A2"</f>
        <v>SLCO1A2</v>
      </c>
      <c r="B11880" s="6">
        <v>0.36563436563436502</v>
      </c>
      <c r="C11880" s="6">
        <v>0.54059654295086801</v>
      </c>
    </row>
    <row r="11881" spans="1:3" s="8" customFormat="1" x14ac:dyDescent="0.2">
      <c r="A11881" s="6" t="str">
        <f>"AL079307.1"</f>
        <v>AL079307.1</v>
      </c>
      <c r="B11881" s="6">
        <v>0.36563436563436502</v>
      </c>
      <c r="C11881" s="6">
        <v>0.54059654295086801</v>
      </c>
    </row>
    <row r="11882" spans="1:3" s="8" customFormat="1" x14ac:dyDescent="0.2">
      <c r="A11882" s="6" t="str">
        <f>"SEPTIN14"</f>
        <v>SEPTIN14</v>
      </c>
      <c r="B11882" s="6">
        <v>0.36563436563436502</v>
      </c>
      <c r="C11882" s="6">
        <v>0.54059654295086801</v>
      </c>
    </row>
    <row r="11883" spans="1:3" s="8" customFormat="1" x14ac:dyDescent="0.2">
      <c r="A11883" s="6" t="str">
        <f>"TEX22"</f>
        <v>TEX22</v>
      </c>
      <c r="B11883" s="6">
        <v>0.36563436563436502</v>
      </c>
      <c r="C11883" s="6">
        <v>0.54059654295086801</v>
      </c>
    </row>
    <row r="11884" spans="1:3" s="8" customFormat="1" x14ac:dyDescent="0.2">
      <c r="A11884" s="6" t="str">
        <f>"CCDC112"</f>
        <v>CCDC112</v>
      </c>
      <c r="B11884" s="6">
        <v>0.36563436563436502</v>
      </c>
      <c r="C11884" s="6">
        <v>0.54059654295086801</v>
      </c>
    </row>
    <row r="11885" spans="1:3" s="8" customFormat="1" x14ac:dyDescent="0.2">
      <c r="A11885" s="6" t="str">
        <f>"WDR83OS"</f>
        <v>WDR83OS</v>
      </c>
      <c r="B11885" s="6">
        <v>0.36563436563436502</v>
      </c>
      <c r="C11885" s="6">
        <v>0.54059654295086801</v>
      </c>
    </row>
    <row r="11886" spans="1:3" s="8" customFormat="1" x14ac:dyDescent="0.2">
      <c r="A11886" s="6" t="str">
        <f>"ALS2"</f>
        <v>ALS2</v>
      </c>
      <c r="B11886" s="6">
        <v>0.36563436563436502</v>
      </c>
      <c r="C11886" s="6">
        <v>0.54059654295086801</v>
      </c>
    </row>
    <row r="11887" spans="1:3" s="8" customFormat="1" x14ac:dyDescent="0.2">
      <c r="A11887" s="6" t="str">
        <f>"EVL"</f>
        <v>EVL</v>
      </c>
      <c r="B11887" s="6">
        <v>0.36563436563436502</v>
      </c>
      <c r="C11887" s="6">
        <v>0.54059654295086801</v>
      </c>
    </row>
    <row r="11888" spans="1:3" s="8" customFormat="1" x14ac:dyDescent="0.2">
      <c r="A11888" s="6" t="str">
        <f>"TMTC2"</f>
        <v>TMTC2</v>
      </c>
      <c r="B11888" s="6">
        <v>0.36563436563436502</v>
      </c>
      <c r="C11888" s="6">
        <v>0.54059654295086801</v>
      </c>
    </row>
    <row r="11889" spans="1:3" s="8" customFormat="1" x14ac:dyDescent="0.2">
      <c r="A11889" s="6" t="str">
        <f>"DCPS"</f>
        <v>DCPS</v>
      </c>
      <c r="B11889" s="6">
        <v>0.36563436563436502</v>
      </c>
      <c r="C11889" s="6">
        <v>0.54059654295086801</v>
      </c>
    </row>
    <row r="11890" spans="1:3" s="8" customFormat="1" x14ac:dyDescent="0.2">
      <c r="A11890" s="6" t="str">
        <f>"TMEM54"</f>
        <v>TMEM54</v>
      </c>
      <c r="B11890" s="6">
        <v>0.36563436563436502</v>
      </c>
      <c r="C11890" s="6">
        <v>0.54059654295086801</v>
      </c>
    </row>
    <row r="11891" spans="1:3" s="8" customFormat="1" x14ac:dyDescent="0.2">
      <c r="A11891" s="6" t="str">
        <f>"OPA1"</f>
        <v>OPA1</v>
      </c>
      <c r="B11891" s="6">
        <v>0.36563436563436502</v>
      </c>
      <c r="C11891" s="6">
        <v>0.54059654295086801</v>
      </c>
    </row>
    <row r="11892" spans="1:3" s="8" customFormat="1" x14ac:dyDescent="0.2">
      <c r="A11892" s="6" t="str">
        <f>"GGNBP2"</f>
        <v>GGNBP2</v>
      </c>
      <c r="B11892" s="6">
        <v>0.36563436563436502</v>
      </c>
      <c r="C11892" s="6">
        <v>0.54059654295086801</v>
      </c>
    </row>
    <row r="11893" spans="1:3" s="8" customFormat="1" x14ac:dyDescent="0.2">
      <c r="A11893" s="6" t="str">
        <f>"MAT2B"</f>
        <v>MAT2B</v>
      </c>
      <c r="B11893" s="6">
        <v>0.36563436563436502</v>
      </c>
      <c r="C11893" s="6">
        <v>0.54059654295086801</v>
      </c>
    </row>
    <row r="11894" spans="1:3" s="8" customFormat="1" x14ac:dyDescent="0.2">
      <c r="A11894" s="6" t="str">
        <f>"DLG5"</f>
        <v>DLG5</v>
      </c>
      <c r="B11894" s="6">
        <v>0.36563436563436502</v>
      </c>
      <c r="C11894" s="6">
        <v>0.54059654295086801</v>
      </c>
    </row>
    <row r="11895" spans="1:3" s="8" customFormat="1" x14ac:dyDescent="0.2">
      <c r="A11895" s="6" t="str">
        <f>"AC133485.7"</f>
        <v>AC133485.7</v>
      </c>
      <c r="B11895" s="6">
        <v>0.36663336663336599</v>
      </c>
      <c r="C11895" s="6">
        <v>0.54143622397590596</v>
      </c>
    </row>
    <row r="11896" spans="1:3" s="8" customFormat="1" x14ac:dyDescent="0.2">
      <c r="A11896" s="6" t="str">
        <f>"PLA2G4E"</f>
        <v>PLA2G4E</v>
      </c>
      <c r="B11896" s="6">
        <v>0.36663336663336599</v>
      </c>
      <c r="C11896" s="6">
        <v>0.54143622397590596</v>
      </c>
    </row>
    <row r="11897" spans="1:3" s="8" customFormat="1" x14ac:dyDescent="0.2">
      <c r="A11897" s="6" t="str">
        <f>"YY2"</f>
        <v>YY2</v>
      </c>
      <c r="B11897" s="6">
        <v>0.36636636636636599</v>
      </c>
      <c r="C11897" s="6">
        <v>0.54143622397590596</v>
      </c>
    </row>
    <row r="11898" spans="1:3" s="8" customFormat="1" x14ac:dyDescent="0.2">
      <c r="A11898" s="6" t="str">
        <f>"ACTA2"</f>
        <v>ACTA2</v>
      </c>
      <c r="B11898" s="6">
        <v>0.36663336663336599</v>
      </c>
      <c r="C11898" s="6">
        <v>0.54143622397590596</v>
      </c>
    </row>
    <row r="11899" spans="1:3" s="8" customFormat="1" x14ac:dyDescent="0.2">
      <c r="A11899" s="6" t="str">
        <f>"TUBD1"</f>
        <v>TUBD1</v>
      </c>
      <c r="B11899" s="6">
        <v>0.36663336663336599</v>
      </c>
      <c r="C11899" s="6">
        <v>0.54143622397590596</v>
      </c>
    </row>
    <row r="11900" spans="1:3" s="8" customFormat="1" x14ac:dyDescent="0.2">
      <c r="A11900" s="6" t="str">
        <f>"TMEM177"</f>
        <v>TMEM177</v>
      </c>
      <c r="B11900" s="6">
        <v>0.36663336663336599</v>
      </c>
      <c r="C11900" s="6">
        <v>0.54143622397590596</v>
      </c>
    </row>
    <row r="11901" spans="1:3" s="8" customFormat="1" x14ac:dyDescent="0.2">
      <c r="A11901" s="6" t="str">
        <f>"UST"</f>
        <v>UST</v>
      </c>
      <c r="B11901" s="6">
        <v>0.36663336663336599</v>
      </c>
      <c r="C11901" s="6">
        <v>0.54143622397590596</v>
      </c>
    </row>
    <row r="11902" spans="1:3" s="8" customFormat="1" x14ac:dyDescent="0.2">
      <c r="A11902" s="6" t="str">
        <f>"TARBP1"</f>
        <v>TARBP1</v>
      </c>
      <c r="B11902" s="6">
        <v>0.36663336663336599</v>
      </c>
      <c r="C11902" s="6">
        <v>0.54143622397590596</v>
      </c>
    </row>
    <row r="11903" spans="1:3" s="8" customFormat="1" x14ac:dyDescent="0.2">
      <c r="A11903" s="6" t="str">
        <f>"SDF2L1"</f>
        <v>SDF2L1</v>
      </c>
      <c r="B11903" s="6">
        <v>0.36663336663336599</v>
      </c>
      <c r="C11903" s="6">
        <v>0.54143622397590596</v>
      </c>
    </row>
    <row r="11904" spans="1:3" s="8" customFormat="1" x14ac:dyDescent="0.2">
      <c r="A11904" s="6" t="str">
        <f>"PTCD3"</f>
        <v>PTCD3</v>
      </c>
      <c r="B11904" s="6">
        <v>0.36663336663336599</v>
      </c>
      <c r="C11904" s="6">
        <v>0.54143622397590596</v>
      </c>
    </row>
    <row r="11905" spans="1:3" s="8" customFormat="1" x14ac:dyDescent="0.2">
      <c r="A11905" s="6" t="str">
        <f>"OGFOD3"</f>
        <v>OGFOD3</v>
      </c>
      <c r="B11905" s="6">
        <v>0.36663336663336599</v>
      </c>
      <c r="C11905" s="6">
        <v>0.54143622397590596</v>
      </c>
    </row>
    <row r="11906" spans="1:3" s="8" customFormat="1" x14ac:dyDescent="0.2">
      <c r="A11906" s="6" t="str">
        <f>"CAND1"</f>
        <v>CAND1</v>
      </c>
      <c r="B11906" s="6">
        <v>0.36663336663336599</v>
      </c>
      <c r="C11906" s="6">
        <v>0.54143622397590596</v>
      </c>
    </row>
    <row r="11907" spans="1:3" s="8" customFormat="1" x14ac:dyDescent="0.2">
      <c r="A11907" s="6" t="str">
        <f>"VPS51"</f>
        <v>VPS51</v>
      </c>
      <c r="B11907" s="6">
        <v>0.36663336663336599</v>
      </c>
      <c r="C11907" s="6">
        <v>0.54143622397590596</v>
      </c>
    </row>
    <row r="11908" spans="1:3" s="8" customFormat="1" x14ac:dyDescent="0.2">
      <c r="A11908" s="6" t="str">
        <f>"LRRC4"</f>
        <v>LRRC4</v>
      </c>
      <c r="B11908" s="6">
        <v>0.36663336663336599</v>
      </c>
      <c r="C11908" s="6">
        <v>0.54143622397590596</v>
      </c>
    </row>
    <row r="11909" spans="1:3" s="8" customFormat="1" x14ac:dyDescent="0.2">
      <c r="A11909" s="6" t="str">
        <f>"AL162456.1"</f>
        <v>AL162456.1</v>
      </c>
      <c r="B11909" s="6">
        <v>0.36711711711711698</v>
      </c>
      <c r="C11909" s="6">
        <v>0.54210508795661605</v>
      </c>
    </row>
    <row r="11910" spans="1:3" s="8" customFormat="1" x14ac:dyDescent="0.2">
      <c r="A11910" s="6" t="str">
        <f>"LINC02539"</f>
        <v>LINC02539</v>
      </c>
      <c r="B11910" s="6">
        <v>0.36763236763236701</v>
      </c>
      <c r="C11910" s="6">
        <v>0.54245594968931299</v>
      </c>
    </row>
    <row r="11911" spans="1:3" s="8" customFormat="1" x14ac:dyDescent="0.2">
      <c r="A11911" s="6" t="str">
        <f>"CLECL1"</f>
        <v>CLECL1</v>
      </c>
      <c r="B11911" s="6">
        <v>0.36763236763236701</v>
      </c>
      <c r="C11911" s="6">
        <v>0.54245594968931299</v>
      </c>
    </row>
    <row r="11912" spans="1:3" s="8" customFormat="1" x14ac:dyDescent="0.2">
      <c r="A11912" s="6" t="str">
        <f>"AL356740.2"</f>
        <v>AL356740.2</v>
      </c>
      <c r="B11912" s="6">
        <v>0.36763236763236701</v>
      </c>
      <c r="C11912" s="6">
        <v>0.54245594968931299</v>
      </c>
    </row>
    <row r="11913" spans="1:3" s="8" customFormat="1" x14ac:dyDescent="0.2">
      <c r="A11913" s="6" t="str">
        <f>"SERHL2"</f>
        <v>SERHL2</v>
      </c>
      <c r="B11913" s="6">
        <v>0.36763236763236701</v>
      </c>
      <c r="C11913" s="6">
        <v>0.54245594968931299</v>
      </c>
    </row>
    <row r="11914" spans="1:3" s="8" customFormat="1" x14ac:dyDescent="0.2">
      <c r="A11914" s="6" t="str">
        <f>"FEZ2"</f>
        <v>FEZ2</v>
      </c>
      <c r="B11914" s="6">
        <v>0.36763236763236701</v>
      </c>
      <c r="C11914" s="6">
        <v>0.54245594968931299</v>
      </c>
    </row>
    <row r="11915" spans="1:3" s="8" customFormat="1" x14ac:dyDescent="0.2">
      <c r="A11915" s="6" t="str">
        <f>"ATP6V0A2"</f>
        <v>ATP6V0A2</v>
      </c>
      <c r="B11915" s="6">
        <v>0.36763236763236701</v>
      </c>
      <c r="C11915" s="6">
        <v>0.54245594968931299</v>
      </c>
    </row>
    <row r="11916" spans="1:3" s="8" customFormat="1" x14ac:dyDescent="0.2">
      <c r="A11916" s="6" t="str">
        <f>"BMP3"</f>
        <v>BMP3</v>
      </c>
      <c r="B11916" s="6">
        <v>0.36763236763236701</v>
      </c>
      <c r="C11916" s="6">
        <v>0.54245594968931299</v>
      </c>
    </row>
    <row r="11917" spans="1:3" s="8" customFormat="1" x14ac:dyDescent="0.2">
      <c r="A11917" s="6" t="str">
        <f>"CLOCK"</f>
        <v>CLOCK</v>
      </c>
      <c r="B11917" s="6">
        <v>0.36763236763236701</v>
      </c>
      <c r="C11917" s="6">
        <v>0.54245594968931299</v>
      </c>
    </row>
    <row r="11918" spans="1:3" s="8" customFormat="1" x14ac:dyDescent="0.2">
      <c r="A11918" s="6" t="str">
        <f>"RUVBL1"</f>
        <v>RUVBL1</v>
      </c>
      <c r="B11918" s="6">
        <v>0.36763236763236701</v>
      </c>
      <c r="C11918" s="6">
        <v>0.54245594968931299</v>
      </c>
    </row>
    <row r="11919" spans="1:3" s="8" customFormat="1" x14ac:dyDescent="0.2">
      <c r="A11919" s="6" t="str">
        <f>"AC126544.2"</f>
        <v>AC126544.2</v>
      </c>
      <c r="B11919" s="6">
        <v>0.36817102137767199</v>
      </c>
      <c r="C11919" s="6">
        <v>0.54310967624750595</v>
      </c>
    </row>
    <row r="11920" spans="1:3" s="8" customFormat="1" x14ac:dyDescent="0.2">
      <c r="A11920" s="6" t="str">
        <f>"AC096656.1"</f>
        <v>AC096656.1</v>
      </c>
      <c r="B11920" s="6">
        <v>0.36853002070393298</v>
      </c>
      <c r="C11920" s="6">
        <v>0.54310967624750595</v>
      </c>
    </row>
    <row r="11921" spans="1:3" s="8" customFormat="1" x14ac:dyDescent="0.2">
      <c r="A11921" s="6" t="str">
        <f>"PSD2"</f>
        <v>PSD2</v>
      </c>
      <c r="B11921" s="6">
        <v>0.36863136863136797</v>
      </c>
      <c r="C11921" s="6">
        <v>0.54310967624750595</v>
      </c>
    </row>
    <row r="11922" spans="1:3" s="8" customFormat="1" x14ac:dyDescent="0.2">
      <c r="A11922" s="6" t="str">
        <f>"AL356124.1"</f>
        <v>AL356124.1</v>
      </c>
      <c r="B11922" s="6">
        <v>0.36863136863136797</v>
      </c>
      <c r="C11922" s="6">
        <v>0.54310967624750595</v>
      </c>
    </row>
    <row r="11923" spans="1:3" s="8" customFormat="1" x14ac:dyDescent="0.2">
      <c r="A11923" s="6" t="str">
        <f>"AC011825.4"</f>
        <v>AC011825.4</v>
      </c>
      <c r="B11923" s="6">
        <v>0.36815415821501002</v>
      </c>
      <c r="C11923" s="6">
        <v>0.54310967624750595</v>
      </c>
    </row>
    <row r="11924" spans="1:3" s="8" customFormat="1" x14ac:dyDescent="0.2">
      <c r="A11924" s="6" t="str">
        <f>"AC125611.3"</f>
        <v>AC125611.3</v>
      </c>
      <c r="B11924" s="6">
        <v>0.36863136863136797</v>
      </c>
      <c r="C11924" s="6">
        <v>0.54310967624750595</v>
      </c>
    </row>
    <row r="11925" spans="1:3" s="8" customFormat="1" x14ac:dyDescent="0.2">
      <c r="A11925" s="6" t="str">
        <f>"COL4A4"</f>
        <v>COL4A4</v>
      </c>
      <c r="B11925" s="6">
        <v>0.36863136863136797</v>
      </c>
      <c r="C11925" s="6">
        <v>0.54310967624750595</v>
      </c>
    </row>
    <row r="11926" spans="1:3" s="8" customFormat="1" x14ac:dyDescent="0.2">
      <c r="A11926" s="6" t="str">
        <f>"ARHGAP40"</f>
        <v>ARHGAP40</v>
      </c>
      <c r="B11926" s="6">
        <v>0.36863136863136797</v>
      </c>
      <c r="C11926" s="6">
        <v>0.54310967624750595</v>
      </c>
    </row>
    <row r="11927" spans="1:3" s="8" customFormat="1" x14ac:dyDescent="0.2">
      <c r="A11927" s="6" t="str">
        <f>"POLR3G"</f>
        <v>POLR3G</v>
      </c>
      <c r="B11927" s="6">
        <v>0.36863136863136797</v>
      </c>
      <c r="C11927" s="6">
        <v>0.54310967624750595</v>
      </c>
    </row>
    <row r="11928" spans="1:3" s="8" customFormat="1" x14ac:dyDescent="0.2">
      <c r="A11928" s="6" t="str">
        <f>"MRC1"</f>
        <v>MRC1</v>
      </c>
      <c r="B11928" s="6">
        <v>0.36863136863136797</v>
      </c>
      <c r="C11928" s="6">
        <v>0.54310967624750595</v>
      </c>
    </row>
    <row r="11929" spans="1:3" s="8" customFormat="1" x14ac:dyDescent="0.2">
      <c r="A11929" s="6" t="str">
        <f>"AL355916.1"</f>
        <v>AL355916.1</v>
      </c>
      <c r="B11929" s="6">
        <v>0.36863136863136797</v>
      </c>
      <c r="C11929" s="6">
        <v>0.54310967624750595</v>
      </c>
    </row>
    <row r="11930" spans="1:3" s="8" customFormat="1" x14ac:dyDescent="0.2">
      <c r="A11930" s="6" t="str">
        <f>"TAF4B"</f>
        <v>TAF4B</v>
      </c>
      <c r="B11930" s="6">
        <v>0.36863136863136797</v>
      </c>
      <c r="C11930" s="6">
        <v>0.54310967624750595</v>
      </c>
    </row>
    <row r="11931" spans="1:3" s="8" customFormat="1" x14ac:dyDescent="0.2">
      <c r="A11931" s="6" t="str">
        <f>"RAPGEF6"</f>
        <v>RAPGEF6</v>
      </c>
      <c r="B11931" s="6">
        <v>0.36863136863136797</v>
      </c>
      <c r="C11931" s="6">
        <v>0.54310967624750595</v>
      </c>
    </row>
    <row r="11932" spans="1:3" s="8" customFormat="1" x14ac:dyDescent="0.2">
      <c r="A11932" s="6" t="str">
        <f>"TMEM168"</f>
        <v>TMEM168</v>
      </c>
      <c r="B11932" s="6">
        <v>0.36863136863136797</v>
      </c>
      <c r="C11932" s="6">
        <v>0.54310967624750595</v>
      </c>
    </row>
    <row r="11933" spans="1:3" s="8" customFormat="1" x14ac:dyDescent="0.2">
      <c r="A11933" s="6" t="str">
        <f>"ZNF544"</f>
        <v>ZNF544</v>
      </c>
      <c r="B11933" s="6">
        <v>0.36863136863136797</v>
      </c>
      <c r="C11933" s="6">
        <v>0.54310967624750595</v>
      </c>
    </row>
    <row r="11934" spans="1:3" s="8" customFormat="1" x14ac:dyDescent="0.2">
      <c r="A11934" s="6" t="str">
        <f>"NAGK"</f>
        <v>NAGK</v>
      </c>
      <c r="B11934" s="6">
        <v>0.36863136863136797</v>
      </c>
      <c r="C11934" s="6">
        <v>0.54310967624750595</v>
      </c>
    </row>
    <row r="11935" spans="1:3" s="8" customFormat="1" x14ac:dyDescent="0.2">
      <c r="A11935" s="6" t="str">
        <f>"GTF2IP1"</f>
        <v>GTF2IP1</v>
      </c>
      <c r="B11935" s="6">
        <v>0.36863136863136797</v>
      </c>
      <c r="C11935" s="6">
        <v>0.54310967624750595</v>
      </c>
    </row>
    <row r="11936" spans="1:3" s="8" customFormat="1" x14ac:dyDescent="0.2">
      <c r="A11936" s="6" t="str">
        <f>"VPS35"</f>
        <v>VPS35</v>
      </c>
      <c r="B11936" s="6">
        <v>0.36863136863136797</v>
      </c>
      <c r="C11936" s="6">
        <v>0.54310967624750595</v>
      </c>
    </row>
    <row r="11937" spans="1:3" s="8" customFormat="1" x14ac:dyDescent="0.2">
      <c r="A11937" s="6" t="str">
        <f>"RFPL3S"</f>
        <v>RFPL3S</v>
      </c>
      <c r="B11937" s="6">
        <v>0.36963036963036899</v>
      </c>
      <c r="C11937" s="6">
        <v>0.54376143391453302</v>
      </c>
    </row>
    <row r="11938" spans="1:3" s="8" customFormat="1" x14ac:dyDescent="0.2">
      <c r="A11938" s="6" t="str">
        <f>"IL9R"</f>
        <v>IL9R</v>
      </c>
      <c r="B11938" s="6">
        <v>0.36963036963036899</v>
      </c>
      <c r="C11938" s="6">
        <v>0.54376143391453302</v>
      </c>
    </row>
    <row r="11939" spans="1:3" s="8" customFormat="1" x14ac:dyDescent="0.2">
      <c r="A11939" s="6" t="str">
        <f>"WIF1"</f>
        <v>WIF1</v>
      </c>
      <c r="B11939" s="6">
        <v>0.36963036963036899</v>
      </c>
      <c r="C11939" s="6">
        <v>0.54376143391453302</v>
      </c>
    </row>
    <row r="11940" spans="1:3" s="8" customFormat="1" x14ac:dyDescent="0.2">
      <c r="A11940" s="6" t="str">
        <f>"AC092142.1"</f>
        <v>AC092142.1</v>
      </c>
      <c r="B11940" s="6">
        <v>0.36963036963036899</v>
      </c>
      <c r="C11940" s="6">
        <v>0.54376143391453302</v>
      </c>
    </row>
    <row r="11941" spans="1:3" s="8" customFormat="1" x14ac:dyDescent="0.2">
      <c r="A11941" s="6" t="str">
        <f>"AC105052.3"</f>
        <v>AC105052.3</v>
      </c>
      <c r="B11941" s="6">
        <v>0.36963036963036899</v>
      </c>
      <c r="C11941" s="6">
        <v>0.54376143391453302</v>
      </c>
    </row>
    <row r="11942" spans="1:3" s="8" customFormat="1" x14ac:dyDescent="0.2">
      <c r="A11942" s="6" t="str">
        <f>"GSDME"</f>
        <v>GSDME</v>
      </c>
      <c r="B11942" s="6">
        <v>0.36963036963036899</v>
      </c>
      <c r="C11942" s="6">
        <v>0.54376143391453302</v>
      </c>
    </row>
    <row r="11943" spans="1:3" s="8" customFormat="1" x14ac:dyDescent="0.2">
      <c r="A11943" s="6" t="str">
        <f>"METTL6"</f>
        <v>METTL6</v>
      </c>
      <c r="B11943" s="6">
        <v>0.36963036963036899</v>
      </c>
      <c r="C11943" s="6">
        <v>0.54376143391453302</v>
      </c>
    </row>
    <row r="11944" spans="1:3" s="8" customFormat="1" x14ac:dyDescent="0.2">
      <c r="A11944" s="6" t="str">
        <f>"PALB2"</f>
        <v>PALB2</v>
      </c>
      <c r="B11944" s="6">
        <v>0.36963036963036899</v>
      </c>
      <c r="C11944" s="6">
        <v>0.54376143391453302</v>
      </c>
    </row>
    <row r="11945" spans="1:3" s="8" customFormat="1" x14ac:dyDescent="0.2">
      <c r="A11945" s="6" t="str">
        <f>"RRAGC"</f>
        <v>RRAGC</v>
      </c>
      <c r="B11945" s="6">
        <v>0.36963036963036899</v>
      </c>
      <c r="C11945" s="6">
        <v>0.54376143391453302</v>
      </c>
    </row>
    <row r="11946" spans="1:3" s="8" customFormat="1" x14ac:dyDescent="0.2">
      <c r="A11946" s="6" t="str">
        <f>"ZDHHC24"</f>
        <v>ZDHHC24</v>
      </c>
      <c r="B11946" s="6">
        <v>0.36963036963036899</v>
      </c>
      <c r="C11946" s="6">
        <v>0.54376143391453302</v>
      </c>
    </row>
    <row r="11947" spans="1:3" s="8" customFormat="1" x14ac:dyDescent="0.2">
      <c r="A11947" s="6" t="str">
        <f>"PGAM5"</f>
        <v>PGAM5</v>
      </c>
      <c r="B11947" s="6">
        <v>0.36963036963036899</v>
      </c>
      <c r="C11947" s="6">
        <v>0.54376143391453302</v>
      </c>
    </row>
    <row r="11948" spans="1:3" s="8" customFormat="1" x14ac:dyDescent="0.2">
      <c r="A11948" s="6" t="str">
        <f>"COPG2"</f>
        <v>COPG2</v>
      </c>
      <c r="B11948" s="6">
        <v>0.36963036963036899</v>
      </c>
      <c r="C11948" s="6">
        <v>0.54376143391453302</v>
      </c>
    </row>
    <row r="11949" spans="1:3" s="8" customFormat="1" x14ac:dyDescent="0.2">
      <c r="A11949" s="6" t="str">
        <f>"TRMT1L"</f>
        <v>TRMT1L</v>
      </c>
      <c r="B11949" s="6">
        <v>0.36963036963036899</v>
      </c>
      <c r="C11949" s="6">
        <v>0.54376143391453302</v>
      </c>
    </row>
    <row r="11950" spans="1:3" s="8" customFormat="1" x14ac:dyDescent="0.2">
      <c r="A11950" s="6" t="str">
        <f>"TCF3"</f>
        <v>TCF3</v>
      </c>
      <c r="B11950" s="6">
        <v>0.36963036963036899</v>
      </c>
      <c r="C11950" s="6">
        <v>0.54376143391453302</v>
      </c>
    </row>
    <row r="11951" spans="1:3" s="8" customFormat="1" x14ac:dyDescent="0.2">
      <c r="A11951" s="6" t="str">
        <f>"NFATC3"</f>
        <v>NFATC3</v>
      </c>
      <c r="B11951" s="6">
        <v>0.36963036963036899</v>
      </c>
      <c r="C11951" s="6">
        <v>0.54376143391453302</v>
      </c>
    </row>
    <row r="11952" spans="1:3" s="8" customFormat="1" x14ac:dyDescent="0.2">
      <c r="A11952" s="6" t="str">
        <f>"CD164L2"</f>
        <v>CD164L2</v>
      </c>
      <c r="B11952" s="6">
        <v>0.36963036963036899</v>
      </c>
      <c r="C11952" s="6">
        <v>0.54376143391453302</v>
      </c>
    </row>
    <row r="11953" spans="1:3" s="8" customFormat="1" x14ac:dyDescent="0.2">
      <c r="A11953" s="6" t="str">
        <f>"DHCR24"</f>
        <v>DHCR24</v>
      </c>
      <c r="B11953" s="6">
        <v>0.36963036963036899</v>
      </c>
      <c r="C11953" s="6">
        <v>0.54376143391453302</v>
      </c>
    </row>
    <row r="11954" spans="1:3" s="8" customFormat="1" x14ac:dyDescent="0.2">
      <c r="A11954" s="6" t="str">
        <f>"TUBB4B"</f>
        <v>TUBB4B</v>
      </c>
      <c r="B11954" s="6">
        <v>0.36963036963036899</v>
      </c>
      <c r="C11954" s="6">
        <v>0.54376143391453302</v>
      </c>
    </row>
    <row r="11955" spans="1:3" s="8" customFormat="1" x14ac:dyDescent="0.2">
      <c r="A11955" s="6" t="str">
        <f>"SPINK9"</f>
        <v>SPINK9</v>
      </c>
      <c r="B11955" s="6">
        <v>0.37</v>
      </c>
      <c r="C11955" s="6">
        <v>0.54421413634462501</v>
      </c>
    </row>
    <row r="11956" spans="1:3" s="8" customFormat="1" x14ac:dyDescent="0.2">
      <c r="A11956" s="6" t="str">
        <f>"ABCC13"</f>
        <v>ABCC13</v>
      </c>
      <c r="B11956" s="6">
        <v>0.37</v>
      </c>
      <c r="C11956" s="6">
        <v>0.54421413634462501</v>
      </c>
    </row>
    <row r="11957" spans="1:3" s="8" customFormat="1" x14ac:dyDescent="0.2">
      <c r="A11957" s="6" t="str">
        <f>"AC005839.1"</f>
        <v>AC005839.1</v>
      </c>
      <c r="B11957" s="6">
        <v>0.37062937062937001</v>
      </c>
      <c r="C11957" s="6">
        <v>0.54422938230871398</v>
      </c>
    </row>
    <row r="11958" spans="1:3" s="8" customFormat="1" x14ac:dyDescent="0.2">
      <c r="A11958" s="6" t="str">
        <f>"AC017116.1"</f>
        <v>AC017116.1</v>
      </c>
      <c r="B11958" s="6">
        <v>0.37062937062937001</v>
      </c>
      <c r="C11958" s="6">
        <v>0.54422938230871398</v>
      </c>
    </row>
    <row r="11959" spans="1:3" s="8" customFormat="1" x14ac:dyDescent="0.2">
      <c r="A11959" s="6" t="str">
        <f>"AL355574.1"</f>
        <v>AL355574.1</v>
      </c>
      <c r="B11959" s="6">
        <v>0.37062937062937001</v>
      </c>
      <c r="C11959" s="6">
        <v>0.54422938230871398</v>
      </c>
    </row>
    <row r="11960" spans="1:3" s="8" customFormat="1" x14ac:dyDescent="0.2">
      <c r="A11960" s="6" t="str">
        <f>"AC008870.3"</f>
        <v>AC008870.3</v>
      </c>
      <c r="B11960" s="6">
        <v>0.37062937062937001</v>
      </c>
      <c r="C11960" s="6">
        <v>0.54422938230871398</v>
      </c>
    </row>
    <row r="11961" spans="1:3" s="8" customFormat="1" x14ac:dyDescent="0.2">
      <c r="A11961" s="6" t="str">
        <f>"LINC01515"</f>
        <v>LINC01515</v>
      </c>
      <c r="B11961" s="6">
        <v>0.37062937062937001</v>
      </c>
      <c r="C11961" s="6">
        <v>0.54422938230871398</v>
      </c>
    </row>
    <row r="11962" spans="1:3" s="8" customFormat="1" x14ac:dyDescent="0.2">
      <c r="A11962" s="6" t="str">
        <f>"C13orf46"</f>
        <v>C13orf46</v>
      </c>
      <c r="B11962" s="6">
        <v>0.37062937062937001</v>
      </c>
      <c r="C11962" s="6">
        <v>0.54422938230871398</v>
      </c>
    </row>
    <row r="11963" spans="1:3" s="8" customFormat="1" x14ac:dyDescent="0.2">
      <c r="A11963" s="6" t="str">
        <f>"IL3RA"</f>
        <v>IL3RA</v>
      </c>
      <c r="B11963" s="6">
        <v>0.37062937062937001</v>
      </c>
      <c r="C11963" s="6">
        <v>0.54422938230871398</v>
      </c>
    </row>
    <row r="11964" spans="1:3" s="8" customFormat="1" x14ac:dyDescent="0.2">
      <c r="A11964" s="6" t="str">
        <f>"ZNF93"</f>
        <v>ZNF93</v>
      </c>
      <c r="B11964" s="6">
        <v>0.37062937062937001</v>
      </c>
      <c r="C11964" s="6">
        <v>0.54422938230871398</v>
      </c>
    </row>
    <row r="11965" spans="1:3" s="8" customFormat="1" x14ac:dyDescent="0.2">
      <c r="A11965" s="6" t="str">
        <f>"COL4A2"</f>
        <v>COL4A2</v>
      </c>
      <c r="B11965" s="6">
        <v>0.37062937062937001</v>
      </c>
      <c r="C11965" s="6">
        <v>0.54422938230871398</v>
      </c>
    </row>
    <row r="11966" spans="1:3" s="8" customFormat="1" x14ac:dyDescent="0.2">
      <c r="A11966" s="6" t="str">
        <f>"PC"</f>
        <v>PC</v>
      </c>
      <c r="B11966" s="6">
        <v>0.37062937062937001</v>
      </c>
      <c r="C11966" s="6">
        <v>0.54422938230871398</v>
      </c>
    </row>
    <row r="11967" spans="1:3" s="8" customFormat="1" x14ac:dyDescent="0.2">
      <c r="A11967" s="6" t="str">
        <f>"ZDHHC23"</f>
        <v>ZDHHC23</v>
      </c>
      <c r="B11967" s="6">
        <v>0.37062937062937001</v>
      </c>
      <c r="C11967" s="6">
        <v>0.54422938230871398</v>
      </c>
    </row>
    <row r="11968" spans="1:3" s="8" customFormat="1" x14ac:dyDescent="0.2">
      <c r="A11968" s="6" t="str">
        <f>"HOOK3"</f>
        <v>HOOK3</v>
      </c>
      <c r="B11968" s="6">
        <v>0.37062937062937001</v>
      </c>
      <c r="C11968" s="6">
        <v>0.54422938230871398</v>
      </c>
    </row>
    <row r="11969" spans="1:3" s="8" customFormat="1" x14ac:dyDescent="0.2">
      <c r="A11969" s="6" t="str">
        <f>"KCTD2"</f>
        <v>KCTD2</v>
      </c>
      <c r="B11969" s="6">
        <v>0.37062937062937001</v>
      </c>
      <c r="C11969" s="6">
        <v>0.54422938230871398</v>
      </c>
    </row>
    <row r="11970" spans="1:3" s="8" customFormat="1" x14ac:dyDescent="0.2">
      <c r="A11970" s="6" t="str">
        <f>"SDR16C5"</f>
        <v>SDR16C5</v>
      </c>
      <c r="B11970" s="6">
        <v>0.37062937062937001</v>
      </c>
      <c r="C11970" s="6">
        <v>0.54422938230871398</v>
      </c>
    </row>
    <row r="11971" spans="1:3" s="8" customFormat="1" x14ac:dyDescent="0.2">
      <c r="A11971" s="6" t="str">
        <f>"CCHCR1"</f>
        <v>CCHCR1</v>
      </c>
      <c r="B11971" s="6">
        <v>0.37062937062937001</v>
      </c>
      <c r="C11971" s="6">
        <v>0.54422938230871398</v>
      </c>
    </row>
    <row r="11972" spans="1:3" s="8" customFormat="1" x14ac:dyDescent="0.2">
      <c r="A11972" s="6" t="str">
        <f>"PALMD"</f>
        <v>PALMD</v>
      </c>
      <c r="B11972" s="6">
        <v>0.37062937062937001</v>
      </c>
      <c r="C11972" s="6">
        <v>0.54422938230871398</v>
      </c>
    </row>
    <row r="11973" spans="1:3" s="8" customFormat="1" x14ac:dyDescent="0.2">
      <c r="A11973" s="6" t="str">
        <f>"PHAX"</f>
        <v>PHAX</v>
      </c>
      <c r="B11973" s="6">
        <v>0.37062937062937001</v>
      </c>
      <c r="C11973" s="6">
        <v>0.54422938230871398</v>
      </c>
    </row>
    <row r="11974" spans="1:3" s="8" customFormat="1" x14ac:dyDescent="0.2">
      <c r="A11974" s="6" t="str">
        <f>"DICER1"</f>
        <v>DICER1</v>
      </c>
      <c r="B11974" s="6">
        <v>0.37062937062937001</v>
      </c>
      <c r="C11974" s="6">
        <v>0.54422938230871398</v>
      </c>
    </row>
    <row r="11975" spans="1:3" s="8" customFormat="1" x14ac:dyDescent="0.2">
      <c r="A11975" s="6" t="str">
        <f>"TXNDC11"</f>
        <v>TXNDC11</v>
      </c>
      <c r="B11975" s="6">
        <v>0.37062937062937001</v>
      </c>
      <c r="C11975" s="6">
        <v>0.54422938230871398</v>
      </c>
    </row>
    <row r="11976" spans="1:3" s="8" customFormat="1" x14ac:dyDescent="0.2">
      <c r="A11976" s="6" t="str">
        <f>"H2AZ2"</f>
        <v>H2AZ2</v>
      </c>
      <c r="B11976" s="6">
        <v>0.37062937062937001</v>
      </c>
      <c r="C11976" s="6">
        <v>0.54422938230871398</v>
      </c>
    </row>
    <row r="11977" spans="1:3" s="8" customFormat="1" x14ac:dyDescent="0.2">
      <c r="A11977" s="6" t="str">
        <f>"AL008638.5"</f>
        <v>AL008638.5</v>
      </c>
      <c r="B11977" s="6">
        <v>0.37139917695473201</v>
      </c>
      <c r="C11977" s="6">
        <v>0.54492272237435602</v>
      </c>
    </row>
    <row r="11978" spans="1:3" s="8" customFormat="1" x14ac:dyDescent="0.2">
      <c r="A11978" s="6" t="str">
        <f>"AC068775.1"</f>
        <v>AC068775.1</v>
      </c>
      <c r="B11978" s="6">
        <v>0.37162837162837098</v>
      </c>
      <c r="C11978" s="6">
        <v>0.54492272237435602</v>
      </c>
    </row>
    <row r="11979" spans="1:3" s="8" customFormat="1" x14ac:dyDescent="0.2">
      <c r="A11979" s="6" t="str">
        <f>"FGF2"</f>
        <v>FGF2</v>
      </c>
      <c r="B11979" s="6">
        <v>0.37162837162837098</v>
      </c>
      <c r="C11979" s="6">
        <v>0.54492272237435602</v>
      </c>
    </row>
    <row r="11980" spans="1:3" s="8" customFormat="1" x14ac:dyDescent="0.2">
      <c r="A11980" s="6" t="str">
        <f>"GP2"</f>
        <v>GP2</v>
      </c>
      <c r="B11980" s="6">
        <v>0.37162837162837098</v>
      </c>
      <c r="C11980" s="6">
        <v>0.54492272237435602</v>
      </c>
    </row>
    <row r="11981" spans="1:3" s="8" customFormat="1" x14ac:dyDescent="0.2">
      <c r="A11981" s="6" t="str">
        <f>"AL603839.3"</f>
        <v>AL603839.3</v>
      </c>
      <c r="B11981" s="6">
        <v>0.371371371371371</v>
      </c>
      <c r="C11981" s="6">
        <v>0.54492272237435602</v>
      </c>
    </row>
    <row r="11982" spans="1:3" s="8" customFormat="1" x14ac:dyDescent="0.2">
      <c r="A11982" s="6" t="str">
        <f>"AL139393.1"</f>
        <v>AL139393.1</v>
      </c>
      <c r="B11982" s="6">
        <v>0.37162837162837098</v>
      </c>
      <c r="C11982" s="6">
        <v>0.54492272237435602</v>
      </c>
    </row>
    <row r="11983" spans="1:3" s="8" customFormat="1" x14ac:dyDescent="0.2">
      <c r="A11983" s="6" t="str">
        <f>"AKR1C7P"</f>
        <v>AKR1C7P</v>
      </c>
      <c r="B11983" s="6">
        <v>0.37162837162837098</v>
      </c>
      <c r="C11983" s="6">
        <v>0.54492272237435602</v>
      </c>
    </row>
    <row r="11984" spans="1:3" s="8" customFormat="1" x14ac:dyDescent="0.2">
      <c r="A11984" s="6" t="str">
        <f>"LINC01564"</f>
        <v>LINC01564</v>
      </c>
      <c r="B11984" s="6">
        <v>0.37162837162837098</v>
      </c>
      <c r="C11984" s="6">
        <v>0.54492272237435602</v>
      </c>
    </row>
    <row r="11985" spans="1:3" s="8" customFormat="1" x14ac:dyDescent="0.2">
      <c r="A11985" s="6" t="str">
        <f>"NPM1P7"</f>
        <v>NPM1P7</v>
      </c>
      <c r="B11985" s="6">
        <v>0.37162837162837098</v>
      </c>
      <c r="C11985" s="6">
        <v>0.54492272237435602</v>
      </c>
    </row>
    <row r="11986" spans="1:3" s="8" customFormat="1" x14ac:dyDescent="0.2">
      <c r="A11986" s="6" t="str">
        <f>"UBE2Q2P2"</f>
        <v>UBE2Q2P2</v>
      </c>
      <c r="B11986" s="6">
        <v>0.37162837162837098</v>
      </c>
      <c r="C11986" s="6">
        <v>0.54492272237435602</v>
      </c>
    </row>
    <row r="11987" spans="1:3" s="8" customFormat="1" x14ac:dyDescent="0.2">
      <c r="A11987" s="6" t="str">
        <f>"MROH8"</f>
        <v>MROH8</v>
      </c>
      <c r="B11987" s="6">
        <v>0.37162837162837098</v>
      </c>
      <c r="C11987" s="6">
        <v>0.54492272237435602</v>
      </c>
    </row>
    <row r="11988" spans="1:3" s="8" customFormat="1" x14ac:dyDescent="0.2">
      <c r="A11988" s="6" t="str">
        <f>"CCDC121"</f>
        <v>CCDC121</v>
      </c>
      <c r="B11988" s="6">
        <v>0.37162837162837098</v>
      </c>
      <c r="C11988" s="6">
        <v>0.54492272237435602</v>
      </c>
    </row>
    <row r="11989" spans="1:3" s="8" customFormat="1" x14ac:dyDescent="0.2">
      <c r="A11989" s="6" t="str">
        <f>"ATG2B"</f>
        <v>ATG2B</v>
      </c>
      <c r="B11989" s="6">
        <v>0.37162837162837098</v>
      </c>
      <c r="C11989" s="6">
        <v>0.54492272237435602</v>
      </c>
    </row>
    <row r="11990" spans="1:3" s="8" customFormat="1" x14ac:dyDescent="0.2">
      <c r="A11990" s="6" t="str">
        <f>"NSRP1"</f>
        <v>NSRP1</v>
      </c>
      <c r="B11990" s="6">
        <v>0.37162837162837098</v>
      </c>
      <c r="C11990" s="6">
        <v>0.54492272237435602</v>
      </c>
    </row>
    <row r="11991" spans="1:3" s="8" customFormat="1" x14ac:dyDescent="0.2">
      <c r="A11991" s="6" t="str">
        <f>"ZNF655"</f>
        <v>ZNF655</v>
      </c>
      <c r="B11991" s="6">
        <v>0.37162837162837098</v>
      </c>
      <c r="C11991" s="6">
        <v>0.54492272237435602</v>
      </c>
    </row>
    <row r="11992" spans="1:3" s="8" customFormat="1" x14ac:dyDescent="0.2">
      <c r="A11992" s="6" t="str">
        <f>"DNAAF2"</f>
        <v>DNAAF2</v>
      </c>
      <c r="B11992" s="6">
        <v>0.37162837162837098</v>
      </c>
      <c r="C11992" s="6">
        <v>0.54492272237435602</v>
      </c>
    </row>
    <row r="11993" spans="1:3" s="8" customFormat="1" x14ac:dyDescent="0.2">
      <c r="A11993" s="6" t="str">
        <f>"YIF1A"</f>
        <v>YIF1A</v>
      </c>
      <c r="B11993" s="6">
        <v>0.37162837162837098</v>
      </c>
      <c r="C11993" s="6">
        <v>0.54492272237435602</v>
      </c>
    </row>
    <row r="11994" spans="1:3" s="8" customFormat="1" x14ac:dyDescent="0.2">
      <c r="A11994" s="6" t="str">
        <f>"AC145285.5"</f>
        <v>AC145285.5</v>
      </c>
      <c r="B11994" s="6">
        <v>0.37202072538860098</v>
      </c>
      <c r="C11994" s="6">
        <v>0.54545255025707995</v>
      </c>
    </row>
    <row r="11995" spans="1:3" s="8" customFormat="1" x14ac:dyDescent="0.2">
      <c r="A11995" s="6" t="str">
        <f>"AF127936.1"</f>
        <v>AF127936.1</v>
      </c>
      <c r="B11995" s="6">
        <v>0.372627372627372</v>
      </c>
      <c r="C11995" s="6">
        <v>0.54575043480590701</v>
      </c>
    </row>
    <row r="11996" spans="1:3" s="8" customFormat="1" x14ac:dyDescent="0.2">
      <c r="A11996" s="6" t="str">
        <f>"AL132633.1"</f>
        <v>AL132633.1</v>
      </c>
      <c r="B11996" s="6">
        <v>0.37237237237237197</v>
      </c>
      <c r="C11996" s="6">
        <v>0.54575043480590701</v>
      </c>
    </row>
    <row r="11997" spans="1:3" s="8" customFormat="1" x14ac:dyDescent="0.2">
      <c r="A11997" s="6" t="str">
        <f>"AC090921.1"</f>
        <v>AC090921.1</v>
      </c>
      <c r="B11997" s="6">
        <v>0.372627372627372</v>
      </c>
      <c r="C11997" s="6">
        <v>0.54575043480590701</v>
      </c>
    </row>
    <row r="11998" spans="1:3" s="8" customFormat="1" x14ac:dyDescent="0.2">
      <c r="A11998" s="6" t="str">
        <f>"AC009118.2"</f>
        <v>AC009118.2</v>
      </c>
      <c r="B11998" s="6">
        <v>0.372627372627372</v>
      </c>
      <c r="C11998" s="6">
        <v>0.54575043480590701</v>
      </c>
    </row>
    <row r="11999" spans="1:3" s="8" customFormat="1" x14ac:dyDescent="0.2">
      <c r="A11999" s="6" t="str">
        <f>"OSER1-DT"</f>
        <v>OSER1-DT</v>
      </c>
      <c r="B11999" s="6">
        <v>0.372627372627372</v>
      </c>
      <c r="C11999" s="6">
        <v>0.54575043480590701</v>
      </c>
    </row>
    <row r="12000" spans="1:3" s="8" customFormat="1" x14ac:dyDescent="0.2">
      <c r="A12000" s="6" t="str">
        <f>"VAV2"</f>
        <v>VAV2</v>
      </c>
      <c r="B12000" s="6">
        <v>0.372627372627372</v>
      </c>
      <c r="C12000" s="6">
        <v>0.54575043480590701</v>
      </c>
    </row>
    <row r="12001" spans="1:3" s="8" customFormat="1" x14ac:dyDescent="0.2">
      <c r="A12001" s="6" t="str">
        <f>"SERPINB8"</f>
        <v>SERPINB8</v>
      </c>
      <c r="B12001" s="6">
        <v>0.372627372627372</v>
      </c>
      <c r="C12001" s="6">
        <v>0.54575043480590701</v>
      </c>
    </row>
    <row r="12002" spans="1:3" s="8" customFormat="1" x14ac:dyDescent="0.2">
      <c r="A12002" s="6" t="str">
        <f>"VPS41"</f>
        <v>VPS41</v>
      </c>
      <c r="B12002" s="6">
        <v>0.372627372627372</v>
      </c>
      <c r="C12002" s="6">
        <v>0.54575043480590701</v>
      </c>
    </row>
    <row r="12003" spans="1:3" s="8" customFormat="1" x14ac:dyDescent="0.2">
      <c r="A12003" s="6" t="str">
        <f>"AHDC1"</f>
        <v>AHDC1</v>
      </c>
      <c r="B12003" s="6">
        <v>0.372627372627372</v>
      </c>
      <c r="C12003" s="6">
        <v>0.54575043480590701</v>
      </c>
    </row>
    <row r="12004" spans="1:3" s="8" customFormat="1" x14ac:dyDescent="0.2">
      <c r="A12004" s="6" t="str">
        <f>"SLC20A1"</f>
        <v>SLC20A1</v>
      </c>
      <c r="B12004" s="6">
        <v>0.372627372627372</v>
      </c>
      <c r="C12004" s="6">
        <v>0.54575043480590701</v>
      </c>
    </row>
    <row r="12005" spans="1:3" s="8" customFormat="1" x14ac:dyDescent="0.2">
      <c r="A12005" s="6" t="str">
        <f>"ARIH2"</f>
        <v>ARIH2</v>
      </c>
      <c r="B12005" s="6">
        <v>0.372627372627372</v>
      </c>
      <c r="C12005" s="6">
        <v>0.54575043480590701</v>
      </c>
    </row>
    <row r="12006" spans="1:3" s="8" customFormat="1" x14ac:dyDescent="0.2">
      <c r="A12006" s="6" t="str">
        <f>"ACTR1B"</f>
        <v>ACTR1B</v>
      </c>
      <c r="B12006" s="6">
        <v>0.372627372627372</v>
      </c>
      <c r="C12006" s="6">
        <v>0.54575043480590701</v>
      </c>
    </row>
    <row r="12007" spans="1:3" s="8" customFormat="1" x14ac:dyDescent="0.2">
      <c r="A12007" s="6" t="str">
        <f>"NRDC"</f>
        <v>NRDC</v>
      </c>
      <c r="B12007" s="6">
        <v>0.372627372627372</v>
      </c>
      <c r="C12007" s="6">
        <v>0.54575043480590701</v>
      </c>
    </row>
    <row r="12008" spans="1:3" s="8" customFormat="1" x14ac:dyDescent="0.2">
      <c r="A12008" s="6" t="str">
        <f>"TMEM269"</f>
        <v>TMEM269</v>
      </c>
      <c r="B12008" s="6">
        <v>0.37362637362637302</v>
      </c>
      <c r="C12008" s="6">
        <v>0.54680367489356196</v>
      </c>
    </row>
    <row r="12009" spans="1:3" s="8" customFormat="1" x14ac:dyDescent="0.2">
      <c r="A12009" s="6" t="str">
        <f>"ZNF333"</f>
        <v>ZNF333</v>
      </c>
      <c r="B12009" s="6">
        <v>0.37362637362637302</v>
      </c>
      <c r="C12009" s="6">
        <v>0.54680367489356196</v>
      </c>
    </row>
    <row r="12010" spans="1:3" s="8" customFormat="1" x14ac:dyDescent="0.2">
      <c r="A12010" s="6" t="str">
        <f>"FOXRED2"</f>
        <v>FOXRED2</v>
      </c>
      <c r="B12010" s="6">
        <v>0.37362637362637302</v>
      </c>
      <c r="C12010" s="6">
        <v>0.54680367489356196</v>
      </c>
    </row>
    <row r="12011" spans="1:3" s="8" customFormat="1" x14ac:dyDescent="0.2">
      <c r="A12011" s="6" t="str">
        <f>"ELMOD3"</f>
        <v>ELMOD3</v>
      </c>
      <c r="B12011" s="6">
        <v>0.37362637362637302</v>
      </c>
      <c r="C12011" s="6">
        <v>0.54680367489356196</v>
      </c>
    </row>
    <row r="12012" spans="1:3" s="8" customFormat="1" x14ac:dyDescent="0.2">
      <c r="A12012" s="6" t="str">
        <f>"AL365205.1"</f>
        <v>AL365205.1</v>
      </c>
      <c r="B12012" s="6">
        <v>0.37362637362637302</v>
      </c>
      <c r="C12012" s="6">
        <v>0.54680367489356196</v>
      </c>
    </row>
    <row r="12013" spans="1:3" s="8" customFormat="1" x14ac:dyDescent="0.2">
      <c r="A12013" s="6" t="str">
        <f>"RPL23AP82"</f>
        <v>RPL23AP82</v>
      </c>
      <c r="B12013" s="6">
        <v>0.37362637362637302</v>
      </c>
      <c r="C12013" s="6">
        <v>0.54680367489356196</v>
      </c>
    </row>
    <row r="12014" spans="1:3" s="8" customFormat="1" x14ac:dyDescent="0.2">
      <c r="A12014" s="6" t="str">
        <f>"SNX27"</f>
        <v>SNX27</v>
      </c>
      <c r="B12014" s="6">
        <v>0.37362637362637302</v>
      </c>
      <c r="C12014" s="6">
        <v>0.54680367489356196</v>
      </c>
    </row>
    <row r="12015" spans="1:3" s="8" customFormat="1" x14ac:dyDescent="0.2">
      <c r="A12015" s="6" t="str">
        <f>"AATF"</f>
        <v>AATF</v>
      </c>
      <c r="B12015" s="6">
        <v>0.37362637362637302</v>
      </c>
      <c r="C12015" s="6">
        <v>0.54680367489356196</v>
      </c>
    </row>
    <row r="12016" spans="1:3" s="8" customFormat="1" x14ac:dyDescent="0.2">
      <c r="A12016" s="6" t="str">
        <f>"UNC13B"</f>
        <v>UNC13B</v>
      </c>
      <c r="B12016" s="6">
        <v>0.37362637362637302</v>
      </c>
      <c r="C12016" s="6">
        <v>0.54680367489356196</v>
      </c>
    </row>
    <row r="12017" spans="1:3" s="8" customFormat="1" x14ac:dyDescent="0.2">
      <c r="A12017" s="6" t="str">
        <f>"AL592429.2"</f>
        <v>AL592429.2</v>
      </c>
      <c r="B12017" s="6">
        <v>0.37462537462537399</v>
      </c>
      <c r="C12017" s="6">
        <v>0.54758209371675703</v>
      </c>
    </row>
    <row r="12018" spans="1:3" s="8" customFormat="1" x14ac:dyDescent="0.2">
      <c r="A12018" s="6" t="str">
        <f>"AC027796.3"</f>
        <v>AC027796.3</v>
      </c>
      <c r="B12018" s="6">
        <v>0.37462537462537399</v>
      </c>
      <c r="C12018" s="6">
        <v>0.54758209371675703</v>
      </c>
    </row>
    <row r="12019" spans="1:3" s="8" customFormat="1" x14ac:dyDescent="0.2">
      <c r="A12019" s="6" t="str">
        <f>"XKR4"</f>
        <v>XKR4</v>
      </c>
      <c r="B12019" s="6">
        <v>0.37462537462537399</v>
      </c>
      <c r="C12019" s="6">
        <v>0.54758209371675703</v>
      </c>
    </row>
    <row r="12020" spans="1:3" s="8" customFormat="1" x14ac:dyDescent="0.2">
      <c r="A12020" s="6" t="str">
        <f>"ZNF724"</f>
        <v>ZNF724</v>
      </c>
      <c r="B12020" s="6">
        <v>0.37462537462537399</v>
      </c>
      <c r="C12020" s="6">
        <v>0.54758209371675703</v>
      </c>
    </row>
    <row r="12021" spans="1:3" s="8" customFormat="1" x14ac:dyDescent="0.2">
      <c r="A12021" s="6" t="str">
        <f>"TMEM201"</f>
        <v>TMEM201</v>
      </c>
      <c r="B12021" s="6">
        <v>0.37462537462537399</v>
      </c>
      <c r="C12021" s="6">
        <v>0.54758209371675703</v>
      </c>
    </row>
    <row r="12022" spans="1:3" s="8" customFormat="1" x14ac:dyDescent="0.2">
      <c r="A12022" s="6" t="str">
        <f>"PAXIP1-AS1"</f>
        <v>PAXIP1-AS1</v>
      </c>
      <c r="B12022" s="6">
        <v>0.37462537462537399</v>
      </c>
      <c r="C12022" s="6">
        <v>0.54758209371675703</v>
      </c>
    </row>
    <row r="12023" spans="1:3" s="8" customFormat="1" x14ac:dyDescent="0.2">
      <c r="A12023" s="6" t="str">
        <f>"COIL"</f>
        <v>COIL</v>
      </c>
      <c r="B12023" s="6">
        <v>0.37462537462537399</v>
      </c>
      <c r="C12023" s="6">
        <v>0.54758209371675703</v>
      </c>
    </row>
    <row r="12024" spans="1:3" s="8" customFormat="1" x14ac:dyDescent="0.2">
      <c r="A12024" s="6" t="str">
        <f>"GSTO1"</f>
        <v>GSTO1</v>
      </c>
      <c r="B12024" s="6">
        <v>0.37462537462537399</v>
      </c>
      <c r="C12024" s="6">
        <v>0.54758209371675703</v>
      </c>
    </row>
    <row r="12025" spans="1:3" s="8" customFormat="1" x14ac:dyDescent="0.2">
      <c r="A12025" s="6" t="str">
        <f>"CAMKK2"</f>
        <v>CAMKK2</v>
      </c>
      <c r="B12025" s="6">
        <v>0.37462537462537399</v>
      </c>
      <c r="C12025" s="6">
        <v>0.54758209371675703</v>
      </c>
    </row>
    <row r="12026" spans="1:3" s="8" customFormat="1" x14ac:dyDescent="0.2">
      <c r="A12026" s="6" t="str">
        <f>"ANAPC2"</f>
        <v>ANAPC2</v>
      </c>
      <c r="B12026" s="6">
        <v>0.37462537462537399</v>
      </c>
      <c r="C12026" s="6">
        <v>0.54758209371675703</v>
      </c>
    </row>
    <row r="12027" spans="1:3" s="8" customFormat="1" x14ac:dyDescent="0.2">
      <c r="A12027" s="6" t="str">
        <f>"PDP1"</f>
        <v>PDP1</v>
      </c>
      <c r="B12027" s="6">
        <v>0.37462537462537399</v>
      </c>
      <c r="C12027" s="6">
        <v>0.54758209371675703</v>
      </c>
    </row>
    <row r="12028" spans="1:3" s="8" customFormat="1" x14ac:dyDescent="0.2">
      <c r="A12028" s="6" t="str">
        <f>"PDS5A"</f>
        <v>PDS5A</v>
      </c>
      <c r="B12028" s="6">
        <v>0.37462537462537399</v>
      </c>
      <c r="C12028" s="6">
        <v>0.54758209371675703</v>
      </c>
    </row>
    <row r="12029" spans="1:3" s="8" customFormat="1" x14ac:dyDescent="0.2">
      <c r="A12029" s="6" t="str">
        <f>"MORN2"</f>
        <v>MORN2</v>
      </c>
      <c r="B12029" s="6">
        <v>0.37462537462537399</v>
      </c>
      <c r="C12029" s="6">
        <v>0.54758209371675703</v>
      </c>
    </row>
    <row r="12030" spans="1:3" s="8" customFormat="1" x14ac:dyDescent="0.2">
      <c r="A12030" s="6" t="str">
        <f>"PEBP1"</f>
        <v>PEBP1</v>
      </c>
      <c r="B12030" s="6">
        <v>0.37462537462537399</v>
      </c>
      <c r="C12030" s="6">
        <v>0.54758209371675703</v>
      </c>
    </row>
    <row r="12031" spans="1:3" s="8" customFormat="1" x14ac:dyDescent="0.2">
      <c r="A12031" s="6" t="str">
        <f>"CLU"</f>
        <v>CLU</v>
      </c>
      <c r="B12031" s="6">
        <v>0.37462537462537399</v>
      </c>
      <c r="C12031" s="6">
        <v>0.54758209371675703</v>
      </c>
    </row>
    <row r="12032" spans="1:3" s="8" customFormat="1" x14ac:dyDescent="0.2">
      <c r="A12032" s="6" t="str">
        <f>"LINC01269"</f>
        <v>LINC01269</v>
      </c>
      <c r="B12032" s="6">
        <v>0.375</v>
      </c>
      <c r="C12032" s="6">
        <v>0.54808411603357898</v>
      </c>
    </row>
    <row r="12033" spans="1:3" s="8" customFormat="1" x14ac:dyDescent="0.2">
      <c r="A12033" s="6" t="str">
        <f>"PHF21B"</f>
        <v>PHF21B</v>
      </c>
      <c r="B12033" s="6">
        <v>0.37562437562437501</v>
      </c>
      <c r="C12033" s="6">
        <v>0.54844964053632905</v>
      </c>
    </row>
    <row r="12034" spans="1:3" s="8" customFormat="1" x14ac:dyDescent="0.2">
      <c r="A12034" s="6" t="str">
        <f>"SYT10"</f>
        <v>SYT10</v>
      </c>
      <c r="B12034" s="6">
        <v>0.37562437562437501</v>
      </c>
      <c r="C12034" s="6">
        <v>0.54844964053632905</v>
      </c>
    </row>
    <row r="12035" spans="1:3" s="8" customFormat="1" x14ac:dyDescent="0.2">
      <c r="A12035" s="6" t="str">
        <f>"FTH1P20"</f>
        <v>FTH1P20</v>
      </c>
      <c r="B12035" s="6">
        <v>0.37562437562437501</v>
      </c>
      <c r="C12035" s="6">
        <v>0.54844964053632905</v>
      </c>
    </row>
    <row r="12036" spans="1:3" s="8" customFormat="1" x14ac:dyDescent="0.2">
      <c r="A12036" s="6" t="str">
        <f>"AP002852.1"</f>
        <v>AP002852.1</v>
      </c>
      <c r="B12036" s="6">
        <v>0.37562437562437501</v>
      </c>
      <c r="C12036" s="6">
        <v>0.54844964053632905</v>
      </c>
    </row>
    <row r="12037" spans="1:3" s="8" customFormat="1" x14ac:dyDescent="0.2">
      <c r="A12037" s="6" t="str">
        <f>"ANKRD34A"</f>
        <v>ANKRD34A</v>
      </c>
      <c r="B12037" s="6">
        <v>0.37562437562437501</v>
      </c>
      <c r="C12037" s="6">
        <v>0.54844964053632905</v>
      </c>
    </row>
    <row r="12038" spans="1:3" s="8" customFormat="1" x14ac:dyDescent="0.2">
      <c r="A12038" s="6" t="str">
        <f>"KIF18A"</f>
        <v>KIF18A</v>
      </c>
      <c r="B12038" s="6">
        <v>0.37562437562437501</v>
      </c>
      <c r="C12038" s="6">
        <v>0.54844964053632905</v>
      </c>
    </row>
    <row r="12039" spans="1:3" s="8" customFormat="1" x14ac:dyDescent="0.2">
      <c r="A12039" s="6" t="str">
        <f>"BMT2"</f>
        <v>BMT2</v>
      </c>
      <c r="B12039" s="6">
        <v>0.37562437562437501</v>
      </c>
      <c r="C12039" s="6">
        <v>0.54844964053632905</v>
      </c>
    </row>
    <row r="12040" spans="1:3" s="8" customFormat="1" x14ac:dyDescent="0.2">
      <c r="A12040" s="6" t="str">
        <f>"ANKRD16"</f>
        <v>ANKRD16</v>
      </c>
      <c r="B12040" s="6">
        <v>0.37562437562437501</v>
      </c>
      <c r="C12040" s="6">
        <v>0.54844964053632905</v>
      </c>
    </row>
    <row r="12041" spans="1:3" s="8" customFormat="1" x14ac:dyDescent="0.2">
      <c r="A12041" s="6" t="str">
        <f>"WEE2-AS1"</f>
        <v>WEE2-AS1</v>
      </c>
      <c r="B12041" s="6">
        <v>0.37562437562437501</v>
      </c>
      <c r="C12041" s="6">
        <v>0.54844964053632905</v>
      </c>
    </row>
    <row r="12042" spans="1:3" s="8" customFormat="1" x14ac:dyDescent="0.2">
      <c r="A12042" s="6" t="str">
        <f>"RSPH14"</f>
        <v>RSPH14</v>
      </c>
      <c r="B12042" s="6">
        <v>0.37562437562437501</v>
      </c>
      <c r="C12042" s="6">
        <v>0.54844964053632905</v>
      </c>
    </row>
    <row r="12043" spans="1:3" s="8" customFormat="1" x14ac:dyDescent="0.2">
      <c r="A12043" s="6" t="str">
        <f>"RPS6KB2"</f>
        <v>RPS6KB2</v>
      </c>
      <c r="B12043" s="6">
        <v>0.37562437562437501</v>
      </c>
      <c r="C12043" s="6">
        <v>0.54844964053632905</v>
      </c>
    </row>
    <row r="12044" spans="1:3" s="8" customFormat="1" x14ac:dyDescent="0.2">
      <c r="A12044" s="6" t="str">
        <f>"DDX24"</f>
        <v>DDX24</v>
      </c>
      <c r="B12044" s="6">
        <v>0.37562437562437501</v>
      </c>
      <c r="C12044" s="6">
        <v>0.54844964053632905</v>
      </c>
    </row>
    <row r="12045" spans="1:3" s="8" customFormat="1" x14ac:dyDescent="0.2">
      <c r="A12045" s="6" t="str">
        <f>"SMIM11A"</f>
        <v>SMIM11A</v>
      </c>
      <c r="B12045" s="6">
        <v>0.376</v>
      </c>
      <c r="C12045" s="6">
        <v>0.54886136476838698</v>
      </c>
    </row>
    <row r="12046" spans="1:3" s="8" customFormat="1" x14ac:dyDescent="0.2">
      <c r="A12046" s="6" t="str">
        <f>"TIMM17A"</f>
        <v>TIMM17A</v>
      </c>
      <c r="B12046" s="6">
        <v>0.376</v>
      </c>
      <c r="C12046" s="6">
        <v>0.54886136476838698</v>
      </c>
    </row>
    <row r="12047" spans="1:3" s="8" customFormat="1" x14ac:dyDescent="0.2">
      <c r="A12047" s="6" t="str">
        <f>"CES2"</f>
        <v>CES2</v>
      </c>
      <c r="B12047" s="6">
        <v>0.376</v>
      </c>
      <c r="C12047" s="6">
        <v>0.54886136476838698</v>
      </c>
    </row>
    <row r="12048" spans="1:3" s="8" customFormat="1" x14ac:dyDescent="0.2">
      <c r="A12048" s="6" t="str">
        <f>"AL137009.1"</f>
        <v>AL137009.1</v>
      </c>
      <c r="B12048" s="6">
        <v>0.376137512639029</v>
      </c>
      <c r="C12048" s="6">
        <v>0.54901652048183702</v>
      </c>
    </row>
    <row r="12049" spans="1:3" s="8" customFormat="1" x14ac:dyDescent="0.2">
      <c r="A12049" s="6" t="str">
        <f>"THBS4-AS1"</f>
        <v>THBS4-AS1</v>
      </c>
      <c r="B12049" s="6">
        <v>0.37662337662337603</v>
      </c>
      <c r="C12049" s="6">
        <v>0.54904207051446297</v>
      </c>
    </row>
    <row r="12050" spans="1:3" s="8" customFormat="1" x14ac:dyDescent="0.2">
      <c r="A12050" s="6" t="str">
        <f>"AC009163.1"</f>
        <v>AC009163.1</v>
      </c>
      <c r="B12050" s="6">
        <v>0.37662337662337603</v>
      </c>
      <c r="C12050" s="6">
        <v>0.54904207051446297</v>
      </c>
    </row>
    <row r="12051" spans="1:3" s="8" customFormat="1" x14ac:dyDescent="0.2">
      <c r="A12051" s="6" t="str">
        <f>"AL109811.3"</f>
        <v>AL109811.3</v>
      </c>
      <c r="B12051" s="6">
        <v>0.37662337662337603</v>
      </c>
      <c r="C12051" s="6">
        <v>0.54904207051446297</v>
      </c>
    </row>
    <row r="12052" spans="1:3" s="8" customFormat="1" x14ac:dyDescent="0.2">
      <c r="A12052" s="6" t="str">
        <f>"CKM"</f>
        <v>CKM</v>
      </c>
      <c r="B12052" s="6">
        <v>0.37662337662337603</v>
      </c>
      <c r="C12052" s="6">
        <v>0.54904207051446297</v>
      </c>
    </row>
    <row r="12053" spans="1:3" s="8" customFormat="1" x14ac:dyDescent="0.2">
      <c r="A12053" s="6" t="str">
        <f>"LINC01670"</f>
        <v>LINC01670</v>
      </c>
      <c r="B12053" s="6">
        <v>0.37662337662337603</v>
      </c>
      <c r="C12053" s="6">
        <v>0.54904207051446297</v>
      </c>
    </row>
    <row r="12054" spans="1:3" s="8" customFormat="1" x14ac:dyDescent="0.2">
      <c r="A12054" s="6" t="str">
        <f>"PRR5-ARHGAP8"</f>
        <v>PRR5-ARHGAP8</v>
      </c>
      <c r="B12054" s="6">
        <v>0.37662337662337603</v>
      </c>
      <c r="C12054" s="6">
        <v>0.54904207051446297</v>
      </c>
    </row>
    <row r="12055" spans="1:3" s="8" customFormat="1" x14ac:dyDescent="0.2">
      <c r="A12055" s="6" t="str">
        <f>"SNHG28"</f>
        <v>SNHG28</v>
      </c>
      <c r="B12055" s="6">
        <v>0.37662337662337603</v>
      </c>
      <c r="C12055" s="6">
        <v>0.54904207051446297</v>
      </c>
    </row>
    <row r="12056" spans="1:3" s="8" customFormat="1" x14ac:dyDescent="0.2">
      <c r="A12056" s="6" t="str">
        <f>"RRN3P1"</f>
        <v>RRN3P1</v>
      </c>
      <c r="B12056" s="6">
        <v>0.37662337662337603</v>
      </c>
      <c r="C12056" s="6">
        <v>0.54904207051446297</v>
      </c>
    </row>
    <row r="12057" spans="1:3" s="8" customFormat="1" x14ac:dyDescent="0.2">
      <c r="A12057" s="6" t="str">
        <f>"TCAF2"</f>
        <v>TCAF2</v>
      </c>
      <c r="B12057" s="6">
        <v>0.37662337662337603</v>
      </c>
      <c r="C12057" s="6">
        <v>0.54904207051446297</v>
      </c>
    </row>
    <row r="12058" spans="1:3" s="8" customFormat="1" x14ac:dyDescent="0.2">
      <c r="A12058" s="6" t="str">
        <f>"SLC5A6"</f>
        <v>SLC5A6</v>
      </c>
      <c r="B12058" s="6">
        <v>0.37662337662337603</v>
      </c>
      <c r="C12058" s="6">
        <v>0.54904207051446297</v>
      </c>
    </row>
    <row r="12059" spans="1:3" s="8" customFormat="1" x14ac:dyDescent="0.2">
      <c r="A12059" s="6" t="str">
        <f>"NBPF15"</f>
        <v>NBPF15</v>
      </c>
      <c r="B12059" s="6">
        <v>0.37662337662337603</v>
      </c>
      <c r="C12059" s="6">
        <v>0.54904207051446297</v>
      </c>
    </row>
    <row r="12060" spans="1:3" s="8" customFormat="1" x14ac:dyDescent="0.2">
      <c r="A12060" s="6" t="str">
        <f>"ZNF480"</f>
        <v>ZNF480</v>
      </c>
      <c r="B12060" s="6">
        <v>0.37662337662337603</v>
      </c>
      <c r="C12060" s="6">
        <v>0.54904207051446297</v>
      </c>
    </row>
    <row r="12061" spans="1:3" s="8" customFormat="1" x14ac:dyDescent="0.2">
      <c r="A12061" s="6" t="str">
        <f>"FBXO42"</f>
        <v>FBXO42</v>
      </c>
      <c r="B12061" s="6">
        <v>0.37662337662337603</v>
      </c>
      <c r="C12061" s="6">
        <v>0.54904207051446297</v>
      </c>
    </row>
    <row r="12062" spans="1:3" s="8" customFormat="1" x14ac:dyDescent="0.2">
      <c r="A12062" s="6" t="str">
        <f>"XIAP"</f>
        <v>XIAP</v>
      </c>
      <c r="B12062" s="6">
        <v>0.37662337662337603</v>
      </c>
      <c r="C12062" s="6">
        <v>0.54904207051446297</v>
      </c>
    </row>
    <row r="12063" spans="1:3" s="8" customFormat="1" x14ac:dyDescent="0.2">
      <c r="A12063" s="6" t="str">
        <f>"CCT4"</f>
        <v>CCT4</v>
      </c>
      <c r="B12063" s="6">
        <v>0.37662337662337603</v>
      </c>
      <c r="C12063" s="6">
        <v>0.54904207051446297</v>
      </c>
    </row>
    <row r="12064" spans="1:3" s="8" customFormat="1" x14ac:dyDescent="0.2">
      <c r="A12064" s="6" t="str">
        <f>"LINC00652"</f>
        <v>LINC00652</v>
      </c>
      <c r="B12064" s="6">
        <v>0.37666325486182101</v>
      </c>
      <c r="C12064" s="6">
        <v>0.54905468569097804</v>
      </c>
    </row>
    <row r="12065" spans="1:3" s="8" customFormat="1" x14ac:dyDescent="0.2">
      <c r="A12065" s="6" t="str">
        <f>"CALN1"</f>
        <v>CALN1</v>
      </c>
      <c r="B12065" s="6">
        <v>0.37762237762237699</v>
      </c>
      <c r="C12065" s="6">
        <v>0.54981467981385101</v>
      </c>
    </row>
    <row r="12066" spans="1:3" s="8" customFormat="1" x14ac:dyDescent="0.2">
      <c r="A12066" s="6" t="str">
        <f>"HTRA3"</f>
        <v>HTRA3</v>
      </c>
      <c r="B12066" s="6">
        <v>0.37762237762237699</v>
      </c>
      <c r="C12066" s="6">
        <v>0.54981467981385101</v>
      </c>
    </row>
    <row r="12067" spans="1:3" s="8" customFormat="1" x14ac:dyDescent="0.2">
      <c r="A12067" s="6" t="str">
        <f>"OR4K17"</f>
        <v>OR4K17</v>
      </c>
      <c r="B12067" s="6">
        <v>0.37753036437246901</v>
      </c>
      <c r="C12067" s="6">
        <v>0.54981467981385101</v>
      </c>
    </row>
    <row r="12068" spans="1:3" s="8" customFormat="1" x14ac:dyDescent="0.2">
      <c r="A12068" s="6" t="str">
        <f>"AC004522.5"</f>
        <v>AC004522.5</v>
      </c>
      <c r="B12068" s="6">
        <v>0.37762237762237699</v>
      </c>
      <c r="C12068" s="6">
        <v>0.54981467981385101</v>
      </c>
    </row>
    <row r="12069" spans="1:3" s="8" customFormat="1" x14ac:dyDescent="0.2">
      <c r="A12069" s="6" t="str">
        <f>"ZNF137P"</f>
        <v>ZNF137P</v>
      </c>
      <c r="B12069" s="6">
        <v>0.37762237762237699</v>
      </c>
      <c r="C12069" s="6">
        <v>0.54981467981385101</v>
      </c>
    </row>
    <row r="12070" spans="1:3" s="8" customFormat="1" x14ac:dyDescent="0.2">
      <c r="A12070" s="6" t="str">
        <f>"TXNDC16"</f>
        <v>TXNDC16</v>
      </c>
      <c r="B12070" s="6">
        <v>0.37762237762237699</v>
      </c>
      <c r="C12070" s="6">
        <v>0.54981467981385101</v>
      </c>
    </row>
    <row r="12071" spans="1:3" s="8" customFormat="1" x14ac:dyDescent="0.2">
      <c r="A12071" s="6" t="str">
        <f>"SLC1A1"</f>
        <v>SLC1A1</v>
      </c>
      <c r="B12071" s="6">
        <v>0.37762237762237699</v>
      </c>
      <c r="C12071" s="6">
        <v>0.54981467981385101</v>
      </c>
    </row>
    <row r="12072" spans="1:3" s="8" customFormat="1" x14ac:dyDescent="0.2">
      <c r="A12072" s="6" t="str">
        <f>"CFAP92"</f>
        <v>CFAP92</v>
      </c>
      <c r="B12072" s="6">
        <v>0.37762237762237699</v>
      </c>
      <c r="C12072" s="6">
        <v>0.54981467981385101</v>
      </c>
    </row>
    <row r="12073" spans="1:3" s="8" customFormat="1" x14ac:dyDescent="0.2">
      <c r="A12073" s="6" t="str">
        <f>"C11orf71"</f>
        <v>C11orf71</v>
      </c>
      <c r="B12073" s="6">
        <v>0.37762237762237699</v>
      </c>
      <c r="C12073" s="6">
        <v>0.54981467981385101</v>
      </c>
    </row>
    <row r="12074" spans="1:3" s="8" customFormat="1" x14ac:dyDescent="0.2">
      <c r="A12074" s="6" t="str">
        <f>"ZNF487"</f>
        <v>ZNF487</v>
      </c>
      <c r="B12074" s="6">
        <v>0.37762237762237699</v>
      </c>
      <c r="C12074" s="6">
        <v>0.54981467981385101</v>
      </c>
    </row>
    <row r="12075" spans="1:3" s="8" customFormat="1" x14ac:dyDescent="0.2">
      <c r="A12075" s="6" t="str">
        <f>"SUOX"</f>
        <v>SUOX</v>
      </c>
      <c r="B12075" s="6">
        <v>0.37762237762237699</v>
      </c>
      <c r="C12075" s="6">
        <v>0.54981467981385101</v>
      </c>
    </row>
    <row r="12076" spans="1:3" s="8" customFormat="1" x14ac:dyDescent="0.2">
      <c r="A12076" s="6" t="str">
        <f>"ALPK1"</f>
        <v>ALPK1</v>
      </c>
      <c r="B12076" s="6">
        <v>0.37762237762237699</v>
      </c>
      <c r="C12076" s="6">
        <v>0.54981467981385101</v>
      </c>
    </row>
    <row r="12077" spans="1:3" s="8" customFormat="1" x14ac:dyDescent="0.2">
      <c r="A12077" s="6" t="str">
        <f>"NAPA"</f>
        <v>NAPA</v>
      </c>
      <c r="B12077" s="6">
        <v>0.37762237762237699</v>
      </c>
      <c r="C12077" s="6">
        <v>0.54981467981385101</v>
      </c>
    </row>
    <row r="12078" spans="1:3" s="8" customFormat="1" x14ac:dyDescent="0.2">
      <c r="A12078" s="6" t="str">
        <f>"ERICH3"</f>
        <v>ERICH3</v>
      </c>
      <c r="B12078" s="6">
        <v>0.37762237762237699</v>
      </c>
      <c r="C12078" s="6">
        <v>0.54981467981385101</v>
      </c>
    </row>
    <row r="12079" spans="1:3" s="8" customFormat="1" x14ac:dyDescent="0.2">
      <c r="A12079" s="6" t="str">
        <f>"L1TD1"</f>
        <v>L1TD1</v>
      </c>
      <c r="B12079" s="6">
        <v>0.37788944723618001</v>
      </c>
      <c r="C12079" s="6">
        <v>0.55015797650281495</v>
      </c>
    </row>
    <row r="12080" spans="1:3" s="8" customFormat="1" x14ac:dyDescent="0.2">
      <c r="A12080" s="6" t="str">
        <f>"SPRING1"</f>
        <v>SPRING1</v>
      </c>
      <c r="B12080" s="6">
        <v>0.378</v>
      </c>
      <c r="C12080" s="6">
        <v>0.55027336700057905</v>
      </c>
    </row>
    <row r="12081" spans="1:3" s="8" customFormat="1" x14ac:dyDescent="0.2">
      <c r="A12081" s="6" t="str">
        <f>"STK19B"</f>
        <v>STK19B</v>
      </c>
      <c r="B12081" s="6">
        <v>0.37817796610169402</v>
      </c>
      <c r="C12081" s="6">
        <v>0.55048686721293005</v>
      </c>
    </row>
    <row r="12082" spans="1:3" s="8" customFormat="1" x14ac:dyDescent="0.2">
      <c r="A12082" s="6" t="str">
        <f>"AC044839.1"</f>
        <v>AC044839.1</v>
      </c>
      <c r="B12082" s="6">
        <v>0.37862137862137801</v>
      </c>
      <c r="C12082" s="6">
        <v>0.550539843023097</v>
      </c>
    </row>
    <row r="12083" spans="1:3" s="8" customFormat="1" x14ac:dyDescent="0.2">
      <c r="A12083" s="6" t="str">
        <f>"AC008750.7"</f>
        <v>AC008750.7</v>
      </c>
      <c r="B12083" s="6">
        <v>0.37862137862137801</v>
      </c>
      <c r="C12083" s="6">
        <v>0.550539843023097</v>
      </c>
    </row>
    <row r="12084" spans="1:3" s="8" customFormat="1" x14ac:dyDescent="0.2">
      <c r="A12084" s="6" t="str">
        <f>"AC023590.1"</f>
        <v>AC023590.1</v>
      </c>
      <c r="B12084" s="6">
        <v>0.37862137862137801</v>
      </c>
      <c r="C12084" s="6">
        <v>0.550539843023097</v>
      </c>
    </row>
    <row r="12085" spans="1:3" s="8" customFormat="1" x14ac:dyDescent="0.2">
      <c r="A12085" s="6" t="str">
        <f>"AC016924.1"</f>
        <v>AC016924.1</v>
      </c>
      <c r="B12085" s="6">
        <v>0.37862137862137801</v>
      </c>
      <c r="C12085" s="6">
        <v>0.550539843023097</v>
      </c>
    </row>
    <row r="12086" spans="1:3" s="8" customFormat="1" x14ac:dyDescent="0.2">
      <c r="A12086" s="6" t="str">
        <f>"SP6"</f>
        <v>SP6</v>
      </c>
      <c r="B12086" s="6">
        <v>0.37862137862137801</v>
      </c>
      <c r="C12086" s="6">
        <v>0.550539843023097</v>
      </c>
    </row>
    <row r="12087" spans="1:3" s="8" customFormat="1" x14ac:dyDescent="0.2">
      <c r="A12087" s="6" t="str">
        <f>"PCDHB16"</f>
        <v>PCDHB16</v>
      </c>
      <c r="B12087" s="6">
        <v>0.37862137862137801</v>
      </c>
      <c r="C12087" s="6">
        <v>0.550539843023097</v>
      </c>
    </row>
    <row r="12088" spans="1:3" s="8" customFormat="1" x14ac:dyDescent="0.2">
      <c r="A12088" s="6" t="str">
        <f>"FOXO4"</f>
        <v>FOXO4</v>
      </c>
      <c r="B12088" s="6">
        <v>0.37862137862137801</v>
      </c>
      <c r="C12088" s="6">
        <v>0.550539843023097</v>
      </c>
    </row>
    <row r="12089" spans="1:3" s="8" customFormat="1" x14ac:dyDescent="0.2">
      <c r="A12089" s="6" t="str">
        <f>"DCLRE1C"</f>
        <v>DCLRE1C</v>
      </c>
      <c r="B12089" s="6">
        <v>0.37862137862137801</v>
      </c>
      <c r="C12089" s="6">
        <v>0.550539843023097</v>
      </c>
    </row>
    <row r="12090" spans="1:3" s="8" customFormat="1" x14ac:dyDescent="0.2">
      <c r="A12090" s="6" t="str">
        <f>"ACSF2"</f>
        <v>ACSF2</v>
      </c>
      <c r="B12090" s="6">
        <v>0.37862137862137801</v>
      </c>
      <c r="C12090" s="6">
        <v>0.550539843023097</v>
      </c>
    </row>
    <row r="12091" spans="1:3" s="8" customFormat="1" x14ac:dyDescent="0.2">
      <c r="A12091" s="6" t="str">
        <f>"CSTF2T"</f>
        <v>CSTF2T</v>
      </c>
      <c r="B12091" s="6">
        <v>0.37862137862137801</v>
      </c>
      <c r="C12091" s="6">
        <v>0.550539843023097</v>
      </c>
    </row>
    <row r="12092" spans="1:3" s="8" customFormat="1" x14ac:dyDescent="0.2">
      <c r="A12092" s="6" t="str">
        <f>"PLCH2"</f>
        <v>PLCH2</v>
      </c>
      <c r="B12092" s="6">
        <v>0.37862137862137801</v>
      </c>
      <c r="C12092" s="6">
        <v>0.550539843023097</v>
      </c>
    </row>
    <row r="12093" spans="1:3" s="8" customFormat="1" x14ac:dyDescent="0.2">
      <c r="A12093" s="6" t="str">
        <f>"CDK9"</f>
        <v>CDK9</v>
      </c>
      <c r="B12093" s="6">
        <v>0.37862137862137801</v>
      </c>
      <c r="C12093" s="6">
        <v>0.550539843023097</v>
      </c>
    </row>
    <row r="12094" spans="1:3" s="8" customFormat="1" x14ac:dyDescent="0.2">
      <c r="A12094" s="6" t="str">
        <f>"CNN3"</f>
        <v>CNN3</v>
      </c>
      <c r="B12094" s="6">
        <v>0.37862137862137801</v>
      </c>
      <c r="C12094" s="6">
        <v>0.550539843023097</v>
      </c>
    </row>
    <row r="12095" spans="1:3" s="8" customFormat="1" x14ac:dyDescent="0.2">
      <c r="A12095" s="6" t="str">
        <f>"PCDH11X"</f>
        <v>PCDH11X</v>
      </c>
      <c r="B12095" s="6">
        <v>0.37909836065573699</v>
      </c>
      <c r="C12095" s="6">
        <v>0.55118782650657205</v>
      </c>
    </row>
    <row r="12096" spans="1:3" s="8" customFormat="1" x14ac:dyDescent="0.2">
      <c r="A12096" s="6" t="str">
        <f>"AC091153.3"</f>
        <v>AC091153.3</v>
      </c>
      <c r="B12096" s="6">
        <v>0.37913741223670999</v>
      </c>
      <c r="C12096" s="6">
        <v>0.55119902908394403</v>
      </c>
    </row>
    <row r="12097" spans="1:3" s="8" customFormat="1" x14ac:dyDescent="0.2">
      <c r="A12097" s="6" t="str">
        <f>"RPL31P30"</f>
        <v>RPL31P30</v>
      </c>
      <c r="B12097" s="6">
        <v>0.37962037962037898</v>
      </c>
      <c r="C12097" s="6">
        <v>0.55139969892984897</v>
      </c>
    </row>
    <row r="12098" spans="1:3" s="8" customFormat="1" x14ac:dyDescent="0.2">
      <c r="A12098" s="6" t="str">
        <f>"Z97832.2"</f>
        <v>Z97832.2</v>
      </c>
      <c r="B12098" s="6">
        <v>0.37962037962037898</v>
      </c>
      <c r="C12098" s="6">
        <v>0.55139969892984897</v>
      </c>
    </row>
    <row r="12099" spans="1:3" s="8" customFormat="1" x14ac:dyDescent="0.2">
      <c r="A12099" s="6" t="str">
        <f>"ZACN"</f>
        <v>ZACN</v>
      </c>
      <c r="B12099" s="6">
        <v>0.37962037962037898</v>
      </c>
      <c r="C12099" s="6">
        <v>0.55139969892984897</v>
      </c>
    </row>
    <row r="12100" spans="1:3" s="8" customFormat="1" x14ac:dyDescent="0.2">
      <c r="A12100" s="6" t="str">
        <f>"CTSW"</f>
        <v>CTSW</v>
      </c>
      <c r="B12100" s="6">
        <v>0.37962037962037898</v>
      </c>
      <c r="C12100" s="6">
        <v>0.55139969892984897</v>
      </c>
    </row>
    <row r="12101" spans="1:3" s="8" customFormat="1" x14ac:dyDescent="0.2">
      <c r="A12101" s="6" t="str">
        <f>"C19orf12"</f>
        <v>C19orf12</v>
      </c>
      <c r="B12101" s="6">
        <v>0.37962037962037898</v>
      </c>
      <c r="C12101" s="6">
        <v>0.55139969892984897</v>
      </c>
    </row>
    <row r="12102" spans="1:3" s="8" customFormat="1" x14ac:dyDescent="0.2">
      <c r="A12102" s="6" t="str">
        <f>"FAM117B"</f>
        <v>FAM117B</v>
      </c>
      <c r="B12102" s="6">
        <v>0.37962037962037898</v>
      </c>
      <c r="C12102" s="6">
        <v>0.55139969892984897</v>
      </c>
    </row>
    <row r="12103" spans="1:3" s="8" customFormat="1" x14ac:dyDescent="0.2">
      <c r="A12103" s="6" t="str">
        <f>"UTP15"</f>
        <v>UTP15</v>
      </c>
      <c r="B12103" s="6">
        <v>0.37962037962037898</v>
      </c>
      <c r="C12103" s="6">
        <v>0.55139969892984897</v>
      </c>
    </row>
    <row r="12104" spans="1:3" s="8" customFormat="1" x14ac:dyDescent="0.2">
      <c r="A12104" s="6" t="str">
        <f>"PGAP2"</f>
        <v>PGAP2</v>
      </c>
      <c r="B12104" s="6">
        <v>0.37962037962037898</v>
      </c>
      <c r="C12104" s="6">
        <v>0.55139969892984897</v>
      </c>
    </row>
    <row r="12105" spans="1:3" s="8" customFormat="1" x14ac:dyDescent="0.2">
      <c r="A12105" s="6" t="str">
        <f>"GDPD5"</f>
        <v>GDPD5</v>
      </c>
      <c r="B12105" s="6">
        <v>0.37962037962037898</v>
      </c>
      <c r="C12105" s="6">
        <v>0.55139969892984897</v>
      </c>
    </row>
    <row r="12106" spans="1:3" s="8" customFormat="1" x14ac:dyDescent="0.2">
      <c r="A12106" s="6" t="str">
        <f>"ATP9B"</f>
        <v>ATP9B</v>
      </c>
      <c r="B12106" s="6">
        <v>0.37962037962037898</v>
      </c>
      <c r="C12106" s="6">
        <v>0.55139969892984897</v>
      </c>
    </row>
    <row r="12107" spans="1:3" s="8" customFormat="1" x14ac:dyDescent="0.2">
      <c r="A12107" s="6" t="str">
        <f>"ETFA"</f>
        <v>ETFA</v>
      </c>
      <c r="B12107" s="6">
        <v>0.37962037962037898</v>
      </c>
      <c r="C12107" s="6">
        <v>0.55139969892984897</v>
      </c>
    </row>
    <row r="12108" spans="1:3" s="8" customFormat="1" x14ac:dyDescent="0.2">
      <c r="A12108" s="6" t="str">
        <f>"CD46"</f>
        <v>CD46</v>
      </c>
      <c r="B12108" s="6">
        <v>0.38</v>
      </c>
      <c r="C12108" s="6">
        <v>0.55190550920954795</v>
      </c>
    </row>
    <row r="12109" spans="1:3" s="8" customFormat="1" x14ac:dyDescent="0.2">
      <c r="A12109" s="6" t="str">
        <f>"AL161756.1"</f>
        <v>AL161756.1</v>
      </c>
      <c r="B12109" s="6">
        <v>0.38004032258064502</v>
      </c>
      <c r="C12109" s="6">
        <v>0.55191848631136897</v>
      </c>
    </row>
    <row r="12110" spans="1:3" s="8" customFormat="1" x14ac:dyDescent="0.2">
      <c r="A12110" s="6" t="str">
        <f>"AC005531.1"</f>
        <v>AC005531.1</v>
      </c>
      <c r="B12110" s="6">
        <v>0.380140421263791</v>
      </c>
      <c r="C12110" s="6">
        <v>0.55201826472066295</v>
      </c>
    </row>
    <row r="12111" spans="1:3" s="8" customFormat="1" x14ac:dyDescent="0.2">
      <c r="A12111" s="6" t="str">
        <f>"DIAPH2-AS1"</f>
        <v>DIAPH2-AS1</v>
      </c>
      <c r="B12111" s="6">
        <v>0.38061938061938</v>
      </c>
      <c r="C12111" s="6">
        <v>0.55230328344703605</v>
      </c>
    </row>
    <row r="12112" spans="1:3" s="8" customFormat="1" x14ac:dyDescent="0.2">
      <c r="A12112" s="6" t="str">
        <f>"KRT16P2"</f>
        <v>KRT16P2</v>
      </c>
      <c r="B12112" s="6">
        <v>0.38061938061938</v>
      </c>
      <c r="C12112" s="6">
        <v>0.55230328344703605</v>
      </c>
    </row>
    <row r="12113" spans="1:3" s="8" customFormat="1" x14ac:dyDescent="0.2">
      <c r="A12113" s="6" t="str">
        <f>"AC109466.1"</f>
        <v>AC109466.1</v>
      </c>
      <c r="B12113" s="6">
        <v>0.38061938061938</v>
      </c>
      <c r="C12113" s="6">
        <v>0.55230328344703605</v>
      </c>
    </row>
    <row r="12114" spans="1:3" s="8" customFormat="1" x14ac:dyDescent="0.2">
      <c r="A12114" s="6" t="str">
        <f>"PRR22"</f>
        <v>PRR22</v>
      </c>
      <c r="B12114" s="6">
        <v>0.38061938061938</v>
      </c>
      <c r="C12114" s="6">
        <v>0.55230328344703605</v>
      </c>
    </row>
    <row r="12115" spans="1:3" s="8" customFormat="1" x14ac:dyDescent="0.2">
      <c r="A12115" s="6" t="str">
        <f>"SEMA4G"</f>
        <v>SEMA4G</v>
      </c>
      <c r="B12115" s="6">
        <v>0.38061938061938</v>
      </c>
      <c r="C12115" s="6">
        <v>0.55230328344703605</v>
      </c>
    </row>
    <row r="12116" spans="1:3" s="8" customFormat="1" x14ac:dyDescent="0.2">
      <c r="A12116" s="6" t="str">
        <f>"DTNB"</f>
        <v>DTNB</v>
      </c>
      <c r="B12116" s="6">
        <v>0.38061938061938</v>
      </c>
      <c r="C12116" s="6">
        <v>0.55230328344703605</v>
      </c>
    </row>
    <row r="12117" spans="1:3" s="8" customFormat="1" x14ac:dyDescent="0.2">
      <c r="A12117" s="6" t="str">
        <f>"EPHB2"</f>
        <v>EPHB2</v>
      </c>
      <c r="B12117" s="6">
        <v>0.38061938061938</v>
      </c>
      <c r="C12117" s="6">
        <v>0.55230328344703605</v>
      </c>
    </row>
    <row r="12118" spans="1:3" s="8" customFormat="1" x14ac:dyDescent="0.2">
      <c r="A12118" s="6" t="str">
        <f>"VPS33A"</f>
        <v>VPS33A</v>
      </c>
      <c r="B12118" s="6">
        <v>0.38061938061938</v>
      </c>
      <c r="C12118" s="6">
        <v>0.55230328344703605</v>
      </c>
    </row>
    <row r="12119" spans="1:3" s="8" customFormat="1" x14ac:dyDescent="0.2">
      <c r="A12119" s="6" t="str">
        <f>"MAP2K2"</f>
        <v>MAP2K2</v>
      </c>
      <c r="B12119" s="6">
        <v>0.38061938061938</v>
      </c>
      <c r="C12119" s="6">
        <v>0.55230328344703605</v>
      </c>
    </row>
    <row r="12120" spans="1:3" s="8" customFormat="1" x14ac:dyDescent="0.2">
      <c r="A12120" s="6" t="str">
        <f>"AC004039.1"</f>
        <v>AC004039.1</v>
      </c>
      <c r="B12120" s="6">
        <v>0.38089171974522201</v>
      </c>
      <c r="C12120" s="6">
        <v>0.55265285914679396</v>
      </c>
    </row>
    <row r="12121" spans="1:3" s="8" customFormat="1" x14ac:dyDescent="0.2">
      <c r="A12121" s="6" t="str">
        <f>"ZNF350-AS1"</f>
        <v>ZNF350-AS1</v>
      </c>
      <c r="B12121" s="6">
        <v>0.38161838161838102</v>
      </c>
      <c r="C12121" s="6">
        <v>0.55311388249073701</v>
      </c>
    </row>
    <row r="12122" spans="1:3" s="8" customFormat="1" x14ac:dyDescent="0.2">
      <c r="A12122" s="6" t="str">
        <f>"C1QTNF3-AMACR"</f>
        <v>C1QTNF3-AMACR</v>
      </c>
      <c r="B12122" s="6">
        <v>0.38161838161838102</v>
      </c>
      <c r="C12122" s="6">
        <v>0.55311388249073701</v>
      </c>
    </row>
    <row r="12123" spans="1:3" s="8" customFormat="1" x14ac:dyDescent="0.2">
      <c r="A12123" s="6" t="str">
        <f>"SLC9A5"</f>
        <v>SLC9A5</v>
      </c>
      <c r="B12123" s="6">
        <v>0.38161838161838102</v>
      </c>
      <c r="C12123" s="6">
        <v>0.55311388249073701</v>
      </c>
    </row>
    <row r="12124" spans="1:3" s="8" customFormat="1" x14ac:dyDescent="0.2">
      <c r="A12124" s="6" t="str">
        <f>"ETFBKMT"</f>
        <v>ETFBKMT</v>
      </c>
      <c r="B12124" s="6">
        <v>0.38161838161838102</v>
      </c>
      <c r="C12124" s="6">
        <v>0.55311388249073701</v>
      </c>
    </row>
    <row r="12125" spans="1:3" s="8" customFormat="1" x14ac:dyDescent="0.2">
      <c r="A12125" s="6" t="str">
        <f>"AC005332.4"</f>
        <v>AC005332.4</v>
      </c>
      <c r="B12125" s="6">
        <v>0.38161838161838102</v>
      </c>
      <c r="C12125" s="6">
        <v>0.55311388249073701</v>
      </c>
    </row>
    <row r="12126" spans="1:3" s="8" customFormat="1" x14ac:dyDescent="0.2">
      <c r="A12126" s="6" t="str">
        <f>"MPHOSPH9"</f>
        <v>MPHOSPH9</v>
      </c>
      <c r="B12126" s="6">
        <v>0.381381381381381</v>
      </c>
      <c r="C12126" s="6">
        <v>0.55311388249073701</v>
      </c>
    </row>
    <row r="12127" spans="1:3" s="8" customFormat="1" x14ac:dyDescent="0.2">
      <c r="A12127" s="6" t="str">
        <f>"FAM227A"</f>
        <v>FAM227A</v>
      </c>
      <c r="B12127" s="6">
        <v>0.38161838161838102</v>
      </c>
      <c r="C12127" s="6">
        <v>0.55311388249073701</v>
      </c>
    </row>
    <row r="12128" spans="1:3" s="8" customFormat="1" x14ac:dyDescent="0.2">
      <c r="A12128" s="6" t="str">
        <f>"KDM4C"</f>
        <v>KDM4C</v>
      </c>
      <c r="B12128" s="6">
        <v>0.38161838161838102</v>
      </c>
      <c r="C12128" s="6">
        <v>0.55311388249073701</v>
      </c>
    </row>
    <row r="12129" spans="1:3" s="8" customFormat="1" x14ac:dyDescent="0.2">
      <c r="A12129" s="6" t="str">
        <f>"ABCC5"</f>
        <v>ABCC5</v>
      </c>
      <c r="B12129" s="6">
        <v>0.38161838161838102</v>
      </c>
      <c r="C12129" s="6">
        <v>0.55311388249073701</v>
      </c>
    </row>
    <row r="12130" spans="1:3" s="8" customFormat="1" x14ac:dyDescent="0.2">
      <c r="A12130" s="6" t="str">
        <f>"VPS26B"</f>
        <v>VPS26B</v>
      </c>
      <c r="B12130" s="6">
        <v>0.38161838161838102</v>
      </c>
      <c r="C12130" s="6">
        <v>0.55311388249073701</v>
      </c>
    </row>
    <row r="12131" spans="1:3" s="8" customFormat="1" x14ac:dyDescent="0.2">
      <c r="A12131" s="6" t="str">
        <f>"SUN1"</f>
        <v>SUN1</v>
      </c>
      <c r="B12131" s="6">
        <v>0.38161838161838102</v>
      </c>
      <c r="C12131" s="6">
        <v>0.55311388249073701</v>
      </c>
    </row>
    <row r="12132" spans="1:3" s="8" customFormat="1" x14ac:dyDescent="0.2">
      <c r="A12132" s="6" t="str">
        <f>"RPS14"</f>
        <v>RPS14</v>
      </c>
      <c r="B12132" s="6">
        <v>0.38161838161838102</v>
      </c>
      <c r="C12132" s="6">
        <v>0.55311388249073701</v>
      </c>
    </row>
    <row r="12133" spans="1:3" s="8" customFormat="1" x14ac:dyDescent="0.2">
      <c r="A12133" s="6" t="str">
        <f>"KRT5"</f>
        <v>KRT5</v>
      </c>
      <c r="B12133" s="6">
        <v>0.38161838161838102</v>
      </c>
      <c r="C12133" s="6">
        <v>0.55311388249073701</v>
      </c>
    </row>
    <row r="12134" spans="1:3" s="8" customFormat="1" x14ac:dyDescent="0.2">
      <c r="A12134" s="6" t="str">
        <f>"AL355816.2"</f>
        <v>AL355816.2</v>
      </c>
      <c r="B12134" s="6">
        <v>0.38190954773869301</v>
      </c>
      <c r="C12134" s="6">
        <v>0.55349027342266399</v>
      </c>
    </row>
    <row r="12135" spans="1:3" s="8" customFormat="1" x14ac:dyDescent="0.2">
      <c r="A12135" s="6" t="str">
        <f>"AC009133.3"</f>
        <v>AC009133.3</v>
      </c>
      <c r="B12135" s="6">
        <v>0.38202247191011202</v>
      </c>
      <c r="C12135" s="6">
        <v>0.55360830279111695</v>
      </c>
    </row>
    <row r="12136" spans="1:3" s="8" customFormat="1" x14ac:dyDescent="0.2">
      <c r="A12136" s="6" t="str">
        <f>"FAM27B"</f>
        <v>FAM27B</v>
      </c>
      <c r="B12136" s="6">
        <v>0.38261738261738198</v>
      </c>
      <c r="C12136" s="6">
        <v>0.553694679939433</v>
      </c>
    </row>
    <row r="12137" spans="1:3" s="8" customFormat="1" x14ac:dyDescent="0.2">
      <c r="A12137" s="6" t="str">
        <f>"LINC02593"</f>
        <v>LINC02593</v>
      </c>
      <c r="B12137" s="6">
        <v>0.38261738261738198</v>
      </c>
      <c r="C12137" s="6">
        <v>0.553694679939433</v>
      </c>
    </row>
    <row r="12138" spans="1:3" s="8" customFormat="1" x14ac:dyDescent="0.2">
      <c r="A12138" s="6" t="str">
        <f>"REG4"</f>
        <v>REG4</v>
      </c>
      <c r="B12138" s="6">
        <v>0.38261738261738198</v>
      </c>
      <c r="C12138" s="6">
        <v>0.553694679939433</v>
      </c>
    </row>
    <row r="12139" spans="1:3" s="8" customFormat="1" x14ac:dyDescent="0.2">
      <c r="A12139" s="6" t="str">
        <f>"TCF24"</f>
        <v>TCF24</v>
      </c>
      <c r="B12139" s="6">
        <v>0.38261738261738198</v>
      </c>
      <c r="C12139" s="6">
        <v>0.553694679939433</v>
      </c>
    </row>
    <row r="12140" spans="1:3" s="8" customFormat="1" x14ac:dyDescent="0.2">
      <c r="A12140" s="6" t="str">
        <f>"MEG8"</f>
        <v>MEG8</v>
      </c>
      <c r="B12140" s="6">
        <v>0.38261738261738198</v>
      </c>
      <c r="C12140" s="6">
        <v>0.553694679939433</v>
      </c>
    </row>
    <row r="12141" spans="1:3" s="8" customFormat="1" x14ac:dyDescent="0.2">
      <c r="A12141" s="6" t="str">
        <f>"DCST2"</f>
        <v>DCST2</v>
      </c>
      <c r="B12141" s="6">
        <v>0.38261738261738198</v>
      </c>
      <c r="C12141" s="6">
        <v>0.553694679939433</v>
      </c>
    </row>
    <row r="12142" spans="1:3" s="8" customFormat="1" x14ac:dyDescent="0.2">
      <c r="A12142" s="6" t="str">
        <f>"PIK3CD-AS2"</f>
        <v>PIK3CD-AS2</v>
      </c>
      <c r="B12142" s="6">
        <v>0.38261738261738198</v>
      </c>
      <c r="C12142" s="6">
        <v>0.553694679939433</v>
      </c>
    </row>
    <row r="12143" spans="1:3" s="8" customFormat="1" x14ac:dyDescent="0.2">
      <c r="A12143" s="6" t="str">
        <f>"LAMA4"</f>
        <v>LAMA4</v>
      </c>
      <c r="B12143" s="6">
        <v>0.38261738261738198</v>
      </c>
      <c r="C12143" s="6">
        <v>0.553694679939433</v>
      </c>
    </row>
    <row r="12144" spans="1:3" s="8" customFormat="1" x14ac:dyDescent="0.2">
      <c r="A12144" s="6" t="str">
        <f>"ZNF23"</f>
        <v>ZNF23</v>
      </c>
      <c r="B12144" s="6">
        <v>0.38261738261738198</v>
      </c>
      <c r="C12144" s="6">
        <v>0.553694679939433</v>
      </c>
    </row>
    <row r="12145" spans="1:3" s="8" customFormat="1" x14ac:dyDescent="0.2">
      <c r="A12145" s="6" t="str">
        <f>"FBXL14"</f>
        <v>FBXL14</v>
      </c>
      <c r="B12145" s="6">
        <v>0.38261738261738198</v>
      </c>
      <c r="C12145" s="6">
        <v>0.553694679939433</v>
      </c>
    </row>
    <row r="12146" spans="1:3" s="8" customFormat="1" x14ac:dyDescent="0.2">
      <c r="A12146" s="6" t="str">
        <f>"RAB4B"</f>
        <v>RAB4B</v>
      </c>
      <c r="B12146" s="6">
        <v>0.38261738261738198</v>
      </c>
      <c r="C12146" s="6">
        <v>0.553694679939433</v>
      </c>
    </row>
    <row r="12147" spans="1:3" s="8" customFormat="1" x14ac:dyDescent="0.2">
      <c r="A12147" s="6" t="str">
        <f>"ZNF688"</f>
        <v>ZNF688</v>
      </c>
      <c r="B12147" s="6">
        <v>0.38261738261738198</v>
      </c>
      <c r="C12147" s="6">
        <v>0.553694679939433</v>
      </c>
    </row>
    <row r="12148" spans="1:3" s="8" customFormat="1" x14ac:dyDescent="0.2">
      <c r="A12148" s="6" t="str">
        <f>"IREB2"</f>
        <v>IREB2</v>
      </c>
      <c r="B12148" s="6">
        <v>0.38261738261738198</v>
      </c>
      <c r="C12148" s="6">
        <v>0.553694679939433</v>
      </c>
    </row>
    <row r="12149" spans="1:3" s="8" customFormat="1" x14ac:dyDescent="0.2">
      <c r="A12149" s="6" t="str">
        <f>"STK39"</f>
        <v>STK39</v>
      </c>
      <c r="B12149" s="6">
        <v>0.38261738261738198</v>
      </c>
      <c r="C12149" s="6">
        <v>0.553694679939433</v>
      </c>
    </row>
    <row r="12150" spans="1:3" s="8" customFormat="1" x14ac:dyDescent="0.2">
      <c r="A12150" s="6" t="str">
        <f>"POLR2E"</f>
        <v>POLR2E</v>
      </c>
      <c r="B12150" s="6">
        <v>0.38261738261738198</v>
      </c>
      <c r="C12150" s="6">
        <v>0.553694679939433</v>
      </c>
    </row>
    <row r="12151" spans="1:3" s="8" customFormat="1" x14ac:dyDescent="0.2">
      <c r="A12151" s="6" t="str">
        <f>"TFF1"</f>
        <v>TFF1</v>
      </c>
      <c r="B12151" s="6">
        <v>0.38261738261738198</v>
      </c>
      <c r="C12151" s="6">
        <v>0.553694679939433</v>
      </c>
    </row>
    <row r="12152" spans="1:3" s="8" customFormat="1" x14ac:dyDescent="0.2">
      <c r="A12152" s="6" t="str">
        <f>"SPTLC2"</f>
        <v>SPTLC2</v>
      </c>
      <c r="B12152" s="6">
        <v>0.38261738261738198</v>
      </c>
      <c r="C12152" s="6">
        <v>0.553694679939433</v>
      </c>
    </row>
    <row r="12153" spans="1:3" s="8" customFormat="1" x14ac:dyDescent="0.2">
      <c r="A12153" s="6" t="str">
        <f>"LINC00551"</f>
        <v>LINC00551</v>
      </c>
      <c r="B12153" s="6">
        <v>0.38361638361638301</v>
      </c>
      <c r="C12153" s="6">
        <v>0.55463825764763097</v>
      </c>
    </row>
    <row r="12154" spans="1:3" s="8" customFormat="1" x14ac:dyDescent="0.2">
      <c r="A12154" s="6" t="str">
        <f>"AP005264.1"</f>
        <v>AP005264.1</v>
      </c>
      <c r="B12154" s="6">
        <v>0.38361638361638301</v>
      </c>
      <c r="C12154" s="6">
        <v>0.55463825764763097</v>
      </c>
    </row>
    <row r="12155" spans="1:3" s="8" customFormat="1" x14ac:dyDescent="0.2">
      <c r="A12155" s="6" t="str">
        <f>"DSPP"</f>
        <v>DSPP</v>
      </c>
      <c r="B12155" s="6">
        <v>0.38361638361638301</v>
      </c>
      <c r="C12155" s="6">
        <v>0.55463825764763097</v>
      </c>
    </row>
    <row r="12156" spans="1:3" s="8" customFormat="1" x14ac:dyDescent="0.2">
      <c r="A12156" s="6" t="str">
        <f>"AL159163.1"</f>
        <v>AL159163.1</v>
      </c>
      <c r="B12156" s="6">
        <v>0.38361638361638301</v>
      </c>
      <c r="C12156" s="6">
        <v>0.55463825764763097</v>
      </c>
    </row>
    <row r="12157" spans="1:3" s="8" customFormat="1" x14ac:dyDescent="0.2">
      <c r="A12157" s="6" t="str">
        <f>"PCDHB6"</f>
        <v>PCDHB6</v>
      </c>
      <c r="B12157" s="6">
        <v>0.38361638361638301</v>
      </c>
      <c r="C12157" s="6">
        <v>0.55463825764763097</v>
      </c>
    </row>
    <row r="12158" spans="1:3" s="8" customFormat="1" x14ac:dyDescent="0.2">
      <c r="A12158" s="6" t="str">
        <f>"LINC01436"</f>
        <v>LINC01436</v>
      </c>
      <c r="B12158" s="6">
        <v>0.38361638361638301</v>
      </c>
      <c r="C12158" s="6">
        <v>0.55463825764763097</v>
      </c>
    </row>
    <row r="12159" spans="1:3" s="8" customFormat="1" x14ac:dyDescent="0.2">
      <c r="A12159" s="6" t="str">
        <f>"BBS7"</f>
        <v>BBS7</v>
      </c>
      <c r="B12159" s="6">
        <v>0.38361638361638301</v>
      </c>
      <c r="C12159" s="6">
        <v>0.55463825764763097</v>
      </c>
    </row>
    <row r="12160" spans="1:3" s="8" customFormat="1" x14ac:dyDescent="0.2">
      <c r="A12160" s="6" t="str">
        <f>"TRMT6"</f>
        <v>TRMT6</v>
      </c>
      <c r="B12160" s="6">
        <v>0.38361638361638301</v>
      </c>
      <c r="C12160" s="6">
        <v>0.55463825764763097</v>
      </c>
    </row>
    <row r="12161" spans="1:3" s="8" customFormat="1" x14ac:dyDescent="0.2">
      <c r="A12161" s="6" t="str">
        <f>"HDAC6"</f>
        <v>HDAC6</v>
      </c>
      <c r="B12161" s="6">
        <v>0.38361638361638301</v>
      </c>
      <c r="C12161" s="6">
        <v>0.55463825764763097</v>
      </c>
    </row>
    <row r="12162" spans="1:3" s="8" customFormat="1" x14ac:dyDescent="0.2">
      <c r="A12162" s="6" t="str">
        <f>"DRC1"</f>
        <v>DRC1</v>
      </c>
      <c r="B12162" s="6">
        <v>0.38361638361638301</v>
      </c>
      <c r="C12162" s="6">
        <v>0.55463825764763097</v>
      </c>
    </row>
    <row r="12163" spans="1:3" s="8" customFormat="1" x14ac:dyDescent="0.2">
      <c r="A12163" s="6" t="str">
        <f>"GSPT1"</f>
        <v>GSPT1</v>
      </c>
      <c r="B12163" s="6">
        <v>0.38361638361638301</v>
      </c>
      <c r="C12163" s="6">
        <v>0.55463825764763097</v>
      </c>
    </row>
    <row r="12164" spans="1:3" s="8" customFormat="1" x14ac:dyDescent="0.2">
      <c r="A12164" s="6" t="str">
        <f>"LINC00431"</f>
        <v>LINC00431</v>
      </c>
      <c r="B12164" s="6">
        <v>0.38461538461538403</v>
      </c>
      <c r="C12164" s="6">
        <v>0.55521524694827296</v>
      </c>
    </row>
    <row r="12165" spans="1:3" s="8" customFormat="1" x14ac:dyDescent="0.2">
      <c r="A12165" s="6" t="str">
        <f>"MXRA5Y"</f>
        <v>MXRA5Y</v>
      </c>
      <c r="B12165" s="6">
        <v>0.38461538461538403</v>
      </c>
      <c r="C12165" s="6">
        <v>0.55521524694827296</v>
      </c>
    </row>
    <row r="12166" spans="1:3" s="8" customFormat="1" x14ac:dyDescent="0.2">
      <c r="A12166" s="6" t="str">
        <f>"CU634019.5"</f>
        <v>CU634019.5</v>
      </c>
      <c r="B12166" s="6">
        <v>0.38461538461538403</v>
      </c>
      <c r="C12166" s="6">
        <v>0.55521524694827296</v>
      </c>
    </row>
    <row r="12167" spans="1:3" s="8" customFormat="1" x14ac:dyDescent="0.2">
      <c r="A12167" s="6" t="str">
        <f>"AP002762.3"</f>
        <v>AP002762.3</v>
      </c>
      <c r="B12167" s="6">
        <v>0.38438438438438399</v>
      </c>
      <c r="C12167" s="6">
        <v>0.55521524694827296</v>
      </c>
    </row>
    <row r="12168" spans="1:3" s="8" customFormat="1" x14ac:dyDescent="0.2">
      <c r="A12168" s="6" t="str">
        <f>"ZNF674-AS1"</f>
        <v>ZNF674-AS1</v>
      </c>
      <c r="B12168" s="6">
        <v>0.38461538461538403</v>
      </c>
      <c r="C12168" s="6">
        <v>0.55521524694827296</v>
      </c>
    </row>
    <row r="12169" spans="1:3" s="8" customFormat="1" x14ac:dyDescent="0.2">
      <c r="A12169" s="6" t="str">
        <f>"BNC1"</f>
        <v>BNC1</v>
      </c>
      <c r="B12169" s="6">
        <v>0.38461538461538403</v>
      </c>
      <c r="C12169" s="6">
        <v>0.55521524694827296</v>
      </c>
    </row>
    <row r="12170" spans="1:3" s="8" customFormat="1" x14ac:dyDescent="0.2">
      <c r="A12170" s="6" t="str">
        <f>"IKBIP"</f>
        <v>IKBIP</v>
      </c>
      <c r="B12170" s="6">
        <v>0.38461538461538403</v>
      </c>
      <c r="C12170" s="6">
        <v>0.55521524694827296</v>
      </c>
    </row>
    <row r="12171" spans="1:3" s="8" customFormat="1" x14ac:dyDescent="0.2">
      <c r="A12171" s="6" t="str">
        <f>"ZNF41"</f>
        <v>ZNF41</v>
      </c>
      <c r="B12171" s="6">
        <v>0.38461538461538403</v>
      </c>
      <c r="C12171" s="6">
        <v>0.55521524694827296</v>
      </c>
    </row>
    <row r="12172" spans="1:3" s="8" customFormat="1" x14ac:dyDescent="0.2">
      <c r="A12172" s="6" t="str">
        <f>"ZDHHC21"</f>
        <v>ZDHHC21</v>
      </c>
      <c r="B12172" s="6">
        <v>0.38461538461538403</v>
      </c>
      <c r="C12172" s="6">
        <v>0.55521524694827296</v>
      </c>
    </row>
    <row r="12173" spans="1:3" s="8" customFormat="1" x14ac:dyDescent="0.2">
      <c r="A12173" s="6" t="str">
        <f>"UIMC1"</f>
        <v>UIMC1</v>
      </c>
      <c r="B12173" s="6">
        <v>0.38461538461538403</v>
      </c>
      <c r="C12173" s="6">
        <v>0.55521524694827296</v>
      </c>
    </row>
    <row r="12174" spans="1:3" s="8" customFormat="1" x14ac:dyDescent="0.2">
      <c r="A12174" s="6" t="str">
        <f>"SMC2"</f>
        <v>SMC2</v>
      </c>
      <c r="B12174" s="6">
        <v>0.38461538461538403</v>
      </c>
      <c r="C12174" s="6">
        <v>0.55521524694827296</v>
      </c>
    </row>
    <row r="12175" spans="1:3" s="8" customFormat="1" x14ac:dyDescent="0.2">
      <c r="A12175" s="6" t="str">
        <f>"ATG14"</f>
        <v>ATG14</v>
      </c>
      <c r="B12175" s="6">
        <v>0.38461538461538403</v>
      </c>
      <c r="C12175" s="6">
        <v>0.55521524694827296</v>
      </c>
    </row>
    <row r="12176" spans="1:3" s="8" customFormat="1" x14ac:dyDescent="0.2">
      <c r="A12176" s="6" t="str">
        <f>"TSSC4"</f>
        <v>TSSC4</v>
      </c>
      <c r="B12176" s="6">
        <v>0.38461538461538403</v>
      </c>
      <c r="C12176" s="6">
        <v>0.55521524694827296</v>
      </c>
    </row>
    <row r="12177" spans="1:3" s="8" customFormat="1" x14ac:dyDescent="0.2">
      <c r="A12177" s="6" t="str">
        <f>"SIGMAR1"</f>
        <v>SIGMAR1</v>
      </c>
      <c r="B12177" s="6">
        <v>0.38461538461538403</v>
      </c>
      <c r="C12177" s="6">
        <v>0.55521524694827296</v>
      </c>
    </row>
    <row r="12178" spans="1:3" s="8" customFormat="1" x14ac:dyDescent="0.2">
      <c r="A12178" s="6" t="str">
        <f>"AC111149.2"</f>
        <v>AC111149.2</v>
      </c>
      <c r="B12178" s="6">
        <v>0.38461538461538403</v>
      </c>
      <c r="C12178" s="6">
        <v>0.55521524694827296</v>
      </c>
    </row>
    <row r="12179" spans="1:3" s="8" customFormat="1" x14ac:dyDescent="0.2">
      <c r="A12179" s="6" t="str">
        <f>"XIST"</f>
        <v>XIST</v>
      </c>
      <c r="B12179" s="6">
        <v>0.38453500522466</v>
      </c>
      <c r="C12179" s="6">
        <v>0.55521524694827296</v>
      </c>
    </row>
    <row r="12180" spans="1:3" s="8" customFormat="1" x14ac:dyDescent="0.2">
      <c r="A12180" s="6" t="str">
        <f>"USF2"</f>
        <v>USF2</v>
      </c>
      <c r="B12180" s="6">
        <v>0.38461538461538403</v>
      </c>
      <c r="C12180" s="6">
        <v>0.55521524694827296</v>
      </c>
    </row>
    <row r="12181" spans="1:3" s="8" customFormat="1" x14ac:dyDescent="0.2">
      <c r="A12181" s="6" t="str">
        <f>"PFDN5"</f>
        <v>PFDN5</v>
      </c>
      <c r="B12181" s="6">
        <v>0.38461538461538403</v>
      </c>
      <c r="C12181" s="6">
        <v>0.55521524694827296</v>
      </c>
    </row>
    <row r="12182" spans="1:3" s="8" customFormat="1" x14ac:dyDescent="0.2">
      <c r="A12182" s="6" t="str">
        <f>"RPL24"</f>
        <v>RPL24</v>
      </c>
      <c r="B12182" s="6">
        <v>0.38461538461538403</v>
      </c>
      <c r="C12182" s="6">
        <v>0.55521524694827296</v>
      </c>
    </row>
    <row r="12183" spans="1:3" s="8" customFormat="1" x14ac:dyDescent="0.2">
      <c r="A12183" s="6" t="str">
        <f>"NAA50"</f>
        <v>NAA50</v>
      </c>
      <c r="B12183" s="6">
        <v>0.38476953907815598</v>
      </c>
      <c r="C12183" s="6">
        <v>0.55539218315139505</v>
      </c>
    </row>
    <row r="12184" spans="1:3" s="8" customFormat="1" x14ac:dyDescent="0.2">
      <c r="A12184" s="6" t="str">
        <f>"KCNN2"</f>
        <v>KCNN2</v>
      </c>
      <c r="B12184" s="6">
        <v>0.38492462311557701</v>
      </c>
      <c r="C12184" s="6">
        <v>0.55557043198426603</v>
      </c>
    </row>
    <row r="12185" spans="1:3" s="8" customFormat="1" x14ac:dyDescent="0.2">
      <c r="A12185" s="6" t="str">
        <f>"SVEP1"</f>
        <v>SVEP1</v>
      </c>
      <c r="B12185" s="6">
        <v>0.38500000000000001</v>
      </c>
      <c r="C12185" s="6">
        <v>0.55563361785948795</v>
      </c>
    </row>
    <row r="12186" spans="1:3" s="8" customFormat="1" x14ac:dyDescent="0.2">
      <c r="A12186" s="6" t="str">
        <f>"LINC02428"</f>
        <v>LINC02428</v>
      </c>
      <c r="B12186" s="6">
        <v>0.38538538538538503</v>
      </c>
      <c r="C12186" s="6">
        <v>0.556063913124762</v>
      </c>
    </row>
    <row r="12187" spans="1:3" s="8" customFormat="1" x14ac:dyDescent="0.2">
      <c r="A12187" s="6" t="str">
        <f>"LRP5L"</f>
        <v>LRP5L</v>
      </c>
      <c r="B12187" s="6">
        <v>0.38561438561438499</v>
      </c>
      <c r="C12187" s="6">
        <v>0.556063913124762</v>
      </c>
    </row>
    <row r="12188" spans="1:3" s="8" customFormat="1" x14ac:dyDescent="0.2">
      <c r="A12188" s="6" t="str">
        <f>"XKRX"</f>
        <v>XKRX</v>
      </c>
      <c r="B12188" s="6">
        <v>0.38561438561438499</v>
      </c>
      <c r="C12188" s="6">
        <v>0.556063913124762</v>
      </c>
    </row>
    <row r="12189" spans="1:3" s="8" customFormat="1" x14ac:dyDescent="0.2">
      <c r="A12189" s="6" t="str">
        <f>"TRAM2-AS1"</f>
        <v>TRAM2-AS1</v>
      </c>
      <c r="B12189" s="6">
        <v>0.38561438561438499</v>
      </c>
      <c r="C12189" s="6">
        <v>0.556063913124762</v>
      </c>
    </row>
    <row r="12190" spans="1:3" s="8" customFormat="1" x14ac:dyDescent="0.2">
      <c r="A12190" s="6" t="str">
        <f>"GTF2IP13"</f>
        <v>GTF2IP13</v>
      </c>
      <c r="B12190" s="6">
        <v>0.38561438561438499</v>
      </c>
      <c r="C12190" s="6">
        <v>0.556063913124762</v>
      </c>
    </row>
    <row r="12191" spans="1:3" s="8" customFormat="1" x14ac:dyDescent="0.2">
      <c r="A12191" s="6" t="str">
        <f>"PAN2"</f>
        <v>PAN2</v>
      </c>
      <c r="B12191" s="6">
        <v>0.38561438561438499</v>
      </c>
      <c r="C12191" s="6">
        <v>0.556063913124762</v>
      </c>
    </row>
    <row r="12192" spans="1:3" s="8" customFormat="1" x14ac:dyDescent="0.2">
      <c r="A12192" s="6" t="str">
        <f>"TTC39C"</f>
        <v>TTC39C</v>
      </c>
      <c r="B12192" s="6">
        <v>0.38561438561438499</v>
      </c>
      <c r="C12192" s="6">
        <v>0.556063913124762</v>
      </c>
    </row>
    <row r="12193" spans="1:3" s="8" customFormat="1" x14ac:dyDescent="0.2">
      <c r="A12193" s="6" t="str">
        <f>"CERKL"</f>
        <v>CERKL</v>
      </c>
      <c r="B12193" s="6">
        <v>0.38561438561438499</v>
      </c>
      <c r="C12193" s="6">
        <v>0.556063913124762</v>
      </c>
    </row>
    <row r="12194" spans="1:3" s="8" customFormat="1" x14ac:dyDescent="0.2">
      <c r="A12194" s="6" t="str">
        <f>"CACUL1"</f>
        <v>CACUL1</v>
      </c>
      <c r="B12194" s="6">
        <v>0.38561438561438499</v>
      </c>
      <c r="C12194" s="6">
        <v>0.556063913124762</v>
      </c>
    </row>
    <row r="12195" spans="1:3" s="8" customFormat="1" x14ac:dyDescent="0.2">
      <c r="A12195" s="6" t="str">
        <f>"AGBL5"</f>
        <v>AGBL5</v>
      </c>
      <c r="B12195" s="6">
        <v>0.38561438561438499</v>
      </c>
      <c r="C12195" s="6">
        <v>0.556063913124762</v>
      </c>
    </row>
    <row r="12196" spans="1:3" s="8" customFormat="1" x14ac:dyDescent="0.2">
      <c r="A12196" s="6" t="str">
        <f>"AL139011.1"</f>
        <v>AL139011.1</v>
      </c>
      <c r="B12196" s="6">
        <v>0.38600000000000001</v>
      </c>
      <c r="C12196" s="6">
        <v>0.55657433374333698</v>
      </c>
    </row>
    <row r="12197" spans="1:3" s="8" customFormat="1" x14ac:dyDescent="0.2">
      <c r="A12197" s="6" t="str">
        <f>"AC010655.3"</f>
        <v>AC010655.3</v>
      </c>
      <c r="B12197" s="6">
        <v>0.38661338661338601</v>
      </c>
      <c r="C12197" s="6">
        <v>0.55691077170556103</v>
      </c>
    </row>
    <row r="12198" spans="1:3" s="8" customFormat="1" x14ac:dyDescent="0.2">
      <c r="A12198" s="6" t="str">
        <f>"AC010336.5"</f>
        <v>AC010336.5</v>
      </c>
      <c r="B12198" s="6">
        <v>0.38661338661338601</v>
      </c>
      <c r="C12198" s="6">
        <v>0.55691077170556103</v>
      </c>
    </row>
    <row r="12199" spans="1:3" s="8" customFormat="1" x14ac:dyDescent="0.2">
      <c r="A12199" s="6" t="str">
        <f>"GNGT2"</f>
        <v>GNGT2</v>
      </c>
      <c r="B12199" s="6">
        <v>0.38661338661338601</v>
      </c>
      <c r="C12199" s="6">
        <v>0.55691077170556103</v>
      </c>
    </row>
    <row r="12200" spans="1:3" s="8" customFormat="1" x14ac:dyDescent="0.2">
      <c r="A12200" s="6" t="str">
        <f>"AC012313.5"</f>
        <v>AC012313.5</v>
      </c>
      <c r="B12200" s="6">
        <v>0.38661338661338601</v>
      </c>
      <c r="C12200" s="6">
        <v>0.55691077170556103</v>
      </c>
    </row>
    <row r="12201" spans="1:3" s="8" customFormat="1" x14ac:dyDescent="0.2">
      <c r="A12201" s="6" t="str">
        <f>"ZNF582"</f>
        <v>ZNF582</v>
      </c>
      <c r="B12201" s="6">
        <v>0.38661338661338601</v>
      </c>
      <c r="C12201" s="6">
        <v>0.55691077170556103</v>
      </c>
    </row>
    <row r="12202" spans="1:3" s="8" customFormat="1" x14ac:dyDescent="0.2">
      <c r="A12202" s="6" t="str">
        <f>"RHPN1-AS1"</f>
        <v>RHPN1-AS1</v>
      </c>
      <c r="B12202" s="6">
        <v>0.38661338661338601</v>
      </c>
      <c r="C12202" s="6">
        <v>0.55691077170556103</v>
      </c>
    </row>
    <row r="12203" spans="1:3" s="8" customFormat="1" x14ac:dyDescent="0.2">
      <c r="A12203" s="6" t="str">
        <f>"COL5A2"</f>
        <v>COL5A2</v>
      </c>
      <c r="B12203" s="6">
        <v>0.38661338661338601</v>
      </c>
      <c r="C12203" s="6">
        <v>0.55691077170556103</v>
      </c>
    </row>
    <row r="12204" spans="1:3" s="8" customFormat="1" x14ac:dyDescent="0.2">
      <c r="A12204" s="6" t="str">
        <f>"JAK2"</f>
        <v>JAK2</v>
      </c>
      <c r="B12204" s="6">
        <v>0.38661338661338601</v>
      </c>
      <c r="C12204" s="6">
        <v>0.55691077170556103</v>
      </c>
    </row>
    <row r="12205" spans="1:3" s="8" customFormat="1" x14ac:dyDescent="0.2">
      <c r="A12205" s="6" t="str">
        <f>"ANG"</f>
        <v>ANG</v>
      </c>
      <c r="B12205" s="6">
        <v>0.38661338661338601</v>
      </c>
      <c r="C12205" s="6">
        <v>0.55691077170556103</v>
      </c>
    </row>
    <row r="12206" spans="1:3" s="8" customFormat="1" x14ac:dyDescent="0.2">
      <c r="A12206" s="6" t="str">
        <f>"PURB"</f>
        <v>PURB</v>
      </c>
      <c r="B12206" s="6">
        <v>0.38661338661338601</v>
      </c>
      <c r="C12206" s="6">
        <v>0.55691077170556103</v>
      </c>
    </row>
    <row r="12207" spans="1:3" s="8" customFormat="1" x14ac:dyDescent="0.2">
      <c r="A12207" s="6" t="str">
        <f>"ACBD3"</f>
        <v>ACBD3</v>
      </c>
      <c r="B12207" s="6">
        <v>0.38661338661338601</v>
      </c>
      <c r="C12207" s="6">
        <v>0.55691077170556103</v>
      </c>
    </row>
    <row r="12208" spans="1:3" s="8" customFormat="1" x14ac:dyDescent="0.2">
      <c r="A12208" s="6" t="str">
        <f>"GSK3B"</f>
        <v>GSK3B</v>
      </c>
      <c r="B12208" s="6">
        <v>0.38661338661338601</v>
      </c>
      <c r="C12208" s="6">
        <v>0.55691077170556103</v>
      </c>
    </row>
    <row r="12209" spans="1:3" s="8" customFormat="1" x14ac:dyDescent="0.2">
      <c r="A12209" s="6" t="str">
        <f>"AC004466.1"</f>
        <v>AC004466.1</v>
      </c>
      <c r="B12209" s="6">
        <v>0.38700000000000001</v>
      </c>
      <c r="C12209" s="6">
        <v>0.55742201834862304</v>
      </c>
    </row>
    <row r="12210" spans="1:3" s="8" customFormat="1" x14ac:dyDescent="0.2">
      <c r="A12210" s="6" t="str">
        <f>"AIPL1"</f>
        <v>AIPL1</v>
      </c>
      <c r="B12210" s="6">
        <v>0.38761238761238698</v>
      </c>
      <c r="C12210" s="6">
        <v>0.55802982018799896</v>
      </c>
    </row>
    <row r="12211" spans="1:3" s="8" customFormat="1" x14ac:dyDescent="0.2">
      <c r="A12211" s="6" t="str">
        <f>"AC005224.3"</f>
        <v>AC005224.3</v>
      </c>
      <c r="B12211" s="6">
        <v>0.38761238761238698</v>
      </c>
      <c r="C12211" s="6">
        <v>0.55802982018799896</v>
      </c>
    </row>
    <row r="12212" spans="1:3" s="8" customFormat="1" x14ac:dyDescent="0.2">
      <c r="A12212" s="6" t="str">
        <f>"AGAP5"</f>
        <v>AGAP5</v>
      </c>
      <c r="B12212" s="6">
        <v>0.38761238761238698</v>
      </c>
      <c r="C12212" s="6">
        <v>0.55802982018799896</v>
      </c>
    </row>
    <row r="12213" spans="1:3" s="8" customFormat="1" x14ac:dyDescent="0.2">
      <c r="A12213" s="6" t="str">
        <f>"RNF32"</f>
        <v>RNF32</v>
      </c>
      <c r="B12213" s="6">
        <v>0.38761238761238698</v>
      </c>
      <c r="C12213" s="6">
        <v>0.55802982018799896</v>
      </c>
    </row>
    <row r="12214" spans="1:3" s="8" customFormat="1" x14ac:dyDescent="0.2">
      <c r="A12214" s="6" t="str">
        <f>"RBM43"</f>
        <v>RBM43</v>
      </c>
      <c r="B12214" s="6">
        <v>0.38761238761238698</v>
      </c>
      <c r="C12214" s="6">
        <v>0.55802982018799896</v>
      </c>
    </row>
    <row r="12215" spans="1:3" s="8" customFormat="1" x14ac:dyDescent="0.2">
      <c r="A12215" s="6" t="str">
        <f>"PDE8A"</f>
        <v>PDE8A</v>
      </c>
      <c r="B12215" s="6">
        <v>0.38761238761238698</v>
      </c>
      <c r="C12215" s="6">
        <v>0.55802982018799896</v>
      </c>
    </row>
    <row r="12216" spans="1:3" s="8" customFormat="1" x14ac:dyDescent="0.2">
      <c r="A12216" s="6" t="str">
        <f>"AC133550.3"</f>
        <v>AC133550.3</v>
      </c>
      <c r="B12216" s="6">
        <v>0.38800000000000001</v>
      </c>
      <c r="C12216" s="6">
        <v>0.558496398166339</v>
      </c>
    </row>
    <row r="12217" spans="1:3" s="8" customFormat="1" x14ac:dyDescent="0.2">
      <c r="A12217" s="6" t="str">
        <f>"PRDM6"</f>
        <v>PRDM6</v>
      </c>
      <c r="B12217" s="6">
        <v>0.38800000000000001</v>
      </c>
      <c r="C12217" s="6">
        <v>0.558496398166339</v>
      </c>
    </row>
    <row r="12218" spans="1:3" s="8" customFormat="1" x14ac:dyDescent="0.2">
      <c r="A12218" s="6" t="str">
        <f>"AC091151.1"</f>
        <v>AC091151.1</v>
      </c>
      <c r="B12218" s="6">
        <v>0.38838838838838802</v>
      </c>
      <c r="C12218" s="6">
        <v>0.55878180205598604</v>
      </c>
    </row>
    <row r="12219" spans="1:3" s="8" customFormat="1" x14ac:dyDescent="0.2">
      <c r="A12219" s="6" t="str">
        <f>"LINC01914"</f>
        <v>LINC01914</v>
      </c>
      <c r="B12219" s="6">
        <v>0.388611388611388</v>
      </c>
      <c r="C12219" s="6">
        <v>0.55878180205598604</v>
      </c>
    </row>
    <row r="12220" spans="1:3" s="8" customFormat="1" x14ac:dyDescent="0.2">
      <c r="A12220" s="6" t="str">
        <f>"PODN"</f>
        <v>PODN</v>
      </c>
      <c r="B12220" s="6">
        <v>0.388611388611388</v>
      </c>
      <c r="C12220" s="6">
        <v>0.55878180205598604</v>
      </c>
    </row>
    <row r="12221" spans="1:3" s="8" customFormat="1" x14ac:dyDescent="0.2">
      <c r="A12221" s="6" t="str">
        <f>"KRT8P45"</f>
        <v>KRT8P45</v>
      </c>
      <c r="B12221" s="6">
        <v>0.38859556494192099</v>
      </c>
      <c r="C12221" s="6">
        <v>0.55878180205598604</v>
      </c>
    </row>
    <row r="12222" spans="1:3" s="8" customFormat="1" x14ac:dyDescent="0.2">
      <c r="A12222" s="6" t="str">
        <f>"RN7SL718P"</f>
        <v>RN7SL718P</v>
      </c>
      <c r="B12222" s="6">
        <v>0.388611388611388</v>
      </c>
      <c r="C12222" s="6">
        <v>0.55878180205598604</v>
      </c>
    </row>
    <row r="12223" spans="1:3" s="8" customFormat="1" x14ac:dyDescent="0.2">
      <c r="A12223" s="6" t="str">
        <f>"PRSS33"</f>
        <v>PRSS33</v>
      </c>
      <c r="B12223" s="6">
        <v>0.388611388611388</v>
      </c>
      <c r="C12223" s="6">
        <v>0.55878180205598604</v>
      </c>
    </row>
    <row r="12224" spans="1:3" s="8" customFormat="1" x14ac:dyDescent="0.2">
      <c r="A12224" s="6" t="str">
        <f>"AC005785.1"</f>
        <v>AC005785.1</v>
      </c>
      <c r="B12224" s="6">
        <v>0.388611388611388</v>
      </c>
      <c r="C12224" s="6">
        <v>0.55878180205598604</v>
      </c>
    </row>
    <row r="12225" spans="1:3" s="8" customFormat="1" x14ac:dyDescent="0.2">
      <c r="A12225" s="6" t="str">
        <f>"AL139220.2"</f>
        <v>AL139220.2</v>
      </c>
      <c r="B12225" s="6">
        <v>0.388611388611388</v>
      </c>
      <c r="C12225" s="6">
        <v>0.55878180205598604</v>
      </c>
    </row>
    <row r="12226" spans="1:3" s="8" customFormat="1" x14ac:dyDescent="0.2">
      <c r="A12226" s="6" t="str">
        <f>"HCN4"</f>
        <v>HCN4</v>
      </c>
      <c r="B12226" s="6">
        <v>0.388611388611388</v>
      </c>
      <c r="C12226" s="6">
        <v>0.55878180205598604</v>
      </c>
    </row>
    <row r="12227" spans="1:3" s="8" customFormat="1" x14ac:dyDescent="0.2">
      <c r="A12227" s="6" t="str">
        <f>"TST"</f>
        <v>TST</v>
      </c>
      <c r="B12227" s="6">
        <v>0.388611388611388</v>
      </c>
      <c r="C12227" s="6">
        <v>0.55878180205598604</v>
      </c>
    </row>
    <row r="12228" spans="1:3" s="8" customFormat="1" x14ac:dyDescent="0.2">
      <c r="A12228" s="6" t="str">
        <f>"ARRDC3"</f>
        <v>ARRDC3</v>
      </c>
      <c r="B12228" s="6">
        <v>0.388611388611388</v>
      </c>
      <c r="C12228" s="6">
        <v>0.55878180205598604</v>
      </c>
    </row>
    <row r="12229" spans="1:3" s="8" customFormat="1" x14ac:dyDescent="0.2">
      <c r="A12229" s="6" t="str">
        <f>"ATP6AP2"</f>
        <v>ATP6AP2</v>
      </c>
      <c r="B12229" s="6">
        <v>0.388611388611388</v>
      </c>
      <c r="C12229" s="6">
        <v>0.55878180205598604</v>
      </c>
    </row>
    <row r="12230" spans="1:3" s="8" customFormat="1" x14ac:dyDescent="0.2">
      <c r="A12230" s="6" t="str">
        <f>"RSPH3"</f>
        <v>RSPH3</v>
      </c>
      <c r="B12230" s="6">
        <v>0.388611388611388</v>
      </c>
      <c r="C12230" s="6">
        <v>0.55878180205598604</v>
      </c>
    </row>
    <row r="12231" spans="1:3" s="8" customFormat="1" x14ac:dyDescent="0.2">
      <c r="A12231" s="6" t="str">
        <f>"AC027796.4"</f>
        <v>AC027796.4</v>
      </c>
      <c r="B12231" s="6">
        <v>0.38961038961038902</v>
      </c>
      <c r="C12231" s="6">
        <v>0.55985201363970605</v>
      </c>
    </row>
    <row r="12232" spans="1:3" s="8" customFormat="1" x14ac:dyDescent="0.2">
      <c r="A12232" s="6" t="str">
        <f>"LINC00426"</f>
        <v>LINC00426</v>
      </c>
      <c r="B12232" s="6">
        <v>0.38961038961038902</v>
      </c>
      <c r="C12232" s="6">
        <v>0.55985201363970605</v>
      </c>
    </row>
    <row r="12233" spans="1:3" s="8" customFormat="1" x14ac:dyDescent="0.2">
      <c r="A12233" s="6" t="str">
        <f>"AC005722.3"</f>
        <v>AC005722.3</v>
      </c>
      <c r="B12233" s="6">
        <v>0.38961038961038902</v>
      </c>
      <c r="C12233" s="6">
        <v>0.55985201363970605</v>
      </c>
    </row>
    <row r="12234" spans="1:3" s="8" customFormat="1" x14ac:dyDescent="0.2">
      <c r="A12234" s="6" t="str">
        <f>"QDPR"</f>
        <v>QDPR</v>
      </c>
      <c r="B12234" s="6">
        <v>0.38961038961038902</v>
      </c>
      <c r="C12234" s="6">
        <v>0.55985201363970605</v>
      </c>
    </row>
    <row r="12235" spans="1:3" s="8" customFormat="1" x14ac:dyDescent="0.2">
      <c r="A12235" s="6" t="str">
        <f>"TLCD3A"</f>
        <v>TLCD3A</v>
      </c>
      <c r="B12235" s="6">
        <v>0.38961038961038902</v>
      </c>
      <c r="C12235" s="6">
        <v>0.55985201363970605</v>
      </c>
    </row>
    <row r="12236" spans="1:3" s="8" customFormat="1" x14ac:dyDescent="0.2">
      <c r="A12236" s="6" t="str">
        <f>"ZDHHC8"</f>
        <v>ZDHHC8</v>
      </c>
      <c r="B12236" s="6">
        <v>0.38961038961038902</v>
      </c>
      <c r="C12236" s="6">
        <v>0.55985201363970605</v>
      </c>
    </row>
    <row r="12237" spans="1:3" s="8" customFormat="1" x14ac:dyDescent="0.2">
      <c r="A12237" s="6" t="str">
        <f>"TNS4"</f>
        <v>TNS4</v>
      </c>
      <c r="B12237" s="6">
        <v>0.38961038961038902</v>
      </c>
      <c r="C12237" s="6">
        <v>0.55985201363970605</v>
      </c>
    </row>
    <row r="12238" spans="1:3" s="8" customFormat="1" x14ac:dyDescent="0.2">
      <c r="A12238" s="6" t="str">
        <f>"TRAPPC10"</f>
        <v>TRAPPC10</v>
      </c>
      <c r="B12238" s="6">
        <v>0.38961038961038902</v>
      </c>
      <c r="C12238" s="6">
        <v>0.55985201363970605</v>
      </c>
    </row>
    <row r="12239" spans="1:3" s="8" customFormat="1" x14ac:dyDescent="0.2">
      <c r="A12239" s="6" t="str">
        <f>"RBMS3-AS3"</f>
        <v>RBMS3-AS3</v>
      </c>
      <c r="B12239" s="6">
        <v>0.39</v>
      </c>
      <c r="C12239" s="6">
        <v>0.560366072887726</v>
      </c>
    </row>
    <row r="12240" spans="1:3" s="8" customFormat="1" x14ac:dyDescent="0.2">
      <c r="A12240" s="6" t="str">
        <f>"AC090425.3"</f>
        <v>AC090425.3</v>
      </c>
      <c r="B12240" s="6">
        <v>0.390625</v>
      </c>
      <c r="C12240" s="6">
        <v>0.56053125510037505</v>
      </c>
    </row>
    <row r="12241" spans="1:3" s="8" customFormat="1" x14ac:dyDescent="0.2">
      <c r="A12241" s="6" t="str">
        <f>"AL157893.1"</f>
        <v>AL157893.1</v>
      </c>
      <c r="B12241" s="6">
        <v>0.39060939060938998</v>
      </c>
      <c r="C12241" s="6">
        <v>0.56053125510037505</v>
      </c>
    </row>
    <row r="12242" spans="1:3" s="8" customFormat="1" x14ac:dyDescent="0.2">
      <c r="A12242" s="6" t="str">
        <f>"ADAMTS9-AS2"</f>
        <v>ADAMTS9-AS2</v>
      </c>
      <c r="B12242" s="6">
        <v>0.39060939060938998</v>
      </c>
      <c r="C12242" s="6">
        <v>0.56053125510037505</v>
      </c>
    </row>
    <row r="12243" spans="1:3" s="8" customFormat="1" x14ac:dyDescent="0.2">
      <c r="A12243" s="6" t="str">
        <f>"TEX35"</f>
        <v>TEX35</v>
      </c>
      <c r="B12243" s="6">
        <v>0.39060939060938998</v>
      </c>
      <c r="C12243" s="6">
        <v>0.56053125510037505</v>
      </c>
    </row>
    <row r="12244" spans="1:3" s="8" customFormat="1" x14ac:dyDescent="0.2">
      <c r="A12244" s="6" t="str">
        <f>"AC092687.3"</f>
        <v>AC092687.3</v>
      </c>
      <c r="B12244" s="6">
        <v>0.39060939060938998</v>
      </c>
      <c r="C12244" s="6">
        <v>0.56053125510037505</v>
      </c>
    </row>
    <row r="12245" spans="1:3" s="8" customFormat="1" x14ac:dyDescent="0.2">
      <c r="A12245" s="6" t="str">
        <f>"AC005863.1"</f>
        <v>AC005863.1</v>
      </c>
      <c r="B12245" s="6">
        <v>0.39060939060938998</v>
      </c>
      <c r="C12245" s="6">
        <v>0.56053125510037505</v>
      </c>
    </row>
    <row r="12246" spans="1:3" s="8" customFormat="1" x14ac:dyDescent="0.2">
      <c r="A12246" s="6" t="str">
        <f>"KRT2"</f>
        <v>KRT2</v>
      </c>
      <c r="B12246" s="6">
        <v>0.39060939060938998</v>
      </c>
      <c r="C12246" s="6">
        <v>0.56053125510037505</v>
      </c>
    </row>
    <row r="12247" spans="1:3" s="8" customFormat="1" x14ac:dyDescent="0.2">
      <c r="A12247" s="6" t="str">
        <f>"AC087752.3"</f>
        <v>AC087752.3</v>
      </c>
      <c r="B12247" s="6">
        <v>0.39060939060938998</v>
      </c>
      <c r="C12247" s="6">
        <v>0.56053125510037505</v>
      </c>
    </row>
    <row r="12248" spans="1:3" s="8" customFormat="1" x14ac:dyDescent="0.2">
      <c r="A12248" s="6" t="str">
        <f>"SSPOP"</f>
        <v>SSPOP</v>
      </c>
      <c r="B12248" s="6">
        <v>0.39060939060938998</v>
      </c>
      <c r="C12248" s="6">
        <v>0.56053125510037505</v>
      </c>
    </row>
    <row r="12249" spans="1:3" s="8" customFormat="1" x14ac:dyDescent="0.2">
      <c r="A12249" s="6" t="str">
        <f>"SNX18P3"</f>
        <v>SNX18P3</v>
      </c>
      <c r="B12249" s="6">
        <v>0.39060939060938998</v>
      </c>
      <c r="C12249" s="6">
        <v>0.56053125510037505</v>
      </c>
    </row>
    <row r="12250" spans="1:3" s="8" customFormat="1" x14ac:dyDescent="0.2">
      <c r="A12250" s="6" t="str">
        <f>"RIDA"</f>
        <v>RIDA</v>
      </c>
      <c r="B12250" s="6">
        <v>0.39060939060938998</v>
      </c>
      <c r="C12250" s="6">
        <v>0.56053125510037505</v>
      </c>
    </row>
    <row r="12251" spans="1:3" s="8" customFormat="1" x14ac:dyDescent="0.2">
      <c r="A12251" s="6" t="str">
        <f>"EFCAB7"</f>
        <v>EFCAB7</v>
      </c>
      <c r="B12251" s="6">
        <v>0.39060939060938998</v>
      </c>
      <c r="C12251" s="6">
        <v>0.56053125510037505</v>
      </c>
    </row>
    <row r="12252" spans="1:3" s="8" customFormat="1" x14ac:dyDescent="0.2">
      <c r="A12252" s="6" t="str">
        <f>"ARHGEF19"</f>
        <v>ARHGEF19</v>
      </c>
      <c r="B12252" s="6">
        <v>0.39060939060938998</v>
      </c>
      <c r="C12252" s="6">
        <v>0.56053125510037505</v>
      </c>
    </row>
    <row r="12253" spans="1:3" s="8" customFormat="1" x14ac:dyDescent="0.2">
      <c r="A12253" s="6" t="str">
        <f>"ZNF561"</f>
        <v>ZNF561</v>
      </c>
      <c r="B12253" s="6">
        <v>0.39060939060938998</v>
      </c>
      <c r="C12253" s="6">
        <v>0.56053125510037505</v>
      </c>
    </row>
    <row r="12254" spans="1:3" s="8" customFormat="1" x14ac:dyDescent="0.2">
      <c r="A12254" s="6" t="str">
        <f>"TADA2B"</f>
        <v>TADA2B</v>
      </c>
      <c r="B12254" s="6">
        <v>0.39060939060938998</v>
      </c>
      <c r="C12254" s="6">
        <v>0.56053125510037505</v>
      </c>
    </row>
    <row r="12255" spans="1:3" s="8" customFormat="1" x14ac:dyDescent="0.2">
      <c r="A12255" s="6" t="str">
        <f>"TPR"</f>
        <v>TPR</v>
      </c>
      <c r="B12255" s="6">
        <v>0.39060939060938998</v>
      </c>
      <c r="C12255" s="6">
        <v>0.56053125510037505</v>
      </c>
    </row>
    <row r="12256" spans="1:3" s="8" customFormat="1" x14ac:dyDescent="0.2">
      <c r="A12256" s="6" t="str">
        <f>"AC008763.1"</f>
        <v>AC008763.1</v>
      </c>
      <c r="B12256" s="6">
        <v>0.39100000000000001</v>
      </c>
      <c r="C12256" s="6">
        <v>0.56097780678851095</v>
      </c>
    </row>
    <row r="12257" spans="1:3" s="8" customFormat="1" x14ac:dyDescent="0.2">
      <c r="A12257" s="6" t="str">
        <f>"SPATA4"</f>
        <v>SPATA4</v>
      </c>
      <c r="B12257" s="6">
        <v>0.39100000000000001</v>
      </c>
      <c r="C12257" s="6">
        <v>0.56097780678851095</v>
      </c>
    </row>
    <row r="12258" spans="1:3" s="8" customFormat="1" x14ac:dyDescent="0.2">
      <c r="A12258" s="6" t="str">
        <f>"AC020917.3"</f>
        <v>AC020917.3</v>
      </c>
      <c r="B12258" s="6">
        <v>0.39117352056168497</v>
      </c>
      <c r="C12258" s="6">
        <v>0.56118097295885305</v>
      </c>
    </row>
    <row r="12259" spans="1:3" s="8" customFormat="1" x14ac:dyDescent="0.2">
      <c r="A12259" s="6" t="str">
        <f>"PRDM7"</f>
        <v>PRDM7</v>
      </c>
      <c r="B12259" s="6">
        <v>0.391608391608391</v>
      </c>
      <c r="C12259" s="6">
        <v>0.56143839853583</v>
      </c>
    </row>
    <row r="12260" spans="1:3" s="8" customFormat="1" x14ac:dyDescent="0.2">
      <c r="A12260" s="6" t="str">
        <f>"AC137561.1"</f>
        <v>AC137561.1</v>
      </c>
      <c r="B12260" s="6">
        <v>0.391608391608391</v>
      </c>
      <c r="C12260" s="6">
        <v>0.56143839853583</v>
      </c>
    </row>
    <row r="12261" spans="1:3" s="8" customFormat="1" x14ac:dyDescent="0.2">
      <c r="A12261" s="6" t="str">
        <f>"AC019069.1"</f>
        <v>AC019069.1</v>
      </c>
      <c r="B12261" s="6">
        <v>0.391608391608391</v>
      </c>
      <c r="C12261" s="6">
        <v>0.56143839853583</v>
      </c>
    </row>
    <row r="12262" spans="1:3" s="8" customFormat="1" x14ac:dyDescent="0.2">
      <c r="A12262" s="6" t="str">
        <f>"ARHGAP8"</f>
        <v>ARHGAP8</v>
      </c>
      <c r="B12262" s="6">
        <v>0.391608391608391</v>
      </c>
      <c r="C12262" s="6">
        <v>0.56143839853583</v>
      </c>
    </row>
    <row r="12263" spans="1:3" s="8" customFormat="1" x14ac:dyDescent="0.2">
      <c r="A12263" s="6" t="str">
        <f>"TCF19"</f>
        <v>TCF19</v>
      </c>
      <c r="B12263" s="6">
        <v>0.391608391608391</v>
      </c>
      <c r="C12263" s="6">
        <v>0.56143839853583</v>
      </c>
    </row>
    <row r="12264" spans="1:3" s="8" customFormat="1" x14ac:dyDescent="0.2">
      <c r="A12264" s="6" t="str">
        <f>"TCEAL9"</f>
        <v>TCEAL9</v>
      </c>
      <c r="B12264" s="6">
        <v>0.391608391608391</v>
      </c>
      <c r="C12264" s="6">
        <v>0.56143839853583</v>
      </c>
    </row>
    <row r="12265" spans="1:3" s="8" customFormat="1" x14ac:dyDescent="0.2">
      <c r="A12265" s="6" t="str">
        <f>"ARMH3"</f>
        <v>ARMH3</v>
      </c>
      <c r="B12265" s="6">
        <v>0.391608391608391</v>
      </c>
      <c r="C12265" s="6">
        <v>0.56143839853583</v>
      </c>
    </row>
    <row r="12266" spans="1:3" s="8" customFormat="1" x14ac:dyDescent="0.2">
      <c r="A12266" s="6" t="str">
        <f>"TP53INP1"</f>
        <v>TP53INP1</v>
      </c>
      <c r="B12266" s="6">
        <v>0.391608391608391</v>
      </c>
      <c r="C12266" s="6">
        <v>0.56143839853583</v>
      </c>
    </row>
    <row r="12267" spans="1:3" s="8" customFormat="1" x14ac:dyDescent="0.2">
      <c r="A12267" s="6" t="str">
        <f>"RBM22P2"</f>
        <v>RBM22P2</v>
      </c>
      <c r="B12267" s="6">
        <v>0.39200000000000002</v>
      </c>
      <c r="C12267" s="6">
        <v>0.56190820901605898</v>
      </c>
    </row>
    <row r="12268" spans="1:3" s="8" customFormat="1" x14ac:dyDescent="0.2">
      <c r="A12268" s="6" t="str">
        <f>"GRPEL1"</f>
        <v>GRPEL1</v>
      </c>
      <c r="B12268" s="6">
        <v>0.39200000000000002</v>
      </c>
      <c r="C12268" s="6">
        <v>0.56190820901605898</v>
      </c>
    </row>
    <row r="12269" spans="1:3" s="8" customFormat="1" x14ac:dyDescent="0.2">
      <c r="A12269" s="6" t="str">
        <f>"TACR1"</f>
        <v>TACR1</v>
      </c>
      <c r="B12269" s="6">
        <v>0.39260739260739203</v>
      </c>
      <c r="C12269" s="6">
        <v>0.56200003187954894</v>
      </c>
    </row>
    <row r="12270" spans="1:3" s="8" customFormat="1" x14ac:dyDescent="0.2">
      <c r="A12270" s="6" t="str">
        <f>"AL645941.1"</f>
        <v>AL645941.1</v>
      </c>
      <c r="B12270" s="6">
        <v>0.39217652958876598</v>
      </c>
      <c r="C12270" s="6">
        <v>0.56200003187954894</v>
      </c>
    </row>
    <row r="12271" spans="1:3" s="8" customFormat="1" x14ac:dyDescent="0.2">
      <c r="A12271" s="6" t="str">
        <f>"PIK3C2G"</f>
        <v>PIK3C2G</v>
      </c>
      <c r="B12271" s="6">
        <v>0.39239239239239199</v>
      </c>
      <c r="C12271" s="6">
        <v>0.56200003187954894</v>
      </c>
    </row>
    <row r="12272" spans="1:3" s="8" customFormat="1" x14ac:dyDescent="0.2">
      <c r="A12272" s="6" t="str">
        <f>"SVIL2P"</f>
        <v>SVIL2P</v>
      </c>
      <c r="B12272" s="6">
        <v>0.39260739260739203</v>
      </c>
      <c r="C12272" s="6">
        <v>0.56200003187954894</v>
      </c>
    </row>
    <row r="12273" spans="1:3" s="8" customFormat="1" x14ac:dyDescent="0.2">
      <c r="A12273" s="6" t="str">
        <f>"AC011462.5"</f>
        <v>AC011462.5</v>
      </c>
      <c r="B12273" s="6">
        <v>0.39260739260739203</v>
      </c>
      <c r="C12273" s="6">
        <v>0.56200003187954894</v>
      </c>
    </row>
    <row r="12274" spans="1:3" s="8" customFormat="1" x14ac:dyDescent="0.2">
      <c r="A12274" s="6" t="str">
        <f>"TM4SF19-AS1"</f>
        <v>TM4SF19-AS1</v>
      </c>
      <c r="B12274" s="6">
        <v>0.39260739260739203</v>
      </c>
      <c r="C12274" s="6">
        <v>0.56200003187954894</v>
      </c>
    </row>
    <row r="12275" spans="1:3" s="8" customFormat="1" x14ac:dyDescent="0.2">
      <c r="A12275" s="6" t="str">
        <f>"FOXO3B"</f>
        <v>FOXO3B</v>
      </c>
      <c r="B12275" s="6">
        <v>0.39260739260739203</v>
      </c>
      <c r="C12275" s="6">
        <v>0.56200003187954894</v>
      </c>
    </row>
    <row r="12276" spans="1:3" s="8" customFormat="1" x14ac:dyDescent="0.2">
      <c r="A12276" s="6" t="str">
        <f>"SNCG"</f>
        <v>SNCG</v>
      </c>
      <c r="B12276" s="6">
        <v>0.39260739260739203</v>
      </c>
      <c r="C12276" s="6">
        <v>0.56200003187954894</v>
      </c>
    </row>
    <row r="12277" spans="1:3" s="8" customFormat="1" x14ac:dyDescent="0.2">
      <c r="A12277" s="6" t="str">
        <f>"AC026412.1"</f>
        <v>AC026412.1</v>
      </c>
      <c r="B12277" s="6">
        <v>0.39260739260739203</v>
      </c>
      <c r="C12277" s="6">
        <v>0.56200003187954894</v>
      </c>
    </row>
    <row r="12278" spans="1:3" s="8" customFormat="1" x14ac:dyDescent="0.2">
      <c r="A12278" s="6" t="str">
        <f>"ANAPC1P2"</f>
        <v>ANAPC1P2</v>
      </c>
      <c r="B12278" s="6">
        <v>0.39260739260739203</v>
      </c>
      <c r="C12278" s="6">
        <v>0.56200003187954894</v>
      </c>
    </row>
    <row r="12279" spans="1:3" s="8" customFormat="1" x14ac:dyDescent="0.2">
      <c r="A12279" s="6" t="str">
        <f>"CWF19L1"</f>
        <v>CWF19L1</v>
      </c>
      <c r="B12279" s="6">
        <v>0.39260739260739203</v>
      </c>
      <c r="C12279" s="6">
        <v>0.56200003187954894</v>
      </c>
    </row>
    <row r="12280" spans="1:3" s="8" customFormat="1" x14ac:dyDescent="0.2">
      <c r="A12280" s="6" t="str">
        <f>"RIMKLB"</f>
        <v>RIMKLB</v>
      </c>
      <c r="B12280" s="6">
        <v>0.39260739260739203</v>
      </c>
      <c r="C12280" s="6">
        <v>0.56200003187954894</v>
      </c>
    </row>
    <row r="12281" spans="1:3" s="8" customFormat="1" x14ac:dyDescent="0.2">
      <c r="A12281" s="6" t="str">
        <f>"C15orf40"</f>
        <v>C15orf40</v>
      </c>
      <c r="B12281" s="6">
        <v>0.39260739260739203</v>
      </c>
      <c r="C12281" s="6">
        <v>0.56200003187954894</v>
      </c>
    </row>
    <row r="12282" spans="1:3" s="8" customFormat="1" x14ac:dyDescent="0.2">
      <c r="A12282" s="6" t="str">
        <f>"MTMR14"</f>
        <v>MTMR14</v>
      </c>
      <c r="B12282" s="6">
        <v>0.39260739260739203</v>
      </c>
      <c r="C12282" s="6">
        <v>0.56200003187954894</v>
      </c>
    </row>
    <row r="12283" spans="1:3" s="8" customFormat="1" x14ac:dyDescent="0.2">
      <c r="A12283" s="6" t="str">
        <f>"ARRDC1"</f>
        <v>ARRDC1</v>
      </c>
      <c r="B12283" s="6">
        <v>0.39260739260739203</v>
      </c>
      <c r="C12283" s="6">
        <v>0.56200003187954894</v>
      </c>
    </row>
    <row r="12284" spans="1:3" s="8" customFormat="1" x14ac:dyDescent="0.2">
      <c r="A12284" s="6" t="str">
        <f>"SCYL1"</f>
        <v>SCYL1</v>
      </c>
      <c r="B12284" s="6">
        <v>0.39260739260739203</v>
      </c>
      <c r="C12284" s="6">
        <v>0.56200003187954894</v>
      </c>
    </row>
    <row r="12285" spans="1:3" s="8" customFormat="1" x14ac:dyDescent="0.2">
      <c r="A12285" s="6" t="str">
        <f>"ANKMY1"</f>
        <v>ANKMY1</v>
      </c>
      <c r="B12285" s="6">
        <v>0.39260739260739203</v>
      </c>
      <c r="C12285" s="6">
        <v>0.56200003187954894</v>
      </c>
    </row>
    <row r="12286" spans="1:3" s="8" customFormat="1" x14ac:dyDescent="0.2">
      <c r="A12286" s="6" t="str">
        <f>"AGAP1-IT1"</f>
        <v>AGAP1-IT1</v>
      </c>
      <c r="B12286" s="6">
        <v>0.39274924471299</v>
      </c>
      <c r="C12286" s="6">
        <v>0.56215732348662795</v>
      </c>
    </row>
    <row r="12287" spans="1:3" s="8" customFormat="1" x14ac:dyDescent="0.2">
      <c r="A12287" s="6" t="str">
        <f>"AC077690.1"</f>
        <v>AC077690.1</v>
      </c>
      <c r="B12287" s="6">
        <v>0.39360639360639299</v>
      </c>
      <c r="C12287" s="6">
        <v>0.56274289171272596</v>
      </c>
    </row>
    <row r="12288" spans="1:3" s="8" customFormat="1" x14ac:dyDescent="0.2">
      <c r="A12288" s="6" t="str">
        <f>"ZNF192P1"</f>
        <v>ZNF192P1</v>
      </c>
      <c r="B12288" s="6">
        <v>0.39360639360639299</v>
      </c>
      <c r="C12288" s="6">
        <v>0.56274289171272596</v>
      </c>
    </row>
    <row r="12289" spans="1:3" s="8" customFormat="1" x14ac:dyDescent="0.2">
      <c r="A12289" s="6" t="str">
        <f>"NAT8L"</f>
        <v>NAT8L</v>
      </c>
      <c r="B12289" s="6">
        <v>0.39360639360639299</v>
      </c>
      <c r="C12289" s="6">
        <v>0.56274289171272596</v>
      </c>
    </row>
    <row r="12290" spans="1:3" s="8" customFormat="1" x14ac:dyDescent="0.2">
      <c r="A12290" s="6" t="str">
        <f>"SPAG16-DT"</f>
        <v>SPAG16-DT</v>
      </c>
      <c r="B12290" s="6">
        <v>0.39360639360639299</v>
      </c>
      <c r="C12290" s="6">
        <v>0.56274289171272596</v>
      </c>
    </row>
    <row r="12291" spans="1:3" s="8" customFormat="1" x14ac:dyDescent="0.2">
      <c r="A12291" s="6" t="str">
        <f>"DPY19L1P1"</f>
        <v>DPY19L1P1</v>
      </c>
      <c r="B12291" s="6">
        <v>0.39339339339339302</v>
      </c>
      <c r="C12291" s="6">
        <v>0.56274289171272596</v>
      </c>
    </row>
    <row r="12292" spans="1:3" s="8" customFormat="1" x14ac:dyDescent="0.2">
      <c r="A12292" s="6" t="str">
        <f>"PGM5"</f>
        <v>PGM5</v>
      </c>
      <c r="B12292" s="6">
        <v>0.39360639360639299</v>
      </c>
      <c r="C12292" s="6">
        <v>0.56274289171272596</v>
      </c>
    </row>
    <row r="12293" spans="1:3" s="8" customFormat="1" x14ac:dyDescent="0.2">
      <c r="A12293" s="6" t="str">
        <f>"ANXA2R"</f>
        <v>ANXA2R</v>
      </c>
      <c r="B12293" s="6">
        <v>0.39360639360639299</v>
      </c>
      <c r="C12293" s="6">
        <v>0.56274289171272596</v>
      </c>
    </row>
    <row r="12294" spans="1:3" s="8" customFormat="1" x14ac:dyDescent="0.2">
      <c r="A12294" s="6" t="str">
        <f>"RCOR2"</f>
        <v>RCOR2</v>
      </c>
      <c r="B12294" s="6">
        <v>0.39360639360639299</v>
      </c>
      <c r="C12294" s="6">
        <v>0.56274289171272596</v>
      </c>
    </row>
    <row r="12295" spans="1:3" s="8" customFormat="1" x14ac:dyDescent="0.2">
      <c r="A12295" s="6" t="str">
        <f>"AL928654.1"</f>
        <v>AL928654.1</v>
      </c>
      <c r="B12295" s="6">
        <v>0.39360639360639299</v>
      </c>
      <c r="C12295" s="6">
        <v>0.56274289171272596</v>
      </c>
    </row>
    <row r="12296" spans="1:3" s="8" customFormat="1" x14ac:dyDescent="0.2">
      <c r="A12296" s="6" t="str">
        <f>"CLUHP3"</f>
        <v>CLUHP3</v>
      </c>
      <c r="B12296" s="6">
        <v>0.39360639360639299</v>
      </c>
      <c r="C12296" s="6">
        <v>0.56274289171272596</v>
      </c>
    </row>
    <row r="12297" spans="1:3" s="8" customFormat="1" x14ac:dyDescent="0.2">
      <c r="A12297" s="6" t="str">
        <f>"LINC00174"</f>
        <v>LINC00174</v>
      </c>
      <c r="B12297" s="6">
        <v>0.39360639360639299</v>
      </c>
      <c r="C12297" s="6">
        <v>0.56274289171272596</v>
      </c>
    </row>
    <row r="12298" spans="1:3" s="8" customFormat="1" x14ac:dyDescent="0.2">
      <c r="A12298" s="6" t="str">
        <f>"RNF43"</f>
        <v>RNF43</v>
      </c>
      <c r="B12298" s="6">
        <v>0.39360639360639299</v>
      </c>
      <c r="C12298" s="6">
        <v>0.56274289171272596</v>
      </c>
    </row>
    <row r="12299" spans="1:3" s="8" customFormat="1" x14ac:dyDescent="0.2">
      <c r="A12299" s="6" t="str">
        <f>"ADAM17"</f>
        <v>ADAM17</v>
      </c>
      <c r="B12299" s="6">
        <v>0.39360639360639299</v>
      </c>
      <c r="C12299" s="6">
        <v>0.56274289171272596</v>
      </c>
    </row>
    <row r="12300" spans="1:3" s="8" customFormat="1" x14ac:dyDescent="0.2">
      <c r="A12300" s="6" t="str">
        <f>"TCEAL3"</f>
        <v>TCEAL3</v>
      </c>
      <c r="B12300" s="6">
        <v>0.39360639360639299</v>
      </c>
      <c r="C12300" s="6">
        <v>0.56274289171272596</v>
      </c>
    </row>
    <row r="12301" spans="1:3" s="8" customFormat="1" x14ac:dyDescent="0.2">
      <c r="A12301" s="6" t="str">
        <f>"AC104257.1"</f>
        <v>AC104257.1</v>
      </c>
      <c r="B12301" s="6">
        <v>0.39460539460539401</v>
      </c>
      <c r="C12301" s="6">
        <v>0.56380444127254803</v>
      </c>
    </row>
    <row r="12302" spans="1:3" s="8" customFormat="1" x14ac:dyDescent="0.2">
      <c r="A12302" s="6" t="str">
        <f>"SLC34A3"</f>
        <v>SLC34A3</v>
      </c>
      <c r="B12302" s="6">
        <v>0.39460539460539401</v>
      </c>
      <c r="C12302" s="6">
        <v>0.56380444127254803</v>
      </c>
    </row>
    <row r="12303" spans="1:3" s="8" customFormat="1" x14ac:dyDescent="0.2">
      <c r="A12303" s="6" t="str">
        <f>"DUSP9"</f>
        <v>DUSP9</v>
      </c>
      <c r="B12303" s="6">
        <v>0.39460539460539401</v>
      </c>
      <c r="C12303" s="6">
        <v>0.56380444127254803</v>
      </c>
    </row>
    <row r="12304" spans="1:3" s="8" customFormat="1" x14ac:dyDescent="0.2">
      <c r="A12304" s="6" t="str">
        <f>"CSKMT"</f>
        <v>CSKMT</v>
      </c>
      <c r="B12304" s="6">
        <v>0.39460539460539401</v>
      </c>
      <c r="C12304" s="6">
        <v>0.56380444127254803</v>
      </c>
    </row>
    <row r="12305" spans="1:3" s="8" customFormat="1" x14ac:dyDescent="0.2">
      <c r="A12305" s="6" t="str">
        <f>"AC124242.1"</f>
        <v>AC124242.1</v>
      </c>
      <c r="B12305" s="6">
        <v>0.39460539460539401</v>
      </c>
      <c r="C12305" s="6">
        <v>0.56380444127254803</v>
      </c>
    </row>
    <row r="12306" spans="1:3" s="8" customFormat="1" x14ac:dyDescent="0.2">
      <c r="A12306" s="6" t="str">
        <f>"PBX1"</f>
        <v>PBX1</v>
      </c>
      <c r="B12306" s="6">
        <v>0.39460539460539401</v>
      </c>
      <c r="C12306" s="6">
        <v>0.56380444127254803</v>
      </c>
    </row>
    <row r="12307" spans="1:3" s="8" customFormat="1" x14ac:dyDescent="0.2">
      <c r="A12307" s="6" t="str">
        <f>"MGAT1"</f>
        <v>MGAT1</v>
      </c>
      <c r="B12307" s="6">
        <v>0.39460539460539401</v>
      </c>
      <c r="C12307" s="6">
        <v>0.56380444127254803</v>
      </c>
    </row>
    <row r="12308" spans="1:3" s="8" customFormat="1" x14ac:dyDescent="0.2">
      <c r="A12308" s="6" t="str">
        <f>"SARAF"</f>
        <v>SARAF</v>
      </c>
      <c r="B12308" s="6">
        <v>0.39460539460539401</v>
      </c>
      <c r="C12308" s="6">
        <v>0.56380444127254803</v>
      </c>
    </row>
    <row r="12309" spans="1:3" s="8" customFormat="1" x14ac:dyDescent="0.2">
      <c r="A12309" s="6" t="str">
        <f>"AL606500.1"</f>
        <v>AL606500.1</v>
      </c>
      <c r="B12309" s="6">
        <v>0.394736842105263</v>
      </c>
      <c r="C12309" s="6">
        <v>0.56394642765509795</v>
      </c>
    </row>
    <row r="12310" spans="1:3" s="8" customFormat="1" x14ac:dyDescent="0.2">
      <c r="A12310" s="6" t="str">
        <f>"AP001922.5"</f>
        <v>AP001922.5</v>
      </c>
      <c r="B12310" s="6">
        <v>0.39500000000000002</v>
      </c>
      <c r="C12310" s="6">
        <v>0.56423070674248499</v>
      </c>
    </row>
    <row r="12311" spans="1:3" s="8" customFormat="1" x14ac:dyDescent="0.2">
      <c r="A12311" s="6" t="str">
        <f>"EFR3A"</f>
        <v>EFR3A</v>
      </c>
      <c r="B12311" s="6">
        <v>0.39500000000000002</v>
      </c>
      <c r="C12311" s="6">
        <v>0.56423070674248499</v>
      </c>
    </row>
    <row r="12312" spans="1:3" s="8" customFormat="1" x14ac:dyDescent="0.2">
      <c r="A12312" s="6" t="str">
        <f>"PAQR9-AS1"</f>
        <v>PAQR9-AS1</v>
      </c>
      <c r="B12312" s="6">
        <v>0.39513677811550102</v>
      </c>
      <c r="C12312" s="6">
        <v>0.56436051373581797</v>
      </c>
    </row>
    <row r="12313" spans="1:3" s="8" customFormat="1" x14ac:dyDescent="0.2">
      <c r="A12313" s="6" t="str">
        <f>"OTOP3"</f>
        <v>OTOP3</v>
      </c>
      <c r="B12313" s="6">
        <v>0.39560439560439498</v>
      </c>
      <c r="C12313" s="6">
        <v>0.56436051373581797</v>
      </c>
    </row>
    <row r="12314" spans="1:3" s="8" customFormat="1" x14ac:dyDescent="0.2">
      <c r="A12314" s="6" t="str">
        <f>"AL034405.1"</f>
        <v>AL034405.1</v>
      </c>
      <c r="B12314" s="6">
        <v>0.39560439560439498</v>
      </c>
      <c r="C12314" s="6">
        <v>0.56436051373581797</v>
      </c>
    </row>
    <row r="12315" spans="1:3" s="8" customFormat="1" x14ac:dyDescent="0.2">
      <c r="A12315" s="6" t="str">
        <f>"ZNF559-ZNF177"</f>
        <v>ZNF559-ZNF177</v>
      </c>
      <c r="B12315" s="6">
        <v>0.39560439560439498</v>
      </c>
      <c r="C12315" s="6">
        <v>0.56436051373581797</v>
      </c>
    </row>
    <row r="12316" spans="1:3" s="8" customFormat="1" x14ac:dyDescent="0.2">
      <c r="A12316" s="6" t="str">
        <f>"AL035411.3"</f>
        <v>AL035411.3</v>
      </c>
      <c r="B12316" s="6">
        <v>0.39560439560439498</v>
      </c>
      <c r="C12316" s="6">
        <v>0.56436051373581797</v>
      </c>
    </row>
    <row r="12317" spans="1:3" s="8" customFormat="1" x14ac:dyDescent="0.2">
      <c r="A12317" s="6" t="str">
        <f>"FUT10"</f>
        <v>FUT10</v>
      </c>
      <c r="B12317" s="6">
        <v>0.39560439560439498</v>
      </c>
      <c r="C12317" s="6">
        <v>0.56436051373581797</v>
      </c>
    </row>
    <row r="12318" spans="1:3" s="8" customFormat="1" x14ac:dyDescent="0.2">
      <c r="A12318" s="6" t="str">
        <f>"AC092683.1"</f>
        <v>AC092683.1</v>
      </c>
      <c r="B12318" s="6">
        <v>0.39560439560439498</v>
      </c>
      <c r="C12318" s="6">
        <v>0.56436051373581797</v>
      </c>
    </row>
    <row r="12319" spans="1:3" s="8" customFormat="1" x14ac:dyDescent="0.2">
      <c r="A12319" s="6" t="str">
        <f>"ZNF839"</f>
        <v>ZNF839</v>
      </c>
      <c r="B12319" s="6">
        <v>0.39560439560439498</v>
      </c>
      <c r="C12319" s="6">
        <v>0.56436051373581797</v>
      </c>
    </row>
    <row r="12320" spans="1:3" s="8" customFormat="1" x14ac:dyDescent="0.2">
      <c r="A12320" s="6" t="str">
        <f>"METTL21A"</f>
        <v>METTL21A</v>
      </c>
      <c r="B12320" s="6">
        <v>0.39560439560439498</v>
      </c>
      <c r="C12320" s="6">
        <v>0.56436051373581797</v>
      </c>
    </row>
    <row r="12321" spans="1:3" s="8" customFormat="1" x14ac:dyDescent="0.2">
      <c r="A12321" s="6" t="str">
        <f>"NCEH1"</f>
        <v>NCEH1</v>
      </c>
      <c r="B12321" s="6">
        <v>0.39560439560439498</v>
      </c>
      <c r="C12321" s="6">
        <v>0.56436051373581797</v>
      </c>
    </row>
    <row r="12322" spans="1:3" s="8" customFormat="1" x14ac:dyDescent="0.2">
      <c r="A12322" s="6" t="str">
        <f>"PIK3CA"</f>
        <v>PIK3CA</v>
      </c>
      <c r="B12322" s="6">
        <v>0.39560439560439498</v>
      </c>
      <c r="C12322" s="6">
        <v>0.56436051373581797</v>
      </c>
    </row>
    <row r="12323" spans="1:3" s="8" customFormat="1" x14ac:dyDescent="0.2">
      <c r="A12323" s="6" t="str">
        <f>"DAP3"</f>
        <v>DAP3</v>
      </c>
      <c r="B12323" s="6">
        <v>0.39560439560439498</v>
      </c>
      <c r="C12323" s="6">
        <v>0.56436051373581797</v>
      </c>
    </row>
    <row r="12324" spans="1:3" s="8" customFormat="1" x14ac:dyDescent="0.2">
      <c r="A12324" s="6" t="str">
        <f>"TMEM183A"</f>
        <v>TMEM183A</v>
      </c>
      <c r="B12324" s="6">
        <v>0.39560439560439498</v>
      </c>
      <c r="C12324" s="6">
        <v>0.56436051373581797</v>
      </c>
    </row>
    <row r="12325" spans="1:3" s="8" customFormat="1" x14ac:dyDescent="0.2">
      <c r="A12325" s="6" t="str">
        <f>"DHX30"</f>
        <v>DHX30</v>
      </c>
      <c r="B12325" s="6">
        <v>0.39560439560439498</v>
      </c>
      <c r="C12325" s="6">
        <v>0.56436051373581797</v>
      </c>
    </row>
    <row r="12326" spans="1:3" s="8" customFormat="1" x14ac:dyDescent="0.2">
      <c r="A12326" s="6" t="str">
        <f>"RAB2A"</f>
        <v>RAB2A</v>
      </c>
      <c r="B12326" s="6">
        <v>0.39560439560439498</v>
      </c>
      <c r="C12326" s="6">
        <v>0.56436051373581797</v>
      </c>
    </row>
    <row r="12327" spans="1:3" s="8" customFormat="1" x14ac:dyDescent="0.2">
      <c r="A12327" s="6" t="str">
        <f>"GUK1"</f>
        <v>GUK1</v>
      </c>
      <c r="B12327" s="6">
        <v>0.39560439560439498</v>
      </c>
      <c r="C12327" s="6">
        <v>0.56436051373581797</v>
      </c>
    </row>
    <row r="12328" spans="1:3" s="8" customFormat="1" x14ac:dyDescent="0.2">
      <c r="A12328" s="6" t="str">
        <f>"AL033543.1"</f>
        <v>AL033543.1</v>
      </c>
      <c r="B12328" s="6">
        <v>0.39639639639639601</v>
      </c>
      <c r="C12328" s="6">
        <v>0.56544449048707901</v>
      </c>
    </row>
    <row r="12329" spans="1:3" s="8" customFormat="1" x14ac:dyDescent="0.2">
      <c r="A12329" s="6" t="str">
        <f>"CR786580.1"</f>
        <v>CR786580.1</v>
      </c>
      <c r="B12329" s="6">
        <v>0.396603396603396</v>
      </c>
      <c r="C12329" s="6">
        <v>0.56546453627455795</v>
      </c>
    </row>
    <row r="12330" spans="1:3" s="8" customFormat="1" x14ac:dyDescent="0.2">
      <c r="A12330" s="6" t="str">
        <f>"UBAP2"</f>
        <v>UBAP2</v>
      </c>
      <c r="B12330" s="6">
        <v>0.396603396603396</v>
      </c>
      <c r="C12330" s="6">
        <v>0.56546453627455795</v>
      </c>
    </row>
    <row r="12331" spans="1:3" s="8" customFormat="1" x14ac:dyDescent="0.2">
      <c r="A12331" s="6" t="str">
        <f>"SDHC"</f>
        <v>SDHC</v>
      </c>
      <c r="B12331" s="6">
        <v>0.396603396603396</v>
      </c>
      <c r="C12331" s="6">
        <v>0.56546453627455795</v>
      </c>
    </row>
    <row r="12332" spans="1:3" s="8" customFormat="1" x14ac:dyDescent="0.2">
      <c r="A12332" s="6" t="str">
        <f>"ANKS1A"</f>
        <v>ANKS1A</v>
      </c>
      <c r="B12332" s="6">
        <v>0.396603396603396</v>
      </c>
      <c r="C12332" s="6">
        <v>0.56546453627455795</v>
      </c>
    </row>
    <row r="12333" spans="1:3" s="8" customFormat="1" x14ac:dyDescent="0.2">
      <c r="A12333" s="6" t="str">
        <f>"ZFHX3"</f>
        <v>ZFHX3</v>
      </c>
      <c r="B12333" s="6">
        <v>0.396603396603396</v>
      </c>
      <c r="C12333" s="6">
        <v>0.56546453627455795</v>
      </c>
    </row>
    <row r="12334" spans="1:3" s="8" customFormat="1" x14ac:dyDescent="0.2">
      <c r="A12334" s="6" t="str">
        <f>"KRT8"</f>
        <v>KRT8</v>
      </c>
      <c r="B12334" s="6">
        <v>0.396603396603396</v>
      </c>
      <c r="C12334" s="6">
        <v>0.56546453627455795</v>
      </c>
    </row>
    <row r="12335" spans="1:3" s="8" customFormat="1" x14ac:dyDescent="0.2">
      <c r="A12335" s="6" t="str">
        <f>"AC092135.3"</f>
        <v>AC092135.3</v>
      </c>
      <c r="B12335" s="6">
        <v>0.39700000000000002</v>
      </c>
      <c r="C12335" s="6">
        <v>0.56589234760051799</v>
      </c>
    </row>
    <row r="12336" spans="1:3" s="8" customFormat="1" x14ac:dyDescent="0.2">
      <c r="A12336" s="6" t="str">
        <f>"VWA5B1"</f>
        <v>VWA5B1</v>
      </c>
      <c r="B12336" s="6">
        <v>0.39700000000000002</v>
      </c>
      <c r="C12336" s="6">
        <v>0.56589234760051799</v>
      </c>
    </row>
    <row r="12337" spans="1:3" s="8" customFormat="1" x14ac:dyDescent="0.2">
      <c r="A12337" s="6" t="str">
        <f>"LINC01608"</f>
        <v>LINC01608</v>
      </c>
      <c r="B12337" s="6">
        <v>0.39700000000000002</v>
      </c>
      <c r="C12337" s="6">
        <v>0.56589234760051799</v>
      </c>
    </row>
    <row r="12338" spans="1:3" s="8" customFormat="1" x14ac:dyDescent="0.2">
      <c r="A12338" s="6" t="str">
        <f>"AC021683.3"</f>
        <v>AC021683.3</v>
      </c>
      <c r="B12338" s="6">
        <v>0.39760239760239702</v>
      </c>
      <c r="C12338" s="6">
        <v>0.56597106447345202</v>
      </c>
    </row>
    <row r="12339" spans="1:3" s="8" customFormat="1" x14ac:dyDescent="0.2">
      <c r="A12339" s="6" t="str">
        <f>"PENK"</f>
        <v>PENK</v>
      </c>
      <c r="B12339" s="6">
        <v>0.39760239760239702</v>
      </c>
      <c r="C12339" s="6">
        <v>0.56597106447345202</v>
      </c>
    </row>
    <row r="12340" spans="1:3" s="8" customFormat="1" x14ac:dyDescent="0.2">
      <c r="A12340" s="6" t="str">
        <f>"AC025048.2"</f>
        <v>AC025048.2</v>
      </c>
      <c r="B12340" s="6">
        <v>0.39760239760239702</v>
      </c>
      <c r="C12340" s="6">
        <v>0.56597106447345202</v>
      </c>
    </row>
    <row r="12341" spans="1:3" s="8" customFormat="1" x14ac:dyDescent="0.2">
      <c r="A12341" s="6" t="str">
        <f>"AP006621.6"</f>
        <v>AP006621.6</v>
      </c>
      <c r="B12341" s="6">
        <v>0.39760239760239702</v>
      </c>
      <c r="C12341" s="6">
        <v>0.56597106447345202</v>
      </c>
    </row>
    <row r="12342" spans="1:3" s="8" customFormat="1" x14ac:dyDescent="0.2">
      <c r="A12342" s="6" t="str">
        <f>"AC008079.1"</f>
        <v>AC008079.1</v>
      </c>
      <c r="B12342" s="6">
        <v>0.39760239760239702</v>
      </c>
      <c r="C12342" s="6">
        <v>0.56597106447345202</v>
      </c>
    </row>
    <row r="12343" spans="1:3" s="8" customFormat="1" x14ac:dyDescent="0.2">
      <c r="A12343" s="6" t="str">
        <f>"VSNL1"</f>
        <v>VSNL1</v>
      </c>
      <c r="B12343" s="6">
        <v>0.39760239760239702</v>
      </c>
      <c r="C12343" s="6">
        <v>0.56597106447345202</v>
      </c>
    </row>
    <row r="12344" spans="1:3" s="8" customFormat="1" x14ac:dyDescent="0.2">
      <c r="A12344" s="6" t="str">
        <f>"MTMR7"</f>
        <v>MTMR7</v>
      </c>
      <c r="B12344" s="6">
        <v>0.39760239760239702</v>
      </c>
      <c r="C12344" s="6">
        <v>0.56597106447345202</v>
      </c>
    </row>
    <row r="12345" spans="1:3" s="8" customFormat="1" x14ac:dyDescent="0.2">
      <c r="A12345" s="6" t="str">
        <f>"ABCC6"</f>
        <v>ABCC6</v>
      </c>
      <c r="B12345" s="6">
        <v>0.39760239760239702</v>
      </c>
      <c r="C12345" s="6">
        <v>0.56597106447345202</v>
      </c>
    </row>
    <row r="12346" spans="1:3" s="8" customFormat="1" x14ac:dyDescent="0.2">
      <c r="A12346" s="6" t="str">
        <f>"CISD2"</f>
        <v>CISD2</v>
      </c>
      <c r="B12346" s="6">
        <v>0.39760239760239702</v>
      </c>
      <c r="C12346" s="6">
        <v>0.56597106447345202</v>
      </c>
    </row>
    <row r="12347" spans="1:3" s="8" customFormat="1" x14ac:dyDescent="0.2">
      <c r="A12347" s="6" t="str">
        <f>"QSOX2"</f>
        <v>QSOX2</v>
      </c>
      <c r="B12347" s="6">
        <v>0.39760239760239702</v>
      </c>
      <c r="C12347" s="6">
        <v>0.56597106447345202</v>
      </c>
    </row>
    <row r="12348" spans="1:3" s="8" customFormat="1" x14ac:dyDescent="0.2">
      <c r="A12348" s="6" t="str">
        <f>"UBE2F"</f>
        <v>UBE2F</v>
      </c>
      <c r="B12348" s="6">
        <v>0.39760239760239702</v>
      </c>
      <c r="C12348" s="6">
        <v>0.56597106447345202</v>
      </c>
    </row>
    <row r="12349" spans="1:3" s="8" customFormat="1" x14ac:dyDescent="0.2">
      <c r="A12349" s="6" t="str">
        <f>"CFAP99"</f>
        <v>CFAP99</v>
      </c>
      <c r="B12349" s="6">
        <v>0.39760239760239702</v>
      </c>
      <c r="C12349" s="6">
        <v>0.56597106447345202</v>
      </c>
    </row>
    <row r="12350" spans="1:3" s="8" customFormat="1" x14ac:dyDescent="0.2">
      <c r="A12350" s="6" t="str">
        <f>"SIRT7"</f>
        <v>SIRT7</v>
      </c>
      <c r="B12350" s="6">
        <v>0.39760239760239702</v>
      </c>
      <c r="C12350" s="6">
        <v>0.56597106447345202</v>
      </c>
    </row>
    <row r="12351" spans="1:3" s="8" customFormat="1" x14ac:dyDescent="0.2">
      <c r="A12351" s="6" t="str">
        <f>"UNC45A"</f>
        <v>UNC45A</v>
      </c>
      <c r="B12351" s="6">
        <v>0.39760239760239702</v>
      </c>
      <c r="C12351" s="6">
        <v>0.56597106447345202</v>
      </c>
    </row>
    <row r="12352" spans="1:3" s="8" customFormat="1" x14ac:dyDescent="0.2">
      <c r="A12352" s="6" t="str">
        <f>"PITRM1"</f>
        <v>PITRM1</v>
      </c>
      <c r="B12352" s="6">
        <v>0.39760239760239702</v>
      </c>
      <c r="C12352" s="6">
        <v>0.56597106447345202</v>
      </c>
    </row>
    <row r="12353" spans="1:3" s="8" customFormat="1" x14ac:dyDescent="0.2">
      <c r="A12353" s="6" t="str">
        <f>"COPE"</f>
        <v>COPE</v>
      </c>
      <c r="B12353" s="6">
        <v>0.39760239760239702</v>
      </c>
      <c r="C12353" s="6">
        <v>0.56597106447345202</v>
      </c>
    </row>
    <row r="12354" spans="1:3" s="8" customFormat="1" x14ac:dyDescent="0.2">
      <c r="A12354" s="6" t="str">
        <f>"GOLM1"</f>
        <v>GOLM1</v>
      </c>
      <c r="B12354" s="6">
        <v>0.39760239760239702</v>
      </c>
      <c r="C12354" s="6">
        <v>0.56597106447345202</v>
      </c>
    </row>
    <row r="12355" spans="1:3" s="8" customFormat="1" x14ac:dyDescent="0.2">
      <c r="A12355" s="6" t="str">
        <f>"AC010864.1"</f>
        <v>AC010864.1</v>
      </c>
      <c r="B12355" s="6">
        <v>0.39779559118236402</v>
      </c>
      <c r="C12355" s="6">
        <v>0.56620023274653497</v>
      </c>
    </row>
    <row r="12356" spans="1:3" s="8" customFormat="1" x14ac:dyDescent="0.2">
      <c r="A12356" s="6" t="str">
        <f>"AL021395.1"</f>
        <v>AL021395.1</v>
      </c>
      <c r="B12356" s="6">
        <v>0.39800000000000002</v>
      </c>
      <c r="C12356" s="6">
        <v>0.56644532577903595</v>
      </c>
    </row>
    <row r="12357" spans="1:3" s="8" customFormat="1" x14ac:dyDescent="0.2">
      <c r="A12357" s="6" t="str">
        <f>"FOXN2"</f>
        <v>FOXN2</v>
      </c>
      <c r="B12357" s="6">
        <v>0.39860139860139798</v>
      </c>
      <c r="C12357" s="6">
        <v>0.56693415781015799</v>
      </c>
    </row>
    <row r="12358" spans="1:3" s="8" customFormat="1" x14ac:dyDescent="0.2">
      <c r="A12358" s="6" t="str">
        <f>"FBXO16"</f>
        <v>FBXO16</v>
      </c>
      <c r="B12358" s="6">
        <v>0.39860139860139798</v>
      </c>
      <c r="C12358" s="6">
        <v>0.56693415781015799</v>
      </c>
    </row>
    <row r="12359" spans="1:3" s="8" customFormat="1" x14ac:dyDescent="0.2">
      <c r="A12359" s="6" t="str">
        <f>"NLRP2"</f>
        <v>NLRP2</v>
      </c>
      <c r="B12359" s="6">
        <v>0.39860139860139798</v>
      </c>
      <c r="C12359" s="6">
        <v>0.56693415781015799</v>
      </c>
    </row>
    <row r="12360" spans="1:3" s="8" customFormat="1" x14ac:dyDescent="0.2">
      <c r="A12360" s="6" t="str">
        <f>"VARS1"</f>
        <v>VARS1</v>
      </c>
      <c r="B12360" s="6">
        <v>0.39860139860139798</v>
      </c>
      <c r="C12360" s="6">
        <v>0.56693415781015799</v>
      </c>
    </row>
    <row r="12361" spans="1:3" s="8" customFormat="1" x14ac:dyDescent="0.2">
      <c r="A12361" s="6" t="str">
        <f>"ITM2C"</f>
        <v>ITM2C</v>
      </c>
      <c r="B12361" s="6">
        <v>0.39860139860139798</v>
      </c>
      <c r="C12361" s="6">
        <v>0.56693415781015799</v>
      </c>
    </row>
    <row r="12362" spans="1:3" s="8" customFormat="1" x14ac:dyDescent="0.2">
      <c r="A12362" s="6" t="str">
        <f>"PSEN1"</f>
        <v>PSEN1</v>
      </c>
      <c r="B12362" s="6">
        <v>0.39860139860139798</v>
      </c>
      <c r="C12362" s="6">
        <v>0.56693415781015799</v>
      </c>
    </row>
    <row r="12363" spans="1:3" s="8" customFormat="1" x14ac:dyDescent="0.2">
      <c r="A12363" s="6" t="str">
        <f>"DYNC2H1"</f>
        <v>DYNC2H1</v>
      </c>
      <c r="B12363" s="6">
        <v>0.39860139860139798</v>
      </c>
      <c r="C12363" s="6">
        <v>0.56693415781015799</v>
      </c>
    </row>
    <row r="12364" spans="1:3" s="8" customFormat="1" x14ac:dyDescent="0.2">
      <c r="A12364" s="6" t="str">
        <f>"CALR"</f>
        <v>CALR</v>
      </c>
      <c r="B12364" s="6">
        <v>0.39860139860139798</v>
      </c>
      <c r="C12364" s="6">
        <v>0.56693415781015799</v>
      </c>
    </row>
    <row r="12365" spans="1:3" s="8" customFormat="1" x14ac:dyDescent="0.2">
      <c r="A12365" s="6" t="str">
        <f>"MTBP"</f>
        <v>MTBP</v>
      </c>
      <c r="B12365" s="6">
        <v>0.39900000000000002</v>
      </c>
      <c r="C12365" s="6">
        <v>0.56740930044480298</v>
      </c>
    </row>
    <row r="12366" spans="1:3" s="8" customFormat="1" x14ac:dyDescent="0.2">
      <c r="A12366" s="6" t="str">
        <f>"TCTEX1D2"</f>
        <v>TCTEX1D2</v>
      </c>
      <c r="B12366" s="6">
        <v>0.39900000000000002</v>
      </c>
      <c r="C12366" s="6">
        <v>0.56740930044480298</v>
      </c>
    </row>
    <row r="12367" spans="1:3" s="8" customFormat="1" x14ac:dyDescent="0.2">
      <c r="A12367" s="6" t="str">
        <f>"TUBB8"</f>
        <v>TUBB8</v>
      </c>
      <c r="B12367" s="6">
        <v>0.399399399399399</v>
      </c>
      <c r="C12367" s="6">
        <v>0.56789569438078202</v>
      </c>
    </row>
    <row r="12368" spans="1:3" s="8" customFormat="1" x14ac:dyDescent="0.2">
      <c r="A12368" s="6" t="str">
        <f>"CSRP3"</f>
        <v>CSRP3</v>
      </c>
      <c r="B12368" s="6">
        <v>0.399600399600399</v>
      </c>
      <c r="C12368" s="6">
        <v>0.56789569438078202</v>
      </c>
    </row>
    <row r="12369" spans="1:3" s="8" customFormat="1" x14ac:dyDescent="0.2">
      <c r="A12369" s="6" t="str">
        <f>"AC104232.3"</f>
        <v>AC104232.3</v>
      </c>
      <c r="B12369" s="6">
        <v>0.39955849889624701</v>
      </c>
      <c r="C12369" s="6">
        <v>0.56789569438078202</v>
      </c>
    </row>
    <row r="12370" spans="1:3" s="8" customFormat="1" x14ac:dyDescent="0.2">
      <c r="A12370" s="6" t="str">
        <f>"ABCF2-H2BE1"</f>
        <v>ABCF2-H2BE1</v>
      </c>
      <c r="B12370" s="6">
        <v>0.399600399600399</v>
      </c>
      <c r="C12370" s="6">
        <v>0.56789569438078202</v>
      </c>
    </row>
    <row r="12371" spans="1:3" s="8" customFormat="1" x14ac:dyDescent="0.2">
      <c r="A12371" s="6" t="str">
        <f>"COX18"</f>
        <v>COX18</v>
      </c>
      <c r="B12371" s="6">
        <v>0.399600399600399</v>
      </c>
      <c r="C12371" s="6">
        <v>0.56789569438078202</v>
      </c>
    </row>
    <row r="12372" spans="1:3" s="8" customFormat="1" x14ac:dyDescent="0.2">
      <c r="A12372" s="6" t="str">
        <f>"CAB39L"</f>
        <v>CAB39L</v>
      </c>
      <c r="B12372" s="6">
        <v>0.399600399600399</v>
      </c>
      <c r="C12372" s="6">
        <v>0.56789569438078202</v>
      </c>
    </row>
    <row r="12373" spans="1:3" s="8" customFormat="1" x14ac:dyDescent="0.2">
      <c r="A12373" s="6" t="str">
        <f>"GUSB"</f>
        <v>GUSB</v>
      </c>
      <c r="B12373" s="6">
        <v>0.399600399600399</v>
      </c>
      <c r="C12373" s="6">
        <v>0.56789569438078202</v>
      </c>
    </row>
    <row r="12374" spans="1:3" s="8" customFormat="1" x14ac:dyDescent="0.2">
      <c r="A12374" s="6" t="str">
        <f>"VWA7"</f>
        <v>VWA7</v>
      </c>
      <c r="B12374" s="6">
        <v>0.399600399600399</v>
      </c>
      <c r="C12374" s="6">
        <v>0.56789569438078202</v>
      </c>
    </row>
    <row r="12375" spans="1:3" s="8" customFormat="1" x14ac:dyDescent="0.2">
      <c r="A12375" s="6" t="str">
        <f>"ZNF311"</f>
        <v>ZNF311</v>
      </c>
      <c r="B12375" s="6">
        <v>0.4</v>
      </c>
      <c r="C12375" s="6">
        <v>0.56841764991110399</v>
      </c>
    </row>
    <row r="12376" spans="1:3" s="8" customFormat="1" x14ac:dyDescent="0.2">
      <c r="A12376" s="6" t="str">
        <f>"LIPK"</f>
        <v>LIPK</v>
      </c>
      <c r="B12376" s="6">
        <v>0.40059940059940002</v>
      </c>
      <c r="C12376" s="6">
        <v>0.56880974322834699</v>
      </c>
    </row>
    <row r="12377" spans="1:3" s="8" customFormat="1" x14ac:dyDescent="0.2">
      <c r="A12377" s="6" t="str">
        <f>"AP006287.2"</f>
        <v>AP006287.2</v>
      </c>
      <c r="B12377" s="6">
        <v>0.40059940059940002</v>
      </c>
      <c r="C12377" s="6">
        <v>0.56880974322834699</v>
      </c>
    </row>
    <row r="12378" spans="1:3" s="8" customFormat="1" x14ac:dyDescent="0.2">
      <c r="A12378" s="6" t="str">
        <f>"LINC01821"</f>
        <v>LINC01821</v>
      </c>
      <c r="B12378" s="6">
        <v>0.40059940059940002</v>
      </c>
      <c r="C12378" s="6">
        <v>0.56880974322834699</v>
      </c>
    </row>
    <row r="12379" spans="1:3" s="8" customFormat="1" x14ac:dyDescent="0.2">
      <c r="A12379" s="6" t="str">
        <f>"KIR3DX1"</f>
        <v>KIR3DX1</v>
      </c>
      <c r="B12379" s="6">
        <v>0.40040040040039998</v>
      </c>
      <c r="C12379" s="6">
        <v>0.56880974322834699</v>
      </c>
    </row>
    <row r="12380" spans="1:3" s="8" customFormat="1" x14ac:dyDescent="0.2">
      <c r="A12380" s="6" t="str">
        <f>"AC012358.2"</f>
        <v>AC012358.2</v>
      </c>
      <c r="B12380" s="6">
        <v>0.40059940059940002</v>
      </c>
      <c r="C12380" s="6">
        <v>0.56880974322834699</v>
      </c>
    </row>
    <row r="12381" spans="1:3" s="8" customFormat="1" x14ac:dyDescent="0.2">
      <c r="A12381" s="6" t="str">
        <f>"CCK"</f>
        <v>CCK</v>
      </c>
      <c r="B12381" s="6">
        <v>0.40059940059940002</v>
      </c>
      <c r="C12381" s="6">
        <v>0.56880974322834699</v>
      </c>
    </row>
    <row r="12382" spans="1:3" s="8" customFormat="1" x14ac:dyDescent="0.2">
      <c r="A12382" s="6" t="str">
        <f>"RBM48"</f>
        <v>RBM48</v>
      </c>
      <c r="B12382" s="6">
        <v>0.40059940059940002</v>
      </c>
      <c r="C12382" s="6">
        <v>0.56880974322834699</v>
      </c>
    </row>
    <row r="12383" spans="1:3" s="8" customFormat="1" x14ac:dyDescent="0.2">
      <c r="A12383" s="6" t="str">
        <f>"IL17RE"</f>
        <v>IL17RE</v>
      </c>
      <c r="B12383" s="6">
        <v>0.40059940059940002</v>
      </c>
      <c r="C12383" s="6">
        <v>0.56880974322834699</v>
      </c>
    </row>
    <row r="12384" spans="1:3" s="8" customFormat="1" x14ac:dyDescent="0.2">
      <c r="A12384" s="6" t="str">
        <f>"SSBP1"</f>
        <v>SSBP1</v>
      </c>
      <c r="B12384" s="6">
        <v>0.40059940059940002</v>
      </c>
      <c r="C12384" s="6">
        <v>0.56880974322834699</v>
      </c>
    </row>
    <row r="12385" spans="1:3" s="8" customFormat="1" x14ac:dyDescent="0.2">
      <c r="A12385" s="6" t="str">
        <f>"ORAI2"</f>
        <v>ORAI2</v>
      </c>
      <c r="B12385" s="6">
        <v>0.40059940059940002</v>
      </c>
      <c r="C12385" s="6">
        <v>0.56880974322834699</v>
      </c>
    </row>
    <row r="12386" spans="1:3" s="8" customFormat="1" x14ac:dyDescent="0.2">
      <c r="A12386" s="6" t="str">
        <f>"AC098591.2"</f>
        <v>AC098591.2</v>
      </c>
      <c r="B12386" s="6">
        <v>0.40160642570281102</v>
      </c>
      <c r="C12386" s="6">
        <v>0.569733553009942</v>
      </c>
    </row>
    <row r="12387" spans="1:3" s="8" customFormat="1" x14ac:dyDescent="0.2">
      <c r="A12387" s="6" t="str">
        <f>"ANGPT2"</f>
        <v>ANGPT2</v>
      </c>
      <c r="B12387" s="6">
        <v>0.40159840159840099</v>
      </c>
      <c r="C12387" s="6">
        <v>0.569733553009942</v>
      </c>
    </row>
    <row r="12388" spans="1:3" s="8" customFormat="1" x14ac:dyDescent="0.2">
      <c r="A12388" s="6" t="str">
        <f>"LINC01354"</f>
        <v>LINC01354</v>
      </c>
      <c r="B12388" s="6">
        <v>0.40159840159840099</v>
      </c>
      <c r="C12388" s="6">
        <v>0.569733553009942</v>
      </c>
    </row>
    <row r="12389" spans="1:3" s="8" customFormat="1" x14ac:dyDescent="0.2">
      <c r="A12389" s="6" t="str">
        <f>"PRTFDC1"</f>
        <v>PRTFDC1</v>
      </c>
      <c r="B12389" s="6">
        <v>0.40159840159840099</v>
      </c>
      <c r="C12389" s="6">
        <v>0.569733553009942</v>
      </c>
    </row>
    <row r="12390" spans="1:3" s="8" customFormat="1" x14ac:dyDescent="0.2">
      <c r="A12390" s="6" t="str">
        <f>"AC003072.1"</f>
        <v>AC003072.1</v>
      </c>
      <c r="B12390" s="6">
        <v>0.40159840159840099</v>
      </c>
      <c r="C12390" s="6">
        <v>0.569733553009942</v>
      </c>
    </row>
    <row r="12391" spans="1:3" s="8" customFormat="1" x14ac:dyDescent="0.2">
      <c r="A12391" s="6" t="str">
        <f>"PNPLA7"</f>
        <v>PNPLA7</v>
      </c>
      <c r="B12391" s="6">
        <v>0.40159840159840099</v>
      </c>
      <c r="C12391" s="6">
        <v>0.569733553009942</v>
      </c>
    </row>
    <row r="12392" spans="1:3" s="8" customFormat="1" x14ac:dyDescent="0.2">
      <c r="A12392" s="6" t="str">
        <f>"QSER1"</f>
        <v>QSER1</v>
      </c>
      <c r="B12392" s="6">
        <v>0.40159840159840099</v>
      </c>
      <c r="C12392" s="6">
        <v>0.569733553009942</v>
      </c>
    </row>
    <row r="12393" spans="1:3" s="8" customFormat="1" x14ac:dyDescent="0.2">
      <c r="A12393" s="6" t="str">
        <f>"ANKRD40"</f>
        <v>ANKRD40</v>
      </c>
      <c r="B12393" s="6">
        <v>0.40159840159840099</v>
      </c>
      <c r="C12393" s="6">
        <v>0.569733553009942</v>
      </c>
    </row>
    <row r="12394" spans="1:3" s="8" customFormat="1" x14ac:dyDescent="0.2">
      <c r="A12394" s="6" t="str">
        <f>"SNX14"</f>
        <v>SNX14</v>
      </c>
      <c r="B12394" s="6">
        <v>0.40159840159840099</v>
      </c>
      <c r="C12394" s="6">
        <v>0.569733553009942</v>
      </c>
    </row>
    <row r="12395" spans="1:3" s="8" customFormat="1" x14ac:dyDescent="0.2">
      <c r="A12395" s="6" t="str">
        <f>"EIF3I"</f>
        <v>EIF3I</v>
      </c>
      <c r="B12395" s="6">
        <v>0.40159840159840099</v>
      </c>
      <c r="C12395" s="6">
        <v>0.569733553009942</v>
      </c>
    </row>
    <row r="12396" spans="1:3" s="8" customFormat="1" x14ac:dyDescent="0.2">
      <c r="A12396" s="6" t="str">
        <f>"MFN2"</f>
        <v>MFN2</v>
      </c>
      <c r="B12396" s="6">
        <v>0.40159840159840099</v>
      </c>
      <c r="C12396" s="6">
        <v>0.569733553009942</v>
      </c>
    </row>
    <row r="12397" spans="1:3" s="8" customFormat="1" x14ac:dyDescent="0.2">
      <c r="A12397" s="6" t="str">
        <f>"AC024575.1"</f>
        <v>AC024575.1</v>
      </c>
      <c r="B12397" s="6">
        <v>0.40163934426229497</v>
      </c>
      <c r="C12397" s="6">
        <v>0.56973428763376799</v>
      </c>
    </row>
    <row r="12398" spans="1:3" s="8" customFormat="1" x14ac:dyDescent="0.2">
      <c r="A12398" s="6" t="str">
        <f>"LINC02324"</f>
        <v>LINC02324</v>
      </c>
      <c r="B12398" s="6">
        <v>0.40204081632652999</v>
      </c>
      <c r="C12398" s="6">
        <v>0.57021178531099403</v>
      </c>
    </row>
    <row r="12399" spans="1:3" s="8" customFormat="1" x14ac:dyDescent="0.2">
      <c r="A12399" s="6" t="str">
        <f>"NCMAP-DT"</f>
        <v>NCMAP-DT</v>
      </c>
      <c r="B12399" s="6">
        <v>0.402020202020202</v>
      </c>
      <c r="C12399" s="6">
        <v>0.57021178531099403</v>
      </c>
    </row>
    <row r="12400" spans="1:3" s="8" customFormat="1" x14ac:dyDescent="0.2">
      <c r="A12400" s="6" t="str">
        <f>"BHMT"</f>
        <v>BHMT</v>
      </c>
      <c r="B12400" s="6">
        <v>0.40259740259740201</v>
      </c>
      <c r="C12400" s="6">
        <v>0.57040308816958496</v>
      </c>
    </row>
    <row r="12401" spans="1:3" s="8" customFormat="1" x14ac:dyDescent="0.2">
      <c r="A12401" s="6" t="str">
        <f>"LINC00543"</f>
        <v>LINC00543</v>
      </c>
      <c r="B12401" s="6">
        <v>0.40259740259740201</v>
      </c>
      <c r="C12401" s="6">
        <v>0.57040308816958496</v>
      </c>
    </row>
    <row r="12402" spans="1:3" s="8" customFormat="1" x14ac:dyDescent="0.2">
      <c r="A12402" s="6" t="str">
        <f>"ADAMTS12"</f>
        <v>ADAMTS12</v>
      </c>
      <c r="B12402" s="6">
        <v>0.40259740259740201</v>
      </c>
      <c r="C12402" s="6">
        <v>0.57040308816958496</v>
      </c>
    </row>
    <row r="12403" spans="1:3" s="8" customFormat="1" x14ac:dyDescent="0.2">
      <c r="A12403" s="6" t="str">
        <f>"CORO6"</f>
        <v>CORO6</v>
      </c>
      <c r="B12403" s="6">
        <v>0.40259740259740201</v>
      </c>
      <c r="C12403" s="6">
        <v>0.57040308816958496</v>
      </c>
    </row>
    <row r="12404" spans="1:3" s="8" customFormat="1" x14ac:dyDescent="0.2">
      <c r="A12404" s="6" t="str">
        <f>"TAPT1-AS1"</f>
        <v>TAPT1-AS1</v>
      </c>
      <c r="B12404" s="6">
        <v>0.40259740259740201</v>
      </c>
      <c r="C12404" s="6">
        <v>0.57040308816958496</v>
      </c>
    </row>
    <row r="12405" spans="1:3" s="8" customFormat="1" x14ac:dyDescent="0.2">
      <c r="A12405" s="6" t="str">
        <f>"BORCS5"</f>
        <v>BORCS5</v>
      </c>
      <c r="B12405" s="6">
        <v>0.40259740259740201</v>
      </c>
      <c r="C12405" s="6">
        <v>0.57040308816958496</v>
      </c>
    </row>
    <row r="12406" spans="1:3" s="8" customFormat="1" x14ac:dyDescent="0.2">
      <c r="A12406" s="6" t="str">
        <f>"TRIM52"</f>
        <v>TRIM52</v>
      </c>
      <c r="B12406" s="6">
        <v>0.40259740259740201</v>
      </c>
      <c r="C12406" s="6">
        <v>0.57040308816958496</v>
      </c>
    </row>
    <row r="12407" spans="1:3" s="8" customFormat="1" x14ac:dyDescent="0.2">
      <c r="A12407" s="6" t="str">
        <f>"JMJD7-PLA2G4B"</f>
        <v>JMJD7-PLA2G4B</v>
      </c>
      <c r="B12407" s="6">
        <v>0.40259740259740201</v>
      </c>
      <c r="C12407" s="6">
        <v>0.57040308816958496</v>
      </c>
    </row>
    <row r="12408" spans="1:3" s="8" customFormat="1" x14ac:dyDescent="0.2">
      <c r="A12408" s="6" t="str">
        <f>"HSPA12A"</f>
        <v>HSPA12A</v>
      </c>
      <c r="B12408" s="6">
        <v>0.40259740259740201</v>
      </c>
      <c r="C12408" s="6">
        <v>0.57040308816958496</v>
      </c>
    </row>
    <row r="12409" spans="1:3" s="8" customFormat="1" x14ac:dyDescent="0.2">
      <c r="A12409" s="6" t="str">
        <f>"CEP41"</f>
        <v>CEP41</v>
      </c>
      <c r="B12409" s="6">
        <v>0.40259740259740201</v>
      </c>
      <c r="C12409" s="6">
        <v>0.57040308816958496</v>
      </c>
    </row>
    <row r="12410" spans="1:3" s="8" customFormat="1" x14ac:dyDescent="0.2">
      <c r="A12410" s="6" t="str">
        <f>"DST"</f>
        <v>DST</v>
      </c>
      <c r="B12410" s="6">
        <v>0.40259740259740201</v>
      </c>
      <c r="C12410" s="6">
        <v>0.57040308816958496</v>
      </c>
    </row>
    <row r="12411" spans="1:3" s="8" customFormat="1" x14ac:dyDescent="0.2">
      <c r="A12411" s="6" t="str">
        <f>"CMAHP"</f>
        <v>CMAHP</v>
      </c>
      <c r="B12411" s="6">
        <v>0.40259740259740201</v>
      </c>
      <c r="C12411" s="6">
        <v>0.57040308816958496</v>
      </c>
    </row>
    <row r="12412" spans="1:3" s="8" customFormat="1" x14ac:dyDescent="0.2">
      <c r="A12412" s="6" t="str">
        <f>"SSR4"</f>
        <v>SSR4</v>
      </c>
      <c r="B12412" s="6">
        <v>0.40259740259740201</v>
      </c>
      <c r="C12412" s="6">
        <v>0.57040308816958496</v>
      </c>
    </row>
    <row r="12413" spans="1:3" s="8" customFormat="1" x14ac:dyDescent="0.2">
      <c r="A12413" s="6" t="str">
        <f>"AC137630.2"</f>
        <v>AC137630.2</v>
      </c>
      <c r="B12413" s="6">
        <v>0.40280561122244402</v>
      </c>
      <c r="C12413" s="6">
        <v>0.57065210020427504</v>
      </c>
    </row>
    <row r="12414" spans="1:3" s="8" customFormat="1" x14ac:dyDescent="0.2">
      <c r="A12414" s="6" t="str">
        <f>"CDC42"</f>
        <v>CDC42</v>
      </c>
      <c r="B12414" s="6">
        <v>0.40300000000000002</v>
      </c>
      <c r="C12414" s="6">
        <v>0.570881495206638</v>
      </c>
    </row>
    <row r="12415" spans="1:3" s="8" customFormat="1" x14ac:dyDescent="0.2">
      <c r="A12415" s="6" t="str">
        <f>"AC004264.1"</f>
        <v>AC004264.1</v>
      </c>
      <c r="B12415" s="6">
        <v>0.40359640359640298</v>
      </c>
      <c r="C12415" s="6">
        <v>0.57108225322597195</v>
      </c>
    </row>
    <row r="12416" spans="1:3" s="8" customFormat="1" x14ac:dyDescent="0.2">
      <c r="A12416" s="6" t="str">
        <f>"GNB3"</f>
        <v>GNB3</v>
      </c>
      <c r="B12416" s="6">
        <v>0.40359640359640298</v>
      </c>
      <c r="C12416" s="6">
        <v>0.57108225322597195</v>
      </c>
    </row>
    <row r="12417" spans="1:3" s="8" customFormat="1" x14ac:dyDescent="0.2">
      <c r="A12417" s="6" t="str">
        <f>"AC105020.1"</f>
        <v>AC105020.1</v>
      </c>
      <c r="B12417" s="6">
        <v>0.40359640359640298</v>
      </c>
      <c r="C12417" s="6">
        <v>0.57108225322597195</v>
      </c>
    </row>
    <row r="12418" spans="1:3" s="8" customFormat="1" x14ac:dyDescent="0.2">
      <c r="A12418" s="6" t="str">
        <f>"AL591684.2"</f>
        <v>AL591684.2</v>
      </c>
      <c r="B12418" s="6">
        <v>0.40359640359640298</v>
      </c>
      <c r="C12418" s="6">
        <v>0.57108225322597195</v>
      </c>
    </row>
    <row r="12419" spans="1:3" s="8" customFormat="1" x14ac:dyDescent="0.2">
      <c r="A12419" s="6" t="str">
        <f>"FAM161A"</f>
        <v>FAM161A</v>
      </c>
      <c r="B12419" s="6">
        <v>0.40359640359640298</v>
      </c>
      <c r="C12419" s="6">
        <v>0.57108225322597195</v>
      </c>
    </row>
    <row r="12420" spans="1:3" s="8" customFormat="1" x14ac:dyDescent="0.2">
      <c r="A12420" s="6" t="str">
        <f>"METTL3"</f>
        <v>METTL3</v>
      </c>
      <c r="B12420" s="6">
        <v>0.40359640359640298</v>
      </c>
      <c r="C12420" s="6">
        <v>0.57108225322597195</v>
      </c>
    </row>
    <row r="12421" spans="1:3" s="8" customFormat="1" x14ac:dyDescent="0.2">
      <c r="A12421" s="6" t="str">
        <f>"TLR3"</f>
        <v>TLR3</v>
      </c>
      <c r="B12421" s="6">
        <v>0.40359640359640298</v>
      </c>
      <c r="C12421" s="6">
        <v>0.57108225322597195</v>
      </c>
    </row>
    <row r="12422" spans="1:3" s="8" customFormat="1" x14ac:dyDescent="0.2">
      <c r="A12422" s="6" t="str">
        <f>"PEX5"</f>
        <v>PEX5</v>
      </c>
      <c r="B12422" s="6">
        <v>0.40359640359640298</v>
      </c>
      <c r="C12422" s="6">
        <v>0.57108225322597195</v>
      </c>
    </row>
    <row r="12423" spans="1:3" s="8" customFormat="1" x14ac:dyDescent="0.2">
      <c r="A12423" s="6" t="str">
        <f>"TMEM175"</f>
        <v>TMEM175</v>
      </c>
      <c r="B12423" s="6">
        <v>0.40359640359640298</v>
      </c>
      <c r="C12423" s="6">
        <v>0.57108225322597195</v>
      </c>
    </row>
    <row r="12424" spans="1:3" s="8" customFormat="1" x14ac:dyDescent="0.2">
      <c r="A12424" s="6" t="str">
        <f>"SGSH"</f>
        <v>SGSH</v>
      </c>
      <c r="B12424" s="6">
        <v>0.40359640359640298</v>
      </c>
      <c r="C12424" s="6">
        <v>0.57108225322597195</v>
      </c>
    </row>
    <row r="12425" spans="1:3" s="8" customFormat="1" x14ac:dyDescent="0.2">
      <c r="A12425" s="6" t="str">
        <f>"TMEM184A"</f>
        <v>TMEM184A</v>
      </c>
      <c r="B12425" s="6">
        <v>0.40359640359640298</v>
      </c>
      <c r="C12425" s="6">
        <v>0.57108225322597195</v>
      </c>
    </row>
    <row r="12426" spans="1:3" s="8" customFormat="1" x14ac:dyDescent="0.2">
      <c r="A12426" s="6" t="str">
        <f>"ACIN1"</f>
        <v>ACIN1</v>
      </c>
      <c r="B12426" s="6">
        <v>0.40359640359640298</v>
      </c>
      <c r="C12426" s="6">
        <v>0.57108225322597195</v>
      </c>
    </row>
    <row r="12427" spans="1:3" s="8" customFormat="1" x14ac:dyDescent="0.2">
      <c r="A12427" s="6" t="str">
        <f>"FAM210B"</f>
        <v>FAM210B</v>
      </c>
      <c r="B12427" s="6">
        <v>0.40359640359640298</v>
      </c>
      <c r="C12427" s="6">
        <v>0.57108225322597195</v>
      </c>
    </row>
    <row r="12428" spans="1:3" s="8" customFormat="1" x14ac:dyDescent="0.2">
      <c r="A12428" s="6" t="str">
        <f>"GNB1"</f>
        <v>GNB1</v>
      </c>
      <c r="B12428" s="6">
        <v>0.40359640359640298</v>
      </c>
      <c r="C12428" s="6">
        <v>0.57108225322597195</v>
      </c>
    </row>
    <row r="12429" spans="1:3" s="8" customFormat="1" x14ac:dyDescent="0.2">
      <c r="A12429" s="6" t="str">
        <f>"TRBV12-4"</f>
        <v>TRBV12-4</v>
      </c>
      <c r="B12429" s="6">
        <v>0.404595404595404</v>
      </c>
      <c r="C12429" s="6">
        <v>0.57185158704329098</v>
      </c>
    </row>
    <row r="12430" spans="1:3" s="8" customFormat="1" x14ac:dyDescent="0.2">
      <c r="A12430" s="6" t="str">
        <f>"MOV10L1"</f>
        <v>MOV10L1</v>
      </c>
      <c r="B12430" s="6">
        <v>0.404595404595404</v>
      </c>
      <c r="C12430" s="6">
        <v>0.57185158704329098</v>
      </c>
    </row>
    <row r="12431" spans="1:3" s="8" customFormat="1" x14ac:dyDescent="0.2">
      <c r="A12431" s="6" t="str">
        <f>"OR4D9"</f>
        <v>OR4D9</v>
      </c>
      <c r="B12431" s="6">
        <v>0.404595404595404</v>
      </c>
      <c r="C12431" s="6">
        <v>0.57185158704329098</v>
      </c>
    </row>
    <row r="12432" spans="1:3" s="8" customFormat="1" x14ac:dyDescent="0.2">
      <c r="A12432" s="6" t="str">
        <f>"C8orf44-SGK3"</f>
        <v>C8orf44-SGK3</v>
      </c>
      <c r="B12432" s="6">
        <v>0.404595404595404</v>
      </c>
      <c r="C12432" s="6">
        <v>0.57185158704329098</v>
      </c>
    </row>
    <row r="12433" spans="1:3" s="8" customFormat="1" x14ac:dyDescent="0.2">
      <c r="A12433" s="6" t="str">
        <f>"AC046168.1"</f>
        <v>AC046168.1</v>
      </c>
      <c r="B12433" s="6">
        <v>0.404595404595404</v>
      </c>
      <c r="C12433" s="6">
        <v>0.57185158704329098</v>
      </c>
    </row>
    <row r="12434" spans="1:3" s="8" customFormat="1" x14ac:dyDescent="0.2">
      <c r="A12434" s="6" t="str">
        <f>"CFAP97D1"</f>
        <v>CFAP97D1</v>
      </c>
      <c r="B12434" s="6">
        <v>0.40420819490586901</v>
      </c>
      <c r="C12434" s="6">
        <v>0.57185158704329098</v>
      </c>
    </row>
    <row r="12435" spans="1:3" s="8" customFormat="1" x14ac:dyDescent="0.2">
      <c r="A12435" s="6" t="str">
        <f>"WBP2NL"</f>
        <v>WBP2NL</v>
      </c>
      <c r="B12435" s="6">
        <v>0.404595404595404</v>
      </c>
      <c r="C12435" s="6">
        <v>0.57185158704329098</v>
      </c>
    </row>
    <row r="12436" spans="1:3" s="8" customFormat="1" x14ac:dyDescent="0.2">
      <c r="A12436" s="6" t="str">
        <f>"AL009177.1"</f>
        <v>AL009177.1</v>
      </c>
      <c r="B12436" s="6">
        <v>0.404595404595404</v>
      </c>
      <c r="C12436" s="6">
        <v>0.57185158704329098</v>
      </c>
    </row>
    <row r="12437" spans="1:3" s="8" customFormat="1" x14ac:dyDescent="0.2">
      <c r="A12437" s="6" t="str">
        <f>"TOR2A"</f>
        <v>TOR2A</v>
      </c>
      <c r="B12437" s="6">
        <v>0.404595404595404</v>
      </c>
      <c r="C12437" s="6">
        <v>0.57185158704329098</v>
      </c>
    </row>
    <row r="12438" spans="1:3" s="8" customFormat="1" x14ac:dyDescent="0.2">
      <c r="A12438" s="6" t="str">
        <f>"GGCX"</f>
        <v>GGCX</v>
      </c>
      <c r="B12438" s="6">
        <v>0.404595404595404</v>
      </c>
      <c r="C12438" s="6">
        <v>0.57185158704329098</v>
      </c>
    </row>
    <row r="12439" spans="1:3" s="8" customFormat="1" x14ac:dyDescent="0.2">
      <c r="A12439" s="6" t="str">
        <f>"CCDC50"</f>
        <v>CCDC50</v>
      </c>
      <c r="B12439" s="6">
        <v>0.404595404595404</v>
      </c>
      <c r="C12439" s="6">
        <v>0.57185158704329098</v>
      </c>
    </row>
    <row r="12440" spans="1:3" s="8" customFormat="1" x14ac:dyDescent="0.2">
      <c r="A12440" s="6" t="str">
        <f>"SSH1"</f>
        <v>SSH1</v>
      </c>
      <c r="B12440" s="6">
        <v>0.404595404595404</v>
      </c>
      <c r="C12440" s="6">
        <v>0.57185158704329098</v>
      </c>
    </row>
    <row r="12441" spans="1:3" s="8" customFormat="1" x14ac:dyDescent="0.2">
      <c r="A12441" s="6" t="str">
        <f>"PPP2R2A"</f>
        <v>PPP2R2A</v>
      </c>
      <c r="B12441" s="6">
        <v>0.404595404595404</v>
      </c>
      <c r="C12441" s="6">
        <v>0.57185158704329098</v>
      </c>
    </row>
    <row r="12442" spans="1:3" s="8" customFormat="1" x14ac:dyDescent="0.2">
      <c r="A12442" s="6" t="str">
        <f>"DUOX2"</f>
        <v>DUOX2</v>
      </c>
      <c r="B12442" s="6">
        <v>0.404595404595404</v>
      </c>
      <c r="C12442" s="6">
        <v>0.57185158704329098</v>
      </c>
    </row>
    <row r="12443" spans="1:3" s="8" customFormat="1" x14ac:dyDescent="0.2">
      <c r="A12443" s="6" t="str">
        <f>"AL359513.1"</f>
        <v>AL359513.1</v>
      </c>
      <c r="B12443" s="6">
        <v>0.404833836858006</v>
      </c>
      <c r="C12443" s="6">
        <v>0.57214259663327205</v>
      </c>
    </row>
    <row r="12444" spans="1:3" s="8" customFormat="1" x14ac:dyDescent="0.2">
      <c r="A12444" s="6" t="str">
        <f>"CDK16"</f>
        <v>CDK16</v>
      </c>
      <c r="B12444" s="6">
        <v>0.40500000000000003</v>
      </c>
      <c r="C12444" s="6">
        <v>0.57233143132685005</v>
      </c>
    </row>
    <row r="12445" spans="1:3" s="8" customFormat="1" x14ac:dyDescent="0.2">
      <c r="A12445" s="6" t="str">
        <f>"LINC01695"</f>
        <v>LINC01695</v>
      </c>
      <c r="B12445" s="6">
        <v>0.40559440559440502</v>
      </c>
      <c r="C12445" s="6">
        <v>0.57252725599839605</v>
      </c>
    </row>
    <row r="12446" spans="1:3" s="8" customFormat="1" x14ac:dyDescent="0.2">
      <c r="A12446" s="6" t="str">
        <f>"AC073343.2"</f>
        <v>AC073343.2</v>
      </c>
      <c r="B12446" s="6">
        <v>0.40559440559440502</v>
      </c>
      <c r="C12446" s="6">
        <v>0.57252725599839605</v>
      </c>
    </row>
    <row r="12447" spans="1:3" s="8" customFormat="1" x14ac:dyDescent="0.2">
      <c r="A12447" s="6" t="str">
        <f>"WWOX-AS1"</f>
        <v>WWOX-AS1</v>
      </c>
      <c r="B12447" s="6">
        <v>0.40559440559440502</v>
      </c>
      <c r="C12447" s="6">
        <v>0.57252725599839605</v>
      </c>
    </row>
    <row r="12448" spans="1:3" s="8" customFormat="1" x14ac:dyDescent="0.2">
      <c r="A12448" s="6" t="str">
        <f>"SNHG25"</f>
        <v>SNHG25</v>
      </c>
      <c r="B12448" s="6">
        <v>0.40559440559440502</v>
      </c>
      <c r="C12448" s="6">
        <v>0.57252725599839605</v>
      </c>
    </row>
    <row r="12449" spans="1:3" s="8" customFormat="1" x14ac:dyDescent="0.2">
      <c r="A12449" s="6" t="str">
        <f>"SRARP"</f>
        <v>SRARP</v>
      </c>
      <c r="B12449" s="6">
        <v>0.40559440559440502</v>
      </c>
      <c r="C12449" s="6">
        <v>0.57252725599839605</v>
      </c>
    </row>
    <row r="12450" spans="1:3" s="8" customFormat="1" x14ac:dyDescent="0.2">
      <c r="A12450" s="6" t="str">
        <f>"SPOCK1"</f>
        <v>SPOCK1</v>
      </c>
      <c r="B12450" s="6">
        <v>0.40559440559440502</v>
      </c>
      <c r="C12450" s="6">
        <v>0.57252725599839605</v>
      </c>
    </row>
    <row r="12451" spans="1:3" s="8" customFormat="1" x14ac:dyDescent="0.2">
      <c r="A12451" s="6" t="str">
        <f>"YRDC"</f>
        <v>YRDC</v>
      </c>
      <c r="B12451" s="6">
        <v>0.40559440559440502</v>
      </c>
      <c r="C12451" s="6">
        <v>0.57252725599839605</v>
      </c>
    </row>
    <row r="12452" spans="1:3" s="8" customFormat="1" x14ac:dyDescent="0.2">
      <c r="A12452" s="6" t="str">
        <f>"RIBC2"</f>
        <v>RIBC2</v>
      </c>
      <c r="B12452" s="6">
        <v>0.40559440559440502</v>
      </c>
      <c r="C12452" s="6">
        <v>0.57252725599839605</v>
      </c>
    </row>
    <row r="12453" spans="1:3" s="8" customFormat="1" x14ac:dyDescent="0.2">
      <c r="A12453" s="6" t="str">
        <f>"KIAA1841"</f>
        <v>KIAA1841</v>
      </c>
      <c r="B12453" s="6">
        <v>0.40559440559440502</v>
      </c>
      <c r="C12453" s="6">
        <v>0.57252725599839605</v>
      </c>
    </row>
    <row r="12454" spans="1:3" s="8" customFormat="1" x14ac:dyDescent="0.2">
      <c r="A12454" s="6" t="str">
        <f>"MTHFD1"</f>
        <v>MTHFD1</v>
      </c>
      <c r="B12454" s="6">
        <v>0.40559440559440502</v>
      </c>
      <c r="C12454" s="6">
        <v>0.57252725599839605</v>
      </c>
    </row>
    <row r="12455" spans="1:3" s="8" customFormat="1" x14ac:dyDescent="0.2">
      <c r="A12455" s="6" t="str">
        <f>"MTMR3"</f>
        <v>MTMR3</v>
      </c>
      <c r="B12455" s="6">
        <v>0.40559440559440502</v>
      </c>
      <c r="C12455" s="6">
        <v>0.57252725599839605</v>
      </c>
    </row>
    <row r="12456" spans="1:3" s="8" customFormat="1" x14ac:dyDescent="0.2">
      <c r="A12456" s="6" t="str">
        <f>"NCK2"</f>
        <v>NCK2</v>
      </c>
      <c r="B12456" s="6">
        <v>0.40559440559440502</v>
      </c>
      <c r="C12456" s="6">
        <v>0.57252725599839605</v>
      </c>
    </row>
    <row r="12457" spans="1:3" s="8" customFormat="1" x14ac:dyDescent="0.2">
      <c r="A12457" s="6" t="str">
        <f>"STEAP4"</f>
        <v>STEAP4</v>
      </c>
      <c r="B12457" s="6">
        <v>0.40559440559440502</v>
      </c>
      <c r="C12457" s="6">
        <v>0.57252725599839605</v>
      </c>
    </row>
    <row r="12458" spans="1:3" s="8" customFormat="1" x14ac:dyDescent="0.2">
      <c r="A12458" s="6" t="str">
        <f>"RPL30"</f>
        <v>RPL30</v>
      </c>
      <c r="B12458" s="6">
        <v>0.40559440559440502</v>
      </c>
      <c r="C12458" s="6">
        <v>0.57252725599839605</v>
      </c>
    </row>
    <row r="12459" spans="1:3" s="8" customFormat="1" x14ac:dyDescent="0.2">
      <c r="A12459" s="6" t="str">
        <f>"TTC36"</f>
        <v>TTC36</v>
      </c>
      <c r="B12459" s="6">
        <v>0.40584415584415501</v>
      </c>
      <c r="C12459" s="6">
        <v>0.57283381251915499</v>
      </c>
    </row>
    <row r="12460" spans="1:3" s="8" customFormat="1" x14ac:dyDescent="0.2">
      <c r="A12460" s="6" t="str">
        <f>"AC116407.4"</f>
        <v>AC116407.4</v>
      </c>
      <c r="B12460" s="6">
        <v>0.40659340659340598</v>
      </c>
      <c r="C12460" s="6">
        <v>0.57310929551410505</v>
      </c>
    </row>
    <row r="12461" spans="1:3" s="8" customFormat="1" x14ac:dyDescent="0.2">
      <c r="A12461" s="6" t="str">
        <f>"AC073257.1"</f>
        <v>AC073257.1</v>
      </c>
      <c r="B12461" s="6">
        <v>0.40659340659340598</v>
      </c>
      <c r="C12461" s="6">
        <v>0.57310929551410505</v>
      </c>
    </row>
    <row r="12462" spans="1:3" s="8" customFormat="1" x14ac:dyDescent="0.2">
      <c r="A12462" s="6" t="str">
        <f>"MMADHC-DT"</f>
        <v>MMADHC-DT</v>
      </c>
      <c r="B12462" s="6">
        <v>0.40640640640640602</v>
      </c>
      <c r="C12462" s="6">
        <v>0.57310929551410505</v>
      </c>
    </row>
    <row r="12463" spans="1:3" s="8" customFormat="1" x14ac:dyDescent="0.2">
      <c r="A12463" s="6" t="str">
        <f>"FFAR4"</f>
        <v>FFAR4</v>
      </c>
      <c r="B12463" s="6">
        <v>0.40659340659340598</v>
      </c>
      <c r="C12463" s="6">
        <v>0.57310929551410505</v>
      </c>
    </row>
    <row r="12464" spans="1:3" s="8" customFormat="1" x14ac:dyDescent="0.2">
      <c r="A12464" s="6" t="str">
        <f>"AC018926.3"</f>
        <v>AC018926.3</v>
      </c>
      <c r="B12464" s="6">
        <v>0.406313645621181</v>
      </c>
      <c r="C12464" s="6">
        <v>0.57310929551410505</v>
      </c>
    </row>
    <row r="12465" spans="1:3" s="8" customFormat="1" x14ac:dyDescent="0.2">
      <c r="A12465" s="6" t="str">
        <f>"LINC01725"</f>
        <v>LINC01725</v>
      </c>
      <c r="B12465" s="6">
        <v>0.40659340659340598</v>
      </c>
      <c r="C12465" s="6">
        <v>0.57310929551410505</v>
      </c>
    </row>
    <row r="12466" spans="1:3" s="8" customFormat="1" x14ac:dyDescent="0.2">
      <c r="A12466" s="6" t="str">
        <f>"AC096992.2"</f>
        <v>AC096992.2</v>
      </c>
      <c r="B12466" s="6">
        <v>0.40659340659340598</v>
      </c>
      <c r="C12466" s="6">
        <v>0.57310929551410505</v>
      </c>
    </row>
    <row r="12467" spans="1:3" s="8" customFormat="1" x14ac:dyDescent="0.2">
      <c r="A12467" s="6" t="str">
        <f>"NCKAP5"</f>
        <v>NCKAP5</v>
      </c>
      <c r="B12467" s="6">
        <v>0.40659340659340598</v>
      </c>
      <c r="C12467" s="6">
        <v>0.57310929551410505</v>
      </c>
    </row>
    <row r="12468" spans="1:3" s="8" customFormat="1" x14ac:dyDescent="0.2">
      <c r="A12468" s="6" t="str">
        <f>"CCT6P3"</f>
        <v>CCT6P3</v>
      </c>
      <c r="B12468" s="6">
        <v>0.40659340659340598</v>
      </c>
      <c r="C12468" s="6">
        <v>0.57310929551410505</v>
      </c>
    </row>
    <row r="12469" spans="1:3" s="8" customFormat="1" x14ac:dyDescent="0.2">
      <c r="A12469" s="6" t="str">
        <f>"CLCF1"</f>
        <v>CLCF1</v>
      </c>
      <c r="B12469" s="6">
        <v>0.40659340659340598</v>
      </c>
      <c r="C12469" s="6">
        <v>0.57310929551410505</v>
      </c>
    </row>
    <row r="12470" spans="1:3" s="8" customFormat="1" x14ac:dyDescent="0.2">
      <c r="A12470" s="6" t="str">
        <f>"MRLN"</f>
        <v>MRLN</v>
      </c>
      <c r="B12470" s="6">
        <v>0.40659340659340598</v>
      </c>
      <c r="C12470" s="6">
        <v>0.57310929551410505</v>
      </c>
    </row>
    <row r="12471" spans="1:3" s="8" customFormat="1" x14ac:dyDescent="0.2">
      <c r="A12471" s="6" t="str">
        <f>"SLC22A16"</f>
        <v>SLC22A16</v>
      </c>
      <c r="B12471" s="6">
        <v>0.40659340659340598</v>
      </c>
      <c r="C12471" s="6">
        <v>0.57310929551410505</v>
      </c>
    </row>
    <row r="12472" spans="1:3" s="8" customFormat="1" x14ac:dyDescent="0.2">
      <c r="A12472" s="6" t="str">
        <f>"ZNF346"</f>
        <v>ZNF346</v>
      </c>
      <c r="B12472" s="6">
        <v>0.40659340659340598</v>
      </c>
      <c r="C12472" s="6">
        <v>0.57310929551410505</v>
      </c>
    </row>
    <row r="12473" spans="1:3" s="8" customFormat="1" x14ac:dyDescent="0.2">
      <c r="A12473" s="6" t="str">
        <f>"MOB2"</f>
        <v>MOB2</v>
      </c>
      <c r="B12473" s="6">
        <v>0.40659340659340598</v>
      </c>
      <c r="C12473" s="6">
        <v>0.57310929551410505</v>
      </c>
    </row>
    <row r="12474" spans="1:3" s="8" customFormat="1" x14ac:dyDescent="0.2">
      <c r="A12474" s="6" t="str">
        <f>"CHMP2B"</f>
        <v>CHMP2B</v>
      </c>
      <c r="B12474" s="6">
        <v>0.40659340659340598</v>
      </c>
      <c r="C12474" s="6">
        <v>0.57310929551410505</v>
      </c>
    </row>
    <row r="12475" spans="1:3" s="8" customFormat="1" x14ac:dyDescent="0.2">
      <c r="A12475" s="6" t="str">
        <f>"CNKSR1"</f>
        <v>CNKSR1</v>
      </c>
      <c r="B12475" s="6">
        <v>0.40659340659340598</v>
      </c>
      <c r="C12475" s="6">
        <v>0.57310929551410505</v>
      </c>
    </row>
    <row r="12476" spans="1:3" s="8" customFormat="1" x14ac:dyDescent="0.2">
      <c r="A12476" s="6" t="str">
        <f>"ESRP1"</f>
        <v>ESRP1</v>
      </c>
      <c r="B12476" s="6">
        <v>0.40659340659340598</v>
      </c>
      <c r="C12476" s="6">
        <v>0.57310929551410505</v>
      </c>
    </row>
    <row r="12477" spans="1:3" s="8" customFormat="1" x14ac:dyDescent="0.2">
      <c r="A12477" s="6" t="str">
        <f>"AC006252.1"</f>
        <v>AC006252.1</v>
      </c>
      <c r="B12477" s="6">
        <v>0.407592407592407</v>
      </c>
      <c r="C12477" s="6">
        <v>0.57419523274354201</v>
      </c>
    </row>
    <row r="12478" spans="1:3" s="8" customFormat="1" x14ac:dyDescent="0.2">
      <c r="A12478" s="6" t="str">
        <f>"AL513548.4"</f>
        <v>AL513548.4</v>
      </c>
      <c r="B12478" s="6">
        <v>0.407592407592407</v>
      </c>
      <c r="C12478" s="6">
        <v>0.57419523274354201</v>
      </c>
    </row>
    <row r="12479" spans="1:3" s="8" customFormat="1" x14ac:dyDescent="0.2">
      <c r="A12479" s="6" t="str">
        <f>"CXCR6"</f>
        <v>CXCR6</v>
      </c>
      <c r="B12479" s="6">
        <v>0.407592407592407</v>
      </c>
      <c r="C12479" s="6">
        <v>0.57419523274354201</v>
      </c>
    </row>
    <row r="12480" spans="1:3" s="8" customFormat="1" x14ac:dyDescent="0.2">
      <c r="A12480" s="6" t="str">
        <f>"AADACP1"</f>
        <v>AADACP1</v>
      </c>
      <c r="B12480" s="6">
        <v>0.407592407592407</v>
      </c>
      <c r="C12480" s="6">
        <v>0.57419523274354201</v>
      </c>
    </row>
    <row r="12481" spans="1:3" s="8" customFormat="1" x14ac:dyDescent="0.2">
      <c r="A12481" s="6" t="str">
        <f>"TVP23B"</f>
        <v>TVP23B</v>
      </c>
      <c r="B12481" s="6">
        <v>0.407592407592407</v>
      </c>
      <c r="C12481" s="6">
        <v>0.57419523274354201</v>
      </c>
    </row>
    <row r="12482" spans="1:3" s="8" customFormat="1" x14ac:dyDescent="0.2">
      <c r="A12482" s="6" t="str">
        <f>"KDM1A"</f>
        <v>KDM1A</v>
      </c>
      <c r="B12482" s="6">
        <v>0.407592407592407</v>
      </c>
      <c r="C12482" s="6">
        <v>0.57419523274354201</v>
      </c>
    </row>
    <row r="12483" spans="1:3" s="8" customFormat="1" x14ac:dyDescent="0.2">
      <c r="A12483" s="6" t="str">
        <f>"RPL12"</f>
        <v>RPL12</v>
      </c>
      <c r="B12483" s="6">
        <v>0.407592407592407</v>
      </c>
      <c r="C12483" s="6">
        <v>0.57419523274354201</v>
      </c>
    </row>
    <row r="12484" spans="1:3" s="8" customFormat="1" x14ac:dyDescent="0.2">
      <c r="A12484" s="6" t="str">
        <f>"DCBLD2"</f>
        <v>DCBLD2</v>
      </c>
      <c r="B12484" s="6">
        <v>0.40799999999999997</v>
      </c>
      <c r="C12484" s="6">
        <v>0.57472338380196997</v>
      </c>
    </row>
    <row r="12485" spans="1:3" s="8" customFormat="1" x14ac:dyDescent="0.2">
      <c r="A12485" s="6" t="str">
        <f>"BOLA3P2"</f>
        <v>BOLA3P2</v>
      </c>
      <c r="B12485" s="6">
        <v>0.40859140859140802</v>
      </c>
      <c r="C12485" s="6">
        <v>0.57481969186905502</v>
      </c>
    </row>
    <row r="12486" spans="1:3" s="8" customFormat="1" x14ac:dyDescent="0.2">
      <c r="A12486" s="6" t="str">
        <f>"IGSF21"</f>
        <v>IGSF21</v>
      </c>
      <c r="B12486" s="6">
        <v>0.40859140859140802</v>
      </c>
      <c r="C12486" s="6">
        <v>0.57481969186905502</v>
      </c>
    </row>
    <row r="12487" spans="1:3" s="8" customFormat="1" x14ac:dyDescent="0.2">
      <c r="A12487" s="6" t="str">
        <f>"NEXN"</f>
        <v>NEXN</v>
      </c>
      <c r="B12487" s="6">
        <v>0.40859140859140802</v>
      </c>
      <c r="C12487" s="6">
        <v>0.57481969186905502</v>
      </c>
    </row>
    <row r="12488" spans="1:3" s="8" customFormat="1" x14ac:dyDescent="0.2">
      <c r="A12488" s="6" t="str">
        <f>"SYN1"</f>
        <v>SYN1</v>
      </c>
      <c r="B12488" s="6">
        <v>0.40859140859140802</v>
      </c>
      <c r="C12488" s="6">
        <v>0.57481969186905502</v>
      </c>
    </row>
    <row r="12489" spans="1:3" s="8" customFormat="1" x14ac:dyDescent="0.2">
      <c r="A12489" s="6" t="str">
        <f>"IL21R"</f>
        <v>IL21R</v>
      </c>
      <c r="B12489" s="6">
        <v>0.40859140859140802</v>
      </c>
      <c r="C12489" s="6">
        <v>0.57481969186905502</v>
      </c>
    </row>
    <row r="12490" spans="1:3" s="8" customFormat="1" x14ac:dyDescent="0.2">
      <c r="A12490" s="6" t="str">
        <f>"RGS9"</f>
        <v>RGS9</v>
      </c>
      <c r="B12490" s="6">
        <v>0.40859140859140802</v>
      </c>
      <c r="C12490" s="6">
        <v>0.57481969186905502</v>
      </c>
    </row>
    <row r="12491" spans="1:3" s="8" customFormat="1" x14ac:dyDescent="0.2">
      <c r="A12491" s="6" t="str">
        <f>"MFSD13A"</f>
        <v>MFSD13A</v>
      </c>
      <c r="B12491" s="6">
        <v>0.40859140859140802</v>
      </c>
      <c r="C12491" s="6">
        <v>0.57481969186905502</v>
      </c>
    </row>
    <row r="12492" spans="1:3" s="8" customFormat="1" x14ac:dyDescent="0.2">
      <c r="A12492" s="6" t="str">
        <f>"LMAN2L"</f>
        <v>LMAN2L</v>
      </c>
      <c r="B12492" s="6">
        <v>0.40859140859140802</v>
      </c>
      <c r="C12492" s="6">
        <v>0.57481969186905502</v>
      </c>
    </row>
    <row r="12493" spans="1:3" s="8" customFormat="1" x14ac:dyDescent="0.2">
      <c r="A12493" s="6" t="str">
        <f>"TAF11"</f>
        <v>TAF11</v>
      </c>
      <c r="B12493" s="6">
        <v>0.40859140859140802</v>
      </c>
      <c r="C12493" s="6">
        <v>0.57481969186905502</v>
      </c>
    </row>
    <row r="12494" spans="1:3" s="8" customFormat="1" x14ac:dyDescent="0.2">
      <c r="A12494" s="6" t="str">
        <f>"COMMD5"</f>
        <v>COMMD5</v>
      </c>
      <c r="B12494" s="6">
        <v>0.40859140859140802</v>
      </c>
      <c r="C12494" s="6">
        <v>0.57481969186905502</v>
      </c>
    </row>
    <row r="12495" spans="1:3" s="8" customFormat="1" x14ac:dyDescent="0.2">
      <c r="A12495" s="6" t="str">
        <f>"ARG2"</f>
        <v>ARG2</v>
      </c>
      <c r="B12495" s="6">
        <v>0.40859140859140802</v>
      </c>
      <c r="C12495" s="6">
        <v>0.57481969186905502</v>
      </c>
    </row>
    <row r="12496" spans="1:3" s="8" customFormat="1" x14ac:dyDescent="0.2">
      <c r="A12496" s="6" t="str">
        <f>"AZI2"</f>
        <v>AZI2</v>
      </c>
      <c r="B12496" s="6">
        <v>0.40859140859140802</v>
      </c>
      <c r="C12496" s="6">
        <v>0.57481969186905502</v>
      </c>
    </row>
    <row r="12497" spans="1:3" s="8" customFormat="1" x14ac:dyDescent="0.2">
      <c r="A12497" s="6" t="str">
        <f>"CUL1"</f>
        <v>CUL1</v>
      </c>
      <c r="B12497" s="6">
        <v>0.40859140859140802</v>
      </c>
      <c r="C12497" s="6">
        <v>0.57481969186905502</v>
      </c>
    </row>
    <row r="12498" spans="1:3" s="8" customFormat="1" x14ac:dyDescent="0.2">
      <c r="A12498" s="6" t="str">
        <f>"CDK2AP1"</f>
        <v>CDK2AP1</v>
      </c>
      <c r="B12498" s="6">
        <v>0.40859140859140802</v>
      </c>
      <c r="C12498" s="6">
        <v>0.57481969186905502</v>
      </c>
    </row>
    <row r="12499" spans="1:3" s="8" customFormat="1" x14ac:dyDescent="0.2">
      <c r="A12499" s="6" t="str">
        <f>"ANKRD65"</f>
        <v>ANKRD65</v>
      </c>
      <c r="B12499" s="6">
        <v>0.40859140859140802</v>
      </c>
      <c r="C12499" s="6">
        <v>0.57481969186905502</v>
      </c>
    </row>
    <row r="12500" spans="1:3" s="8" customFormat="1" x14ac:dyDescent="0.2">
      <c r="A12500" s="6" t="str">
        <f>"PRSS12"</f>
        <v>PRSS12</v>
      </c>
      <c r="B12500" s="6">
        <v>0.40859140859140802</v>
      </c>
      <c r="C12500" s="6">
        <v>0.57481969186905502</v>
      </c>
    </row>
    <row r="12501" spans="1:3" s="8" customFormat="1" x14ac:dyDescent="0.2">
      <c r="A12501" s="6" t="str">
        <f>"SWSAP1"</f>
        <v>SWSAP1</v>
      </c>
      <c r="B12501" s="6">
        <v>0.40899999999999997</v>
      </c>
      <c r="C12501" s="6">
        <v>0.57530245580353501</v>
      </c>
    </row>
    <row r="12502" spans="1:3" s="8" customFormat="1" x14ac:dyDescent="0.2">
      <c r="A12502" s="6" t="str">
        <f>"GPAT4"</f>
        <v>GPAT4</v>
      </c>
      <c r="B12502" s="6">
        <v>0.40899999999999997</v>
      </c>
      <c r="C12502" s="6">
        <v>0.57530245580353501</v>
      </c>
    </row>
    <row r="12503" spans="1:3" s="8" customFormat="1" x14ac:dyDescent="0.2">
      <c r="A12503" s="6" t="str">
        <f>"AC106791.3"</f>
        <v>AC106791.3</v>
      </c>
      <c r="B12503" s="6">
        <v>0.40940940940940901</v>
      </c>
      <c r="C12503" s="6">
        <v>0.575580417344982</v>
      </c>
    </row>
    <row r="12504" spans="1:3" s="8" customFormat="1" x14ac:dyDescent="0.2">
      <c r="A12504" s="6" t="str">
        <f>"AC008878.3"</f>
        <v>AC008878.3</v>
      </c>
      <c r="B12504" s="6">
        <v>0.40959040959040899</v>
      </c>
      <c r="C12504" s="6">
        <v>0.575580417344982</v>
      </c>
    </row>
    <row r="12505" spans="1:3" s="8" customFormat="1" x14ac:dyDescent="0.2">
      <c r="A12505" s="6" t="str">
        <f>"AC011511.1"</f>
        <v>AC011511.1</v>
      </c>
      <c r="B12505" s="6">
        <v>0.40959040959040899</v>
      </c>
      <c r="C12505" s="6">
        <v>0.575580417344982</v>
      </c>
    </row>
    <row r="12506" spans="1:3" s="8" customFormat="1" x14ac:dyDescent="0.2">
      <c r="A12506" s="6" t="str">
        <f>"AC099535.2"</f>
        <v>AC099535.2</v>
      </c>
      <c r="B12506" s="6">
        <v>0.40959040959040899</v>
      </c>
      <c r="C12506" s="6">
        <v>0.575580417344982</v>
      </c>
    </row>
    <row r="12507" spans="1:3" s="8" customFormat="1" x14ac:dyDescent="0.2">
      <c r="A12507" s="6" t="str">
        <f>"ZNF850"</f>
        <v>ZNF850</v>
      </c>
      <c r="B12507" s="6">
        <v>0.40959040959040899</v>
      </c>
      <c r="C12507" s="6">
        <v>0.575580417344982</v>
      </c>
    </row>
    <row r="12508" spans="1:3" s="8" customFormat="1" x14ac:dyDescent="0.2">
      <c r="A12508" s="6" t="str">
        <f>"KCNMA1"</f>
        <v>KCNMA1</v>
      </c>
      <c r="B12508" s="6">
        <v>0.40959040959040899</v>
      </c>
      <c r="C12508" s="6">
        <v>0.575580417344982</v>
      </c>
    </row>
    <row r="12509" spans="1:3" s="8" customFormat="1" x14ac:dyDescent="0.2">
      <c r="A12509" s="6" t="str">
        <f>"TDP1"</f>
        <v>TDP1</v>
      </c>
      <c r="B12509" s="6">
        <v>0.40959040959040899</v>
      </c>
      <c r="C12509" s="6">
        <v>0.575580417344982</v>
      </c>
    </row>
    <row r="12510" spans="1:3" s="8" customFormat="1" x14ac:dyDescent="0.2">
      <c r="A12510" s="6" t="str">
        <f>"SRCIN1"</f>
        <v>SRCIN1</v>
      </c>
      <c r="B12510" s="6">
        <v>0.40959040959040899</v>
      </c>
      <c r="C12510" s="6">
        <v>0.575580417344982</v>
      </c>
    </row>
    <row r="12511" spans="1:3" s="8" customFormat="1" x14ac:dyDescent="0.2">
      <c r="A12511" s="6" t="str">
        <f>"TOMM6"</f>
        <v>TOMM6</v>
      </c>
      <c r="B12511" s="6">
        <v>0.40959040959040899</v>
      </c>
      <c r="C12511" s="6">
        <v>0.575580417344982</v>
      </c>
    </row>
    <row r="12512" spans="1:3" s="8" customFormat="1" x14ac:dyDescent="0.2">
      <c r="A12512" s="6" t="str">
        <f>"RIPK1"</f>
        <v>RIPK1</v>
      </c>
      <c r="B12512" s="6">
        <v>0.40959040959040899</v>
      </c>
      <c r="C12512" s="6">
        <v>0.575580417344982</v>
      </c>
    </row>
    <row r="12513" spans="1:3" s="8" customFormat="1" x14ac:dyDescent="0.2">
      <c r="A12513" s="6" t="str">
        <f>"GNB2"</f>
        <v>GNB2</v>
      </c>
      <c r="B12513" s="6">
        <v>0.40959040959040899</v>
      </c>
      <c r="C12513" s="6">
        <v>0.575580417344982</v>
      </c>
    </row>
    <row r="12514" spans="1:3" s="8" customFormat="1" x14ac:dyDescent="0.2">
      <c r="A12514" s="6" t="str">
        <f>"RPL26"</f>
        <v>RPL26</v>
      </c>
      <c r="B12514" s="6">
        <v>0.40959040959040899</v>
      </c>
      <c r="C12514" s="6">
        <v>0.575580417344982</v>
      </c>
    </row>
    <row r="12515" spans="1:3" s="8" customFormat="1" x14ac:dyDescent="0.2">
      <c r="A12515" s="6" t="str">
        <f>"GGTLC5P"</f>
        <v>GGTLC5P</v>
      </c>
      <c r="B12515" s="6">
        <v>0.41</v>
      </c>
      <c r="C12515" s="6">
        <v>0.576109956848329</v>
      </c>
    </row>
    <row r="12516" spans="1:3" s="8" customFormat="1" x14ac:dyDescent="0.2">
      <c r="A12516" s="6" t="str">
        <f>"AC122129.1"</f>
        <v>AC122129.1</v>
      </c>
      <c r="B12516" s="6">
        <v>0.41041041041040999</v>
      </c>
      <c r="C12516" s="6">
        <v>0.57633944246860302</v>
      </c>
    </row>
    <row r="12517" spans="1:3" s="8" customFormat="1" x14ac:dyDescent="0.2">
      <c r="A12517" s="6" t="str">
        <f>"AC092803.4"</f>
        <v>AC092803.4</v>
      </c>
      <c r="B12517" s="6">
        <v>0.41058941058941001</v>
      </c>
      <c r="C12517" s="6">
        <v>0.57633944246860302</v>
      </c>
    </row>
    <row r="12518" spans="1:3" s="8" customFormat="1" x14ac:dyDescent="0.2">
      <c r="A12518" s="6" t="str">
        <f>"LINC00685"</f>
        <v>LINC00685</v>
      </c>
      <c r="B12518" s="6">
        <v>0.41058941058941001</v>
      </c>
      <c r="C12518" s="6">
        <v>0.57633944246860302</v>
      </c>
    </row>
    <row r="12519" spans="1:3" s="8" customFormat="1" x14ac:dyDescent="0.2">
      <c r="A12519" s="6" t="str">
        <f>"ARL17B"</f>
        <v>ARL17B</v>
      </c>
      <c r="B12519" s="6">
        <v>0.41058941058941001</v>
      </c>
      <c r="C12519" s="6">
        <v>0.57633944246860302</v>
      </c>
    </row>
    <row r="12520" spans="1:3" s="8" customFormat="1" x14ac:dyDescent="0.2">
      <c r="A12520" s="6" t="str">
        <f>"GYG2"</f>
        <v>GYG2</v>
      </c>
      <c r="B12520" s="6">
        <v>0.41058941058941001</v>
      </c>
      <c r="C12520" s="6">
        <v>0.57633944246860302</v>
      </c>
    </row>
    <row r="12521" spans="1:3" s="8" customFormat="1" x14ac:dyDescent="0.2">
      <c r="A12521" s="6" t="str">
        <f>"AC005077.4"</f>
        <v>AC005077.4</v>
      </c>
      <c r="B12521" s="6">
        <v>0.41058941058941001</v>
      </c>
      <c r="C12521" s="6">
        <v>0.57633944246860302</v>
      </c>
    </row>
    <row r="12522" spans="1:3" s="8" customFormat="1" x14ac:dyDescent="0.2">
      <c r="A12522" s="6" t="str">
        <f>"PIP"</f>
        <v>PIP</v>
      </c>
      <c r="B12522" s="6">
        <v>0.41058941058941001</v>
      </c>
      <c r="C12522" s="6">
        <v>0.57633944246860302</v>
      </c>
    </row>
    <row r="12523" spans="1:3" s="8" customFormat="1" x14ac:dyDescent="0.2">
      <c r="A12523" s="6" t="str">
        <f>"SLC10A3"</f>
        <v>SLC10A3</v>
      </c>
      <c r="B12523" s="6">
        <v>0.41058941058941001</v>
      </c>
      <c r="C12523" s="6">
        <v>0.57633944246860302</v>
      </c>
    </row>
    <row r="12524" spans="1:3" s="8" customFormat="1" x14ac:dyDescent="0.2">
      <c r="A12524" s="6" t="str">
        <f>"APAF1"</f>
        <v>APAF1</v>
      </c>
      <c r="B12524" s="6">
        <v>0.41058941058941001</v>
      </c>
      <c r="C12524" s="6">
        <v>0.57633944246860302</v>
      </c>
    </row>
    <row r="12525" spans="1:3" s="8" customFormat="1" x14ac:dyDescent="0.2">
      <c r="A12525" s="6" t="str">
        <f>"TTC30B"</f>
        <v>TTC30B</v>
      </c>
      <c r="B12525" s="6">
        <v>0.41058941058941001</v>
      </c>
      <c r="C12525" s="6">
        <v>0.57633944246860302</v>
      </c>
    </row>
    <row r="12526" spans="1:3" s="8" customFormat="1" x14ac:dyDescent="0.2">
      <c r="A12526" s="6" t="str">
        <f>"DGLUCY"</f>
        <v>DGLUCY</v>
      </c>
      <c r="B12526" s="6">
        <v>0.41058941058941001</v>
      </c>
      <c r="C12526" s="6">
        <v>0.57633944246860302</v>
      </c>
    </row>
    <row r="12527" spans="1:3" s="8" customFormat="1" x14ac:dyDescent="0.2">
      <c r="A12527" s="6" t="str">
        <f>"TSR2"</f>
        <v>TSR2</v>
      </c>
      <c r="B12527" s="6">
        <v>0.41058941058941001</v>
      </c>
      <c r="C12527" s="6">
        <v>0.57633944246860302</v>
      </c>
    </row>
    <row r="12528" spans="1:3" s="8" customFormat="1" x14ac:dyDescent="0.2">
      <c r="A12528" s="6" t="str">
        <f>"TMEM248"</f>
        <v>TMEM248</v>
      </c>
      <c r="B12528" s="6">
        <v>0.41058941058941001</v>
      </c>
      <c r="C12528" s="6">
        <v>0.57633944246860302</v>
      </c>
    </row>
    <row r="12529" spans="1:3" s="8" customFormat="1" x14ac:dyDescent="0.2">
      <c r="A12529" s="6" t="str">
        <f>"LINC01876"</f>
        <v>LINC01876</v>
      </c>
      <c r="B12529" s="6">
        <v>0.41099999999999998</v>
      </c>
      <c r="C12529" s="6">
        <v>0.57686973180076595</v>
      </c>
    </row>
    <row r="12530" spans="1:3" s="8" customFormat="1" x14ac:dyDescent="0.2">
      <c r="A12530" s="6" t="str">
        <f>"AL359764.1"</f>
        <v>AL359764.1</v>
      </c>
      <c r="B12530" s="6">
        <v>0.41105527638190897</v>
      </c>
      <c r="C12530" s="6">
        <v>0.57690126745147197</v>
      </c>
    </row>
    <row r="12531" spans="1:3" s="8" customFormat="1" x14ac:dyDescent="0.2">
      <c r="A12531" s="6" t="str">
        <f>"XCR1"</f>
        <v>XCR1</v>
      </c>
      <c r="B12531" s="6">
        <v>0.41158841158841097</v>
      </c>
      <c r="C12531" s="6">
        <v>0.57714279341073604</v>
      </c>
    </row>
    <row r="12532" spans="1:3" s="8" customFormat="1" x14ac:dyDescent="0.2">
      <c r="A12532" s="6" t="str">
        <f>"AMH"</f>
        <v>AMH</v>
      </c>
      <c r="B12532" s="6">
        <v>0.41158841158841097</v>
      </c>
      <c r="C12532" s="6">
        <v>0.57714279341073604</v>
      </c>
    </row>
    <row r="12533" spans="1:3" s="8" customFormat="1" x14ac:dyDescent="0.2">
      <c r="A12533" s="6" t="str">
        <f>"ST3GAL6-AS1"</f>
        <v>ST3GAL6-AS1</v>
      </c>
      <c r="B12533" s="6">
        <v>0.41158841158841097</v>
      </c>
      <c r="C12533" s="6">
        <v>0.57714279341073604</v>
      </c>
    </row>
    <row r="12534" spans="1:3" s="8" customFormat="1" x14ac:dyDescent="0.2">
      <c r="A12534" s="6" t="str">
        <f>"RB1-DT"</f>
        <v>RB1-DT</v>
      </c>
      <c r="B12534" s="6">
        <v>0.41158841158841097</v>
      </c>
      <c r="C12534" s="6">
        <v>0.57714279341073604</v>
      </c>
    </row>
    <row r="12535" spans="1:3" s="8" customFormat="1" x14ac:dyDescent="0.2">
      <c r="A12535" s="6" t="str">
        <f>"AL162391.1"</f>
        <v>AL162391.1</v>
      </c>
      <c r="B12535" s="6">
        <v>0.41158841158841097</v>
      </c>
      <c r="C12535" s="6">
        <v>0.57714279341073604</v>
      </c>
    </row>
    <row r="12536" spans="1:3" s="8" customFormat="1" x14ac:dyDescent="0.2">
      <c r="A12536" s="6" t="str">
        <f>"TMEM92"</f>
        <v>TMEM92</v>
      </c>
      <c r="B12536" s="6">
        <v>0.41158841158841097</v>
      </c>
      <c r="C12536" s="6">
        <v>0.57714279341073604</v>
      </c>
    </row>
    <row r="12537" spans="1:3" s="8" customFormat="1" x14ac:dyDescent="0.2">
      <c r="A12537" s="6" t="str">
        <f>"AL645933.3"</f>
        <v>AL645933.3</v>
      </c>
      <c r="B12537" s="6">
        <v>0.41158841158841097</v>
      </c>
      <c r="C12537" s="6">
        <v>0.57714279341073604</v>
      </c>
    </row>
    <row r="12538" spans="1:3" s="8" customFormat="1" x14ac:dyDescent="0.2">
      <c r="A12538" s="6" t="str">
        <f>"TTC28-AS1"</f>
        <v>TTC28-AS1</v>
      </c>
      <c r="B12538" s="6">
        <v>0.41158841158841097</v>
      </c>
      <c r="C12538" s="6">
        <v>0.57714279341073604</v>
      </c>
    </row>
    <row r="12539" spans="1:3" s="8" customFormat="1" x14ac:dyDescent="0.2">
      <c r="A12539" s="6" t="str">
        <f>"C18orf21"</f>
        <v>C18orf21</v>
      </c>
      <c r="B12539" s="6">
        <v>0.41158841158841097</v>
      </c>
      <c r="C12539" s="6">
        <v>0.57714279341073604</v>
      </c>
    </row>
    <row r="12540" spans="1:3" s="8" customFormat="1" x14ac:dyDescent="0.2">
      <c r="A12540" s="6" t="str">
        <f>"CCDC81"</f>
        <v>CCDC81</v>
      </c>
      <c r="B12540" s="6">
        <v>0.41158841158841097</v>
      </c>
      <c r="C12540" s="6">
        <v>0.57714279341073604</v>
      </c>
    </row>
    <row r="12541" spans="1:3" s="8" customFormat="1" x14ac:dyDescent="0.2">
      <c r="A12541" s="6" t="str">
        <f>"UBA1"</f>
        <v>UBA1</v>
      </c>
      <c r="B12541" s="6">
        <v>0.41158841158841097</v>
      </c>
      <c r="C12541" s="6">
        <v>0.57714279341073604</v>
      </c>
    </row>
    <row r="12542" spans="1:3" s="8" customFormat="1" x14ac:dyDescent="0.2">
      <c r="A12542" s="6" t="str">
        <f>"SLC30A7"</f>
        <v>SLC30A7</v>
      </c>
      <c r="B12542" s="6">
        <v>0.41199999999999998</v>
      </c>
      <c r="C12542" s="6">
        <v>0.57767386970735901</v>
      </c>
    </row>
    <row r="12543" spans="1:3" s="8" customFormat="1" x14ac:dyDescent="0.2">
      <c r="A12543" s="6" t="str">
        <f>"ZNF695"</f>
        <v>ZNF695</v>
      </c>
      <c r="B12543" s="6">
        <v>0.41258741258741199</v>
      </c>
      <c r="C12543" s="6">
        <v>0.57776037771259503</v>
      </c>
    </row>
    <row r="12544" spans="1:3" s="8" customFormat="1" x14ac:dyDescent="0.2">
      <c r="A12544" s="6" t="str">
        <f>"AC079807.1"</f>
        <v>AC079807.1</v>
      </c>
      <c r="B12544" s="6">
        <v>0.41248720573183201</v>
      </c>
      <c r="C12544" s="6">
        <v>0.57776037771259503</v>
      </c>
    </row>
    <row r="12545" spans="1:3" s="8" customFormat="1" x14ac:dyDescent="0.2">
      <c r="A12545" s="6" t="str">
        <f>"C3orf70"</f>
        <v>C3orf70</v>
      </c>
      <c r="B12545" s="6">
        <v>0.41258741258741199</v>
      </c>
      <c r="C12545" s="6">
        <v>0.57776037771259503</v>
      </c>
    </row>
    <row r="12546" spans="1:3" s="8" customFormat="1" x14ac:dyDescent="0.2">
      <c r="A12546" s="6" t="str">
        <f>"STAU2-AS1"</f>
        <v>STAU2-AS1</v>
      </c>
      <c r="B12546" s="6">
        <v>0.41258741258741199</v>
      </c>
      <c r="C12546" s="6">
        <v>0.57776037771259503</v>
      </c>
    </row>
    <row r="12547" spans="1:3" s="8" customFormat="1" x14ac:dyDescent="0.2">
      <c r="A12547" s="6" t="str">
        <f>"DARS-AS1"</f>
        <v>DARS-AS1</v>
      </c>
      <c r="B12547" s="6">
        <v>0.41258741258741199</v>
      </c>
      <c r="C12547" s="6">
        <v>0.57776037771259503</v>
      </c>
    </row>
    <row r="12548" spans="1:3" s="8" customFormat="1" x14ac:dyDescent="0.2">
      <c r="A12548" s="6" t="str">
        <f>"SULT1A4"</f>
        <v>SULT1A4</v>
      </c>
      <c r="B12548" s="6">
        <v>0.41258741258741199</v>
      </c>
      <c r="C12548" s="6">
        <v>0.57776037771259503</v>
      </c>
    </row>
    <row r="12549" spans="1:3" s="8" customFormat="1" x14ac:dyDescent="0.2">
      <c r="A12549" s="6" t="str">
        <f>"LAMTOR5-AS1"</f>
        <v>LAMTOR5-AS1</v>
      </c>
      <c r="B12549" s="6">
        <v>0.41258741258741199</v>
      </c>
      <c r="C12549" s="6">
        <v>0.57776037771259503</v>
      </c>
    </row>
    <row r="12550" spans="1:3" s="8" customFormat="1" x14ac:dyDescent="0.2">
      <c r="A12550" s="6" t="str">
        <f>"IL15"</f>
        <v>IL15</v>
      </c>
      <c r="B12550" s="6">
        <v>0.41258741258741199</v>
      </c>
      <c r="C12550" s="6">
        <v>0.57776037771259503</v>
      </c>
    </row>
    <row r="12551" spans="1:3" s="8" customFormat="1" x14ac:dyDescent="0.2">
      <c r="A12551" s="6" t="str">
        <f>"ANKRD24"</f>
        <v>ANKRD24</v>
      </c>
      <c r="B12551" s="6">
        <v>0.41258741258741199</v>
      </c>
      <c r="C12551" s="6">
        <v>0.57776037771259503</v>
      </c>
    </row>
    <row r="12552" spans="1:3" s="8" customFormat="1" x14ac:dyDescent="0.2">
      <c r="A12552" s="6" t="str">
        <f>"FBXL19-AS1"</f>
        <v>FBXL19-AS1</v>
      </c>
      <c r="B12552" s="6">
        <v>0.41258741258741199</v>
      </c>
      <c r="C12552" s="6">
        <v>0.57776037771259503</v>
      </c>
    </row>
    <row r="12553" spans="1:3" s="8" customFormat="1" x14ac:dyDescent="0.2">
      <c r="A12553" s="6" t="str">
        <f>"DRD2"</f>
        <v>DRD2</v>
      </c>
      <c r="B12553" s="6">
        <v>0.41258741258741199</v>
      </c>
      <c r="C12553" s="6">
        <v>0.57776037771259503</v>
      </c>
    </row>
    <row r="12554" spans="1:3" s="8" customFormat="1" x14ac:dyDescent="0.2">
      <c r="A12554" s="6" t="str">
        <f>"PRPF40B"</f>
        <v>PRPF40B</v>
      </c>
      <c r="B12554" s="6">
        <v>0.41258741258741199</v>
      </c>
      <c r="C12554" s="6">
        <v>0.57776037771259503</v>
      </c>
    </row>
    <row r="12555" spans="1:3" s="8" customFormat="1" x14ac:dyDescent="0.2">
      <c r="A12555" s="6" t="str">
        <f>"ATG5"</f>
        <v>ATG5</v>
      </c>
      <c r="B12555" s="6">
        <v>0.41258741258741199</v>
      </c>
      <c r="C12555" s="6">
        <v>0.57776037771259503</v>
      </c>
    </row>
    <row r="12556" spans="1:3" s="8" customFormat="1" x14ac:dyDescent="0.2">
      <c r="A12556" s="6" t="str">
        <f>"DIP2B"</f>
        <v>DIP2B</v>
      </c>
      <c r="B12556" s="6">
        <v>0.41258741258741199</v>
      </c>
      <c r="C12556" s="6">
        <v>0.57776037771259503</v>
      </c>
    </row>
    <row r="12557" spans="1:3" s="8" customFormat="1" x14ac:dyDescent="0.2">
      <c r="A12557" s="6" t="str">
        <f>"SRSF10"</f>
        <v>SRSF10</v>
      </c>
      <c r="B12557" s="6">
        <v>0.41258741258741199</v>
      </c>
      <c r="C12557" s="6">
        <v>0.57776037771259503</v>
      </c>
    </row>
    <row r="12558" spans="1:3" s="8" customFormat="1" x14ac:dyDescent="0.2">
      <c r="A12558" s="6" t="str">
        <f>"OSCP1"</f>
        <v>OSCP1</v>
      </c>
      <c r="B12558" s="6">
        <v>0.41258741258741199</v>
      </c>
      <c r="C12558" s="6">
        <v>0.57776037771259503</v>
      </c>
    </row>
    <row r="12559" spans="1:3" s="8" customFormat="1" x14ac:dyDescent="0.2">
      <c r="A12559" s="6" t="str">
        <f>"OR56A4"</f>
        <v>OR56A4</v>
      </c>
      <c r="B12559" s="6">
        <v>0.41295116772823698</v>
      </c>
      <c r="C12559" s="6">
        <v>0.57822370865849104</v>
      </c>
    </row>
    <row r="12560" spans="1:3" s="8" customFormat="1" x14ac:dyDescent="0.2">
      <c r="A12560" s="6" t="str">
        <f>"SLC18A2"</f>
        <v>SLC18A2</v>
      </c>
      <c r="B12560" s="6">
        <v>0.41358641358641302</v>
      </c>
      <c r="C12560" s="6">
        <v>0.578836636143226</v>
      </c>
    </row>
    <row r="12561" spans="1:3" s="8" customFormat="1" x14ac:dyDescent="0.2">
      <c r="A12561" s="6" t="str">
        <f>"TRPV1"</f>
        <v>TRPV1</v>
      </c>
      <c r="B12561" s="6">
        <v>0.41358641358641302</v>
      </c>
      <c r="C12561" s="6">
        <v>0.578836636143226</v>
      </c>
    </row>
    <row r="12562" spans="1:3" s="8" customFormat="1" x14ac:dyDescent="0.2">
      <c r="A12562" s="6" t="str">
        <f>"AC005041.1"</f>
        <v>AC005041.1</v>
      </c>
      <c r="B12562" s="6">
        <v>0.41358641358641302</v>
      </c>
      <c r="C12562" s="6">
        <v>0.578836636143226</v>
      </c>
    </row>
    <row r="12563" spans="1:3" s="8" customFormat="1" x14ac:dyDescent="0.2">
      <c r="A12563" s="6" t="str">
        <f>"SRD5A2"</f>
        <v>SRD5A2</v>
      </c>
      <c r="B12563" s="6">
        <v>0.41358641358641302</v>
      </c>
      <c r="C12563" s="6">
        <v>0.578836636143226</v>
      </c>
    </row>
    <row r="12564" spans="1:3" s="8" customFormat="1" x14ac:dyDescent="0.2">
      <c r="A12564" s="6" t="str">
        <f>"DHX15"</f>
        <v>DHX15</v>
      </c>
      <c r="B12564" s="6">
        <v>0.41358641358641302</v>
      </c>
      <c r="C12564" s="6">
        <v>0.578836636143226</v>
      </c>
    </row>
    <row r="12565" spans="1:3" s="8" customFormat="1" x14ac:dyDescent="0.2">
      <c r="A12565" s="6" t="str">
        <f>"MAPK1"</f>
        <v>MAPK1</v>
      </c>
      <c r="B12565" s="6">
        <v>0.41358641358641302</v>
      </c>
      <c r="C12565" s="6">
        <v>0.578836636143226</v>
      </c>
    </row>
    <row r="12566" spans="1:3" s="8" customFormat="1" x14ac:dyDescent="0.2">
      <c r="A12566" s="6" t="str">
        <f>"AC018628.1"</f>
        <v>AC018628.1</v>
      </c>
      <c r="B12566" s="6">
        <v>0.41458541458541398</v>
      </c>
      <c r="C12566" s="6">
        <v>0.57977333625496497</v>
      </c>
    </row>
    <row r="12567" spans="1:3" s="8" customFormat="1" x14ac:dyDescent="0.2">
      <c r="A12567" s="6" t="str">
        <f>"LINC01852"</f>
        <v>LINC01852</v>
      </c>
      <c r="B12567" s="6">
        <v>0.41458541458541398</v>
      </c>
      <c r="C12567" s="6">
        <v>0.57977333625496497</v>
      </c>
    </row>
    <row r="12568" spans="1:3" s="8" customFormat="1" x14ac:dyDescent="0.2">
      <c r="A12568" s="6" t="str">
        <f>"TEN1-CDK3"</f>
        <v>TEN1-CDK3</v>
      </c>
      <c r="B12568" s="6">
        <v>0.41458541458541398</v>
      </c>
      <c r="C12568" s="6">
        <v>0.57977333625496497</v>
      </c>
    </row>
    <row r="12569" spans="1:3" s="8" customFormat="1" x14ac:dyDescent="0.2">
      <c r="A12569" s="6" t="str">
        <f>"AL035530.2"</f>
        <v>AL035530.2</v>
      </c>
      <c r="B12569" s="6">
        <v>0.41458541458541398</v>
      </c>
      <c r="C12569" s="6">
        <v>0.57977333625496497</v>
      </c>
    </row>
    <row r="12570" spans="1:3" s="8" customFormat="1" x14ac:dyDescent="0.2">
      <c r="A12570" s="6" t="str">
        <f>"ADAMTSL5"</f>
        <v>ADAMTSL5</v>
      </c>
      <c r="B12570" s="6">
        <v>0.41458541458541398</v>
      </c>
      <c r="C12570" s="6">
        <v>0.57977333625496497</v>
      </c>
    </row>
    <row r="12571" spans="1:3" s="8" customFormat="1" x14ac:dyDescent="0.2">
      <c r="A12571" s="6" t="str">
        <f>"KPNA7"</f>
        <v>KPNA7</v>
      </c>
      <c r="B12571" s="6">
        <v>0.41458541458541398</v>
      </c>
      <c r="C12571" s="6">
        <v>0.57977333625496497</v>
      </c>
    </row>
    <row r="12572" spans="1:3" s="8" customFormat="1" x14ac:dyDescent="0.2">
      <c r="A12572" s="6" t="str">
        <f>"AC083799.1"</f>
        <v>AC083799.1</v>
      </c>
      <c r="B12572" s="6">
        <v>0.41458541458541398</v>
      </c>
      <c r="C12572" s="6">
        <v>0.57977333625496497</v>
      </c>
    </row>
    <row r="12573" spans="1:3" s="8" customFormat="1" x14ac:dyDescent="0.2">
      <c r="A12573" s="6" t="str">
        <f>"THNSL2"</f>
        <v>THNSL2</v>
      </c>
      <c r="B12573" s="6">
        <v>0.41458541458541398</v>
      </c>
      <c r="C12573" s="6">
        <v>0.57977333625496497</v>
      </c>
    </row>
    <row r="12574" spans="1:3" s="8" customFormat="1" x14ac:dyDescent="0.2">
      <c r="A12574" s="6" t="str">
        <f>"USP6NL"</f>
        <v>USP6NL</v>
      </c>
      <c r="B12574" s="6">
        <v>0.41458541458541398</v>
      </c>
      <c r="C12574" s="6">
        <v>0.57977333625496497</v>
      </c>
    </row>
    <row r="12575" spans="1:3" s="8" customFormat="1" x14ac:dyDescent="0.2">
      <c r="A12575" s="6" t="str">
        <f>"CUL4A"</f>
        <v>CUL4A</v>
      </c>
      <c r="B12575" s="6">
        <v>0.41458541458541398</v>
      </c>
      <c r="C12575" s="6">
        <v>0.57977333625496497</v>
      </c>
    </row>
    <row r="12576" spans="1:3" s="8" customFormat="1" x14ac:dyDescent="0.2">
      <c r="A12576" s="6" t="str">
        <f>"CA6"</f>
        <v>CA6</v>
      </c>
      <c r="B12576" s="6">
        <v>0.415584415584415</v>
      </c>
      <c r="C12576" s="6">
        <v>0.58061626915909403</v>
      </c>
    </row>
    <row r="12577" spans="1:3" s="8" customFormat="1" x14ac:dyDescent="0.2">
      <c r="A12577" s="6" t="str">
        <f>"AC010719.1"</f>
        <v>AC010719.1</v>
      </c>
      <c r="B12577" s="6">
        <v>0.415584415584415</v>
      </c>
      <c r="C12577" s="6">
        <v>0.58061626915909403</v>
      </c>
    </row>
    <row r="12578" spans="1:3" s="8" customFormat="1" x14ac:dyDescent="0.2">
      <c r="A12578" s="6" t="str">
        <f>"SYNPO2L"</f>
        <v>SYNPO2L</v>
      </c>
      <c r="B12578" s="6">
        <v>0.415584415584415</v>
      </c>
      <c r="C12578" s="6">
        <v>0.58061626915909403</v>
      </c>
    </row>
    <row r="12579" spans="1:3" s="8" customFormat="1" x14ac:dyDescent="0.2">
      <c r="A12579" s="6" t="str">
        <f>"SNHG20"</f>
        <v>SNHG20</v>
      </c>
      <c r="B12579" s="6">
        <v>0.415584415584415</v>
      </c>
      <c r="C12579" s="6">
        <v>0.58061626915909403</v>
      </c>
    </row>
    <row r="12580" spans="1:3" s="8" customFormat="1" x14ac:dyDescent="0.2">
      <c r="A12580" s="6" t="str">
        <f>"FCER1A"</f>
        <v>FCER1A</v>
      </c>
      <c r="B12580" s="6">
        <v>0.415584415584415</v>
      </c>
      <c r="C12580" s="6">
        <v>0.58061626915909403</v>
      </c>
    </row>
    <row r="12581" spans="1:3" s="8" customFormat="1" x14ac:dyDescent="0.2">
      <c r="A12581" s="6" t="str">
        <f>"WDR17"</f>
        <v>WDR17</v>
      </c>
      <c r="B12581" s="6">
        <v>0.415584415584415</v>
      </c>
      <c r="C12581" s="6">
        <v>0.58061626915909403</v>
      </c>
    </row>
    <row r="12582" spans="1:3" s="8" customFormat="1" x14ac:dyDescent="0.2">
      <c r="A12582" s="6" t="str">
        <f>"RPUSD2"</f>
        <v>RPUSD2</v>
      </c>
      <c r="B12582" s="6">
        <v>0.415584415584415</v>
      </c>
      <c r="C12582" s="6">
        <v>0.58061626915909403</v>
      </c>
    </row>
    <row r="12583" spans="1:3" s="8" customFormat="1" x14ac:dyDescent="0.2">
      <c r="A12583" s="6" t="str">
        <f>"ANKRD26"</f>
        <v>ANKRD26</v>
      </c>
      <c r="B12583" s="6">
        <v>0.415584415584415</v>
      </c>
      <c r="C12583" s="6">
        <v>0.58061626915909403</v>
      </c>
    </row>
    <row r="12584" spans="1:3" s="8" customFormat="1" x14ac:dyDescent="0.2">
      <c r="A12584" s="6" t="str">
        <f>"CCDC102A"</f>
        <v>CCDC102A</v>
      </c>
      <c r="B12584" s="6">
        <v>0.415584415584415</v>
      </c>
      <c r="C12584" s="6">
        <v>0.58061626915909403</v>
      </c>
    </row>
    <row r="12585" spans="1:3" s="8" customFormat="1" x14ac:dyDescent="0.2">
      <c r="A12585" s="6" t="str">
        <f>"TENT5A"</f>
        <v>TENT5A</v>
      </c>
      <c r="B12585" s="6">
        <v>0.415584415584415</v>
      </c>
      <c r="C12585" s="6">
        <v>0.58061626915909403</v>
      </c>
    </row>
    <row r="12586" spans="1:3" s="8" customFormat="1" x14ac:dyDescent="0.2">
      <c r="A12586" s="6" t="str">
        <f>"NFE2L1"</f>
        <v>NFE2L1</v>
      </c>
      <c r="B12586" s="6">
        <v>0.415584415584415</v>
      </c>
      <c r="C12586" s="6">
        <v>0.58061626915909403</v>
      </c>
    </row>
    <row r="12587" spans="1:3" s="8" customFormat="1" x14ac:dyDescent="0.2">
      <c r="A12587" s="6" t="str">
        <f>"HSPA5"</f>
        <v>HSPA5</v>
      </c>
      <c r="B12587" s="6">
        <v>0.415584415584415</v>
      </c>
      <c r="C12587" s="6">
        <v>0.58061626915909403</v>
      </c>
    </row>
    <row r="12588" spans="1:3" s="8" customFormat="1" x14ac:dyDescent="0.2">
      <c r="A12588" s="6" t="str">
        <f>"AC008708.2"</f>
        <v>AC008708.2</v>
      </c>
      <c r="B12588" s="6">
        <v>0.41599999999999998</v>
      </c>
      <c r="C12588" s="6">
        <v>0.58110454401016798</v>
      </c>
    </row>
    <row r="12589" spans="1:3" s="8" customFormat="1" x14ac:dyDescent="0.2">
      <c r="A12589" s="6" t="str">
        <f>"MTMR9LP"</f>
        <v>MTMR9LP</v>
      </c>
      <c r="B12589" s="6">
        <v>0.41599999999999998</v>
      </c>
      <c r="C12589" s="6">
        <v>0.58110454401016798</v>
      </c>
    </row>
    <row r="12590" spans="1:3" s="8" customFormat="1" x14ac:dyDescent="0.2">
      <c r="A12590" s="6" t="str">
        <f>"AC012174.1"</f>
        <v>AC012174.1</v>
      </c>
      <c r="B12590" s="6">
        <v>0.41658341658341602</v>
      </c>
      <c r="C12590" s="6">
        <v>0.58141144513078702</v>
      </c>
    </row>
    <row r="12591" spans="1:3" s="8" customFormat="1" x14ac:dyDescent="0.2">
      <c r="A12591" s="6" t="str">
        <f>"AC005324.3"</f>
        <v>AC005324.3</v>
      </c>
      <c r="B12591" s="6">
        <v>0.41658341658341602</v>
      </c>
      <c r="C12591" s="6">
        <v>0.58141144513078702</v>
      </c>
    </row>
    <row r="12592" spans="1:3" s="8" customFormat="1" x14ac:dyDescent="0.2">
      <c r="A12592" s="6" t="str">
        <f>"AL109955.1"</f>
        <v>AL109955.1</v>
      </c>
      <c r="B12592" s="6">
        <v>0.41658341658341602</v>
      </c>
      <c r="C12592" s="6">
        <v>0.58141144513078702</v>
      </c>
    </row>
    <row r="12593" spans="1:3" s="8" customFormat="1" x14ac:dyDescent="0.2">
      <c r="A12593" s="6" t="str">
        <f>"LINC01927"</f>
        <v>LINC01927</v>
      </c>
      <c r="B12593" s="6">
        <v>0.41658341658341602</v>
      </c>
      <c r="C12593" s="6">
        <v>0.58141144513078702</v>
      </c>
    </row>
    <row r="12594" spans="1:3" s="8" customFormat="1" x14ac:dyDescent="0.2">
      <c r="A12594" s="6" t="str">
        <f>"AF165147.1"</f>
        <v>AF165147.1</v>
      </c>
      <c r="B12594" s="6">
        <v>0.41658341658341602</v>
      </c>
      <c r="C12594" s="6">
        <v>0.58141144513078702</v>
      </c>
    </row>
    <row r="12595" spans="1:3" s="8" customFormat="1" x14ac:dyDescent="0.2">
      <c r="A12595" s="6" t="str">
        <f>"PAPPA"</f>
        <v>PAPPA</v>
      </c>
      <c r="B12595" s="6">
        <v>0.41658341658341602</v>
      </c>
      <c r="C12595" s="6">
        <v>0.58141144513078702</v>
      </c>
    </row>
    <row r="12596" spans="1:3" s="8" customFormat="1" x14ac:dyDescent="0.2">
      <c r="A12596" s="6" t="str">
        <f>"ZNF683"</f>
        <v>ZNF683</v>
      </c>
      <c r="B12596" s="6">
        <v>0.41658341658341602</v>
      </c>
      <c r="C12596" s="6">
        <v>0.58141144513078702</v>
      </c>
    </row>
    <row r="12597" spans="1:3" s="8" customFormat="1" x14ac:dyDescent="0.2">
      <c r="A12597" s="6" t="str">
        <f>"COMMD9"</f>
        <v>COMMD9</v>
      </c>
      <c r="B12597" s="6">
        <v>0.41658341658341602</v>
      </c>
      <c r="C12597" s="6">
        <v>0.58141144513078702</v>
      </c>
    </row>
    <row r="12598" spans="1:3" s="8" customFormat="1" x14ac:dyDescent="0.2">
      <c r="A12598" s="6" t="str">
        <f>"DUSP6"</f>
        <v>DUSP6</v>
      </c>
      <c r="B12598" s="6">
        <v>0.41658341658341602</v>
      </c>
      <c r="C12598" s="6">
        <v>0.58141144513078702</v>
      </c>
    </row>
    <row r="12599" spans="1:3" s="8" customFormat="1" x14ac:dyDescent="0.2">
      <c r="A12599" s="6" t="str">
        <f>"NCKAP1"</f>
        <v>NCKAP1</v>
      </c>
      <c r="B12599" s="6">
        <v>0.41658341658341602</v>
      </c>
      <c r="C12599" s="6">
        <v>0.58141144513078702</v>
      </c>
    </row>
    <row r="12600" spans="1:3" s="8" customFormat="1" x14ac:dyDescent="0.2">
      <c r="A12600" s="6" t="str">
        <f>"IK"</f>
        <v>IK</v>
      </c>
      <c r="B12600" s="6">
        <v>0.41658341658341602</v>
      </c>
      <c r="C12600" s="6">
        <v>0.58141144513078702</v>
      </c>
    </row>
    <row r="12601" spans="1:3" s="8" customFormat="1" x14ac:dyDescent="0.2">
      <c r="A12601" s="6" t="str">
        <f>"AL357079.1"</f>
        <v>AL357079.1</v>
      </c>
      <c r="B12601" s="6">
        <v>0.41710665258711699</v>
      </c>
      <c r="C12601" s="6">
        <v>0.58209550627713202</v>
      </c>
    </row>
    <row r="12602" spans="1:3" s="8" customFormat="1" x14ac:dyDescent="0.2">
      <c r="A12602" s="6" t="str">
        <f>"SEPTIN14P19"</f>
        <v>SEPTIN14P19</v>
      </c>
      <c r="B12602" s="6">
        <v>0.41758241758241699</v>
      </c>
      <c r="C12602" s="6">
        <v>0.58231281607596297</v>
      </c>
    </row>
    <row r="12603" spans="1:3" s="8" customFormat="1" x14ac:dyDescent="0.2">
      <c r="A12603" s="6" t="str">
        <f>"UPF3AP3"</f>
        <v>UPF3AP3</v>
      </c>
      <c r="B12603" s="6">
        <v>0.41758241758241699</v>
      </c>
      <c r="C12603" s="6">
        <v>0.58231281607596297</v>
      </c>
    </row>
    <row r="12604" spans="1:3" s="8" customFormat="1" x14ac:dyDescent="0.2">
      <c r="A12604" s="6" t="str">
        <f>"7SK"</f>
        <v>7SK</v>
      </c>
      <c r="B12604" s="6">
        <v>0.417417417417417</v>
      </c>
      <c r="C12604" s="6">
        <v>0.58231281607596297</v>
      </c>
    </row>
    <row r="12605" spans="1:3" s="8" customFormat="1" x14ac:dyDescent="0.2">
      <c r="A12605" s="6" t="str">
        <f>"AC120053.1"</f>
        <v>AC120053.1</v>
      </c>
      <c r="B12605" s="6">
        <v>0.41758241758241699</v>
      </c>
      <c r="C12605" s="6">
        <v>0.58231281607596297</v>
      </c>
    </row>
    <row r="12606" spans="1:3" s="8" customFormat="1" x14ac:dyDescent="0.2">
      <c r="A12606" s="6" t="str">
        <f>"AL591030.1"</f>
        <v>AL591030.1</v>
      </c>
      <c r="B12606" s="6">
        <v>0.41759352881698603</v>
      </c>
      <c r="C12606" s="6">
        <v>0.58231281607596297</v>
      </c>
    </row>
    <row r="12607" spans="1:3" s="8" customFormat="1" x14ac:dyDescent="0.2">
      <c r="A12607" s="6" t="str">
        <f>"LINC01770"</f>
        <v>LINC01770</v>
      </c>
      <c r="B12607" s="6">
        <v>0.41758241758241699</v>
      </c>
      <c r="C12607" s="6">
        <v>0.58231281607596297</v>
      </c>
    </row>
    <row r="12608" spans="1:3" s="8" customFormat="1" x14ac:dyDescent="0.2">
      <c r="A12608" s="6" t="str">
        <f>"CCDC174"</f>
        <v>CCDC174</v>
      </c>
      <c r="B12608" s="6">
        <v>0.41758241758241699</v>
      </c>
      <c r="C12608" s="6">
        <v>0.58231281607596297</v>
      </c>
    </row>
    <row r="12609" spans="1:3" s="8" customFormat="1" x14ac:dyDescent="0.2">
      <c r="A12609" s="6" t="str">
        <f>"OLFML2A"</f>
        <v>OLFML2A</v>
      </c>
      <c r="B12609" s="6">
        <v>0.41758241758241699</v>
      </c>
      <c r="C12609" s="6">
        <v>0.58231281607596297</v>
      </c>
    </row>
    <row r="12610" spans="1:3" s="8" customFormat="1" x14ac:dyDescent="0.2">
      <c r="A12610" s="6" t="str">
        <f>"DVL1"</f>
        <v>DVL1</v>
      </c>
      <c r="B12610" s="6">
        <v>0.41758241758241699</v>
      </c>
      <c r="C12610" s="6">
        <v>0.58231281607596297</v>
      </c>
    </row>
    <row r="12611" spans="1:3" s="8" customFormat="1" x14ac:dyDescent="0.2">
      <c r="A12611" s="6" t="str">
        <f>"GDF15"</f>
        <v>GDF15</v>
      </c>
      <c r="B12611" s="6">
        <v>0.41758241758241699</v>
      </c>
      <c r="C12611" s="6">
        <v>0.58231281607596297</v>
      </c>
    </row>
    <row r="12612" spans="1:3" s="8" customFormat="1" x14ac:dyDescent="0.2">
      <c r="A12612" s="6" t="str">
        <f>"NIM1K"</f>
        <v>NIM1K</v>
      </c>
      <c r="B12612" s="6">
        <v>0.41858141858141801</v>
      </c>
      <c r="C12612" s="6">
        <v>0.58318165472907502</v>
      </c>
    </row>
    <row r="12613" spans="1:3" s="8" customFormat="1" x14ac:dyDescent="0.2">
      <c r="A12613" s="6" t="str">
        <f>"FRMPD4"</f>
        <v>FRMPD4</v>
      </c>
      <c r="B12613" s="6">
        <v>0.41858141858141801</v>
      </c>
      <c r="C12613" s="6">
        <v>0.58318165472907502</v>
      </c>
    </row>
    <row r="12614" spans="1:3" s="8" customFormat="1" x14ac:dyDescent="0.2">
      <c r="A12614" s="6" t="str">
        <f>"AL590627.1"</f>
        <v>AL590627.1</v>
      </c>
      <c r="B12614" s="6">
        <v>0.41858141858141801</v>
      </c>
      <c r="C12614" s="6">
        <v>0.58318165472907502</v>
      </c>
    </row>
    <row r="12615" spans="1:3" s="8" customFormat="1" x14ac:dyDescent="0.2">
      <c r="A12615" s="6" t="str">
        <f>"ERVK9-11"</f>
        <v>ERVK9-11</v>
      </c>
      <c r="B12615" s="6">
        <v>0.41858141858141801</v>
      </c>
      <c r="C12615" s="6">
        <v>0.58318165472907502</v>
      </c>
    </row>
    <row r="12616" spans="1:3" s="8" customFormat="1" x14ac:dyDescent="0.2">
      <c r="A12616" s="6" t="str">
        <f>"AC011447.3"</f>
        <v>AC011447.3</v>
      </c>
      <c r="B12616" s="6">
        <v>0.41858141858141801</v>
      </c>
      <c r="C12616" s="6">
        <v>0.58318165472907502</v>
      </c>
    </row>
    <row r="12617" spans="1:3" s="8" customFormat="1" x14ac:dyDescent="0.2">
      <c r="A12617" s="6" t="str">
        <f>"PLA2G7"</f>
        <v>PLA2G7</v>
      </c>
      <c r="B12617" s="6">
        <v>0.41858141858141801</v>
      </c>
      <c r="C12617" s="6">
        <v>0.58318165472907502</v>
      </c>
    </row>
    <row r="12618" spans="1:3" s="8" customFormat="1" x14ac:dyDescent="0.2">
      <c r="A12618" s="6" t="str">
        <f>"C17orf100"</f>
        <v>C17orf100</v>
      </c>
      <c r="B12618" s="6">
        <v>0.41858141858141801</v>
      </c>
      <c r="C12618" s="6">
        <v>0.58318165472907502</v>
      </c>
    </row>
    <row r="12619" spans="1:3" s="8" customFormat="1" x14ac:dyDescent="0.2">
      <c r="A12619" s="6" t="str">
        <f>"COX7A1"</f>
        <v>COX7A1</v>
      </c>
      <c r="B12619" s="6">
        <v>0.41858141858141801</v>
      </c>
      <c r="C12619" s="6">
        <v>0.58318165472907502</v>
      </c>
    </row>
    <row r="12620" spans="1:3" s="8" customFormat="1" x14ac:dyDescent="0.2">
      <c r="A12620" s="6" t="str">
        <f>"SNAP47"</f>
        <v>SNAP47</v>
      </c>
      <c r="B12620" s="6">
        <v>0.41858141858141801</v>
      </c>
      <c r="C12620" s="6">
        <v>0.58318165472907502</v>
      </c>
    </row>
    <row r="12621" spans="1:3" s="8" customFormat="1" x14ac:dyDescent="0.2">
      <c r="A12621" s="6" t="str">
        <f>"PGAP4"</f>
        <v>PGAP4</v>
      </c>
      <c r="B12621" s="6">
        <v>0.41858141858141801</v>
      </c>
      <c r="C12621" s="6">
        <v>0.58318165472907502</v>
      </c>
    </row>
    <row r="12622" spans="1:3" s="8" customFormat="1" x14ac:dyDescent="0.2">
      <c r="A12622" s="6" t="str">
        <f>"FCGBP"</f>
        <v>FCGBP</v>
      </c>
      <c r="B12622" s="6">
        <v>0.41858141858141801</v>
      </c>
      <c r="C12622" s="6">
        <v>0.58318165472907502</v>
      </c>
    </row>
    <row r="12623" spans="1:3" s="8" customFormat="1" x14ac:dyDescent="0.2">
      <c r="A12623" s="6" t="str">
        <f>"SMIM17"</f>
        <v>SMIM17</v>
      </c>
      <c r="B12623" s="6">
        <v>0.41891891891891803</v>
      </c>
      <c r="C12623" s="6">
        <v>0.58360563066631799</v>
      </c>
    </row>
    <row r="12624" spans="1:3" s="8" customFormat="1" x14ac:dyDescent="0.2">
      <c r="A12624" s="6" t="str">
        <f>"RLN3"</f>
        <v>RLN3</v>
      </c>
      <c r="B12624" s="6">
        <v>0.41958041958041897</v>
      </c>
      <c r="C12624" s="6">
        <v>0.58420319090205797</v>
      </c>
    </row>
    <row r="12625" spans="1:3" s="8" customFormat="1" x14ac:dyDescent="0.2">
      <c r="A12625" s="6" t="str">
        <f>"AC021087.3"</f>
        <v>AC021087.3</v>
      </c>
      <c r="B12625" s="6">
        <v>0.41958041958041897</v>
      </c>
      <c r="C12625" s="6">
        <v>0.58420319090205797</v>
      </c>
    </row>
    <row r="12626" spans="1:3" s="8" customFormat="1" x14ac:dyDescent="0.2">
      <c r="A12626" s="6" t="str">
        <f>"AL158801.2"</f>
        <v>AL158801.2</v>
      </c>
      <c r="B12626" s="6">
        <v>0.41958041958041897</v>
      </c>
      <c r="C12626" s="6">
        <v>0.58420319090205797</v>
      </c>
    </row>
    <row r="12627" spans="1:3" s="8" customFormat="1" x14ac:dyDescent="0.2">
      <c r="A12627" s="6" t="str">
        <f>"PRKCZ-AS1"</f>
        <v>PRKCZ-AS1</v>
      </c>
      <c r="B12627" s="6">
        <v>0.41958041958041897</v>
      </c>
      <c r="C12627" s="6">
        <v>0.58420319090205797</v>
      </c>
    </row>
    <row r="12628" spans="1:3" s="8" customFormat="1" x14ac:dyDescent="0.2">
      <c r="A12628" s="6" t="str">
        <f>"COP1"</f>
        <v>COP1</v>
      </c>
      <c r="B12628" s="6">
        <v>0.41958041958041897</v>
      </c>
      <c r="C12628" s="6">
        <v>0.58420319090205797</v>
      </c>
    </row>
    <row r="12629" spans="1:3" s="8" customFormat="1" x14ac:dyDescent="0.2">
      <c r="A12629" s="6" t="str">
        <f>"EPB41L4B"</f>
        <v>EPB41L4B</v>
      </c>
      <c r="B12629" s="6">
        <v>0.41958041958041897</v>
      </c>
      <c r="C12629" s="6">
        <v>0.58420319090205797</v>
      </c>
    </row>
    <row r="12630" spans="1:3" s="8" customFormat="1" x14ac:dyDescent="0.2">
      <c r="A12630" s="6" t="str">
        <f>"TUBA1C"</f>
        <v>TUBA1C</v>
      </c>
      <c r="B12630" s="6">
        <v>0.41958041958041897</v>
      </c>
      <c r="C12630" s="6">
        <v>0.58420319090205797</v>
      </c>
    </row>
    <row r="12631" spans="1:3" s="8" customFormat="1" x14ac:dyDescent="0.2">
      <c r="A12631" s="6" t="str">
        <f>"DNAH9"</f>
        <v>DNAH9</v>
      </c>
      <c r="B12631" s="6">
        <v>0.42</v>
      </c>
      <c r="C12631" s="6">
        <v>0.58474109263657903</v>
      </c>
    </row>
    <row r="12632" spans="1:3" s="8" customFormat="1" x14ac:dyDescent="0.2">
      <c r="A12632" s="6" t="str">
        <f>"AC005790.1"</f>
        <v>AC005790.1</v>
      </c>
      <c r="B12632" s="6">
        <v>0.42057942057941999</v>
      </c>
      <c r="C12632" s="6">
        <v>0.58503825104568696</v>
      </c>
    </row>
    <row r="12633" spans="1:3" s="8" customFormat="1" x14ac:dyDescent="0.2">
      <c r="A12633" s="6" t="str">
        <f>"OR5BA1P"</f>
        <v>OR5BA1P</v>
      </c>
      <c r="B12633" s="6">
        <v>0.42057942057941999</v>
      </c>
      <c r="C12633" s="6">
        <v>0.58503825104568696</v>
      </c>
    </row>
    <row r="12634" spans="1:3" s="8" customFormat="1" x14ac:dyDescent="0.2">
      <c r="A12634" s="6" t="str">
        <f>"KIF5C"</f>
        <v>KIF5C</v>
      </c>
      <c r="B12634" s="6">
        <v>0.42057942057941999</v>
      </c>
      <c r="C12634" s="6">
        <v>0.58503825104568696</v>
      </c>
    </row>
    <row r="12635" spans="1:3" s="8" customFormat="1" x14ac:dyDescent="0.2">
      <c r="A12635" s="6" t="str">
        <f>"MAS1"</f>
        <v>MAS1</v>
      </c>
      <c r="B12635" s="6">
        <v>0.42057942057941999</v>
      </c>
      <c r="C12635" s="6">
        <v>0.58503825104568696</v>
      </c>
    </row>
    <row r="12636" spans="1:3" s="8" customFormat="1" x14ac:dyDescent="0.2">
      <c r="A12636" s="6" t="str">
        <f>"AC010197.2"</f>
        <v>AC010197.2</v>
      </c>
      <c r="B12636" s="6">
        <v>0.42057942057941999</v>
      </c>
      <c r="C12636" s="6">
        <v>0.58503825104568696</v>
      </c>
    </row>
    <row r="12637" spans="1:3" s="8" customFormat="1" x14ac:dyDescent="0.2">
      <c r="A12637" s="6" t="str">
        <f>"AC000093.1"</f>
        <v>AC000093.1</v>
      </c>
      <c r="B12637" s="6">
        <v>0.42057942057941999</v>
      </c>
      <c r="C12637" s="6">
        <v>0.58503825104568696</v>
      </c>
    </row>
    <row r="12638" spans="1:3" s="8" customFormat="1" x14ac:dyDescent="0.2">
      <c r="A12638" s="6" t="str">
        <f>"CEP295"</f>
        <v>CEP295</v>
      </c>
      <c r="B12638" s="6">
        <v>0.42057942057941999</v>
      </c>
      <c r="C12638" s="6">
        <v>0.58503825104568696</v>
      </c>
    </row>
    <row r="12639" spans="1:3" s="8" customFormat="1" x14ac:dyDescent="0.2">
      <c r="A12639" s="6" t="str">
        <f>"SCO2"</f>
        <v>SCO2</v>
      </c>
      <c r="B12639" s="6">
        <v>0.42057942057941999</v>
      </c>
      <c r="C12639" s="6">
        <v>0.58503825104568696</v>
      </c>
    </row>
    <row r="12640" spans="1:3" s="8" customFormat="1" x14ac:dyDescent="0.2">
      <c r="A12640" s="6" t="str">
        <f>"ERCC3"</f>
        <v>ERCC3</v>
      </c>
      <c r="B12640" s="6">
        <v>0.42057942057941999</v>
      </c>
      <c r="C12640" s="6">
        <v>0.58503825104568696</v>
      </c>
    </row>
    <row r="12641" spans="1:3" s="8" customFormat="1" x14ac:dyDescent="0.2">
      <c r="A12641" s="6" t="str">
        <f>"RSPH9"</f>
        <v>RSPH9</v>
      </c>
      <c r="B12641" s="6">
        <v>0.42057942057941999</v>
      </c>
      <c r="C12641" s="6">
        <v>0.58503825104568696</v>
      </c>
    </row>
    <row r="12642" spans="1:3" s="8" customFormat="1" x14ac:dyDescent="0.2">
      <c r="A12642" s="6" t="str">
        <f>"CCDC65"</f>
        <v>CCDC65</v>
      </c>
      <c r="B12642" s="6">
        <v>0.42057942057941999</v>
      </c>
      <c r="C12642" s="6">
        <v>0.58503825104568696</v>
      </c>
    </row>
    <row r="12643" spans="1:3" s="8" customFormat="1" x14ac:dyDescent="0.2">
      <c r="A12643" s="6" t="str">
        <f>"TEX46"</f>
        <v>TEX46</v>
      </c>
      <c r="B12643" s="6">
        <v>0.42157842157842101</v>
      </c>
      <c r="C12643" s="6">
        <v>0.58610333373141699</v>
      </c>
    </row>
    <row r="12644" spans="1:3" s="8" customFormat="1" x14ac:dyDescent="0.2">
      <c r="A12644" s="6" t="str">
        <f>"AC090589.3"</f>
        <v>AC090589.3</v>
      </c>
      <c r="B12644" s="6">
        <v>0.42157842157842101</v>
      </c>
      <c r="C12644" s="6">
        <v>0.58610333373141699</v>
      </c>
    </row>
    <row r="12645" spans="1:3" s="8" customFormat="1" x14ac:dyDescent="0.2">
      <c r="A12645" s="6" t="str">
        <f>"AC109460.3"</f>
        <v>AC109460.3</v>
      </c>
      <c r="B12645" s="6">
        <v>0.42157842157842101</v>
      </c>
      <c r="C12645" s="6">
        <v>0.58610333373141699</v>
      </c>
    </row>
    <row r="12646" spans="1:3" s="8" customFormat="1" x14ac:dyDescent="0.2">
      <c r="A12646" s="6" t="str">
        <f>"C19orf54"</f>
        <v>C19orf54</v>
      </c>
      <c r="B12646" s="6">
        <v>0.42157842157842101</v>
      </c>
      <c r="C12646" s="6">
        <v>0.58610333373141699</v>
      </c>
    </row>
    <row r="12647" spans="1:3" s="8" customFormat="1" x14ac:dyDescent="0.2">
      <c r="A12647" s="6" t="str">
        <f>"FAM126B"</f>
        <v>FAM126B</v>
      </c>
      <c r="B12647" s="6">
        <v>0.42157842157842101</v>
      </c>
      <c r="C12647" s="6">
        <v>0.58610333373141699</v>
      </c>
    </row>
    <row r="12648" spans="1:3" s="8" customFormat="1" x14ac:dyDescent="0.2">
      <c r="A12648" s="6" t="str">
        <f>"UBAC2"</f>
        <v>UBAC2</v>
      </c>
      <c r="B12648" s="6">
        <v>0.42157842157842101</v>
      </c>
      <c r="C12648" s="6">
        <v>0.58610333373141699</v>
      </c>
    </row>
    <row r="12649" spans="1:3" s="8" customFormat="1" x14ac:dyDescent="0.2">
      <c r="A12649" s="6" t="str">
        <f>"HS6ST1"</f>
        <v>HS6ST1</v>
      </c>
      <c r="B12649" s="6">
        <v>0.42157842157842101</v>
      </c>
      <c r="C12649" s="6">
        <v>0.58610333373141699</v>
      </c>
    </row>
    <row r="12650" spans="1:3" s="8" customFormat="1" x14ac:dyDescent="0.2">
      <c r="A12650" s="6" t="str">
        <f>"CEND1"</f>
        <v>CEND1</v>
      </c>
      <c r="B12650" s="6">
        <v>0.42257742257742198</v>
      </c>
      <c r="C12650" s="6">
        <v>0.58712084375801099</v>
      </c>
    </row>
    <row r="12651" spans="1:3" s="8" customFormat="1" x14ac:dyDescent="0.2">
      <c r="A12651" s="6" t="str">
        <f>"XCL2"</f>
        <v>XCL2</v>
      </c>
      <c r="B12651" s="6">
        <v>0.42257742257742198</v>
      </c>
      <c r="C12651" s="6">
        <v>0.58712084375801099</v>
      </c>
    </row>
    <row r="12652" spans="1:3" s="8" customFormat="1" x14ac:dyDescent="0.2">
      <c r="A12652" s="6" t="str">
        <f>"LINC01285"</f>
        <v>LINC01285</v>
      </c>
      <c r="B12652" s="6">
        <v>0.42257742257742198</v>
      </c>
      <c r="C12652" s="6">
        <v>0.58712084375801099</v>
      </c>
    </row>
    <row r="12653" spans="1:3" s="8" customFormat="1" x14ac:dyDescent="0.2">
      <c r="A12653" s="6" t="str">
        <f>"SIRPG"</f>
        <v>SIRPG</v>
      </c>
      <c r="B12653" s="6">
        <v>0.42257742257742198</v>
      </c>
      <c r="C12653" s="6">
        <v>0.58712084375801099</v>
      </c>
    </row>
    <row r="12654" spans="1:3" s="8" customFormat="1" x14ac:dyDescent="0.2">
      <c r="A12654" s="6" t="str">
        <f>"STAR"</f>
        <v>STAR</v>
      </c>
      <c r="B12654" s="6">
        <v>0.42257742257742198</v>
      </c>
      <c r="C12654" s="6">
        <v>0.58712084375801099</v>
      </c>
    </row>
    <row r="12655" spans="1:3" s="8" customFormat="1" x14ac:dyDescent="0.2">
      <c r="A12655" s="6" t="str">
        <f>"PINX1"</f>
        <v>PINX1</v>
      </c>
      <c r="B12655" s="6">
        <v>0.42257742257742198</v>
      </c>
      <c r="C12655" s="6">
        <v>0.58712084375801099</v>
      </c>
    </row>
    <row r="12656" spans="1:3" s="8" customFormat="1" x14ac:dyDescent="0.2">
      <c r="A12656" s="6" t="str">
        <f>"WASHC5"</f>
        <v>WASHC5</v>
      </c>
      <c r="B12656" s="6">
        <v>0.42257742257742198</v>
      </c>
      <c r="C12656" s="6">
        <v>0.58712084375801099</v>
      </c>
    </row>
    <row r="12657" spans="1:3" s="8" customFormat="1" x14ac:dyDescent="0.2">
      <c r="A12657" s="6" t="str">
        <f>"PLCE1"</f>
        <v>PLCE1</v>
      </c>
      <c r="B12657" s="6">
        <v>0.42257742257742198</v>
      </c>
      <c r="C12657" s="6">
        <v>0.58712084375801099</v>
      </c>
    </row>
    <row r="12658" spans="1:3" s="8" customFormat="1" x14ac:dyDescent="0.2">
      <c r="A12658" s="6" t="str">
        <f>"FAM225A"</f>
        <v>FAM225A</v>
      </c>
      <c r="B12658" s="6">
        <v>0.423576423576423</v>
      </c>
      <c r="C12658" s="6">
        <v>0.58813706823814205</v>
      </c>
    </row>
    <row r="12659" spans="1:3" s="8" customFormat="1" x14ac:dyDescent="0.2">
      <c r="A12659" s="6" t="str">
        <f>"CTAGE15"</f>
        <v>CTAGE15</v>
      </c>
      <c r="B12659" s="6">
        <v>0.423576423576423</v>
      </c>
      <c r="C12659" s="6">
        <v>0.58813706823814205</v>
      </c>
    </row>
    <row r="12660" spans="1:3" s="8" customFormat="1" x14ac:dyDescent="0.2">
      <c r="A12660" s="6" t="str">
        <f>"NMNAT1"</f>
        <v>NMNAT1</v>
      </c>
      <c r="B12660" s="6">
        <v>0.423576423576423</v>
      </c>
      <c r="C12660" s="6">
        <v>0.58813706823814205</v>
      </c>
    </row>
    <row r="12661" spans="1:3" s="8" customFormat="1" x14ac:dyDescent="0.2">
      <c r="A12661" s="6" t="str">
        <f>"HOOK2"</f>
        <v>HOOK2</v>
      </c>
      <c r="B12661" s="6">
        <v>0.423576423576423</v>
      </c>
      <c r="C12661" s="6">
        <v>0.58813706823814205</v>
      </c>
    </row>
    <row r="12662" spans="1:3" s="8" customFormat="1" x14ac:dyDescent="0.2">
      <c r="A12662" s="6" t="str">
        <f>"TMEM205"</f>
        <v>TMEM205</v>
      </c>
      <c r="B12662" s="6">
        <v>0.423576423576423</v>
      </c>
      <c r="C12662" s="6">
        <v>0.58813706823814205</v>
      </c>
    </row>
    <row r="12663" spans="1:3" s="8" customFormat="1" x14ac:dyDescent="0.2">
      <c r="A12663" s="6" t="str">
        <f>"YIPF2"</f>
        <v>YIPF2</v>
      </c>
      <c r="B12663" s="6">
        <v>0.423576423576423</v>
      </c>
      <c r="C12663" s="6">
        <v>0.58813706823814205</v>
      </c>
    </row>
    <row r="12664" spans="1:3" s="8" customFormat="1" x14ac:dyDescent="0.2">
      <c r="A12664" s="6" t="str">
        <f>"USO1"</f>
        <v>USO1</v>
      </c>
      <c r="B12664" s="6">
        <v>0.423576423576423</v>
      </c>
      <c r="C12664" s="6">
        <v>0.58813706823814205</v>
      </c>
    </row>
    <row r="12665" spans="1:3" s="8" customFormat="1" x14ac:dyDescent="0.2">
      <c r="A12665" s="6" t="str">
        <f>"MMP24OS"</f>
        <v>MMP24OS</v>
      </c>
      <c r="B12665" s="6">
        <v>0.423576423576423</v>
      </c>
      <c r="C12665" s="6">
        <v>0.58813706823814205</v>
      </c>
    </row>
    <row r="12666" spans="1:3" s="8" customFormat="1" x14ac:dyDescent="0.2">
      <c r="A12666" s="6" t="str">
        <f>"AC110809.1"</f>
        <v>AC110809.1</v>
      </c>
      <c r="B12666" s="6">
        <v>0.42369477911646503</v>
      </c>
      <c r="C12666" s="6">
        <v>0.58825495428218999</v>
      </c>
    </row>
    <row r="12667" spans="1:3" s="8" customFormat="1" x14ac:dyDescent="0.2">
      <c r="A12667" s="6" t="str">
        <f>"LINC01667"</f>
        <v>LINC01667</v>
      </c>
      <c r="B12667" s="6">
        <v>0.42457542457542402</v>
      </c>
      <c r="C12667" s="6">
        <v>0.58887318707479597</v>
      </c>
    </row>
    <row r="12668" spans="1:3" s="8" customFormat="1" x14ac:dyDescent="0.2">
      <c r="A12668" s="6" t="str">
        <f>"AC008808.2"</f>
        <v>AC008808.2</v>
      </c>
      <c r="B12668" s="6">
        <v>0.42457542457542402</v>
      </c>
      <c r="C12668" s="6">
        <v>0.58887318707479597</v>
      </c>
    </row>
    <row r="12669" spans="1:3" s="8" customFormat="1" x14ac:dyDescent="0.2">
      <c r="A12669" s="6" t="str">
        <f>"FAM153B"</f>
        <v>FAM153B</v>
      </c>
      <c r="B12669" s="6">
        <v>0.42457542457542402</v>
      </c>
      <c r="C12669" s="6">
        <v>0.58887318707479597</v>
      </c>
    </row>
    <row r="12670" spans="1:3" s="8" customFormat="1" x14ac:dyDescent="0.2">
      <c r="A12670" s="6" t="str">
        <f>"ROBO2"</f>
        <v>ROBO2</v>
      </c>
      <c r="B12670" s="6">
        <v>0.42457542457542402</v>
      </c>
      <c r="C12670" s="6">
        <v>0.58887318707479597</v>
      </c>
    </row>
    <row r="12671" spans="1:3" s="8" customFormat="1" x14ac:dyDescent="0.2">
      <c r="A12671" s="6" t="str">
        <f>"GS1-124K5.4"</f>
        <v>GS1-124K5.4</v>
      </c>
      <c r="B12671" s="6">
        <v>0.42457542457542402</v>
      </c>
      <c r="C12671" s="6">
        <v>0.58887318707479597</v>
      </c>
    </row>
    <row r="12672" spans="1:3" s="8" customFormat="1" x14ac:dyDescent="0.2">
      <c r="A12672" s="6" t="str">
        <f>"C5orf66"</f>
        <v>C5orf66</v>
      </c>
      <c r="B12672" s="6">
        <v>0.42457542457542402</v>
      </c>
      <c r="C12672" s="6">
        <v>0.58887318707479597</v>
      </c>
    </row>
    <row r="12673" spans="1:3" s="8" customFormat="1" x14ac:dyDescent="0.2">
      <c r="A12673" s="6" t="str">
        <f>"AL592211.1"</f>
        <v>AL592211.1</v>
      </c>
      <c r="B12673" s="6">
        <v>0.42457542457542402</v>
      </c>
      <c r="C12673" s="6">
        <v>0.58887318707479597</v>
      </c>
    </row>
    <row r="12674" spans="1:3" s="8" customFormat="1" x14ac:dyDescent="0.2">
      <c r="A12674" s="6" t="str">
        <f>"MTLN"</f>
        <v>MTLN</v>
      </c>
      <c r="B12674" s="6">
        <v>0.42457542457542402</v>
      </c>
      <c r="C12674" s="6">
        <v>0.58887318707479597</v>
      </c>
    </row>
    <row r="12675" spans="1:3" s="8" customFormat="1" x14ac:dyDescent="0.2">
      <c r="A12675" s="6" t="str">
        <f>"FBXO44"</f>
        <v>FBXO44</v>
      </c>
      <c r="B12675" s="6">
        <v>0.42457542457542402</v>
      </c>
      <c r="C12675" s="6">
        <v>0.58887318707479597</v>
      </c>
    </row>
    <row r="12676" spans="1:3" s="8" customFormat="1" x14ac:dyDescent="0.2">
      <c r="A12676" s="6" t="str">
        <f>"NME6"</f>
        <v>NME6</v>
      </c>
      <c r="B12676" s="6">
        <v>0.42457542457542402</v>
      </c>
      <c r="C12676" s="6">
        <v>0.58887318707479597</v>
      </c>
    </row>
    <row r="12677" spans="1:3" s="8" customFormat="1" x14ac:dyDescent="0.2">
      <c r="A12677" s="6" t="str">
        <f>"PEX10"</f>
        <v>PEX10</v>
      </c>
      <c r="B12677" s="6">
        <v>0.42457542457542402</v>
      </c>
      <c r="C12677" s="6">
        <v>0.58887318707479597</v>
      </c>
    </row>
    <row r="12678" spans="1:3" s="8" customFormat="1" x14ac:dyDescent="0.2">
      <c r="A12678" s="6" t="str">
        <f>"PRCP"</f>
        <v>PRCP</v>
      </c>
      <c r="B12678" s="6">
        <v>0.42457542457542402</v>
      </c>
      <c r="C12678" s="6">
        <v>0.58887318707479597</v>
      </c>
    </row>
    <row r="12679" spans="1:3" s="8" customFormat="1" x14ac:dyDescent="0.2">
      <c r="A12679" s="6" t="str">
        <f>"PIK3IP1"</f>
        <v>PIK3IP1</v>
      </c>
      <c r="B12679" s="6">
        <v>0.42457542457542402</v>
      </c>
      <c r="C12679" s="6">
        <v>0.58887318707479597</v>
      </c>
    </row>
    <row r="12680" spans="1:3" s="8" customFormat="1" x14ac:dyDescent="0.2">
      <c r="A12680" s="6" t="str">
        <f>"Z95114.2"</f>
        <v>Z95114.2</v>
      </c>
      <c r="B12680" s="6">
        <v>0.42494714587737797</v>
      </c>
      <c r="C12680" s="6">
        <v>0.58934226777410004</v>
      </c>
    </row>
    <row r="12681" spans="1:3" s="8" customFormat="1" x14ac:dyDescent="0.2">
      <c r="A12681" s="6" t="str">
        <f>"AC092119.2"</f>
        <v>AC092119.2</v>
      </c>
      <c r="B12681" s="6">
        <v>0.42538071065989802</v>
      </c>
      <c r="C12681" s="6">
        <v>0.58989703598136001</v>
      </c>
    </row>
    <row r="12682" spans="1:3" s="8" customFormat="1" x14ac:dyDescent="0.2">
      <c r="A12682" s="6" t="str">
        <f>"RIMKLA"</f>
        <v>RIMKLA</v>
      </c>
      <c r="B12682" s="6">
        <v>0.42557442557442499</v>
      </c>
      <c r="C12682" s="6">
        <v>0.58993304685066605</v>
      </c>
    </row>
    <row r="12683" spans="1:3" s="8" customFormat="1" x14ac:dyDescent="0.2">
      <c r="A12683" s="6" t="str">
        <f>"CBWD5"</f>
        <v>CBWD5</v>
      </c>
      <c r="B12683" s="6">
        <v>0.42557442557442499</v>
      </c>
      <c r="C12683" s="6">
        <v>0.58993304685066605</v>
      </c>
    </row>
    <row r="12684" spans="1:3" s="8" customFormat="1" x14ac:dyDescent="0.2">
      <c r="A12684" s="6" t="str">
        <f>"PFDN6"</f>
        <v>PFDN6</v>
      </c>
      <c r="B12684" s="6">
        <v>0.42557442557442499</v>
      </c>
      <c r="C12684" s="6">
        <v>0.58993304685066605</v>
      </c>
    </row>
    <row r="12685" spans="1:3" s="8" customFormat="1" x14ac:dyDescent="0.2">
      <c r="A12685" s="6" t="str">
        <f>"STRAP"</f>
        <v>STRAP</v>
      </c>
      <c r="B12685" s="6">
        <v>0.42557442557442499</v>
      </c>
      <c r="C12685" s="6">
        <v>0.58993304685066605</v>
      </c>
    </row>
    <row r="12686" spans="1:3" s="8" customFormat="1" x14ac:dyDescent="0.2">
      <c r="A12686" s="6" t="str">
        <f>"CAPN5"</f>
        <v>CAPN5</v>
      </c>
      <c r="B12686" s="6">
        <v>0.42557442557442499</v>
      </c>
      <c r="C12686" s="6">
        <v>0.58993304685066605</v>
      </c>
    </row>
    <row r="12687" spans="1:3" s="8" customFormat="1" x14ac:dyDescent="0.2">
      <c r="A12687" s="6" t="str">
        <f>"CILP"</f>
        <v>CILP</v>
      </c>
      <c r="B12687" s="6">
        <v>0.42657342657342601</v>
      </c>
      <c r="C12687" s="6">
        <v>0.590619459280876</v>
      </c>
    </row>
    <row r="12688" spans="1:3" s="8" customFormat="1" x14ac:dyDescent="0.2">
      <c r="A12688" s="6" t="str">
        <f>"PLA2G4D"</f>
        <v>PLA2G4D</v>
      </c>
      <c r="B12688" s="6">
        <v>0.42657342657342601</v>
      </c>
      <c r="C12688" s="6">
        <v>0.590619459280876</v>
      </c>
    </row>
    <row r="12689" spans="1:3" s="8" customFormat="1" x14ac:dyDescent="0.2">
      <c r="A12689" s="6" t="str">
        <f>"CAMK2B"</f>
        <v>CAMK2B</v>
      </c>
      <c r="B12689" s="6">
        <v>0.42657342657342601</v>
      </c>
      <c r="C12689" s="6">
        <v>0.590619459280876</v>
      </c>
    </row>
    <row r="12690" spans="1:3" s="8" customFormat="1" x14ac:dyDescent="0.2">
      <c r="A12690" s="6" t="str">
        <f>"VPS9D1-AS1"</f>
        <v>VPS9D1-AS1</v>
      </c>
      <c r="B12690" s="6">
        <v>0.42657342657342601</v>
      </c>
      <c r="C12690" s="6">
        <v>0.590619459280876</v>
      </c>
    </row>
    <row r="12691" spans="1:3" s="8" customFormat="1" x14ac:dyDescent="0.2">
      <c r="A12691" s="6" t="str">
        <f>"MPP3"</f>
        <v>MPP3</v>
      </c>
      <c r="B12691" s="6">
        <v>0.42657342657342601</v>
      </c>
      <c r="C12691" s="6">
        <v>0.590619459280876</v>
      </c>
    </row>
    <row r="12692" spans="1:3" s="8" customFormat="1" x14ac:dyDescent="0.2">
      <c r="A12692" s="6" t="str">
        <f>"AOX1"</f>
        <v>AOX1</v>
      </c>
      <c r="B12692" s="6">
        <v>0.42657342657342601</v>
      </c>
      <c r="C12692" s="6">
        <v>0.590619459280876</v>
      </c>
    </row>
    <row r="12693" spans="1:3" s="8" customFormat="1" x14ac:dyDescent="0.2">
      <c r="A12693" s="6" t="str">
        <f>"UMODL1"</f>
        <v>UMODL1</v>
      </c>
      <c r="B12693" s="6">
        <v>0.42657342657342601</v>
      </c>
      <c r="C12693" s="6">
        <v>0.590619459280876</v>
      </c>
    </row>
    <row r="12694" spans="1:3" s="8" customFormat="1" x14ac:dyDescent="0.2">
      <c r="A12694" s="6" t="str">
        <f>"SLC13A4"</f>
        <v>SLC13A4</v>
      </c>
      <c r="B12694" s="6">
        <v>0.42657342657342601</v>
      </c>
      <c r="C12694" s="6">
        <v>0.590619459280876</v>
      </c>
    </row>
    <row r="12695" spans="1:3" s="8" customFormat="1" x14ac:dyDescent="0.2">
      <c r="A12695" s="6" t="str">
        <f>"CLEC2D"</f>
        <v>CLEC2D</v>
      </c>
      <c r="B12695" s="6">
        <v>0.42657342657342601</v>
      </c>
      <c r="C12695" s="6">
        <v>0.590619459280876</v>
      </c>
    </row>
    <row r="12696" spans="1:3" s="8" customFormat="1" x14ac:dyDescent="0.2">
      <c r="A12696" s="6" t="str">
        <f>"RILP"</f>
        <v>RILP</v>
      </c>
      <c r="B12696" s="6">
        <v>0.42657342657342601</v>
      </c>
      <c r="C12696" s="6">
        <v>0.590619459280876</v>
      </c>
    </row>
    <row r="12697" spans="1:3" s="8" customFormat="1" x14ac:dyDescent="0.2">
      <c r="A12697" s="6" t="str">
        <f>"ANGEL2"</f>
        <v>ANGEL2</v>
      </c>
      <c r="B12697" s="6">
        <v>0.42657342657342601</v>
      </c>
      <c r="C12697" s="6">
        <v>0.590619459280876</v>
      </c>
    </row>
    <row r="12698" spans="1:3" s="8" customFormat="1" x14ac:dyDescent="0.2">
      <c r="A12698" s="6" t="str">
        <f>"PMPCB"</f>
        <v>PMPCB</v>
      </c>
      <c r="B12698" s="6">
        <v>0.42657342657342601</v>
      </c>
      <c r="C12698" s="6">
        <v>0.590619459280876</v>
      </c>
    </row>
    <row r="12699" spans="1:3" s="8" customFormat="1" x14ac:dyDescent="0.2">
      <c r="A12699" s="6" t="str">
        <f>"ITCH"</f>
        <v>ITCH</v>
      </c>
      <c r="B12699" s="6">
        <v>0.42657342657342601</v>
      </c>
      <c r="C12699" s="6">
        <v>0.590619459280876</v>
      </c>
    </row>
    <row r="12700" spans="1:3" s="8" customFormat="1" x14ac:dyDescent="0.2">
      <c r="A12700" s="6" t="str">
        <f>"ARL6IP5"</f>
        <v>ARL6IP5</v>
      </c>
      <c r="B12700" s="6">
        <v>0.42657342657342601</v>
      </c>
      <c r="C12700" s="6">
        <v>0.590619459280876</v>
      </c>
    </row>
    <row r="12701" spans="1:3" s="8" customFormat="1" x14ac:dyDescent="0.2">
      <c r="A12701" s="6" t="str">
        <f>"PTBP3"</f>
        <v>PTBP3</v>
      </c>
      <c r="B12701" s="6">
        <v>0.42657342657342601</v>
      </c>
      <c r="C12701" s="6">
        <v>0.590619459280876</v>
      </c>
    </row>
    <row r="12702" spans="1:3" s="8" customFormat="1" x14ac:dyDescent="0.2">
      <c r="A12702" s="6" t="str">
        <f>"NAA20"</f>
        <v>NAA20</v>
      </c>
      <c r="B12702" s="6">
        <v>0.42699999999999999</v>
      </c>
      <c r="C12702" s="6">
        <v>0.59116353043067404</v>
      </c>
    </row>
    <row r="12703" spans="1:3" s="8" customFormat="1" x14ac:dyDescent="0.2">
      <c r="A12703" s="6" t="str">
        <f>"DIPK2B"</f>
        <v>DIPK2B</v>
      </c>
      <c r="B12703" s="6">
        <v>0.42757242757242703</v>
      </c>
      <c r="C12703" s="6">
        <v>0.59158341068798204</v>
      </c>
    </row>
    <row r="12704" spans="1:3" s="8" customFormat="1" x14ac:dyDescent="0.2">
      <c r="A12704" s="6" t="str">
        <f>"C17orf99"</f>
        <v>C17orf99</v>
      </c>
      <c r="B12704" s="6">
        <v>0.42757242757242703</v>
      </c>
      <c r="C12704" s="6">
        <v>0.59158341068798204</v>
      </c>
    </row>
    <row r="12705" spans="1:3" s="8" customFormat="1" x14ac:dyDescent="0.2">
      <c r="A12705" s="6" t="str">
        <f>"LINC02832"</f>
        <v>LINC02832</v>
      </c>
      <c r="B12705" s="6">
        <v>0.42757242757242703</v>
      </c>
      <c r="C12705" s="6">
        <v>0.59158341068798204</v>
      </c>
    </row>
    <row r="12706" spans="1:3" s="8" customFormat="1" x14ac:dyDescent="0.2">
      <c r="A12706" s="6" t="str">
        <f>"ZNF780A"</f>
        <v>ZNF780A</v>
      </c>
      <c r="B12706" s="6">
        <v>0.42757242757242703</v>
      </c>
      <c r="C12706" s="6">
        <v>0.59158341068798204</v>
      </c>
    </row>
    <row r="12707" spans="1:3" s="8" customFormat="1" x14ac:dyDescent="0.2">
      <c r="A12707" s="6" t="str">
        <f>"PDRG1"</f>
        <v>PDRG1</v>
      </c>
      <c r="B12707" s="6">
        <v>0.42757242757242703</v>
      </c>
      <c r="C12707" s="6">
        <v>0.59158341068798204</v>
      </c>
    </row>
    <row r="12708" spans="1:3" s="8" customFormat="1" x14ac:dyDescent="0.2">
      <c r="A12708" s="6" t="str">
        <f>"PIP5K1A"</f>
        <v>PIP5K1A</v>
      </c>
      <c r="B12708" s="6">
        <v>0.42757242757242703</v>
      </c>
      <c r="C12708" s="6">
        <v>0.59158341068798204</v>
      </c>
    </row>
    <row r="12709" spans="1:3" s="8" customFormat="1" x14ac:dyDescent="0.2">
      <c r="A12709" s="6" t="str">
        <f>"VWA5A"</f>
        <v>VWA5A</v>
      </c>
      <c r="B12709" s="6">
        <v>0.42757242757242703</v>
      </c>
      <c r="C12709" s="6">
        <v>0.59158341068798204</v>
      </c>
    </row>
    <row r="12710" spans="1:3" s="8" customFormat="1" x14ac:dyDescent="0.2">
      <c r="A12710" s="6" t="str">
        <f>"ARL1"</f>
        <v>ARL1</v>
      </c>
      <c r="B12710" s="6">
        <v>0.42757242757242703</v>
      </c>
      <c r="C12710" s="6">
        <v>0.59158341068798204</v>
      </c>
    </row>
    <row r="12711" spans="1:3" s="8" customFormat="1" x14ac:dyDescent="0.2">
      <c r="A12711" s="6" t="str">
        <f>"SPTBN1-AS1"</f>
        <v>SPTBN1-AS1</v>
      </c>
      <c r="B12711" s="6">
        <v>0.42799999999999999</v>
      </c>
      <c r="C12711" s="6">
        <v>0.592035242290748</v>
      </c>
    </row>
    <row r="12712" spans="1:3" s="8" customFormat="1" x14ac:dyDescent="0.2">
      <c r="A12712" s="6" t="str">
        <f>"WFDC5"</f>
        <v>WFDC5</v>
      </c>
      <c r="B12712" s="6">
        <v>0.42799999999999999</v>
      </c>
      <c r="C12712" s="6">
        <v>0.592035242290748</v>
      </c>
    </row>
    <row r="12713" spans="1:3" s="8" customFormat="1" x14ac:dyDescent="0.2">
      <c r="A12713" s="6" t="str">
        <f>"FDX1"</f>
        <v>FDX1</v>
      </c>
      <c r="B12713" s="6">
        <v>0.42799999999999999</v>
      </c>
      <c r="C12713" s="6">
        <v>0.592035242290748</v>
      </c>
    </row>
    <row r="12714" spans="1:3" s="8" customFormat="1" x14ac:dyDescent="0.2">
      <c r="A12714" s="6" t="str">
        <f>"AC113404.3"</f>
        <v>AC113404.3</v>
      </c>
      <c r="B12714" s="6">
        <v>0.42857142857142799</v>
      </c>
      <c r="C12714" s="6">
        <v>0.59212697414944604</v>
      </c>
    </row>
    <row r="12715" spans="1:3" s="8" customFormat="1" x14ac:dyDescent="0.2">
      <c r="A12715" s="6" t="str">
        <f>"OR6Y1"</f>
        <v>OR6Y1</v>
      </c>
      <c r="B12715" s="6">
        <v>0.42827004219409198</v>
      </c>
      <c r="C12715" s="6">
        <v>0.59212697414944604</v>
      </c>
    </row>
    <row r="12716" spans="1:3" s="8" customFormat="1" x14ac:dyDescent="0.2">
      <c r="A12716" s="6" t="str">
        <f>"AC048382.6"</f>
        <v>AC048382.6</v>
      </c>
      <c r="B12716" s="6">
        <v>0.42814070351758698</v>
      </c>
      <c r="C12716" s="6">
        <v>0.59212697414944604</v>
      </c>
    </row>
    <row r="12717" spans="1:3" s="8" customFormat="1" x14ac:dyDescent="0.2">
      <c r="A12717" s="6" t="str">
        <f>"NTF4"</f>
        <v>NTF4</v>
      </c>
      <c r="B12717" s="6">
        <v>0.42857142857142799</v>
      </c>
      <c r="C12717" s="6">
        <v>0.59212697414944604</v>
      </c>
    </row>
    <row r="12718" spans="1:3" s="8" customFormat="1" x14ac:dyDescent="0.2">
      <c r="A12718" s="6" t="str">
        <f>"GAS2L3"</f>
        <v>GAS2L3</v>
      </c>
      <c r="B12718" s="6">
        <v>0.42857142857142799</v>
      </c>
      <c r="C12718" s="6">
        <v>0.59212697414944604</v>
      </c>
    </row>
    <row r="12719" spans="1:3" s="8" customFormat="1" x14ac:dyDescent="0.2">
      <c r="A12719" s="6" t="str">
        <f>"CDC6"</f>
        <v>CDC6</v>
      </c>
      <c r="B12719" s="6">
        <v>0.42857142857142799</v>
      </c>
      <c r="C12719" s="6">
        <v>0.59212697414944604</v>
      </c>
    </row>
    <row r="12720" spans="1:3" s="8" customFormat="1" x14ac:dyDescent="0.2">
      <c r="A12720" s="6" t="str">
        <f>"ARHGAP6"</f>
        <v>ARHGAP6</v>
      </c>
      <c r="B12720" s="6">
        <v>0.42857142857142799</v>
      </c>
      <c r="C12720" s="6">
        <v>0.59212697414944604</v>
      </c>
    </row>
    <row r="12721" spans="1:3" s="8" customFormat="1" x14ac:dyDescent="0.2">
      <c r="A12721" s="6" t="str">
        <f>"SDSL"</f>
        <v>SDSL</v>
      </c>
      <c r="B12721" s="6">
        <v>0.42857142857142799</v>
      </c>
      <c r="C12721" s="6">
        <v>0.59212697414944604</v>
      </c>
    </row>
    <row r="12722" spans="1:3" s="8" customFormat="1" x14ac:dyDescent="0.2">
      <c r="A12722" s="6" t="str">
        <f>"ZNF700"</f>
        <v>ZNF700</v>
      </c>
      <c r="B12722" s="6">
        <v>0.42857142857142799</v>
      </c>
      <c r="C12722" s="6">
        <v>0.59212697414944604</v>
      </c>
    </row>
    <row r="12723" spans="1:3" s="8" customFormat="1" x14ac:dyDescent="0.2">
      <c r="A12723" s="6" t="str">
        <f>"FOXA3"</f>
        <v>FOXA3</v>
      </c>
      <c r="B12723" s="6">
        <v>0.42857142857142799</v>
      </c>
      <c r="C12723" s="6">
        <v>0.59212697414944604</v>
      </c>
    </row>
    <row r="12724" spans="1:3" s="8" customFormat="1" x14ac:dyDescent="0.2">
      <c r="A12724" s="6" t="str">
        <f>"ULK4"</f>
        <v>ULK4</v>
      </c>
      <c r="B12724" s="6">
        <v>0.42857142857142799</v>
      </c>
      <c r="C12724" s="6">
        <v>0.59212697414944604</v>
      </c>
    </row>
    <row r="12725" spans="1:3" s="8" customFormat="1" x14ac:dyDescent="0.2">
      <c r="A12725" s="6" t="str">
        <f>"STRADA"</f>
        <v>STRADA</v>
      </c>
      <c r="B12725" s="6">
        <v>0.42857142857142799</v>
      </c>
      <c r="C12725" s="6">
        <v>0.59212697414944604</v>
      </c>
    </row>
    <row r="12726" spans="1:3" s="8" customFormat="1" x14ac:dyDescent="0.2">
      <c r="A12726" s="6" t="str">
        <f>"GAS8"</f>
        <v>GAS8</v>
      </c>
      <c r="B12726" s="6">
        <v>0.42857142857142799</v>
      </c>
      <c r="C12726" s="6">
        <v>0.59212697414944604</v>
      </c>
    </row>
    <row r="12727" spans="1:3" s="8" customFormat="1" x14ac:dyDescent="0.2">
      <c r="A12727" s="6" t="str">
        <f>"PYCR2"</f>
        <v>PYCR2</v>
      </c>
      <c r="B12727" s="6">
        <v>0.42857142857142799</v>
      </c>
      <c r="C12727" s="6">
        <v>0.59212697414944604</v>
      </c>
    </row>
    <row r="12728" spans="1:3" s="8" customFormat="1" x14ac:dyDescent="0.2">
      <c r="A12728" s="6" t="str">
        <f>"CTDSP2"</f>
        <v>CTDSP2</v>
      </c>
      <c r="B12728" s="6">
        <v>0.42857142857142799</v>
      </c>
      <c r="C12728" s="6">
        <v>0.59212697414944604</v>
      </c>
    </row>
    <row r="12729" spans="1:3" s="8" customFormat="1" x14ac:dyDescent="0.2">
      <c r="A12729" s="6" t="str">
        <f>"LINC02804"</f>
        <v>LINC02804</v>
      </c>
      <c r="B12729" s="6">
        <v>0.42957042957042901</v>
      </c>
      <c r="C12729" s="6">
        <v>0.59308781670590704</v>
      </c>
    </row>
    <row r="12730" spans="1:3" s="8" customFormat="1" x14ac:dyDescent="0.2">
      <c r="A12730" s="6" t="str">
        <f>"MIA-RAB4B"</f>
        <v>MIA-RAB4B</v>
      </c>
      <c r="B12730" s="6">
        <v>0.42957042957042901</v>
      </c>
      <c r="C12730" s="6">
        <v>0.59308781670590704</v>
      </c>
    </row>
    <row r="12731" spans="1:3" s="8" customFormat="1" x14ac:dyDescent="0.2">
      <c r="A12731" s="6" t="str">
        <f>"TIFAB"</f>
        <v>TIFAB</v>
      </c>
      <c r="B12731" s="6">
        <v>0.42957042957042901</v>
      </c>
      <c r="C12731" s="6">
        <v>0.59308781670590704</v>
      </c>
    </row>
    <row r="12732" spans="1:3" s="8" customFormat="1" x14ac:dyDescent="0.2">
      <c r="A12732" s="6" t="str">
        <f>"AL662795.2"</f>
        <v>AL662795.2</v>
      </c>
      <c r="B12732" s="6">
        <v>0.42957042957042901</v>
      </c>
      <c r="C12732" s="6">
        <v>0.59308781670590704</v>
      </c>
    </row>
    <row r="12733" spans="1:3" s="8" customFormat="1" x14ac:dyDescent="0.2">
      <c r="A12733" s="6" t="str">
        <f>"WDR27"</f>
        <v>WDR27</v>
      </c>
      <c r="B12733" s="6">
        <v>0.42957042957042901</v>
      </c>
      <c r="C12733" s="6">
        <v>0.59308781670590704</v>
      </c>
    </row>
    <row r="12734" spans="1:3" s="8" customFormat="1" x14ac:dyDescent="0.2">
      <c r="A12734" s="6" t="str">
        <f>"CEP68"</f>
        <v>CEP68</v>
      </c>
      <c r="B12734" s="6">
        <v>0.42957042957042901</v>
      </c>
      <c r="C12734" s="6">
        <v>0.59308781670590704</v>
      </c>
    </row>
    <row r="12735" spans="1:3" s="8" customFormat="1" x14ac:dyDescent="0.2">
      <c r="A12735" s="6" t="str">
        <f>"SENP3"</f>
        <v>SENP3</v>
      </c>
      <c r="B12735" s="6">
        <v>0.42957042957042901</v>
      </c>
      <c r="C12735" s="6">
        <v>0.59308781670590704</v>
      </c>
    </row>
    <row r="12736" spans="1:3" s="8" customFormat="1" x14ac:dyDescent="0.2">
      <c r="A12736" s="6" t="str">
        <f>"XPR1"</f>
        <v>XPR1</v>
      </c>
      <c r="B12736" s="6">
        <v>0.42957042957042901</v>
      </c>
      <c r="C12736" s="6">
        <v>0.59308781670590704</v>
      </c>
    </row>
    <row r="12737" spans="1:3" s="8" customFormat="1" x14ac:dyDescent="0.2">
      <c r="A12737" s="6" t="str">
        <f>"MAT2A"</f>
        <v>MAT2A</v>
      </c>
      <c r="B12737" s="6">
        <v>0.42957042957042901</v>
      </c>
      <c r="C12737" s="6">
        <v>0.59308781670590704</v>
      </c>
    </row>
    <row r="12738" spans="1:3" s="8" customFormat="1" x14ac:dyDescent="0.2">
      <c r="A12738" s="6" t="str">
        <f>"AC080011.1"</f>
        <v>AC080011.1</v>
      </c>
      <c r="B12738" s="6">
        <v>0.430030643513789</v>
      </c>
      <c r="C12738" s="6">
        <v>0.59362999179984899</v>
      </c>
    </row>
    <row r="12739" spans="1:3" s="8" customFormat="1" x14ac:dyDescent="0.2">
      <c r="A12739" s="6" t="str">
        <f>"AC011468.2"</f>
        <v>AC011468.2</v>
      </c>
      <c r="B12739" s="6">
        <v>0.43</v>
      </c>
      <c r="C12739" s="6">
        <v>0.59362999179984899</v>
      </c>
    </row>
    <row r="12740" spans="1:3" s="8" customFormat="1" x14ac:dyDescent="0.2">
      <c r="A12740" s="6" t="str">
        <f>"AC073370.1"</f>
        <v>AC073370.1</v>
      </c>
      <c r="B12740" s="6">
        <v>0.43056943056942998</v>
      </c>
      <c r="C12740" s="6">
        <v>0.59404730224659597</v>
      </c>
    </row>
    <row r="12741" spans="1:3" s="8" customFormat="1" x14ac:dyDescent="0.2">
      <c r="A12741" s="6" t="str">
        <f>"PTPRR"</f>
        <v>PTPRR</v>
      </c>
      <c r="B12741" s="6">
        <v>0.43056943056942998</v>
      </c>
      <c r="C12741" s="6">
        <v>0.59404730224659597</v>
      </c>
    </row>
    <row r="12742" spans="1:3" s="8" customFormat="1" x14ac:dyDescent="0.2">
      <c r="A12742" s="6" t="str">
        <f>"SPDYE16"</f>
        <v>SPDYE16</v>
      </c>
      <c r="B12742" s="6">
        <v>0.43056943056942998</v>
      </c>
      <c r="C12742" s="6">
        <v>0.59404730224659597</v>
      </c>
    </row>
    <row r="12743" spans="1:3" s="8" customFormat="1" x14ac:dyDescent="0.2">
      <c r="A12743" s="6" t="str">
        <f>"RNU6-36P"</f>
        <v>RNU6-36P</v>
      </c>
      <c r="B12743" s="6">
        <v>0.43056943056942998</v>
      </c>
      <c r="C12743" s="6">
        <v>0.59404730224659597</v>
      </c>
    </row>
    <row r="12744" spans="1:3" s="8" customFormat="1" x14ac:dyDescent="0.2">
      <c r="A12744" s="6" t="str">
        <f>"CKAP2"</f>
        <v>CKAP2</v>
      </c>
      <c r="B12744" s="6">
        <v>0.43056943056942998</v>
      </c>
      <c r="C12744" s="6">
        <v>0.59404730224659597</v>
      </c>
    </row>
    <row r="12745" spans="1:3" s="8" customFormat="1" x14ac:dyDescent="0.2">
      <c r="A12745" s="6" t="str">
        <f>"MPZL3"</f>
        <v>MPZL3</v>
      </c>
      <c r="B12745" s="6">
        <v>0.43056943056942998</v>
      </c>
      <c r="C12745" s="6">
        <v>0.59404730224659597</v>
      </c>
    </row>
    <row r="12746" spans="1:3" s="8" customFormat="1" x14ac:dyDescent="0.2">
      <c r="A12746" s="6" t="str">
        <f>"CTSZ"</f>
        <v>CTSZ</v>
      </c>
      <c r="B12746" s="6">
        <v>0.43056943056942998</v>
      </c>
      <c r="C12746" s="6">
        <v>0.59404730224659597</v>
      </c>
    </row>
    <row r="12747" spans="1:3" s="8" customFormat="1" x14ac:dyDescent="0.2">
      <c r="A12747" s="6" t="str">
        <f>"LINC01249"</f>
        <v>LINC01249</v>
      </c>
      <c r="B12747" s="6">
        <v>0.431568431568431</v>
      </c>
      <c r="C12747" s="6">
        <v>0.59486550918705805</v>
      </c>
    </row>
    <row r="12748" spans="1:3" s="8" customFormat="1" x14ac:dyDescent="0.2">
      <c r="A12748" s="6" t="str">
        <f>"ROBO4"</f>
        <v>ROBO4</v>
      </c>
      <c r="B12748" s="6">
        <v>0.431568431568431</v>
      </c>
      <c r="C12748" s="6">
        <v>0.59486550918705805</v>
      </c>
    </row>
    <row r="12749" spans="1:3" s="8" customFormat="1" x14ac:dyDescent="0.2">
      <c r="A12749" s="6" t="str">
        <f>"AC104653.1"</f>
        <v>AC104653.1</v>
      </c>
      <c r="B12749" s="6">
        <v>0.431568431568431</v>
      </c>
      <c r="C12749" s="6">
        <v>0.59486550918705805</v>
      </c>
    </row>
    <row r="12750" spans="1:3" s="8" customFormat="1" x14ac:dyDescent="0.2">
      <c r="A12750" s="6" t="str">
        <f>"AC009262.1"</f>
        <v>AC009262.1</v>
      </c>
      <c r="B12750" s="6">
        <v>0.431568431568431</v>
      </c>
      <c r="C12750" s="6">
        <v>0.59486550918705805</v>
      </c>
    </row>
    <row r="12751" spans="1:3" s="8" customFormat="1" x14ac:dyDescent="0.2">
      <c r="A12751" s="6" t="str">
        <f>"AC009093.8"</f>
        <v>AC009093.8</v>
      </c>
      <c r="B12751" s="6">
        <v>0.431568431568431</v>
      </c>
      <c r="C12751" s="6">
        <v>0.59486550918705805</v>
      </c>
    </row>
    <row r="12752" spans="1:3" s="8" customFormat="1" x14ac:dyDescent="0.2">
      <c r="A12752" s="6" t="str">
        <f>"AC139768.1"</f>
        <v>AC139768.1</v>
      </c>
      <c r="B12752" s="6">
        <v>0.431568431568431</v>
      </c>
      <c r="C12752" s="6">
        <v>0.59486550918705805</v>
      </c>
    </row>
    <row r="12753" spans="1:3" s="8" customFormat="1" x14ac:dyDescent="0.2">
      <c r="A12753" s="6" t="str">
        <f>"AC008012.1"</f>
        <v>AC008012.1</v>
      </c>
      <c r="B12753" s="6">
        <v>0.431568431568431</v>
      </c>
      <c r="C12753" s="6">
        <v>0.59486550918705805</v>
      </c>
    </row>
    <row r="12754" spans="1:3" s="8" customFormat="1" x14ac:dyDescent="0.2">
      <c r="A12754" s="6" t="str">
        <f>"C6"</f>
        <v>C6</v>
      </c>
      <c r="B12754" s="6">
        <v>0.431568431568431</v>
      </c>
      <c r="C12754" s="6">
        <v>0.59486550918705805</v>
      </c>
    </row>
    <row r="12755" spans="1:3" s="8" customFormat="1" x14ac:dyDescent="0.2">
      <c r="A12755" s="6" t="str">
        <f>"WDR18"</f>
        <v>WDR18</v>
      </c>
      <c r="B12755" s="6">
        <v>0.431568431568431</v>
      </c>
      <c r="C12755" s="6">
        <v>0.59486550918705805</v>
      </c>
    </row>
    <row r="12756" spans="1:3" s="8" customFormat="1" x14ac:dyDescent="0.2">
      <c r="A12756" s="6" t="str">
        <f>"DUSP18"</f>
        <v>DUSP18</v>
      </c>
      <c r="B12756" s="6">
        <v>0.431568431568431</v>
      </c>
      <c r="C12756" s="6">
        <v>0.59486550918705805</v>
      </c>
    </row>
    <row r="12757" spans="1:3" s="8" customFormat="1" x14ac:dyDescent="0.2">
      <c r="A12757" s="6" t="str">
        <f>"TRAPPC3"</f>
        <v>TRAPPC3</v>
      </c>
      <c r="B12757" s="6">
        <v>0.431568431568431</v>
      </c>
      <c r="C12757" s="6">
        <v>0.59486550918705805</v>
      </c>
    </row>
    <row r="12758" spans="1:3" s="8" customFormat="1" x14ac:dyDescent="0.2">
      <c r="A12758" s="6" t="str">
        <f>"DMAC1"</f>
        <v>DMAC1</v>
      </c>
      <c r="B12758" s="6">
        <v>0.431568431568431</v>
      </c>
      <c r="C12758" s="6">
        <v>0.59486550918705805</v>
      </c>
    </row>
    <row r="12759" spans="1:3" s="8" customFormat="1" x14ac:dyDescent="0.2">
      <c r="A12759" s="6" t="str">
        <f>"LINC00702"</f>
        <v>LINC00702</v>
      </c>
      <c r="B12759" s="6">
        <v>0.432</v>
      </c>
      <c r="C12759" s="6">
        <v>0.59536703503409305</v>
      </c>
    </row>
    <row r="12760" spans="1:3" s="8" customFormat="1" x14ac:dyDescent="0.2">
      <c r="A12760" s="6" t="str">
        <f>"TPGS1"</f>
        <v>TPGS1</v>
      </c>
      <c r="B12760" s="6">
        <v>0.432</v>
      </c>
      <c r="C12760" s="6">
        <v>0.59536703503409305</v>
      </c>
    </row>
    <row r="12761" spans="1:3" s="8" customFormat="1" x14ac:dyDescent="0.2">
      <c r="A12761" s="6" t="str">
        <f>"AC004542.6"</f>
        <v>AC004542.6</v>
      </c>
      <c r="B12761" s="6">
        <v>0.43256743256743202</v>
      </c>
      <c r="C12761" s="6">
        <v>0.59574367418005603</v>
      </c>
    </row>
    <row r="12762" spans="1:3" s="8" customFormat="1" x14ac:dyDescent="0.2">
      <c r="A12762" s="6" t="str">
        <f>"AL080317.1"</f>
        <v>AL080317.1</v>
      </c>
      <c r="B12762" s="6">
        <v>0.43256743256743202</v>
      </c>
      <c r="C12762" s="6">
        <v>0.59574367418005603</v>
      </c>
    </row>
    <row r="12763" spans="1:3" s="8" customFormat="1" x14ac:dyDescent="0.2">
      <c r="A12763" s="6" t="str">
        <f>"RDH10-AS1"</f>
        <v>RDH10-AS1</v>
      </c>
      <c r="B12763" s="6">
        <v>0.43256743256743202</v>
      </c>
      <c r="C12763" s="6">
        <v>0.59574367418005603</v>
      </c>
    </row>
    <row r="12764" spans="1:3" s="8" customFormat="1" x14ac:dyDescent="0.2">
      <c r="A12764" s="6" t="str">
        <f>"TMEM236"</f>
        <v>TMEM236</v>
      </c>
      <c r="B12764" s="6">
        <v>0.432578209277238</v>
      </c>
      <c r="C12764" s="6">
        <v>0.59574367418005603</v>
      </c>
    </row>
    <row r="12765" spans="1:3" s="8" customFormat="1" x14ac:dyDescent="0.2">
      <c r="A12765" s="6" t="str">
        <f>"AC090510.1"</f>
        <v>AC090510.1</v>
      </c>
      <c r="B12765" s="6">
        <v>0.43256743256743202</v>
      </c>
      <c r="C12765" s="6">
        <v>0.59574367418005603</v>
      </c>
    </row>
    <row r="12766" spans="1:3" s="8" customFormat="1" x14ac:dyDescent="0.2">
      <c r="A12766" s="6" t="str">
        <f>"ZNF8-ERVK3-1"</f>
        <v>ZNF8-ERVK3-1</v>
      </c>
      <c r="B12766" s="6">
        <v>0.43256743256743202</v>
      </c>
      <c r="C12766" s="6">
        <v>0.59574367418005603</v>
      </c>
    </row>
    <row r="12767" spans="1:3" s="8" customFormat="1" x14ac:dyDescent="0.2">
      <c r="A12767" s="6" t="str">
        <f>"ULK2"</f>
        <v>ULK2</v>
      </c>
      <c r="B12767" s="6">
        <v>0.43256743256743202</v>
      </c>
      <c r="C12767" s="6">
        <v>0.59574367418005603</v>
      </c>
    </row>
    <row r="12768" spans="1:3" s="8" customFormat="1" x14ac:dyDescent="0.2">
      <c r="A12768" s="6" t="str">
        <f>"SSR1"</f>
        <v>SSR1</v>
      </c>
      <c r="B12768" s="6">
        <v>0.43256743256743202</v>
      </c>
      <c r="C12768" s="6">
        <v>0.59574367418005603</v>
      </c>
    </row>
    <row r="12769" spans="1:3" s="8" customFormat="1" x14ac:dyDescent="0.2">
      <c r="A12769" s="6" t="str">
        <f>"SYNCRIP"</f>
        <v>SYNCRIP</v>
      </c>
      <c r="B12769" s="6">
        <v>0.43256743256743202</v>
      </c>
      <c r="C12769" s="6">
        <v>0.59574367418005603</v>
      </c>
    </row>
    <row r="12770" spans="1:3" s="8" customFormat="1" x14ac:dyDescent="0.2">
      <c r="A12770" s="6" t="str">
        <f>"AP000331.1"</f>
        <v>AP000331.1</v>
      </c>
      <c r="B12770" s="6">
        <v>0.43295803480040901</v>
      </c>
      <c r="C12770" s="6">
        <v>0.59622007079100903</v>
      </c>
    </row>
    <row r="12771" spans="1:3" s="8" customFormat="1" x14ac:dyDescent="0.2">
      <c r="A12771" s="6" t="str">
        <f>"MAP3K7CL"</f>
        <v>MAP3K7CL</v>
      </c>
      <c r="B12771" s="6">
        <v>0.433</v>
      </c>
      <c r="C12771" s="6">
        <v>0.59623116679718002</v>
      </c>
    </row>
    <row r="12772" spans="1:3" s="8" customFormat="1" x14ac:dyDescent="0.2">
      <c r="A12772" s="6" t="str">
        <f>"CLEC12B"</f>
        <v>CLEC12B</v>
      </c>
      <c r="B12772" s="6">
        <v>0.43356643356643298</v>
      </c>
      <c r="C12772" s="6">
        <v>0.59645064683399796</v>
      </c>
    </row>
    <row r="12773" spans="1:3" s="8" customFormat="1" x14ac:dyDescent="0.2">
      <c r="A12773" s="6" t="str">
        <f>"BX324167.2"</f>
        <v>BX324167.2</v>
      </c>
      <c r="B12773" s="6">
        <v>0.43356643356643298</v>
      </c>
      <c r="C12773" s="6">
        <v>0.59645064683399796</v>
      </c>
    </row>
    <row r="12774" spans="1:3" s="8" customFormat="1" x14ac:dyDescent="0.2">
      <c r="A12774" s="6" t="str">
        <f>"LINC00323"</f>
        <v>LINC00323</v>
      </c>
      <c r="B12774" s="6">
        <v>0.43356643356643298</v>
      </c>
      <c r="C12774" s="6">
        <v>0.59645064683399796</v>
      </c>
    </row>
    <row r="12775" spans="1:3" s="8" customFormat="1" x14ac:dyDescent="0.2">
      <c r="A12775" s="6" t="str">
        <f>"SMC5-AS1"</f>
        <v>SMC5-AS1</v>
      </c>
      <c r="B12775" s="6">
        <v>0.43326488706365501</v>
      </c>
      <c r="C12775" s="6">
        <v>0.59645064683399796</v>
      </c>
    </row>
    <row r="12776" spans="1:3" s="8" customFormat="1" x14ac:dyDescent="0.2">
      <c r="A12776" s="6" t="str">
        <f>"CACNA2D3"</f>
        <v>CACNA2D3</v>
      </c>
      <c r="B12776" s="6">
        <v>0.43356643356643298</v>
      </c>
      <c r="C12776" s="6">
        <v>0.59645064683399796</v>
      </c>
    </row>
    <row r="12777" spans="1:3" s="8" customFormat="1" x14ac:dyDescent="0.2">
      <c r="A12777" s="6" t="str">
        <f>"ANGPTL2"</f>
        <v>ANGPTL2</v>
      </c>
      <c r="B12777" s="6">
        <v>0.43356643356643298</v>
      </c>
      <c r="C12777" s="6">
        <v>0.59645064683399796</v>
      </c>
    </row>
    <row r="12778" spans="1:3" s="8" customFormat="1" x14ac:dyDescent="0.2">
      <c r="A12778" s="6" t="str">
        <f>"ZNF471"</f>
        <v>ZNF471</v>
      </c>
      <c r="B12778" s="6">
        <v>0.43356643356643298</v>
      </c>
      <c r="C12778" s="6">
        <v>0.59645064683399796</v>
      </c>
    </row>
    <row r="12779" spans="1:3" s="8" customFormat="1" x14ac:dyDescent="0.2">
      <c r="A12779" s="6" t="str">
        <f>"NAGPA"</f>
        <v>NAGPA</v>
      </c>
      <c r="B12779" s="6">
        <v>0.43356643356643298</v>
      </c>
      <c r="C12779" s="6">
        <v>0.59645064683399796</v>
      </c>
    </row>
    <row r="12780" spans="1:3" s="8" customFormat="1" x14ac:dyDescent="0.2">
      <c r="A12780" s="6" t="str">
        <f>"ACBD7"</f>
        <v>ACBD7</v>
      </c>
      <c r="B12780" s="6">
        <v>0.43356643356643298</v>
      </c>
      <c r="C12780" s="6">
        <v>0.59645064683399796</v>
      </c>
    </row>
    <row r="12781" spans="1:3" s="8" customFormat="1" x14ac:dyDescent="0.2">
      <c r="A12781" s="6" t="str">
        <f>"DIAPH2"</f>
        <v>DIAPH2</v>
      </c>
      <c r="B12781" s="6">
        <v>0.43356643356643298</v>
      </c>
      <c r="C12781" s="6">
        <v>0.59645064683399796</v>
      </c>
    </row>
    <row r="12782" spans="1:3" s="8" customFormat="1" x14ac:dyDescent="0.2">
      <c r="A12782" s="6" t="str">
        <f>"CSRP1"</f>
        <v>CSRP1</v>
      </c>
      <c r="B12782" s="6">
        <v>0.43356643356643298</v>
      </c>
      <c r="C12782" s="6">
        <v>0.59645064683399796</v>
      </c>
    </row>
    <row r="12783" spans="1:3" s="8" customFormat="1" x14ac:dyDescent="0.2">
      <c r="A12783" s="6" t="str">
        <f>"C9orf116"</f>
        <v>C9orf116</v>
      </c>
      <c r="B12783" s="6">
        <v>0.43356643356643298</v>
      </c>
      <c r="C12783" s="6">
        <v>0.59645064683399796</v>
      </c>
    </row>
    <row r="12784" spans="1:3" s="8" customFormat="1" x14ac:dyDescent="0.2">
      <c r="A12784" s="6" t="str">
        <f>"AC006033.2"</f>
        <v>AC006033.2</v>
      </c>
      <c r="B12784" s="6">
        <v>0.434</v>
      </c>
      <c r="C12784" s="6">
        <v>0.59695369211514304</v>
      </c>
    </row>
    <row r="12785" spans="1:3" s="8" customFormat="1" x14ac:dyDescent="0.2">
      <c r="A12785" s="6" t="str">
        <f>"EPHA4"</f>
        <v>EPHA4</v>
      </c>
      <c r="B12785" s="6">
        <v>0.434</v>
      </c>
      <c r="C12785" s="6">
        <v>0.59695369211514304</v>
      </c>
    </row>
    <row r="12786" spans="1:3" s="8" customFormat="1" x14ac:dyDescent="0.2">
      <c r="A12786" s="6" t="str">
        <f>"DDX11L9"</f>
        <v>DDX11L9</v>
      </c>
      <c r="B12786" s="6">
        <v>0.43456543456543401</v>
      </c>
      <c r="C12786" s="6">
        <v>0.597310920143719</v>
      </c>
    </row>
    <row r="12787" spans="1:3" s="8" customFormat="1" x14ac:dyDescent="0.2">
      <c r="A12787" s="6" t="str">
        <f>"LINCR-0001"</f>
        <v>LINCR-0001</v>
      </c>
      <c r="B12787" s="6">
        <v>0.43456543456543401</v>
      </c>
      <c r="C12787" s="6">
        <v>0.597310920143719</v>
      </c>
    </row>
    <row r="12788" spans="1:3" s="8" customFormat="1" x14ac:dyDescent="0.2">
      <c r="A12788" s="6" t="str">
        <f>"GDNF"</f>
        <v>GDNF</v>
      </c>
      <c r="B12788" s="6">
        <v>0.43456543456543401</v>
      </c>
      <c r="C12788" s="6">
        <v>0.597310920143719</v>
      </c>
    </row>
    <row r="12789" spans="1:3" s="8" customFormat="1" x14ac:dyDescent="0.2">
      <c r="A12789" s="6" t="str">
        <f>"SYN2"</f>
        <v>SYN2</v>
      </c>
      <c r="B12789" s="6">
        <v>0.43456543456543401</v>
      </c>
      <c r="C12789" s="6">
        <v>0.597310920143719</v>
      </c>
    </row>
    <row r="12790" spans="1:3" s="8" customFormat="1" x14ac:dyDescent="0.2">
      <c r="A12790" s="6" t="str">
        <f>"CALML3"</f>
        <v>CALML3</v>
      </c>
      <c r="B12790" s="6">
        <v>0.43456543456543401</v>
      </c>
      <c r="C12790" s="6">
        <v>0.597310920143719</v>
      </c>
    </row>
    <row r="12791" spans="1:3" s="8" customFormat="1" x14ac:dyDescent="0.2">
      <c r="A12791" s="6" t="str">
        <f>"OSGIN2"</f>
        <v>OSGIN2</v>
      </c>
      <c r="B12791" s="6">
        <v>0.43456543456543401</v>
      </c>
      <c r="C12791" s="6">
        <v>0.597310920143719</v>
      </c>
    </row>
    <row r="12792" spans="1:3" s="8" customFormat="1" x14ac:dyDescent="0.2">
      <c r="A12792" s="6" t="str">
        <f>"RHOBTB3"</f>
        <v>RHOBTB3</v>
      </c>
      <c r="B12792" s="6">
        <v>0.43456543456543401</v>
      </c>
      <c r="C12792" s="6">
        <v>0.597310920143719</v>
      </c>
    </row>
    <row r="12793" spans="1:3" s="8" customFormat="1" x14ac:dyDescent="0.2">
      <c r="A12793" s="6" t="str">
        <f>"FUS"</f>
        <v>FUS</v>
      </c>
      <c r="B12793" s="6">
        <v>0.43456543456543401</v>
      </c>
      <c r="C12793" s="6">
        <v>0.597310920143719</v>
      </c>
    </row>
    <row r="12794" spans="1:3" s="8" customFormat="1" x14ac:dyDescent="0.2">
      <c r="A12794" s="6" t="str">
        <f>"HK1"</f>
        <v>HK1</v>
      </c>
      <c r="B12794" s="6">
        <v>0.43456543456543401</v>
      </c>
      <c r="C12794" s="6">
        <v>0.597310920143719</v>
      </c>
    </row>
    <row r="12795" spans="1:3" s="8" customFormat="1" x14ac:dyDescent="0.2">
      <c r="A12795" s="6" t="str">
        <f>"THSD1P1"</f>
        <v>THSD1P1</v>
      </c>
      <c r="B12795" s="6">
        <v>0.43556443556443503</v>
      </c>
      <c r="C12795" s="6">
        <v>0.59826316473715302</v>
      </c>
    </row>
    <row r="12796" spans="1:3" s="8" customFormat="1" x14ac:dyDescent="0.2">
      <c r="A12796" s="6" t="str">
        <f>"AP003170.1"</f>
        <v>AP003170.1</v>
      </c>
      <c r="B12796" s="6">
        <v>0.43556443556443503</v>
      </c>
      <c r="C12796" s="6">
        <v>0.59826316473715302</v>
      </c>
    </row>
    <row r="12797" spans="1:3" s="8" customFormat="1" x14ac:dyDescent="0.2">
      <c r="A12797" s="6" t="str">
        <f>"ADAD2"</f>
        <v>ADAD2</v>
      </c>
      <c r="B12797" s="6">
        <v>0.43556443556443503</v>
      </c>
      <c r="C12797" s="6">
        <v>0.59826316473715302</v>
      </c>
    </row>
    <row r="12798" spans="1:3" s="8" customFormat="1" x14ac:dyDescent="0.2">
      <c r="A12798" s="6" t="str">
        <f>"RNU6-5P"</f>
        <v>RNU6-5P</v>
      </c>
      <c r="B12798" s="6">
        <v>0.43556443556443503</v>
      </c>
      <c r="C12798" s="6">
        <v>0.59826316473715302</v>
      </c>
    </row>
    <row r="12799" spans="1:3" s="8" customFormat="1" x14ac:dyDescent="0.2">
      <c r="A12799" s="6" t="str">
        <f>"BCORL1"</f>
        <v>BCORL1</v>
      </c>
      <c r="B12799" s="6">
        <v>0.43556443556443503</v>
      </c>
      <c r="C12799" s="6">
        <v>0.59826316473715302</v>
      </c>
    </row>
    <row r="12800" spans="1:3" s="8" customFormat="1" x14ac:dyDescent="0.2">
      <c r="A12800" s="6" t="str">
        <f>"BYSL"</f>
        <v>BYSL</v>
      </c>
      <c r="B12800" s="6">
        <v>0.43556443556443503</v>
      </c>
      <c r="C12800" s="6">
        <v>0.59826316473715302</v>
      </c>
    </row>
    <row r="12801" spans="1:3" s="8" customFormat="1" x14ac:dyDescent="0.2">
      <c r="A12801" s="6" t="str">
        <f>"EPHB6"</f>
        <v>EPHB6</v>
      </c>
      <c r="B12801" s="6">
        <v>0.43556443556443503</v>
      </c>
      <c r="C12801" s="6">
        <v>0.59826316473715302</v>
      </c>
    </row>
    <row r="12802" spans="1:3" s="8" customFormat="1" x14ac:dyDescent="0.2">
      <c r="A12802" s="6" t="str">
        <f>"CLIC4"</f>
        <v>CLIC4</v>
      </c>
      <c r="B12802" s="6">
        <v>0.43556443556443503</v>
      </c>
      <c r="C12802" s="6">
        <v>0.59826316473715302</v>
      </c>
    </row>
    <row r="12803" spans="1:3" s="8" customFormat="1" x14ac:dyDescent="0.2">
      <c r="A12803" s="6" t="str">
        <f>"DRC7"</f>
        <v>DRC7</v>
      </c>
      <c r="B12803" s="6">
        <v>0.43556443556443503</v>
      </c>
      <c r="C12803" s="6">
        <v>0.59826316473715302</v>
      </c>
    </row>
    <row r="12804" spans="1:3" s="8" customFormat="1" x14ac:dyDescent="0.2">
      <c r="A12804" s="6" t="str">
        <f>"MFF-DT"</f>
        <v>MFF-DT</v>
      </c>
      <c r="B12804" s="6">
        <v>0.43605236656596102</v>
      </c>
      <c r="C12804" s="6">
        <v>0.598886574529084</v>
      </c>
    </row>
    <row r="12805" spans="1:3" s="8" customFormat="1" x14ac:dyDescent="0.2">
      <c r="A12805" s="6" t="str">
        <f>"SLC12A5"</f>
        <v>SLC12A5</v>
      </c>
      <c r="B12805" s="6">
        <v>0.43656343656343599</v>
      </c>
      <c r="C12805" s="6">
        <v>0.59907378402774003</v>
      </c>
    </row>
    <row r="12806" spans="1:3" s="8" customFormat="1" x14ac:dyDescent="0.2">
      <c r="A12806" s="6" t="str">
        <f>"H2AC7"</f>
        <v>H2AC7</v>
      </c>
      <c r="B12806" s="6">
        <v>0.43643643643643598</v>
      </c>
      <c r="C12806" s="6">
        <v>0.59907378402774003</v>
      </c>
    </row>
    <row r="12807" spans="1:3" s="8" customFormat="1" x14ac:dyDescent="0.2">
      <c r="A12807" s="6" t="str">
        <f>"LINC00519"</f>
        <v>LINC00519</v>
      </c>
      <c r="B12807" s="6">
        <v>0.43656343656343599</v>
      </c>
      <c r="C12807" s="6">
        <v>0.59907378402774003</v>
      </c>
    </row>
    <row r="12808" spans="1:3" s="8" customFormat="1" x14ac:dyDescent="0.2">
      <c r="A12808" s="6" t="str">
        <f>"AC105411.1"</f>
        <v>AC105411.1</v>
      </c>
      <c r="B12808" s="6">
        <v>0.43656343656343599</v>
      </c>
      <c r="C12808" s="6">
        <v>0.59907378402774003</v>
      </c>
    </row>
    <row r="12809" spans="1:3" s="8" customFormat="1" x14ac:dyDescent="0.2">
      <c r="A12809" s="6" t="str">
        <f>"AC124312.3"</f>
        <v>AC124312.3</v>
      </c>
      <c r="B12809" s="6">
        <v>0.43656343656343599</v>
      </c>
      <c r="C12809" s="6">
        <v>0.59907378402774003</v>
      </c>
    </row>
    <row r="12810" spans="1:3" s="8" customFormat="1" x14ac:dyDescent="0.2">
      <c r="A12810" s="6" t="str">
        <f>"COL8A1"</f>
        <v>COL8A1</v>
      </c>
      <c r="B12810" s="6">
        <v>0.43656343656343599</v>
      </c>
      <c r="C12810" s="6">
        <v>0.59907378402774003</v>
      </c>
    </row>
    <row r="12811" spans="1:3" s="8" customFormat="1" x14ac:dyDescent="0.2">
      <c r="A12811" s="6" t="str">
        <f>"SHROOM2"</f>
        <v>SHROOM2</v>
      </c>
      <c r="B12811" s="6">
        <v>0.43656343656343599</v>
      </c>
      <c r="C12811" s="6">
        <v>0.59907378402774003</v>
      </c>
    </row>
    <row r="12812" spans="1:3" s="8" customFormat="1" x14ac:dyDescent="0.2">
      <c r="A12812" s="6" t="str">
        <f>"CBLB"</f>
        <v>CBLB</v>
      </c>
      <c r="B12812" s="6">
        <v>0.43656343656343599</v>
      </c>
      <c r="C12812" s="6">
        <v>0.59907378402774003</v>
      </c>
    </row>
    <row r="12813" spans="1:3" s="8" customFormat="1" x14ac:dyDescent="0.2">
      <c r="A12813" s="6" t="str">
        <f>"POF1B"</f>
        <v>POF1B</v>
      </c>
      <c r="B12813" s="6">
        <v>0.43656343656343599</v>
      </c>
      <c r="C12813" s="6">
        <v>0.59907378402774003</v>
      </c>
    </row>
    <row r="12814" spans="1:3" s="8" customFormat="1" x14ac:dyDescent="0.2">
      <c r="A12814" s="6" t="str">
        <f>"KIAA0513"</f>
        <v>KIAA0513</v>
      </c>
      <c r="B12814" s="6">
        <v>0.43656343656343599</v>
      </c>
      <c r="C12814" s="6">
        <v>0.59907378402774003</v>
      </c>
    </row>
    <row r="12815" spans="1:3" s="8" customFormat="1" x14ac:dyDescent="0.2">
      <c r="A12815" s="6" t="str">
        <f>"ANK3"</f>
        <v>ANK3</v>
      </c>
      <c r="B12815" s="6">
        <v>0.43656343656343599</v>
      </c>
      <c r="C12815" s="6">
        <v>0.59907378402774003</v>
      </c>
    </row>
    <row r="12816" spans="1:3" s="8" customFormat="1" x14ac:dyDescent="0.2">
      <c r="A12816" s="6" t="str">
        <f>"AL137060.3"</f>
        <v>AL137060.3</v>
      </c>
      <c r="B12816" s="6">
        <v>0.43687374749498997</v>
      </c>
      <c r="C12816" s="6">
        <v>0.59945282683978895</v>
      </c>
    </row>
    <row r="12817" spans="1:3" s="8" customFormat="1" x14ac:dyDescent="0.2">
      <c r="A12817" s="6" t="str">
        <f>"ABL1"</f>
        <v>ABL1</v>
      </c>
      <c r="B12817" s="6">
        <v>0.437</v>
      </c>
      <c r="C12817" s="6">
        <v>0.59957927590511795</v>
      </c>
    </row>
    <row r="12818" spans="1:3" s="8" customFormat="1" x14ac:dyDescent="0.2">
      <c r="A12818" s="6" t="str">
        <f>"AC009093.2"</f>
        <v>AC009093.2</v>
      </c>
      <c r="B12818" s="6">
        <v>0.43756243756243701</v>
      </c>
      <c r="C12818" s="6">
        <v>0.59988288648821897</v>
      </c>
    </row>
    <row r="12819" spans="1:3" s="8" customFormat="1" x14ac:dyDescent="0.2">
      <c r="A12819" s="6" t="str">
        <f>"BPIFB6"</f>
        <v>BPIFB6</v>
      </c>
      <c r="B12819" s="6">
        <v>0.43756243756243701</v>
      </c>
      <c r="C12819" s="6">
        <v>0.59988288648821897</v>
      </c>
    </row>
    <row r="12820" spans="1:3" s="8" customFormat="1" x14ac:dyDescent="0.2">
      <c r="A12820" s="6" t="str">
        <f>"AC027088.5"</f>
        <v>AC027088.5</v>
      </c>
      <c r="B12820" s="6">
        <v>0.43756243756243701</v>
      </c>
      <c r="C12820" s="6">
        <v>0.59988288648821897</v>
      </c>
    </row>
    <row r="12821" spans="1:3" s="8" customFormat="1" x14ac:dyDescent="0.2">
      <c r="A12821" s="6" t="str">
        <f>"AC010280.3"</f>
        <v>AC010280.3</v>
      </c>
      <c r="B12821" s="6">
        <v>0.43756243756243701</v>
      </c>
      <c r="C12821" s="6">
        <v>0.59988288648821897</v>
      </c>
    </row>
    <row r="12822" spans="1:3" s="8" customFormat="1" x14ac:dyDescent="0.2">
      <c r="A12822" s="6" t="str">
        <f>"CA3"</f>
        <v>CA3</v>
      </c>
      <c r="B12822" s="6">
        <v>0.43756243756243701</v>
      </c>
      <c r="C12822" s="6">
        <v>0.59988288648821897</v>
      </c>
    </row>
    <row r="12823" spans="1:3" s="8" customFormat="1" x14ac:dyDescent="0.2">
      <c r="A12823" s="6" t="str">
        <f>"DLEU2"</f>
        <v>DLEU2</v>
      </c>
      <c r="B12823" s="6">
        <v>0.43756243756243701</v>
      </c>
      <c r="C12823" s="6">
        <v>0.59988288648821897</v>
      </c>
    </row>
    <row r="12824" spans="1:3" s="8" customFormat="1" x14ac:dyDescent="0.2">
      <c r="A12824" s="6" t="str">
        <f>"SERF1B"</f>
        <v>SERF1B</v>
      </c>
      <c r="B12824" s="6">
        <v>0.43756243756243701</v>
      </c>
      <c r="C12824" s="6">
        <v>0.59988288648821897</v>
      </c>
    </row>
    <row r="12825" spans="1:3" s="8" customFormat="1" x14ac:dyDescent="0.2">
      <c r="A12825" s="6" t="str">
        <f>"ACE"</f>
        <v>ACE</v>
      </c>
      <c r="B12825" s="6">
        <v>0.43756243756243701</v>
      </c>
      <c r="C12825" s="6">
        <v>0.59988288648821897</v>
      </c>
    </row>
    <row r="12826" spans="1:3" s="8" customFormat="1" x14ac:dyDescent="0.2">
      <c r="A12826" s="6" t="str">
        <f>"ST3GAL4"</f>
        <v>ST3GAL4</v>
      </c>
      <c r="B12826" s="6">
        <v>0.43756243756243701</v>
      </c>
      <c r="C12826" s="6">
        <v>0.59988288648821897</v>
      </c>
    </row>
    <row r="12827" spans="1:3" s="8" customFormat="1" x14ac:dyDescent="0.2">
      <c r="A12827" s="6" t="str">
        <f>"NFIB"</f>
        <v>NFIB</v>
      </c>
      <c r="B12827" s="6">
        <v>0.43756243756243701</v>
      </c>
      <c r="C12827" s="6">
        <v>0.59988288648821897</v>
      </c>
    </row>
    <row r="12828" spans="1:3" s="8" customFormat="1" x14ac:dyDescent="0.2">
      <c r="A12828" s="6" t="str">
        <f>"AL137077.2"</f>
        <v>AL137077.2</v>
      </c>
      <c r="B12828" s="6">
        <v>0.43787575150300601</v>
      </c>
      <c r="C12828" s="6">
        <v>0.60026562831752195</v>
      </c>
    </row>
    <row r="12829" spans="1:3" s="8" customFormat="1" x14ac:dyDescent="0.2">
      <c r="A12829" s="6" t="str">
        <f>"LINC00534"</f>
        <v>LINC00534</v>
      </c>
      <c r="B12829" s="6">
        <v>0.438188494492044</v>
      </c>
      <c r="C12829" s="6">
        <v>0.60064752784129205</v>
      </c>
    </row>
    <row r="12830" spans="1:3" s="8" customFormat="1" x14ac:dyDescent="0.2">
      <c r="A12830" s="6" t="str">
        <f>"CXCL10"</f>
        <v>CXCL10</v>
      </c>
      <c r="B12830" s="6">
        <v>0.43856143856143798</v>
      </c>
      <c r="C12830" s="6">
        <v>0.60087769484683895</v>
      </c>
    </row>
    <row r="12831" spans="1:3" s="8" customFormat="1" x14ac:dyDescent="0.2">
      <c r="A12831" s="6" t="str">
        <f>"GTF2H4"</f>
        <v>GTF2H4</v>
      </c>
      <c r="B12831" s="6">
        <v>0.43856143856143798</v>
      </c>
      <c r="C12831" s="6">
        <v>0.60087769484683895</v>
      </c>
    </row>
    <row r="12832" spans="1:3" s="8" customFormat="1" x14ac:dyDescent="0.2">
      <c r="A12832" s="6" t="str">
        <f>"SRXN1"</f>
        <v>SRXN1</v>
      </c>
      <c r="B12832" s="6">
        <v>0.43856143856143798</v>
      </c>
      <c r="C12832" s="6">
        <v>0.60087769484683895</v>
      </c>
    </row>
    <row r="12833" spans="1:3" s="8" customFormat="1" x14ac:dyDescent="0.2">
      <c r="A12833" s="6" t="str">
        <f>"SF3B6"</f>
        <v>SF3B6</v>
      </c>
      <c r="B12833" s="6">
        <v>0.43856143856143798</v>
      </c>
      <c r="C12833" s="6">
        <v>0.60087769484683895</v>
      </c>
    </row>
    <row r="12834" spans="1:3" s="8" customFormat="1" x14ac:dyDescent="0.2">
      <c r="A12834" s="6" t="str">
        <f>"TMEM212"</f>
        <v>TMEM212</v>
      </c>
      <c r="B12834" s="6">
        <v>0.43856143856143798</v>
      </c>
      <c r="C12834" s="6">
        <v>0.60087769484683895</v>
      </c>
    </row>
    <row r="12835" spans="1:3" s="8" customFormat="1" x14ac:dyDescent="0.2">
      <c r="A12835" s="6" t="str">
        <f>"USP11"</f>
        <v>USP11</v>
      </c>
      <c r="B12835" s="6">
        <v>0.43856143856143798</v>
      </c>
      <c r="C12835" s="6">
        <v>0.60087769484683895</v>
      </c>
    </row>
    <row r="12836" spans="1:3" s="8" customFormat="1" x14ac:dyDescent="0.2">
      <c r="A12836" s="6" t="str">
        <f>"AC018737.2"</f>
        <v>AC018737.2</v>
      </c>
      <c r="B12836" s="6">
        <v>0.439</v>
      </c>
      <c r="C12836" s="6">
        <v>0.60143171016750996</v>
      </c>
    </row>
    <row r="12837" spans="1:3" s="8" customFormat="1" x14ac:dyDescent="0.2">
      <c r="A12837" s="6" t="str">
        <f>"AC104819.3"</f>
        <v>AC104819.3</v>
      </c>
      <c r="B12837" s="6">
        <v>0.439560439560439</v>
      </c>
      <c r="C12837" s="6">
        <v>0.60191813482055601</v>
      </c>
    </row>
    <row r="12838" spans="1:3" s="8" customFormat="1" x14ac:dyDescent="0.2">
      <c r="A12838" s="6" t="str">
        <f>"AC138932.1"</f>
        <v>AC138932.1</v>
      </c>
      <c r="B12838" s="6">
        <v>0.439560439560439</v>
      </c>
      <c r="C12838" s="6">
        <v>0.60191813482055601</v>
      </c>
    </row>
    <row r="12839" spans="1:3" s="8" customFormat="1" x14ac:dyDescent="0.2">
      <c r="A12839" s="6" t="str">
        <f>"SPATA7"</f>
        <v>SPATA7</v>
      </c>
      <c r="B12839" s="6">
        <v>0.439560439560439</v>
      </c>
      <c r="C12839" s="6">
        <v>0.60191813482055601</v>
      </c>
    </row>
    <row r="12840" spans="1:3" s="8" customFormat="1" x14ac:dyDescent="0.2">
      <c r="A12840" s="6" t="str">
        <f>"SNRNP25"</f>
        <v>SNRNP25</v>
      </c>
      <c r="B12840" s="6">
        <v>0.439560439560439</v>
      </c>
      <c r="C12840" s="6">
        <v>0.60191813482055601</v>
      </c>
    </row>
    <row r="12841" spans="1:3" s="8" customFormat="1" x14ac:dyDescent="0.2">
      <c r="A12841" s="6" t="str">
        <f>"MVD"</f>
        <v>MVD</v>
      </c>
      <c r="B12841" s="6">
        <v>0.439560439560439</v>
      </c>
      <c r="C12841" s="6">
        <v>0.60191813482055601</v>
      </c>
    </row>
    <row r="12842" spans="1:3" s="8" customFormat="1" x14ac:dyDescent="0.2">
      <c r="A12842" s="6" t="str">
        <f>"TK2"</f>
        <v>TK2</v>
      </c>
      <c r="B12842" s="6">
        <v>0.439560439560439</v>
      </c>
      <c r="C12842" s="6">
        <v>0.60191813482055601</v>
      </c>
    </row>
    <row r="12843" spans="1:3" s="8" customFormat="1" x14ac:dyDescent="0.2">
      <c r="A12843" s="6" t="str">
        <f>"AC092375.2"</f>
        <v>AC092375.2</v>
      </c>
      <c r="B12843" s="6">
        <v>0.44</v>
      </c>
      <c r="C12843" s="6">
        <v>0.60242622440239801</v>
      </c>
    </row>
    <row r="12844" spans="1:3" s="8" customFormat="1" x14ac:dyDescent="0.2">
      <c r="A12844" s="6" t="str">
        <f>"CCDC151"</f>
        <v>CCDC151</v>
      </c>
      <c r="B12844" s="6">
        <v>0.44</v>
      </c>
      <c r="C12844" s="6">
        <v>0.60242622440239801</v>
      </c>
    </row>
    <row r="12845" spans="1:3" s="8" customFormat="1" x14ac:dyDescent="0.2">
      <c r="A12845" s="6" t="str">
        <f>"CD3D"</f>
        <v>CD3D</v>
      </c>
      <c r="B12845" s="6">
        <v>0.44055944055944002</v>
      </c>
      <c r="C12845" s="6">
        <v>0.603004374779886</v>
      </c>
    </row>
    <row r="12846" spans="1:3" s="8" customFormat="1" x14ac:dyDescent="0.2">
      <c r="A12846" s="6" t="str">
        <f>"SNHG15"</f>
        <v>SNHG15</v>
      </c>
      <c r="B12846" s="6">
        <v>0.44055944055944002</v>
      </c>
      <c r="C12846" s="6">
        <v>0.603004374779886</v>
      </c>
    </row>
    <row r="12847" spans="1:3" s="8" customFormat="1" x14ac:dyDescent="0.2">
      <c r="A12847" s="6" t="str">
        <f>"BISPR"</f>
        <v>BISPR</v>
      </c>
      <c r="B12847" s="6">
        <v>0.44055944055944002</v>
      </c>
      <c r="C12847" s="6">
        <v>0.603004374779886</v>
      </c>
    </row>
    <row r="12848" spans="1:3" s="8" customFormat="1" x14ac:dyDescent="0.2">
      <c r="A12848" s="6" t="str">
        <f>"LRRC56"</f>
        <v>LRRC56</v>
      </c>
      <c r="B12848" s="6">
        <v>0.44055944055944002</v>
      </c>
      <c r="C12848" s="6">
        <v>0.603004374779886</v>
      </c>
    </row>
    <row r="12849" spans="1:3" s="8" customFormat="1" x14ac:dyDescent="0.2">
      <c r="A12849" s="6" t="str">
        <f>"AL359198.1"</f>
        <v>AL359198.1</v>
      </c>
      <c r="B12849" s="6">
        <v>0.44076305220883499</v>
      </c>
      <c r="C12849" s="6">
        <v>0.60323610756850499</v>
      </c>
    </row>
    <row r="12850" spans="1:3" s="8" customFormat="1" x14ac:dyDescent="0.2">
      <c r="A12850" s="6" t="str">
        <f>"AC108690.1"</f>
        <v>AC108690.1</v>
      </c>
      <c r="B12850" s="6">
        <v>0.44088176352705399</v>
      </c>
      <c r="C12850" s="6">
        <v>0.60335161723555997</v>
      </c>
    </row>
    <row r="12851" spans="1:3" s="8" customFormat="1" x14ac:dyDescent="0.2">
      <c r="A12851" s="6" t="str">
        <f>"OR7E161P"</f>
        <v>OR7E161P</v>
      </c>
      <c r="B12851" s="6">
        <v>0.44155844155844098</v>
      </c>
      <c r="C12851" s="6">
        <v>0.60390165951338803</v>
      </c>
    </row>
    <row r="12852" spans="1:3" s="8" customFormat="1" x14ac:dyDescent="0.2">
      <c r="A12852" s="6" t="str">
        <f>"KIF17"</f>
        <v>KIF17</v>
      </c>
      <c r="B12852" s="6">
        <v>0.44155844155844098</v>
      </c>
      <c r="C12852" s="6">
        <v>0.60390165951338803</v>
      </c>
    </row>
    <row r="12853" spans="1:3" s="8" customFormat="1" x14ac:dyDescent="0.2">
      <c r="A12853" s="6" t="str">
        <f>"ADAP2"</f>
        <v>ADAP2</v>
      </c>
      <c r="B12853" s="6">
        <v>0.44155844155844098</v>
      </c>
      <c r="C12853" s="6">
        <v>0.60390165951338803</v>
      </c>
    </row>
    <row r="12854" spans="1:3" s="8" customFormat="1" x14ac:dyDescent="0.2">
      <c r="A12854" s="6" t="str">
        <f>"HSCB"</f>
        <v>HSCB</v>
      </c>
      <c r="B12854" s="6">
        <v>0.44155844155844098</v>
      </c>
      <c r="C12854" s="6">
        <v>0.60390165951338803</v>
      </c>
    </row>
    <row r="12855" spans="1:3" s="8" customFormat="1" x14ac:dyDescent="0.2">
      <c r="A12855" s="6" t="str">
        <f>"RRAS"</f>
        <v>RRAS</v>
      </c>
      <c r="B12855" s="6">
        <v>0.44155844155844098</v>
      </c>
      <c r="C12855" s="6">
        <v>0.60390165951338803</v>
      </c>
    </row>
    <row r="12856" spans="1:3" s="8" customFormat="1" x14ac:dyDescent="0.2">
      <c r="A12856" s="6" t="str">
        <f>"AFG1L"</f>
        <v>AFG1L</v>
      </c>
      <c r="B12856" s="6">
        <v>0.44155844155844098</v>
      </c>
      <c r="C12856" s="6">
        <v>0.60390165951338803</v>
      </c>
    </row>
    <row r="12857" spans="1:3" s="8" customFormat="1" x14ac:dyDescent="0.2">
      <c r="A12857" s="6" t="str">
        <f>"NUDT16"</f>
        <v>NUDT16</v>
      </c>
      <c r="B12857" s="6">
        <v>0.44155844155844098</v>
      </c>
      <c r="C12857" s="6">
        <v>0.60390165951338803</v>
      </c>
    </row>
    <row r="12858" spans="1:3" s="8" customFormat="1" x14ac:dyDescent="0.2">
      <c r="A12858" s="6" t="str">
        <f>"CHMP3"</f>
        <v>CHMP3</v>
      </c>
      <c r="B12858" s="6">
        <v>0.44155844155844098</v>
      </c>
      <c r="C12858" s="6">
        <v>0.60390165951338803</v>
      </c>
    </row>
    <row r="12859" spans="1:3" s="8" customFormat="1" x14ac:dyDescent="0.2">
      <c r="A12859" s="6" t="str">
        <f>"DUSP19"</f>
        <v>DUSP19</v>
      </c>
      <c r="B12859" s="6">
        <v>0.442</v>
      </c>
      <c r="C12859" s="6">
        <v>0.60445854720796299</v>
      </c>
    </row>
    <row r="12860" spans="1:3" s="8" customFormat="1" x14ac:dyDescent="0.2">
      <c r="A12860" s="6" t="str">
        <f>"AC008962.1"</f>
        <v>AC008962.1</v>
      </c>
      <c r="B12860" s="6">
        <v>0.442557442557442</v>
      </c>
      <c r="C12860" s="6">
        <v>0.60451565834926302</v>
      </c>
    </row>
    <row r="12861" spans="1:3" s="8" customFormat="1" x14ac:dyDescent="0.2">
      <c r="A12861" s="6" t="str">
        <f>"ITGA8"</f>
        <v>ITGA8</v>
      </c>
      <c r="B12861" s="6">
        <v>0.442557442557442</v>
      </c>
      <c r="C12861" s="6">
        <v>0.60451565834926302</v>
      </c>
    </row>
    <row r="12862" spans="1:3" s="8" customFormat="1" x14ac:dyDescent="0.2">
      <c r="A12862" s="6" t="str">
        <f>"SNX25P1"</f>
        <v>SNX25P1</v>
      </c>
      <c r="B12862" s="6">
        <v>0.442557442557442</v>
      </c>
      <c r="C12862" s="6">
        <v>0.60451565834926302</v>
      </c>
    </row>
    <row r="12863" spans="1:3" s="8" customFormat="1" x14ac:dyDescent="0.2">
      <c r="A12863" s="6" t="str">
        <f>"AL021368.4"</f>
        <v>AL021368.4</v>
      </c>
      <c r="B12863" s="6">
        <v>0.442557442557442</v>
      </c>
      <c r="C12863" s="6">
        <v>0.60451565834926302</v>
      </c>
    </row>
    <row r="12864" spans="1:3" s="8" customFormat="1" x14ac:dyDescent="0.2">
      <c r="A12864" s="6" t="str">
        <f>"PDZRN3"</f>
        <v>PDZRN3</v>
      </c>
      <c r="B12864" s="6">
        <v>0.442557442557442</v>
      </c>
      <c r="C12864" s="6">
        <v>0.60451565834926302</v>
      </c>
    </row>
    <row r="12865" spans="1:3" s="8" customFormat="1" x14ac:dyDescent="0.2">
      <c r="A12865" s="6" t="str">
        <f>"SYT2"</f>
        <v>SYT2</v>
      </c>
      <c r="B12865" s="6">
        <v>0.442557442557442</v>
      </c>
      <c r="C12865" s="6">
        <v>0.60451565834926302</v>
      </c>
    </row>
    <row r="12866" spans="1:3" s="8" customFormat="1" x14ac:dyDescent="0.2">
      <c r="A12866" s="6" t="str">
        <f>"AP004609.3"</f>
        <v>AP004609.3</v>
      </c>
      <c r="B12866" s="6">
        <v>0.442557442557442</v>
      </c>
      <c r="C12866" s="6">
        <v>0.60451565834926302</v>
      </c>
    </row>
    <row r="12867" spans="1:3" s="8" customFormat="1" x14ac:dyDescent="0.2">
      <c r="A12867" s="6" t="str">
        <f>"ZNF223"</f>
        <v>ZNF223</v>
      </c>
      <c r="B12867" s="6">
        <v>0.442557442557442</v>
      </c>
      <c r="C12867" s="6">
        <v>0.60451565834926302</v>
      </c>
    </row>
    <row r="12868" spans="1:3" s="8" customFormat="1" x14ac:dyDescent="0.2">
      <c r="A12868" s="6" t="str">
        <f>"SPRED2"</f>
        <v>SPRED2</v>
      </c>
      <c r="B12868" s="6">
        <v>0.442557442557442</v>
      </c>
      <c r="C12868" s="6">
        <v>0.60451565834926302</v>
      </c>
    </row>
    <row r="12869" spans="1:3" s="8" customFormat="1" x14ac:dyDescent="0.2">
      <c r="A12869" s="6" t="str">
        <f>"ACTR10"</f>
        <v>ACTR10</v>
      </c>
      <c r="B12869" s="6">
        <v>0.442557442557442</v>
      </c>
      <c r="C12869" s="6">
        <v>0.60451565834926302</v>
      </c>
    </row>
    <row r="12870" spans="1:3" s="8" customFormat="1" x14ac:dyDescent="0.2">
      <c r="A12870" s="6" t="str">
        <f>"SOX9"</f>
        <v>SOX9</v>
      </c>
      <c r="B12870" s="6">
        <v>0.442557442557442</v>
      </c>
      <c r="C12870" s="6">
        <v>0.60451565834926302</v>
      </c>
    </row>
    <row r="12871" spans="1:3" s="8" customFormat="1" x14ac:dyDescent="0.2">
      <c r="A12871" s="6" t="str">
        <f>"NCS1"</f>
        <v>NCS1</v>
      </c>
      <c r="B12871" s="6">
        <v>0.442557442557442</v>
      </c>
      <c r="C12871" s="6">
        <v>0.60451565834926302</v>
      </c>
    </row>
    <row r="12872" spans="1:3" s="8" customFormat="1" x14ac:dyDescent="0.2">
      <c r="A12872" s="6" t="str">
        <f>"RLIM"</f>
        <v>RLIM</v>
      </c>
      <c r="B12872" s="6">
        <v>0.442557442557442</v>
      </c>
      <c r="C12872" s="6">
        <v>0.60451565834926302</v>
      </c>
    </row>
    <row r="12873" spans="1:3" s="8" customFormat="1" x14ac:dyDescent="0.2">
      <c r="A12873" s="6" t="str">
        <f>"RMDN3"</f>
        <v>RMDN3</v>
      </c>
      <c r="B12873" s="6">
        <v>0.442557442557442</v>
      </c>
      <c r="C12873" s="6">
        <v>0.60451565834926302</v>
      </c>
    </row>
    <row r="12874" spans="1:3" s="8" customFormat="1" x14ac:dyDescent="0.2">
      <c r="A12874" s="6" t="str">
        <f>"CHL1"</f>
        <v>CHL1</v>
      </c>
      <c r="B12874" s="6">
        <v>0.442557442557442</v>
      </c>
      <c r="C12874" s="6">
        <v>0.60451565834926302</v>
      </c>
    </row>
    <row r="12875" spans="1:3" s="8" customFormat="1" x14ac:dyDescent="0.2">
      <c r="A12875" s="6" t="str">
        <f>"AL731559.1"</f>
        <v>AL731559.1</v>
      </c>
      <c r="B12875" s="6">
        <v>0.44355644355644303</v>
      </c>
      <c r="C12875" s="6">
        <v>0.60503424897187896</v>
      </c>
    </row>
    <row r="12876" spans="1:3" s="8" customFormat="1" x14ac:dyDescent="0.2">
      <c r="A12876" s="6" t="str">
        <f>"AMHR2"</f>
        <v>AMHR2</v>
      </c>
      <c r="B12876" s="6">
        <v>0.44355644355644303</v>
      </c>
      <c r="C12876" s="6">
        <v>0.60503424897187896</v>
      </c>
    </row>
    <row r="12877" spans="1:3" s="8" customFormat="1" x14ac:dyDescent="0.2">
      <c r="A12877" s="6" t="str">
        <f>"AL033527.3"</f>
        <v>AL033527.3</v>
      </c>
      <c r="B12877" s="6">
        <v>0.443443443443443</v>
      </c>
      <c r="C12877" s="6">
        <v>0.60503424897187896</v>
      </c>
    </row>
    <row r="12878" spans="1:3" s="8" customFormat="1" x14ac:dyDescent="0.2">
      <c r="A12878" s="6" t="str">
        <f>"NIFKP4"</f>
        <v>NIFKP4</v>
      </c>
      <c r="B12878" s="6">
        <v>0.44355644355644303</v>
      </c>
      <c r="C12878" s="6">
        <v>0.60503424897187896</v>
      </c>
    </row>
    <row r="12879" spans="1:3" s="8" customFormat="1" x14ac:dyDescent="0.2">
      <c r="A12879" s="6" t="str">
        <f>"MAPT"</f>
        <v>MAPT</v>
      </c>
      <c r="B12879" s="6">
        <v>0.44355644355644303</v>
      </c>
      <c r="C12879" s="6">
        <v>0.60503424897187896</v>
      </c>
    </row>
    <row r="12880" spans="1:3" s="8" customFormat="1" x14ac:dyDescent="0.2">
      <c r="A12880" s="6" t="str">
        <f>"AL355482.1"</f>
        <v>AL355482.1</v>
      </c>
      <c r="B12880" s="6">
        <v>0.44355644355644303</v>
      </c>
      <c r="C12880" s="6">
        <v>0.60503424897187896</v>
      </c>
    </row>
    <row r="12881" spans="1:3" s="8" customFormat="1" x14ac:dyDescent="0.2">
      <c r="A12881" s="6" t="str">
        <f>"AC005225.4"</f>
        <v>AC005225.4</v>
      </c>
      <c r="B12881" s="6">
        <v>0.443037974683544</v>
      </c>
      <c r="C12881" s="6">
        <v>0.60503424897187896</v>
      </c>
    </row>
    <row r="12882" spans="1:3" s="8" customFormat="1" x14ac:dyDescent="0.2">
      <c r="A12882" s="6" t="str">
        <f>"CU633906.5"</f>
        <v>CU633906.5</v>
      </c>
      <c r="B12882" s="6">
        <v>0.44355644355644303</v>
      </c>
      <c r="C12882" s="6">
        <v>0.60503424897187896</v>
      </c>
    </row>
    <row r="12883" spans="1:3" s="8" customFormat="1" x14ac:dyDescent="0.2">
      <c r="A12883" s="6" t="str">
        <f>"AC090994.1"</f>
        <v>AC090994.1</v>
      </c>
      <c r="B12883" s="6">
        <v>0.44355644355644303</v>
      </c>
      <c r="C12883" s="6">
        <v>0.60503424897187896</v>
      </c>
    </row>
    <row r="12884" spans="1:3" s="8" customFormat="1" x14ac:dyDescent="0.2">
      <c r="A12884" s="6" t="str">
        <f>"PCDHB5"</f>
        <v>PCDHB5</v>
      </c>
      <c r="B12884" s="6">
        <v>0.44355644355644303</v>
      </c>
      <c r="C12884" s="6">
        <v>0.60503424897187896</v>
      </c>
    </row>
    <row r="12885" spans="1:3" s="8" customFormat="1" x14ac:dyDescent="0.2">
      <c r="A12885" s="6" t="str">
        <f>"ATP10A"</f>
        <v>ATP10A</v>
      </c>
      <c r="B12885" s="6">
        <v>0.44355644355644303</v>
      </c>
      <c r="C12885" s="6">
        <v>0.60503424897187896</v>
      </c>
    </row>
    <row r="12886" spans="1:3" s="8" customFormat="1" x14ac:dyDescent="0.2">
      <c r="A12886" s="6" t="str">
        <f>"FAM43A"</f>
        <v>FAM43A</v>
      </c>
      <c r="B12886" s="6">
        <v>0.44355644355644303</v>
      </c>
      <c r="C12886" s="6">
        <v>0.60503424897187896</v>
      </c>
    </row>
    <row r="12887" spans="1:3" s="8" customFormat="1" x14ac:dyDescent="0.2">
      <c r="A12887" s="6" t="str">
        <f>"TLCD2"</f>
        <v>TLCD2</v>
      </c>
      <c r="B12887" s="6">
        <v>0.44355644355644303</v>
      </c>
      <c r="C12887" s="6">
        <v>0.60503424897187896</v>
      </c>
    </row>
    <row r="12888" spans="1:3" s="8" customFormat="1" x14ac:dyDescent="0.2">
      <c r="A12888" s="6" t="str">
        <f>"ATMIN"</f>
        <v>ATMIN</v>
      </c>
      <c r="B12888" s="6">
        <v>0.44355644355644303</v>
      </c>
      <c r="C12888" s="6">
        <v>0.60503424897187896</v>
      </c>
    </row>
    <row r="12889" spans="1:3" s="8" customFormat="1" x14ac:dyDescent="0.2">
      <c r="A12889" s="6" t="str">
        <f>"PAPSS1"</f>
        <v>PAPSS1</v>
      </c>
      <c r="B12889" s="6">
        <v>0.44355644355644303</v>
      </c>
      <c r="C12889" s="6">
        <v>0.60503424897187896</v>
      </c>
    </row>
    <row r="12890" spans="1:3" s="8" customFormat="1" x14ac:dyDescent="0.2">
      <c r="A12890" s="6" t="str">
        <f>"PPP2CA"</f>
        <v>PPP2CA</v>
      </c>
      <c r="B12890" s="6">
        <v>0.44355644355644303</v>
      </c>
      <c r="C12890" s="6">
        <v>0.60503424897187896</v>
      </c>
    </row>
    <row r="12891" spans="1:3" s="8" customFormat="1" x14ac:dyDescent="0.2">
      <c r="A12891" s="6" t="str">
        <f>"AK7"</f>
        <v>AK7</v>
      </c>
      <c r="B12891" s="6">
        <v>0.44355644355644303</v>
      </c>
      <c r="C12891" s="6">
        <v>0.60503424897187896</v>
      </c>
    </row>
    <row r="12892" spans="1:3" s="8" customFormat="1" x14ac:dyDescent="0.2">
      <c r="A12892" s="6" t="str">
        <f>"GHITM"</f>
        <v>GHITM</v>
      </c>
      <c r="B12892" s="6">
        <v>0.44355644355644303</v>
      </c>
      <c r="C12892" s="6">
        <v>0.60503424897187896</v>
      </c>
    </row>
    <row r="12893" spans="1:3" s="8" customFormat="1" x14ac:dyDescent="0.2">
      <c r="A12893" s="6" t="str">
        <f>"HUNK-AS1"</f>
        <v>HUNK-AS1</v>
      </c>
      <c r="B12893" s="6">
        <v>0.44400000000000001</v>
      </c>
      <c r="C12893" s="6">
        <v>0.60554533467773197</v>
      </c>
    </row>
    <row r="12894" spans="1:3" s="8" customFormat="1" x14ac:dyDescent="0.2">
      <c r="A12894" s="6" t="str">
        <f>"SYNGR2"</f>
        <v>SYNGR2</v>
      </c>
      <c r="B12894" s="6">
        <v>0.44400000000000001</v>
      </c>
      <c r="C12894" s="6">
        <v>0.60554533467773197</v>
      </c>
    </row>
    <row r="12895" spans="1:3" s="8" customFormat="1" x14ac:dyDescent="0.2">
      <c r="A12895" s="6" t="str">
        <f>"TCAM1P"</f>
        <v>TCAM1P</v>
      </c>
      <c r="B12895" s="6">
        <v>0.44455544455544399</v>
      </c>
      <c r="C12895" s="6">
        <v>0.60555139337384201</v>
      </c>
    </row>
    <row r="12896" spans="1:3" s="8" customFormat="1" x14ac:dyDescent="0.2">
      <c r="A12896" s="6" t="str">
        <f>"PPP1R14D"</f>
        <v>PPP1R14D</v>
      </c>
      <c r="B12896" s="6">
        <v>0.44455544455544399</v>
      </c>
      <c r="C12896" s="6">
        <v>0.60555139337384201</v>
      </c>
    </row>
    <row r="12897" spans="1:3" s="8" customFormat="1" x14ac:dyDescent="0.2">
      <c r="A12897" s="6" t="str">
        <f>"AC103718.1"</f>
        <v>AC103718.1</v>
      </c>
      <c r="B12897" s="6">
        <v>0.44455544455544399</v>
      </c>
      <c r="C12897" s="6">
        <v>0.60555139337384201</v>
      </c>
    </row>
    <row r="12898" spans="1:3" s="8" customFormat="1" x14ac:dyDescent="0.2">
      <c r="A12898" s="6" t="str">
        <f>"SIT1"</f>
        <v>SIT1</v>
      </c>
      <c r="B12898" s="6">
        <v>0.44455544455544399</v>
      </c>
      <c r="C12898" s="6">
        <v>0.60555139337384201</v>
      </c>
    </row>
    <row r="12899" spans="1:3" s="8" customFormat="1" x14ac:dyDescent="0.2">
      <c r="A12899" s="6" t="str">
        <f>"LINC02427"</f>
        <v>LINC02427</v>
      </c>
      <c r="B12899" s="6">
        <v>0.44455544455544399</v>
      </c>
      <c r="C12899" s="6">
        <v>0.60555139337384201</v>
      </c>
    </row>
    <row r="12900" spans="1:3" s="8" customFormat="1" x14ac:dyDescent="0.2">
      <c r="A12900" s="6" t="str">
        <f>"FO393400.1"</f>
        <v>FO393400.1</v>
      </c>
      <c r="B12900" s="6">
        <v>0.44455544455544399</v>
      </c>
      <c r="C12900" s="6">
        <v>0.60555139337384201</v>
      </c>
    </row>
    <row r="12901" spans="1:3" s="8" customFormat="1" x14ac:dyDescent="0.2">
      <c r="A12901" s="6" t="str">
        <f>"AL033384.1"</f>
        <v>AL033384.1</v>
      </c>
      <c r="B12901" s="6">
        <v>0.44455544455544399</v>
      </c>
      <c r="C12901" s="6">
        <v>0.60555139337384201</v>
      </c>
    </row>
    <row r="12902" spans="1:3" s="8" customFormat="1" x14ac:dyDescent="0.2">
      <c r="A12902" s="6" t="str">
        <f>"ELN"</f>
        <v>ELN</v>
      </c>
      <c r="B12902" s="6">
        <v>0.44455544455544399</v>
      </c>
      <c r="C12902" s="6">
        <v>0.60555139337384201</v>
      </c>
    </row>
    <row r="12903" spans="1:3" s="8" customFormat="1" x14ac:dyDescent="0.2">
      <c r="A12903" s="6" t="str">
        <f>"DDX11"</f>
        <v>DDX11</v>
      </c>
      <c r="B12903" s="6">
        <v>0.44455544455544399</v>
      </c>
      <c r="C12903" s="6">
        <v>0.60555139337384201</v>
      </c>
    </row>
    <row r="12904" spans="1:3" s="8" customFormat="1" x14ac:dyDescent="0.2">
      <c r="A12904" s="6" t="str">
        <f>"TXLNB"</f>
        <v>TXLNB</v>
      </c>
      <c r="B12904" s="6">
        <v>0.44455544455544399</v>
      </c>
      <c r="C12904" s="6">
        <v>0.60555139337384201</v>
      </c>
    </row>
    <row r="12905" spans="1:3" s="8" customFormat="1" x14ac:dyDescent="0.2">
      <c r="A12905" s="6" t="str">
        <f>"ZNF410"</f>
        <v>ZNF410</v>
      </c>
      <c r="B12905" s="6">
        <v>0.44455544455544399</v>
      </c>
      <c r="C12905" s="6">
        <v>0.60555139337384201</v>
      </c>
    </row>
    <row r="12906" spans="1:3" s="8" customFormat="1" x14ac:dyDescent="0.2">
      <c r="A12906" s="6" t="str">
        <f>"PLXNA3"</f>
        <v>PLXNA3</v>
      </c>
      <c r="B12906" s="6">
        <v>0.44455544455544399</v>
      </c>
      <c r="C12906" s="6">
        <v>0.60555139337384201</v>
      </c>
    </row>
    <row r="12907" spans="1:3" s="8" customFormat="1" x14ac:dyDescent="0.2">
      <c r="A12907" s="6" t="str">
        <f>"EIF4E3"</f>
        <v>EIF4E3</v>
      </c>
      <c r="B12907" s="6">
        <v>0.44455544455544399</v>
      </c>
      <c r="C12907" s="6">
        <v>0.60555139337384201</v>
      </c>
    </row>
    <row r="12908" spans="1:3" s="8" customFormat="1" x14ac:dyDescent="0.2">
      <c r="A12908" s="6" t="str">
        <f>"PPM1A"</f>
        <v>PPM1A</v>
      </c>
      <c r="B12908" s="6">
        <v>0.44455544455544399</v>
      </c>
      <c r="C12908" s="6">
        <v>0.60555139337384201</v>
      </c>
    </row>
    <row r="12909" spans="1:3" s="8" customFormat="1" x14ac:dyDescent="0.2">
      <c r="A12909" s="6" t="str">
        <f>"C6orf62"</f>
        <v>C6orf62</v>
      </c>
      <c r="B12909" s="6">
        <v>0.44455544455544399</v>
      </c>
      <c r="C12909" s="6">
        <v>0.60555139337384201</v>
      </c>
    </row>
    <row r="12910" spans="1:3" s="8" customFormat="1" x14ac:dyDescent="0.2">
      <c r="A12910" s="6" t="str">
        <f>"LYPD2"</f>
        <v>LYPD2</v>
      </c>
      <c r="B12910" s="6">
        <v>0.44455544455544399</v>
      </c>
      <c r="C12910" s="6">
        <v>0.60555139337384201</v>
      </c>
    </row>
    <row r="12911" spans="1:3" s="8" customFormat="1" x14ac:dyDescent="0.2">
      <c r="A12911" s="6" t="str">
        <f>"AP001994.2"</f>
        <v>AP001994.2</v>
      </c>
      <c r="B12911" s="6">
        <v>0.44555444555444501</v>
      </c>
      <c r="C12911" s="6">
        <v>0.60658325879756603</v>
      </c>
    </row>
    <row r="12912" spans="1:3" s="8" customFormat="1" x14ac:dyDescent="0.2">
      <c r="A12912" s="6" t="str">
        <f>"AC024909.1"</f>
        <v>AC024909.1</v>
      </c>
      <c r="B12912" s="6">
        <v>0.44555444555444501</v>
      </c>
      <c r="C12912" s="6">
        <v>0.60658325879756603</v>
      </c>
    </row>
    <row r="12913" spans="1:3" s="8" customFormat="1" x14ac:dyDescent="0.2">
      <c r="A12913" s="6" t="str">
        <f>"MELTF-AS1"</f>
        <v>MELTF-AS1</v>
      </c>
      <c r="B12913" s="6">
        <v>0.44555444555444501</v>
      </c>
      <c r="C12913" s="6">
        <v>0.60658325879756603</v>
      </c>
    </row>
    <row r="12914" spans="1:3" s="8" customFormat="1" x14ac:dyDescent="0.2">
      <c r="A12914" s="6" t="str">
        <f>"TMEM204"</f>
        <v>TMEM204</v>
      </c>
      <c r="B12914" s="6">
        <v>0.44555444555444501</v>
      </c>
      <c r="C12914" s="6">
        <v>0.60658325879756603</v>
      </c>
    </row>
    <row r="12915" spans="1:3" s="8" customFormat="1" x14ac:dyDescent="0.2">
      <c r="A12915" s="6" t="str">
        <f>"PAOX"</f>
        <v>PAOX</v>
      </c>
      <c r="B12915" s="6">
        <v>0.44555444555444501</v>
      </c>
      <c r="C12915" s="6">
        <v>0.60658325879756603</v>
      </c>
    </row>
    <row r="12916" spans="1:3" s="8" customFormat="1" x14ac:dyDescent="0.2">
      <c r="A12916" s="6" t="str">
        <f>"CERT1"</f>
        <v>CERT1</v>
      </c>
      <c r="B12916" s="6">
        <v>0.44555444555444501</v>
      </c>
      <c r="C12916" s="6">
        <v>0.60658325879756603</v>
      </c>
    </row>
    <row r="12917" spans="1:3" s="8" customFormat="1" x14ac:dyDescent="0.2">
      <c r="A12917" s="6" t="str">
        <f>"CANT1"</f>
        <v>CANT1</v>
      </c>
      <c r="B12917" s="6">
        <v>0.44555444555444501</v>
      </c>
      <c r="C12917" s="6">
        <v>0.60658325879756603</v>
      </c>
    </row>
    <row r="12918" spans="1:3" s="8" customFormat="1" x14ac:dyDescent="0.2">
      <c r="A12918" s="6" t="str">
        <f>"LINC02332"</f>
        <v>LINC02332</v>
      </c>
      <c r="B12918" s="6">
        <v>0.44567404426559298</v>
      </c>
      <c r="C12918" s="6">
        <v>0.60669910926423998</v>
      </c>
    </row>
    <row r="12919" spans="1:3" s="8" customFormat="1" x14ac:dyDescent="0.2">
      <c r="A12919" s="6" t="str">
        <f>"PLA2G12AP1"</f>
        <v>PLA2G12AP1</v>
      </c>
      <c r="B12919" s="6">
        <v>0.44589178356713399</v>
      </c>
      <c r="C12919" s="6">
        <v>0.60694853090606005</v>
      </c>
    </row>
    <row r="12920" spans="1:3" s="8" customFormat="1" x14ac:dyDescent="0.2">
      <c r="A12920" s="6" t="str">
        <f>"AC008567.3"</f>
        <v>AC008567.3</v>
      </c>
      <c r="B12920" s="6">
        <v>0.44600000000000001</v>
      </c>
      <c r="C12920" s="6">
        <v>0.60695487965327699</v>
      </c>
    </row>
    <row r="12921" spans="1:3" s="8" customFormat="1" x14ac:dyDescent="0.2">
      <c r="A12921" s="6" t="str">
        <f>"AL139274.2"</f>
        <v>AL139274.2</v>
      </c>
      <c r="B12921" s="6">
        <v>0.44600000000000001</v>
      </c>
      <c r="C12921" s="6">
        <v>0.60695487965327699</v>
      </c>
    </row>
    <row r="12922" spans="1:3" s="8" customFormat="1" x14ac:dyDescent="0.2">
      <c r="A12922" s="6" t="str">
        <f>"LRRC34"</f>
        <v>LRRC34</v>
      </c>
      <c r="B12922" s="6">
        <v>0.44600000000000001</v>
      </c>
      <c r="C12922" s="6">
        <v>0.60695487965327699</v>
      </c>
    </row>
    <row r="12923" spans="1:3" s="8" customFormat="1" x14ac:dyDescent="0.2">
      <c r="A12923" s="6" t="str">
        <f>"AL139398.1"</f>
        <v>AL139398.1</v>
      </c>
      <c r="B12923" s="6">
        <v>0.44644644644644599</v>
      </c>
      <c r="C12923" s="6">
        <v>0.60719113858612705</v>
      </c>
    </row>
    <row r="12924" spans="1:3" s="8" customFormat="1" x14ac:dyDescent="0.2">
      <c r="A12924" s="6" t="str">
        <f>"LUM"</f>
        <v>LUM</v>
      </c>
      <c r="B12924" s="6">
        <v>0.44655344655344598</v>
      </c>
      <c r="C12924" s="6">
        <v>0.60719113858612705</v>
      </c>
    </row>
    <row r="12925" spans="1:3" s="8" customFormat="1" x14ac:dyDescent="0.2">
      <c r="A12925" s="6" t="str">
        <f>"MAP3K4-AS1"</f>
        <v>MAP3K4-AS1</v>
      </c>
      <c r="B12925" s="6">
        <v>0.44655344655344598</v>
      </c>
      <c r="C12925" s="6">
        <v>0.60719113858612705</v>
      </c>
    </row>
    <row r="12926" spans="1:3" s="8" customFormat="1" x14ac:dyDescent="0.2">
      <c r="A12926" s="6" t="str">
        <f>"AMER1"</f>
        <v>AMER1</v>
      </c>
      <c r="B12926" s="6">
        <v>0.44655344655344598</v>
      </c>
      <c r="C12926" s="6">
        <v>0.60719113858612705</v>
      </c>
    </row>
    <row r="12927" spans="1:3" s="8" customFormat="1" x14ac:dyDescent="0.2">
      <c r="A12927" s="6" t="str">
        <f>"ZNF286A"</f>
        <v>ZNF286A</v>
      </c>
      <c r="B12927" s="6">
        <v>0.44655344655344598</v>
      </c>
      <c r="C12927" s="6">
        <v>0.60719113858612705</v>
      </c>
    </row>
    <row r="12928" spans="1:3" s="8" customFormat="1" x14ac:dyDescent="0.2">
      <c r="A12928" s="6" t="str">
        <f>"C12orf4"</f>
        <v>C12orf4</v>
      </c>
      <c r="B12928" s="6">
        <v>0.44655344655344598</v>
      </c>
      <c r="C12928" s="6">
        <v>0.60719113858612705</v>
      </c>
    </row>
    <row r="12929" spans="1:3" s="8" customFormat="1" x14ac:dyDescent="0.2">
      <c r="A12929" s="6" t="str">
        <f>"C11orf24"</f>
        <v>C11orf24</v>
      </c>
      <c r="B12929" s="6">
        <v>0.44655344655344598</v>
      </c>
      <c r="C12929" s="6">
        <v>0.60719113858612705</v>
      </c>
    </row>
    <row r="12930" spans="1:3" s="8" customFormat="1" x14ac:dyDescent="0.2">
      <c r="A12930" s="6" t="str">
        <f>"C1GALT1C1"</f>
        <v>C1GALT1C1</v>
      </c>
      <c r="B12930" s="6">
        <v>0.44655344655344598</v>
      </c>
      <c r="C12930" s="6">
        <v>0.60719113858612705</v>
      </c>
    </row>
    <row r="12931" spans="1:3" s="8" customFormat="1" x14ac:dyDescent="0.2">
      <c r="A12931" s="6" t="str">
        <f>"UBA5"</f>
        <v>UBA5</v>
      </c>
      <c r="B12931" s="6">
        <v>0.44655344655344598</v>
      </c>
      <c r="C12931" s="6">
        <v>0.60719113858612705</v>
      </c>
    </row>
    <row r="12932" spans="1:3" s="8" customFormat="1" x14ac:dyDescent="0.2">
      <c r="A12932" s="6" t="str">
        <f>"SFXN3"</f>
        <v>SFXN3</v>
      </c>
      <c r="B12932" s="6">
        <v>0.44655344655344598</v>
      </c>
      <c r="C12932" s="6">
        <v>0.60719113858612705</v>
      </c>
    </row>
    <row r="12933" spans="1:3" s="8" customFormat="1" x14ac:dyDescent="0.2">
      <c r="A12933" s="6" t="str">
        <f>"SETD5"</f>
        <v>SETD5</v>
      </c>
      <c r="B12933" s="6">
        <v>0.44655344655344598</v>
      </c>
      <c r="C12933" s="6">
        <v>0.60719113858612705</v>
      </c>
    </row>
    <row r="12934" spans="1:3" s="8" customFormat="1" x14ac:dyDescent="0.2">
      <c r="A12934" s="6" t="str">
        <f>"TMEM72-AS1"</f>
        <v>TMEM72-AS1</v>
      </c>
      <c r="B12934" s="6">
        <v>0.44678714859437701</v>
      </c>
      <c r="C12934" s="6">
        <v>0.60741496991522603</v>
      </c>
    </row>
    <row r="12935" spans="1:3" s="8" customFormat="1" x14ac:dyDescent="0.2">
      <c r="A12935" s="6" t="str">
        <f>"AC005034.4"</f>
        <v>AC005034.4</v>
      </c>
      <c r="B12935" s="6">
        <v>0.44678714859437701</v>
      </c>
      <c r="C12935" s="6">
        <v>0.60741496991522603</v>
      </c>
    </row>
    <row r="12936" spans="1:3" s="8" customFormat="1" x14ac:dyDescent="0.2">
      <c r="A12936" s="6" t="str">
        <f>"PRPF4B"</f>
        <v>PRPF4B</v>
      </c>
      <c r="B12936" s="6">
        <v>0.44700000000000001</v>
      </c>
      <c r="C12936" s="6">
        <v>0.60765736374178503</v>
      </c>
    </row>
    <row r="12937" spans="1:3" s="8" customFormat="1" x14ac:dyDescent="0.2">
      <c r="A12937" s="6" t="str">
        <f>"SPTA1"</f>
        <v>SPTA1</v>
      </c>
      <c r="B12937" s="6">
        <v>0.447552447552447</v>
      </c>
      <c r="C12937" s="6">
        <v>0.60803231381922496</v>
      </c>
    </row>
    <row r="12938" spans="1:3" s="8" customFormat="1" x14ac:dyDescent="0.2">
      <c r="A12938" s="6" t="str">
        <f>"AL136295.6"</f>
        <v>AL136295.6</v>
      </c>
      <c r="B12938" s="6">
        <v>0.44744744744744702</v>
      </c>
      <c r="C12938" s="6">
        <v>0.60803231381922496</v>
      </c>
    </row>
    <row r="12939" spans="1:3" s="8" customFormat="1" x14ac:dyDescent="0.2">
      <c r="A12939" s="6" t="str">
        <f>"DOCK8-AS1"</f>
        <v>DOCK8-AS1</v>
      </c>
      <c r="B12939" s="6">
        <v>0.447552447552447</v>
      </c>
      <c r="C12939" s="6">
        <v>0.60803231381922496</v>
      </c>
    </row>
    <row r="12940" spans="1:3" s="8" customFormat="1" x14ac:dyDescent="0.2">
      <c r="A12940" s="6" t="str">
        <f>"ZNF74"</f>
        <v>ZNF74</v>
      </c>
      <c r="B12940" s="6">
        <v>0.447552447552447</v>
      </c>
      <c r="C12940" s="6">
        <v>0.60803231381922496</v>
      </c>
    </row>
    <row r="12941" spans="1:3" s="8" customFormat="1" x14ac:dyDescent="0.2">
      <c r="A12941" s="6" t="str">
        <f>"ZKSCAN5"</f>
        <v>ZKSCAN5</v>
      </c>
      <c r="B12941" s="6">
        <v>0.447552447552447</v>
      </c>
      <c r="C12941" s="6">
        <v>0.60803231381922496</v>
      </c>
    </row>
    <row r="12942" spans="1:3" s="8" customFormat="1" x14ac:dyDescent="0.2">
      <c r="A12942" s="6" t="str">
        <f>"MT1X"</f>
        <v>MT1X</v>
      </c>
      <c r="B12942" s="6">
        <v>0.447552447552447</v>
      </c>
      <c r="C12942" s="6">
        <v>0.60803231381922496</v>
      </c>
    </row>
    <row r="12943" spans="1:3" s="8" customFormat="1" x14ac:dyDescent="0.2">
      <c r="A12943" s="6" t="str">
        <f>"PSMD11"</f>
        <v>PSMD11</v>
      </c>
      <c r="B12943" s="6">
        <v>0.447552447552447</v>
      </c>
      <c r="C12943" s="6">
        <v>0.60803231381922496</v>
      </c>
    </row>
    <row r="12944" spans="1:3" s="8" customFormat="1" x14ac:dyDescent="0.2">
      <c r="A12944" s="6" t="str">
        <f>"SGPL1"</f>
        <v>SGPL1</v>
      </c>
      <c r="B12944" s="6">
        <v>0.447552447552447</v>
      </c>
      <c r="C12944" s="6">
        <v>0.60803231381922496</v>
      </c>
    </row>
    <row r="12945" spans="1:3" s="8" customFormat="1" x14ac:dyDescent="0.2">
      <c r="A12945" s="6" t="str">
        <f>"STPG2-AS1"</f>
        <v>STPG2-AS1</v>
      </c>
      <c r="B12945" s="6">
        <v>0.44795918367346899</v>
      </c>
      <c r="C12945" s="6">
        <v>0.60853787745011401</v>
      </c>
    </row>
    <row r="12946" spans="1:3" s="8" customFormat="1" x14ac:dyDescent="0.2">
      <c r="A12946" s="6" t="str">
        <f>"AL592430.1"</f>
        <v>AL592430.1</v>
      </c>
      <c r="B12946" s="6">
        <v>0.44855144855144802</v>
      </c>
      <c r="C12946" s="6">
        <v>0.60873108523027397</v>
      </c>
    </row>
    <row r="12947" spans="1:3" s="8" customFormat="1" x14ac:dyDescent="0.2">
      <c r="A12947" s="6" t="str">
        <f>"AC040168.1"</f>
        <v>AC040168.1</v>
      </c>
      <c r="B12947" s="6">
        <v>0.448448448448448</v>
      </c>
      <c r="C12947" s="6">
        <v>0.60873108523027397</v>
      </c>
    </row>
    <row r="12948" spans="1:3" s="8" customFormat="1" x14ac:dyDescent="0.2">
      <c r="A12948" s="6" t="str">
        <f>"AC012313.4"</f>
        <v>AC012313.4</v>
      </c>
      <c r="B12948" s="6">
        <v>0.44827586206896503</v>
      </c>
      <c r="C12948" s="6">
        <v>0.60873108523027397</v>
      </c>
    </row>
    <row r="12949" spans="1:3" s="8" customFormat="1" x14ac:dyDescent="0.2">
      <c r="A12949" s="6" t="str">
        <f>"AC117480.1"</f>
        <v>AC117480.1</v>
      </c>
      <c r="B12949" s="6">
        <v>0.44855144855144802</v>
      </c>
      <c r="C12949" s="6">
        <v>0.60873108523027397</v>
      </c>
    </row>
    <row r="12950" spans="1:3" s="8" customFormat="1" x14ac:dyDescent="0.2">
      <c r="A12950" s="6" t="str">
        <f>"PCDHGA7"</f>
        <v>PCDHGA7</v>
      </c>
      <c r="B12950" s="6">
        <v>0.44855144855144802</v>
      </c>
      <c r="C12950" s="6">
        <v>0.60873108523027397</v>
      </c>
    </row>
    <row r="12951" spans="1:3" s="8" customFormat="1" x14ac:dyDescent="0.2">
      <c r="A12951" s="6" t="str">
        <f>"RPE"</f>
        <v>RPE</v>
      </c>
      <c r="B12951" s="6">
        <v>0.44855144855144802</v>
      </c>
      <c r="C12951" s="6">
        <v>0.60873108523027397</v>
      </c>
    </row>
    <row r="12952" spans="1:3" s="8" customFormat="1" x14ac:dyDescent="0.2">
      <c r="A12952" s="6" t="str">
        <f>"LYNX1"</f>
        <v>LYNX1</v>
      </c>
      <c r="B12952" s="6">
        <v>0.44855144855144802</v>
      </c>
      <c r="C12952" s="6">
        <v>0.60873108523027397</v>
      </c>
    </row>
    <row r="12953" spans="1:3" s="8" customFormat="1" x14ac:dyDescent="0.2">
      <c r="A12953" s="6" t="str">
        <f>"POLD4"</f>
        <v>POLD4</v>
      </c>
      <c r="B12953" s="6">
        <v>0.44855144855144802</v>
      </c>
      <c r="C12953" s="6">
        <v>0.60873108523027397</v>
      </c>
    </row>
    <row r="12954" spans="1:3" s="8" customFormat="1" x14ac:dyDescent="0.2">
      <c r="A12954" s="6" t="str">
        <f>"ARHGEF17"</f>
        <v>ARHGEF17</v>
      </c>
      <c r="B12954" s="6">
        <v>0.44855144855144802</v>
      </c>
      <c r="C12954" s="6">
        <v>0.60873108523027397</v>
      </c>
    </row>
    <row r="12955" spans="1:3" s="8" customFormat="1" x14ac:dyDescent="0.2">
      <c r="A12955" s="6" t="str">
        <f>"UBTD1"</f>
        <v>UBTD1</v>
      </c>
      <c r="B12955" s="6">
        <v>0.44855144855144802</v>
      </c>
      <c r="C12955" s="6">
        <v>0.60873108523027397</v>
      </c>
    </row>
    <row r="12956" spans="1:3" s="8" customFormat="1" x14ac:dyDescent="0.2">
      <c r="A12956" s="6" t="str">
        <f>"PLPP5"</f>
        <v>PLPP5</v>
      </c>
      <c r="B12956" s="6">
        <v>0.44855144855144802</v>
      </c>
      <c r="C12956" s="6">
        <v>0.60873108523027397</v>
      </c>
    </row>
    <row r="12957" spans="1:3" s="8" customFormat="1" x14ac:dyDescent="0.2">
      <c r="A12957" s="6" t="str">
        <f>"ACAP2"</f>
        <v>ACAP2</v>
      </c>
      <c r="B12957" s="6">
        <v>0.44855144855144802</v>
      </c>
      <c r="C12957" s="6">
        <v>0.60873108523027397</v>
      </c>
    </row>
    <row r="12958" spans="1:3" s="8" customFormat="1" x14ac:dyDescent="0.2">
      <c r="A12958" s="6" t="str">
        <f>"ESYT1"</f>
        <v>ESYT1</v>
      </c>
      <c r="B12958" s="6">
        <v>0.44855144855144802</v>
      </c>
      <c r="C12958" s="6">
        <v>0.60873108523027397</v>
      </c>
    </row>
    <row r="12959" spans="1:3" s="8" customFormat="1" x14ac:dyDescent="0.2">
      <c r="A12959" s="6" t="str">
        <f>"SCML2"</f>
        <v>SCML2</v>
      </c>
      <c r="B12959" s="6">
        <v>0.44900000000000001</v>
      </c>
      <c r="C12959" s="6">
        <v>0.60924577513696998</v>
      </c>
    </row>
    <row r="12960" spans="1:3" s="8" customFormat="1" x14ac:dyDescent="0.2">
      <c r="A12960" s="6" t="str">
        <f>"FOXN3"</f>
        <v>FOXN3</v>
      </c>
      <c r="B12960" s="6">
        <v>0.44900000000000001</v>
      </c>
      <c r="C12960" s="6">
        <v>0.60924577513696998</v>
      </c>
    </row>
    <row r="12961" spans="1:3" s="8" customFormat="1" x14ac:dyDescent="0.2">
      <c r="A12961" s="6" t="str">
        <f>"AC092115.3"</f>
        <v>AC092115.3</v>
      </c>
      <c r="B12961" s="6">
        <v>0.44955044955044898</v>
      </c>
      <c r="C12961" s="6">
        <v>0.60961634185972802</v>
      </c>
    </row>
    <row r="12962" spans="1:3" s="8" customFormat="1" x14ac:dyDescent="0.2">
      <c r="A12962" s="6" t="str">
        <f>"AC211476.5"</f>
        <v>AC211476.5</v>
      </c>
      <c r="B12962" s="6">
        <v>0.44955044955044898</v>
      </c>
      <c r="C12962" s="6">
        <v>0.60961634185972802</v>
      </c>
    </row>
    <row r="12963" spans="1:3" s="8" customFormat="1" x14ac:dyDescent="0.2">
      <c r="A12963" s="6" t="str">
        <f>"ZNF180"</f>
        <v>ZNF180</v>
      </c>
      <c r="B12963" s="6">
        <v>0.44955044955044898</v>
      </c>
      <c r="C12963" s="6">
        <v>0.60961634185972802</v>
      </c>
    </row>
    <row r="12964" spans="1:3" s="8" customFormat="1" x14ac:dyDescent="0.2">
      <c r="A12964" s="6" t="str">
        <f>"DTX2P1-UPK3BP1-PMS2P11"</f>
        <v>DTX2P1-UPK3BP1-PMS2P11</v>
      </c>
      <c r="B12964" s="6">
        <v>0.44955044955044898</v>
      </c>
      <c r="C12964" s="6">
        <v>0.60961634185972802</v>
      </c>
    </row>
    <row r="12965" spans="1:3" s="8" customFormat="1" x14ac:dyDescent="0.2">
      <c r="A12965" s="6" t="str">
        <f>"SNX1"</f>
        <v>SNX1</v>
      </c>
      <c r="B12965" s="6">
        <v>0.44955044955044898</v>
      </c>
      <c r="C12965" s="6">
        <v>0.60961634185972802</v>
      </c>
    </row>
    <row r="12966" spans="1:3" s="8" customFormat="1" x14ac:dyDescent="0.2">
      <c r="A12966" s="6" t="str">
        <f>"RBL2"</f>
        <v>RBL2</v>
      </c>
      <c r="B12966" s="6">
        <v>0.44955044955044898</v>
      </c>
      <c r="C12966" s="6">
        <v>0.60961634185972802</v>
      </c>
    </row>
    <row r="12967" spans="1:3" s="8" customFormat="1" x14ac:dyDescent="0.2">
      <c r="A12967" s="6" t="str">
        <f>"IRF9"</f>
        <v>IRF9</v>
      </c>
      <c r="B12967" s="6">
        <v>0.44955044955044898</v>
      </c>
      <c r="C12967" s="6">
        <v>0.60961634185972802</v>
      </c>
    </row>
    <row r="12968" spans="1:3" s="8" customFormat="1" x14ac:dyDescent="0.2">
      <c r="A12968" s="6" t="str">
        <f>"WASF2"</f>
        <v>WASF2</v>
      </c>
      <c r="B12968" s="6">
        <v>0.44955044955044898</v>
      </c>
      <c r="C12968" s="6">
        <v>0.60961634185972802</v>
      </c>
    </row>
    <row r="12969" spans="1:3" s="8" customFormat="1" x14ac:dyDescent="0.2">
      <c r="A12969" s="6" t="str">
        <f>"LINC02435"</f>
        <v>LINC02435</v>
      </c>
      <c r="B12969" s="6">
        <v>0.45</v>
      </c>
      <c r="C12969" s="6">
        <v>0.61008481110254398</v>
      </c>
    </row>
    <row r="12970" spans="1:3" s="8" customFormat="1" x14ac:dyDescent="0.2">
      <c r="A12970" s="6" t="str">
        <f>"OR10H5"</f>
        <v>OR10H5</v>
      </c>
      <c r="B12970" s="6">
        <v>0.45</v>
      </c>
      <c r="C12970" s="6">
        <v>0.61008481110254398</v>
      </c>
    </row>
    <row r="12971" spans="1:3" s="8" customFormat="1" x14ac:dyDescent="0.2">
      <c r="A12971" s="6" t="str">
        <f>"CIRBP-AS1"</f>
        <v>CIRBP-AS1</v>
      </c>
      <c r="B12971" s="6">
        <v>0.44994944388270902</v>
      </c>
      <c r="C12971" s="6">
        <v>0.61008481110254398</v>
      </c>
    </row>
    <row r="12972" spans="1:3" s="8" customFormat="1" x14ac:dyDescent="0.2">
      <c r="A12972" s="6" t="str">
        <f>"AC017104.3"</f>
        <v>AC017104.3</v>
      </c>
      <c r="B12972" s="6">
        <v>0.45045045045045001</v>
      </c>
      <c r="C12972" s="6">
        <v>0.610312112969843</v>
      </c>
    </row>
    <row r="12973" spans="1:3" s="8" customFormat="1" x14ac:dyDescent="0.2">
      <c r="A12973" s="6" t="str">
        <f>"AC080128.2"</f>
        <v>AC080128.2</v>
      </c>
      <c r="B12973" s="6">
        <v>0.45054945054945</v>
      </c>
      <c r="C12973" s="6">
        <v>0.610312112969843</v>
      </c>
    </row>
    <row r="12974" spans="1:3" s="8" customFormat="1" x14ac:dyDescent="0.2">
      <c r="A12974" s="6" t="str">
        <f>"PDPK2P"</f>
        <v>PDPK2P</v>
      </c>
      <c r="B12974" s="6">
        <v>0.45054945054945</v>
      </c>
      <c r="C12974" s="6">
        <v>0.610312112969843</v>
      </c>
    </row>
    <row r="12975" spans="1:3" s="8" customFormat="1" x14ac:dyDescent="0.2">
      <c r="A12975" s="6" t="str">
        <f>"AC001226.2"</f>
        <v>AC001226.2</v>
      </c>
      <c r="B12975" s="6">
        <v>0.45054945054945</v>
      </c>
      <c r="C12975" s="6">
        <v>0.610312112969843</v>
      </c>
    </row>
    <row r="12976" spans="1:3" s="8" customFormat="1" x14ac:dyDescent="0.2">
      <c r="A12976" s="6" t="str">
        <f>"AC006254.1"</f>
        <v>AC006254.1</v>
      </c>
      <c r="B12976" s="6">
        <v>0.45054945054945</v>
      </c>
      <c r="C12976" s="6">
        <v>0.610312112969843</v>
      </c>
    </row>
    <row r="12977" spans="1:3" s="8" customFormat="1" x14ac:dyDescent="0.2">
      <c r="A12977" s="6" t="str">
        <f>"MTRES1"</f>
        <v>MTRES1</v>
      </c>
      <c r="B12977" s="6">
        <v>0.45054945054945</v>
      </c>
      <c r="C12977" s="6">
        <v>0.610312112969843</v>
      </c>
    </row>
    <row r="12978" spans="1:3" s="8" customFormat="1" x14ac:dyDescent="0.2">
      <c r="A12978" s="6" t="str">
        <f>"CHM"</f>
        <v>CHM</v>
      </c>
      <c r="B12978" s="6">
        <v>0.45054945054945</v>
      </c>
      <c r="C12978" s="6">
        <v>0.610312112969843</v>
      </c>
    </row>
    <row r="12979" spans="1:3" s="8" customFormat="1" x14ac:dyDescent="0.2">
      <c r="A12979" s="6" t="str">
        <f>"ZFHX2"</f>
        <v>ZFHX2</v>
      </c>
      <c r="B12979" s="6">
        <v>0.45054945054945</v>
      </c>
      <c r="C12979" s="6">
        <v>0.610312112969843</v>
      </c>
    </row>
    <row r="12980" spans="1:3" s="8" customFormat="1" x14ac:dyDescent="0.2">
      <c r="A12980" s="6" t="str">
        <f>"SIRT3"</f>
        <v>SIRT3</v>
      </c>
      <c r="B12980" s="6">
        <v>0.45054945054945</v>
      </c>
      <c r="C12980" s="6">
        <v>0.610312112969843</v>
      </c>
    </row>
    <row r="12981" spans="1:3" s="8" customFormat="1" x14ac:dyDescent="0.2">
      <c r="A12981" s="6" t="str">
        <f>"FCSK"</f>
        <v>FCSK</v>
      </c>
      <c r="B12981" s="6">
        <v>0.45054945054945</v>
      </c>
      <c r="C12981" s="6">
        <v>0.610312112969843</v>
      </c>
    </row>
    <row r="12982" spans="1:3" s="8" customFormat="1" x14ac:dyDescent="0.2">
      <c r="A12982" s="6" t="str">
        <f>"WWP2"</f>
        <v>WWP2</v>
      </c>
      <c r="B12982" s="6">
        <v>0.45054945054945</v>
      </c>
      <c r="C12982" s="6">
        <v>0.610312112969843</v>
      </c>
    </row>
    <row r="12983" spans="1:3" s="8" customFormat="1" x14ac:dyDescent="0.2">
      <c r="A12983" s="6" t="str">
        <f>"RN7SL96P"</f>
        <v>RN7SL96P</v>
      </c>
      <c r="B12983" s="6">
        <v>0.45100000000000001</v>
      </c>
      <c r="C12983" s="6">
        <v>0.61087536589123403</v>
      </c>
    </row>
    <row r="12984" spans="1:3" s="8" customFormat="1" x14ac:dyDescent="0.2">
      <c r="A12984" s="6" t="str">
        <f>"KRT16P1"</f>
        <v>KRT16P1</v>
      </c>
      <c r="B12984" s="6">
        <v>0.45154845154845102</v>
      </c>
      <c r="C12984" s="6">
        <v>0.61105340711312695</v>
      </c>
    </row>
    <row r="12985" spans="1:3" s="8" customFormat="1" x14ac:dyDescent="0.2">
      <c r="A12985" s="6" t="str">
        <f>"COL25A1"</f>
        <v>COL25A1</v>
      </c>
      <c r="B12985" s="6">
        <v>0.45154845154845102</v>
      </c>
      <c r="C12985" s="6">
        <v>0.61105340711312695</v>
      </c>
    </row>
    <row r="12986" spans="1:3" s="8" customFormat="1" x14ac:dyDescent="0.2">
      <c r="A12986" s="6" t="str">
        <f>"ANKLE1"</f>
        <v>ANKLE1</v>
      </c>
      <c r="B12986" s="6">
        <v>0.45154845154845102</v>
      </c>
      <c r="C12986" s="6">
        <v>0.61105340711312695</v>
      </c>
    </row>
    <row r="12987" spans="1:3" s="8" customFormat="1" x14ac:dyDescent="0.2">
      <c r="A12987" s="6" t="str">
        <f>"RGN"</f>
        <v>RGN</v>
      </c>
      <c r="B12987" s="6">
        <v>0.45154845154845102</v>
      </c>
      <c r="C12987" s="6">
        <v>0.61105340711312695</v>
      </c>
    </row>
    <row r="12988" spans="1:3" s="8" customFormat="1" x14ac:dyDescent="0.2">
      <c r="A12988" s="6" t="str">
        <f>"ANKS1B"</f>
        <v>ANKS1B</v>
      </c>
      <c r="B12988" s="6">
        <v>0.45154845154845102</v>
      </c>
      <c r="C12988" s="6">
        <v>0.61105340711312695</v>
      </c>
    </row>
    <row r="12989" spans="1:3" s="8" customFormat="1" x14ac:dyDescent="0.2">
      <c r="A12989" s="6" t="str">
        <f>"AL034430.2"</f>
        <v>AL034430.2</v>
      </c>
      <c r="B12989" s="6">
        <v>0.45154845154845102</v>
      </c>
      <c r="C12989" s="6">
        <v>0.61105340711312695</v>
      </c>
    </row>
    <row r="12990" spans="1:3" s="8" customFormat="1" x14ac:dyDescent="0.2">
      <c r="A12990" s="6" t="str">
        <f>"ZNF407"</f>
        <v>ZNF407</v>
      </c>
      <c r="B12990" s="6">
        <v>0.45154845154845102</v>
      </c>
      <c r="C12990" s="6">
        <v>0.61105340711312695</v>
      </c>
    </row>
    <row r="12991" spans="1:3" s="8" customFormat="1" x14ac:dyDescent="0.2">
      <c r="A12991" s="6" t="str">
        <f>"ZFC3H1"</f>
        <v>ZFC3H1</v>
      </c>
      <c r="B12991" s="6">
        <v>0.45154845154845102</v>
      </c>
      <c r="C12991" s="6">
        <v>0.61105340711312695</v>
      </c>
    </row>
    <row r="12992" spans="1:3" s="8" customFormat="1" x14ac:dyDescent="0.2">
      <c r="A12992" s="6" t="str">
        <f>"YIPF1"</f>
        <v>YIPF1</v>
      </c>
      <c r="B12992" s="6">
        <v>0.45154845154845102</v>
      </c>
      <c r="C12992" s="6">
        <v>0.61105340711312695</v>
      </c>
    </row>
    <row r="12993" spans="1:3" s="8" customFormat="1" x14ac:dyDescent="0.2">
      <c r="A12993" s="6" t="str">
        <f>"USP24"</f>
        <v>USP24</v>
      </c>
      <c r="B12993" s="6">
        <v>0.45154845154845102</v>
      </c>
      <c r="C12993" s="6">
        <v>0.61105340711312695</v>
      </c>
    </row>
    <row r="12994" spans="1:3" s="8" customFormat="1" x14ac:dyDescent="0.2">
      <c r="A12994" s="6" t="str">
        <f>"DNAH6"</f>
        <v>DNAH6</v>
      </c>
      <c r="B12994" s="6">
        <v>0.45154845154845102</v>
      </c>
      <c r="C12994" s="6">
        <v>0.61105340711312695</v>
      </c>
    </row>
    <row r="12995" spans="1:3" s="8" customFormat="1" x14ac:dyDescent="0.2">
      <c r="A12995" s="6" t="str">
        <f>"FBXL5"</f>
        <v>FBXL5</v>
      </c>
      <c r="B12995" s="6">
        <v>0.45154845154845102</v>
      </c>
      <c r="C12995" s="6">
        <v>0.61105340711312695</v>
      </c>
    </row>
    <row r="12996" spans="1:3" s="8" customFormat="1" x14ac:dyDescent="0.2">
      <c r="A12996" s="6" t="str">
        <f>"HIGD1AP4"</f>
        <v>HIGD1AP4</v>
      </c>
      <c r="B12996" s="6">
        <v>0.45200000000000001</v>
      </c>
      <c r="C12996" s="6">
        <v>0.61157032933210198</v>
      </c>
    </row>
    <row r="12997" spans="1:3" s="8" customFormat="1" x14ac:dyDescent="0.2">
      <c r="A12997" s="6" t="str">
        <f>"ATP6V1E1"</f>
        <v>ATP6V1E1</v>
      </c>
      <c r="B12997" s="6">
        <v>0.45200000000000001</v>
      </c>
      <c r="C12997" s="6">
        <v>0.61157032933210198</v>
      </c>
    </row>
    <row r="12998" spans="1:3" s="8" customFormat="1" x14ac:dyDescent="0.2">
      <c r="A12998" s="6" t="str">
        <f>"LINC00499"</f>
        <v>LINC00499</v>
      </c>
      <c r="B12998" s="6">
        <v>0.45245245245245203</v>
      </c>
      <c r="C12998" s="6">
        <v>0.61204122808861605</v>
      </c>
    </row>
    <row r="12999" spans="1:3" s="8" customFormat="1" x14ac:dyDescent="0.2">
      <c r="A12999" s="6" t="str">
        <f>"LINC01612"</f>
        <v>LINC01612</v>
      </c>
      <c r="B12999" s="6">
        <v>0.45245245245245203</v>
      </c>
      <c r="C12999" s="6">
        <v>0.61204122808861605</v>
      </c>
    </row>
    <row r="13000" spans="1:3" s="8" customFormat="1" x14ac:dyDescent="0.2">
      <c r="A13000" s="6" t="str">
        <f>"DPPA4"</f>
        <v>DPPA4</v>
      </c>
      <c r="B13000" s="6">
        <v>0.45245245245245203</v>
      </c>
      <c r="C13000" s="6">
        <v>0.61204122808861605</v>
      </c>
    </row>
    <row r="13001" spans="1:3" s="8" customFormat="1" x14ac:dyDescent="0.2">
      <c r="A13001" s="6" t="str">
        <f>"TM4SF19"</f>
        <v>TM4SF19</v>
      </c>
      <c r="B13001" s="6">
        <v>0.45254745254745199</v>
      </c>
      <c r="C13001" s="6">
        <v>0.61207556384850403</v>
      </c>
    </row>
    <row r="13002" spans="1:3" s="8" customFormat="1" x14ac:dyDescent="0.2">
      <c r="A13002" s="6" t="str">
        <f>"ZNF678"</f>
        <v>ZNF678</v>
      </c>
      <c r="B13002" s="6">
        <v>0.45254745254745199</v>
      </c>
      <c r="C13002" s="6">
        <v>0.61207556384850403</v>
      </c>
    </row>
    <row r="13003" spans="1:3" s="8" customFormat="1" x14ac:dyDescent="0.2">
      <c r="A13003" s="6" t="str">
        <f>"LINC00648"</f>
        <v>LINC00648</v>
      </c>
      <c r="B13003" s="6">
        <v>0.45271629778672001</v>
      </c>
      <c r="C13003" s="6">
        <v>0.61225683589306901</v>
      </c>
    </row>
    <row r="13004" spans="1:3" s="8" customFormat="1" x14ac:dyDescent="0.2">
      <c r="A13004" s="6" t="str">
        <f>"AC002464.1"</f>
        <v>AC002464.1</v>
      </c>
      <c r="B13004" s="6">
        <v>0.45296523517382398</v>
      </c>
      <c r="C13004" s="6">
        <v>0.61254638893305502</v>
      </c>
    </row>
    <row r="13005" spans="1:3" s="8" customFormat="1" x14ac:dyDescent="0.2">
      <c r="A13005" s="6" t="str">
        <f>"AC103810.5"</f>
        <v>AC103810.5</v>
      </c>
      <c r="B13005" s="6">
        <v>0.45354645354645301</v>
      </c>
      <c r="C13005" s="6">
        <v>0.61271979403509802</v>
      </c>
    </row>
    <row r="13006" spans="1:3" s="8" customFormat="1" x14ac:dyDescent="0.2">
      <c r="A13006" s="6" t="str">
        <f>"AC100793.2"</f>
        <v>AC100793.2</v>
      </c>
      <c r="B13006" s="6">
        <v>0.45354645354645301</v>
      </c>
      <c r="C13006" s="6">
        <v>0.61271979403509802</v>
      </c>
    </row>
    <row r="13007" spans="1:3" s="8" customFormat="1" x14ac:dyDescent="0.2">
      <c r="A13007" s="6" t="str">
        <f>"LINC02389"</f>
        <v>LINC02389</v>
      </c>
      <c r="B13007" s="6">
        <v>0.45354645354645301</v>
      </c>
      <c r="C13007" s="6">
        <v>0.61271979403509802</v>
      </c>
    </row>
    <row r="13008" spans="1:3" s="8" customFormat="1" x14ac:dyDescent="0.2">
      <c r="A13008" s="6" t="str">
        <f>"AC092933.2"</f>
        <v>AC092933.2</v>
      </c>
      <c r="B13008" s="6">
        <v>0.45317220543806602</v>
      </c>
      <c r="C13008" s="6">
        <v>0.61271979403509802</v>
      </c>
    </row>
    <row r="13009" spans="1:3" s="8" customFormat="1" x14ac:dyDescent="0.2">
      <c r="A13009" s="6" t="str">
        <f>"AC048382.2"</f>
        <v>AC048382.2</v>
      </c>
      <c r="B13009" s="6">
        <v>0.45354645354645301</v>
      </c>
      <c r="C13009" s="6">
        <v>0.61271979403509802</v>
      </c>
    </row>
    <row r="13010" spans="1:3" s="8" customFormat="1" x14ac:dyDescent="0.2">
      <c r="A13010" s="6" t="str">
        <f>"LINC02562"</f>
        <v>LINC02562</v>
      </c>
      <c r="B13010" s="6">
        <v>0.45354645354645301</v>
      </c>
      <c r="C13010" s="6">
        <v>0.61271979403509802</v>
      </c>
    </row>
    <row r="13011" spans="1:3" s="8" customFormat="1" x14ac:dyDescent="0.2">
      <c r="A13011" s="6" t="str">
        <f>"SLC5A5"</f>
        <v>SLC5A5</v>
      </c>
      <c r="B13011" s="6">
        <v>0.45354645354645301</v>
      </c>
      <c r="C13011" s="6">
        <v>0.61271979403509802</v>
      </c>
    </row>
    <row r="13012" spans="1:3" s="8" customFormat="1" x14ac:dyDescent="0.2">
      <c r="A13012" s="6" t="str">
        <f>"FAM241A"</f>
        <v>FAM241A</v>
      </c>
      <c r="B13012" s="6">
        <v>0.45354645354645301</v>
      </c>
      <c r="C13012" s="6">
        <v>0.61271979403509802</v>
      </c>
    </row>
    <row r="13013" spans="1:3" s="8" customFormat="1" x14ac:dyDescent="0.2">
      <c r="A13013" s="6" t="str">
        <f>"ZNF845"</f>
        <v>ZNF845</v>
      </c>
      <c r="B13013" s="6">
        <v>0.45354645354645301</v>
      </c>
      <c r="C13013" s="6">
        <v>0.61271979403509802</v>
      </c>
    </row>
    <row r="13014" spans="1:3" s="8" customFormat="1" x14ac:dyDescent="0.2">
      <c r="A13014" s="6" t="str">
        <f>"WDR5B"</f>
        <v>WDR5B</v>
      </c>
      <c r="B13014" s="6">
        <v>0.45354645354645301</v>
      </c>
      <c r="C13014" s="6">
        <v>0.61271979403509802</v>
      </c>
    </row>
    <row r="13015" spans="1:3" s="8" customFormat="1" x14ac:dyDescent="0.2">
      <c r="A13015" s="6" t="str">
        <f>"SNRPB2"</f>
        <v>SNRPB2</v>
      </c>
      <c r="B13015" s="6">
        <v>0.45354645354645301</v>
      </c>
      <c r="C13015" s="6">
        <v>0.61271979403509802</v>
      </c>
    </row>
    <row r="13016" spans="1:3" s="8" customFormat="1" x14ac:dyDescent="0.2">
      <c r="A13016" s="6" t="str">
        <f>"NIPA2"</f>
        <v>NIPA2</v>
      </c>
      <c r="B13016" s="6">
        <v>0.45354645354645301</v>
      </c>
      <c r="C13016" s="6">
        <v>0.61271979403509802</v>
      </c>
    </row>
    <row r="13017" spans="1:3" s="8" customFormat="1" x14ac:dyDescent="0.2">
      <c r="A13017" s="6" t="str">
        <f>"AREL1"</f>
        <v>AREL1</v>
      </c>
      <c r="B13017" s="6">
        <v>0.453453453453453</v>
      </c>
      <c r="C13017" s="6">
        <v>0.61271979403509802</v>
      </c>
    </row>
    <row r="13018" spans="1:3" s="8" customFormat="1" x14ac:dyDescent="0.2">
      <c r="A13018" s="6" t="str">
        <f>"LINC02558"</f>
        <v>LINC02558</v>
      </c>
      <c r="B13018" s="6">
        <v>0.45364238410595997</v>
      </c>
      <c r="C13018" s="6">
        <v>0.61280231098710902</v>
      </c>
    </row>
    <row r="13019" spans="1:3" s="8" customFormat="1" x14ac:dyDescent="0.2">
      <c r="A13019" s="6" t="str">
        <f>"FCRLB"</f>
        <v>FCRLB</v>
      </c>
      <c r="B13019" s="6">
        <v>0.45400000000000001</v>
      </c>
      <c r="C13019" s="6">
        <v>0.61319118211844204</v>
      </c>
    </row>
    <row r="13020" spans="1:3" s="8" customFormat="1" x14ac:dyDescent="0.2">
      <c r="A13020" s="6" t="str">
        <f>"AL121895.2"</f>
        <v>AL121895.2</v>
      </c>
      <c r="B13020" s="6">
        <v>0.45400000000000001</v>
      </c>
      <c r="C13020" s="6">
        <v>0.61319118211844204</v>
      </c>
    </row>
    <row r="13021" spans="1:3" s="8" customFormat="1" x14ac:dyDescent="0.2">
      <c r="A13021" s="6" t="str">
        <f>"FOXE3"</f>
        <v>FOXE3</v>
      </c>
      <c r="B13021" s="6">
        <v>0.45454545454545398</v>
      </c>
      <c r="C13021" s="6">
        <v>0.61336254107338395</v>
      </c>
    </row>
    <row r="13022" spans="1:3" s="8" customFormat="1" x14ac:dyDescent="0.2">
      <c r="A13022" s="6" t="str">
        <f>"RN7SL689P"</f>
        <v>RN7SL689P</v>
      </c>
      <c r="B13022" s="6">
        <v>0.45454545454545398</v>
      </c>
      <c r="C13022" s="6">
        <v>0.61336254107338395</v>
      </c>
    </row>
    <row r="13023" spans="1:3" s="8" customFormat="1" x14ac:dyDescent="0.2">
      <c r="A13023" s="6" t="str">
        <f>"LINC00355"</f>
        <v>LINC00355</v>
      </c>
      <c r="B13023" s="6">
        <v>0.454363089267803</v>
      </c>
      <c r="C13023" s="6">
        <v>0.61336254107338395</v>
      </c>
    </row>
    <row r="13024" spans="1:3" s="8" customFormat="1" x14ac:dyDescent="0.2">
      <c r="A13024" s="6" t="str">
        <f>"AC012313.9"</f>
        <v>AC012313.9</v>
      </c>
      <c r="B13024" s="6">
        <v>0.45454545454545398</v>
      </c>
      <c r="C13024" s="6">
        <v>0.61336254107338395</v>
      </c>
    </row>
    <row r="13025" spans="1:3" s="8" customFormat="1" x14ac:dyDescent="0.2">
      <c r="A13025" s="6" t="str">
        <f>"MROH7-TTC4"</f>
        <v>MROH7-TTC4</v>
      </c>
      <c r="B13025" s="6">
        <v>0.45445445445445398</v>
      </c>
      <c r="C13025" s="6">
        <v>0.61336254107338395</v>
      </c>
    </row>
    <row r="13026" spans="1:3" s="8" customFormat="1" x14ac:dyDescent="0.2">
      <c r="A13026" s="6" t="str">
        <f>"KIF3C"</f>
        <v>KIF3C</v>
      </c>
      <c r="B13026" s="6">
        <v>0.45454545454545398</v>
      </c>
      <c r="C13026" s="6">
        <v>0.61336254107338395</v>
      </c>
    </row>
    <row r="13027" spans="1:3" s="8" customFormat="1" x14ac:dyDescent="0.2">
      <c r="A13027" s="6" t="str">
        <f>"C9orf85"</f>
        <v>C9orf85</v>
      </c>
      <c r="B13027" s="6">
        <v>0.45454545454545398</v>
      </c>
      <c r="C13027" s="6">
        <v>0.61336254107338395</v>
      </c>
    </row>
    <row r="13028" spans="1:3" s="8" customFormat="1" x14ac:dyDescent="0.2">
      <c r="A13028" s="6" t="str">
        <f>"B3GLCT"</f>
        <v>B3GLCT</v>
      </c>
      <c r="B13028" s="6">
        <v>0.45454545454545398</v>
      </c>
      <c r="C13028" s="6">
        <v>0.61336254107338395</v>
      </c>
    </row>
    <row r="13029" spans="1:3" s="8" customFormat="1" x14ac:dyDescent="0.2">
      <c r="A13029" s="6" t="str">
        <f>"ACCS"</f>
        <v>ACCS</v>
      </c>
      <c r="B13029" s="6">
        <v>0.45454545454545398</v>
      </c>
      <c r="C13029" s="6">
        <v>0.61336254107338395</v>
      </c>
    </row>
    <row r="13030" spans="1:3" s="8" customFormat="1" x14ac:dyDescent="0.2">
      <c r="A13030" s="6" t="str">
        <f>"IL6ST"</f>
        <v>IL6ST</v>
      </c>
      <c r="B13030" s="6">
        <v>0.45454545454545398</v>
      </c>
      <c r="C13030" s="6">
        <v>0.61336254107338395</v>
      </c>
    </row>
    <row r="13031" spans="1:3" s="8" customFormat="1" x14ac:dyDescent="0.2">
      <c r="A13031" s="6" t="str">
        <f>"RBM8A"</f>
        <v>RBM8A</v>
      </c>
      <c r="B13031" s="6">
        <v>0.45454545454545398</v>
      </c>
      <c r="C13031" s="6">
        <v>0.61336254107338395</v>
      </c>
    </row>
    <row r="13032" spans="1:3" s="8" customFormat="1" x14ac:dyDescent="0.2">
      <c r="A13032" s="6" t="str">
        <f>"ZNF106"</f>
        <v>ZNF106</v>
      </c>
      <c r="B13032" s="6">
        <v>0.45454545454545398</v>
      </c>
      <c r="C13032" s="6">
        <v>0.61336254107338395</v>
      </c>
    </row>
    <row r="13033" spans="1:3" s="8" customFormat="1" x14ac:dyDescent="0.2">
      <c r="A13033" s="6" t="str">
        <f>"AL021920.3"</f>
        <v>AL021920.3</v>
      </c>
      <c r="B13033" s="6">
        <v>0.45500000000000002</v>
      </c>
      <c r="C13033" s="6">
        <v>0.61378749520521603</v>
      </c>
    </row>
    <row r="13034" spans="1:3" s="8" customFormat="1" x14ac:dyDescent="0.2">
      <c r="A13034" s="6" t="str">
        <f>"AC000403.1"</f>
        <v>AC000403.1</v>
      </c>
      <c r="B13034" s="6">
        <v>0.45500000000000002</v>
      </c>
      <c r="C13034" s="6">
        <v>0.61378749520521603</v>
      </c>
    </row>
    <row r="13035" spans="1:3" s="8" customFormat="1" x14ac:dyDescent="0.2">
      <c r="A13035" s="6" t="str">
        <f>"ZFP69B"</f>
        <v>ZFP69B</v>
      </c>
      <c r="B13035" s="6">
        <v>0.45500000000000002</v>
      </c>
      <c r="C13035" s="6">
        <v>0.61378749520521603</v>
      </c>
    </row>
    <row r="13036" spans="1:3" s="8" customFormat="1" x14ac:dyDescent="0.2">
      <c r="A13036" s="6" t="str">
        <f>"SEC13"</f>
        <v>SEC13</v>
      </c>
      <c r="B13036" s="6">
        <v>0.45500000000000002</v>
      </c>
      <c r="C13036" s="6">
        <v>0.61378749520521603</v>
      </c>
    </row>
    <row r="13037" spans="1:3" s="8" customFormat="1" x14ac:dyDescent="0.2">
      <c r="A13037" s="6" t="str">
        <f>"AL391987.2"</f>
        <v>AL391987.2</v>
      </c>
      <c r="B13037" s="6">
        <v>0.455544455544455</v>
      </c>
      <c r="C13037" s="6">
        <v>0.61395674916024401</v>
      </c>
    </row>
    <row r="13038" spans="1:3" s="8" customFormat="1" x14ac:dyDescent="0.2">
      <c r="A13038" s="6" t="str">
        <f>"ABHD17AP6"</f>
        <v>ABHD17AP6</v>
      </c>
      <c r="B13038" s="6">
        <v>0.455544455544455</v>
      </c>
      <c r="C13038" s="6">
        <v>0.61395674916024401</v>
      </c>
    </row>
    <row r="13039" spans="1:3" s="8" customFormat="1" x14ac:dyDescent="0.2">
      <c r="A13039" s="6" t="str">
        <f>"SLC22A15"</f>
        <v>SLC22A15</v>
      </c>
      <c r="B13039" s="6">
        <v>0.455544455544455</v>
      </c>
      <c r="C13039" s="6">
        <v>0.61395674916024401</v>
      </c>
    </row>
    <row r="13040" spans="1:3" s="8" customFormat="1" x14ac:dyDescent="0.2">
      <c r="A13040" s="6" t="str">
        <f>"KRBA1"</f>
        <v>KRBA1</v>
      </c>
      <c r="B13040" s="6">
        <v>0.455544455544455</v>
      </c>
      <c r="C13040" s="6">
        <v>0.61395674916024401</v>
      </c>
    </row>
    <row r="13041" spans="1:3" s="8" customFormat="1" x14ac:dyDescent="0.2">
      <c r="A13041" s="6" t="str">
        <f>"SLC18B1"</f>
        <v>SLC18B1</v>
      </c>
      <c r="B13041" s="6">
        <v>0.455544455544455</v>
      </c>
      <c r="C13041" s="6">
        <v>0.61395674916024401</v>
      </c>
    </row>
    <row r="13042" spans="1:3" s="8" customFormat="1" x14ac:dyDescent="0.2">
      <c r="A13042" s="6" t="str">
        <f>"FAM149A"</f>
        <v>FAM149A</v>
      </c>
      <c r="B13042" s="6">
        <v>0.455544455544455</v>
      </c>
      <c r="C13042" s="6">
        <v>0.61395674916024401</v>
      </c>
    </row>
    <row r="13043" spans="1:3" s="8" customFormat="1" x14ac:dyDescent="0.2">
      <c r="A13043" s="6" t="str">
        <f>"ARHGEF3"</f>
        <v>ARHGEF3</v>
      </c>
      <c r="B13043" s="6">
        <v>0.455544455544455</v>
      </c>
      <c r="C13043" s="6">
        <v>0.61395674916024401</v>
      </c>
    </row>
    <row r="13044" spans="1:3" s="8" customFormat="1" x14ac:dyDescent="0.2">
      <c r="A13044" s="6" t="str">
        <f>"SPIRE2"</f>
        <v>SPIRE2</v>
      </c>
      <c r="B13044" s="6">
        <v>0.455544455544455</v>
      </c>
      <c r="C13044" s="6">
        <v>0.61395674916024401</v>
      </c>
    </row>
    <row r="13045" spans="1:3" s="8" customFormat="1" x14ac:dyDescent="0.2">
      <c r="A13045" s="6" t="str">
        <f>"RBBP8"</f>
        <v>RBBP8</v>
      </c>
      <c r="B13045" s="6">
        <v>0.455544455544455</v>
      </c>
      <c r="C13045" s="6">
        <v>0.61395674916024401</v>
      </c>
    </row>
    <row r="13046" spans="1:3" s="8" customFormat="1" x14ac:dyDescent="0.2">
      <c r="A13046" s="6" t="str">
        <f>"ANKLE2"</f>
        <v>ANKLE2</v>
      </c>
      <c r="B13046" s="6">
        <v>0.455544455544455</v>
      </c>
      <c r="C13046" s="6">
        <v>0.61395674916024401</v>
      </c>
    </row>
    <row r="13047" spans="1:3" s="8" customFormat="1" x14ac:dyDescent="0.2">
      <c r="A13047" s="6" t="str">
        <f>"LRWD1"</f>
        <v>LRWD1</v>
      </c>
      <c r="B13047" s="6">
        <v>0.455544455544455</v>
      </c>
      <c r="C13047" s="6">
        <v>0.61395674916024401</v>
      </c>
    </row>
    <row r="13048" spans="1:3" s="8" customFormat="1" x14ac:dyDescent="0.2">
      <c r="A13048" s="6" t="str">
        <f>"ANXA3"</f>
        <v>ANXA3</v>
      </c>
      <c r="B13048" s="6">
        <v>0.455544455544455</v>
      </c>
      <c r="C13048" s="6">
        <v>0.61395674916024401</v>
      </c>
    </row>
    <row r="13049" spans="1:3" s="8" customFormat="1" x14ac:dyDescent="0.2">
      <c r="A13049" s="6" t="str">
        <f>"AL596202.1"</f>
        <v>AL596202.1</v>
      </c>
      <c r="B13049" s="6">
        <v>0.45591182364729399</v>
      </c>
      <c r="C13049" s="6">
        <v>0.61440477521566705</v>
      </c>
    </row>
    <row r="13050" spans="1:3" s="8" customFormat="1" x14ac:dyDescent="0.2">
      <c r="A13050" s="6" t="str">
        <f>"AC108941.3"</f>
        <v>AC108941.3</v>
      </c>
      <c r="B13050" s="6">
        <v>0.45654345654345602</v>
      </c>
      <c r="C13050" s="6">
        <v>0.61502031256110701</v>
      </c>
    </row>
    <row r="13051" spans="1:3" s="8" customFormat="1" x14ac:dyDescent="0.2">
      <c r="A13051" s="6" t="str">
        <f>"ORAI3"</f>
        <v>ORAI3</v>
      </c>
      <c r="B13051" s="6">
        <v>0.45654345654345602</v>
      </c>
      <c r="C13051" s="6">
        <v>0.61502031256110701</v>
      </c>
    </row>
    <row r="13052" spans="1:3" s="8" customFormat="1" x14ac:dyDescent="0.2">
      <c r="A13052" s="6" t="str">
        <f>"VCAN"</f>
        <v>VCAN</v>
      </c>
      <c r="B13052" s="6">
        <v>0.45654345654345602</v>
      </c>
      <c r="C13052" s="6">
        <v>0.61502031256110701</v>
      </c>
    </row>
    <row r="13053" spans="1:3" s="8" customFormat="1" x14ac:dyDescent="0.2">
      <c r="A13053" s="6" t="str">
        <f>"SCYL2"</f>
        <v>SCYL2</v>
      </c>
      <c r="B13053" s="6">
        <v>0.45654345654345602</v>
      </c>
      <c r="C13053" s="6">
        <v>0.61502031256110701</v>
      </c>
    </row>
    <row r="13054" spans="1:3" s="8" customFormat="1" x14ac:dyDescent="0.2">
      <c r="A13054" s="6" t="str">
        <f>"COX7C"</f>
        <v>COX7C</v>
      </c>
      <c r="B13054" s="6">
        <v>0.45654345654345602</v>
      </c>
      <c r="C13054" s="6">
        <v>0.61502031256110701</v>
      </c>
    </row>
    <row r="13055" spans="1:3" s="8" customFormat="1" x14ac:dyDescent="0.2">
      <c r="A13055" s="6" t="str">
        <f>"AL136418.1"</f>
        <v>AL136418.1</v>
      </c>
      <c r="B13055" s="6">
        <v>0.45685840707964598</v>
      </c>
      <c r="C13055" s="6">
        <v>0.61539744370219795</v>
      </c>
    </row>
    <row r="13056" spans="1:3" s="8" customFormat="1" x14ac:dyDescent="0.2">
      <c r="A13056" s="6" t="str">
        <f>"BEND3P1"</f>
        <v>BEND3P1</v>
      </c>
      <c r="B13056" s="6">
        <v>0.45691382765531002</v>
      </c>
      <c r="C13056" s="6">
        <v>0.61542495178023604</v>
      </c>
    </row>
    <row r="13057" spans="1:3" s="8" customFormat="1" x14ac:dyDescent="0.2">
      <c r="A13057" s="6" t="str">
        <f>"RTEL1P1"</f>
        <v>RTEL1P1</v>
      </c>
      <c r="B13057" s="6">
        <v>0.45754245754245698</v>
      </c>
      <c r="C13057" s="6">
        <v>0.61575283739679798</v>
      </c>
    </row>
    <row r="13058" spans="1:3" s="8" customFormat="1" x14ac:dyDescent="0.2">
      <c r="A13058" s="6" t="str">
        <f>"AC010336.2"</f>
        <v>AC010336.2</v>
      </c>
      <c r="B13058" s="6">
        <v>0.45754245754245698</v>
      </c>
      <c r="C13058" s="6">
        <v>0.61575283739679798</v>
      </c>
    </row>
    <row r="13059" spans="1:3" s="8" customFormat="1" x14ac:dyDescent="0.2">
      <c r="A13059" s="6" t="str">
        <f>"PLP1"</f>
        <v>PLP1</v>
      </c>
      <c r="B13059" s="6">
        <v>0.45754245754245698</v>
      </c>
      <c r="C13059" s="6">
        <v>0.61575283739679798</v>
      </c>
    </row>
    <row r="13060" spans="1:3" s="8" customFormat="1" x14ac:dyDescent="0.2">
      <c r="A13060" s="6" t="str">
        <f>"LINC02795"</f>
        <v>LINC02795</v>
      </c>
      <c r="B13060" s="6">
        <v>0.45754245754245698</v>
      </c>
      <c r="C13060" s="6">
        <v>0.61575283739679798</v>
      </c>
    </row>
    <row r="13061" spans="1:3" s="8" customFormat="1" x14ac:dyDescent="0.2">
      <c r="A13061" s="6" t="str">
        <f>"LIX1L-AS1"</f>
        <v>LIX1L-AS1</v>
      </c>
      <c r="B13061" s="6">
        <v>0.45754245754245698</v>
      </c>
      <c r="C13061" s="6">
        <v>0.61575283739679798</v>
      </c>
    </row>
    <row r="13062" spans="1:3" s="8" customFormat="1" x14ac:dyDescent="0.2">
      <c r="A13062" s="6" t="str">
        <f>"HEPH"</f>
        <v>HEPH</v>
      </c>
      <c r="B13062" s="6">
        <v>0.45754245754245698</v>
      </c>
      <c r="C13062" s="6">
        <v>0.61575283739679798</v>
      </c>
    </row>
    <row r="13063" spans="1:3" s="8" customFormat="1" x14ac:dyDescent="0.2">
      <c r="A13063" s="6" t="str">
        <f>"WDR72"</f>
        <v>WDR72</v>
      </c>
      <c r="B13063" s="6">
        <v>0.45754245754245698</v>
      </c>
      <c r="C13063" s="6">
        <v>0.61575283739679798</v>
      </c>
    </row>
    <row r="13064" spans="1:3" s="8" customFormat="1" x14ac:dyDescent="0.2">
      <c r="A13064" s="6" t="str">
        <f>"MTRF1"</f>
        <v>MTRF1</v>
      </c>
      <c r="B13064" s="6">
        <v>0.45754245754245698</v>
      </c>
      <c r="C13064" s="6">
        <v>0.61575283739679798</v>
      </c>
    </row>
    <row r="13065" spans="1:3" s="8" customFormat="1" x14ac:dyDescent="0.2">
      <c r="A13065" s="6" t="str">
        <f>"PLCL2"</f>
        <v>PLCL2</v>
      </c>
      <c r="B13065" s="6">
        <v>0.45754245754245698</v>
      </c>
      <c r="C13065" s="6">
        <v>0.61575283739679798</v>
      </c>
    </row>
    <row r="13066" spans="1:3" s="8" customFormat="1" x14ac:dyDescent="0.2">
      <c r="A13066" s="6" t="str">
        <f>"ETFDH"</f>
        <v>ETFDH</v>
      </c>
      <c r="B13066" s="6">
        <v>0.45754245754245698</v>
      </c>
      <c r="C13066" s="6">
        <v>0.61575283739679798</v>
      </c>
    </row>
    <row r="13067" spans="1:3" s="8" customFormat="1" x14ac:dyDescent="0.2">
      <c r="A13067" s="6" t="str">
        <f>"RPS2P5"</f>
        <v>RPS2P5</v>
      </c>
      <c r="B13067" s="6">
        <v>0.45754245754245698</v>
      </c>
      <c r="C13067" s="6">
        <v>0.61575283739679798</v>
      </c>
    </row>
    <row r="13068" spans="1:3" s="8" customFormat="1" x14ac:dyDescent="0.2">
      <c r="A13068" s="6" t="str">
        <f>"AC005280.1"</f>
        <v>AC005280.1</v>
      </c>
      <c r="B13068" s="6">
        <v>0.45800000000000002</v>
      </c>
      <c r="C13068" s="6">
        <v>0.61627425772880295</v>
      </c>
    </row>
    <row r="13069" spans="1:3" s="8" customFormat="1" x14ac:dyDescent="0.2">
      <c r="A13069" s="6" t="str">
        <f>"MTERF2"</f>
        <v>MTERF2</v>
      </c>
      <c r="B13069" s="6">
        <v>0.45800000000000002</v>
      </c>
      <c r="C13069" s="6">
        <v>0.61627425772880295</v>
      </c>
    </row>
    <row r="13070" spans="1:3" s="8" customFormat="1" x14ac:dyDescent="0.2">
      <c r="A13070" s="6" t="str">
        <f>"IZUMO2"</f>
        <v>IZUMO2</v>
      </c>
      <c r="B13070" s="6">
        <v>0.458541458541458</v>
      </c>
      <c r="C13070" s="6">
        <v>0.61657819125128099</v>
      </c>
    </row>
    <row r="13071" spans="1:3" s="8" customFormat="1" x14ac:dyDescent="0.2">
      <c r="A13071" s="6" t="str">
        <f>"RPL12P27"</f>
        <v>RPL12P27</v>
      </c>
      <c r="B13071" s="6">
        <v>0.458541458541458</v>
      </c>
      <c r="C13071" s="6">
        <v>0.61657819125128099</v>
      </c>
    </row>
    <row r="13072" spans="1:3" s="8" customFormat="1" x14ac:dyDescent="0.2">
      <c r="A13072" s="6" t="str">
        <f>"STPG3-AS1"</f>
        <v>STPG3-AS1</v>
      </c>
      <c r="B13072" s="6">
        <v>0.458541458541458</v>
      </c>
      <c r="C13072" s="6">
        <v>0.61657819125128099</v>
      </c>
    </row>
    <row r="13073" spans="1:3" s="8" customFormat="1" x14ac:dyDescent="0.2">
      <c r="A13073" s="6" t="str">
        <f>"SLC25A34"</f>
        <v>SLC25A34</v>
      </c>
      <c r="B13073" s="6">
        <v>0.458541458541458</v>
      </c>
      <c r="C13073" s="6">
        <v>0.61657819125128099</v>
      </c>
    </row>
    <row r="13074" spans="1:3" s="8" customFormat="1" x14ac:dyDescent="0.2">
      <c r="A13074" s="6" t="str">
        <f>"ARHGEF6"</f>
        <v>ARHGEF6</v>
      </c>
      <c r="B13074" s="6">
        <v>0.458541458541458</v>
      </c>
      <c r="C13074" s="6">
        <v>0.61657819125128099</v>
      </c>
    </row>
    <row r="13075" spans="1:3" s="8" customFormat="1" x14ac:dyDescent="0.2">
      <c r="A13075" s="6" t="str">
        <f>"CCDC13"</f>
        <v>CCDC13</v>
      </c>
      <c r="B13075" s="6">
        <v>0.458541458541458</v>
      </c>
      <c r="C13075" s="6">
        <v>0.61657819125128099</v>
      </c>
    </row>
    <row r="13076" spans="1:3" s="8" customFormat="1" x14ac:dyDescent="0.2">
      <c r="A13076" s="6" t="str">
        <f>"DHX36"</f>
        <v>DHX36</v>
      </c>
      <c r="B13076" s="6">
        <v>0.458541458541458</v>
      </c>
      <c r="C13076" s="6">
        <v>0.61657819125128099</v>
      </c>
    </row>
    <row r="13077" spans="1:3" s="8" customFormat="1" x14ac:dyDescent="0.2">
      <c r="A13077" s="6" t="str">
        <f>"TSNAXIP1"</f>
        <v>TSNAXIP1</v>
      </c>
      <c r="B13077" s="6">
        <v>0.458541458541458</v>
      </c>
      <c r="C13077" s="6">
        <v>0.61657819125128099</v>
      </c>
    </row>
    <row r="13078" spans="1:3" s="8" customFormat="1" x14ac:dyDescent="0.2">
      <c r="A13078" s="6" t="str">
        <f>"RPS24"</f>
        <v>RPS24</v>
      </c>
      <c r="B13078" s="6">
        <v>0.458541458541458</v>
      </c>
      <c r="C13078" s="6">
        <v>0.61657819125128099</v>
      </c>
    </row>
    <row r="13079" spans="1:3" s="8" customFormat="1" x14ac:dyDescent="0.2">
      <c r="A13079" s="6" t="str">
        <f>"LINC00892"</f>
        <v>LINC00892</v>
      </c>
      <c r="B13079" s="6">
        <v>0.45900000000000002</v>
      </c>
      <c r="C13079" s="6">
        <v>0.61710038993806804</v>
      </c>
    </row>
    <row r="13080" spans="1:3" s="8" customFormat="1" x14ac:dyDescent="0.2">
      <c r="A13080" s="6" t="str">
        <f>"AC023510.1"</f>
        <v>AC023510.1</v>
      </c>
      <c r="B13080" s="6">
        <v>0.45900000000000002</v>
      </c>
      <c r="C13080" s="6">
        <v>0.61710038993806804</v>
      </c>
    </row>
    <row r="13081" spans="1:3" s="8" customFormat="1" x14ac:dyDescent="0.2">
      <c r="A13081" s="6" t="str">
        <f>"AC021242.3"</f>
        <v>AC021242.3</v>
      </c>
      <c r="B13081" s="6">
        <v>0.45929648241206</v>
      </c>
      <c r="C13081" s="6">
        <v>0.61745178491847597</v>
      </c>
    </row>
    <row r="13082" spans="1:3" s="8" customFormat="1" x14ac:dyDescent="0.2">
      <c r="A13082" s="6" t="str">
        <f>"AC125437.1"</f>
        <v>AC125437.1</v>
      </c>
      <c r="B13082" s="6">
        <v>0.45954045954045902</v>
      </c>
      <c r="C13082" s="6">
        <v>0.61759090802196803</v>
      </c>
    </row>
    <row r="13083" spans="1:3" s="8" customFormat="1" x14ac:dyDescent="0.2">
      <c r="A13083" s="6" t="str">
        <f>"AL049795.2"</f>
        <v>AL049795.2</v>
      </c>
      <c r="B13083" s="6">
        <v>0.45954045954045902</v>
      </c>
      <c r="C13083" s="6">
        <v>0.61759090802196803</v>
      </c>
    </row>
    <row r="13084" spans="1:3" s="8" customFormat="1" x14ac:dyDescent="0.2">
      <c r="A13084" s="6" t="str">
        <f>"PPP1R1B"</f>
        <v>PPP1R1B</v>
      </c>
      <c r="B13084" s="6">
        <v>0.45954045954045902</v>
      </c>
      <c r="C13084" s="6">
        <v>0.61759090802196803</v>
      </c>
    </row>
    <row r="13085" spans="1:3" s="8" customFormat="1" x14ac:dyDescent="0.2">
      <c r="A13085" s="6" t="str">
        <f>"PMS2CL"</f>
        <v>PMS2CL</v>
      </c>
      <c r="B13085" s="6">
        <v>0.45954045954045902</v>
      </c>
      <c r="C13085" s="6">
        <v>0.61759090802196803</v>
      </c>
    </row>
    <row r="13086" spans="1:3" s="8" customFormat="1" x14ac:dyDescent="0.2">
      <c r="A13086" s="6" t="str">
        <f>"LINC02861"</f>
        <v>LINC02861</v>
      </c>
      <c r="B13086" s="6">
        <v>0.45967741935483802</v>
      </c>
      <c r="C13086" s="6">
        <v>0.61772776017848496</v>
      </c>
    </row>
    <row r="13087" spans="1:3" s="8" customFormat="1" x14ac:dyDescent="0.2">
      <c r="A13087" s="6" t="str">
        <f>"AL355353.1"</f>
        <v>AL355353.1</v>
      </c>
      <c r="B13087" s="6">
        <v>0.46</v>
      </c>
      <c r="C13087" s="6">
        <v>0.61811401497783802</v>
      </c>
    </row>
    <row r="13088" spans="1:3" s="8" customFormat="1" x14ac:dyDescent="0.2">
      <c r="A13088" s="6" t="str">
        <f>"COL6A4P2"</f>
        <v>COL6A4P2</v>
      </c>
      <c r="B13088" s="6">
        <v>0.46053946053945999</v>
      </c>
      <c r="C13088" s="6">
        <v>0.61836636179947102</v>
      </c>
    </row>
    <row r="13089" spans="1:3" s="8" customFormat="1" x14ac:dyDescent="0.2">
      <c r="A13089" s="6" t="str">
        <f>"LINC02340"</f>
        <v>LINC02340</v>
      </c>
      <c r="B13089" s="6">
        <v>0.46053946053945999</v>
      </c>
      <c r="C13089" s="6">
        <v>0.61836636179947102</v>
      </c>
    </row>
    <row r="13090" spans="1:3" s="8" customFormat="1" x14ac:dyDescent="0.2">
      <c r="A13090" s="6" t="str">
        <f>"OTOA"</f>
        <v>OTOA</v>
      </c>
      <c r="B13090" s="6">
        <v>0.46053946053945999</v>
      </c>
      <c r="C13090" s="6">
        <v>0.61836636179947102</v>
      </c>
    </row>
    <row r="13091" spans="1:3" s="8" customFormat="1" x14ac:dyDescent="0.2">
      <c r="A13091" s="6" t="str">
        <f>"CD81-AS1"</f>
        <v>CD81-AS1</v>
      </c>
      <c r="B13091" s="6">
        <v>0.46053946053945999</v>
      </c>
      <c r="C13091" s="6">
        <v>0.61836636179947102</v>
      </c>
    </row>
    <row r="13092" spans="1:3" s="8" customFormat="1" x14ac:dyDescent="0.2">
      <c r="A13092" s="6" t="str">
        <f>"RIPOR3-AS1"</f>
        <v>RIPOR3-AS1</v>
      </c>
      <c r="B13092" s="6">
        <v>0.46053946053945999</v>
      </c>
      <c r="C13092" s="6">
        <v>0.61836636179947102</v>
      </c>
    </row>
    <row r="13093" spans="1:3" s="8" customFormat="1" x14ac:dyDescent="0.2">
      <c r="A13093" s="6" t="str">
        <f>"OR1D2"</f>
        <v>OR1D2</v>
      </c>
      <c r="B13093" s="6">
        <v>0.460407239819004</v>
      </c>
      <c r="C13093" s="6">
        <v>0.61836636179947102</v>
      </c>
    </row>
    <row r="13094" spans="1:3" s="8" customFormat="1" x14ac:dyDescent="0.2">
      <c r="A13094" s="6" t="str">
        <f>"ZNF474"</f>
        <v>ZNF474</v>
      </c>
      <c r="B13094" s="6">
        <v>0.46053946053945999</v>
      </c>
      <c r="C13094" s="6">
        <v>0.61836636179947102</v>
      </c>
    </row>
    <row r="13095" spans="1:3" s="8" customFormat="1" x14ac:dyDescent="0.2">
      <c r="A13095" s="6" t="str">
        <f>"DUSP3"</f>
        <v>DUSP3</v>
      </c>
      <c r="B13095" s="6">
        <v>0.46053946053945999</v>
      </c>
      <c r="C13095" s="6">
        <v>0.61836636179947102</v>
      </c>
    </row>
    <row r="13096" spans="1:3" s="8" customFormat="1" x14ac:dyDescent="0.2">
      <c r="A13096" s="6" t="str">
        <f>"SIPA1L3"</f>
        <v>SIPA1L3</v>
      </c>
      <c r="B13096" s="6">
        <v>0.46053946053945999</v>
      </c>
      <c r="C13096" s="6">
        <v>0.61836636179947102</v>
      </c>
    </row>
    <row r="13097" spans="1:3" s="8" customFormat="1" x14ac:dyDescent="0.2">
      <c r="A13097" s="6" t="str">
        <f>"GOLGA4"</f>
        <v>GOLGA4</v>
      </c>
      <c r="B13097" s="6">
        <v>0.46053946053945999</v>
      </c>
      <c r="C13097" s="6">
        <v>0.61836636179947102</v>
      </c>
    </row>
    <row r="13098" spans="1:3" s="8" customFormat="1" x14ac:dyDescent="0.2">
      <c r="A13098" s="6" t="str">
        <f>"AL096870.2"</f>
        <v>AL096870.2</v>
      </c>
      <c r="B13098" s="6">
        <v>0.46100000000000002</v>
      </c>
      <c r="C13098" s="6">
        <v>0.61889021224614404</v>
      </c>
    </row>
    <row r="13099" spans="1:3" s="8" customFormat="1" x14ac:dyDescent="0.2">
      <c r="A13099" s="6" t="str">
        <f>"CDC42SE2"</f>
        <v>CDC42SE2</v>
      </c>
      <c r="B13099" s="6">
        <v>0.46100000000000002</v>
      </c>
      <c r="C13099" s="6">
        <v>0.61889021224614404</v>
      </c>
    </row>
    <row r="13100" spans="1:3" s="8" customFormat="1" x14ac:dyDescent="0.2">
      <c r="A13100" s="6" t="str">
        <f>"AC012181.2"</f>
        <v>AC012181.2</v>
      </c>
      <c r="B13100" s="6">
        <v>0.46153846153846101</v>
      </c>
      <c r="C13100" s="6">
        <v>0.618998726847098</v>
      </c>
    </row>
    <row r="13101" spans="1:3" s="8" customFormat="1" x14ac:dyDescent="0.2">
      <c r="A13101" s="6" t="str">
        <f>"AC068631.1"</f>
        <v>AC068631.1</v>
      </c>
      <c r="B13101" s="6">
        <v>0.46153846153846101</v>
      </c>
      <c r="C13101" s="6">
        <v>0.618998726847098</v>
      </c>
    </row>
    <row r="13102" spans="1:3" s="8" customFormat="1" x14ac:dyDescent="0.2">
      <c r="A13102" s="6" t="str">
        <f>"AL355297.3"</f>
        <v>AL355297.3</v>
      </c>
      <c r="B13102" s="6">
        <v>0.46153846153846101</v>
      </c>
      <c r="C13102" s="6">
        <v>0.618998726847098</v>
      </c>
    </row>
    <row r="13103" spans="1:3" s="8" customFormat="1" x14ac:dyDescent="0.2">
      <c r="A13103" s="6" t="str">
        <f>"CD248"</f>
        <v>CD248</v>
      </c>
      <c r="B13103" s="6">
        <v>0.46153846153846101</v>
      </c>
      <c r="C13103" s="6">
        <v>0.618998726847098</v>
      </c>
    </row>
    <row r="13104" spans="1:3" s="8" customFormat="1" x14ac:dyDescent="0.2">
      <c r="A13104" s="6" t="str">
        <f>"SLC2A6"</f>
        <v>SLC2A6</v>
      </c>
      <c r="B13104" s="6">
        <v>0.46153846153846101</v>
      </c>
      <c r="C13104" s="6">
        <v>0.618998726847098</v>
      </c>
    </row>
    <row r="13105" spans="1:3" s="8" customFormat="1" x14ac:dyDescent="0.2">
      <c r="A13105" s="6" t="str">
        <f>"AC092902.4"</f>
        <v>AC092902.4</v>
      </c>
      <c r="B13105" s="6">
        <v>0.46153846153846101</v>
      </c>
      <c r="C13105" s="6">
        <v>0.618998726847098</v>
      </c>
    </row>
    <row r="13106" spans="1:3" s="8" customFormat="1" x14ac:dyDescent="0.2">
      <c r="A13106" s="6" t="str">
        <f>"AC114271.1"</f>
        <v>AC114271.1</v>
      </c>
      <c r="B13106" s="6">
        <v>0.46153846153846101</v>
      </c>
      <c r="C13106" s="6">
        <v>0.618998726847098</v>
      </c>
    </row>
    <row r="13107" spans="1:3" s="8" customFormat="1" x14ac:dyDescent="0.2">
      <c r="A13107" s="6" t="str">
        <f>"CAPN3"</f>
        <v>CAPN3</v>
      </c>
      <c r="B13107" s="6">
        <v>0.46153846153846101</v>
      </c>
      <c r="C13107" s="6">
        <v>0.618998726847098</v>
      </c>
    </row>
    <row r="13108" spans="1:3" s="8" customFormat="1" x14ac:dyDescent="0.2">
      <c r="A13108" s="6" t="str">
        <f>"CENPX"</f>
        <v>CENPX</v>
      </c>
      <c r="B13108" s="6">
        <v>0.46153846153846101</v>
      </c>
      <c r="C13108" s="6">
        <v>0.618998726847098</v>
      </c>
    </row>
    <row r="13109" spans="1:3" s="8" customFormat="1" x14ac:dyDescent="0.2">
      <c r="A13109" s="6" t="str">
        <f>"UQCRH"</f>
        <v>UQCRH</v>
      </c>
      <c r="B13109" s="6">
        <v>0.46153846153846101</v>
      </c>
      <c r="C13109" s="6">
        <v>0.618998726847098</v>
      </c>
    </row>
    <row r="13110" spans="1:3" s="8" customFormat="1" x14ac:dyDescent="0.2">
      <c r="A13110" s="6" t="str">
        <f>"SYNJ2BP"</f>
        <v>SYNJ2BP</v>
      </c>
      <c r="B13110" s="6">
        <v>0.46153846153846101</v>
      </c>
      <c r="C13110" s="6">
        <v>0.618998726847098</v>
      </c>
    </row>
    <row r="13111" spans="1:3" s="8" customFormat="1" x14ac:dyDescent="0.2">
      <c r="A13111" s="6" t="str">
        <f>"MRPL23"</f>
        <v>MRPL23</v>
      </c>
      <c r="B13111" s="6">
        <v>0.46153846153846101</v>
      </c>
      <c r="C13111" s="6">
        <v>0.618998726847098</v>
      </c>
    </row>
    <row r="13112" spans="1:3" s="8" customFormat="1" x14ac:dyDescent="0.2">
      <c r="A13112" s="6" t="str">
        <f>"C9orf78"</f>
        <v>C9orf78</v>
      </c>
      <c r="B13112" s="6">
        <v>0.46153846153846101</v>
      </c>
      <c r="C13112" s="6">
        <v>0.618998726847098</v>
      </c>
    </row>
    <row r="13113" spans="1:3" s="8" customFormat="1" x14ac:dyDescent="0.2">
      <c r="A13113" s="6" t="str">
        <f>"CCDC28B"</f>
        <v>CCDC28B</v>
      </c>
      <c r="B13113" s="6">
        <v>0.46177062374245398</v>
      </c>
      <c r="C13113" s="6">
        <v>0.61926286210244996</v>
      </c>
    </row>
    <row r="13114" spans="1:3" s="8" customFormat="1" x14ac:dyDescent="0.2">
      <c r="A13114" s="6" t="str">
        <f>"RLN1"</f>
        <v>RLN1</v>
      </c>
      <c r="B13114" s="6">
        <v>0.46200000000000002</v>
      </c>
      <c r="C13114" s="6">
        <v>0.61947597986884195</v>
      </c>
    </row>
    <row r="13115" spans="1:3" s="8" customFormat="1" x14ac:dyDescent="0.2">
      <c r="A13115" s="6" t="str">
        <f>"LINC00683"</f>
        <v>LINC00683</v>
      </c>
      <c r="B13115" s="6">
        <v>0.46200000000000002</v>
      </c>
      <c r="C13115" s="6">
        <v>0.61947597986884195</v>
      </c>
    </row>
    <row r="13116" spans="1:3" s="8" customFormat="1" x14ac:dyDescent="0.2">
      <c r="A13116" s="6" t="str">
        <f>"WBP1LP2"</f>
        <v>WBP1LP2</v>
      </c>
      <c r="B13116" s="6">
        <v>0.46253746253746197</v>
      </c>
      <c r="C13116" s="6">
        <v>0.619676856476856</v>
      </c>
    </row>
    <row r="13117" spans="1:3" s="8" customFormat="1" x14ac:dyDescent="0.2">
      <c r="A13117" s="6" t="str">
        <f>"FOXD4"</f>
        <v>FOXD4</v>
      </c>
      <c r="B13117" s="6">
        <v>0.46253746253746197</v>
      </c>
      <c r="C13117" s="6">
        <v>0.619676856476856</v>
      </c>
    </row>
    <row r="13118" spans="1:3" s="8" customFormat="1" x14ac:dyDescent="0.2">
      <c r="A13118" s="6" t="str">
        <f>"AC008395.1"</f>
        <v>AC008395.1</v>
      </c>
      <c r="B13118" s="6">
        <v>0.46253746253746197</v>
      </c>
      <c r="C13118" s="6">
        <v>0.619676856476856</v>
      </c>
    </row>
    <row r="13119" spans="1:3" s="8" customFormat="1" x14ac:dyDescent="0.2">
      <c r="A13119" s="6" t="str">
        <f>"C5orf34-AS1"</f>
        <v>C5orf34-AS1</v>
      </c>
      <c r="B13119" s="6">
        <v>0.46253746253746197</v>
      </c>
      <c r="C13119" s="6">
        <v>0.619676856476856</v>
      </c>
    </row>
    <row r="13120" spans="1:3" s="8" customFormat="1" x14ac:dyDescent="0.2">
      <c r="A13120" s="6" t="str">
        <f>"AC090517.5"</f>
        <v>AC090517.5</v>
      </c>
      <c r="B13120" s="6">
        <v>0.46253746253746197</v>
      </c>
      <c r="C13120" s="6">
        <v>0.619676856476856</v>
      </c>
    </row>
    <row r="13121" spans="1:3" s="8" customFormat="1" x14ac:dyDescent="0.2">
      <c r="A13121" s="6" t="str">
        <f>"QTRT1"</f>
        <v>QTRT1</v>
      </c>
      <c r="B13121" s="6">
        <v>0.46253746253746197</v>
      </c>
      <c r="C13121" s="6">
        <v>0.619676856476856</v>
      </c>
    </row>
    <row r="13122" spans="1:3" s="8" customFormat="1" x14ac:dyDescent="0.2">
      <c r="A13122" s="6" t="str">
        <f>"TMEM203"</f>
        <v>TMEM203</v>
      </c>
      <c r="B13122" s="6">
        <v>0.46253746253746197</v>
      </c>
      <c r="C13122" s="6">
        <v>0.619676856476856</v>
      </c>
    </row>
    <row r="13123" spans="1:3" s="8" customFormat="1" x14ac:dyDescent="0.2">
      <c r="A13123" s="6" t="str">
        <f>"RFX1"</f>
        <v>RFX1</v>
      </c>
      <c r="B13123" s="6">
        <v>0.46253746253746197</v>
      </c>
      <c r="C13123" s="6">
        <v>0.619676856476856</v>
      </c>
    </row>
    <row r="13124" spans="1:3" s="8" customFormat="1" x14ac:dyDescent="0.2">
      <c r="A13124" s="6" t="str">
        <f>"HSD17B11"</f>
        <v>HSD17B11</v>
      </c>
      <c r="B13124" s="6">
        <v>0.46253746253746197</v>
      </c>
      <c r="C13124" s="6">
        <v>0.619676856476856</v>
      </c>
    </row>
    <row r="13125" spans="1:3" s="8" customFormat="1" x14ac:dyDescent="0.2">
      <c r="A13125" s="6" t="str">
        <f>"MAPK14"</f>
        <v>MAPK14</v>
      </c>
      <c r="B13125" s="6">
        <v>0.46253746253746197</v>
      </c>
      <c r="C13125" s="6">
        <v>0.619676856476856</v>
      </c>
    </row>
    <row r="13126" spans="1:3" s="8" customFormat="1" x14ac:dyDescent="0.2">
      <c r="A13126" s="6" t="str">
        <f>"MAU2"</f>
        <v>MAU2</v>
      </c>
      <c r="B13126" s="6">
        <v>0.46253746253746197</v>
      </c>
      <c r="C13126" s="6">
        <v>0.619676856476856</v>
      </c>
    </row>
    <row r="13127" spans="1:3" s="8" customFormat="1" x14ac:dyDescent="0.2">
      <c r="A13127" s="6" t="str">
        <f>"AC004148.1"</f>
        <v>AC004148.1</v>
      </c>
      <c r="B13127" s="6">
        <v>0.46353646353646299</v>
      </c>
      <c r="C13127" s="6">
        <v>0.62044798468639495</v>
      </c>
    </row>
    <row r="13128" spans="1:3" s="8" customFormat="1" x14ac:dyDescent="0.2">
      <c r="A13128" s="6" t="str">
        <f>"SP2-AS1"</f>
        <v>SP2-AS1</v>
      </c>
      <c r="B13128" s="6">
        <v>0.46353646353646299</v>
      </c>
      <c r="C13128" s="6">
        <v>0.62044798468639495</v>
      </c>
    </row>
    <row r="13129" spans="1:3" s="8" customFormat="1" x14ac:dyDescent="0.2">
      <c r="A13129" s="6" t="str">
        <f>"SAMD3"</f>
        <v>SAMD3</v>
      </c>
      <c r="B13129" s="6">
        <v>0.46353646353646299</v>
      </c>
      <c r="C13129" s="6">
        <v>0.62044798468639495</v>
      </c>
    </row>
    <row r="13130" spans="1:3" s="8" customFormat="1" x14ac:dyDescent="0.2">
      <c r="A13130" s="6" t="str">
        <f>"PMF1-BGLAP"</f>
        <v>PMF1-BGLAP</v>
      </c>
      <c r="B13130" s="6">
        <v>0.46353646353646299</v>
      </c>
      <c r="C13130" s="6">
        <v>0.62044798468639495</v>
      </c>
    </row>
    <row r="13131" spans="1:3" s="8" customFormat="1" x14ac:dyDescent="0.2">
      <c r="A13131" s="6" t="str">
        <f>"AP002383.3"</f>
        <v>AP002383.3</v>
      </c>
      <c r="B13131" s="6">
        <v>0.46348884381338701</v>
      </c>
      <c r="C13131" s="6">
        <v>0.62044798468639495</v>
      </c>
    </row>
    <row r="13132" spans="1:3" s="8" customFormat="1" x14ac:dyDescent="0.2">
      <c r="A13132" s="6" t="str">
        <f>"MTERF3"</f>
        <v>MTERF3</v>
      </c>
      <c r="B13132" s="6">
        <v>0.46353646353646299</v>
      </c>
      <c r="C13132" s="6">
        <v>0.62044798468639495</v>
      </c>
    </row>
    <row r="13133" spans="1:3" s="8" customFormat="1" x14ac:dyDescent="0.2">
      <c r="A13133" s="6" t="str">
        <f>"SFXN4"</f>
        <v>SFXN4</v>
      </c>
      <c r="B13133" s="6">
        <v>0.46353646353646299</v>
      </c>
      <c r="C13133" s="6">
        <v>0.62044798468639495</v>
      </c>
    </row>
    <row r="13134" spans="1:3" s="8" customFormat="1" x14ac:dyDescent="0.2">
      <c r="A13134" s="6" t="str">
        <f>"DMRTA2"</f>
        <v>DMRTA2</v>
      </c>
      <c r="B13134" s="6">
        <v>0.46353646353646299</v>
      </c>
      <c r="C13134" s="6">
        <v>0.62044798468639495</v>
      </c>
    </row>
    <row r="13135" spans="1:3" s="8" customFormat="1" x14ac:dyDescent="0.2">
      <c r="A13135" s="6" t="str">
        <f>"RN7SL1"</f>
        <v>RN7SL1</v>
      </c>
      <c r="B13135" s="6">
        <v>0.46353646353646299</v>
      </c>
      <c r="C13135" s="6">
        <v>0.62044798468639495</v>
      </c>
    </row>
    <row r="13136" spans="1:3" s="8" customFormat="1" x14ac:dyDescent="0.2">
      <c r="A13136" s="6" t="str">
        <f>"TAF1"</f>
        <v>TAF1</v>
      </c>
      <c r="B13136" s="6">
        <v>0.46353646353646299</v>
      </c>
      <c r="C13136" s="6">
        <v>0.62044798468639495</v>
      </c>
    </row>
    <row r="13137" spans="1:3" s="8" customFormat="1" x14ac:dyDescent="0.2">
      <c r="A13137" s="6" t="str">
        <f>"FDPS"</f>
        <v>FDPS</v>
      </c>
      <c r="B13137" s="6">
        <v>0.46353646353646299</v>
      </c>
      <c r="C13137" s="6">
        <v>0.62044798468639495</v>
      </c>
    </row>
    <row r="13138" spans="1:3" s="8" customFormat="1" x14ac:dyDescent="0.2">
      <c r="A13138" s="6" t="str">
        <f>"EPHA2"</f>
        <v>EPHA2</v>
      </c>
      <c r="B13138" s="6">
        <v>0.46353646353646299</v>
      </c>
      <c r="C13138" s="6">
        <v>0.62044798468639495</v>
      </c>
    </row>
    <row r="13139" spans="1:3" s="8" customFormat="1" x14ac:dyDescent="0.2">
      <c r="A13139" s="6" t="str">
        <f>"CACNG5"</f>
        <v>CACNG5</v>
      </c>
      <c r="B13139" s="6">
        <v>0.46410515672396302</v>
      </c>
      <c r="C13139" s="6">
        <v>0.62116190256006798</v>
      </c>
    </row>
    <row r="13140" spans="1:3" s="8" customFormat="1" x14ac:dyDescent="0.2">
      <c r="A13140" s="6" t="str">
        <f>"LINC01482"</f>
        <v>LINC01482</v>
      </c>
      <c r="B13140" s="6">
        <v>0.46453546453546402</v>
      </c>
      <c r="C13140" s="6">
        <v>0.62131220874660398</v>
      </c>
    </row>
    <row r="13141" spans="1:3" s="8" customFormat="1" x14ac:dyDescent="0.2">
      <c r="A13141" s="6" t="str">
        <f>"ANKRD20A4P"</f>
        <v>ANKRD20A4P</v>
      </c>
      <c r="B13141" s="6">
        <v>0.46453546453546402</v>
      </c>
      <c r="C13141" s="6">
        <v>0.62131220874660398</v>
      </c>
    </row>
    <row r="13142" spans="1:3" s="8" customFormat="1" x14ac:dyDescent="0.2">
      <c r="A13142" s="6" t="str">
        <f>"AC104024.2"</f>
        <v>AC104024.2</v>
      </c>
      <c r="B13142" s="6">
        <v>0.46453546453546402</v>
      </c>
      <c r="C13142" s="6">
        <v>0.62131220874660398</v>
      </c>
    </row>
    <row r="13143" spans="1:3" s="8" customFormat="1" x14ac:dyDescent="0.2">
      <c r="A13143" s="6" t="str">
        <f>"ERCC6"</f>
        <v>ERCC6</v>
      </c>
      <c r="B13143" s="6">
        <v>0.46453546453546402</v>
      </c>
      <c r="C13143" s="6">
        <v>0.62131220874660398</v>
      </c>
    </row>
    <row r="13144" spans="1:3" s="8" customFormat="1" x14ac:dyDescent="0.2">
      <c r="A13144" s="6" t="str">
        <f>"OGFOD2"</f>
        <v>OGFOD2</v>
      </c>
      <c r="B13144" s="6">
        <v>0.46453546453546402</v>
      </c>
      <c r="C13144" s="6">
        <v>0.62131220874660398</v>
      </c>
    </row>
    <row r="13145" spans="1:3" s="8" customFormat="1" x14ac:dyDescent="0.2">
      <c r="A13145" s="6" t="str">
        <f>"CXorf38"</f>
        <v>CXorf38</v>
      </c>
      <c r="B13145" s="6">
        <v>0.46453546453546402</v>
      </c>
      <c r="C13145" s="6">
        <v>0.62131220874660398</v>
      </c>
    </row>
    <row r="13146" spans="1:3" s="8" customFormat="1" x14ac:dyDescent="0.2">
      <c r="A13146" s="6" t="str">
        <f>"SENP6"</f>
        <v>SENP6</v>
      </c>
      <c r="B13146" s="6">
        <v>0.46453546453546402</v>
      </c>
      <c r="C13146" s="6">
        <v>0.62131220874660398</v>
      </c>
    </row>
    <row r="13147" spans="1:3" s="8" customFormat="1" x14ac:dyDescent="0.2">
      <c r="A13147" s="6" t="str">
        <f>"MESD"</f>
        <v>MESD</v>
      </c>
      <c r="B13147" s="6">
        <v>0.46453546453546402</v>
      </c>
      <c r="C13147" s="6">
        <v>0.62131220874660398</v>
      </c>
    </row>
    <row r="13148" spans="1:3" s="8" customFormat="1" x14ac:dyDescent="0.2">
      <c r="A13148" s="6" t="str">
        <f>"UAP1"</f>
        <v>UAP1</v>
      </c>
      <c r="B13148" s="6">
        <v>0.46453546453546402</v>
      </c>
      <c r="C13148" s="6">
        <v>0.62131220874660398</v>
      </c>
    </row>
    <row r="13149" spans="1:3" s="8" customFormat="1" x14ac:dyDescent="0.2">
      <c r="A13149" s="6" t="str">
        <f>"AC097713.1"</f>
        <v>AC097713.1</v>
      </c>
      <c r="B13149" s="6">
        <v>0.46553446553446498</v>
      </c>
      <c r="C13149" s="6">
        <v>0.62203328586307305</v>
      </c>
    </row>
    <row r="13150" spans="1:3" s="8" customFormat="1" x14ac:dyDescent="0.2">
      <c r="A13150" s="6" t="str">
        <f>"AC097104.1"</f>
        <v>AC097104.1</v>
      </c>
      <c r="B13150" s="6">
        <v>0.46553446553446498</v>
      </c>
      <c r="C13150" s="6">
        <v>0.62203328586307305</v>
      </c>
    </row>
    <row r="13151" spans="1:3" s="8" customFormat="1" x14ac:dyDescent="0.2">
      <c r="A13151" s="6" t="str">
        <f>"AL161729.3"</f>
        <v>AL161729.3</v>
      </c>
      <c r="B13151" s="6">
        <v>0.46546546546546502</v>
      </c>
      <c r="C13151" s="6">
        <v>0.62203328586307305</v>
      </c>
    </row>
    <row r="13152" spans="1:3" s="8" customFormat="1" x14ac:dyDescent="0.2">
      <c r="A13152" s="6" t="str">
        <f>"AL132780.1"</f>
        <v>AL132780.1</v>
      </c>
      <c r="B13152" s="6">
        <v>0.46553446553446498</v>
      </c>
      <c r="C13152" s="6">
        <v>0.62203328586307305</v>
      </c>
    </row>
    <row r="13153" spans="1:3" s="8" customFormat="1" x14ac:dyDescent="0.2">
      <c r="A13153" s="6" t="str">
        <f>"CD28"</f>
        <v>CD28</v>
      </c>
      <c r="B13153" s="6">
        <v>0.46553446553446498</v>
      </c>
      <c r="C13153" s="6">
        <v>0.62203328586307305</v>
      </c>
    </row>
    <row r="13154" spans="1:3" s="8" customFormat="1" x14ac:dyDescent="0.2">
      <c r="A13154" s="6" t="str">
        <f>"ZNF141"</f>
        <v>ZNF141</v>
      </c>
      <c r="B13154" s="6">
        <v>0.46553446553446498</v>
      </c>
      <c r="C13154" s="6">
        <v>0.62203328586307305</v>
      </c>
    </row>
    <row r="13155" spans="1:3" s="8" customFormat="1" x14ac:dyDescent="0.2">
      <c r="A13155" s="6" t="str">
        <f>"NSUN3"</f>
        <v>NSUN3</v>
      </c>
      <c r="B13155" s="6">
        <v>0.46553446553446498</v>
      </c>
      <c r="C13155" s="6">
        <v>0.62203328586307305</v>
      </c>
    </row>
    <row r="13156" spans="1:3" s="8" customFormat="1" x14ac:dyDescent="0.2">
      <c r="A13156" s="6" t="str">
        <f>"BIN1"</f>
        <v>BIN1</v>
      </c>
      <c r="B13156" s="6">
        <v>0.46553446553446498</v>
      </c>
      <c r="C13156" s="6">
        <v>0.62203328586307305</v>
      </c>
    </row>
    <row r="13157" spans="1:3" s="8" customFormat="1" x14ac:dyDescent="0.2">
      <c r="A13157" s="6" t="str">
        <f>"HPS5"</f>
        <v>HPS5</v>
      </c>
      <c r="B13157" s="6">
        <v>0.46553446553446498</v>
      </c>
      <c r="C13157" s="6">
        <v>0.62203328586307305</v>
      </c>
    </row>
    <row r="13158" spans="1:3" s="8" customFormat="1" x14ac:dyDescent="0.2">
      <c r="A13158" s="6" t="str">
        <f>"SMPD1"</f>
        <v>SMPD1</v>
      </c>
      <c r="B13158" s="6">
        <v>0.46553446553446498</v>
      </c>
      <c r="C13158" s="6">
        <v>0.62203328586307305</v>
      </c>
    </row>
    <row r="13159" spans="1:3" s="8" customFormat="1" x14ac:dyDescent="0.2">
      <c r="A13159" s="6" t="str">
        <f>"EFCAB11"</f>
        <v>EFCAB11</v>
      </c>
      <c r="B13159" s="6">
        <v>0.46553446553446498</v>
      </c>
      <c r="C13159" s="6">
        <v>0.62203328586307305</v>
      </c>
    </row>
    <row r="13160" spans="1:3" s="8" customFormat="1" x14ac:dyDescent="0.2">
      <c r="A13160" s="6" t="str">
        <f>"EFCAB10"</f>
        <v>EFCAB10</v>
      </c>
      <c r="B13160" s="6">
        <v>0.46553446553446498</v>
      </c>
      <c r="C13160" s="6">
        <v>0.62203328586307305</v>
      </c>
    </row>
    <row r="13161" spans="1:3" s="8" customFormat="1" x14ac:dyDescent="0.2">
      <c r="A13161" s="6" t="str">
        <f>"PSMB2"</f>
        <v>PSMB2</v>
      </c>
      <c r="B13161" s="6">
        <v>0.46553446553446498</v>
      </c>
      <c r="C13161" s="6">
        <v>0.62203328586307305</v>
      </c>
    </row>
    <row r="13162" spans="1:3" s="8" customFormat="1" x14ac:dyDescent="0.2">
      <c r="A13162" s="6" t="str">
        <f>"RN7SL391P"</f>
        <v>RN7SL391P</v>
      </c>
      <c r="B13162" s="6">
        <v>0.465920651068158</v>
      </c>
      <c r="C13162" s="6">
        <v>0.62250199288674901</v>
      </c>
    </row>
    <row r="13163" spans="1:3" s="8" customFormat="1" x14ac:dyDescent="0.2">
      <c r="A13163" s="6" t="str">
        <f>"AL137783.1"</f>
        <v>AL137783.1</v>
      </c>
      <c r="B13163" s="6">
        <v>0.46600000000000003</v>
      </c>
      <c r="C13163" s="6">
        <v>0.62251340879738604</v>
      </c>
    </row>
    <row r="13164" spans="1:3" s="8" customFormat="1" x14ac:dyDescent="0.2">
      <c r="A13164" s="6" t="str">
        <f>"C5orf66-AS1"</f>
        <v>C5orf66-AS1</v>
      </c>
      <c r="B13164" s="6">
        <v>0.46600000000000003</v>
      </c>
      <c r="C13164" s="6">
        <v>0.62251340879738604</v>
      </c>
    </row>
    <row r="13165" spans="1:3" s="8" customFormat="1" x14ac:dyDescent="0.2">
      <c r="A13165" s="6" t="str">
        <f>"RPS12P26"</f>
        <v>RPS12P26</v>
      </c>
      <c r="B13165" s="6">
        <v>0.466533466533466</v>
      </c>
      <c r="C13165" s="6">
        <v>0.62251665469149098</v>
      </c>
    </row>
    <row r="13166" spans="1:3" s="8" customFormat="1" x14ac:dyDescent="0.2">
      <c r="A13166" s="6" t="str">
        <f>"KHDC1L"</f>
        <v>KHDC1L</v>
      </c>
      <c r="B13166" s="6">
        <v>0.466533466533466</v>
      </c>
      <c r="C13166" s="6">
        <v>0.62251665469149098</v>
      </c>
    </row>
    <row r="13167" spans="1:3" s="8" customFormat="1" x14ac:dyDescent="0.2">
      <c r="A13167" s="6" t="str">
        <f>"PGM5P4-AS1"</f>
        <v>PGM5P4-AS1</v>
      </c>
      <c r="B13167" s="6">
        <v>0.466533466533466</v>
      </c>
      <c r="C13167" s="6">
        <v>0.62251665469149098</v>
      </c>
    </row>
    <row r="13168" spans="1:3" s="8" customFormat="1" x14ac:dyDescent="0.2">
      <c r="A13168" s="6" t="str">
        <f>"AC024940.1"</f>
        <v>AC024940.1</v>
      </c>
      <c r="B13168" s="6">
        <v>0.466533466533466</v>
      </c>
      <c r="C13168" s="6">
        <v>0.62251665469149098</v>
      </c>
    </row>
    <row r="13169" spans="1:3" s="8" customFormat="1" x14ac:dyDescent="0.2">
      <c r="A13169" s="6" t="str">
        <f>"C8orf48"</f>
        <v>C8orf48</v>
      </c>
      <c r="B13169" s="6">
        <v>0.466533466533466</v>
      </c>
      <c r="C13169" s="6">
        <v>0.62251665469149098</v>
      </c>
    </row>
    <row r="13170" spans="1:3" s="8" customFormat="1" x14ac:dyDescent="0.2">
      <c r="A13170" s="6" t="str">
        <f>"PRR26"</f>
        <v>PRR26</v>
      </c>
      <c r="B13170" s="6">
        <v>0.466533466533466</v>
      </c>
      <c r="C13170" s="6">
        <v>0.62251665469149098</v>
      </c>
    </row>
    <row r="13171" spans="1:3" s="8" customFormat="1" x14ac:dyDescent="0.2">
      <c r="A13171" s="6" t="str">
        <f>"ZNF572"</f>
        <v>ZNF572</v>
      </c>
      <c r="B13171" s="6">
        <v>0.466533466533466</v>
      </c>
      <c r="C13171" s="6">
        <v>0.62251665469149098</v>
      </c>
    </row>
    <row r="13172" spans="1:3" s="8" customFormat="1" x14ac:dyDescent="0.2">
      <c r="A13172" s="6" t="str">
        <f>"CPLANE2"</f>
        <v>CPLANE2</v>
      </c>
      <c r="B13172" s="6">
        <v>0.466533466533466</v>
      </c>
      <c r="C13172" s="6">
        <v>0.62251665469149098</v>
      </c>
    </row>
    <row r="13173" spans="1:3" s="8" customFormat="1" x14ac:dyDescent="0.2">
      <c r="A13173" s="6" t="str">
        <f>"AC093010.2"</f>
        <v>AC093010.2</v>
      </c>
      <c r="B13173" s="6">
        <v>0.466533466533466</v>
      </c>
      <c r="C13173" s="6">
        <v>0.62251665469149098</v>
      </c>
    </row>
    <row r="13174" spans="1:3" s="8" customFormat="1" x14ac:dyDescent="0.2">
      <c r="A13174" s="6" t="str">
        <f>"PPP1R3D"</f>
        <v>PPP1R3D</v>
      </c>
      <c r="B13174" s="6">
        <v>0.466533466533466</v>
      </c>
      <c r="C13174" s="6">
        <v>0.62251665469149098</v>
      </c>
    </row>
    <row r="13175" spans="1:3" s="8" customFormat="1" x14ac:dyDescent="0.2">
      <c r="A13175" s="6" t="str">
        <f>"LAMB1"</f>
        <v>LAMB1</v>
      </c>
      <c r="B13175" s="6">
        <v>0.466533466533466</v>
      </c>
      <c r="C13175" s="6">
        <v>0.62251665469149098</v>
      </c>
    </row>
    <row r="13176" spans="1:3" s="8" customFormat="1" x14ac:dyDescent="0.2">
      <c r="A13176" s="6" t="str">
        <f>"ATF5"</f>
        <v>ATF5</v>
      </c>
      <c r="B13176" s="6">
        <v>0.466533466533466</v>
      </c>
      <c r="C13176" s="6">
        <v>0.62251665469149098</v>
      </c>
    </row>
    <row r="13177" spans="1:3" s="8" customFormat="1" x14ac:dyDescent="0.2">
      <c r="A13177" s="6" t="str">
        <f>"AIFM1"</f>
        <v>AIFM1</v>
      </c>
      <c r="B13177" s="6">
        <v>0.466533466533466</v>
      </c>
      <c r="C13177" s="6">
        <v>0.62251665469149098</v>
      </c>
    </row>
    <row r="13178" spans="1:3" s="8" customFormat="1" x14ac:dyDescent="0.2">
      <c r="A13178" s="6" t="str">
        <f>"ZNF316"</f>
        <v>ZNF316</v>
      </c>
      <c r="B13178" s="6">
        <v>0.466533466533466</v>
      </c>
      <c r="C13178" s="6">
        <v>0.62251665469149098</v>
      </c>
    </row>
    <row r="13179" spans="1:3" s="8" customFormat="1" x14ac:dyDescent="0.2">
      <c r="A13179" s="6" t="str">
        <f>"CALU"</f>
        <v>CALU</v>
      </c>
      <c r="B13179" s="6">
        <v>0.466533466533466</v>
      </c>
      <c r="C13179" s="6">
        <v>0.62251665469149098</v>
      </c>
    </row>
    <row r="13180" spans="1:3" s="8" customFormat="1" x14ac:dyDescent="0.2">
      <c r="A13180" s="6" t="str">
        <f>"AL390726.5"</f>
        <v>AL390726.5</v>
      </c>
      <c r="B13180" s="6">
        <v>0.46753246753246702</v>
      </c>
      <c r="C13180" s="6">
        <v>0.62328210076504198</v>
      </c>
    </row>
    <row r="13181" spans="1:3" s="8" customFormat="1" x14ac:dyDescent="0.2">
      <c r="A13181" s="6" t="str">
        <f>"PCDHGA8"</f>
        <v>PCDHGA8</v>
      </c>
      <c r="B13181" s="6">
        <v>0.46753246753246702</v>
      </c>
      <c r="C13181" s="6">
        <v>0.62328210076504198</v>
      </c>
    </row>
    <row r="13182" spans="1:3" s="8" customFormat="1" x14ac:dyDescent="0.2">
      <c r="A13182" s="6" t="str">
        <f>"AC098614.2"</f>
        <v>AC098614.2</v>
      </c>
      <c r="B13182" s="6">
        <v>0.46753246753246702</v>
      </c>
      <c r="C13182" s="6">
        <v>0.62328210076504198</v>
      </c>
    </row>
    <row r="13183" spans="1:3" s="8" customFormat="1" x14ac:dyDescent="0.2">
      <c r="A13183" s="6" t="str">
        <f>"FAM181B"</f>
        <v>FAM181B</v>
      </c>
      <c r="B13183" s="6">
        <v>0.46753246753246702</v>
      </c>
      <c r="C13183" s="6">
        <v>0.62328210076504198</v>
      </c>
    </row>
    <row r="13184" spans="1:3" s="8" customFormat="1" x14ac:dyDescent="0.2">
      <c r="A13184" s="6" t="str">
        <f>"RACGAP1"</f>
        <v>RACGAP1</v>
      </c>
      <c r="B13184" s="6">
        <v>0.46753246753246702</v>
      </c>
      <c r="C13184" s="6">
        <v>0.62328210076504198</v>
      </c>
    </row>
    <row r="13185" spans="1:3" s="8" customFormat="1" x14ac:dyDescent="0.2">
      <c r="A13185" s="6" t="str">
        <f>"LMBR1L"</f>
        <v>LMBR1L</v>
      </c>
      <c r="B13185" s="6">
        <v>0.46753246753246702</v>
      </c>
      <c r="C13185" s="6">
        <v>0.62328210076504198</v>
      </c>
    </row>
    <row r="13186" spans="1:3" s="8" customFormat="1" x14ac:dyDescent="0.2">
      <c r="A13186" s="6" t="str">
        <f>"AC021078.1"</f>
        <v>AC021078.1</v>
      </c>
      <c r="B13186" s="6">
        <v>0.46753246753246702</v>
      </c>
      <c r="C13186" s="6">
        <v>0.62328210076504198</v>
      </c>
    </row>
    <row r="13187" spans="1:3" s="8" customFormat="1" x14ac:dyDescent="0.2">
      <c r="A13187" s="6" t="str">
        <f>"TEN1"</f>
        <v>TEN1</v>
      </c>
      <c r="B13187" s="6">
        <v>0.46753246753246702</v>
      </c>
      <c r="C13187" s="6">
        <v>0.62328210076504198</v>
      </c>
    </row>
    <row r="13188" spans="1:3" s="8" customFormat="1" x14ac:dyDescent="0.2">
      <c r="A13188" s="6" t="str">
        <f>"LRRC8E"</f>
        <v>LRRC8E</v>
      </c>
      <c r="B13188" s="6">
        <v>0.46753246753246702</v>
      </c>
      <c r="C13188" s="6">
        <v>0.62328210076504198</v>
      </c>
    </row>
    <row r="13189" spans="1:3" s="8" customFormat="1" x14ac:dyDescent="0.2">
      <c r="A13189" s="6" t="str">
        <f>"PSMD5"</f>
        <v>PSMD5</v>
      </c>
      <c r="B13189" s="6">
        <v>0.46753246753246702</v>
      </c>
      <c r="C13189" s="6">
        <v>0.62328210076504198</v>
      </c>
    </row>
    <row r="13190" spans="1:3" s="8" customFormat="1" x14ac:dyDescent="0.2">
      <c r="A13190" s="6" t="str">
        <f>"ODF2L"</f>
        <v>ODF2L</v>
      </c>
      <c r="B13190" s="6">
        <v>0.46753246753246702</v>
      </c>
      <c r="C13190" s="6">
        <v>0.62328210076504198</v>
      </c>
    </row>
    <row r="13191" spans="1:3" s="8" customFormat="1" x14ac:dyDescent="0.2">
      <c r="A13191" s="6" t="str">
        <f>"UQCRC2"</f>
        <v>UQCRC2</v>
      </c>
      <c r="B13191" s="6">
        <v>0.46753246753246702</v>
      </c>
      <c r="C13191" s="6">
        <v>0.62328210076504198</v>
      </c>
    </row>
    <row r="13192" spans="1:3" s="8" customFormat="1" x14ac:dyDescent="0.2">
      <c r="A13192" s="6" t="str">
        <f>"AC010636.2"</f>
        <v>AC010636.2</v>
      </c>
      <c r="B13192" s="6">
        <v>0.46800000000000003</v>
      </c>
      <c r="C13192" s="6">
        <v>0.62385808505799401</v>
      </c>
    </row>
    <row r="13193" spans="1:3" s="8" customFormat="1" x14ac:dyDescent="0.2">
      <c r="A13193" s="6" t="str">
        <f>"AL078622.1"</f>
        <v>AL078622.1</v>
      </c>
      <c r="B13193" s="6">
        <v>0.46853146853146799</v>
      </c>
      <c r="C13193" s="6">
        <v>0.62409342797192202</v>
      </c>
    </row>
    <row r="13194" spans="1:3" s="8" customFormat="1" x14ac:dyDescent="0.2">
      <c r="A13194" s="6" t="str">
        <f>"LINC02446"</f>
        <v>LINC02446</v>
      </c>
      <c r="B13194" s="6">
        <v>0.46853146853146799</v>
      </c>
      <c r="C13194" s="6">
        <v>0.62409342797192202</v>
      </c>
    </row>
    <row r="13195" spans="1:3" s="8" customFormat="1" x14ac:dyDescent="0.2">
      <c r="A13195" s="6" t="str">
        <f>"AL355102.2"</f>
        <v>AL355102.2</v>
      </c>
      <c r="B13195" s="6">
        <v>0.46853146853146799</v>
      </c>
      <c r="C13195" s="6">
        <v>0.62409342797192202</v>
      </c>
    </row>
    <row r="13196" spans="1:3" s="8" customFormat="1" x14ac:dyDescent="0.2">
      <c r="A13196" s="6" t="str">
        <f>"TRAIP"</f>
        <v>TRAIP</v>
      </c>
      <c r="B13196" s="6">
        <v>0.46853146853146799</v>
      </c>
      <c r="C13196" s="6">
        <v>0.62409342797192202</v>
      </c>
    </row>
    <row r="13197" spans="1:3" s="8" customFormat="1" x14ac:dyDescent="0.2">
      <c r="A13197" s="6" t="str">
        <f>"AC010186.2"</f>
        <v>AC010186.2</v>
      </c>
      <c r="B13197" s="6">
        <v>0.46853146853146799</v>
      </c>
      <c r="C13197" s="6">
        <v>0.62409342797192202</v>
      </c>
    </row>
    <row r="13198" spans="1:3" s="8" customFormat="1" x14ac:dyDescent="0.2">
      <c r="A13198" s="6" t="str">
        <f>"DCBLD1"</f>
        <v>DCBLD1</v>
      </c>
      <c r="B13198" s="6">
        <v>0.46853146853146799</v>
      </c>
      <c r="C13198" s="6">
        <v>0.62409342797192202</v>
      </c>
    </row>
    <row r="13199" spans="1:3" s="8" customFormat="1" x14ac:dyDescent="0.2">
      <c r="A13199" s="6" t="str">
        <f>"ZNF514"</f>
        <v>ZNF514</v>
      </c>
      <c r="B13199" s="6">
        <v>0.46853146853146799</v>
      </c>
      <c r="C13199" s="6">
        <v>0.62409342797192202</v>
      </c>
    </row>
    <row r="13200" spans="1:3" s="8" customFormat="1" x14ac:dyDescent="0.2">
      <c r="A13200" s="6" t="str">
        <f>"AMMECR1L"</f>
        <v>AMMECR1L</v>
      </c>
      <c r="B13200" s="6">
        <v>0.46853146853146799</v>
      </c>
      <c r="C13200" s="6">
        <v>0.62409342797192202</v>
      </c>
    </row>
    <row r="13201" spans="1:3" s="8" customFormat="1" x14ac:dyDescent="0.2">
      <c r="A13201" s="6" t="str">
        <f>"TUBB2A"</f>
        <v>TUBB2A</v>
      </c>
      <c r="B13201" s="6">
        <v>0.46853146853146799</v>
      </c>
      <c r="C13201" s="6">
        <v>0.62409342797192202</v>
      </c>
    </row>
    <row r="13202" spans="1:3" s="8" customFormat="1" x14ac:dyDescent="0.2">
      <c r="A13202" s="6" t="str">
        <f>"CFAP298"</f>
        <v>CFAP298</v>
      </c>
      <c r="B13202" s="6">
        <v>0.46853146853146799</v>
      </c>
      <c r="C13202" s="6">
        <v>0.62409342797192202</v>
      </c>
    </row>
    <row r="13203" spans="1:3" s="8" customFormat="1" x14ac:dyDescent="0.2">
      <c r="A13203" s="6" t="str">
        <f>"AC005578.1"</f>
        <v>AC005578.1</v>
      </c>
      <c r="B13203" s="6">
        <v>0.46868686868686799</v>
      </c>
      <c r="C13203" s="6">
        <v>0.62425313581199005</v>
      </c>
    </row>
    <row r="13204" spans="1:3" s="8" customFormat="1" x14ac:dyDescent="0.2">
      <c r="A13204" s="6" t="str">
        <f>"MICE"</f>
        <v>MICE</v>
      </c>
      <c r="B13204" s="6">
        <v>0.46953046953046901</v>
      </c>
      <c r="C13204" s="6">
        <v>0.62480882217525102</v>
      </c>
    </row>
    <row r="13205" spans="1:3" s="8" customFormat="1" x14ac:dyDescent="0.2">
      <c r="A13205" s="6" t="str">
        <f>"AL118508.1"</f>
        <v>AL118508.1</v>
      </c>
      <c r="B13205" s="6">
        <v>0.46953046953046901</v>
      </c>
      <c r="C13205" s="6">
        <v>0.62480882217525102</v>
      </c>
    </row>
    <row r="13206" spans="1:3" s="8" customFormat="1" x14ac:dyDescent="0.2">
      <c r="A13206" s="6" t="str">
        <f>"USP32P2"</f>
        <v>USP32P2</v>
      </c>
      <c r="B13206" s="6">
        <v>0.46953046953046901</v>
      </c>
      <c r="C13206" s="6">
        <v>0.62480882217525102</v>
      </c>
    </row>
    <row r="13207" spans="1:3" s="8" customFormat="1" x14ac:dyDescent="0.2">
      <c r="A13207" s="6" t="str">
        <f>"AL109811.2"</f>
        <v>AL109811.2</v>
      </c>
      <c r="B13207" s="6">
        <v>0.46953046953046901</v>
      </c>
      <c r="C13207" s="6">
        <v>0.62480882217525102</v>
      </c>
    </row>
    <row r="13208" spans="1:3" s="8" customFormat="1" x14ac:dyDescent="0.2">
      <c r="A13208" s="6" t="str">
        <f>"PCDHB2"</f>
        <v>PCDHB2</v>
      </c>
      <c r="B13208" s="6">
        <v>0.46953046953046901</v>
      </c>
      <c r="C13208" s="6">
        <v>0.62480882217525102</v>
      </c>
    </row>
    <row r="13209" spans="1:3" s="8" customFormat="1" x14ac:dyDescent="0.2">
      <c r="A13209" s="6" t="str">
        <f>"DMTF1"</f>
        <v>DMTF1</v>
      </c>
      <c r="B13209" s="6">
        <v>0.46953046953046901</v>
      </c>
      <c r="C13209" s="6">
        <v>0.62480882217525102</v>
      </c>
    </row>
    <row r="13210" spans="1:3" s="8" customFormat="1" x14ac:dyDescent="0.2">
      <c r="A13210" s="6" t="str">
        <f>"ZCCHC8"</f>
        <v>ZCCHC8</v>
      </c>
      <c r="B13210" s="6">
        <v>0.46953046953046901</v>
      </c>
      <c r="C13210" s="6">
        <v>0.62480882217525102</v>
      </c>
    </row>
    <row r="13211" spans="1:3" s="8" customFormat="1" x14ac:dyDescent="0.2">
      <c r="A13211" s="6" t="str">
        <f>"GBA2"</f>
        <v>GBA2</v>
      </c>
      <c r="B13211" s="6">
        <v>0.46953046953046901</v>
      </c>
      <c r="C13211" s="6">
        <v>0.62480882217525102</v>
      </c>
    </row>
    <row r="13212" spans="1:3" s="8" customFormat="1" x14ac:dyDescent="0.2">
      <c r="A13212" s="6" t="str">
        <f>"MORN3"</f>
        <v>MORN3</v>
      </c>
      <c r="B13212" s="6">
        <v>0.46953046953046901</v>
      </c>
      <c r="C13212" s="6">
        <v>0.62480882217525102</v>
      </c>
    </row>
    <row r="13213" spans="1:3" s="8" customFormat="1" x14ac:dyDescent="0.2">
      <c r="A13213" s="6" t="str">
        <f>"EI24"</f>
        <v>EI24</v>
      </c>
      <c r="B13213" s="6">
        <v>0.46953046953046901</v>
      </c>
      <c r="C13213" s="6">
        <v>0.62480882217525102</v>
      </c>
    </row>
    <row r="13214" spans="1:3" s="8" customFormat="1" x14ac:dyDescent="0.2">
      <c r="A13214" s="6" t="str">
        <f>"SYTL1"</f>
        <v>SYTL1</v>
      </c>
      <c r="B13214" s="6">
        <v>0.46953046953046901</v>
      </c>
      <c r="C13214" s="6">
        <v>0.62480882217525102</v>
      </c>
    </row>
    <row r="13215" spans="1:3" s="8" customFormat="1" x14ac:dyDescent="0.2">
      <c r="A13215" s="6" t="str">
        <f>"RSPH4A"</f>
        <v>RSPH4A</v>
      </c>
      <c r="B13215" s="6">
        <v>0.46953046953046901</v>
      </c>
      <c r="C13215" s="6">
        <v>0.62480882217525102</v>
      </c>
    </row>
    <row r="13216" spans="1:3" s="8" customFormat="1" x14ac:dyDescent="0.2">
      <c r="A13216" s="6" t="str">
        <f>"AC231657.3"</f>
        <v>AC231657.3</v>
      </c>
      <c r="B13216" s="6">
        <v>0.47052947052946997</v>
      </c>
      <c r="C13216" s="6">
        <v>0.62552281014517297</v>
      </c>
    </row>
    <row r="13217" spans="1:3" s="8" customFormat="1" x14ac:dyDescent="0.2">
      <c r="A13217" s="6" t="str">
        <f>"AC016042.1"</f>
        <v>AC016042.1</v>
      </c>
      <c r="B13217" s="6">
        <v>0.47051886792452802</v>
      </c>
      <c r="C13217" s="6">
        <v>0.62552281014517297</v>
      </c>
    </row>
    <row r="13218" spans="1:3" s="8" customFormat="1" x14ac:dyDescent="0.2">
      <c r="A13218" s="6" t="str">
        <f>"AC083841.2"</f>
        <v>AC083841.2</v>
      </c>
      <c r="B13218" s="6">
        <v>0.47043010752688103</v>
      </c>
      <c r="C13218" s="6">
        <v>0.62552281014517297</v>
      </c>
    </row>
    <row r="13219" spans="1:3" s="8" customFormat="1" x14ac:dyDescent="0.2">
      <c r="A13219" s="6" t="str">
        <f>"FSD2"</f>
        <v>FSD2</v>
      </c>
      <c r="B13219" s="6">
        <v>0.47052947052946997</v>
      </c>
      <c r="C13219" s="6">
        <v>0.62552281014517297</v>
      </c>
    </row>
    <row r="13220" spans="1:3" s="8" customFormat="1" x14ac:dyDescent="0.2">
      <c r="A13220" s="6" t="str">
        <f>"CYP4Z1"</f>
        <v>CYP4Z1</v>
      </c>
      <c r="B13220" s="6">
        <v>0.47052947052946997</v>
      </c>
      <c r="C13220" s="6">
        <v>0.62552281014517297</v>
      </c>
    </row>
    <row r="13221" spans="1:3" s="8" customFormat="1" x14ac:dyDescent="0.2">
      <c r="A13221" s="6" t="str">
        <f>"AL137802.2"</f>
        <v>AL137802.2</v>
      </c>
      <c r="B13221" s="6">
        <v>0.47052947052946997</v>
      </c>
      <c r="C13221" s="6">
        <v>0.62552281014517297</v>
      </c>
    </row>
    <row r="13222" spans="1:3" s="8" customFormat="1" x14ac:dyDescent="0.2">
      <c r="A13222" s="6" t="str">
        <f>"LKAAEAR1"</f>
        <v>LKAAEAR1</v>
      </c>
      <c r="B13222" s="6">
        <v>0.47052947052946997</v>
      </c>
      <c r="C13222" s="6">
        <v>0.62552281014517297</v>
      </c>
    </row>
    <row r="13223" spans="1:3" s="8" customFormat="1" x14ac:dyDescent="0.2">
      <c r="A13223" s="6" t="str">
        <f>"RNASE10"</f>
        <v>RNASE10</v>
      </c>
      <c r="B13223" s="6">
        <v>0.47052947052946997</v>
      </c>
      <c r="C13223" s="6">
        <v>0.62552281014517297</v>
      </c>
    </row>
    <row r="13224" spans="1:3" s="8" customFormat="1" x14ac:dyDescent="0.2">
      <c r="A13224" s="6" t="str">
        <f>"MYC"</f>
        <v>MYC</v>
      </c>
      <c r="B13224" s="6">
        <v>0.47052947052946997</v>
      </c>
      <c r="C13224" s="6">
        <v>0.62552281014517297</v>
      </c>
    </row>
    <row r="13225" spans="1:3" s="8" customFormat="1" x14ac:dyDescent="0.2">
      <c r="A13225" s="6" t="str">
        <f>"DPH2"</f>
        <v>DPH2</v>
      </c>
      <c r="B13225" s="6">
        <v>0.47052947052946997</v>
      </c>
      <c r="C13225" s="6">
        <v>0.62552281014517297</v>
      </c>
    </row>
    <row r="13226" spans="1:3" s="8" customFormat="1" x14ac:dyDescent="0.2">
      <c r="A13226" s="6" t="str">
        <f>"MAP7"</f>
        <v>MAP7</v>
      </c>
      <c r="B13226" s="6">
        <v>0.47052947052946997</v>
      </c>
      <c r="C13226" s="6">
        <v>0.62552281014517297</v>
      </c>
    </row>
    <row r="13227" spans="1:3" s="8" customFormat="1" x14ac:dyDescent="0.2">
      <c r="A13227" s="6" t="str">
        <f>"CAMSAP1"</f>
        <v>CAMSAP1</v>
      </c>
      <c r="B13227" s="6">
        <v>0.47052947052946997</v>
      </c>
      <c r="C13227" s="6">
        <v>0.62552281014517297</v>
      </c>
    </row>
    <row r="13228" spans="1:3" s="8" customFormat="1" x14ac:dyDescent="0.2">
      <c r="A13228" s="6" t="str">
        <f>"NCOR1"</f>
        <v>NCOR1</v>
      </c>
      <c r="B13228" s="6">
        <v>0.47052947052946997</v>
      </c>
      <c r="C13228" s="6">
        <v>0.62552281014517297</v>
      </c>
    </row>
    <row r="13229" spans="1:3" s="8" customFormat="1" x14ac:dyDescent="0.2">
      <c r="A13229" s="6" t="str">
        <f>"RLN2"</f>
        <v>RLN2</v>
      </c>
      <c r="B13229" s="6">
        <v>0.47099999999999997</v>
      </c>
      <c r="C13229" s="6">
        <v>0.626100997883277</v>
      </c>
    </row>
    <row r="13230" spans="1:3" s="8" customFormat="1" x14ac:dyDescent="0.2">
      <c r="A13230" s="6" t="str">
        <f>"NKPD1"</f>
        <v>NKPD1</v>
      </c>
      <c r="B13230" s="6">
        <v>0.47152847152847099</v>
      </c>
      <c r="C13230" s="6">
        <v>0.62633000780757198</v>
      </c>
    </row>
    <row r="13231" spans="1:3" s="8" customFormat="1" x14ac:dyDescent="0.2">
      <c r="A13231" s="6" t="str">
        <f>"STRCP1"</f>
        <v>STRCP1</v>
      </c>
      <c r="B13231" s="6">
        <v>0.47152847152847099</v>
      </c>
      <c r="C13231" s="6">
        <v>0.62633000780757198</v>
      </c>
    </row>
    <row r="13232" spans="1:3" s="8" customFormat="1" x14ac:dyDescent="0.2">
      <c r="A13232" s="6" t="str">
        <f>"ANKRD20A5P"</f>
        <v>ANKRD20A5P</v>
      </c>
      <c r="B13232" s="6">
        <v>0.47152847152847099</v>
      </c>
      <c r="C13232" s="6">
        <v>0.62633000780757198</v>
      </c>
    </row>
    <row r="13233" spans="1:3" s="8" customFormat="1" x14ac:dyDescent="0.2">
      <c r="A13233" s="6" t="str">
        <f>"BX537318.1"</f>
        <v>BX537318.1</v>
      </c>
      <c r="B13233" s="6">
        <v>0.47152847152847099</v>
      </c>
      <c r="C13233" s="6">
        <v>0.62633000780757198</v>
      </c>
    </row>
    <row r="13234" spans="1:3" s="8" customFormat="1" x14ac:dyDescent="0.2">
      <c r="A13234" s="6" t="str">
        <f>"PPP1R1C"</f>
        <v>PPP1R1C</v>
      </c>
      <c r="B13234" s="6">
        <v>0.47152847152847099</v>
      </c>
      <c r="C13234" s="6">
        <v>0.62633000780757198</v>
      </c>
    </row>
    <row r="13235" spans="1:3" s="8" customFormat="1" x14ac:dyDescent="0.2">
      <c r="A13235" s="6" t="str">
        <f>"GBP1P1"</f>
        <v>GBP1P1</v>
      </c>
      <c r="B13235" s="6">
        <v>0.47152847152847099</v>
      </c>
      <c r="C13235" s="6">
        <v>0.62633000780757198</v>
      </c>
    </row>
    <row r="13236" spans="1:3" s="8" customFormat="1" x14ac:dyDescent="0.2">
      <c r="A13236" s="6" t="str">
        <f>"RGPD8"</f>
        <v>RGPD8</v>
      </c>
      <c r="B13236" s="6">
        <v>0.47152847152847099</v>
      </c>
      <c r="C13236" s="6">
        <v>0.62633000780757198</v>
      </c>
    </row>
    <row r="13237" spans="1:3" s="8" customFormat="1" x14ac:dyDescent="0.2">
      <c r="A13237" s="6" t="str">
        <f>"TMEM37"</f>
        <v>TMEM37</v>
      </c>
      <c r="B13237" s="6">
        <v>0.47152847152847099</v>
      </c>
      <c r="C13237" s="6">
        <v>0.62633000780757198</v>
      </c>
    </row>
    <row r="13238" spans="1:3" s="8" customFormat="1" x14ac:dyDescent="0.2">
      <c r="A13238" s="6" t="str">
        <f>"CFAP47"</f>
        <v>CFAP47</v>
      </c>
      <c r="B13238" s="6">
        <v>0.47152847152847099</v>
      </c>
      <c r="C13238" s="6">
        <v>0.62633000780757198</v>
      </c>
    </row>
    <row r="13239" spans="1:3" s="8" customFormat="1" x14ac:dyDescent="0.2">
      <c r="A13239" s="6" t="str">
        <f>"NCOA4"</f>
        <v>NCOA4</v>
      </c>
      <c r="B13239" s="6">
        <v>0.47152847152847099</v>
      </c>
      <c r="C13239" s="6">
        <v>0.62633000780757198</v>
      </c>
    </row>
    <row r="13240" spans="1:3" s="8" customFormat="1" x14ac:dyDescent="0.2">
      <c r="A13240" s="6" t="str">
        <f>"AC106028.3"</f>
        <v>AC106028.3</v>
      </c>
      <c r="B13240" s="6">
        <v>0.47199999999999998</v>
      </c>
      <c r="C13240" s="6">
        <v>0.626861631419939</v>
      </c>
    </row>
    <row r="13241" spans="1:3" s="8" customFormat="1" x14ac:dyDescent="0.2">
      <c r="A13241" s="6" t="str">
        <f>"SPRY3"</f>
        <v>SPRY3</v>
      </c>
      <c r="B13241" s="6">
        <v>0.47199999999999998</v>
      </c>
      <c r="C13241" s="6">
        <v>0.626861631419939</v>
      </c>
    </row>
    <row r="13242" spans="1:3" s="8" customFormat="1" x14ac:dyDescent="0.2">
      <c r="A13242" s="6" t="str">
        <f>"RPL23AP25"</f>
        <v>RPL23AP25</v>
      </c>
      <c r="B13242" s="6">
        <v>0.47252747252747201</v>
      </c>
      <c r="C13242" s="6">
        <v>0.62694658393745395</v>
      </c>
    </row>
    <row r="13243" spans="1:3" s="8" customFormat="1" x14ac:dyDescent="0.2">
      <c r="A13243" s="6" t="str">
        <f>"AC011448.1"</f>
        <v>AC011448.1</v>
      </c>
      <c r="B13243" s="6">
        <v>0.47252747252747201</v>
      </c>
      <c r="C13243" s="6">
        <v>0.62694658393745395</v>
      </c>
    </row>
    <row r="13244" spans="1:3" s="8" customFormat="1" x14ac:dyDescent="0.2">
      <c r="A13244" s="6" t="str">
        <f>"AL606491.1"</f>
        <v>AL606491.1</v>
      </c>
      <c r="B13244" s="6">
        <v>0.47252747252747201</v>
      </c>
      <c r="C13244" s="6">
        <v>0.62694658393745395</v>
      </c>
    </row>
    <row r="13245" spans="1:3" s="8" customFormat="1" x14ac:dyDescent="0.2">
      <c r="A13245" s="6" t="str">
        <f>"LY6E-DT"</f>
        <v>LY6E-DT</v>
      </c>
      <c r="B13245" s="6">
        <v>0.47252747252747201</v>
      </c>
      <c r="C13245" s="6">
        <v>0.62694658393745395</v>
      </c>
    </row>
    <row r="13246" spans="1:3" s="8" customFormat="1" x14ac:dyDescent="0.2">
      <c r="A13246" s="6" t="str">
        <f>"SPICE1"</f>
        <v>SPICE1</v>
      </c>
      <c r="B13246" s="6">
        <v>0.47252747252747201</v>
      </c>
      <c r="C13246" s="6">
        <v>0.62694658393745395</v>
      </c>
    </row>
    <row r="13247" spans="1:3" s="8" customFormat="1" x14ac:dyDescent="0.2">
      <c r="A13247" s="6" t="str">
        <f>"GGH"</f>
        <v>GGH</v>
      </c>
      <c r="B13247" s="6">
        <v>0.47252747252747201</v>
      </c>
      <c r="C13247" s="6">
        <v>0.62694658393745395</v>
      </c>
    </row>
    <row r="13248" spans="1:3" s="8" customFormat="1" x14ac:dyDescent="0.2">
      <c r="A13248" s="6" t="str">
        <f>"ITGB6"</f>
        <v>ITGB6</v>
      </c>
      <c r="B13248" s="6">
        <v>0.47252747252747201</v>
      </c>
      <c r="C13248" s="6">
        <v>0.62694658393745395</v>
      </c>
    </row>
    <row r="13249" spans="1:3" s="8" customFormat="1" x14ac:dyDescent="0.2">
      <c r="A13249" s="6" t="str">
        <f>"POLR3C"</f>
        <v>POLR3C</v>
      </c>
      <c r="B13249" s="6">
        <v>0.47252747252747201</v>
      </c>
      <c r="C13249" s="6">
        <v>0.62694658393745395</v>
      </c>
    </row>
    <row r="13250" spans="1:3" s="8" customFormat="1" x14ac:dyDescent="0.2">
      <c r="A13250" s="6" t="str">
        <f>"PSEN2"</f>
        <v>PSEN2</v>
      </c>
      <c r="B13250" s="6">
        <v>0.47252747252747201</v>
      </c>
      <c r="C13250" s="6">
        <v>0.62694658393745395</v>
      </c>
    </row>
    <row r="13251" spans="1:3" s="8" customFormat="1" x14ac:dyDescent="0.2">
      <c r="A13251" s="6" t="str">
        <f>"NKAPD1"</f>
        <v>NKAPD1</v>
      </c>
      <c r="B13251" s="6">
        <v>0.47252747252747201</v>
      </c>
      <c r="C13251" s="6">
        <v>0.62694658393745395</v>
      </c>
    </row>
    <row r="13252" spans="1:3" s="8" customFormat="1" x14ac:dyDescent="0.2">
      <c r="A13252" s="6" t="str">
        <f>"ATP6V1C1"</f>
        <v>ATP6V1C1</v>
      </c>
      <c r="B13252" s="6">
        <v>0.47252747252747201</v>
      </c>
      <c r="C13252" s="6">
        <v>0.62694658393745395</v>
      </c>
    </row>
    <row r="13253" spans="1:3" s="8" customFormat="1" x14ac:dyDescent="0.2">
      <c r="A13253" s="6" t="str">
        <f>"TRIM26"</f>
        <v>TRIM26</v>
      </c>
      <c r="B13253" s="6">
        <v>0.47252747252747201</v>
      </c>
      <c r="C13253" s="6">
        <v>0.62694658393745395</v>
      </c>
    </row>
    <row r="13254" spans="1:3" s="8" customFormat="1" x14ac:dyDescent="0.2">
      <c r="A13254" s="6" t="str">
        <f>"KEAP1"</f>
        <v>KEAP1</v>
      </c>
      <c r="B13254" s="6">
        <v>0.47252747252747201</v>
      </c>
      <c r="C13254" s="6">
        <v>0.62694658393745395</v>
      </c>
    </row>
    <row r="13255" spans="1:3" s="8" customFormat="1" x14ac:dyDescent="0.2">
      <c r="A13255" s="6" t="str">
        <f>"RPL12P25"</f>
        <v>RPL12P25</v>
      </c>
      <c r="B13255" s="6">
        <v>0.47289156626506001</v>
      </c>
      <c r="C13255" s="6">
        <v>0.62738232240869296</v>
      </c>
    </row>
    <row r="13256" spans="1:3" s="8" customFormat="1" x14ac:dyDescent="0.2">
      <c r="A13256" s="6" t="str">
        <f>"BX649601.1"</f>
        <v>BX649601.1</v>
      </c>
      <c r="B13256" s="6">
        <v>0.47352647352647298</v>
      </c>
      <c r="C13256" s="6">
        <v>0.62756176593981805</v>
      </c>
    </row>
    <row r="13257" spans="1:3" s="8" customFormat="1" x14ac:dyDescent="0.2">
      <c r="A13257" s="6" t="str">
        <f>"GOLGA8S"</f>
        <v>GOLGA8S</v>
      </c>
      <c r="B13257" s="6">
        <v>0.47352647352647298</v>
      </c>
      <c r="C13257" s="6">
        <v>0.62756176593981805</v>
      </c>
    </row>
    <row r="13258" spans="1:3" s="8" customFormat="1" x14ac:dyDescent="0.2">
      <c r="A13258" s="6" t="str">
        <f>"THY1"</f>
        <v>THY1</v>
      </c>
      <c r="B13258" s="6">
        <v>0.47352647352647298</v>
      </c>
      <c r="C13258" s="6">
        <v>0.62756176593981805</v>
      </c>
    </row>
    <row r="13259" spans="1:3" s="8" customFormat="1" x14ac:dyDescent="0.2">
      <c r="A13259" s="6" t="str">
        <f>"AC092053.4"</f>
        <v>AC092053.4</v>
      </c>
      <c r="B13259" s="6">
        <v>0.47352647352647298</v>
      </c>
      <c r="C13259" s="6">
        <v>0.62756176593981805</v>
      </c>
    </row>
    <row r="13260" spans="1:3" s="8" customFormat="1" x14ac:dyDescent="0.2">
      <c r="A13260" s="6" t="str">
        <f>"FST"</f>
        <v>FST</v>
      </c>
      <c r="B13260" s="6">
        <v>0.47352647352647298</v>
      </c>
      <c r="C13260" s="6">
        <v>0.62756176593981805</v>
      </c>
    </row>
    <row r="13261" spans="1:3" s="8" customFormat="1" x14ac:dyDescent="0.2">
      <c r="A13261" s="6" t="str">
        <f>"RGMB-AS1"</f>
        <v>RGMB-AS1</v>
      </c>
      <c r="B13261" s="6">
        <v>0.47352647352647298</v>
      </c>
      <c r="C13261" s="6">
        <v>0.62756176593981805</v>
      </c>
    </row>
    <row r="13262" spans="1:3" s="8" customFormat="1" x14ac:dyDescent="0.2">
      <c r="A13262" s="6" t="str">
        <f>"L3HYPDH"</f>
        <v>L3HYPDH</v>
      </c>
      <c r="B13262" s="6">
        <v>0.47352647352647298</v>
      </c>
      <c r="C13262" s="6">
        <v>0.62756176593981805</v>
      </c>
    </row>
    <row r="13263" spans="1:3" s="8" customFormat="1" x14ac:dyDescent="0.2">
      <c r="A13263" s="6" t="str">
        <f>"OSGEPL1"</f>
        <v>OSGEPL1</v>
      </c>
      <c r="B13263" s="6">
        <v>0.47352647352647298</v>
      </c>
      <c r="C13263" s="6">
        <v>0.62756176593981805</v>
      </c>
    </row>
    <row r="13264" spans="1:3" s="8" customFormat="1" x14ac:dyDescent="0.2">
      <c r="A13264" s="6" t="str">
        <f>"KRT40"</f>
        <v>KRT40</v>
      </c>
      <c r="B13264" s="6">
        <v>0.47352647352647298</v>
      </c>
      <c r="C13264" s="6">
        <v>0.62756176593981805</v>
      </c>
    </row>
    <row r="13265" spans="1:3" s="8" customFormat="1" x14ac:dyDescent="0.2">
      <c r="A13265" s="6" t="str">
        <f>"RIIAD1"</f>
        <v>RIIAD1</v>
      </c>
      <c r="B13265" s="6">
        <v>0.47352647352647298</v>
      </c>
      <c r="C13265" s="6">
        <v>0.62756176593981805</v>
      </c>
    </row>
    <row r="13266" spans="1:3" s="8" customFormat="1" x14ac:dyDescent="0.2">
      <c r="A13266" s="6" t="str">
        <f>"ZBED6"</f>
        <v>ZBED6</v>
      </c>
      <c r="B13266" s="6">
        <v>0.47352647352647298</v>
      </c>
      <c r="C13266" s="6">
        <v>0.62756176593981805</v>
      </c>
    </row>
    <row r="13267" spans="1:3" s="8" customFormat="1" x14ac:dyDescent="0.2">
      <c r="A13267" s="6" t="str">
        <f>"CREB1"</f>
        <v>CREB1</v>
      </c>
      <c r="B13267" s="6">
        <v>0.47352647352647298</v>
      </c>
      <c r="C13267" s="6">
        <v>0.62756176593981805</v>
      </c>
    </row>
    <row r="13268" spans="1:3" s="8" customFormat="1" x14ac:dyDescent="0.2">
      <c r="A13268" s="6" t="str">
        <f>"SMG6"</f>
        <v>SMG6</v>
      </c>
      <c r="B13268" s="6">
        <v>0.47352647352647298</v>
      </c>
      <c r="C13268" s="6">
        <v>0.62756176593981805</v>
      </c>
    </row>
    <row r="13269" spans="1:3" s="8" customFormat="1" x14ac:dyDescent="0.2">
      <c r="A13269" s="6" t="str">
        <f>"YIPF3"</f>
        <v>YIPF3</v>
      </c>
      <c r="B13269" s="6">
        <v>0.47352647352647298</v>
      </c>
      <c r="C13269" s="6">
        <v>0.62756176593981805</v>
      </c>
    </row>
    <row r="13270" spans="1:3" s="8" customFormat="1" x14ac:dyDescent="0.2">
      <c r="A13270" s="6" t="str">
        <f>"AC104134.1"</f>
        <v>AC104134.1</v>
      </c>
      <c r="B13270" s="6">
        <v>0.47394789579158297</v>
      </c>
      <c r="C13270" s="6">
        <v>0.62807293689043597</v>
      </c>
    </row>
    <row r="13271" spans="1:3" s="8" customFormat="1" x14ac:dyDescent="0.2">
      <c r="A13271" s="6" t="str">
        <f>"AC015871.4"</f>
        <v>AC015871.4</v>
      </c>
      <c r="B13271" s="6">
        <v>0.474320241691842</v>
      </c>
      <c r="C13271" s="6">
        <v>0.62851899999316996</v>
      </c>
    </row>
    <row r="13272" spans="1:3" s="8" customFormat="1" x14ac:dyDescent="0.2">
      <c r="A13272" s="6" t="str">
        <f>"NAP1L3"</f>
        <v>NAP1L3</v>
      </c>
      <c r="B13272" s="6">
        <v>0.47442326980942801</v>
      </c>
      <c r="C13272" s="6">
        <v>0.62855412007954303</v>
      </c>
    </row>
    <row r="13273" spans="1:3" s="8" customFormat="1" x14ac:dyDescent="0.2">
      <c r="A13273" s="6" t="str">
        <f>"ATRNL1"</f>
        <v>ATRNL1</v>
      </c>
      <c r="B13273" s="6">
        <v>0.474525474525474</v>
      </c>
      <c r="C13273" s="6">
        <v>0.62855412007954303</v>
      </c>
    </row>
    <row r="13274" spans="1:3" s="8" customFormat="1" x14ac:dyDescent="0.2">
      <c r="A13274" s="6" t="str">
        <f>"AP003472.1"</f>
        <v>AP003472.1</v>
      </c>
      <c r="B13274" s="6">
        <v>0.474525474525474</v>
      </c>
      <c r="C13274" s="6">
        <v>0.62855412007954303</v>
      </c>
    </row>
    <row r="13275" spans="1:3" s="8" customFormat="1" x14ac:dyDescent="0.2">
      <c r="A13275" s="6" t="str">
        <f>"AGGF1"</f>
        <v>AGGF1</v>
      </c>
      <c r="B13275" s="6">
        <v>0.474525474525474</v>
      </c>
      <c r="C13275" s="6">
        <v>0.62855412007954303</v>
      </c>
    </row>
    <row r="13276" spans="1:3" s="8" customFormat="1" x14ac:dyDescent="0.2">
      <c r="A13276" s="6" t="str">
        <f>"PEA15"</f>
        <v>PEA15</v>
      </c>
      <c r="B13276" s="6">
        <v>0.474525474525474</v>
      </c>
      <c r="C13276" s="6">
        <v>0.62855412007954303</v>
      </c>
    </row>
    <row r="13277" spans="1:3" s="8" customFormat="1" x14ac:dyDescent="0.2">
      <c r="A13277" s="6" t="str">
        <f>"EIPR1-IT1"</f>
        <v>EIPR1-IT1</v>
      </c>
      <c r="B13277" s="6">
        <v>0.47499999999999998</v>
      </c>
      <c r="C13277" s="6">
        <v>0.62913528171135802</v>
      </c>
    </row>
    <row r="13278" spans="1:3" s="8" customFormat="1" x14ac:dyDescent="0.2">
      <c r="A13278" s="6" t="str">
        <f>"PDE6B-AS1"</f>
        <v>PDE6B-AS1</v>
      </c>
      <c r="B13278" s="6">
        <v>0.47552447552447502</v>
      </c>
      <c r="C13278" s="6">
        <v>0.62926116628705397</v>
      </c>
    </row>
    <row r="13279" spans="1:3" s="8" customFormat="1" x14ac:dyDescent="0.2">
      <c r="A13279" s="6" t="str">
        <f>"DCC"</f>
        <v>DCC</v>
      </c>
      <c r="B13279" s="6">
        <v>0.47552447552447502</v>
      </c>
      <c r="C13279" s="6">
        <v>0.62926116628705397</v>
      </c>
    </row>
    <row r="13280" spans="1:3" s="8" customFormat="1" x14ac:dyDescent="0.2">
      <c r="A13280" s="6" t="str">
        <f>"AP005329.1"</f>
        <v>AP005329.1</v>
      </c>
      <c r="B13280" s="6">
        <v>0.47552447552447502</v>
      </c>
      <c r="C13280" s="6">
        <v>0.62926116628705397</v>
      </c>
    </row>
    <row r="13281" spans="1:3" s="8" customFormat="1" x14ac:dyDescent="0.2">
      <c r="A13281" s="6" t="str">
        <f>"IL11"</f>
        <v>IL11</v>
      </c>
      <c r="B13281" s="6">
        <v>0.47552447552447502</v>
      </c>
      <c r="C13281" s="6">
        <v>0.62926116628705397</v>
      </c>
    </row>
    <row r="13282" spans="1:3" s="8" customFormat="1" x14ac:dyDescent="0.2">
      <c r="A13282" s="6" t="str">
        <f>"AC002470.2"</f>
        <v>AC002470.2</v>
      </c>
      <c r="B13282" s="6">
        <v>0.47552447552447502</v>
      </c>
      <c r="C13282" s="6">
        <v>0.62926116628705397</v>
      </c>
    </row>
    <row r="13283" spans="1:3" s="8" customFormat="1" x14ac:dyDescent="0.2">
      <c r="A13283" s="6" t="str">
        <f>"WFDC1"</f>
        <v>WFDC1</v>
      </c>
      <c r="B13283" s="6">
        <v>0.47552447552447502</v>
      </c>
      <c r="C13283" s="6">
        <v>0.62926116628705397</v>
      </c>
    </row>
    <row r="13284" spans="1:3" s="8" customFormat="1" x14ac:dyDescent="0.2">
      <c r="A13284" s="6" t="str">
        <f>"TMEM17"</f>
        <v>TMEM17</v>
      </c>
      <c r="B13284" s="6">
        <v>0.47552447552447502</v>
      </c>
      <c r="C13284" s="6">
        <v>0.62926116628705397</v>
      </c>
    </row>
    <row r="13285" spans="1:3" s="8" customFormat="1" x14ac:dyDescent="0.2">
      <c r="A13285" s="6" t="str">
        <f>"WASHC1"</f>
        <v>WASHC1</v>
      </c>
      <c r="B13285" s="6">
        <v>0.47552447552447502</v>
      </c>
      <c r="C13285" s="6">
        <v>0.62926116628705397</v>
      </c>
    </row>
    <row r="13286" spans="1:3" s="8" customFormat="1" x14ac:dyDescent="0.2">
      <c r="A13286" s="6" t="str">
        <f>"PECR"</f>
        <v>PECR</v>
      </c>
      <c r="B13286" s="6">
        <v>0.47552447552447502</v>
      </c>
      <c r="C13286" s="6">
        <v>0.62926116628705397</v>
      </c>
    </row>
    <row r="13287" spans="1:3" s="8" customFormat="1" x14ac:dyDescent="0.2">
      <c r="A13287" s="6" t="str">
        <f>"HERC2P2"</f>
        <v>HERC2P2</v>
      </c>
      <c r="B13287" s="6">
        <v>0.47552447552447502</v>
      </c>
      <c r="C13287" s="6">
        <v>0.62926116628705397</v>
      </c>
    </row>
    <row r="13288" spans="1:3" s="8" customFormat="1" x14ac:dyDescent="0.2">
      <c r="A13288" s="6" t="str">
        <f>"MRE11"</f>
        <v>MRE11</v>
      </c>
      <c r="B13288" s="6">
        <v>0.47552447552447502</v>
      </c>
      <c r="C13288" s="6">
        <v>0.62926116628705397</v>
      </c>
    </row>
    <row r="13289" spans="1:3" s="8" customFormat="1" x14ac:dyDescent="0.2">
      <c r="A13289" s="6" t="str">
        <f>"MOB1A"</f>
        <v>MOB1A</v>
      </c>
      <c r="B13289" s="6">
        <v>0.47552447552447502</v>
      </c>
      <c r="C13289" s="6">
        <v>0.62926116628705397</v>
      </c>
    </row>
    <row r="13290" spans="1:3" s="8" customFormat="1" x14ac:dyDescent="0.2">
      <c r="A13290" s="6" t="str">
        <f>"AC138230.1"</f>
        <v>AC138230.1</v>
      </c>
      <c r="B13290" s="6">
        <v>0.47585513078470798</v>
      </c>
      <c r="C13290" s="6">
        <v>0.62965133717498001</v>
      </c>
    </row>
    <row r="13291" spans="1:3" s="8" customFormat="1" x14ac:dyDescent="0.2">
      <c r="A13291" s="6" t="str">
        <f>"TEX15"</f>
        <v>TEX15</v>
      </c>
      <c r="B13291" s="6">
        <v>0.47652347652347599</v>
      </c>
      <c r="C13291" s="6">
        <v>0.62987211991196002</v>
      </c>
    </row>
    <row r="13292" spans="1:3" s="8" customFormat="1" x14ac:dyDescent="0.2">
      <c r="A13292" s="6" t="str">
        <f>"Z97205.3"</f>
        <v>Z97205.3</v>
      </c>
      <c r="B13292" s="6">
        <v>0.47652347652347599</v>
      </c>
      <c r="C13292" s="6">
        <v>0.62987211991196002</v>
      </c>
    </row>
    <row r="13293" spans="1:3" s="8" customFormat="1" x14ac:dyDescent="0.2">
      <c r="A13293" s="6" t="str">
        <f>"EIF2S2P4"</f>
        <v>EIF2S2P4</v>
      </c>
      <c r="B13293" s="6">
        <v>0.47652347652347599</v>
      </c>
      <c r="C13293" s="6">
        <v>0.62987211991196002</v>
      </c>
    </row>
    <row r="13294" spans="1:3" s="8" customFormat="1" x14ac:dyDescent="0.2">
      <c r="A13294" s="6" t="str">
        <f>"CLEC9A"</f>
        <v>CLEC9A</v>
      </c>
      <c r="B13294" s="6">
        <v>0.47652347652347599</v>
      </c>
      <c r="C13294" s="6">
        <v>0.62987211991196002</v>
      </c>
    </row>
    <row r="13295" spans="1:3" s="8" customFormat="1" x14ac:dyDescent="0.2">
      <c r="A13295" s="6" t="str">
        <f>"AC133644.1"</f>
        <v>AC133644.1</v>
      </c>
      <c r="B13295" s="6">
        <v>0.47652347652347599</v>
      </c>
      <c r="C13295" s="6">
        <v>0.62987211991196002</v>
      </c>
    </row>
    <row r="13296" spans="1:3" s="8" customFormat="1" x14ac:dyDescent="0.2">
      <c r="A13296" s="6" t="str">
        <f>"LINC00861"</f>
        <v>LINC00861</v>
      </c>
      <c r="B13296" s="6">
        <v>0.47652347652347599</v>
      </c>
      <c r="C13296" s="6">
        <v>0.62987211991196002</v>
      </c>
    </row>
    <row r="13297" spans="1:3" s="8" customFormat="1" x14ac:dyDescent="0.2">
      <c r="A13297" s="6" t="str">
        <f>"SMIM33"</f>
        <v>SMIM33</v>
      </c>
      <c r="B13297" s="6">
        <v>0.47652347652347599</v>
      </c>
      <c r="C13297" s="6">
        <v>0.62987211991196002</v>
      </c>
    </row>
    <row r="13298" spans="1:3" s="8" customFormat="1" x14ac:dyDescent="0.2">
      <c r="A13298" s="6" t="str">
        <f>"AKR7A3"</f>
        <v>AKR7A3</v>
      </c>
      <c r="B13298" s="6">
        <v>0.47652347652347599</v>
      </c>
      <c r="C13298" s="6">
        <v>0.62987211991196002</v>
      </c>
    </row>
    <row r="13299" spans="1:3" s="8" customFormat="1" x14ac:dyDescent="0.2">
      <c r="A13299" s="6" t="str">
        <f>"SMIM8"</f>
        <v>SMIM8</v>
      </c>
      <c r="B13299" s="6">
        <v>0.47652347652347599</v>
      </c>
      <c r="C13299" s="6">
        <v>0.62987211991196002</v>
      </c>
    </row>
    <row r="13300" spans="1:3" s="8" customFormat="1" x14ac:dyDescent="0.2">
      <c r="A13300" s="6" t="str">
        <f>"USP45"</f>
        <v>USP45</v>
      </c>
      <c r="B13300" s="6">
        <v>0.47652347652347599</v>
      </c>
      <c r="C13300" s="6">
        <v>0.62987211991196002</v>
      </c>
    </row>
    <row r="13301" spans="1:3" s="8" customFormat="1" x14ac:dyDescent="0.2">
      <c r="A13301" s="6" t="str">
        <f>"CLIP2"</f>
        <v>CLIP2</v>
      </c>
      <c r="B13301" s="6">
        <v>0.47652347652347599</v>
      </c>
      <c r="C13301" s="6">
        <v>0.62987211991196002</v>
      </c>
    </row>
    <row r="13302" spans="1:3" s="8" customFormat="1" x14ac:dyDescent="0.2">
      <c r="A13302" s="6" t="str">
        <f>"PRUNE2"</f>
        <v>PRUNE2</v>
      </c>
      <c r="B13302" s="6">
        <v>0.47652347652347599</v>
      </c>
      <c r="C13302" s="6">
        <v>0.62987211991196002</v>
      </c>
    </row>
    <row r="13303" spans="1:3" s="8" customFormat="1" x14ac:dyDescent="0.2">
      <c r="A13303" s="6" t="str">
        <f>"CEP250"</f>
        <v>CEP250</v>
      </c>
      <c r="B13303" s="6">
        <v>0.47652347652347599</v>
      </c>
      <c r="C13303" s="6">
        <v>0.62987211991196002</v>
      </c>
    </row>
    <row r="13304" spans="1:3" s="8" customFormat="1" x14ac:dyDescent="0.2">
      <c r="A13304" s="6" t="str">
        <f>"WDR26"</f>
        <v>WDR26</v>
      </c>
      <c r="B13304" s="6">
        <v>0.47652347652347599</v>
      </c>
      <c r="C13304" s="6">
        <v>0.62987211991196002</v>
      </c>
    </row>
    <row r="13305" spans="1:3" s="8" customFormat="1" x14ac:dyDescent="0.2">
      <c r="A13305" s="6" t="str">
        <f>"OR7E108P"</f>
        <v>OR7E108P</v>
      </c>
      <c r="B13305" s="6">
        <v>0.476578411405295</v>
      </c>
      <c r="C13305" s="6">
        <v>0.62989738320435296</v>
      </c>
    </row>
    <row r="13306" spans="1:3" s="8" customFormat="1" x14ac:dyDescent="0.2">
      <c r="A13306" s="6" t="str">
        <f>"BEND7"</f>
        <v>BEND7</v>
      </c>
      <c r="B13306" s="6">
        <v>0.47699999999999998</v>
      </c>
      <c r="C13306" s="6">
        <v>0.63040721533258104</v>
      </c>
    </row>
    <row r="13307" spans="1:3" s="8" customFormat="1" x14ac:dyDescent="0.2">
      <c r="A13307" s="6" t="str">
        <f>"AP001636.3"</f>
        <v>AP001636.3</v>
      </c>
      <c r="B13307" s="6">
        <v>0.47752247752247701</v>
      </c>
      <c r="C13307" s="6">
        <v>0.63062375101428803</v>
      </c>
    </row>
    <row r="13308" spans="1:3" s="8" customFormat="1" x14ac:dyDescent="0.2">
      <c r="A13308" s="6" t="str">
        <f>"AC020661.1"</f>
        <v>AC020661.1</v>
      </c>
      <c r="B13308" s="6">
        <v>0.47752247752247701</v>
      </c>
      <c r="C13308" s="6">
        <v>0.63062375101428803</v>
      </c>
    </row>
    <row r="13309" spans="1:3" s="8" customFormat="1" x14ac:dyDescent="0.2">
      <c r="A13309" s="6" t="str">
        <f>"POLR2J2"</f>
        <v>POLR2J2</v>
      </c>
      <c r="B13309" s="6">
        <v>0.47752247752247701</v>
      </c>
      <c r="C13309" s="6">
        <v>0.63062375101428803</v>
      </c>
    </row>
    <row r="13310" spans="1:3" s="8" customFormat="1" x14ac:dyDescent="0.2">
      <c r="A13310" s="6" t="str">
        <f>"DANT2"</f>
        <v>DANT2</v>
      </c>
      <c r="B13310" s="6">
        <v>0.47752247752247701</v>
      </c>
      <c r="C13310" s="6">
        <v>0.63062375101428803</v>
      </c>
    </row>
    <row r="13311" spans="1:3" s="8" customFormat="1" x14ac:dyDescent="0.2">
      <c r="A13311" s="6" t="str">
        <f>"SLC7A14-AS1"</f>
        <v>SLC7A14-AS1</v>
      </c>
      <c r="B13311" s="6">
        <v>0.47752247752247701</v>
      </c>
      <c r="C13311" s="6">
        <v>0.63062375101428803</v>
      </c>
    </row>
    <row r="13312" spans="1:3" s="8" customFormat="1" x14ac:dyDescent="0.2">
      <c r="A13312" s="6" t="str">
        <f>"CUBN"</f>
        <v>CUBN</v>
      </c>
      <c r="B13312" s="6">
        <v>0.47752247752247701</v>
      </c>
      <c r="C13312" s="6">
        <v>0.63062375101428803</v>
      </c>
    </row>
    <row r="13313" spans="1:3" s="8" customFormat="1" x14ac:dyDescent="0.2">
      <c r="A13313" s="6" t="str">
        <f>"MTMR11"</f>
        <v>MTMR11</v>
      </c>
      <c r="B13313" s="6">
        <v>0.47752247752247701</v>
      </c>
      <c r="C13313" s="6">
        <v>0.63062375101428803</v>
      </c>
    </row>
    <row r="13314" spans="1:3" s="8" customFormat="1" x14ac:dyDescent="0.2">
      <c r="A13314" s="6" t="str">
        <f>"ATG10"</f>
        <v>ATG10</v>
      </c>
      <c r="B13314" s="6">
        <v>0.47752247752247701</v>
      </c>
      <c r="C13314" s="6">
        <v>0.63062375101428803</v>
      </c>
    </row>
    <row r="13315" spans="1:3" s="8" customFormat="1" x14ac:dyDescent="0.2">
      <c r="A13315" s="6" t="str">
        <f>"PIK3C3"</f>
        <v>PIK3C3</v>
      </c>
      <c r="B13315" s="6">
        <v>0.47752247752247701</v>
      </c>
      <c r="C13315" s="6">
        <v>0.63062375101428803</v>
      </c>
    </row>
    <row r="13316" spans="1:3" s="8" customFormat="1" x14ac:dyDescent="0.2">
      <c r="A13316" s="6" t="str">
        <f>"SCAMP2"</f>
        <v>SCAMP2</v>
      </c>
      <c r="B13316" s="6">
        <v>0.47752247752247701</v>
      </c>
      <c r="C13316" s="6">
        <v>0.63062375101428803</v>
      </c>
    </row>
    <row r="13317" spans="1:3" s="8" customFormat="1" x14ac:dyDescent="0.2">
      <c r="A13317" s="6" t="str">
        <f>"AC090517.4"</f>
        <v>AC090517.4</v>
      </c>
      <c r="B13317" s="6">
        <v>0.47799999999999998</v>
      </c>
      <c r="C13317" s="6">
        <v>0.63115957047382998</v>
      </c>
    </row>
    <row r="13318" spans="1:3" s="8" customFormat="1" x14ac:dyDescent="0.2">
      <c r="A13318" s="6" t="str">
        <f>"TP53I11"</f>
        <v>TP53I11</v>
      </c>
      <c r="B13318" s="6">
        <v>0.47799999999999998</v>
      </c>
      <c r="C13318" s="6">
        <v>0.63115957047382998</v>
      </c>
    </row>
    <row r="13319" spans="1:3" s="8" customFormat="1" x14ac:dyDescent="0.2">
      <c r="A13319" s="6" t="str">
        <f>"ADGRD1-AS1"</f>
        <v>ADGRD1-AS1</v>
      </c>
      <c r="B13319" s="6">
        <v>0.47852147852147803</v>
      </c>
      <c r="C13319" s="6">
        <v>0.63161099522006203</v>
      </c>
    </row>
    <row r="13320" spans="1:3" s="8" customFormat="1" x14ac:dyDescent="0.2">
      <c r="A13320" s="6" t="str">
        <f>"USP42"</f>
        <v>USP42</v>
      </c>
      <c r="B13320" s="6">
        <v>0.47852147852147803</v>
      </c>
      <c r="C13320" s="6">
        <v>0.63161099522006203</v>
      </c>
    </row>
    <row r="13321" spans="1:3" s="8" customFormat="1" x14ac:dyDescent="0.2">
      <c r="A13321" s="6" t="str">
        <f>"GTF3C5"</f>
        <v>GTF3C5</v>
      </c>
      <c r="B13321" s="6">
        <v>0.47852147852147803</v>
      </c>
      <c r="C13321" s="6">
        <v>0.63161099522006203</v>
      </c>
    </row>
    <row r="13322" spans="1:3" s="8" customFormat="1" x14ac:dyDescent="0.2">
      <c r="A13322" s="6" t="str">
        <f>"WDR13"</f>
        <v>WDR13</v>
      </c>
      <c r="B13322" s="6">
        <v>0.47852147852147803</v>
      </c>
      <c r="C13322" s="6">
        <v>0.63161099522006203</v>
      </c>
    </row>
    <row r="13323" spans="1:3" s="8" customFormat="1" x14ac:dyDescent="0.2">
      <c r="A13323" s="6" t="str">
        <f>"GOLM2"</f>
        <v>GOLM2</v>
      </c>
      <c r="B13323" s="6">
        <v>0.47852147852147803</v>
      </c>
      <c r="C13323" s="6">
        <v>0.63161099522006203</v>
      </c>
    </row>
    <row r="13324" spans="1:3" s="8" customFormat="1" x14ac:dyDescent="0.2">
      <c r="A13324" s="6" t="str">
        <f>"AC011825.3"</f>
        <v>AC011825.3</v>
      </c>
      <c r="B13324" s="6">
        <v>0.47899999999999998</v>
      </c>
      <c r="C13324" s="6">
        <v>0.63205282905598004</v>
      </c>
    </row>
    <row r="13325" spans="1:3" s="8" customFormat="1" x14ac:dyDescent="0.2">
      <c r="A13325" s="6" t="str">
        <f>"PFN4"</f>
        <v>PFN4</v>
      </c>
      <c r="B13325" s="6">
        <v>0.47899999999999998</v>
      </c>
      <c r="C13325" s="6">
        <v>0.63205282905598004</v>
      </c>
    </row>
    <row r="13326" spans="1:3" s="8" customFormat="1" x14ac:dyDescent="0.2">
      <c r="A13326" s="6" t="str">
        <f>"DMD"</f>
        <v>DMD</v>
      </c>
      <c r="B13326" s="6">
        <v>0.47899999999999998</v>
      </c>
      <c r="C13326" s="6">
        <v>0.63205282905598004</v>
      </c>
    </row>
    <row r="13327" spans="1:3" s="8" customFormat="1" x14ac:dyDescent="0.2">
      <c r="A13327" s="6" t="str">
        <f>"ARHGAP39"</f>
        <v>ARHGAP39</v>
      </c>
      <c r="B13327" s="6">
        <v>0.47899999999999998</v>
      </c>
      <c r="C13327" s="6">
        <v>0.63205282905598004</v>
      </c>
    </row>
    <row r="13328" spans="1:3" s="8" customFormat="1" x14ac:dyDescent="0.2">
      <c r="A13328" s="6" t="str">
        <f>"IGHV1-3"</f>
        <v>IGHV1-3</v>
      </c>
      <c r="B13328" s="6">
        <v>0.47952047952047899</v>
      </c>
      <c r="C13328" s="6">
        <v>0.63221774851076795</v>
      </c>
    </row>
    <row r="13329" spans="1:3" s="8" customFormat="1" x14ac:dyDescent="0.2">
      <c r="A13329" s="6" t="str">
        <f>"CDC42-AS1"</f>
        <v>CDC42-AS1</v>
      </c>
      <c r="B13329" s="6">
        <v>0.47952047952047899</v>
      </c>
      <c r="C13329" s="6">
        <v>0.63221774851076795</v>
      </c>
    </row>
    <row r="13330" spans="1:3" s="8" customFormat="1" x14ac:dyDescent="0.2">
      <c r="A13330" s="6" t="str">
        <f>"GUCY1A2"</f>
        <v>GUCY1A2</v>
      </c>
      <c r="B13330" s="6">
        <v>0.47952047952047899</v>
      </c>
      <c r="C13330" s="6">
        <v>0.63221774851076795</v>
      </c>
    </row>
    <row r="13331" spans="1:3" s="8" customFormat="1" x14ac:dyDescent="0.2">
      <c r="A13331" s="6" t="str">
        <f>"VSIG8"</f>
        <v>VSIG8</v>
      </c>
      <c r="B13331" s="6">
        <v>0.47952047952047899</v>
      </c>
      <c r="C13331" s="6">
        <v>0.63221774851076795</v>
      </c>
    </row>
    <row r="13332" spans="1:3" s="8" customFormat="1" x14ac:dyDescent="0.2">
      <c r="A13332" s="6" t="str">
        <f>"AC019294.2"</f>
        <v>AC019294.2</v>
      </c>
      <c r="B13332" s="6">
        <v>0.47952047952047899</v>
      </c>
      <c r="C13332" s="6">
        <v>0.63221774851076795</v>
      </c>
    </row>
    <row r="13333" spans="1:3" s="8" customFormat="1" x14ac:dyDescent="0.2">
      <c r="A13333" s="6" t="str">
        <f>"CENPH"</f>
        <v>CENPH</v>
      </c>
      <c r="B13333" s="6">
        <v>0.47952047952047899</v>
      </c>
      <c r="C13333" s="6">
        <v>0.63221774851076795</v>
      </c>
    </row>
    <row r="13334" spans="1:3" s="8" customFormat="1" x14ac:dyDescent="0.2">
      <c r="A13334" s="6" t="str">
        <f>"AL391422.4"</f>
        <v>AL391422.4</v>
      </c>
      <c r="B13334" s="6">
        <v>0.47952047952047899</v>
      </c>
      <c r="C13334" s="6">
        <v>0.63221774851076795</v>
      </c>
    </row>
    <row r="13335" spans="1:3" s="8" customFormat="1" x14ac:dyDescent="0.2">
      <c r="A13335" s="6" t="str">
        <f>"FAM118A"</f>
        <v>FAM118A</v>
      </c>
      <c r="B13335" s="6">
        <v>0.47952047952047899</v>
      </c>
      <c r="C13335" s="6">
        <v>0.63221774851076795</v>
      </c>
    </row>
    <row r="13336" spans="1:3" s="8" customFormat="1" x14ac:dyDescent="0.2">
      <c r="A13336" s="6" t="str">
        <f>"GFOD2"</f>
        <v>GFOD2</v>
      </c>
      <c r="B13336" s="6">
        <v>0.47952047952047899</v>
      </c>
      <c r="C13336" s="6">
        <v>0.63221774851076795</v>
      </c>
    </row>
    <row r="13337" spans="1:3" s="8" customFormat="1" x14ac:dyDescent="0.2">
      <c r="A13337" s="6" t="str">
        <f>"PSMC5"</f>
        <v>PSMC5</v>
      </c>
      <c r="B13337" s="6">
        <v>0.47952047952047899</v>
      </c>
      <c r="C13337" s="6">
        <v>0.63221774851076795</v>
      </c>
    </row>
    <row r="13338" spans="1:3" s="8" customFormat="1" x14ac:dyDescent="0.2">
      <c r="A13338" s="6" t="str">
        <f>"CST3"</f>
        <v>CST3</v>
      </c>
      <c r="B13338" s="6">
        <v>0.47952047952047899</v>
      </c>
      <c r="C13338" s="6">
        <v>0.63221774851076795</v>
      </c>
    </row>
    <row r="13339" spans="1:3" s="8" customFormat="1" x14ac:dyDescent="0.2">
      <c r="A13339" s="6" t="str">
        <f>"SCARNA16"</f>
        <v>SCARNA16</v>
      </c>
      <c r="B13339" s="6">
        <v>0.48051948051948001</v>
      </c>
      <c r="C13339" s="6">
        <v>0.63277574668273295</v>
      </c>
    </row>
    <row r="13340" spans="1:3" s="8" customFormat="1" x14ac:dyDescent="0.2">
      <c r="A13340" s="6" t="str">
        <f>"AC006207.1"</f>
        <v>AC006207.1</v>
      </c>
      <c r="B13340" s="6">
        <v>0.48044132397191502</v>
      </c>
      <c r="C13340" s="6">
        <v>0.63277574668273295</v>
      </c>
    </row>
    <row r="13341" spans="1:3" s="8" customFormat="1" x14ac:dyDescent="0.2">
      <c r="A13341" s="6" t="str">
        <f>"TDRD5"</f>
        <v>TDRD5</v>
      </c>
      <c r="B13341" s="6">
        <v>0.48051948051948001</v>
      </c>
      <c r="C13341" s="6">
        <v>0.63277574668273295</v>
      </c>
    </row>
    <row r="13342" spans="1:3" s="8" customFormat="1" x14ac:dyDescent="0.2">
      <c r="A13342" s="6" t="str">
        <f>"AC125618.1"</f>
        <v>AC125618.1</v>
      </c>
      <c r="B13342" s="6">
        <v>0.48051948051948001</v>
      </c>
      <c r="C13342" s="6">
        <v>0.63277574668273295</v>
      </c>
    </row>
    <row r="13343" spans="1:3" s="8" customFormat="1" x14ac:dyDescent="0.2">
      <c r="A13343" s="6" t="str">
        <f>"GDNF-AS1"</f>
        <v>GDNF-AS1</v>
      </c>
      <c r="B13343" s="6">
        <v>0.48051948051948001</v>
      </c>
      <c r="C13343" s="6">
        <v>0.63277574668273295</v>
      </c>
    </row>
    <row r="13344" spans="1:3" s="8" customFormat="1" x14ac:dyDescent="0.2">
      <c r="A13344" s="6" t="str">
        <f>"SEC1P"</f>
        <v>SEC1P</v>
      </c>
      <c r="B13344" s="6">
        <v>0.48051948051948001</v>
      </c>
      <c r="C13344" s="6">
        <v>0.63277574668273295</v>
      </c>
    </row>
    <row r="13345" spans="1:3" s="8" customFormat="1" x14ac:dyDescent="0.2">
      <c r="A13345" s="6" t="str">
        <f>"AC025678.3"</f>
        <v>AC025678.3</v>
      </c>
      <c r="B13345" s="6">
        <v>0.48051948051948001</v>
      </c>
      <c r="C13345" s="6">
        <v>0.63277574668273295</v>
      </c>
    </row>
    <row r="13346" spans="1:3" s="8" customFormat="1" x14ac:dyDescent="0.2">
      <c r="A13346" s="6" t="str">
        <f>"ZNF727"</f>
        <v>ZNF727</v>
      </c>
      <c r="B13346" s="6">
        <v>0.48051948051948001</v>
      </c>
      <c r="C13346" s="6">
        <v>0.63277574668273295</v>
      </c>
    </row>
    <row r="13347" spans="1:3" s="8" customFormat="1" x14ac:dyDescent="0.2">
      <c r="A13347" s="6" t="str">
        <f>"POU5F1"</f>
        <v>POU5F1</v>
      </c>
      <c r="B13347" s="6">
        <v>0.48051948051948001</v>
      </c>
      <c r="C13347" s="6">
        <v>0.63277574668273295</v>
      </c>
    </row>
    <row r="13348" spans="1:3" s="8" customFormat="1" x14ac:dyDescent="0.2">
      <c r="A13348" s="6" t="str">
        <f>"C1orf53"</f>
        <v>C1orf53</v>
      </c>
      <c r="B13348" s="6">
        <v>0.48051948051948001</v>
      </c>
      <c r="C13348" s="6">
        <v>0.63277574668273295</v>
      </c>
    </row>
    <row r="13349" spans="1:3" s="8" customFormat="1" x14ac:dyDescent="0.2">
      <c r="A13349" s="6" t="str">
        <f>"MORN4"</f>
        <v>MORN4</v>
      </c>
      <c r="B13349" s="6">
        <v>0.48051948051948001</v>
      </c>
      <c r="C13349" s="6">
        <v>0.63277574668273295</v>
      </c>
    </row>
    <row r="13350" spans="1:3" s="8" customFormat="1" x14ac:dyDescent="0.2">
      <c r="A13350" s="6" t="str">
        <f>"NFRKB"</f>
        <v>NFRKB</v>
      </c>
      <c r="B13350" s="6">
        <v>0.48051948051948001</v>
      </c>
      <c r="C13350" s="6">
        <v>0.63277574668273295</v>
      </c>
    </row>
    <row r="13351" spans="1:3" s="8" customFormat="1" x14ac:dyDescent="0.2">
      <c r="A13351" s="6" t="str">
        <f>"DHX57"</f>
        <v>DHX57</v>
      </c>
      <c r="B13351" s="6">
        <v>0.48051948051948001</v>
      </c>
      <c r="C13351" s="6">
        <v>0.63277574668273295</v>
      </c>
    </row>
    <row r="13352" spans="1:3" s="8" customFormat="1" x14ac:dyDescent="0.2">
      <c r="A13352" s="6" t="str">
        <f>"VPS28"</f>
        <v>VPS28</v>
      </c>
      <c r="B13352" s="6">
        <v>0.48051948051948001</v>
      </c>
      <c r="C13352" s="6">
        <v>0.63277574668273295</v>
      </c>
    </row>
    <row r="13353" spans="1:3" s="8" customFormat="1" x14ac:dyDescent="0.2">
      <c r="A13353" s="6" t="str">
        <f>"SYMPK"</f>
        <v>SYMPK</v>
      </c>
      <c r="B13353" s="6">
        <v>0.48051948051948001</v>
      </c>
      <c r="C13353" s="6">
        <v>0.63277574668273295</v>
      </c>
    </row>
    <row r="13354" spans="1:3" s="8" customFormat="1" x14ac:dyDescent="0.2">
      <c r="A13354" s="6" t="str">
        <f>"KPNB1"</f>
        <v>KPNB1</v>
      </c>
      <c r="B13354" s="6">
        <v>0.48051948051948001</v>
      </c>
      <c r="C13354" s="6">
        <v>0.63277574668273295</v>
      </c>
    </row>
    <row r="13355" spans="1:3" s="8" customFormat="1" x14ac:dyDescent="0.2">
      <c r="A13355" s="6" t="str">
        <f>"GIGYF1"</f>
        <v>GIGYF1</v>
      </c>
      <c r="B13355" s="6">
        <v>0.48099999999999998</v>
      </c>
      <c r="C13355" s="6">
        <v>0.63331366529389699</v>
      </c>
    </row>
    <row r="13356" spans="1:3" s="8" customFormat="1" x14ac:dyDescent="0.2">
      <c r="A13356" s="6" t="str">
        <f>"EIF3A"</f>
        <v>EIF3A</v>
      </c>
      <c r="B13356" s="6">
        <v>0.48099999999999998</v>
      </c>
      <c r="C13356" s="6">
        <v>0.63331366529389699</v>
      </c>
    </row>
    <row r="13357" spans="1:3" s="8" customFormat="1" x14ac:dyDescent="0.2">
      <c r="A13357" s="6" t="str">
        <f>"PARD3-AS1"</f>
        <v>PARD3-AS1</v>
      </c>
      <c r="B13357" s="6">
        <v>0.48140703517587902</v>
      </c>
      <c r="C13357" s="6">
        <v>0.63352195877448403</v>
      </c>
    </row>
    <row r="13358" spans="1:3" s="8" customFormat="1" x14ac:dyDescent="0.2">
      <c r="A13358" s="6" t="str">
        <f>"TLCD4-RWDD3"</f>
        <v>TLCD4-RWDD3</v>
      </c>
      <c r="B13358" s="6">
        <v>0.48151848151848098</v>
      </c>
      <c r="C13358" s="6">
        <v>0.63352195877448403</v>
      </c>
    </row>
    <row r="13359" spans="1:3" s="8" customFormat="1" x14ac:dyDescent="0.2">
      <c r="A13359" s="6" t="str">
        <f>"AC105052.1"</f>
        <v>AC105052.1</v>
      </c>
      <c r="B13359" s="6">
        <v>0.48151848151848098</v>
      </c>
      <c r="C13359" s="6">
        <v>0.63352195877448403</v>
      </c>
    </row>
    <row r="13360" spans="1:3" s="8" customFormat="1" x14ac:dyDescent="0.2">
      <c r="A13360" s="6" t="str">
        <f>"PDLIM3"</f>
        <v>PDLIM3</v>
      </c>
      <c r="B13360" s="6">
        <v>0.48151848151848098</v>
      </c>
      <c r="C13360" s="6">
        <v>0.63352195877448403</v>
      </c>
    </row>
    <row r="13361" spans="1:3" s="8" customFormat="1" x14ac:dyDescent="0.2">
      <c r="A13361" s="6" t="str">
        <f>"CBS"</f>
        <v>CBS</v>
      </c>
      <c r="B13361" s="6">
        <v>0.48151848151848098</v>
      </c>
      <c r="C13361" s="6">
        <v>0.63352195877448403</v>
      </c>
    </row>
    <row r="13362" spans="1:3" s="8" customFormat="1" x14ac:dyDescent="0.2">
      <c r="A13362" s="6" t="str">
        <f>"SPTBN4"</f>
        <v>SPTBN4</v>
      </c>
      <c r="B13362" s="6">
        <v>0.48151848151848098</v>
      </c>
      <c r="C13362" s="6">
        <v>0.63352195877448403</v>
      </c>
    </row>
    <row r="13363" spans="1:3" s="8" customFormat="1" x14ac:dyDescent="0.2">
      <c r="A13363" s="6" t="str">
        <f>"Z95115.1"</f>
        <v>Z95115.1</v>
      </c>
      <c r="B13363" s="6">
        <v>0.48151848151848098</v>
      </c>
      <c r="C13363" s="6">
        <v>0.63352195877448403</v>
      </c>
    </row>
    <row r="13364" spans="1:3" s="8" customFormat="1" x14ac:dyDescent="0.2">
      <c r="A13364" s="6" t="str">
        <f>"RFXANK"</f>
        <v>RFXANK</v>
      </c>
      <c r="B13364" s="6">
        <v>0.48151848151848098</v>
      </c>
      <c r="C13364" s="6">
        <v>0.63352195877448403</v>
      </c>
    </row>
    <row r="13365" spans="1:3" s="8" customFormat="1" x14ac:dyDescent="0.2">
      <c r="A13365" s="6" t="str">
        <f>"SMS"</f>
        <v>SMS</v>
      </c>
      <c r="B13365" s="6">
        <v>0.48151848151848098</v>
      </c>
      <c r="C13365" s="6">
        <v>0.63352195877448403</v>
      </c>
    </row>
    <row r="13366" spans="1:3" s="8" customFormat="1" x14ac:dyDescent="0.2">
      <c r="A13366" s="6" t="str">
        <f>"TRAF4"</f>
        <v>TRAF4</v>
      </c>
      <c r="B13366" s="6">
        <v>0.48151848151848098</v>
      </c>
      <c r="C13366" s="6">
        <v>0.63352195877448403</v>
      </c>
    </row>
    <row r="13367" spans="1:3" s="8" customFormat="1" x14ac:dyDescent="0.2">
      <c r="A13367" s="6" t="str">
        <f>"ST7-OT4"</f>
        <v>ST7-OT4</v>
      </c>
      <c r="B13367" s="6">
        <v>0.482517482517482</v>
      </c>
      <c r="C13367" s="6">
        <v>0.63402984700249598</v>
      </c>
    </row>
    <row r="13368" spans="1:3" s="8" customFormat="1" x14ac:dyDescent="0.2">
      <c r="A13368" s="6" t="str">
        <f>"IGKV2-28"</f>
        <v>IGKV2-28</v>
      </c>
      <c r="B13368" s="6">
        <v>0.482517482517482</v>
      </c>
      <c r="C13368" s="6">
        <v>0.63402984700249598</v>
      </c>
    </row>
    <row r="13369" spans="1:3" s="8" customFormat="1" x14ac:dyDescent="0.2">
      <c r="A13369" s="6" t="str">
        <f>"KLRG2"</f>
        <v>KLRG2</v>
      </c>
      <c r="B13369" s="6">
        <v>0.482517482517482</v>
      </c>
      <c r="C13369" s="6">
        <v>0.63402984700249598</v>
      </c>
    </row>
    <row r="13370" spans="1:3" s="8" customFormat="1" x14ac:dyDescent="0.2">
      <c r="A13370" s="6" t="str">
        <f>"AC138696.1"</f>
        <v>AC138696.1</v>
      </c>
      <c r="B13370" s="6">
        <v>0.482517482517482</v>
      </c>
      <c r="C13370" s="6">
        <v>0.63402984700249598</v>
      </c>
    </row>
    <row r="13371" spans="1:3" s="8" customFormat="1" x14ac:dyDescent="0.2">
      <c r="A13371" s="6" t="str">
        <f>"TFEC"</f>
        <v>TFEC</v>
      </c>
      <c r="B13371" s="6">
        <v>0.48199999999999998</v>
      </c>
      <c r="C13371" s="6">
        <v>0.63402984700249598</v>
      </c>
    </row>
    <row r="13372" spans="1:3" s="8" customFormat="1" x14ac:dyDescent="0.2">
      <c r="A13372" s="6" t="str">
        <f>"AL590064.1"</f>
        <v>AL590064.1</v>
      </c>
      <c r="B13372" s="6">
        <v>0.482517482517482</v>
      </c>
      <c r="C13372" s="6">
        <v>0.63402984700249598</v>
      </c>
    </row>
    <row r="13373" spans="1:3" s="8" customFormat="1" x14ac:dyDescent="0.2">
      <c r="A13373" s="6" t="str">
        <f>"VSIG1"</f>
        <v>VSIG1</v>
      </c>
      <c r="B13373" s="6">
        <v>0.482517482517482</v>
      </c>
      <c r="C13373" s="6">
        <v>0.63402984700249598</v>
      </c>
    </row>
    <row r="13374" spans="1:3" s="8" customFormat="1" x14ac:dyDescent="0.2">
      <c r="A13374" s="6" t="str">
        <f>"PAX8"</f>
        <v>PAX8</v>
      </c>
      <c r="B13374" s="6">
        <v>0.482517482517482</v>
      </c>
      <c r="C13374" s="6">
        <v>0.63402984700249598</v>
      </c>
    </row>
    <row r="13375" spans="1:3" s="8" customFormat="1" x14ac:dyDescent="0.2">
      <c r="A13375" s="6" t="str">
        <f>"MAT1A"</f>
        <v>MAT1A</v>
      </c>
      <c r="B13375" s="6">
        <v>0.482517482517482</v>
      </c>
      <c r="C13375" s="6">
        <v>0.63402984700249598</v>
      </c>
    </row>
    <row r="13376" spans="1:3" s="8" customFormat="1" x14ac:dyDescent="0.2">
      <c r="A13376" s="6" t="str">
        <f>"TRPT1"</f>
        <v>TRPT1</v>
      </c>
      <c r="B13376" s="6">
        <v>0.482517482517482</v>
      </c>
      <c r="C13376" s="6">
        <v>0.63402984700249598</v>
      </c>
    </row>
    <row r="13377" spans="1:3" s="8" customFormat="1" x14ac:dyDescent="0.2">
      <c r="A13377" s="6" t="str">
        <f>"TRAPPC11"</f>
        <v>TRAPPC11</v>
      </c>
      <c r="B13377" s="6">
        <v>0.482517482517482</v>
      </c>
      <c r="C13377" s="6">
        <v>0.63402984700249598</v>
      </c>
    </row>
    <row r="13378" spans="1:3" s="8" customFormat="1" x14ac:dyDescent="0.2">
      <c r="A13378" s="6" t="str">
        <f>"ANAPC7"</f>
        <v>ANAPC7</v>
      </c>
      <c r="B13378" s="6">
        <v>0.482517482517482</v>
      </c>
      <c r="C13378" s="6">
        <v>0.63402984700249598</v>
      </c>
    </row>
    <row r="13379" spans="1:3" s="8" customFormat="1" x14ac:dyDescent="0.2">
      <c r="A13379" s="6" t="str">
        <f>"STATH"</f>
        <v>STATH</v>
      </c>
      <c r="B13379" s="6">
        <v>0.482517482517482</v>
      </c>
      <c r="C13379" s="6">
        <v>0.63402984700249598</v>
      </c>
    </row>
    <row r="13380" spans="1:3" s="8" customFormat="1" x14ac:dyDescent="0.2">
      <c r="A13380" s="6" t="str">
        <f>"RPGR"</f>
        <v>RPGR</v>
      </c>
      <c r="B13380" s="6">
        <v>0.482517482517482</v>
      </c>
      <c r="C13380" s="6">
        <v>0.63402984700249598</v>
      </c>
    </row>
    <row r="13381" spans="1:3" s="8" customFormat="1" x14ac:dyDescent="0.2">
      <c r="A13381" s="6" t="str">
        <f>"PIN1"</f>
        <v>PIN1</v>
      </c>
      <c r="B13381" s="6">
        <v>0.482517482517482</v>
      </c>
      <c r="C13381" s="6">
        <v>0.63402984700249598</v>
      </c>
    </row>
    <row r="13382" spans="1:3" s="8" customFormat="1" x14ac:dyDescent="0.2">
      <c r="A13382" s="6" t="str">
        <f>"CYB5D1"</f>
        <v>CYB5D1</v>
      </c>
      <c r="B13382" s="6">
        <v>0.48199999999999998</v>
      </c>
      <c r="C13382" s="6">
        <v>0.63402984700249598</v>
      </c>
    </row>
    <row r="13383" spans="1:3" s="8" customFormat="1" x14ac:dyDescent="0.2">
      <c r="A13383" s="6" t="str">
        <f>"ERBB2"</f>
        <v>ERBB2</v>
      </c>
      <c r="B13383" s="6">
        <v>0.482517482517482</v>
      </c>
      <c r="C13383" s="6">
        <v>0.63402984700249598</v>
      </c>
    </row>
    <row r="13384" spans="1:3" s="8" customFormat="1" x14ac:dyDescent="0.2">
      <c r="A13384" s="6" t="str">
        <f>"AC104447.1"</f>
        <v>AC104447.1</v>
      </c>
      <c r="B13384" s="6">
        <v>0.48293691830403301</v>
      </c>
      <c r="C13384" s="6">
        <v>0.63453357030995405</v>
      </c>
    </row>
    <row r="13385" spans="1:3" s="8" customFormat="1" x14ac:dyDescent="0.2">
      <c r="A13385" s="6" t="str">
        <f>"CTNNA1P1"</f>
        <v>CTNNA1P1</v>
      </c>
      <c r="B13385" s="6">
        <v>0.48299999999999998</v>
      </c>
      <c r="C13385" s="6">
        <v>0.63456903765690298</v>
      </c>
    </row>
    <row r="13386" spans="1:3" s="8" customFormat="1" x14ac:dyDescent="0.2">
      <c r="A13386" s="6" t="str">
        <f>"NR4A1AS"</f>
        <v>NR4A1AS</v>
      </c>
      <c r="B13386" s="6">
        <v>0.48351648351648302</v>
      </c>
      <c r="C13386" s="6">
        <v>0.63463117460281004</v>
      </c>
    </row>
    <row r="13387" spans="1:3" s="8" customFormat="1" x14ac:dyDescent="0.2">
      <c r="A13387" s="6" t="str">
        <f>"AC080038.1"</f>
        <v>AC080038.1</v>
      </c>
      <c r="B13387" s="6">
        <v>0.48351648351648302</v>
      </c>
      <c r="C13387" s="6">
        <v>0.63463117460281004</v>
      </c>
    </row>
    <row r="13388" spans="1:3" s="8" customFormat="1" x14ac:dyDescent="0.2">
      <c r="A13388" s="6" t="str">
        <f>"FAM110D"</f>
        <v>FAM110D</v>
      </c>
      <c r="B13388" s="6">
        <v>0.48345035105315898</v>
      </c>
      <c r="C13388" s="6">
        <v>0.63463117460281004</v>
      </c>
    </row>
    <row r="13389" spans="1:3" s="8" customFormat="1" x14ac:dyDescent="0.2">
      <c r="A13389" s="6" t="str">
        <f>"AC018755.3"</f>
        <v>AC018755.3</v>
      </c>
      <c r="B13389" s="6">
        <v>0.48351648351648302</v>
      </c>
      <c r="C13389" s="6">
        <v>0.63463117460281004</v>
      </c>
    </row>
    <row r="13390" spans="1:3" s="8" customFormat="1" x14ac:dyDescent="0.2">
      <c r="A13390" s="6" t="str">
        <f>"LINC01376"</f>
        <v>LINC01376</v>
      </c>
      <c r="B13390" s="6">
        <v>0.48351648351648302</v>
      </c>
      <c r="C13390" s="6">
        <v>0.63463117460281004</v>
      </c>
    </row>
    <row r="13391" spans="1:3" s="8" customFormat="1" x14ac:dyDescent="0.2">
      <c r="A13391" s="6" t="str">
        <f>"ADAMTS14"</f>
        <v>ADAMTS14</v>
      </c>
      <c r="B13391" s="6">
        <v>0.48351648351648302</v>
      </c>
      <c r="C13391" s="6">
        <v>0.63463117460281004</v>
      </c>
    </row>
    <row r="13392" spans="1:3" s="8" customFormat="1" x14ac:dyDescent="0.2">
      <c r="A13392" s="6" t="str">
        <f>"SH3BP5-AS1"</f>
        <v>SH3BP5-AS1</v>
      </c>
      <c r="B13392" s="6">
        <v>0.48351648351648302</v>
      </c>
      <c r="C13392" s="6">
        <v>0.63463117460281004</v>
      </c>
    </row>
    <row r="13393" spans="1:3" s="8" customFormat="1" x14ac:dyDescent="0.2">
      <c r="A13393" s="6" t="str">
        <f>"SYNPO2"</f>
        <v>SYNPO2</v>
      </c>
      <c r="B13393" s="6">
        <v>0.48351648351648302</v>
      </c>
      <c r="C13393" s="6">
        <v>0.63463117460281004</v>
      </c>
    </row>
    <row r="13394" spans="1:3" s="8" customFormat="1" x14ac:dyDescent="0.2">
      <c r="A13394" s="6" t="str">
        <f>"AC068587.4"</f>
        <v>AC068587.4</v>
      </c>
      <c r="B13394" s="6">
        <v>0.48351648351648302</v>
      </c>
      <c r="C13394" s="6">
        <v>0.63463117460281004</v>
      </c>
    </row>
    <row r="13395" spans="1:3" s="8" customFormat="1" x14ac:dyDescent="0.2">
      <c r="A13395" s="6" t="str">
        <f>"EPG5"</f>
        <v>EPG5</v>
      </c>
      <c r="B13395" s="6">
        <v>0.48351648351648302</v>
      </c>
      <c r="C13395" s="6">
        <v>0.63463117460281004</v>
      </c>
    </row>
    <row r="13396" spans="1:3" s="8" customFormat="1" x14ac:dyDescent="0.2">
      <c r="A13396" s="6" t="str">
        <f>"RCN2"</f>
        <v>RCN2</v>
      </c>
      <c r="B13396" s="6">
        <v>0.48351648351648302</v>
      </c>
      <c r="C13396" s="6">
        <v>0.63463117460281004</v>
      </c>
    </row>
    <row r="13397" spans="1:3" s="8" customFormat="1" x14ac:dyDescent="0.2">
      <c r="A13397" s="6" t="str">
        <f>"TFDP2"</f>
        <v>TFDP2</v>
      </c>
      <c r="B13397" s="6">
        <v>0.48351648351648302</v>
      </c>
      <c r="C13397" s="6">
        <v>0.63463117460281004</v>
      </c>
    </row>
    <row r="13398" spans="1:3" s="8" customFormat="1" x14ac:dyDescent="0.2">
      <c r="A13398" s="6" t="str">
        <f>"AMD1"</f>
        <v>AMD1</v>
      </c>
      <c r="B13398" s="6">
        <v>0.48351648351648302</v>
      </c>
      <c r="C13398" s="6">
        <v>0.63463117460281004</v>
      </c>
    </row>
    <row r="13399" spans="1:3" s="8" customFormat="1" x14ac:dyDescent="0.2">
      <c r="A13399" s="6" t="str">
        <f>"AC115284.4"</f>
        <v>AC115284.4</v>
      </c>
      <c r="B13399" s="6">
        <v>0.48377281947261602</v>
      </c>
      <c r="C13399" s="6">
        <v>0.63492023119916996</v>
      </c>
    </row>
    <row r="13400" spans="1:3" s="8" customFormat="1" x14ac:dyDescent="0.2">
      <c r="A13400" s="6" t="str">
        <f>"AL355385.1"</f>
        <v>AL355385.1</v>
      </c>
      <c r="B13400" s="6">
        <v>0.483870967741935</v>
      </c>
      <c r="C13400" s="6">
        <v>0.63500164913606905</v>
      </c>
    </row>
    <row r="13401" spans="1:3" s="8" customFormat="1" x14ac:dyDescent="0.2">
      <c r="A13401" s="6" t="str">
        <f>"ARHGEF4"</f>
        <v>ARHGEF4</v>
      </c>
      <c r="B13401" s="6">
        <v>0.48399999999999999</v>
      </c>
      <c r="C13401" s="6">
        <v>0.63507618834415303</v>
      </c>
    </row>
    <row r="13402" spans="1:3" s="8" customFormat="1" x14ac:dyDescent="0.2">
      <c r="A13402" s="6" t="str">
        <f>"RPS19"</f>
        <v>RPS19</v>
      </c>
      <c r="B13402" s="6">
        <v>0.48399999999999999</v>
      </c>
      <c r="C13402" s="6">
        <v>0.63507618834415303</v>
      </c>
    </row>
    <row r="13403" spans="1:3" s="8" customFormat="1" x14ac:dyDescent="0.2">
      <c r="A13403" s="6" t="str">
        <f>"TRIM58"</f>
        <v>TRIM58</v>
      </c>
      <c r="B13403" s="6">
        <v>0.48451548451548399</v>
      </c>
      <c r="C13403" s="6">
        <v>0.63537327762847895</v>
      </c>
    </row>
    <row r="13404" spans="1:3" s="8" customFormat="1" x14ac:dyDescent="0.2">
      <c r="A13404" s="6" t="str">
        <f>"LRRC24"</f>
        <v>LRRC24</v>
      </c>
      <c r="B13404" s="6">
        <v>0.484484484484484</v>
      </c>
      <c r="C13404" s="6">
        <v>0.63537327762847895</v>
      </c>
    </row>
    <row r="13405" spans="1:3" s="8" customFormat="1" x14ac:dyDescent="0.2">
      <c r="A13405" s="6" t="str">
        <f>"PSMC1P1"</f>
        <v>PSMC1P1</v>
      </c>
      <c r="B13405" s="6">
        <v>0.48451548451548399</v>
      </c>
      <c r="C13405" s="6">
        <v>0.63537327762847895</v>
      </c>
    </row>
    <row r="13406" spans="1:3" s="8" customFormat="1" x14ac:dyDescent="0.2">
      <c r="A13406" s="6" t="str">
        <f>"C5orf38"</f>
        <v>C5orf38</v>
      </c>
      <c r="B13406" s="6">
        <v>0.48451548451548399</v>
      </c>
      <c r="C13406" s="6">
        <v>0.63537327762847895</v>
      </c>
    </row>
    <row r="13407" spans="1:3" s="8" customFormat="1" x14ac:dyDescent="0.2">
      <c r="A13407" s="6" t="str">
        <f>"RUSC1"</f>
        <v>RUSC1</v>
      </c>
      <c r="B13407" s="6">
        <v>0.48451548451548399</v>
      </c>
      <c r="C13407" s="6">
        <v>0.63537327762847895</v>
      </c>
    </row>
    <row r="13408" spans="1:3" s="8" customFormat="1" x14ac:dyDescent="0.2">
      <c r="A13408" s="6" t="str">
        <f>"SNX12"</f>
        <v>SNX12</v>
      </c>
      <c r="B13408" s="6">
        <v>0.48451548451548399</v>
      </c>
      <c r="C13408" s="6">
        <v>0.63537327762847895</v>
      </c>
    </row>
    <row r="13409" spans="1:3" s="8" customFormat="1" x14ac:dyDescent="0.2">
      <c r="A13409" s="6" t="str">
        <f>"ERH"</f>
        <v>ERH</v>
      </c>
      <c r="B13409" s="6">
        <v>0.48451548451548399</v>
      </c>
      <c r="C13409" s="6">
        <v>0.63537327762847895</v>
      </c>
    </row>
    <row r="13410" spans="1:3" s="8" customFormat="1" x14ac:dyDescent="0.2">
      <c r="A13410" s="6" t="str">
        <f>"SERINC5"</f>
        <v>SERINC5</v>
      </c>
      <c r="B13410" s="6">
        <v>0.48451548451548399</v>
      </c>
      <c r="C13410" s="6">
        <v>0.63537327762847895</v>
      </c>
    </row>
    <row r="13411" spans="1:3" s="8" customFormat="1" x14ac:dyDescent="0.2">
      <c r="A13411" s="6" t="str">
        <f>"AL807776.1"</f>
        <v>AL807776.1</v>
      </c>
      <c r="B13411" s="6">
        <v>0.48499999999999999</v>
      </c>
      <c r="C13411" s="6">
        <v>0.63591380210275095</v>
      </c>
    </row>
    <row r="13412" spans="1:3" s="8" customFormat="1" x14ac:dyDescent="0.2">
      <c r="A13412" s="6" t="str">
        <f>"ARPC4"</f>
        <v>ARPC4</v>
      </c>
      <c r="B13412" s="6">
        <v>0.48499999999999999</v>
      </c>
      <c r="C13412" s="6">
        <v>0.63591380210275095</v>
      </c>
    </row>
    <row r="13413" spans="1:3" s="8" customFormat="1" x14ac:dyDescent="0.2">
      <c r="A13413" s="6" t="str">
        <f>"AL049844.3"</f>
        <v>AL049844.3</v>
      </c>
      <c r="B13413" s="6">
        <v>0.48551448551448501</v>
      </c>
      <c r="C13413" s="6">
        <v>0.63611405359412199</v>
      </c>
    </row>
    <row r="13414" spans="1:3" s="8" customFormat="1" x14ac:dyDescent="0.2">
      <c r="A13414" s="6" t="str">
        <f>"LINC02710"</f>
        <v>LINC02710</v>
      </c>
      <c r="B13414" s="6">
        <v>0.48551448551448501</v>
      </c>
      <c r="C13414" s="6">
        <v>0.63611405359412199</v>
      </c>
    </row>
    <row r="13415" spans="1:3" s="8" customFormat="1" x14ac:dyDescent="0.2">
      <c r="A13415" s="6" t="str">
        <f>"FRMD5"</f>
        <v>FRMD5</v>
      </c>
      <c r="B13415" s="6">
        <v>0.48551448551448501</v>
      </c>
      <c r="C13415" s="6">
        <v>0.63611405359412199</v>
      </c>
    </row>
    <row r="13416" spans="1:3" s="8" customFormat="1" x14ac:dyDescent="0.2">
      <c r="A13416" s="6" t="str">
        <f>"AC100861.1"</f>
        <v>AC100861.1</v>
      </c>
      <c r="B13416" s="6">
        <v>0.48551448551448501</v>
      </c>
      <c r="C13416" s="6">
        <v>0.63611405359412199</v>
      </c>
    </row>
    <row r="13417" spans="1:3" s="8" customFormat="1" x14ac:dyDescent="0.2">
      <c r="A13417" s="6" t="str">
        <f>"FAM111B"</f>
        <v>FAM111B</v>
      </c>
      <c r="B13417" s="6">
        <v>0.48551448551448501</v>
      </c>
      <c r="C13417" s="6">
        <v>0.63611405359412199</v>
      </c>
    </row>
    <row r="13418" spans="1:3" s="8" customFormat="1" x14ac:dyDescent="0.2">
      <c r="A13418" s="6" t="str">
        <f>"RIC8B"</f>
        <v>RIC8B</v>
      </c>
      <c r="B13418" s="6">
        <v>0.48551448551448501</v>
      </c>
      <c r="C13418" s="6">
        <v>0.63611405359412199</v>
      </c>
    </row>
    <row r="13419" spans="1:3" s="8" customFormat="1" x14ac:dyDescent="0.2">
      <c r="A13419" s="6" t="str">
        <f>"SLC7A6OS"</f>
        <v>SLC7A6OS</v>
      </c>
      <c r="B13419" s="6">
        <v>0.48551448551448501</v>
      </c>
      <c r="C13419" s="6">
        <v>0.63611405359412199</v>
      </c>
    </row>
    <row r="13420" spans="1:3" s="8" customFormat="1" x14ac:dyDescent="0.2">
      <c r="A13420" s="6" t="str">
        <f>"SNTB2"</f>
        <v>SNTB2</v>
      </c>
      <c r="B13420" s="6">
        <v>0.48551448551448501</v>
      </c>
      <c r="C13420" s="6">
        <v>0.63611405359412199</v>
      </c>
    </row>
    <row r="13421" spans="1:3" s="8" customFormat="1" x14ac:dyDescent="0.2">
      <c r="A13421" s="6" t="str">
        <f>"PIK3C2A"</f>
        <v>PIK3C2A</v>
      </c>
      <c r="B13421" s="6">
        <v>0.48551448551448501</v>
      </c>
      <c r="C13421" s="6">
        <v>0.63611405359412199</v>
      </c>
    </row>
    <row r="13422" spans="1:3" s="8" customFormat="1" x14ac:dyDescent="0.2">
      <c r="A13422" s="6" t="str">
        <f>"RHPN2"</f>
        <v>RHPN2</v>
      </c>
      <c r="B13422" s="6">
        <v>0.48551448551448501</v>
      </c>
      <c r="C13422" s="6">
        <v>0.63611405359412199</v>
      </c>
    </row>
    <row r="13423" spans="1:3" s="8" customFormat="1" x14ac:dyDescent="0.2">
      <c r="A13423" s="6" t="str">
        <f>"PRICKLE2-AS1"</f>
        <v>PRICKLE2-AS1</v>
      </c>
      <c r="B13423" s="6">
        <v>0.48651348651348603</v>
      </c>
      <c r="C13423" s="6">
        <v>0.63713809092523599</v>
      </c>
    </row>
    <row r="13424" spans="1:3" s="8" customFormat="1" x14ac:dyDescent="0.2">
      <c r="A13424" s="6" t="str">
        <f>"ADAM11"</f>
        <v>ADAM11</v>
      </c>
      <c r="B13424" s="6">
        <v>0.48651348651348603</v>
      </c>
      <c r="C13424" s="6">
        <v>0.63713809092523599</v>
      </c>
    </row>
    <row r="13425" spans="1:3" s="8" customFormat="1" x14ac:dyDescent="0.2">
      <c r="A13425" s="6" t="str">
        <f>"SUSD2"</f>
        <v>SUSD2</v>
      </c>
      <c r="B13425" s="6">
        <v>0.48651348651348603</v>
      </c>
      <c r="C13425" s="6">
        <v>0.63713809092523599</v>
      </c>
    </row>
    <row r="13426" spans="1:3" s="8" customFormat="1" x14ac:dyDescent="0.2">
      <c r="A13426" s="6" t="str">
        <f>"ZCWPW1"</f>
        <v>ZCWPW1</v>
      </c>
      <c r="B13426" s="6">
        <v>0.48651348651348603</v>
      </c>
      <c r="C13426" s="6">
        <v>0.63713809092523599</v>
      </c>
    </row>
    <row r="13427" spans="1:3" s="8" customFormat="1" x14ac:dyDescent="0.2">
      <c r="A13427" s="6" t="str">
        <f>"RFX5"</f>
        <v>RFX5</v>
      </c>
      <c r="B13427" s="6">
        <v>0.48651348651348603</v>
      </c>
      <c r="C13427" s="6">
        <v>0.63713809092523599</v>
      </c>
    </row>
    <row r="13428" spans="1:3" s="8" customFormat="1" x14ac:dyDescent="0.2">
      <c r="A13428" s="6" t="str">
        <f>"BMPR2"</f>
        <v>BMPR2</v>
      </c>
      <c r="B13428" s="6">
        <v>0.48651348651348603</v>
      </c>
      <c r="C13428" s="6">
        <v>0.63713809092523599</v>
      </c>
    </row>
    <row r="13429" spans="1:3" s="8" customFormat="1" x14ac:dyDescent="0.2">
      <c r="A13429" s="6" t="str">
        <f>"ACOXL"</f>
        <v>ACOXL</v>
      </c>
      <c r="B13429" s="6">
        <v>0.48715313463514898</v>
      </c>
      <c r="C13429" s="6">
        <v>0.63792826328749297</v>
      </c>
    </row>
    <row r="13430" spans="1:3" s="8" customFormat="1" x14ac:dyDescent="0.2">
      <c r="A13430" s="6" t="str">
        <f>"DYNAP"</f>
        <v>DYNAP</v>
      </c>
      <c r="B13430" s="6">
        <v>0.48738647830474202</v>
      </c>
      <c r="C13430" s="6">
        <v>0.63801872435394302</v>
      </c>
    </row>
    <row r="13431" spans="1:3" s="8" customFormat="1" x14ac:dyDescent="0.2">
      <c r="A13431" s="6" t="str">
        <f>"CDH6"</f>
        <v>CDH6</v>
      </c>
      <c r="B13431" s="6">
        <v>0.48751248751248699</v>
      </c>
      <c r="C13431" s="6">
        <v>0.63801872435394302</v>
      </c>
    </row>
    <row r="13432" spans="1:3" s="8" customFormat="1" x14ac:dyDescent="0.2">
      <c r="A13432" s="6" t="str">
        <f>"UGT8"</f>
        <v>UGT8</v>
      </c>
      <c r="B13432" s="6">
        <v>0.48751248751248699</v>
      </c>
      <c r="C13432" s="6">
        <v>0.63801872435394302</v>
      </c>
    </row>
    <row r="13433" spans="1:3" s="8" customFormat="1" x14ac:dyDescent="0.2">
      <c r="A13433" s="6" t="str">
        <f>"PRR5L"</f>
        <v>PRR5L</v>
      </c>
      <c r="B13433" s="6">
        <v>0.48751248751248699</v>
      </c>
      <c r="C13433" s="6">
        <v>0.63801872435394302</v>
      </c>
    </row>
    <row r="13434" spans="1:3" s="8" customFormat="1" x14ac:dyDescent="0.2">
      <c r="A13434" s="6" t="str">
        <f>"TRIM32"</f>
        <v>TRIM32</v>
      </c>
      <c r="B13434" s="6">
        <v>0.48751248751248699</v>
      </c>
      <c r="C13434" s="6">
        <v>0.63801872435394302</v>
      </c>
    </row>
    <row r="13435" spans="1:3" s="8" customFormat="1" x14ac:dyDescent="0.2">
      <c r="A13435" s="6" t="str">
        <f>"GFER"</f>
        <v>GFER</v>
      </c>
      <c r="B13435" s="6">
        <v>0.48751248751248699</v>
      </c>
      <c r="C13435" s="6">
        <v>0.63801872435394302</v>
      </c>
    </row>
    <row r="13436" spans="1:3" s="8" customFormat="1" x14ac:dyDescent="0.2">
      <c r="A13436" s="6" t="str">
        <f>"PPM1B"</f>
        <v>PPM1B</v>
      </c>
      <c r="B13436" s="6">
        <v>0.48751248751248699</v>
      </c>
      <c r="C13436" s="6">
        <v>0.63801872435394302</v>
      </c>
    </row>
    <row r="13437" spans="1:3" s="8" customFormat="1" x14ac:dyDescent="0.2">
      <c r="A13437" s="6" t="str">
        <f>"RPL37A"</f>
        <v>RPL37A</v>
      </c>
      <c r="B13437" s="6">
        <v>0.48751248751248699</v>
      </c>
      <c r="C13437" s="6">
        <v>0.63801872435394302</v>
      </c>
    </row>
    <row r="13438" spans="1:3" s="8" customFormat="1" x14ac:dyDescent="0.2">
      <c r="A13438" s="6" t="str">
        <f>"AL583859.3"</f>
        <v>AL583859.3</v>
      </c>
      <c r="B13438" s="6">
        <v>0.48787878787878702</v>
      </c>
      <c r="C13438" s="6">
        <v>0.63845059210096</v>
      </c>
    </row>
    <row r="13439" spans="1:3" s="8" customFormat="1" x14ac:dyDescent="0.2">
      <c r="A13439" s="6" t="str">
        <f>"AC011472.4"</f>
        <v>AC011472.4</v>
      </c>
      <c r="B13439" s="6">
        <v>0.48799999999999999</v>
      </c>
      <c r="C13439" s="6">
        <v>0.63851417516184195</v>
      </c>
    </row>
    <row r="13440" spans="1:3" s="8" customFormat="1" x14ac:dyDescent="0.2">
      <c r="A13440" s="6" t="str">
        <f>"RTN3"</f>
        <v>RTN3</v>
      </c>
      <c r="B13440" s="6">
        <v>0.48799999999999999</v>
      </c>
      <c r="C13440" s="6">
        <v>0.63851417516184195</v>
      </c>
    </row>
    <row r="13441" spans="1:3" s="8" customFormat="1" x14ac:dyDescent="0.2">
      <c r="A13441" s="6" t="str">
        <f>"SCAANT1"</f>
        <v>SCAANT1</v>
      </c>
      <c r="B13441" s="6">
        <v>0.48848848848848803</v>
      </c>
      <c r="C13441" s="6">
        <v>0.63885066294704795</v>
      </c>
    </row>
    <row r="13442" spans="1:3" s="8" customFormat="1" x14ac:dyDescent="0.2">
      <c r="A13442" s="6" t="str">
        <f>"URGCP-MRPS24"</f>
        <v>URGCP-MRPS24</v>
      </c>
      <c r="B13442" s="6">
        <v>0.48851148851148801</v>
      </c>
      <c r="C13442" s="6">
        <v>0.63885066294704795</v>
      </c>
    </row>
    <row r="13443" spans="1:3" s="8" customFormat="1" x14ac:dyDescent="0.2">
      <c r="A13443" s="6" t="str">
        <f>"RASGRF2"</f>
        <v>RASGRF2</v>
      </c>
      <c r="B13443" s="6">
        <v>0.48851148851148801</v>
      </c>
      <c r="C13443" s="6">
        <v>0.63885066294704795</v>
      </c>
    </row>
    <row r="13444" spans="1:3" s="8" customFormat="1" x14ac:dyDescent="0.2">
      <c r="A13444" s="6" t="str">
        <f>"AP001977.1"</f>
        <v>AP001977.1</v>
      </c>
      <c r="B13444" s="6">
        <v>0.48851148851148801</v>
      </c>
      <c r="C13444" s="6">
        <v>0.63885066294704795</v>
      </c>
    </row>
    <row r="13445" spans="1:3" s="8" customFormat="1" x14ac:dyDescent="0.2">
      <c r="A13445" s="6" t="str">
        <f>"USH1C"</f>
        <v>USH1C</v>
      </c>
      <c r="B13445" s="6">
        <v>0.48851148851148801</v>
      </c>
      <c r="C13445" s="6">
        <v>0.63885066294704795</v>
      </c>
    </row>
    <row r="13446" spans="1:3" s="8" customFormat="1" x14ac:dyDescent="0.2">
      <c r="A13446" s="6" t="str">
        <f>"UBIAD1"</f>
        <v>UBIAD1</v>
      </c>
      <c r="B13446" s="6">
        <v>0.48851148851148801</v>
      </c>
      <c r="C13446" s="6">
        <v>0.63885066294704795</v>
      </c>
    </row>
    <row r="13447" spans="1:3" s="8" customFormat="1" x14ac:dyDescent="0.2">
      <c r="A13447" s="6" t="str">
        <f>"CRACR2A"</f>
        <v>CRACR2A</v>
      </c>
      <c r="B13447" s="6">
        <v>0.48851148851148801</v>
      </c>
      <c r="C13447" s="6">
        <v>0.63885066294704795</v>
      </c>
    </row>
    <row r="13448" spans="1:3" s="8" customFormat="1" x14ac:dyDescent="0.2">
      <c r="A13448" s="6" t="str">
        <f>"AC069288.1"</f>
        <v>AC069288.1</v>
      </c>
      <c r="B13448" s="6">
        <v>0.48899999999999999</v>
      </c>
      <c r="C13448" s="6">
        <v>0.63944195731389897</v>
      </c>
    </row>
    <row r="13449" spans="1:3" s="8" customFormat="1" x14ac:dyDescent="0.2">
      <c r="A13449" s="6" t="str">
        <f>"USP50"</f>
        <v>USP50</v>
      </c>
      <c r="B13449" s="6">
        <v>0.48951048951048898</v>
      </c>
      <c r="C13449" s="6">
        <v>0.63972890728743503</v>
      </c>
    </row>
    <row r="13450" spans="1:3" s="8" customFormat="1" x14ac:dyDescent="0.2">
      <c r="A13450" s="6" t="str">
        <f>"AL161772.1"</f>
        <v>AL161772.1</v>
      </c>
      <c r="B13450" s="6">
        <v>0.48951048951048898</v>
      </c>
      <c r="C13450" s="6">
        <v>0.63972890728743503</v>
      </c>
    </row>
    <row r="13451" spans="1:3" s="8" customFormat="1" x14ac:dyDescent="0.2">
      <c r="A13451" s="6" t="str">
        <f>"ZNF85"</f>
        <v>ZNF85</v>
      </c>
      <c r="B13451" s="6">
        <v>0.48951048951048898</v>
      </c>
      <c r="C13451" s="6">
        <v>0.63972890728743503</v>
      </c>
    </row>
    <row r="13452" spans="1:3" s="8" customFormat="1" x14ac:dyDescent="0.2">
      <c r="A13452" s="6" t="str">
        <f>"CDK19"</f>
        <v>CDK19</v>
      </c>
      <c r="B13452" s="6">
        <v>0.48951048951048898</v>
      </c>
      <c r="C13452" s="6">
        <v>0.63972890728743503</v>
      </c>
    </row>
    <row r="13453" spans="1:3" s="8" customFormat="1" x14ac:dyDescent="0.2">
      <c r="A13453" s="6" t="str">
        <f>"MTMR2"</f>
        <v>MTMR2</v>
      </c>
      <c r="B13453" s="6">
        <v>0.48951048951048898</v>
      </c>
      <c r="C13453" s="6">
        <v>0.63972890728743503</v>
      </c>
    </row>
    <row r="13454" spans="1:3" s="8" customFormat="1" x14ac:dyDescent="0.2">
      <c r="A13454" s="6" t="str">
        <f>"RICTOR"</f>
        <v>RICTOR</v>
      </c>
      <c r="B13454" s="6">
        <v>0.48951048951048898</v>
      </c>
      <c r="C13454" s="6">
        <v>0.63972890728743503</v>
      </c>
    </row>
    <row r="13455" spans="1:3" s="8" customFormat="1" x14ac:dyDescent="0.2">
      <c r="A13455" s="6" t="str">
        <f>"SEMA4A"</f>
        <v>SEMA4A</v>
      </c>
      <c r="B13455" s="6">
        <v>0.48951048951048898</v>
      </c>
      <c r="C13455" s="6">
        <v>0.63972890728743503</v>
      </c>
    </row>
    <row r="13456" spans="1:3" s="8" customFormat="1" x14ac:dyDescent="0.2">
      <c r="A13456" s="6" t="str">
        <f>"GALNT7"</f>
        <v>GALNT7</v>
      </c>
      <c r="B13456" s="6">
        <v>0.48951048951048898</v>
      </c>
      <c r="C13456" s="6">
        <v>0.63972890728743503</v>
      </c>
    </row>
    <row r="13457" spans="1:3" s="8" customFormat="1" x14ac:dyDescent="0.2">
      <c r="A13457" s="6" t="str">
        <f>"CCT6P1"</f>
        <v>CCT6P1</v>
      </c>
      <c r="B13457" s="6">
        <v>0.49</v>
      </c>
      <c r="C13457" s="6">
        <v>0.64032104637336495</v>
      </c>
    </row>
    <row r="13458" spans="1:3" s="8" customFormat="1" x14ac:dyDescent="0.2">
      <c r="A13458" s="6" t="str">
        <f>"TMEM183B"</f>
        <v>TMEM183B</v>
      </c>
      <c r="B13458" s="6">
        <v>0.49050949050949</v>
      </c>
      <c r="C13458" s="6">
        <v>0.64060597750437298</v>
      </c>
    </row>
    <row r="13459" spans="1:3" s="8" customFormat="1" x14ac:dyDescent="0.2">
      <c r="A13459" s="6" t="str">
        <f>"TUBB8P8"</f>
        <v>TUBB8P8</v>
      </c>
      <c r="B13459" s="6">
        <v>0.49050949050949</v>
      </c>
      <c r="C13459" s="6">
        <v>0.64060597750437298</v>
      </c>
    </row>
    <row r="13460" spans="1:3" s="8" customFormat="1" x14ac:dyDescent="0.2">
      <c r="A13460" s="6" t="str">
        <f>"TSSC2"</f>
        <v>TSSC2</v>
      </c>
      <c r="B13460" s="6">
        <v>0.49049049049048998</v>
      </c>
      <c r="C13460" s="6">
        <v>0.64060597750437298</v>
      </c>
    </row>
    <row r="13461" spans="1:3" s="8" customFormat="1" x14ac:dyDescent="0.2">
      <c r="A13461" s="6" t="str">
        <f>"STAT4"</f>
        <v>STAT4</v>
      </c>
      <c r="B13461" s="6">
        <v>0.49050949050949</v>
      </c>
      <c r="C13461" s="6">
        <v>0.64060597750437298</v>
      </c>
    </row>
    <row r="13462" spans="1:3" s="8" customFormat="1" x14ac:dyDescent="0.2">
      <c r="A13462" s="6" t="str">
        <f>"TP53AIP1"</f>
        <v>TP53AIP1</v>
      </c>
      <c r="B13462" s="6">
        <v>0.49050949050949</v>
      </c>
      <c r="C13462" s="6">
        <v>0.64060597750437298</v>
      </c>
    </row>
    <row r="13463" spans="1:3" s="8" customFormat="1" x14ac:dyDescent="0.2">
      <c r="A13463" s="6" t="str">
        <f>"CEP164"</f>
        <v>CEP164</v>
      </c>
      <c r="B13463" s="6">
        <v>0.49050949050949</v>
      </c>
      <c r="C13463" s="6">
        <v>0.64060597750437298</v>
      </c>
    </row>
    <row r="13464" spans="1:3" s="8" customFormat="1" x14ac:dyDescent="0.2">
      <c r="A13464" s="6" t="str">
        <f>"DYRK1A"</f>
        <v>DYRK1A</v>
      </c>
      <c r="B13464" s="6">
        <v>0.49050949050949</v>
      </c>
      <c r="C13464" s="6">
        <v>0.64060597750437298</v>
      </c>
    </row>
    <row r="13465" spans="1:3" s="8" customFormat="1" x14ac:dyDescent="0.2">
      <c r="A13465" s="6" t="str">
        <f>"PSMA4"</f>
        <v>PSMA4</v>
      </c>
      <c r="B13465" s="6">
        <v>0.49050949050949</v>
      </c>
      <c r="C13465" s="6">
        <v>0.64060597750437298</v>
      </c>
    </row>
    <row r="13466" spans="1:3" s="8" customFormat="1" x14ac:dyDescent="0.2">
      <c r="A13466" s="6" t="str">
        <f>"AC074051.3"</f>
        <v>AC074051.3</v>
      </c>
      <c r="B13466" s="6">
        <v>0.49058577405857701</v>
      </c>
      <c r="C13466" s="6">
        <v>0.64065802087233703</v>
      </c>
    </row>
    <row r="13467" spans="1:3" s="8" customFormat="1" x14ac:dyDescent="0.2">
      <c r="A13467" s="6" t="str">
        <f>"UGT3A2"</f>
        <v>UGT3A2</v>
      </c>
      <c r="B13467" s="6">
        <v>0.49150849150849102</v>
      </c>
      <c r="C13467" s="6">
        <v>0.64143426708366502</v>
      </c>
    </row>
    <row r="13468" spans="1:3" s="8" customFormat="1" x14ac:dyDescent="0.2">
      <c r="A13468" s="6" t="str">
        <f>"AC009053.3"</f>
        <v>AC009053.3</v>
      </c>
      <c r="B13468" s="6">
        <v>0.49150849150849102</v>
      </c>
      <c r="C13468" s="6">
        <v>0.64143426708366502</v>
      </c>
    </row>
    <row r="13469" spans="1:3" s="8" customFormat="1" x14ac:dyDescent="0.2">
      <c r="A13469" s="6" t="str">
        <f>"SLC25A41"</f>
        <v>SLC25A41</v>
      </c>
      <c r="B13469" s="6">
        <v>0.49150849150849102</v>
      </c>
      <c r="C13469" s="6">
        <v>0.64143426708366502</v>
      </c>
    </row>
    <row r="13470" spans="1:3" s="8" customFormat="1" x14ac:dyDescent="0.2">
      <c r="A13470" s="6" t="str">
        <f>"AP001528.2"</f>
        <v>AP001528.2</v>
      </c>
      <c r="B13470" s="6">
        <v>0.49150849150849102</v>
      </c>
      <c r="C13470" s="6">
        <v>0.64143426708366502</v>
      </c>
    </row>
    <row r="13471" spans="1:3" s="8" customFormat="1" x14ac:dyDescent="0.2">
      <c r="A13471" s="6" t="str">
        <f>"PANK2-AS1"</f>
        <v>PANK2-AS1</v>
      </c>
      <c r="B13471" s="6">
        <v>0.49150849150849102</v>
      </c>
      <c r="C13471" s="6">
        <v>0.64143426708366502</v>
      </c>
    </row>
    <row r="13472" spans="1:3" s="8" customFormat="1" x14ac:dyDescent="0.2">
      <c r="A13472" s="6" t="str">
        <f>"SERHL"</f>
        <v>SERHL</v>
      </c>
      <c r="B13472" s="6">
        <v>0.49150849150849102</v>
      </c>
      <c r="C13472" s="6">
        <v>0.64143426708366502</v>
      </c>
    </row>
    <row r="13473" spans="1:3" s="8" customFormat="1" x14ac:dyDescent="0.2">
      <c r="A13473" s="6" t="str">
        <f>"SCAI"</f>
        <v>SCAI</v>
      </c>
      <c r="B13473" s="6">
        <v>0.49150849150849102</v>
      </c>
      <c r="C13473" s="6">
        <v>0.64143426708366502</v>
      </c>
    </row>
    <row r="13474" spans="1:3" s="8" customFormat="1" x14ac:dyDescent="0.2">
      <c r="A13474" s="6" t="str">
        <f>"C19orf44"</f>
        <v>C19orf44</v>
      </c>
      <c r="B13474" s="6">
        <v>0.49150849150849102</v>
      </c>
      <c r="C13474" s="6">
        <v>0.64143426708366502</v>
      </c>
    </row>
    <row r="13475" spans="1:3" s="8" customFormat="1" x14ac:dyDescent="0.2">
      <c r="A13475" s="6" t="str">
        <f>"CUTA"</f>
        <v>CUTA</v>
      </c>
      <c r="B13475" s="6">
        <v>0.49150849150849102</v>
      </c>
      <c r="C13475" s="6">
        <v>0.64143426708366502</v>
      </c>
    </row>
    <row r="13476" spans="1:3" s="8" customFormat="1" x14ac:dyDescent="0.2">
      <c r="A13476" s="6" t="str">
        <f>"SERPINB6"</f>
        <v>SERPINB6</v>
      </c>
      <c r="B13476" s="6">
        <v>0.49199999999999999</v>
      </c>
      <c r="C13476" s="6">
        <v>0.64202805194805102</v>
      </c>
    </row>
    <row r="13477" spans="1:3" s="8" customFormat="1" x14ac:dyDescent="0.2">
      <c r="A13477" s="6" t="str">
        <f>"NTRK1"</f>
        <v>NTRK1</v>
      </c>
      <c r="B13477" s="6">
        <v>0.49250749250749198</v>
      </c>
      <c r="C13477" s="6">
        <v>0.64235660497342695</v>
      </c>
    </row>
    <row r="13478" spans="1:3" s="8" customFormat="1" x14ac:dyDescent="0.2">
      <c r="A13478" s="6" t="str">
        <f>"AC104758.2"</f>
        <v>AC104758.2</v>
      </c>
      <c r="B13478" s="6">
        <v>0.492492492492492</v>
      </c>
      <c r="C13478" s="6">
        <v>0.64235660497342695</v>
      </c>
    </row>
    <row r="13479" spans="1:3" s="8" customFormat="1" x14ac:dyDescent="0.2">
      <c r="A13479" s="6" t="str">
        <f>"RPL23AP49"</f>
        <v>RPL23AP49</v>
      </c>
      <c r="B13479" s="6">
        <v>0.49250749250749198</v>
      </c>
      <c r="C13479" s="6">
        <v>0.64235660497342695</v>
      </c>
    </row>
    <row r="13480" spans="1:3" s="8" customFormat="1" x14ac:dyDescent="0.2">
      <c r="A13480" s="6" t="str">
        <f>"AC073263.1"</f>
        <v>AC073263.1</v>
      </c>
      <c r="B13480" s="6">
        <v>0.49250749250749198</v>
      </c>
      <c r="C13480" s="6">
        <v>0.64235660497342695</v>
      </c>
    </row>
    <row r="13481" spans="1:3" s="8" customFormat="1" x14ac:dyDescent="0.2">
      <c r="A13481" s="6" t="str">
        <f>"AC079466.1"</f>
        <v>AC079466.1</v>
      </c>
      <c r="B13481" s="6">
        <v>0.49250749250749198</v>
      </c>
      <c r="C13481" s="6">
        <v>0.64235660497342695</v>
      </c>
    </row>
    <row r="13482" spans="1:3" s="8" customFormat="1" x14ac:dyDescent="0.2">
      <c r="A13482" s="6" t="str">
        <f>"SDHAP2"</f>
        <v>SDHAP2</v>
      </c>
      <c r="B13482" s="6">
        <v>0.492492492492492</v>
      </c>
      <c r="C13482" s="6">
        <v>0.64235660497342695</v>
      </c>
    </row>
    <row r="13483" spans="1:3" s="8" customFormat="1" x14ac:dyDescent="0.2">
      <c r="A13483" s="6" t="str">
        <f>"DYNC2I1"</f>
        <v>DYNC2I1</v>
      </c>
      <c r="B13483" s="6">
        <v>0.49250749250749198</v>
      </c>
      <c r="C13483" s="6">
        <v>0.64235660497342695</v>
      </c>
    </row>
    <row r="13484" spans="1:3" s="8" customFormat="1" x14ac:dyDescent="0.2">
      <c r="A13484" s="6" t="str">
        <f>"DRD4"</f>
        <v>DRD4</v>
      </c>
      <c r="B13484" s="6">
        <v>0.49299999999999999</v>
      </c>
      <c r="C13484" s="6">
        <v>0.64290358943933501</v>
      </c>
    </row>
    <row r="13485" spans="1:3" s="8" customFormat="1" x14ac:dyDescent="0.2">
      <c r="A13485" s="6" t="str">
        <f>"AC005076.1"</f>
        <v>AC005076.1</v>
      </c>
      <c r="B13485" s="6">
        <v>0.49299999999999999</v>
      </c>
      <c r="C13485" s="6">
        <v>0.64290358943933501</v>
      </c>
    </row>
    <row r="13486" spans="1:3" s="8" customFormat="1" x14ac:dyDescent="0.2">
      <c r="A13486" s="6" t="str">
        <f>"AL590491.1"</f>
        <v>AL590491.1</v>
      </c>
      <c r="B13486" s="6">
        <v>0.493506493506493</v>
      </c>
      <c r="C13486" s="6">
        <v>0.64313482411755496</v>
      </c>
    </row>
    <row r="13487" spans="1:3" s="8" customFormat="1" x14ac:dyDescent="0.2">
      <c r="A13487" s="6" t="str">
        <f>"PLXNA4"</f>
        <v>PLXNA4</v>
      </c>
      <c r="B13487" s="6">
        <v>0.493506493506493</v>
      </c>
      <c r="C13487" s="6">
        <v>0.64313482411755496</v>
      </c>
    </row>
    <row r="13488" spans="1:3" s="8" customFormat="1" x14ac:dyDescent="0.2">
      <c r="A13488" s="6" t="str">
        <f>"CDKL4"</f>
        <v>CDKL4</v>
      </c>
      <c r="B13488" s="6">
        <v>0.493506493506493</v>
      </c>
      <c r="C13488" s="6">
        <v>0.64313482411755496</v>
      </c>
    </row>
    <row r="13489" spans="1:3" s="8" customFormat="1" x14ac:dyDescent="0.2">
      <c r="A13489" s="6" t="str">
        <f>"IL2RA"</f>
        <v>IL2RA</v>
      </c>
      <c r="B13489" s="6">
        <v>0.493506493506493</v>
      </c>
      <c r="C13489" s="6">
        <v>0.64313482411755496</v>
      </c>
    </row>
    <row r="13490" spans="1:3" s="8" customFormat="1" x14ac:dyDescent="0.2">
      <c r="A13490" s="6" t="str">
        <f>"TMOD2"</f>
        <v>TMOD2</v>
      </c>
      <c r="B13490" s="6">
        <v>0.493506493506493</v>
      </c>
      <c r="C13490" s="6">
        <v>0.64313482411755496</v>
      </c>
    </row>
    <row r="13491" spans="1:3" s="8" customFormat="1" x14ac:dyDescent="0.2">
      <c r="A13491" s="6" t="str">
        <f>"TAGLN"</f>
        <v>TAGLN</v>
      </c>
      <c r="B13491" s="6">
        <v>0.493506493506493</v>
      </c>
      <c r="C13491" s="6">
        <v>0.64313482411755496</v>
      </c>
    </row>
    <row r="13492" spans="1:3" s="8" customFormat="1" x14ac:dyDescent="0.2">
      <c r="A13492" s="6" t="str">
        <f>"ANKS3"</f>
        <v>ANKS3</v>
      </c>
      <c r="B13492" s="6">
        <v>0.493506493506493</v>
      </c>
      <c r="C13492" s="6">
        <v>0.64313482411755496</v>
      </c>
    </row>
    <row r="13493" spans="1:3" s="8" customFormat="1" x14ac:dyDescent="0.2">
      <c r="A13493" s="6" t="str">
        <f>"POLDIP3"</f>
        <v>POLDIP3</v>
      </c>
      <c r="B13493" s="6">
        <v>0.493506493506493</v>
      </c>
      <c r="C13493" s="6">
        <v>0.64313482411755496</v>
      </c>
    </row>
    <row r="13494" spans="1:3" s="8" customFormat="1" x14ac:dyDescent="0.2">
      <c r="A13494" s="6" t="str">
        <f>"GOLGB1"</f>
        <v>GOLGB1</v>
      </c>
      <c r="B13494" s="6">
        <v>0.493506493506493</v>
      </c>
      <c r="C13494" s="6">
        <v>0.64313482411755496</v>
      </c>
    </row>
    <row r="13495" spans="1:3" s="8" customFormat="1" x14ac:dyDescent="0.2">
      <c r="A13495" s="6" t="str">
        <f>"FGF18"</f>
        <v>FGF18</v>
      </c>
      <c r="B13495" s="6">
        <v>0.49399999999999999</v>
      </c>
      <c r="C13495" s="6">
        <v>0.64363485477178395</v>
      </c>
    </row>
    <row r="13496" spans="1:3" s="8" customFormat="1" x14ac:dyDescent="0.2">
      <c r="A13496" s="6" t="str">
        <f>"AC006330.1"</f>
        <v>AC006330.1</v>
      </c>
      <c r="B13496" s="6">
        <v>0.49399999999999999</v>
      </c>
      <c r="C13496" s="6">
        <v>0.64363485477178395</v>
      </c>
    </row>
    <row r="13497" spans="1:3" s="8" customFormat="1" x14ac:dyDescent="0.2">
      <c r="A13497" s="6" t="str">
        <f>"CFAP45"</f>
        <v>CFAP45</v>
      </c>
      <c r="B13497" s="6">
        <v>0.49399999999999999</v>
      </c>
      <c r="C13497" s="6">
        <v>0.64363485477178395</v>
      </c>
    </row>
    <row r="13498" spans="1:3" s="8" customFormat="1" x14ac:dyDescent="0.2">
      <c r="A13498" s="6" t="str">
        <f>"Z83840.1"</f>
        <v>Z83840.1</v>
      </c>
      <c r="B13498" s="6">
        <v>0.49450549450549403</v>
      </c>
      <c r="C13498" s="6">
        <v>0.64381642346990997</v>
      </c>
    </row>
    <row r="13499" spans="1:3" s="8" customFormat="1" x14ac:dyDescent="0.2">
      <c r="A13499" s="6" t="str">
        <f>"AC097493.1"</f>
        <v>AC097493.1</v>
      </c>
      <c r="B13499" s="6">
        <v>0.49450549450549403</v>
      </c>
      <c r="C13499" s="6">
        <v>0.64381642346990997</v>
      </c>
    </row>
    <row r="13500" spans="1:3" s="8" customFormat="1" x14ac:dyDescent="0.2">
      <c r="A13500" s="6" t="str">
        <f>"ZNF416"</f>
        <v>ZNF416</v>
      </c>
      <c r="B13500" s="6">
        <v>0.49450549450549403</v>
      </c>
      <c r="C13500" s="6">
        <v>0.64381642346990997</v>
      </c>
    </row>
    <row r="13501" spans="1:3" s="8" customFormat="1" x14ac:dyDescent="0.2">
      <c r="A13501" s="6" t="str">
        <f>"ZNRF3"</f>
        <v>ZNRF3</v>
      </c>
      <c r="B13501" s="6">
        <v>0.49450549450549403</v>
      </c>
      <c r="C13501" s="6">
        <v>0.64381642346990997</v>
      </c>
    </row>
    <row r="13502" spans="1:3" s="8" customFormat="1" x14ac:dyDescent="0.2">
      <c r="A13502" s="6" t="str">
        <f>"C1orf35"</f>
        <v>C1orf35</v>
      </c>
      <c r="B13502" s="6">
        <v>0.49450549450549403</v>
      </c>
      <c r="C13502" s="6">
        <v>0.64381642346990997</v>
      </c>
    </row>
    <row r="13503" spans="1:3" s="8" customFormat="1" x14ac:dyDescent="0.2">
      <c r="A13503" s="6" t="str">
        <f>"ACTR8"</f>
        <v>ACTR8</v>
      </c>
      <c r="B13503" s="6">
        <v>0.49450549450549403</v>
      </c>
      <c r="C13503" s="6">
        <v>0.64381642346990997</v>
      </c>
    </row>
    <row r="13504" spans="1:3" s="8" customFormat="1" x14ac:dyDescent="0.2">
      <c r="A13504" s="6" t="str">
        <f>"JAGN1"</f>
        <v>JAGN1</v>
      </c>
      <c r="B13504" s="6">
        <v>0.49450549450549403</v>
      </c>
      <c r="C13504" s="6">
        <v>0.64381642346990997</v>
      </c>
    </row>
    <row r="13505" spans="1:3" s="8" customFormat="1" x14ac:dyDescent="0.2">
      <c r="A13505" s="6" t="str">
        <f>"GOLGA5"</f>
        <v>GOLGA5</v>
      </c>
      <c r="B13505" s="6">
        <v>0.49450549450549403</v>
      </c>
      <c r="C13505" s="6">
        <v>0.64381642346990997</v>
      </c>
    </row>
    <row r="13506" spans="1:3" s="8" customFormat="1" x14ac:dyDescent="0.2">
      <c r="A13506" s="6" t="str">
        <f>"PJA2"</f>
        <v>PJA2</v>
      </c>
      <c r="B13506" s="6">
        <v>0.49450549450549403</v>
      </c>
      <c r="C13506" s="6">
        <v>0.64381642346990997</v>
      </c>
    </row>
    <row r="13507" spans="1:3" s="8" customFormat="1" x14ac:dyDescent="0.2">
      <c r="A13507" s="6" t="str">
        <f>"TECR"</f>
        <v>TECR</v>
      </c>
      <c r="B13507" s="6">
        <v>0.49450549450549403</v>
      </c>
      <c r="C13507" s="6">
        <v>0.64381642346990997</v>
      </c>
    </row>
    <row r="13508" spans="1:3" s="8" customFormat="1" x14ac:dyDescent="0.2">
      <c r="A13508" s="6" t="str">
        <f>"PDIA3"</f>
        <v>PDIA3</v>
      </c>
      <c r="B13508" s="6">
        <v>0.495</v>
      </c>
      <c r="C13508" s="6">
        <v>0.64441252683793504</v>
      </c>
    </row>
    <row r="13509" spans="1:3" s="8" customFormat="1" x14ac:dyDescent="0.2">
      <c r="A13509" s="6" t="str">
        <f>"AC011317.1"</f>
        <v>AC011317.1</v>
      </c>
      <c r="B13509" s="6">
        <v>0.49550449550449499</v>
      </c>
      <c r="C13509" s="6">
        <v>0.64468746200155702</v>
      </c>
    </row>
    <row r="13510" spans="1:3" s="8" customFormat="1" x14ac:dyDescent="0.2">
      <c r="A13510" s="6" t="str">
        <f>"AC113414.1"</f>
        <v>AC113414.1</v>
      </c>
      <c r="B13510" s="6">
        <v>0.49550449550449499</v>
      </c>
      <c r="C13510" s="6">
        <v>0.64468746200155702</v>
      </c>
    </row>
    <row r="13511" spans="1:3" s="8" customFormat="1" x14ac:dyDescent="0.2">
      <c r="A13511" s="6" t="str">
        <f>"TMOD1"</f>
        <v>TMOD1</v>
      </c>
      <c r="B13511" s="6">
        <v>0.49550449550449499</v>
      </c>
      <c r="C13511" s="6">
        <v>0.64468746200155702</v>
      </c>
    </row>
    <row r="13512" spans="1:3" s="8" customFormat="1" x14ac:dyDescent="0.2">
      <c r="A13512" s="6" t="str">
        <f>"FBXO39"</f>
        <v>FBXO39</v>
      </c>
      <c r="B13512" s="6">
        <v>0.49550449550449499</v>
      </c>
      <c r="C13512" s="6">
        <v>0.64468746200155702</v>
      </c>
    </row>
    <row r="13513" spans="1:3" s="8" customFormat="1" x14ac:dyDescent="0.2">
      <c r="A13513" s="6" t="str">
        <f>"AL132656.2"</f>
        <v>AL132656.2</v>
      </c>
      <c r="B13513" s="6">
        <v>0.49550449550449499</v>
      </c>
      <c r="C13513" s="6">
        <v>0.64468746200155702</v>
      </c>
    </row>
    <row r="13514" spans="1:3" s="8" customFormat="1" x14ac:dyDescent="0.2">
      <c r="A13514" s="6" t="str">
        <f>"BHLHA15"</f>
        <v>BHLHA15</v>
      </c>
      <c r="B13514" s="6">
        <v>0.49550449550449499</v>
      </c>
      <c r="C13514" s="6">
        <v>0.64468746200155702</v>
      </c>
    </row>
    <row r="13515" spans="1:3" s="8" customFormat="1" x14ac:dyDescent="0.2">
      <c r="A13515" s="6" t="str">
        <f>"TMCO3"</f>
        <v>TMCO3</v>
      </c>
      <c r="B13515" s="6">
        <v>0.49550449550449499</v>
      </c>
      <c r="C13515" s="6">
        <v>0.64468746200155702</v>
      </c>
    </row>
    <row r="13516" spans="1:3" s="8" customFormat="1" x14ac:dyDescent="0.2">
      <c r="A13516" s="6" t="str">
        <f>"UBA52"</f>
        <v>UBA52</v>
      </c>
      <c r="B13516" s="6">
        <v>0.49550449550449499</v>
      </c>
      <c r="C13516" s="6">
        <v>0.64468746200155702</v>
      </c>
    </row>
    <row r="13517" spans="1:3" s="8" customFormat="1" x14ac:dyDescent="0.2">
      <c r="A13517" s="6" t="str">
        <f>"AC099332.1"</f>
        <v>AC099332.1</v>
      </c>
      <c r="B13517" s="6">
        <v>0.495983935742971</v>
      </c>
      <c r="C13517" s="6">
        <v>0.64523666494044496</v>
      </c>
    </row>
    <row r="13518" spans="1:3" s="8" customFormat="1" x14ac:dyDescent="0.2">
      <c r="A13518" s="6" t="str">
        <f>"FBLN7"</f>
        <v>FBLN7</v>
      </c>
      <c r="B13518" s="6">
        <v>0.496</v>
      </c>
      <c r="C13518" s="6">
        <v>0.64523666494044496</v>
      </c>
    </row>
    <row r="13519" spans="1:3" s="8" customFormat="1" x14ac:dyDescent="0.2">
      <c r="A13519" s="6" t="str">
        <f>"SPINK1"</f>
        <v>SPINK1</v>
      </c>
      <c r="B13519" s="6">
        <v>0.49650349650349601</v>
      </c>
      <c r="C13519" s="6">
        <v>0.64536646086025096</v>
      </c>
    </row>
    <row r="13520" spans="1:3" s="8" customFormat="1" x14ac:dyDescent="0.2">
      <c r="A13520" s="6" t="str">
        <f>"TUBAP9"</f>
        <v>TUBAP9</v>
      </c>
      <c r="B13520" s="6">
        <v>0.49650349650349601</v>
      </c>
      <c r="C13520" s="6">
        <v>0.64536646086025096</v>
      </c>
    </row>
    <row r="13521" spans="1:3" s="8" customFormat="1" x14ac:dyDescent="0.2">
      <c r="A13521" s="6" t="str">
        <f>"POLG2"</f>
        <v>POLG2</v>
      </c>
      <c r="B13521" s="6">
        <v>0.49650349650349601</v>
      </c>
      <c r="C13521" s="6">
        <v>0.64536646086025096</v>
      </c>
    </row>
    <row r="13522" spans="1:3" s="8" customFormat="1" x14ac:dyDescent="0.2">
      <c r="A13522" s="6" t="str">
        <f>"NTHL1"</f>
        <v>NTHL1</v>
      </c>
      <c r="B13522" s="6">
        <v>0.49650349650349601</v>
      </c>
      <c r="C13522" s="6">
        <v>0.64536646086025096</v>
      </c>
    </row>
    <row r="13523" spans="1:3" s="8" customFormat="1" x14ac:dyDescent="0.2">
      <c r="A13523" s="6" t="str">
        <f>"DCUN1D2"</f>
        <v>DCUN1D2</v>
      </c>
      <c r="B13523" s="6">
        <v>0.49650349650349601</v>
      </c>
      <c r="C13523" s="6">
        <v>0.64536646086025096</v>
      </c>
    </row>
    <row r="13524" spans="1:3" s="8" customFormat="1" x14ac:dyDescent="0.2">
      <c r="A13524" s="6" t="str">
        <f>"POT1"</f>
        <v>POT1</v>
      </c>
      <c r="B13524" s="6">
        <v>0.49650349650349601</v>
      </c>
      <c r="C13524" s="6">
        <v>0.64536646086025096</v>
      </c>
    </row>
    <row r="13525" spans="1:3" s="8" customFormat="1" x14ac:dyDescent="0.2">
      <c r="A13525" s="6" t="str">
        <f>"ZNF212"</f>
        <v>ZNF212</v>
      </c>
      <c r="B13525" s="6">
        <v>0.49650349650349601</v>
      </c>
      <c r="C13525" s="6">
        <v>0.64536646086025096</v>
      </c>
    </row>
    <row r="13526" spans="1:3" s="8" customFormat="1" x14ac:dyDescent="0.2">
      <c r="A13526" s="6" t="str">
        <f>"CCDC22"</f>
        <v>CCDC22</v>
      </c>
      <c r="B13526" s="6">
        <v>0.49650349650349601</v>
      </c>
      <c r="C13526" s="6">
        <v>0.64536646086025096</v>
      </c>
    </row>
    <row r="13527" spans="1:3" s="8" customFormat="1" x14ac:dyDescent="0.2">
      <c r="A13527" s="6" t="str">
        <f>"ESF1"</f>
        <v>ESF1</v>
      </c>
      <c r="B13527" s="6">
        <v>0.49650349650349601</v>
      </c>
      <c r="C13527" s="6">
        <v>0.64536646086025096</v>
      </c>
    </row>
    <row r="13528" spans="1:3" s="8" customFormat="1" x14ac:dyDescent="0.2">
      <c r="A13528" s="6" t="str">
        <f>"DYNC2I2"</f>
        <v>DYNC2I2</v>
      </c>
      <c r="B13528" s="6">
        <v>0.49650349650349601</v>
      </c>
      <c r="C13528" s="6">
        <v>0.64536646086025096</v>
      </c>
    </row>
    <row r="13529" spans="1:3" s="8" customFormat="1" x14ac:dyDescent="0.2">
      <c r="A13529" s="6" t="str">
        <f>"THRAP3"</f>
        <v>THRAP3</v>
      </c>
      <c r="B13529" s="6">
        <v>0.49650349650349601</v>
      </c>
      <c r="C13529" s="6">
        <v>0.64536646086025096</v>
      </c>
    </row>
    <row r="13530" spans="1:3" s="8" customFormat="1" x14ac:dyDescent="0.2">
      <c r="A13530" s="6" t="str">
        <f>"CAP1P1"</f>
        <v>CAP1P1</v>
      </c>
      <c r="B13530" s="6">
        <v>0.49750249750249698</v>
      </c>
      <c r="C13530" s="6">
        <v>0.64561504915748402</v>
      </c>
    </row>
    <row r="13531" spans="1:3" s="8" customFormat="1" x14ac:dyDescent="0.2">
      <c r="A13531" s="6" t="str">
        <f>"FBXW11P1"</f>
        <v>FBXW11P1</v>
      </c>
      <c r="B13531" s="6">
        <v>0.49740932642487001</v>
      </c>
      <c r="C13531" s="6">
        <v>0.64561504915748402</v>
      </c>
    </row>
    <row r="13532" spans="1:3" s="8" customFormat="1" x14ac:dyDescent="0.2">
      <c r="A13532" s="6" t="str">
        <f>"SLCO6A1"</f>
        <v>SLCO6A1</v>
      </c>
      <c r="B13532" s="6">
        <v>0.49750249750249698</v>
      </c>
      <c r="C13532" s="6">
        <v>0.64561504915748402</v>
      </c>
    </row>
    <row r="13533" spans="1:3" s="8" customFormat="1" x14ac:dyDescent="0.2">
      <c r="A13533" s="6" t="str">
        <f>"AC112484.5"</f>
        <v>AC112484.5</v>
      </c>
      <c r="B13533" s="6">
        <v>0.49750249750249698</v>
      </c>
      <c r="C13533" s="6">
        <v>0.64561504915748402</v>
      </c>
    </row>
    <row r="13534" spans="1:3" s="8" customFormat="1" x14ac:dyDescent="0.2">
      <c r="A13534" s="6" t="str">
        <f>"AC099336.2"</f>
        <v>AC099336.2</v>
      </c>
      <c r="B13534" s="6">
        <v>0.49698189134808801</v>
      </c>
      <c r="C13534" s="6">
        <v>0.64561504915748402</v>
      </c>
    </row>
    <row r="13535" spans="1:3" s="8" customFormat="1" x14ac:dyDescent="0.2">
      <c r="A13535" s="6" t="str">
        <f>"LINC00626"</f>
        <v>LINC00626</v>
      </c>
      <c r="B13535" s="6">
        <v>0.49750249750249698</v>
      </c>
      <c r="C13535" s="6">
        <v>0.64561504915748402</v>
      </c>
    </row>
    <row r="13536" spans="1:3" s="8" customFormat="1" x14ac:dyDescent="0.2">
      <c r="A13536" s="6" t="str">
        <f>"AC144450.1"</f>
        <v>AC144450.1</v>
      </c>
      <c r="B13536" s="6">
        <v>0.497477295660948</v>
      </c>
      <c r="C13536" s="6">
        <v>0.64561504915748402</v>
      </c>
    </row>
    <row r="13537" spans="1:3" s="8" customFormat="1" x14ac:dyDescent="0.2">
      <c r="A13537" s="6" t="str">
        <f>"NLGN1"</f>
        <v>NLGN1</v>
      </c>
      <c r="B13537" s="6">
        <v>0.49750249750249698</v>
      </c>
      <c r="C13537" s="6">
        <v>0.64561504915748402</v>
      </c>
    </row>
    <row r="13538" spans="1:3" s="8" customFormat="1" x14ac:dyDescent="0.2">
      <c r="A13538" s="6" t="str">
        <f>"TMEM59L"</f>
        <v>TMEM59L</v>
      </c>
      <c r="B13538" s="6">
        <v>0.49750249750249698</v>
      </c>
      <c r="C13538" s="6">
        <v>0.64561504915748402</v>
      </c>
    </row>
    <row r="13539" spans="1:3" s="8" customFormat="1" x14ac:dyDescent="0.2">
      <c r="A13539" s="6" t="str">
        <f>"TEAD2"</f>
        <v>TEAD2</v>
      </c>
      <c r="B13539" s="6">
        <v>0.49750249750249698</v>
      </c>
      <c r="C13539" s="6">
        <v>0.64561504915748402</v>
      </c>
    </row>
    <row r="13540" spans="1:3" s="8" customFormat="1" x14ac:dyDescent="0.2">
      <c r="A13540" s="6" t="str">
        <f>"RTN1"</f>
        <v>RTN1</v>
      </c>
      <c r="B13540" s="6">
        <v>0.49750249750249698</v>
      </c>
      <c r="C13540" s="6">
        <v>0.64561504915748402</v>
      </c>
    </row>
    <row r="13541" spans="1:3" s="8" customFormat="1" x14ac:dyDescent="0.2">
      <c r="A13541" s="6" t="str">
        <f>"ZNF449"</f>
        <v>ZNF449</v>
      </c>
      <c r="B13541" s="6">
        <v>0.49750249750249698</v>
      </c>
      <c r="C13541" s="6">
        <v>0.64561504915748402</v>
      </c>
    </row>
    <row r="13542" spans="1:3" s="8" customFormat="1" x14ac:dyDescent="0.2">
      <c r="A13542" s="6" t="str">
        <f>"YBEY"</f>
        <v>YBEY</v>
      </c>
      <c r="B13542" s="6">
        <v>0.49750249750249698</v>
      </c>
      <c r="C13542" s="6">
        <v>0.64561504915748402</v>
      </c>
    </row>
    <row r="13543" spans="1:3" s="8" customFormat="1" x14ac:dyDescent="0.2">
      <c r="A13543" s="6" t="str">
        <f>"SLC41A2"</f>
        <v>SLC41A2</v>
      </c>
      <c r="B13543" s="6">
        <v>0.49750249750249698</v>
      </c>
      <c r="C13543" s="6">
        <v>0.64561504915748402</v>
      </c>
    </row>
    <row r="13544" spans="1:3" s="8" customFormat="1" x14ac:dyDescent="0.2">
      <c r="A13544" s="6" t="str">
        <f>"TENM4"</f>
        <v>TENM4</v>
      </c>
      <c r="B13544" s="6">
        <v>0.49750249750249698</v>
      </c>
      <c r="C13544" s="6">
        <v>0.64561504915748402</v>
      </c>
    </row>
    <row r="13545" spans="1:3" s="8" customFormat="1" x14ac:dyDescent="0.2">
      <c r="A13545" s="6" t="str">
        <f>"HELLPAR"</f>
        <v>HELLPAR</v>
      </c>
      <c r="B13545" s="6">
        <v>0.49750249750249698</v>
      </c>
      <c r="C13545" s="6">
        <v>0.64561504915748402</v>
      </c>
    </row>
    <row r="13546" spans="1:3" s="8" customFormat="1" x14ac:dyDescent="0.2">
      <c r="A13546" s="6" t="str">
        <f>"CSNK1G3"</f>
        <v>CSNK1G3</v>
      </c>
      <c r="B13546" s="6">
        <v>0.49750249750249698</v>
      </c>
      <c r="C13546" s="6">
        <v>0.64561504915748402</v>
      </c>
    </row>
    <row r="13547" spans="1:3" s="8" customFormat="1" x14ac:dyDescent="0.2">
      <c r="A13547" s="6" t="str">
        <f>"FECH"</f>
        <v>FECH</v>
      </c>
      <c r="B13547" s="6">
        <v>0.49750249750249698</v>
      </c>
      <c r="C13547" s="6">
        <v>0.64561504915748402</v>
      </c>
    </row>
    <row r="13548" spans="1:3" s="8" customFormat="1" x14ac:dyDescent="0.2">
      <c r="A13548" s="6" t="str">
        <f>"ZMPSTE24"</f>
        <v>ZMPSTE24</v>
      </c>
      <c r="B13548" s="6">
        <v>0.497</v>
      </c>
      <c r="C13548" s="6">
        <v>0.64561504915748402</v>
      </c>
    </row>
    <row r="13549" spans="1:3" s="8" customFormat="1" x14ac:dyDescent="0.2">
      <c r="A13549" s="6" t="str">
        <f>"SP100"</f>
        <v>SP100</v>
      </c>
      <c r="B13549" s="6">
        <v>0.49750249750249698</v>
      </c>
      <c r="C13549" s="6">
        <v>0.64561504915748402</v>
      </c>
    </row>
    <row r="13550" spans="1:3" s="8" customFormat="1" x14ac:dyDescent="0.2">
      <c r="A13550" s="6" t="str">
        <f>"MAP3K19"</f>
        <v>MAP3K19</v>
      </c>
      <c r="B13550" s="6">
        <v>0.49750249750249698</v>
      </c>
      <c r="C13550" s="6">
        <v>0.64561504915748402</v>
      </c>
    </row>
    <row r="13551" spans="1:3" s="8" customFormat="1" x14ac:dyDescent="0.2">
      <c r="A13551" s="6" t="str">
        <f>"TOMM20"</f>
        <v>TOMM20</v>
      </c>
      <c r="B13551" s="6">
        <v>0.49750249750249698</v>
      </c>
      <c r="C13551" s="6">
        <v>0.64561504915748402</v>
      </c>
    </row>
    <row r="13552" spans="1:3" s="8" customFormat="1" x14ac:dyDescent="0.2">
      <c r="A13552" s="6" t="str">
        <f>"PCARE"</f>
        <v>PCARE</v>
      </c>
      <c r="B13552" s="6">
        <v>0.498501498501498</v>
      </c>
      <c r="C13552" s="6">
        <v>0.64648206723581003</v>
      </c>
    </row>
    <row r="13553" spans="1:3" s="8" customFormat="1" x14ac:dyDescent="0.2">
      <c r="A13553" s="6" t="str">
        <f>"FP325332.1"</f>
        <v>FP325332.1</v>
      </c>
      <c r="B13553" s="6">
        <v>0.498501498501498</v>
      </c>
      <c r="C13553" s="6">
        <v>0.64648206723581003</v>
      </c>
    </row>
    <row r="13554" spans="1:3" s="8" customFormat="1" x14ac:dyDescent="0.2">
      <c r="A13554" s="6" t="str">
        <f>"AC011379.1"</f>
        <v>AC011379.1</v>
      </c>
      <c r="B13554" s="6">
        <v>0.498501498501498</v>
      </c>
      <c r="C13554" s="6">
        <v>0.64648206723581003</v>
      </c>
    </row>
    <row r="13555" spans="1:3" s="8" customFormat="1" x14ac:dyDescent="0.2">
      <c r="A13555" s="6" t="str">
        <f>"AC068790.8"</f>
        <v>AC068790.8</v>
      </c>
      <c r="B13555" s="6">
        <v>0.498501498501498</v>
      </c>
      <c r="C13555" s="6">
        <v>0.64648206723581003</v>
      </c>
    </row>
    <row r="13556" spans="1:3" s="8" customFormat="1" x14ac:dyDescent="0.2">
      <c r="A13556" s="6" t="str">
        <f>"HEATR9"</f>
        <v>HEATR9</v>
      </c>
      <c r="B13556" s="6">
        <v>0.498501498501498</v>
      </c>
      <c r="C13556" s="6">
        <v>0.64648206723581003</v>
      </c>
    </row>
    <row r="13557" spans="1:3" s="8" customFormat="1" x14ac:dyDescent="0.2">
      <c r="A13557" s="6" t="str">
        <f>"ABCC6P2"</f>
        <v>ABCC6P2</v>
      </c>
      <c r="B13557" s="6">
        <v>0.498501498501498</v>
      </c>
      <c r="C13557" s="6">
        <v>0.64648206723581003</v>
      </c>
    </row>
    <row r="13558" spans="1:3" s="8" customFormat="1" x14ac:dyDescent="0.2">
      <c r="A13558" s="6" t="str">
        <f>"NAV1"</f>
        <v>NAV1</v>
      </c>
      <c r="B13558" s="6">
        <v>0.498501498501498</v>
      </c>
      <c r="C13558" s="6">
        <v>0.64648206723581003</v>
      </c>
    </row>
    <row r="13559" spans="1:3" s="8" customFormat="1" x14ac:dyDescent="0.2">
      <c r="A13559" s="6" t="str">
        <f>"RBM4"</f>
        <v>RBM4</v>
      </c>
      <c r="B13559" s="6">
        <v>0.498501498501498</v>
      </c>
      <c r="C13559" s="6">
        <v>0.64648206723581003</v>
      </c>
    </row>
    <row r="13560" spans="1:3" s="8" customFormat="1" x14ac:dyDescent="0.2">
      <c r="A13560" s="6" t="str">
        <f>"RPS13"</f>
        <v>RPS13</v>
      </c>
      <c r="B13560" s="6">
        <v>0.498501498501498</v>
      </c>
      <c r="C13560" s="6">
        <v>0.64648206723581003</v>
      </c>
    </row>
    <row r="13561" spans="1:3" s="8" customFormat="1" x14ac:dyDescent="0.2">
      <c r="A13561" s="6" t="str">
        <f>"AC008498.1"</f>
        <v>AC008498.1</v>
      </c>
      <c r="B13561" s="6">
        <v>0.49899799599198402</v>
      </c>
      <c r="C13561" s="6">
        <v>0.64703310965268002</v>
      </c>
    </row>
    <row r="13562" spans="1:3" s="8" customFormat="1" x14ac:dyDescent="0.2">
      <c r="A13562" s="6" t="str">
        <f>"PMFBP1"</f>
        <v>PMFBP1</v>
      </c>
      <c r="B13562" s="6">
        <v>0.499</v>
      </c>
      <c r="C13562" s="6">
        <v>0.64703310965268002</v>
      </c>
    </row>
    <row r="13563" spans="1:3" s="8" customFormat="1" x14ac:dyDescent="0.2">
      <c r="A13563" s="6" t="str">
        <f>"IGHV2-5"</f>
        <v>IGHV2-5</v>
      </c>
      <c r="B13563" s="6">
        <v>0.49949949949949901</v>
      </c>
      <c r="C13563" s="6">
        <v>0.64734793508378397</v>
      </c>
    </row>
    <row r="13564" spans="1:3" s="8" customFormat="1" x14ac:dyDescent="0.2">
      <c r="A13564" s="6" t="str">
        <f>"CD27"</f>
        <v>CD27</v>
      </c>
      <c r="B13564" s="6">
        <v>0.49950049950049902</v>
      </c>
      <c r="C13564" s="6">
        <v>0.64734793508378397</v>
      </c>
    </row>
    <row r="13565" spans="1:3" s="8" customFormat="1" x14ac:dyDescent="0.2">
      <c r="A13565" s="6" t="str">
        <f>"LINC02635"</f>
        <v>LINC02635</v>
      </c>
      <c r="B13565" s="6">
        <v>0.49950049950049902</v>
      </c>
      <c r="C13565" s="6">
        <v>0.64734793508378397</v>
      </c>
    </row>
    <row r="13566" spans="1:3" s="8" customFormat="1" x14ac:dyDescent="0.2">
      <c r="A13566" s="6" t="str">
        <f>"TMEM268"</f>
        <v>TMEM268</v>
      </c>
      <c r="B13566" s="6">
        <v>0.49950049950049902</v>
      </c>
      <c r="C13566" s="6">
        <v>0.64734793508378397</v>
      </c>
    </row>
    <row r="13567" spans="1:3" s="8" customFormat="1" x14ac:dyDescent="0.2">
      <c r="A13567" s="6" t="str">
        <f>"TPST2"</f>
        <v>TPST2</v>
      </c>
      <c r="B13567" s="6">
        <v>0.49950049950049902</v>
      </c>
      <c r="C13567" s="6">
        <v>0.64734793508378397</v>
      </c>
    </row>
    <row r="13568" spans="1:3" s="8" customFormat="1" x14ac:dyDescent="0.2">
      <c r="A13568" s="6" t="str">
        <f>"CCDC117"</f>
        <v>CCDC117</v>
      </c>
      <c r="B13568" s="6">
        <v>0.49950049950049902</v>
      </c>
      <c r="C13568" s="6">
        <v>0.64734793508378397</v>
      </c>
    </row>
    <row r="13569" spans="1:3" s="8" customFormat="1" x14ac:dyDescent="0.2">
      <c r="A13569" s="6" t="str">
        <f>"C1QBP"</f>
        <v>C1QBP</v>
      </c>
      <c r="B13569" s="6">
        <v>0.49950049950049902</v>
      </c>
      <c r="C13569" s="6">
        <v>0.64734793508378397</v>
      </c>
    </row>
    <row r="13570" spans="1:3" s="8" customFormat="1" x14ac:dyDescent="0.2">
      <c r="A13570" s="6" t="str">
        <f>"AP002812.5"</f>
        <v>AP002812.5</v>
      </c>
      <c r="B13570" s="6">
        <v>0.5</v>
      </c>
      <c r="C13570" s="6">
        <v>0.647899778924097</v>
      </c>
    </row>
    <row r="13571" spans="1:3" s="8" customFormat="1" x14ac:dyDescent="0.2">
      <c r="A13571" s="6" t="str">
        <f>"AL136305.1"</f>
        <v>AL136305.1</v>
      </c>
      <c r="B13571" s="6">
        <v>0.5</v>
      </c>
      <c r="C13571" s="6">
        <v>0.647899778924097</v>
      </c>
    </row>
    <row r="13572" spans="1:3" s="8" customFormat="1" x14ac:dyDescent="0.2">
      <c r="A13572" s="6" t="str">
        <f>"ADD2"</f>
        <v>ADD2</v>
      </c>
      <c r="B13572" s="6">
        <v>0.50049950049949998</v>
      </c>
      <c r="C13572" s="6">
        <v>0.64821265498881997</v>
      </c>
    </row>
    <row r="13573" spans="1:3" s="8" customFormat="1" x14ac:dyDescent="0.2">
      <c r="A13573" s="6" t="str">
        <f>"COMTD1"</f>
        <v>COMTD1</v>
      </c>
      <c r="B13573" s="6">
        <v>0.50049950049949998</v>
      </c>
      <c r="C13573" s="6">
        <v>0.64821265498881997</v>
      </c>
    </row>
    <row r="13574" spans="1:3" s="8" customFormat="1" x14ac:dyDescent="0.2">
      <c r="A13574" s="6" t="str">
        <f>"DUSP23"</f>
        <v>DUSP23</v>
      </c>
      <c r="B13574" s="6">
        <v>0.50049950049949998</v>
      </c>
      <c r="C13574" s="6">
        <v>0.64821265498881997</v>
      </c>
    </row>
    <row r="13575" spans="1:3" s="8" customFormat="1" x14ac:dyDescent="0.2">
      <c r="A13575" s="6" t="str">
        <f>"COPRS"</f>
        <v>COPRS</v>
      </c>
      <c r="B13575" s="6">
        <v>0.50049950049949998</v>
      </c>
      <c r="C13575" s="6">
        <v>0.64821265498881997</v>
      </c>
    </row>
    <row r="13576" spans="1:3" s="8" customFormat="1" x14ac:dyDescent="0.2">
      <c r="A13576" s="6" t="str">
        <f>"ARFGAP1"</f>
        <v>ARFGAP1</v>
      </c>
      <c r="B13576" s="6">
        <v>0.50049950049949998</v>
      </c>
      <c r="C13576" s="6">
        <v>0.64821265498881997</v>
      </c>
    </row>
    <row r="13577" spans="1:3" s="8" customFormat="1" x14ac:dyDescent="0.2">
      <c r="A13577" s="6" t="str">
        <f>"CCAR2"</f>
        <v>CCAR2</v>
      </c>
      <c r="B13577" s="6">
        <v>0.50049950049949998</v>
      </c>
      <c r="C13577" s="6">
        <v>0.64821265498881997</v>
      </c>
    </row>
    <row r="13578" spans="1:3" s="8" customFormat="1" x14ac:dyDescent="0.2">
      <c r="A13578" s="6" t="str">
        <f>"DAG1"</f>
        <v>DAG1</v>
      </c>
      <c r="B13578" s="6">
        <v>0.50049950049949998</v>
      </c>
      <c r="C13578" s="6">
        <v>0.64821265498881997</v>
      </c>
    </row>
    <row r="13579" spans="1:3" s="8" customFormat="1" x14ac:dyDescent="0.2">
      <c r="A13579" s="6" t="str">
        <f>"AL589666.1"</f>
        <v>AL589666.1</v>
      </c>
      <c r="B13579" s="6">
        <v>0.501</v>
      </c>
      <c r="C13579" s="6">
        <v>0.64881307998232396</v>
      </c>
    </row>
    <row r="13580" spans="1:3" s="8" customFormat="1" x14ac:dyDescent="0.2">
      <c r="A13580" s="6" t="str">
        <f>"AC010247.2"</f>
        <v>AC010247.2</v>
      </c>
      <c r="B13580" s="6">
        <v>0.50149850149850095</v>
      </c>
      <c r="C13580" s="6">
        <v>0.64893293475234703</v>
      </c>
    </row>
    <row r="13581" spans="1:3" s="8" customFormat="1" x14ac:dyDescent="0.2">
      <c r="A13581" s="6" t="str">
        <f>"AC112484.1"</f>
        <v>AC112484.1</v>
      </c>
      <c r="B13581" s="6">
        <v>0.50149850149850095</v>
      </c>
      <c r="C13581" s="6">
        <v>0.64893293475234703</v>
      </c>
    </row>
    <row r="13582" spans="1:3" s="8" customFormat="1" x14ac:dyDescent="0.2">
      <c r="A13582" s="6" t="str">
        <f>"AP002992.1"</f>
        <v>AP002992.1</v>
      </c>
      <c r="B13582" s="6">
        <v>0.50149850149850095</v>
      </c>
      <c r="C13582" s="6">
        <v>0.64893293475234703</v>
      </c>
    </row>
    <row r="13583" spans="1:3" s="8" customFormat="1" x14ac:dyDescent="0.2">
      <c r="A13583" s="6" t="str">
        <f>"RASA4CP"</f>
        <v>RASA4CP</v>
      </c>
      <c r="B13583" s="6">
        <v>0.50149850149850095</v>
      </c>
      <c r="C13583" s="6">
        <v>0.64893293475234703</v>
      </c>
    </row>
    <row r="13584" spans="1:3" s="8" customFormat="1" x14ac:dyDescent="0.2">
      <c r="A13584" s="6" t="str">
        <f>"GATA6"</f>
        <v>GATA6</v>
      </c>
      <c r="B13584" s="6">
        <v>0.50149850149850095</v>
      </c>
      <c r="C13584" s="6">
        <v>0.64893293475234703</v>
      </c>
    </row>
    <row r="13585" spans="1:3" s="8" customFormat="1" x14ac:dyDescent="0.2">
      <c r="A13585" s="6" t="str">
        <f>"DMRT3"</f>
        <v>DMRT3</v>
      </c>
      <c r="B13585" s="6">
        <v>0.50149850149850095</v>
      </c>
      <c r="C13585" s="6">
        <v>0.64893293475234703</v>
      </c>
    </row>
    <row r="13586" spans="1:3" s="8" customFormat="1" x14ac:dyDescent="0.2">
      <c r="A13586" s="6" t="str">
        <f>"ABCC10"</f>
        <v>ABCC10</v>
      </c>
      <c r="B13586" s="6">
        <v>0.50149850149850095</v>
      </c>
      <c r="C13586" s="6">
        <v>0.64893293475234703</v>
      </c>
    </row>
    <row r="13587" spans="1:3" s="8" customFormat="1" x14ac:dyDescent="0.2">
      <c r="A13587" s="6" t="str">
        <f>"DOLK"</f>
        <v>DOLK</v>
      </c>
      <c r="B13587" s="6">
        <v>0.50149850149850095</v>
      </c>
      <c r="C13587" s="6">
        <v>0.64893293475234703</v>
      </c>
    </row>
    <row r="13588" spans="1:3" s="8" customFormat="1" x14ac:dyDescent="0.2">
      <c r="A13588" s="6" t="str">
        <f>"VPS26C"</f>
        <v>VPS26C</v>
      </c>
      <c r="B13588" s="6">
        <v>0.50149850149850095</v>
      </c>
      <c r="C13588" s="6">
        <v>0.64893293475234703</v>
      </c>
    </row>
    <row r="13589" spans="1:3" s="8" customFormat="1" x14ac:dyDescent="0.2">
      <c r="A13589" s="6" t="str">
        <f>"TRA2B"</f>
        <v>TRA2B</v>
      </c>
      <c r="B13589" s="6">
        <v>0.50149850149850095</v>
      </c>
      <c r="C13589" s="6">
        <v>0.64893293475234703</v>
      </c>
    </row>
    <row r="13590" spans="1:3" s="8" customFormat="1" x14ac:dyDescent="0.2">
      <c r="A13590" s="6" t="str">
        <f>"MYCBP"</f>
        <v>MYCBP</v>
      </c>
      <c r="B13590" s="6">
        <v>0.50149850149850095</v>
      </c>
      <c r="C13590" s="6">
        <v>0.64893293475234703</v>
      </c>
    </row>
    <row r="13591" spans="1:3" s="8" customFormat="1" x14ac:dyDescent="0.2">
      <c r="A13591" s="6" t="str">
        <f>"AC025470.2"</f>
        <v>AC025470.2</v>
      </c>
      <c r="B13591" s="6">
        <v>0.502</v>
      </c>
      <c r="C13591" s="6">
        <v>0.64950189696785599</v>
      </c>
    </row>
    <row r="13592" spans="1:3" s="8" customFormat="1" x14ac:dyDescent="0.2">
      <c r="A13592" s="6" t="str">
        <f>"AL121917.1"</f>
        <v>AL121917.1</v>
      </c>
      <c r="B13592" s="6">
        <v>0.50201207243460699</v>
      </c>
      <c r="C13592" s="6">
        <v>0.64950189696785599</v>
      </c>
    </row>
    <row r="13593" spans="1:3" s="8" customFormat="1" x14ac:dyDescent="0.2">
      <c r="A13593" s="6" t="str">
        <f>"AC025442.2"</f>
        <v>AC025442.2</v>
      </c>
      <c r="B13593" s="6">
        <v>0.50249750249750202</v>
      </c>
      <c r="C13593" s="6">
        <v>0.64952163163999499</v>
      </c>
    </row>
    <row r="13594" spans="1:3" s="8" customFormat="1" x14ac:dyDescent="0.2">
      <c r="A13594" s="6" t="str">
        <f>"SYCP2L"</f>
        <v>SYCP2L</v>
      </c>
      <c r="B13594" s="6">
        <v>0.50249750249750202</v>
      </c>
      <c r="C13594" s="6">
        <v>0.64952163163999499</v>
      </c>
    </row>
    <row r="13595" spans="1:3" s="8" customFormat="1" x14ac:dyDescent="0.2">
      <c r="A13595" s="6" t="str">
        <f>"PCA3"</f>
        <v>PCA3</v>
      </c>
      <c r="B13595" s="6">
        <v>0.50250752256770304</v>
      </c>
      <c r="C13595" s="6">
        <v>0.64952163163999499</v>
      </c>
    </row>
    <row r="13596" spans="1:3" s="8" customFormat="1" x14ac:dyDescent="0.2">
      <c r="A13596" s="6" t="str">
        <f>"POLE2"</f>
        <v>POLE2</v>
      </c>
      <c r="B13596" s="6">
        <v>0.50249750249750202</v>
      </c>
      <c r="C13596" s="6">
        <v>0.64952163163999499</v>
      </c>
    </row>
    <row r="13597" spans="1:3" s="8" customFormat="1" x14ac:dyDescent="0.2">
      <c r="A13597" s="6" t="str">
        <f>"AC104041.1"</f>
        <v>AC104041.1</v>
      </c>
      <c r="B13597" s="6">
        <v>0.50249750249750202</v>
      </c>
      <c r="C13597" s="6">
        <v>0.64952163163999499</v>
      </c>
    </row>
    <row r="13598" spans="1:3" s="8" customFormat="1" x14ac:dyDescent="0.2">
      <c r="A13598" s="6" t="str">
        <f>"RNF224"</f>
        <v>RNF224</v>
      </c>
      <c r="B13598" s="6">
        <v>0.50249750249750202</v>
      </c>
      <c r="C13598" s="6">
        <v>0.64952163163999499</v>
      </c>
    </row>
    <row r="13599" spans="1:3" s="8" customFormat="1" x14ac:dyDescent="0.2">
      <c r="A13599" s="6" t="str">
        <f>"ZEB1-AS1"</f>
        <v>ZEB1-AS1</v>
      </c>
      <c r="B13599" s="6">
        <v>0.50249750249750202</v>
      </c>
      <c r="C13599" s="6">
        <v>0.64952163163999499</v>
      </c>
    </row>
    <row r="13600" spans="1:3" s="8" customFormat="1" x14ac:dyDescent="0.2">
      <c r="A13600" s="6" t="str">
        <f>"GPD1"</f>
        <v>GPD1</v>
      </c>
      <c r="B13600" s="6">
        <v>0.50249750249750202</v>
      </c>
      <c r="C13600" s="6">
        <v>0.64952163163999499</v>
      </c>
    </row>
    <row r="13601" spans="1:3" s="8" customFormat="1" x14ac:dyDescent="0.2">
      <c r="A13601" s="6" t="str">
        <f>"TFAP4"</f>
        <v>TFAP4</v>
      </c>
      <c r="B13601" s="6">
        <v>0.50249750249750202</v>
      </c>
      <c r="C13601" s="6">
        <v>0.64952163163999499</v>
      </c>
    </row>
    <row r="13602" spans="1:3" s="8" customFormat="1" x14ac:dyDescent="0.2">
      <c r="A13602" s="6" t="str">
        <f>"RAPGEF5"</f>
        <v>RAPGEF5</v>
      </c>
      <c r="B13602" s="6">
        <v>0.50249750249750202</v>
      </c>
      <c r="C13602" s="6">
        <v>0.64952163163999499</v>
      </c>
    </row>
    <row r="13603" spans="1:3" s="8" customFormat="1" x14ac:dyDescent="0.2">
      <c r="A13603" s="6" t="str">
        <f>"MRPL27"</f>
        <v>MRPL27</v>
      </c>
      <c r="B13603" s="6">
        <v>0.50249750249750202</v>
      </c>
      <c r="C13603" s="6">
        <v>0.64952163163999499</v>
      </c>
    </row>
    <row r="13604" spans="1:3" s="8" customFormat="1" x14ac:dyDescent="0.2">
      <c r="A13604" s="6" t="str">
        <f>"RPL27"</f>
        <v>RPL27</v>
      </c>
      <c r="B13604" s="6">
        <v>0.50249750249750202</v>
      </c>
      <c r="C13604" s="6">
        <v>0.64952163163999499</v>
      </c>
    </row>
    <row r="13605" spans="1:3" s="8" customFormat="1" x14ac:dyDescent="0.2">
      <c r="A13605" s="6" t="str">
        <f>"PCBP2"</f>
        <v>PCBP2</v>
      </c>
      <c r="B13605" s="6">
        <v>0.50249750249750202</v>
      </c>
      <c r="C13605" s="6">
        <v>0.64952163163999499</v>
      </c>
    </row>
    <row r="13606" spans="1:3" s="8" customFormat="1" x14ac:dyDescent="0.2">
      <c r="A13606" s="6" t="str">
        <f>"SPG21"</f>
        <v>SPG21</v>
      </c>
      <c r="B13606" s="6">
        <v>0.503</v>
      </c>
      <c r="C13606" s="6">
        <v>0.65011040058801906</v>
      </c>
    </row>
    <row r="13607" spans="1:3" s="8" customFormat="1" x14ac:dyDescent="0.2">
      <c r="A13607" s="6" t="str">
        <f>"AL358613.3"</f>
        <v>AL358613.3</v>
      </c>
      <c r="B13607" s="6">
        <v>0.50349650349650299</v>
      </c>
      <c r="C13607" s="6">
        <v>0.65032191255196903</v>
      </c>
    </row>
    <row r="13608" spans="1:3" s="8" customFormat="1" x14ac:dyDescent="0.2">
      <c r="A13608" s="6" t="str">
        <f>"PTGIR"</f>
        <v>PTGIR</v>
      </c>
      <c r="B13608" s="6">
        <v>0.50349650349650299</v>
      </c>
      <c r="C13608" s="6">
        <v>0.65032191255196903</v>
      </c>
    </row>
    <row r="13609" spans="1:3" s="8" customFormat="1" x14ac:dyDescent="0.2">
      <c r="A13609" s="6" t="str">
        <f>"NBPF25P"</f>
        <v>NBPF25P</v>
      </c>
      <c r="B13609" s="6">
        <v>0.50349650349650299</v>
      </c>
      <c r="C13609" s="6">
        <v>0.65032191255196903</v>
      </c>
    </row>
    <row r="13610" spans="1:3" s="8" customFormat="1" x14ac:dyDescent="0.2">
      <c r="A13610" s="6" t="str">
        <f>"ABCC9"</f>
        <v>ABCC9</v>
      </c>
      <c r="B13610" s="6">
        <v>0.50349650349650299</v>
      </c>
      <c r="C13610" s="6">
        <v>0.65032191255196903</v>
      </c>
    </row>
    <row r="13611" spans="1:3" s="8" customFormat="1" x14ac:dyDescent="0.2">
      <c r="A13611" s="6" t="str">
        <f>"AC011346.1"</f>
        <v>AC011346.1</v>
      </c>
      <c r="B13611" s="6">
        <v>0.50349650349650299</v>
      </c>
      <c r="C13611" s="6">
        <v>0.65032191255196903</v>
      </c>
    </row>
    <row r="13612" spans="1:3" s="8" customFormat="1" x14ac:dyDescent="0.2">
      <c r="A13612" s="6" t="str">
        <f>"POLR3GL"</f>
        <v>POLR3GL</v>
      </c>
      <c r="B13612" s="6">
        <v>0.50349650349650299</v>
      </c>
      <c r="C13612" s="6">
        <v>0.65032191255196903</v>
      </c>
    </row>
    <row r="13613" spans="1:3" s="8" customFormat="1" x14ac:dyDescent="0.2">
      <c r="A13613" s="6" t="str">
        <f>"ZNF318"</f>
        <v>ZNF318</v>
      </c>
      <c r="B13613" s="6">
        <v>0.50349650349650299</v>
      </c>
      <c r="C13613" s="6">
        <v>0.65032191255196903</v>
      </c>
    </row>
    <row r="13614" spans="1:3" s="8" customFormat="1" x14ac:dyDescent="0.2">
      <c r="A13614" s="6" t="str">
        <f>"SGMS2"</f>
        <v>SGMS2</v>
      </c>
      <c r="B13614" s="6">
        <v>0.50349650349650299</v>
      </c>
      <c r="C13614" s="6">
        <v>0.65032191255196903</v>
      </c>
    </row>
    <row r="13615" spans="1:3" s="8" customFormat="1" x14ac:dyDescent="0.2">
      <c r="A13615" s="6" t="str">
        <f>"REEP5"</f>
        <v>REEP5</v>
      </c>
      <c r="B13615" s="6">
        <v>0.50349650349650299</v>
      </c>
      <c r="C13615" s="6">
        <v>0.65032191255196903</v>
      </c>
    </row>
    <row r="13616" spans="1:3" s="8" customFormat="1" x14ac:dyDescent="0.2">
      <c r="A13616" s="6" t="str">
        <f>"SNURF"</f>
        <v>SNURF</v>
      </c>
      <c r="B13616" s="6">
        <v>0.50449550449550395</v>
      </c>
      <c r="C13616" s="6">
        <v>0.65132517995954098</v>
      </c>
    </row>
    <row r="13617" spans="1:3" s="8" customFormat="1" x14ac:dyDescent="0.2">
      <c r="A13617" s="6" t="str">
        <f>"TEX14"</f>
        <v>TEX14</v>
      </c>
      <c r="B13617" s="6">
        <v>0.50449550449550395</v>
      </c>
      <c r="C13617" s="6">
        <v>0.65132517995954098</v>
      </c>
    </row>
    <row r="13618" spans="1:3" s="8" customFormat="1" x14ac:dyDescent="0.2">
      <c r="A13618" s="6" t="str">
        <f>"EPB41L4A-DT"</f>
        <v>EPB41L4A-DT</v>
      </c>
      <c r="B13618" s="6">
        <v>0.50449550449550395</v>
      </c>
      <c r="C13618" s="6">
        <v>0.65132517995954098</v>
      </c>
    </row>
    <row r="13619" spans="1:3" s="8" customFormat="1" x14ac:dyDescent="0.2">
      <c r="A13619" s="6" t="str">
        <f>"MICA"</f>
        <v>MICA</v>
      </c>
      <c r="B13619" s="6">
        <v>0.50449550449550395</v>
      </c>
      <c r="C13619" s="6">
        <v>0.65132517995954098</v>
      </c>
    </row>
    <row r="13620" spans="1:3" s="8" customFormat="1" x14ac:dyDescent="0.2">
      <c r="A13620" s="6" t="str">
        <f>"TMEM35B"</f>
        <v>TMEM35B</v>
      </c>
      <c r="B13620" s="6">
        <v>0.50449550449550395</v>
      </c>
      <c r="C13620" s="6">
        <v>0.65132517995954098</v>
      </c>
    </row>
    <row r="13621" spans="1:3" s="8" customFormat="1" x14ac:dyDescent="0.2">
      <c r="A13621" s="6" t="str">
        <f>"STARD10"</f>
        <v>STARD10</v>
      </c>
      <c r="B13621" s="6">
        <v>0.50449550449550395</v>
      </c>
      <c r="C13621" s="6">
        <v>0.65132517995954098</v>
      </c>
    </row>
    <row r="13622" spans="1:3" s="8" customFormat="1" x14ac:dyDescent="0.2">
      <c r="A13622" s="6" t="str">
        <f>"CST4"</f>
        <v>CST4</v>
      </c>
      <c r="B13622" s="6">
        <v>0.50549450549450503</v>
      </c>
      <c r="C13622" s="6">
        <v>0.65216456412524404</v>
      </c>
    </row>
    <row r="13623" spans="1:3" s="8" customFormat="1" x14ac:dyDescent="0.2">
      <c r="A13623" s="6" t="str">
        <f>"AL132780.5"</f>
        <v>AL132780.5</v>
      </c>
      <c r="B13623" s="6">
        <v>0.50551654964894599</v>
      </c>
      <c r="C13623" s="6">
        <v>0.65216456412524404</v>
      </c>
    </row>
    <row r="13624" spans="1:3" s="8" customFormat="1" x14ac:dyDescent="0.2">
      <c r="A13624" s="6" t="str">
        <f>"AL356218.2"</f>
        <v>AL356218.2</v>
      </c>
      <c r="B13624" s="6">
        <v>0.50549450549450503</v>
      </c>
      <c r="C13624" s="6">
        <v>0.65216456412524404</v>
      </c>
    </row>
    <row r="13625" spans="1:3" s="8" customFormat="1" x14ac:dyDescent="0.2">
      <c r="A13625" s="6" t="str">
        <f>"AP000346.2"</f>
        <v>AP000346.2</v>
      </c>
      <c r="B13625" s="6">
        <v>0.50549450549450503</v>
      </c>
      <c r="C13625" s="6">
        <v>0.65216456412524404</v>
      </c>
    </row>
    <row r="13626" spans="1:3" s="8" customFormat="1" x14ac:dyDescent="0.2">
      <c r="A13626" s="6" t="str">
        <f>"PLA2G2C"</f>
        <v>PLA2G2C</v>
      </c>
      <c r="B13626" s="6">
        <v>0.50549450549450503</v>
      </c>
      <c r="C13626" s="6">
        <v>0.65216456412524404</v>
      </c>
    </row>
    <row r="13627" spans="1:3" s="8" customFormat="1" x14ac:dyDescent="0.2">
      <c r="A13627" s="6" t="str">
        <f>"TET1"</f>
        <v>TET1</v>
      </c>
      <c r="B13627" s="6">
        <v>0.50549450549450503</v>
      </c>
      <c r="C13627" s="6">
        <v>0.65216456412524404</v>
      </c>
    </row>
    <row r="13628" spans="1:3" s="8" customFormat="1" x14ac:dyDescent="0.2">
      <c r="A13628" s="6" t="str">
        <f>"ZNF337-AS1"</f>
        <v>ZNF337-AS1</v>
      </c>
      <c r="B13628" s="6">
        <v>0.50549450549450503</v>
      </c>
      <c r="C13628" s="6">
        <v>0.65216456412524404</v>
      </c>
    </row>
    <row r="13629" spans="1:3" s="8" customFormat="1" x14ac:dyDescent="0.2">
      <c r="A13629" s="6" t="str">
        <f>"ZNF37A"</f>
        <v>ZNF37A</v>
      </c>
      <c r="B13629" s="6">
        <v>0.50549450549450503</v>
      </c>
      <c r="C13629" s="6">
        <v>0.65216456412524404</v>
      </c>
    </row>
    <row r="13630" spans="1:3" s="8" customFormat="1" x14ac:dyDescent="0.2">
      <c r="A13630" s="6" t="str">
        <f>"MAP3K7"</f>
        <v>MAP3K7</v>
      </c>
      <c r="B13630" s="6">
        <v>0.50549450549450503</v>
      </c>
      <c r="C13630" s="6">
        <v>0.65216456412524404</v>
      </c>
    </row>
    <row r="13631" spans="1:3" s="8" customFormat="1" x14ac:dyDescent="0.2">
      <c r="A13631" s="6" t="str">
        <f>"TRIM33"</f>
        <v>TRIM33</v>
      </c>
      <c r="B13631" s="6">
        <v>0.50549450549450503</v>
      </c>
      <c r="C13631" s="6">
        <v>0.65216456412524404</v>
      </c>
    </row>
    <row r="13632" spans="1:3" s="8" customFormat="1" x14ac:dyDescent="0.2">
      <c r="A13632" s="6" t="str">
        <f>"AC095055.1"</f>
        <v>AC095055.1</v>
      </c>
      <c r="B13632" s="6">
        <v>0.506493506493506</v>
      </c>
      <c r="C13632" s="6">
        <v>0.65304163500379897</v>
      </c>
    </row>
    <row r="13633" spans="1:3" s="8" customFormat="1" x14ac:dyDescent="0.2">
      <c r="A13633" s="6" t="str">
        <f>"AL513548.1"</f>
        <v>AL513548.1</v>
      </c>
      <c r="B13633" s="6">
        <v>0.506493506493506</v>
      </c>
      <c r="C13633" s="6">
        <v>0.65304163500379897</v>
      </c>
    </row>
    <row r="13634" spans="1:3" s="8" customFormat="1" x14ac:dyDescent="0.2">
      <c r="A13634" s="6" t="str">
        <f>"CD300C"</f>
        <v>CD300C</v>
      </c>
      <c r="B13634" s="6">
        <v>0.506493506493506</v>
      </c>
      <c r="C13634" s="6">
        <v>0.65304163500379897</v>
      </c>
    </row>
    <row r="13635" spans="1:3" s="8" customFormat="1" x14ac:dyDescent="0.2">
      <c r="A13635" s="6" t="str">
        <f>"HSPBAP1"</f>
        <v>HSPBAP1</v>
      </c>
      <c r="B13635" s="6">
        <v>0.506493506493506</v>
      </c>
      <c r="C13635" s="6">
        <v>0.65304163500379897</v>
      </c>
    </row>
    <row r="13636" spans="1:3" s="8" customFormat="1" x14ac:dyDescent="0.2">
      <c r="A13636" s="6" t="str">
        <f>"RCBTB2"</f>
        <v>RCBTB2</v>
      </c>
      <c r="B13636" s="6">
        <v>0.506493506493506</v>
      </c>
      <c r="C13636" s="6">
        <v>0.65304163500379897</v>
      </c>
    </row>
    <row r="13637" spans="1:3" s="8" customFormat="1" x14ac:dyDescent="0.2">
      <c r="A13637" s="6" t="str">
        <f>"HEXA"</f>
        <v>HEXA</v>
      </c>
      <c r="B13637" s="6">
        <v>0.506493506493506</v>
      </c>
      <c r="C13637" s="6">
        <v>0.65304163500379897</v>
      </c>
    </row>
    <row r="13638" spans="1:3" s="8" customFormat="1" x14ac:dyDescent="0.2">
      <c r="A13638" s="6" t="str">
        <f>"NPM1"</f>
        <v>NPM1</v>
      </c>
      <c r="B13638" s="6">
        <v>0.506493506493506</v>
      </c>
      <c r="C13638" s="6">
        <v>0.65304163500379897</v>
      </c>
    </row>
    <row r="13639" spans="1:3" s="8" customFormat="1" x14ac:dyDescent="0.2">
      <c r="A13639" s="6" t="str">
        <f>"MUC5AC"</f>
        <v>MUC5AC</v>
      </c>
      <c r="B13639" s="6">
        <v>0.506493506493506</v>
      </c>
      <c r="C13639" s="6">
        <v>0.65304163500379897</v>
      </c>
    </row>
    <row r="13640" spans="1:3" s="8" customFormat="1" x14ac:dyDescent="0.2">
      <c r="A13640" s="6" t="str">
        <f>"LINC00111"</f>
        <v>LINC00111</v>
      </c>
      <c r="B13640" s="6">
        <v>0.50749250749250696</v>
      </c>
      <c r="C13640" s="6">
        <v>0.65372588176778301</v>
      </c>
    </row>
    <row r="13641" spans="1:3" s="8" customFormat="1" x14ac:dyDescent="0.2">
      <c r="A13641" s="6" t="str">
        <f>"SERPIND1"</f>
        <v>SERPIND1</v>
      </c>
      <c r="B13641" s="6">
        <v>0.50749250749250696</v>
      </c>
      <c r="C13641" s="6">
        <v>0.65372588176778301</v>
      </c>
    </row>
    <row r="13642" spans="1:3" s="8" customFormat="1" x14ac:dyDescent="0.2">
      <c r="A13642" s="6" t="str">
        <f>"AC026471.3"</f>
        <v>AC026471.3</v>
      </c>
      <c r="B13642" s="6">
        <v>0.50749250749250696</v>
      </c>
      <c r="C13642" s="6">
        <v>0.65372588176778301</v>
      </c>
    </row>
    <row r="13643" spans="1:3" s="8" customFormat="1" x14ac:dyDescent="0.2">
      <c r="A13643" s="6" t="str">
        <f>"OOEP"</f>
        <v>OOEP</v>
      </c>
      <c r="B13643" s="6">
        <v>0.50749250749250696</v>
      </c>
      <c r="C13643" s="6">
        <v>0.65372588176778301</v>
      </c>
    </row>
    <row r="13644" spans="1:3" s="8" customFormat="1" x14ac:dyDescent="0.2">
      <c r="A13644" s="6" t="str">
        <f>"AC133552.2"</f>
        <v>AC133552.2</v>
      </c>
      <c r="B13644" s="6">
        <v>0.50750750750750695</v>
      </c>
      <c r="C13644" s="6">
        <v>0.65372588176778301</v>
      </c>
    </row>
    <row r="13645" spans="1:3" s="8" customFormat="1" x14ac:dyDescent="0.2">
      <c r="A13645" s="6" t="str">
        <f>"AL096870.12"</f>
        <v>AL096870.12</v>
      </c>
      <c r="B13645" s="6">
        <v>0.50750750750750695</v>
      </c>
      <c r="C13645" s="6">
        <v>0.65372588176778301</v>
      </c>
    </row>
    <row r="13646" spans="1:3" s="8" customFormat="1" x14ac:dyDescent="0.2">
      <c r="A13646" s="6" t="str">
        <f>"TOB1-AS1"</f>
        <v>TOB1-AS1</v>
      </c>
      <c r="B13646" s="6">
        <v>0.50749250749250696</v>
      </c>
      <c r="C13646" s="6">
        <v>0.65372588176778301</v>
      </c>
    </row>
    <row r="13647" spans="1:3" s="8" customFormat="1" x14ac:dyDescent="0.2">
      <c r="A13647" s="6" t="str">
        <f>"CDK5"</f>
        <v>CDK5</v>
      </c>
      <c r="B13647" s="6">
        <v>0.50749250749250696</v>
      </c>
      <c r="C13647" s="6">
        <v>0.65372588176778301</v>
      </c>
    </row>
    <row r="13648" spans="1:3" s="8" customFormat="1" x14ac:dyDescent="0.2">
      <c r="A13648" s="6" t="str">
        <f>"CDC27"</f>
        <v>CDC27</v>
      </c>
      <c r="B13648" s="6">
        <v>0.50749250749250696</v>
      </c>
      <c r="C13648" s="6">
        <v>0.65372588176778301</v>
      </c>
    </row>
    <row r="13649" spans="1:3" s="8" customFormat="1" x14ac:dyDescent="0.2">
      <c r="A13649" s="6" t="str">
        <f>"TIPARP"</f>
        <v>TIPARP</v>
      </c>
      <c r="B13649" s="6">
        <v>0.50749250749250696</v>
      </c>
      <c r="C13649" s="6">
        <v>0.65372588176778301</v>
      </c>
    </row>
    <row r="13650" spans="1:3" s="8" customFormat="1" x14ac:dyDescent="0.2">
      <c r="A13650" s="6" t="str">
        <f>"DYRK2"</f>
        <v>DYRK2</v>
      </c>
      <c r="B13650" s="6">
        <v>0.50750750750750695</v>
      </c>
      <c r="C13650" s="6">
        <v>0.65372588176778301</v>
      </c>
    </row>
    <row r="13651" spans="1:3" s="8" customFormat="1" x14ac:dyDescent="0.2">
      <c r="A13651" s="6" t="str">
        <f>"ATXN1L"</f>
        <v>ATXN1L</v>
      </c>
      <c r="B13651" s="6">
        <v>0.50749250749250696</v>
      </c>
      <c r="C13651" s="6">
        <v>0.65372588176778301</v>
      </c>
    </row>
    <row r="13652" spans="1:3" s="8" customFormat="1" x14ac:dyDescent="0.2">
      <c r="A13652" s="6" t="str">
        <f>"RPL15"</f>
        <v>RPL15</v>
      </c>
      <c r="B13652" s="6">
        <v>0.50749250749250696</v>
      </c>
      <c r="C13652" s="6">
        <v>0.65372588176778301</v>
      </c>
    </row>
    <row r="13653" spans="1:3" s="8" customFormat="1" x14ac:dyDescent="0.2">
      <c r="A13653" s="6" t="str">
        <f>"AC006273.1"</f>
        <v>AC006273.1</v>
      </c>
      <c r="B13653" s="6">
        <v>0.50801603206412804</v>
      </c>
      <c r="C13653" s="6">
        <v>0.65428505880140797</v>
      </c>
    </row>
    <row r="13654" spans="1:3" s="8" customFormat="1" x14ac:dyDescent="0.2">
      <c r="A13654" s="6" t="str">
        <f>"AC138696.2"</f>
        <v>AC138696.2</v>
      </c>
      <c r="B13654" s="6">
        <v>0.50800000000000001</v>
      </c>
      <c r="C13654" s="6">
        <v>0.65428505880140797</v>
      </c>
    </row>
    <row r="13655" spans="1:3" s="8" customFormat="1" x14ac:dyDescent="0.2">
      <c r="A13655" s="6" t="str">
        <f>"AC010463.1"</f>
        <v>AC010463.1</v>
      </c>
      <c r="B13655" s="6">
        <v>0.50849150849150804</v>
      </c>
      <c r="C13655" s="6">
        <v>0.65446601414980798</v>
      </c>
    </row>
    <row r="13656" spans="1:3" s="8" customFormat="1" x14ac:dyDescent="0.2">
      <c r="A13656" s="6" t="str">
        <f>"FAM169B"</f>
        <v>FAM169B</v>
      </c>
      <c r="B13656" s="6">
        <v>0.50849150849150804</v>
      </c>
      <c r="C13656" s="6">
        <v>0.65446601414980798</v>
      </c>
    </row>
    <row r="13657" spans="1:3" s="8" customFormat="1" x14ac:dyDescent="0.2">
      <c r="A13657" s="6" t="str">
        <f>"AC024592.3"</f>
        <v>AC024592.3</v>
      </c>
      <c r="B13657" s="6">
        <v>0.50849150849150804</v>
      </c>
      <c r="C13657" s="6">
        <v>0.65446601414980798</v>
      </c>
    </row>
    <row r="13658" spans="1:3" s="8" customFormat="1" x14ac:dyDescent="0.2">
      <c r="A13658" s="6" t="str">
        <f>"SCN3B"</f>
        <v>SCN3B</v>
      </c>
      <c r="B13658" s="6">
        <v>0.50849150849150804</v>
      </c>
      <c r="C13658" s="6">
        <v>0.65446601414980798</v>
      </c>
    </row>
    <row r="13659" spans="1:3" s="8" customFormat="1" x14ac:dyDescent="0.2">
      <c r="A13659" s="6" t="str">
        <f>"CALHM6"</f>
        <v>CALHM6</v>
      </c>
      <c r="B13659" s="6">
        <v>0.50849150849150804</v>
      </c>
      <c r="C13659" s="6">
        <v>0.65446601414980798</v>
      </c>
    </row>
    <row r="13660" spans="1:3" s="8" customFormat="1" x14ac:dyDescent="0.2">
      <c r="A13660" s="6" t="str">
        <f>"ZKSCAN7"</f>
        <v>ZKSCAN7</v>
      </c>
      <c r="B13660" s="6">
        <v>0.50849150849150804</v>
      </c>
      <c r="C13660" s="6">
        <v>0.65446601414980798</v>
      </c>
    </row>
    <row r="13661" spans="1:3" s="8" customFormat="1" x14ac:dyDescent="0.2">
      <c r="A13661" s="6" t="str">
        <f>"PPM1J"</f>
        <v>PPM1J</v>
      </c>
      <c r="B13661" s="6">
        <v>0.50849150849150804</v>
      </c>
      <c r="C13661" s="6">
        <v>0.65446601414980798</v>
      </c>
    </row>
    <row r="13662" spans="1:3" s="8" customFormat="1" x14ac:dyDescent="0.2">
      <c r="A13662" s="6" t="str">
        <f>"ZNF546"</f>
        <v>ZNF546</v>
      </c>
      <c r="B13662" s="6">
        <v>0.50849150849150804</v>
      </c>
      <c r="C13662" s="6">
        <v>0.65446601414980798</v>
      </c>
    </row>
    <row r="13663" spans="1:3" s="8" customFormat="1" x14ac:dyDescent="0.2">
      <c r="A13663" s="6" t="str">
        <f>"RNF20"</f>
        <v>RNF20</v>
      </c>
      <c r="B13663" s="6">
        <v>0.50849150849150804</v>
      </c>
      <c r="C13663" s="6">
        <v>0.65446601414980798</v>
      </c>
    </row>
    <row r="13664" spans="1:3" s="8" customFormat="1" x14ac:dyDescent="0.2">
      <c r="A13664" s="6" t="str">
        <f>"LINC01752"</f>
        <v>LINC01752</v>
      </c>
      <c r="B13664" s="6">
        <v>0.50866462793068301</v>
      </c>
      <c r="C13664" s="6">
        <v>0.65464091469904995</v>
      </c>
    </row>
    <row r="13665" spans="1:3" s="8" customFormat="1" x14ac:dyDescent="0.2">
      <c r="A13665" s="6" t="str">
        <f>"RBMS1P1"</f>
        <v>RBMS1P1</v>
      </c>
      <c r="B13665" s="6">
        <v>0.50905432595573397</v>
      </c>
      <c r="C13665" s="6">
        <v>0.65503261818243097</v>
      </c>
    </row>
    <row r="13666" spans="1:3" s="8" customFormat="1" x14ac:dyDescent="0.2">
      <c r="A13666" s="6" t="str">
        <f>"PSPHP1"</f>
        <v>PSPHP1</v>
      </c>
      <c r="B13666" s="6">
        <v>0.50909090909090904</v>
      </c>
      <c r="C13666" s="6">
        <v>0.65503261818243097</v>
      </c>
    </row>
    <row r="13667" spans="1:3" s="8" customFormat="1" x14ac:dyDescent="0.2">
      <c r="A13667" s="6" t="str">
        <f>"AC092803.3"</f>
        <v>AC092803.3</v>
      </c>
      <c r="B13667" s="6">
        <v>0.50909090909090904</v>
      </c>
      <c r="C13667" s="6">
        <v>0.65503261818243097</v>
      </c>
    </row>
    <row r="13668" spans="1:3" s="8" customFormat="1" x14ac:dyDescent="0.2">
      <c r="A13668" s="6" t="str">
        <f>"SH2D4B"</f>
        <v>SH2D4B</v>
      </c>
      <c r="B13668" s="6">
        <v>0.509490509490509</v>
      </c>
      <c r="C13668" s="6">
        <v>0.65503261818243097</v>
      </c>
    </row>
    <row r="13669" spans="1:3" s="8" customFormat="1" x14ac:dyDescent="0.2">
      <c r="A13669" s="6" t="str">
        <f>"MOXD1"</f>
        <v>MOXD1</v>
      </c>
      <c r="B13669" s="6">
        <v>0.509490509490509</v>
      </c>
      <c r="C13669" s="6">
        <v>0.65503261818243097</v>
      </c>
    </row>
    <row r="13670" spans="1:3" s="8" customFormat="1" x14ac:dyDescent="0.2">
      <c r="A13670" s="6" t="str">
        <f>"C5orf64"</f>
        <v>C5orf64</v>
      </c>
      <c r="B13670" s="6">
        <v>0.509490509490509</v>
      </c>
      <c r="C13670" s="6">
        <v>0.65503261818243097</v>
      </c>
    </row>
    <row r="13671" spans="1:3" s="8" customFormat="1" x14ac:dyDescent="0.2">
      <c r="A13671" s="6" t="str">
        <f>"PKD1P6-NPIPP1"</f>
        <v>PKD1P6-NPIPP1</v>
      </c>
      <c r="B13671" s="6">
        <v>0.509490509490509</v>
      </c>
      <c r="C13671" s="6">
        <v>0.65503261818243097</v>
      </c>
    </row>
    <row r="13672" spans="1:3" s="8" customFormat="1" x14ac:dyDescent="0.2">
      <c r="A13672" s="6" t="str">
        <f>"RASA4"</f>
        <v>RASA4</v>
      </c>
      <c r="B13672" s="6">
        <v>0.509490509490509</v>
      </c>
      <c r="C13672" s="6">
        <v>0.65503261818243097</v>
      </c>
    </row>
    <row r="13673" spans="1:3" s="8" customFormat="1" x14ac:dyDescent="0.2">
      <c r="A13673" s="6" t="str">
        <f>"SFT2D1"</f>
        <v>SFT2D1</v>
      </c>
      <c r="B13673" s="6">
        <v>0.509490509490509</v>
      </c>
      <c r="C13673" s="6">
        <v>0.65503261818243097</v>
      </c>
    </row>
    <row r="13674" spans="1:3" s="8" customFormat="1" x14ac:dyDescent="0.2">
      <c r="A13674" s="6" t="str">
        <f>"POLR2F"</f>
        <v>POLR2F</v>
      </c>
      <c r="B13674" s="6">
        <v>0.509490509490509</v>
      </c>
      <c r="C13674" s="6">
        <v>0.65503261818243097</v>
      </c>
    </row>
    <row r="13675" spans="1:3" s="8" customFormat="1" x14ac:dyDescent="0.2">
      <c r="A13675" s="6" t="str">
        <f>"GSDMB"</f>
        <v>GSDMB</v>
      </c>
      <c r="B13675" s="6">
        <v>0.509490509490509</v>
      </c>
      <c r="C13675" s="6">
        <v>0.65503261818243097</v>
      </c>
    </row>
    <row r="13676" spans="1:3" s="8" customFormat="1" x14ac:dyDescent="0.2">
      <c r="A13676" s="6" t="str">
        <f>"PLXNA1"</f>
        <v>PLXNA1</v>
      </c>
      <c r="B13676" s="6">
        <v>0.509490509490509</v>
      </c>
      <c r="C13676" s="6">
        <v>0.65503261818243097</v>
      </c>
    </row>
    <row r="13677" spans="1:3" s="8" customFormat="1" x14ac:dyDescent="0.2">
      <c r="A13677" s="6" t="str">
        <f>"TMED9"</f>
        <v>TMED9</v>
      </c>
      <c r="B13677" s="6">
        <v>0.509490509490509</v>
      </c>
      <c r="C13677" s="6">
        <v>0.65503261818243097</v>
      </c>
    </row>
    <row r="13678" spans="1:3" s="8" customFormat="1" x14ac:dyDescent="0.2">
      <c r="A13678" s="6" t="str">
        <f>"KRT18"</f>
        <v>KRT18</v>
      </c>
      <c r="B13678" s="6">
        <v>0.509490509490509</v>
      </c>
      <c r="C13678" s="6">
        <v>0.65503261818243097</v>
      </c>
    </row>
    <row r="13679" spans="1:3" s="8" customFormat="1" x14ac:dyDescent="0.2">
      <c r="A13679" s="6" t="str">
        <f>"AC026403.1"</f>
        <v>AC026403.1</v>
      </c>
      <c r="B13679" s="6">
        <v>0.51</v>
      </c>
      <c r="C13679" s="6">
        <v>0.655639713408393</v>
      </c>
    </row>
    <row r="13680" spans="1:3" s="8" customFormat="1" x14ac:dyDescent="0.2">
      <c r="A13680" s="6" t="str">
        <f>"AC006478.2"</f>
        <v>AC006478.2</v>
      </c>
      <c r="B13680" s="6">
        <v>0.51048951048950997</v>
      </c>
      <c r="C13680" s="6">
        <v>0.65588539766531795</v>
      </c>
    </row>
    <row r="13681" spans="1:3" s="8" customFormat="1" x14ac:dyDescent="0.2">
      <c r="A13681" s="6" t="str">
        <f>"AC017083.1"</f>
        <v>AC017083.1</v>
      </c>
      <c r="B13681" s="6">
        <v>0.51048951048950997</v>
      </c>
      <c r="C13681" s="6">
        <v>0.65588539766531795</v>
      </c>
    </row>
    <row r="13682" spans="1:3" s="8" customFormat="1" x14ac:dyDescent="0.2">
      <c r="A13682" s="6" t="str">
        <f>"TRBV20-1"</f>
        <v>TRBV20-1</v>
      </c>
      <c r="B13682" s="6">
        <v>0.51048951048950997</v>
      </c>
      <c r="C13682" s="6">
        <v>0.65588539766531795</v>
      </c>
    </row>
    <row r="13683" spans="1:3" s="8" customFormat="1" x14ac:dyDescent="0.2">
      <c r="A13683" s="6" t="str">
        <f>"AC012184.2"</f>
        <v>AC012184.2</v>
      </c>
      <c r="B13683" s="6">
        <v>0.51048951048950997</v>
      </c>
      <c r="C13683" s="6">
        <v>0.65588539766531795</v>
      </c>
    </row>
    <row r="13684" spans="1:3" s="8" customFormat="1" x14ac:dyDescent="0.2">
      <c r="A13684" s="6" t="str">
        <f>"BCL2L12"</f>
        <v>BCL2L12</v>
      </c>
      <c r="B13684" s="6">
        <v>0.51048951048950997</v>
      </c>
      <c r="C13684" s="6">
        <v>0.65588539766531795</v>
      </c>
    </row>
    <row r="13685" spans="1:3" s="8" customFormat="1" x14ac:dyDescent="0.2">
      <c r="A13685" s="6" t="str">
        <f>"ZMYM3"</f>
        <v>ZMYM3</v>
      </c>
      <c r="B13685" s="6">
        <v>0.51048951048950997</v>
      </c>
      <c r="C13685" s="6">
        <v>0.65588539766531795</v>
      </c>
    </row>
    <row r="13686" spans="1:3" s="8" customFormat="1" x14ac:dyDescent="0.2">
      <c r="A13686" s="6" t="str">
        <f>"PSMD1"</f>
        <v>PSMD1</v>
      </c>
      <c r="B13686" s="6">
        <v>0.51048951048950997</v>
      </c>
      <c r="C13686" s="6">
        <v>0.65588539766531795</v>
      </c>
    </row>
    <row r="13687" spans="1:3" s="8" customFormat="1" x14ac:dyDescent="0.2">
      <c r="A13687" s="6" t="str">
        <f>"STRBP"</f>
        <v>STRBP</v>
      </c>
      <c r="B13687" s="6">
        <v>0.51048951048950997</v>
      </c>
      <c r="C13687" s="6">
        <v>0.65588539766531795</v>
      </c>
    </row>
    <row r="13688" spans="1:3" s="8" customFormat="1" x14ac:dyDescent="0.2">
      <c r="A13688" s="6" t="str">
        <f>"Z84485.1"</f>
        <v>Z84485.1</v>
      </c>
      <c r="B13688" s="6">
        <v>0.51148851148851104</v>
      </c>
      <c r="C13688" s="6">
        <v>0.65664116127721295</v>
      </c>
    </row>
    <row r="13689" spans="1:3" s="8" customFormat="1" x14ac:dyDescent="0.2">
      <c r="A13689" s="6" t="str">
        <f>"AC090181.3"</f>
        <v>AC090181.3</v>
      </c>
      <c r="B13689" s="6">
        <v>0.51148851148851104</v>
      </c>
      <c r="C13689" s="6">
        <v>0.65664116127721295</v>
      </c>
    </row>
    <row r="13690" spans="1:3" s="8" customFormat="1" x14ac:dyDescent="0.2">
      <c r="A13690" s="6" t="str">
        <f>"AC009065.2"</f>
        <v>AC009065.2</v>
      </c>
      <c r="B13690" s="6">
        <v>0.51148851148851104</v>
      </c>
      <c r="C13690" s="6">
        <v>0.65664116127721295</v>
      </c>
    </row>
    <row r="13691" spans="1:3" s="8" customFormat="1" x14ac:dyDescent="0.2">
      <c r="A13691" s="6" t="str">
        <f>"AL590399.4"</f>
        <v>AL590399.4</v>
      </c>
      <c r="B13691" s="6">
        <v>0.51148851148851104</v>
      </c>
      <c r="C13691" s="6">
        <v>0.65664116127721295</v>
      </c>
    </row>
    <row r="13692" spans="1:3" s="8" customFormat="1" x14ac:dyDescent="0.2">
      <c r="A13692" s="6" t="str">
        <f>"SERPINB7"</f>
        <v>SERPINB7</v>
      </c>
      <c r="B13692" s="6">
        <v>0.51148851148851104</v>
      </c>
      <c r="C13692" s="6">
        <v>0.65664116127721295</v>
      </c>
    </row>
    <row r="13693" spans="1:3" s="8" customFormat="1" x14ac:dyDescent="0.2">
      <c r="A13693" s="6" t="str">
        <f>"TCP11L1"</f>
        <v>TCP11L1</v>
      </c>
      <c r="B13693" s="6">
        <v>0.51148851148851104</v>
      </c>
      <c r="C13693" s="6">
        <v>0.65664116127721295</v>
      </c>
    </row>
    <row r="13694" spans="1:3" s="8" customFormat="1" x14ac:dyDescent="0.2">
      <c r="A13694" s="6" t="str">
        <f>"ZNF554"</f>
        <v>ZNF554</v>
      </c>
      <c r="B13694" s="6">
        <v>0.51148851148851104</v>
      </c>
      <c r="C13694" s="6">
        <v>0.65664116127721295</v>
      </c>
    </row>
    <row r="13695" spans="1:3" s="8" customFormat="1" x14ac:dyDescent="0.2">
      <c r="A13695" s="6" t="str">
        <f>"TOLLIP"</f>
        <v>TOLLIP</v>
      </c>
      <c r="B13695" s="6">
        <v>0.51148851148851104</v>
      </c>
      <c r="C13695" s="6">
        <v>0.65664116127721295</v>
      </c>
    </row>
    <row r="13696" spans="1:3" s="8" customFormat="1" x14ac:dyDescent="0.2">
      <c r="A13696" s="6" t="str">
        <f>"AGPAT3"</f>
        <v>AGPAT3</v>
      </c>
      <c r="B13696" s="6">
        <v>0.51148851148851104</v>
      </c>
      <c r="C13696" s="6">
        <v>0.65664116127721295</v>
      </c>
    </row>
    <row r="13697" spans="1:3" s="8" customFormat="1" x14ac:dyDescent="0.2">
      <c r="A13697" s="6" t="str">
        <f>"CRACR2B"</f>
        <v>CRACR2B</v>
      </c>
      <c r="B13697" s="6">
        <v>0.51148851148851104</v>
      </c>
      <c r="C13697" s="6">
        <v>0.65664116127721295</v>
      </c>
    </row>
    <row r="13698" spans="1:3" s="8" customFormat="1" x14ac:dyDescent="0.2">
      <c r="A13698" s="6" t="str">
        <f>"EIF5A"</f>
        <v>EIF5A</v>
      </c>
      <c r="B13698" s="6">
        <v>0.51148851148851104</v>
      </c>
      <c r="C13698" s="6">
        <v>0.65664116127721295</v>
      </c>
    </row>
    <row r="13699" spans="1:3" s="8" customFormat="1" x14ac:dyDescent="0.2">
      <c r="A13699" s="6" t="str">
        <f>"AC040977.1"</f>
        <v>AC040977.1</v>
      </c>
      <c r="B13699" s="6">
        <v>0.51200000000000001</v>
      </c>
      <c r="C13699" s="6">
        <v>0.65724981749160405</v>
      </c>
    </row>
    <row r="13700" spans="1:3" s="8" customFormat="1" x14ac:dyDescent="0.2">
      <c r="A13700" s="6" t="str">
        <f>"AC135068.9"</f>
        <v>AC135068.9</v>
      </c>
      <c r="B13700" s="6">
        <v>0.51248751248751201</v>
      </c>
      <c r="C13700" s="6">
        <v>0.65750794368953502</v>
      </c>
    </row>
    <row r="13701" spans="1:3" s="8" customFormat="1" x14ac:dyDescent="0.2">
      <c r="A13701" s="6" t="str">
        <f>"CPA6"</f>
        <v>CPA6</v>
      </c>
      <c r="B13701" s="6">
        <v>0.51251251251251195</v>
      </c>
      <c r="C13701" s="6">
        <v>0.65750794368953502</v>
      </c>
    </row>
    <row r="13702" spans="1:3" s="8" customFormat="1" x14ac:dyDescent="0.2">
      <c r="A13702" s="6" t="str">
        <f>"AP001025.1"</f>
        <v>AP001025.1</v>
      </c>
      <c r="B13702" s="6">
        <v>0.51253761283851496</v>
      </c>
      <c r="C13702" s="6">
        <v>0.65750794368953502</v>
      </c>
    </row>
    <row r="13703" spans="1:3" s="8" customFormat="1" x14ac:dyDescent="0.2">
      <c r="A13703" s="6" t="str">
        <f>"AC025774.1"</f>
        <v>AC025774.1</v>
      </c>
      <c r="B13703" s="6">
        <v>0.51248751248751201</v>
      </c>
      <c r="C13703" s="6">
        <v>0.65750794368953502</v>
      </c>
    </row>
    <row r="13704" spans="1:3" s="8" customFormat="1" x14ac:dyDescent="0.2">
      <c r="A13704" s="6" t="str">
        <f>"Z98257.1"</f>
        <v>Z98257.1</v>
      </c>
      <c r="B13704" s="6">
        <v>0.51248751248751201</v>
      </c>
      <c r="C13704" s="6">
        <v>0.65750794368953502</v>
      </c>
    </row>
    <row r="13705" spans="1:3" s="8" customFormat="1" x14ac:dyDescent="0.2">
      <c r="A13705" s="6" t="str">
        <f>"AP005264.4"</f>
        <v>AP005264.4</v>
      </c>
      <c r="B13705" s="6">
        <v>0.51248751248751201</v>
      </c>
      <c r="C13705" s="6">
        <v>0.65750794368953502</v>
      </c>
    </row>
    <row r="13706" spans="1:3" s="8" customFormat="1" x14ac:dyDescent="0.2">
      <c r="A13706" s="6" t="str">
        <f>"ACP7"</f>
        <v>ACP7</v>
      </c>
      <c r="B13706" s="6">
        <v>0.51248751248751201</v>
      </c>
      <c r="C13706" s="6">
        <v>0.65750794368953502</v>
      </c>
    </row>
    <row r="13707" spans="1:3" s="8" customFormat="1" x14ac:dyDescent="0.2">
      <c r="A13707" s="6" t="str">
        <f>"AL049697.1"</f>
        <v>AL049697.1</v>
      </c>
      <c r="B13707" s="6">
        <v>0.51248751248751201</v>
      </c>
      <c r="C13707" s="6">
        <v>0.65750794368953502</v>
      </c>
    </row>
    <row r="13708" spans="1:3" s="8" customFormat="1" x14ac:dyDescent="0.2">
      <c r="A13708" s="6" t="str">
        <f>"RSBN1L"</f>
        <v>RSBN1L</v>
      </c>
      <c r="B13708" s="6">
        <v>0.51248751248751201</v>
      </c>
      <c r="C13708" s="6">
        <v>0.65750794368953502</v>
      </c>
    </row>
    <row r="13709" spans="1:3" s="8" customFormat="1" x14ac:dyDescent="0.2">
      <c r="A13709" s="6" t="str">
        <f>"AC104066.4"</f>
        <v>AC104066.4</v>
      </c>
      <c r="B13709" s="6">
        <v>0.51348651348651297</v>
      </c>
      <c r="C13709" s="6">
        <v>0.65810108259087796</v>
      </c>
    </row>
    <row r="13710" spans="1:3" s="8" customFormat="1" x14ac:dyDescent="0.2">
      <c r="A13710" s="6" t="str">
        <f>"TP53TG3D"</f>
        <v>TP53TG3D</v>
      </c>
      <c r="B13710" s="6">
        <v>0.51348651348651297</v>
      </c>
      <c r="C13710" s="6">
        <v>0.65810108259087796</v>
      </c>
    </row>
    <row r="13711" spans="1:3" s="8" customFormat="1" x14ac:dyDescent="0.2">
      <c r="A13711" s="6" t="str">
        <f>"RUNX1T1"</f>
        <v>RUNX1T1</v>
      </c>
      <c r="B13711" s="6">
        <v>0.51348651348651297</v>
      </c>
      <c r="C13711" s="6">
        <v>0.65810108259087796</v>
      </c>
    </row>
    <row r="13712" spans="1:3" s="8" customFormat="1" x14ac:dyDescent="0.2">
      <c r="A13712" s="6" t="str">
        <f>"AC098484.3"</f>
        <v>AC098484.3</v>
      </c>
      <c r="B13712" s="6">
        <v>0.51348651348651297</v>
      </c>
      <c r="C13712" s="6">
        <v>0.65810108259087796</v>
      </c>
    </row>
    <row r="13713" spans="1:3" s="8" customFormat="1" x14ac:dyDescent="0.2">
      <c r="A13713" s="6" t="str">
        <f>"AC073508.2"</f>
        <v>AC073508.2</v>
      </c>
      <c r="B13713" s="6">
        <v>0.51348651348651297</v>
      </c>
      <c r="C13713" s="6">
        <v>0.65810108259087796</v>
      </c>
    </row>
    <row r="13714" spans="1:3" s="8" customFormat="1" x14ac:dyDescent="0.2">
      <c r="A13714" s="6" t="str">
        <f>"FOXO6"</f>
        <v>FOXO6</v>
      </c>
      <c r="B13714" s="6">
        <v>0.51348651348651297</v>
      </c>
      <c r="C13714" s="6">
        <v>0.65810108259087796</v>
      </c>
    </row>
    <row r="13715" spans="1:3" s="8" customFormat="1" x14ac:dyDescent="0.2">
      <c r="A13715" s="6" t="str">
        <f>"HYDIN2"</f>
        <v>HYDIN2</v>
      </c>
      <c r="B13715" s="6">
        <v>0.51348651348651297</v>
      </c>
      <c r="C13715" s="6">
        <v>0.65810108259087796</v>
      </c>
    </row>
    <row r="13716" spans="1:3" s="8" customFormat="1" x14ac:dyDescent="0.2">
      <c r="A13716" s="6" t="str">
        <f>"AL357556.3"</f>
        <v>AL357556.3</v>
      </c>
      <c r="B13716" s="6">
        <v>0.51348651348651297</v>
      </c>
      <c r="C13716" s="6">
        <v>0.65810108259087796</v>
      </c>
    </row>
    <row r="13717" spans="1:3" s="8" customFormat="1" x14ac:dyDescent="0.2">
      <c r="A13717" s="6" t="str">
        <f>"ARHGEF9"</f>
        <v>ARHGEF9</v>
      </c>
      <c r="B13717" s="6">
        <v>0.51348651348651297</v>
      </c>
      <c r="C13717" s="6">
        <v>0.65810108259087796</v>
      </c>
    </row>
    <row r="13718" spans="1:3" s="8" customFormat="1" x14ac:dyDescent="0.2">
      <c r="A13718" s="6" t="str">
        <f>"ZNF91"</f>
        <v>ZNF91</v>
      </c>
      <c r="B13718" s="6">
        <v>0.51348651348651297</v>
      </c>
      <c r="C13718" s="6">
        <v>0.65810108259087796</v>
      </c>
    </row>
    <row r="13719" spans="1:3" s="8" customFormat="1" x14ac:dyDescent="0.2">
      <c r="A13719" s="6" t="str">
        <f>"LAMTOR4"</f>
        <v>LAMTOR4</v>
      </c>
      <c r="B13719" s="6">
        <v>0.51348651348651297</v>
      </c>
      <c r="C13719" s="6">
        <v>0.65810108259087796</v>
      </c>
    </row>
    <row r="13720" spans="1:3" s="8" customFormat="1" x14ac:dyDescent="0.2">
      <c r="A13720" s="6" t="str">
        <f>"STOML2"</f>
        <v>STOML2</v>
      </c>
      <c r="B13720" s="6">
        <v>0.51348651348651297</v>
      </c>
      <c r="C13720" s="6">
        <v>0.65810108259087796</v>
      </c>
    </row>
    <row r="13721" spans="1:3" s="8" customFormat="1" x14ac:dyDescent="0.2">
      <c r="A13721" s="6" t="str">
        <f>"CD151"</f>
        <v>CD151</v>
      </c>
      <c r="B13721" s="6">
        <v>0.51348651348651297</v>
      </c>
      <c r="C13721" s="6">
        <v>0.65810108259087796</v>
      </c>
    </row>
    <row r="13722" spans="1:3" s="8" customFormat="1" x14ac:dyDescent="0.2">
      <c r="A13722" s="6" t="str">
        <f>"OPRD1"</f>
        <v>OPRD1</v>
      </c>
      <c r="B13722" s="6">
        <v>0.51408450704225295</v>
      </c>
      <c r="C13722" s="6">
        <v>0.65875724799485003</v>
      </c>
    </row>
    <row r="13723" spans="1:3" s="8" customFormat="1" x14ac:dyDescent="0.2">
      <c r="A13723" s="6" t="str">
        <f>"COL26A1"</f>
        <v>COL26A1</v>
      </c>
      <c r="B13723" s="6">
        <v>0.51448551448551405</v>
      </c>
      <c r="C13723" s="6">
        <v>0.65875724799485003</v>
      </c>
    </row>
    <row r="13724" spans="1:3" s="8" customFormat="1" x14ac:dyDescent="0.2">
      <c r="A13724" s="6" t="str">
        <f>"AC092428.1"</f>
        <v>AC092428.1</v>
      </c>
      <c r="B13724" s="6">
        <v>0.51448551448551405</v>
      </c>
      <c r="C13724" s="6">
        <v>0.65875724799485003</v>
      </c>
    </row>
    <row r="13725" spans="1:3" s="8" customFormat="1" x14ac:dyDescent="0.2">
      <c r="A13725" s="6" t="str">
        <f>"FTLP14"</f>
        <v>FTLP14</v>
      </c>
      <c r="B13725" s="6">
        <v>0.51448551448551405</v>
      </c>
      <c r="C13725" s="6">
        <v>0.65875724799485003</v>
      </c>
    </row>
    <row r="13726" spans="1:3" s="8" customFormat="1" x14ac:dyDescent="0.2">
      <c r="A13726" s="6" t="str">
        <f>"ANKRD36BP2"</f>
        <v>ANKRD36BP2</v>
      </c>
      <c r="B13726" s="6">
        <v>0.51448551448551405</v>
      </c>
      <c r="C13726" s="6">
        <v>0.65875724799485003</v>
      </c>
    </row>
    <row r="13727" spans="1:3" s="8" customFormat="1" x14ac:dyDescent="0.2">
      <c r="A13727" s="6" t="str">
        <f>"NTAQ1"</f>
        <v>NTAQ1</v>
      </c>
      <c r="B13727" s="6">
        <v>0.51448551448551405</v>
      </c>
      <c r="C13727" s="6">
        <v>0.65875724799485003</v>
      </c>
    </row>
    <row r="13728" spans="1:3" s="8" customFormat="1" x14ac:dyDescent="0.2">
      <c r="A13728" s="6" t="str">
        <f>"CCDC8"</f>
        <v>CCDC8</v>
      </c>
      <c r="B13728" s="6">
        <v>0.51448551448551405</v>
      </c>
      <c r="C13728" s="6">
        <v>0.65875724799485003</v>
      </c>
    </row>
    <row r="13729" spans="1:3" s="8" customFormat="1" x14ac:dyDescent="0.2">
      <c r="A13729" s="6" t="str">
        <f>"PORCN"</f>
        <v>PORCN</v>
      </c>
      <c r="B13729" s="6">
        <v>0.51448551448551405</v>
      </c>
      <c r="C13729" s="6">
        <v>0.65875724799485003</v>
      </c>
    </row>
    <row r="13730" spans="1:3" s="8" customFormat="1" x14ac:dyDescent="0.2">
      <c r="A13730" s="6" t="str">
        <f>"AL118506.1"</f>
        <v>AL118506.1</v>
      </c>
      <c r="B13730" s="6">
        <v>0.51448551448551405</v>
      </c>
      <c r="C13730" s="6">
        <v>0.65875724799485003</v>
      </c>
    </row>
    <row r="13731" spans="1:3" s="8" customFormat="1" x14ac:dyDescent="0.2">
      <c r="A13731" s="6" t="str">
        <f>"DMWD"</f>
        <v>DMWD</v>
      </c>
      <c r="B13731" s="6">
        <v>0.51448551448551405</v>
      </c>
      <c r="C13731" s="6">
        <v>0.65875724799485003</v>
      </c>
    </row>
    <row r="13732" spans="1:3" s="8" customFormat="1" x14ac:dyDescent="0.2">
      <c r="A13732" s="6" t="str">
        <f>"CACNG6"</f>
        <v>CACNG6</v>
      </c>
      <c r="B13732" s="6">
        <v>0.51448551448551405</v>
      </c>
      <c r="C13732" s="6">
        <v>0.65875724799485003</v>
      </c>
    </row>
    <row r="13733" spans="1:3" s="8" customFormat="1" x14ac:dyDescent="0.2">
      <c r="A13733" s="6" t="str">
        <f>"TNRC6B"</f>
        <v>TNRC6B</v>
      </c>
      <c r="B13733" s="6">
        <v>0.51448551448551405</v>
      </c>
      <c r="C13733" s="6">
        <v>0.65875724799485003</v>
      </c>
    </row>
    <row r="13734" spans="1:3" s="8" customFormat="1" x14ac:dyDescent="0.2">
      <c r="A13734" s="6" t="str">
        <f>"GBP3"</f>
        <v>GBP3</v>
      </c>
      <c r="B13734" s="6">
        <v>0.51448551448551405</v>
      </c>
      <c r="C13734" s="6">
        <v>0.65875724799485003</v>
      </c>
    </row>
    <row r="13735" spans="1:3" s="8" customFormat="1" x14ac:dyDescent="0.2">
      <c r="A13735" s="6" t="str">
        <f>"AC005753.1"</f>
        <v>AC005753.1</v>
      </c>
      <c r="B13735" s="6">
        <v>0.51500000000000001</v>
      </c>
      <c r="C13735" s="6">
        <v>0.65931998543865999</v>
      </c>
    </row>
    <row r="13736" spans="1:3" s="8" customFormat="1" x14ac:dyDescent="0.2">
      <c r="A13736" s="6" t="str">
        <f>"AC114811.2"</f>
        <v>AC114811.2</v>
      </c>
      <c r="B13736" s="6">
        <v>0.51500000000000001</v>
      </c>
      <c r="C13736" s="6">
        <v>0.65931998543865999</v>
      </c>
    </row>
    <row r="13737" spans="1:3" s="8" customFormat="1" x14ac:dyDescent="0.2">
      <c r="A13737" s="6" t="str">
        <f>"ANKRD55"</f>
        <v>ANKRD55</v>
      </c>
      <c r="B13737" s="6">
        <v>0.51548451548451502</v>
      </c>
      <c r="C13737" s="6">
        <v>0.65955611731643105</v>
      </c>
    </row>
    <row r="13738" spans="1:3" s="8" customFormat="1" x14ac:dyDescent="0.2">
      <c r="A13738" s="6" t="str">
        <f>"AC012158.1"</f>
        <v>AC012158.1</v>
      </c>
      <c r="B13738" s="6">
        <v>0.51548451548451502</v>
      </c>
      <c r="C13738" s="6">
        <v>0.65955611731643105</v>
      </c>
    </row>
    <row r="13739" spans="1:3" s="8" customFormat="1" x14ac:dyDescent="0.2">
      <c r="A13739" s="6" t="str">
        <f>"AL157834.1"</f>
        <v>AL157834.1</v>
      </c>
      <c r="B13739" s="6">
        <v>0.51548451548451502</v>
      </c>
      <c r="C13739" s="6">
        <v>0.65955611731643105</v>
      </c>
    </row>
    <row r="13740" spans="1:3" s="8" customFormat="1" x14ac:dyDescent="0.2">
      <c r="A13740" s="6" t="str">
        <f>"PLA1A"</f>
        <v>PLA1A</v>
      </c>
      <c r="B13740" s="6">
        <v>0.51548451548451502</v>
      </c>
      <c r="C13740" s="6">
        <v>0.65955611731643105</v>
      </c>
    </row>
    <row r="13741" spans="1:3" s="8" customFormat="1" x14ac:dyDescent="0.2">
      <c r="A13741" s="6" t="str">
        <f>"GTPBP3"</f>
        <v>GTPBP3</v>
      </c>
      <c r="B13741" s="6">
        <v>0.51548451548451502</v>
      </c>
      <c r="C13741" s="6">
        <v>0.65955611731643105</v>
      </c>
    </row>
    <row r="13742" spans="1:3" s="8" customFormat="1" x14ac:dyDescent="0.2">
      <c r="A13742" s="6" t="str">
        <f>"RUFY3"</f>
        <v>RUFY3</v>
      </c>
      <c r="B13742" s="6">
        <v>0.51548451548451502</v>
      </c>
      <c r="C13742" s="6">
        <v>0.65955611731643105</v>
      </c>
    </row>
    <row r="13743" spans="1:3" s="8" customFormat="1" x14ac:dyDescent="0.2">
      <c r="A13743" s="6" t="str">
        <f>"SIAE"</f>
        <v>SIAE</v>
      </c>
      <c r="B13743" s="6">
        <v>0.51548451548451502</v>
      </c>
      <c r="C13743" s="6">
        <v>0.65955611731643105</v>
      </c>
    </row>
    <row r="13744" spans="1:3" s="8" customFormat="1" x14ac:dyDescent="0.2">
      <c r="A13744" s="6" t="str">
        <f>"EIF3B"</f>
        <v>EIF3B</v>
      </c>
      <c r="B13744" s="6">
        <v>0.51548451548451502</v>
      </c>
      <c r="C13744" s="6">
        <v>0.65955611731643105</v>
      </c>
    </row>
    <row r="13745" spans="1:3" s="8" customFormat="1" x14ac:dyDescent="0.2">
      <c r="A13745" s="6" t="str">
        <f>"AL136295.5"</f>
        <v>AL136295.5</v>
      </c>
      <c r="B13745" s="6">
        <v>0.51600000000000001</v>
      </c>
      <c r="C13745" s="6">
        <v>0.660167636786961</v>
      </c>
    </row>
    <row r="13746" spans="1:3" s="8" customFormat="1" x14ac:dyDescent="0.2">
      <c r="A13746" s="6" t="str">
        <f>"CATSPERB"</f>
        <v>CATSPERB</v>
      </c>
      <c r="B13746" s="6">
        <v>0.51648351648351598</v>
      </c>
      <c r="C13746" s="6">
        <v>0.66054594180276005</v>
      </c>
    </row>
    <row r="13747" spans="1:3" s="8" customFormat="1" x14ac:dyDescent="0.2">
      <c r="A13747" s="6" t="str">
        <f>"PCDHB10"</f>
        <v>PCDHB10</v>
      </c>
      <c r="B13747" s="6">
        <v>0.51648351648351598</v>
      </c>
      <c r="C13747" s="6">
        <v>0.66054594180276005</v>
      </c>
    </row>
    <row r="13748" spans="1:3" s="8" customFormat="1" x14ac:dyDescent="0.2">
      <c r="A13748" s="6" t="str">
        <f>"ZNF665"</f>
        <v>ZNF665</v>
      </c>
      <c r="B13748" s="6">
        <v>0.51648351648351598</v>
      </c>
      <c r="C13748" s="6">
        <v>0.66054594180276005</v>
      </c>
    </row>
    <row r="13749" spans="1:3" s="8" customFormat="1" x14ac:dyDescent="0.2">
      <c r="A13749" s="6" t="str">
        <f>"ARL17A"</f>
        <v>ARL17A</v>
      </c>
      <c r="B13749" s="6">
        <v>0.51648351648351598</v>
      </c>
      <c r="C13749" s="6">
        <v>0.66054594180276005</v>
      </c>
    </row>
    <row r="13750" spans="1:3" s="8" customFormat="1" x14ac:dyDescent="0.2">
      <c r="A13750" s="6" t="str">
        <f>"PLEKHA2"</f>
        <v>PLEKHA2</v>
      </c>
      <c r="B13750" s="6">
        <v>0.51648351648351598</v>
      </c>
      <c r="C13750" s="6">
        <v>0.66054594180276005</v>
      </c>
    </row>
    <row r="13751" spans="1:3" s="8" customFormat="1" x14ac:dyDescent="0.2">
      <c r="A13751" s="6" t="str">
        <f>"AC010547.1"</f>
        <v>AC010547.1</v>
      </c>
      <c r="B13751" s="6">
        <v>0.51748251748251695</v>
      </c>
      <c r="C13751" s="6">
        <v>0.66139065179623402</v>
      </c>
    </row>
    <row r="13752" spans="1:3" s="8" customFormat="1" x14ac:dyDescent="0.2">
      <c r="A13752" s="6" t="str">
        <f>"IAPP"</f>
        <v>IAPP</v>
      </c>
      <c r="B13752" s="6">
        <v>0.51748251748251695</v>
      </c>
      <c r="C13752" s="6">
        <v>0.66139065179623402</v>
      </c>
    </row>
    <row r="13753" spans="1:3" s="8" customFormat="1" x14ac:dyDescent="0.2">
      <c r="A13753" s="6" t="str">
        <f>"AC016590.1"</f>
        <v>AC016590.1</v>
      </c>
      <c r="B13753" s="6">
        <v>0.51748251748251695</v>
      </c>
      <c r="C13753" s="6">
        <v>0.66139065179623402</v>
      </c>
    </row>
    <row r="13754" spans="1:3" s="8" customFormat="1" x14ac:dyDescent="0.2">
      <c r="A13754" s="6" t="str">
        <f>"MRGPRX3"</f>
        <v>MRGPRX3</v>
      </c>
      <c r="B13754" s="6">
        <v>0.51748251748251695</v>
      </c>
      <c r="C13754" s="6">
        <v>0.66139065179623402</v>
      </c>
    </row>
    <row r="13755" spans="1:3" s="8" customFormat="1" x14ac:dyDescent="0.2">
      <c r="A13755" s="6" t="str">
        <f>"MANEAL"</f>
        <v>MANEAL</v>
      </c>
      <c r="B13755" s="6">
        <v>0.51748251748251695</v>
      </c>
      <c r="C13755" s="6">
        <v>0.66139065179623402</v>
      </c>
    </row>
    <row r="13756" spans="1:3" s="8" customFormat="1" x14ac:dyDescent="0.2">
      <c r="A13756" s="6" t="str">
        <f>"ZDBF2"</f>
        <v>ZDBF2</v>
      </c>
      <c r="B13756" s="6">
        <v>0.51748251748251695</v>
      </c>
      <c r="C13756" s="6">
        <v>0.66139065179623402</v>
      </c>
    </row>
    <row r="13757" spans="1:3" s="8" customFormat="1" x14ac:dyDescent="0.2">
      <c r="A13757" s="6" t="str">
        <f>"PTCD1"</f>
        <v>PTCD1</v>
      </c>
      <c r="B13757" s="6">
        <v>0.51748251748251695</v>
      </c>
      <c r="C13757" s="6">
        <v>0.66139065179623402</v>
      </c>
    </row>
    <row r="13758" spans="1:3" s="8" customFormat="1" x14ac:dyDescent="0.2">
      <c r="A13758" s="6" t="str">
        <f>"STMP1"</f>
        <v>STMP1</v>
      </c>
      <c r="B13758" s="6">
        <v>0.51748251748251695</v>
      </c>
      <c r="C13758" s="6">
        <v>0.66139065179623402</v>
      </c>
    </row>
    <row r="13759" spans="1:3" s="8" customFormat="1" x14ac:dyDescent="0.2">
      <c r="A13759" s="6" t="str">
        <f>"MR1"</f>
        <v>MR1</v>
      </c>
      <c r="B13759" s="6">
        <v>0.51748251748251695</v>
      </c>
      <c r="C13759" s="6">
        <v>0.66139065179623402</v>
      </c>
    </row>
    <row r="13760" spans="1:3" s="8" customFormat="1" x14ac:dyDescent="0.2">
      <c r="A13760" s="6" t="str">
        <f>"AL034397.1"</f>
        <v>AL034397.1</v>
      </c>
      <c r="B13760" s="6">
        <v>0.51803607214428804</v>
      </c>
      <c r="C13760" s="6">
        <v>0.66205002489898701</v>
      </c>
    </row>
    <row r="13761" spans="1:3" s="8" customFormat="1" x14ac:dyDescent="0.2">
      <c r="A13761" s="6" t="str">
        <f>"AC136604.2"</f>
        <v>AC136604.2</v>
      </c>
      <c r="B13761" s="6">
        <v>0.51848151848151802</v>
      </c>
      <c r="C13761" s="6">
        <v>0.66233047736861705</v>
      </c>
    </row>
    <row r="13762" spans="1:3" s="8" customFormat="1" x14ac:dyDescent="0.2">
      <c r="A13762" s="6" t="str">
        <f>"AL033528.2"</f>
        <v>AL033528.2</v>
      </c>
      <c r="B13762" s="6">
        <v>0.51848151848151802</v>
      </c>
      <c r="C13762" s="6">
        <v>0.66233047736861705</v>
      </c>
    </row>
    <row r="13763" spans="1:3" s="8" customFormat="1" x14ac:dyDescent="0.2">
      <c r="A13763" s="6" t="str">
        <f>"DLGAP2"</f>
        <v>DLGAP2</v>
      </c>
      <c r="B13763" s="6">
        <v>0.51848151848151802</v>
      </c>
      <c r="C13763" s="6">
        <v>0.66233047736861705</v>
      </c>
    </row>
    <row r="13764" spans="1:3" s="8" customFormat="1" x14ac:dyDescent="0.2">
      <c r="A13764" s="6" t="str">
        <f>"NIBAN3"</f>
        <v>NIBAN3</v>
      </c>
      <c r="B13764" s="6">
        <v>0.51848151848151802</v>
      </c>
      <c r="C13764" s="6">
        <v>0.66233047736861705</v>
      </c>
    </row>
    <row r="13765" spans="1:3" s="8" customFormat="1" x14ac:dyDescent="0.2">
      <c r="A13765" s="6" t="str">
        <f>"SNAI3-AS1"</f>
        <v>SNAI3-AS1</v>
      </c>
      <c r="B13765" s="6">
        <v>0.51848151848151802</v>
      </c>
      <c r="C13765" s="6">
        <v>0.66233047736861705</v>
      </c>
    </row>
    <row r="13766" spans="1:3" s="8" customFormat="1" x14ac:dyDescent="0.2">
      <c r="A13766" s="6" t="str">
        <f>"RECQL5"</f>
        <v>RECQL5</v>
      </c>
      <c r="B13766" s="6">
        <v>0.51848151848151802</v>
      </c>
      <c r="C13766" s="6">
        <v>0.66233047736861705</v>
      </c>
    </row>
    <row r="13767" spans="1:3" s="8" customFormat="1" x14ac:dyDescent="0.2">
      <c r="A13767" s="6" t="str">
        <f>"RPL10AP6"</f>
        <v>RPL10AP6</v>
      </c>
      <c r="B13767" s="6">
        <v>0.51905252317198702</v>
      </c>
      <c r="C13767" s="6">
        <v>0.66301173670319802</v>
      </c>
    </row>
    <row r="13768" spans="1:3" s="8" customFormat="1" x14ac:dyDescent="0.2">
      <c r="A13768" s="6" t="str">
        <f>"AL049779.4"</f>
        <v>AL049779.4</v>
      </c>
      <c r="B13768" s="6">
        <v>0.51948051948051899</v>
      </c>
      <c r="C13768" s="6">
        <v>0.66336568297352605</v>
      </c>
    </row>
    <row r="13769" spans="1:3" s="8" customFormat="1" x14ac:dyDescent="0.2">
      <c r="A13769" s="6" t="str">
        <f>"CPB2-AS1"</f>
        <v>CPB2-AS1</v>
      </c>
      <c r="B13769" s="6">
        <v>0.51948051948051899</v>
      </c>
      <c r="C13769" s="6">
        <v>0.66336568297352605</v>
      </c>
    </row>
    <row r="13770" spans="1:3" s="8" customFormat="1" x14ac:dyDescent="0.2">
      <c r="A13770" s="6" t="str">
        <f>"LINC02696"</f>
        <v>LINC02696</v>
      </c>
      <c r="B13770" s="6">
        <v>0.51948051948051899</v>
      </c>
      <c r="C13770" s="6">
        <v>0.66336568297352605</v>
      </c>
    </row>
    <row r="13771" spans="1:3" s="8" customFormat="1" x14ac:dyDescent="0.2">
      <c r="A13771" s="6" t="str">
        <f>"AC144652.1"</f>
        <v>AC144652.1</v>
      </c>
      <c r="B13771" s="6">
        <v>0.51948051948051899</v>
      </c>
      <c r="C13771" s="6">
        <v>0.66336568297352605</v>
      </c>
    </row>
    <row r="13772" spans="1:3" s="8" customFormat="1" x14ac:dyDescent="0.2">
      <c r="A13772" s="6" t="str">
        <f>"ARSLP1"</f>
        <v>ARSLP1</v>
      </c>
      <c r="B13772" s="6">
        <v>0.51953537486800405</v>
      </c>
      <c r="C13772" s="6">
        <v>0.66338755585498399</v>
      </c>
    </row>
    <row r="13773" spans="1:3" s="8" customFormat="1" x14ac:dyDescent="0.2">
      <c r="A13773" s="6" t="str">
        <f>"AC006538.1"</f>
        <v>AC006538.1</v>
      </c>
      <c r="B13773" s="6">
        <v>0.52020202020202</v>
      </c>
      <c r="C13773" s="6">
        <v>0.66419055498346802</v>
      </c>
    </row>
    <row r="13774" spans="1:3" s="8" customFormat="1" x14ac:dyDescent="0.2">
      <c r="A13774" s="6" t="str">
        <f>"AL021997.2"</f>
        <v>AL021997.2</v>
      </c>
      <c r="B13774" s="6">
        <v>0.52047952047951995</v>
      </c>
      <c r="C13774" s="6">
        <v>0.66420726381536299</v>
      </c>
    </row>
    <row r="13775" spans="1:3" s="8" customFormat="1" x14ac:dyDescent="0.2">
      <c r="A13775" s="6" t="str">
        <f>"FRG1DP"</f>
        <v>FRG1DP</v>
      </c>
      <c r="B13775" s="6">
        <v>0.52047952047951995</v>
      </c>
      <c r="C13775" s="6">
        <v>0.66420726381536299</v>
      </c>
    </row>
    <row r="13776" spans="1:3" s="8" customFormat="1" x14ac:dyDescent="0.2">
      <c r="A13776" s="6" t="str">
        <f>"AC091564.7"</f>
        <v>AC091564.7</v>
      </c>
      <c r="B13776" s="6">
        <v>0.52047952047951995</v>
      </c>
      <c r="C13776" s="6">
        <v>0.66420726381536299</v>
      </c>
    </row>
    <row r="13777" spans="1:3" s="8" customFormat="1" x14ac:dyDescent="0.2">
      <c r="A13777" s="6" t="str">
        <f>"AC020663.2"</f>
        <v>AC020663.2</v>
      </c>
      <c r="B13777" s="6">
        <v>0.52047952047951995</v>
      </c>
      <c r="C13777" s="6">
        <v>0.66420726381536299</v>
      </c>
    </row>
    <row r="13778" spans="1:3" s="8" customFormat="1" x14ac:dyDescent="0.2">
      <c r="A13778" s="6" t="str">
        <f>"SUMO2P17"</f>
        <v>SUMO2P17</v>
      </c>
      <c r="B13778" s="6">
        <v>0.52047952047951995</v>
      </c>
      <c r="C13778" s="6">
        <v>0.66420726381536299</v>
      </c>
    </row>
    <row r="13779" spans="1:3" s="8" customFormat="1" x14ac:dyDescent="0.2">
      <c r="A13779" s="6" t="str">
        <f>"TPK1"</f>
        <v>TPK1</v>
      </c>
      <c r="B13779" s="6">
        <v>0.52047952047951995</v>
      </c>
      <c r="C13779" s="6">
        <v>0.66420726381536299</v>
      </c>
    </row>
    <row r="13780" spans="1:3" s="8" customFormat="1" x14ac:dyDescent="0.2">
      <c r="A13780" s="6" t="str">
        <f>"ZDHHC5"</f>
        <v>ZDHHC5</v>
      </c>
      <c r="B13780" s="6">
        <v>0.52047952047951995</v>
      </c>
      <c r="C13780" s="6">
        <v>0.66420726381536299</v>
      </c>
    </row>
    <row r="13781" spans="1:3" s="8" customFormat="1" x14ac:dyDescent="0.2">
      <c r="A13781" s="6" t="str">
        <f>"COL10A1"</f>
        <v>COL10A1</v>
      </c>
      <c r="B13781" s="6">
        <v>0.52147852147852103</v>
      </c>
      <c r="C13781" s="6">
        <v>0.66504774598769301</v>
      </c>
    </row>
    <row r="13782" spans="1:3" s="8" customFormat="1" x14ac:dyDescent="0.2">
      <c r="A13782" s="6" t="str">
        <f>"CDH18"</f>
        <v>CDH18</v>
      </c>
      <c r="B13782" s="6">
        <v>0.52147852147852103</v>
      </c>
      <c r="C13782" s="6">
        <v>0.66504774598769301</v>
      </c>
    </row>
    <row r="13783" spans="1:3" s="8" customFormat="1" x14ac:dyDescent="0.2">
      <c r="A13783" s="6" t="str">
        <f>"MGAT4EP"</f>
        <v>MGAT4EP</v>
      </c>
      <c r="B13783" s="6">
        <v>0.52147852147852103</v>
      </c>
      <c r="C13783" s="6">
        <v>0.66504774598769301</v>
      </c>
    </row>
    <row r="13784" spans="1:3" s="8" customFormat="1" x14ac:dyDescent="0.2">
      <c r="A13784" s="6" t="str">
        <f>"AC005632.3"</f>
        <v>AC005632.3</v>
      </c>
      <c r="B13784" s="6">
        <v>0.52147852147852103</v>
      </c>
      <c r="C13784" s="6">
        <v>0.66504774598769301</v>
      </c>
    </row>
    <row r="13785" spans="1:3" s="8" customFormat="1" x14ac:dyDescent="0.2">
      <c r="A13785" s="6" t="str">
        <f>"HOXB1"</f>
        <v>HOXB1</v>
      </c>
      <c r="B13785" s="6">
        <v>0.52147852147852103</v>
      </c>
      <c r="C13785" s="6">
        <v>0.66504774598769301</v>
      </c>
    </row>
    <row r="13786" spans="1:3" s="8" customFormat="1" x14ac:dyDescent="0.2">
      <c r="A13786" s="6" t="str">
        <f>"ANO2"</f>
        <v>ANO2</v>
      </c>
      <c r="B13786" s="6">
        <v>0.52147852147852103</v>
      </c>
      <c r="C13786" s="6">
        <v>0.66504774598769301</v>
      </c>
    </row>
    <row r="13787" spans="1:3" s="8" customFormat="1" x14ac:dyDescent="0.2">
      <c r="A13787" s="6" t="str">
        <f>"ARMCX3"</f>
        <v>ARMCX3</v>
      </c>
      <c r="B13787" s="6">
        <v>0.52147852147852103</v>
      </c>
      <c r="C13787" s="6">
        <v>0.66504774598769301</v>
      </c>
    </row>
    <row r="13788" spans="1:3" s="8" customFormat="1" x14ac:dyDescent="0.2">
      <c r="A13788" s="6" t="str">
        <f>"NCOA5"</f>
        <v>NCOA5</v>
      </c>
      <c r="B13788" s="6">
        <v>0.52147852147852103</v>
      </c>
      <c r="C13788" s="6">
        <v>0.66504774598769301</v>
      </c>
    </row>
    <row r="13789" spans="1:3" s="8" customFormat="1" x14ac:dyDescent="0.2">
      <c r="A13789" s="6" t="str">
        <f>"RND3"</f>
        <v>RND3</v>
      </c>
      <c r="B13789" s="6">
        <v>0.52147852147852103</v>
      </c>
      <c r="C13789" s="6">
        <v>0.66504774598769301</v>
      </c>
    </row>
    <row r="13790" spans="1:3" s="8" customFormat="1" x14ac:dyDescent="0.2">
      <c r="A13790" s="6" t="str">
        <f>"AC090241.3"</f>
        <v>AC090241.3</v>
      </c>
      <c r="B13790" s="6">
        <v>0.522151898734177</v>
      </c>
      <c r="C13790" s="6">
        <v>0.66579061926550798</v>
      </c>
    </row>
    <row r="13791" spans="1:3" s="8" customFormat="1" x14ac:dyDescent="0.2">
      <c r="A13791" s="6" t="str">
        <f>"AC092123.1"</f>
        <v>AC092123.1</v>
      </c>
      <c r="B13791" s="6">
        <v>0.52247752247752199</v>
      </c>
      <c r="C13791" s="6">
        <v>0.66579061926550798</v>
      </c>
    </row>
    <row r="13792" spans="1:3" s="8" customFormat="1" x14ac:dyDescent="0.2">
      <c r="A13792" s="6" t="str">
        <f>"LINC01247"</f>
        <v>LINC01247</v>
      </c>
      <c r="B13792" s="6">
        <v>0.52232606438213902</v>
      </c>
      <c r="C13792" s="6">
        <v>0.66579061926550798</v>
      </c>
    </row>
    <row r="13793" spans="1:3" s="8" customFormat="1" x14ac:dyDescent="0.2">
      <c r="A13793" s="6" t="str">
        <f>"BHMT2"</f>
        <v>BHMT2</v>
      </c>
      <c r="B13793" s="6">
        <v>0.52247752247752199</v>
      </c>
      <c r="C13793" s="6">
        <v>0.66579061926550798</v>
      </c>
    </row>
    <row r="13794" spans="1:3" s="8" customFormat="1" x14ac:dyDescent="0.2">
      <c r="A13794" s="6" t="str">
        <f>"ZNF385C"</f>
        <v>ZNF385C</v>
      </c>
      <c r="B13794" s="6">
        <v>0.52247752247752199</v>
      </c>
      <c r="C13794" s="6">
        <v>0.66579061926550798</v>
      </c>
    </row>
    <row r="13795" spans="1:3" s="8" customFormat="1" x14ac:dyDescent="0.2">
      <c r="A13795" s="6" t="str">
        <f>"PDGFRL"</f>
        <v>PDGFRL</v>
      </c>
      <c r="B13795" s="6">
        <v>0.52247752247752199</v>
      </c>
      <c r="C13795" s="6">
        <v>0.66579061926550798</v>
      </c>
    </row>
    <row r="13796" spans="1:3" s="8" customFormat="1" x14ac:dyDescent="0.2">
      <c r="A13796" s="6" t="str">
        <f>"SLC2A8"</f>
        <v>SLC2A8</v>
      </c>
      <c r="B13796" s="6">
        <v>0.52247752247752199</v>
      </c>
      <c r="C13796" s="6">
        <v>0.66579061926550798</v>
      </c>
    </row>
    <row r="13797" spans="1:3" s="8" customFormat="1" x14ac:dyDescent="0.2">
      <c r="A13797" s="6" t="str">
        <f>"MAN2C1"</f>
        <v>MAN2C1</v>
      </c>
      <c r="B13797" s="6">
        <v>0.52247752247752199</v>
      </c>
      <c r="C13797" s="6">
        <v>0.66579061926550798</v>
      </c>
    </row>
    <row r="13798" spans="1:3" s="8" customFormat="1" x14ac:dyDescent="0.2">
      <c r="A13798" s="6" t="str">
        <f>"ZNF629"</f>
        <v>ZNF629</v>
      </c>
      <c r="B13798" s="6">
        <v>0.52247752247752199</v>
      </c>
      <c r="C13798" s="6">
        <v>0.66579061926550798</v>
      </c>
    </row>
    <row r="13799" spans="1:3" s="8" customFormat="1" x14ac:dyDescent="0.2">
      <c r="A13799" s="6" t="str">
        <f>"CBX3"</f>
        <v>CBX3</v>
      </c>
      <c r="B13799" s="6">
        <v>0.52247752247752199</v>
      </c>
      <c r="C13799" s="6">
        <v>0.66579061926550798</v>
      </c>
    </row>
    <row r="13800" spans="1:3" s="8" customFormat="1" x14ac:dyDescent="0.2">
      <c r="A13800" s="6" t="str">
        <f>"CAPN1"</f>
        <v>CAPN1</v>
      </c>
      <c r="B13800" s="6">
        <v>0.52247752247752199</v>
      </c>
      <c r="C13800" s="6">
        <v>0.66579061926550798</v>
      </c>
    </row>
    <row r="13801" spans="1:3" s="8" customFormat="1" x14ac:dyDescent="0.2">
      <c r="A13801" s="6" t="str">
        <f>"AC006115.2"</f>
        <v>AC006115.2</v>
      </c>
      <c r="B13801" s="6">
        <v>0.52300000000000002</v>
      </c>
      <c r="C13801" s="6">
        <v>0.66640811594202898</v>
      </c>
    </row>
    <row r="13802" spans="1:3" s="8" customFormat="1" x14ac:dyDescent="0.2">
      <c r="A13802" s="6" t="str">
        <f>"AC002070.1"</f>
        <v>AC002070.1</v>
      </c>
      <c r="B13802" s="6">
        <v>0.52304609218436804</v>
      </c>
      <c r="C13802" s="6">
        <v>0.66641855553727503</v>
      </c>
    </row>
    <row r="13803" spans="1:3" s="8" customFormat="1" x14ac:dyDescent="0.2">
      <c r="A13803" s="6" t="str">
        <f>"AC123768.2"</f>
        <v>AC123768.2</v>
      </c>
      <c r="B13803" s="6">
        <v>0.523219814241486</v>
      </c>
      <c r="C13803" s="6">
        <v>0.66659159640793297</v>
      </c>
    </row>
    <row r="13804" spans="1:3" s="8" customFormat="1" x14ac:dyDescent="0.2">
      <c r="A13804" s="6" t="str">
        <f>"TPTE2P1"</f>
        <v>TPTE2P1</v>
      </c>
      <c r="B13804" s="6">
        <v>0.52347652347652296</v>
      </c>
      <c r="C13804" s="6">
        <v>0.66672542291838199</v>
      </c>
    </row>
    <row r="13805" spans="1:3" s="8" customFormat="1" x14ac:dyDescent="0.2">
      <c r="A13805" s="6" t="str">
        <f>"AC099548.2"</f>
        <v>AC099548.2</v>
      </c>
      <c r="B13805" s="6">
        <v>0.52347652347652296</v>
      </c>
      <c r="C13805" s="6">
        <v>0.66672542291838199</v>
      </c>
    </row>
    <row r="13806" spans="1:3" s="8" customFormat="1" x14ac:dyDescent="0.2">
      <c r="A13806" s="6" t="str">
        <f>"ZBTB3"</f>
        <v>ZBTB3</v>
      </c>
      <c r="B13806" s="6">
        <v>0.52347652347652296</v>
      </c>
      <c r="C13806" s="6">
        <v>0.66672542291838199</v>
      </c>
    </row>
    <row r="13807" spans="1:3" s="8" customFormat="1" x14ac:dyDescent="0.2">
      <c r="A13807" s="6" t="str">
        <f>"SNX2"</f>
        <v>SNX2</v>
      </c>
      <c r="B13807" s="6">
        <v>0.52347652347652296</v>
      </c>
      <c r="C13807" s="6">
        <v>0.66672542291838199</v>
      </c>
    </row>
    <row r="13808" spans="1:3" s="8" customFormat="1" x14ac:dyDescent="0.2">
      <c r="A13808" s="6" t="str">
        <f>"AL080317.2"</f>
        <v>AL080317.2</v>
      </c>
      <c r="B13808" s="6">
        <v>0.52414486921529102</v>
      </c>
      <c r="C13808" s="6">
        <v>0.66752831029779702</v>
      </c>
    </row>
    <row r="13809" spans="1:3" s="8" customFormat="1" x14ac:dyDescent="0.2">
      <c r="A13809" s="6" t="str">
        <f>"AC074091.2"</f>
        <v>AC074091.2</v>
      </c>
      <c r="B13809" s="6">
        <v>0.52447552447552404</v>
      </c>
      <c r="C13809" s="6">
        <v>0.66765927911225798</v>
      </c>
    </row>
    <row r="13810" spans="1:3" s="8" customFormat="1" x14ac:dyDescent="0.2">
      <c r="A13810" s="6" t="str">
        <f>"AL513220.1"</f>
        <v>AL513220.1</v>
      </c>
      <c r="B13810" s="6">
        <v>0.52447552447552404</v>
      </c>
      <c r="C13810" s="6">
        <v>0.66765927911225798</v>
      </c>
    </row>
    <row r="13811" spans="1:3" s="8" customFormat="1" x14ac:dyDescent="0.2">
      <c r="A13811" s="6" t="str">
        <f>"MMRN1"</f>
        <v>MMRN1</v>
      </c>
      <c r="B13811" s="6">
        <v>0.52447552447552404</v>
      </c>
      <c r="C13811" s="6">
        <v>0.66765927911225798</v>
      </c>
    </row>
    <row r="13812" spans="1:3" s="8" customFormat="1" x14ac:dyDescent="0.2">
      <c r="A13812" s="6" t="str">
        <f>"TMEM233"</f>
        <v>TMEM233</v>
      </c>
      <c r="B13812" s="6">
        <v>0.52447552447552404</v>
      </c>
      <c r="C13812" s="6">
        <v>0.66765927911225798</v>
      </c>
    </row>
    <row r="13813" spans="1:3" s="8" customFormat="1" x14ac:dyDescent="0.2">
      <c r="A13813" s="6" t="str">
        <f>"CLDN10"</f>
        <v>CLDN10</v>
      </c>
      <c r="B13813" s="6">
        <v>0.52447552447552404</v>
      </c>
      <c r="C13813" s="6">
        <v>0.66765927911225798</v>
      </c>
    </row>
    <row r="13814" spans="1:3" s="8" customFormat="1" x14ac:dyDescent="0.2">
      <c r="A13814" s="6" t="str">
        <f>"C9orf16"</f>
        <v>C9orf16</v>
      </c>
      <c r="B13814" s="6">
        <v>0.52447552447552404</v>
      </c>
      <c r="C13814" s="6">
        <v>0.66765927911225798</v>
      </c>
    </row>
    <row r="13815" spans="1:3" s="8" customFormat="1" x14ac:dyDescent="0.2">
      <c r="A13815" s="6" t="str">
        <f>"SDHDP6"</f>
        <v>SDHDP6</v>
      </c>
      <c r="B13815" s="6">
        <v>0.525474525474525</v>
      </c>
      <c r="C13815" s="6">
        <v>0.66835038379342104</v>
      </c>
    </row>
    <row r="13816" spans="1:3" s="8" customFormat="1" x14ac:dyDescent="0.2">
      <c r="A13816" s="6" t="str">
        <f>"AC040160.1"</f>
        <v>AC040160.1</v>
      </c>
      <c r="B13816" s="6">
        <v>0.525474525474525</v>
      </c>
      <c r="C13816" s="6">
        <v>0.66835038379342104</v>
      </c>
    </row>
    <row r="13817" spans="1:3" s="8" customFormat="1" x14ac:dyDescent="0.2">
      <c r="A13817" s="6" t="str">
        <f>"AC098484.4"</f>
        <v>AC098484.4</v>
      </c>
      <c r="B13817" s="6">
        <v>0.52540415704387899</v>
      </c>
      <c r="C13817" s="6">
        <v>0.66835038379342104</v>
      </c>
    </row>
    <row r="13818" spans="1:3" s="8" customFormat="1" x14ac:dyDescent="0.2">
      <c r="A13818" s="6" t="str">
        <f>"AC097468.1"</f>
        <v>AC097468.1</v>
      </c>
      <c r="B13818" s="6">
        <v>0.525474525474525</v>
      </c>
      <c r="C13818" s="6">
        <v>0.66835038379342104</v>
      </c>
    </row>
    <row r="13819" spans="1:3" s="8" customFormat="1" x14ac:dyDescent="0.2">
      <c r="A13819" s="6" t="str">
        <f>"AL513534.2"</f>
        <v>AL513534.2</v>
      </c>
      <c r="B13819" s="6">
        <v>0.525474525474525</v>
      </c>
      <c r="C13819" s="6">
        <v>0.66835038379342104</v>
      </c>
    </row>
    <row r="13820" spans="1:3" s="8" customFormat="1" x14ac:dyDescent="0.2">
      <c r="A13820" s="6" t="str">
        <f>"TICAM2"</f>
        <v>TICAM2</v>
      </c>
      <c r="B13820" s="6">
        <v>0.525474525474525</v>
      </c>
      <c r="C13820" s="6">
        <v>0.66835038379342104</v>
      </c>
    </row>
    <row r="13821" spans="1:3" s="8" customFormat="1" x14ac:dyDescent="0.2">
      <c r="A13821" s="6" t="str">
        <f>"DCN"</f>
        <v>DCN</v>
      </c>
      <c r="B13821" s="6">
        <v>0.525474525474525</v>
      </c>
      <c r="C13821" s="6">
        <v>0.66835038379342104</v>
      </c>
    </row>
    <row r="13822" spans="1:3" s="8" customFormat="1" x14ac:dyDescent="0.2">
      <c r="A13822" s="6" t="str">
        <f>"AC046143.1"</f>
        <v>AC046143.1</v>
      </c>
      <c r="B13822" s="6">
        <v>0.525474525474525</v>
      </c>
      <c r="C13822" s="6">
        <v>0.66835038379342104</v>
      </c>
    </row>
    <row r="13823" spans="1:3" s="8" customFormat="1" x14ac:dyDescent="0.2">
      <c r="A13823" s="6" t="str">
        <f>"NID1"</f>
        <v>NID1</v>
      </c>
      <c r="B13823" s="6">
        <v>0.525474525474525</v>
      </c>
      <c r="C13823" s="6">
        <v>0.66835038379342104</v>
      </c>
    </row>
    <row r="13824" spans="1:3" s="8" customFormat="1" x14ac:dyDescent="0.2">
      <c r="A13824" s="6" t="str">
        <f>"ZNF81"</f>
        <v>ZNF81</v>
      </c>
      <c r="B13824" s="6">
        <v>0.525474525474525</v>
      </c>
      <c r="C13824" s="6">
        <v>0.66835038379342104</v>
      </c>
    </row>
    <row r="13825" spans="1:3" s="8" customFormat="1" x14ac:dyDescent="0.2">
      <c r="A13825" s="6" t="str">
        <f>"UBL4A"</f>
        <v>UBL4A</v>
      </c>
      <c r="B13825" s="6">
        <v>0.525474525474525</v>
      </c>
      <c r="C13825" s="6">
        <v>0.66835038379342104</v>
      </c>
    </row>
    <row r="13826" spans="1:3" s="8" customFormat="1" x14ac:dyDescent="0.2">
      <c r="A13826" s="6" t="str">
        <f>"VPS29"</f>
        <v>VPS29</v>
      </c>
      <c r="B13826" s="6">
        <v>0.525474525474525</v>
      </c>
      <c r="C13826" s="6">
        <v>0.66835038379342104</v>
      </c>
    </row>
    <row r="13827" spans="1:3" s="8" customFormat="1" x14ac:dyDescent="0.2">
      <c r="A13827" s="6" t="str">
        <f>"AC091152.2"</f>
        <v>AC091152.2</v>
      </c>
      <c r="B13827" s="6">
        <v>0.52557673019057105</v>
      </c>
      <c r="C13827" s="6">
        <v>0.66843202832858395</v>
      </c>
    </row>
    <row r="13828" spans="1:3" s="8" customFormat="1" x14ac:dyDescent="0.2">
      <c r="A13828" s="6" t="str">
        <f>"AC016240.1"</f>
        <v>AC016240.1</v>
      </c>
      <c r="B13828" s="6">
        <v>0.52647352647352597</v>
      </c>
      <c r="C13828" s="6">
        <v>0.66899194171921395</v>
      </c>
    </row>
    <row r="13829" spans="1:3" s="8" customFormat="1" x14ac:dyDescent="0.2">
      <c r="A13829" s="6" t="str">
        <f>"NFE2L1-DT"</f>
        <v>NFE2L1-DT</v>
      </c>
      <c r="B13829" s="6">
        <v>0.52647352647352597</v>
      </c>
      <c r="C13829" s="6">
        <v>0.66899194171921395</v>
      </c>
    </row>
    <row r="13830" spans="1:3" s="8" customFormat="1" x14ac:dyDescent="0.2">
      <c r="A13830" s="6" t="str">
        <f>"LINC00672"</f>
        <v>LINC00672</v>
      </c>
      <c r="B13830" s="6">
        <v>0.52647352647352597</v>
      </c>
      <c r="C13830" s="6">
        <v>0.66899194171921395</v>
      </c>
    </row>
    <row r="13831" spans="1:3" s="8" customFormat="1" x14ac:dyDescent="0.2">
      <c r="A13831" s="6" t="str">
        <f>"AC027097.1"</f>
        <v>AC027097.1</v>
      </c>
      <c r="B13831" s="6">
        <v>0.52647352647352597</v>
      </c>
      <c r="C13831" s="6">
        <v>0.66899194171921395</v>
      </c>
    </row>
    <row r="13832" spans="1:3" s="8" customFormat="1" x14ac:dyDescent="0.2">
      <c r="A13832" s="6" t="str">
        <f>"ITGAE"</f>
        <v>ITGAE</v>
      </c>
      <c r="B13832" s="6">
        <v>0.52647352647352597</v>
      </c>
      <c r="C13832" s="6">
        <v>0.66899194171921395</v>
      </c>
    </row>
    <row r="13833" spans="1:3" s="8" customFormat="1" x14ac:dyDescent="0.2">
      <c r="A13833" s="6" t="str">
        <f>"MRM2"</f>
        <v>MRM2</v>
      </c>
      <c r="B13833" s="6">
        <v>0.52647352647352597</v>
      </c>
      <c r="C13833" s="6">
        <v>0.66899194171921395</v>
      </c>
    </row>
    <row r="13834" spans="1:3" s="8" customFormat="1" x14ac:dyDescent="0.2">
      <c r="A13834" s="6" t="str">
        <f>"IGSF3"</f>
        <v>IGSF3</v>
      </c>
      <c r="B13834" s="6">
        <v>0.52647352647352597</v>
      </c>
      <c r="C13834" s="6">
        <v>0.66899194171921395</v>
      </c>
    </row>
    <row r="13835" spans="1:3" s="8" customFormat="1" x14ac:dyDescent="0.2">
      <c r="A13835" s="6" t="str">
        <f>"TOGARAM1"</f>
        <v>TOGARAM1</v>
      </c>
      <c r="B13835" s="6">
        <v>0.52647352647352597</v>
      </c>
      <c r="C13835" s="6">
        <v>0.66899194171921395</v>
      </c>
    </row>
    <row r="13836" spans="1:3" s="8" customFormat="1" x14ac:dyDescent="0.2">
      <c r="A13836" s="6" t="str">
        <f>"LARP4B"</f>
        <v>LARP4B</v>
      </c>
      <c r="B13836" s="6">
        <v>0.52647352647352597</v>
      </c>
      <c r="C13836" s="6">
        <v>0.66899194171921395</v>
      </c>
    </row>
    <row r="13837" spans="1:3" s="8" customFormat="1" x14ac:dyDescent="0.2">
      <c r="A13837" s="6" t="str">
        <f>"ATP5F1C"</f>
        <v>ATP5F1C</v>
      </c>
      <c r="B13837" s="6">
        <v>0.52647352647352597</v>
      </c>
      <c r="C13837" s="6">
        <v>0.66899194171921395</v>
      </c>
    </row>
    <row r="13838" spans="1:3" s="8" customFormat="1" x14ac:dyDescent="0.2">
      <c r="A13838" s="6" t="str">
        <f>"CLPTM1"</f>
        <v>CLPTM1</v>
      </c>
      <c r="B13838" s="6">
        <v>0.52647352647352597</v>
      </c>
      <c r="C13838" s="6">
        <v>0.66899194171921395</v>
      </c>
    </row>
    <row r="13839" spans="1:3" s="8" customFormat="1" x14ac:dyDescent="0.2">
      <c r="A13839" s="6" t="str">
        <f>"ABLIM1"</f>
        <v>ABLIM1</v>
      </c>
      <c r="B13839" s="6">
        <v>0.52647352647352597</v>
      </c>
      <c r="C13839" s="6">
        <v>0.66899194171921395</v>
      </c>
    </row>
    <row r="13840" spans="1:3" s="8" customFormat="1" x14ac:dyDescent="0.2">
      <c r="A13840" s="6" t="str">
        <f>"CICP14"</f>
        <v>CICP14</v>
      </c>
      <c r="B13840" s="6">
        <v>0.52653061224489695</v>
      </c>
      <c r="C13840" s="6">
        <v>0.66901613452664799</v>
      </c>
    </row>
    <row r="13841" spans="1:3" s="8" customFormat="1" x14ac:dyDescent="0.2">
      <c r="A13841" s="6" t="str">
        <f>"AC011476.3"</f>
        <v>AC011476.3</v>
      </c>
      <c r="B13841" s="6">
        <v>0.52700000000000002</v>
      </c>
      <c r="C13841" s="6">
        <v>0.66956416184971101</v>
      </c>
    </row>
    <row r="13842" spans="1:3" s="8" customFormat="1" x14ac:dyDescent="0.2">
      <c r="A13842" s="6" t="str">
        <f>"ODF3L1"</f>
        <v>ODF3L1</v>
      </c>
      <c r="B13842" s="6">
        <v>0.52747252747252704</v>
      </c>
      <c r="C13842" s="6">
        <v>0.66987410971232997</v>
      </c>
    </row>
    <row r="13843" spans="1:3" s="8" customFormat="1" x14ac:dyDescent="0.2">
      <c r="A13843" s="6" t="str">
        <f>"PYROXD2"</f>
        <v>PYROXD2</v>
      </c>
      <c r="B13843" s="6">
        <v>0.52747252747252704</v>
      </c>
      <c r="C13843" s="6">
        <v>0.66987410971232997</v>
      </c>
    </row>
    <row r="13844" spans="1:3" s="8" customFormat="1" x14ac:dyDescent="0.2">
      <c r="A13844" s="6" t="str">
        <f>"BORCS8"</f>
        <v>BORCS8</v>
      </c>
      <c r="B13844" s="6">
        <v>0.52747252747252704</v>
      </c>
      <c r="C13844" s="6">
        <v>0.66987410971232997</v>
      </c>
    </row>
    <row r="13845" spans="1:3" s="8" customFormat="1" x14ac:dyDescent="0.2">
      <c r="A13845" s="6" t="str">
        <f>"GPAA1"</f>
        <v>GPAA1</v>
      </c>
      <c r="B13845" s="6">
        <v>0.52747252747252704</v>
      </c>
      <c r="C13845" s="6">
        <v>0.66987410971232997</v>
      </c>
    </row>
    <row r="13846" spans="1:3" s="8" customFormat="1" x14ac:dyDescent="0.2">
      <c r="A13846" s="6" t="str">
        <f>"GAS2L2"</f>
        <v>GAS2L2</v>
      </c>
      <c r="B13846" s="6">
        <v>0.52747252747252704</v>
      </c>
      <c r="C13846" s="6">
        <v>0.66987410971232997</v>
      </c>
    </row>
    <row r="13847" spans="1:3" s="8" customFormat="1" x14ac:dyDescent="0.2">
      <c r="A13847" s="6" t="str">
        <f>"CLTC"</f>
        <v>CLTC</v>
      </c>
      <c r="B13847" s="6">
        <v>0.52747252747252704</v>
      </c>
      <c r="C13847" s="6">
        <v>0.66987410971232997</v>
      </c>
    </row>
    <row r="13848" spans="1:3" s="8" customFormat="1" x14ac:dyDescent="0.2">
      <c r="A13848" s="6" t="str">
        <f>"LRRIQ4"</f>
        <v>LRRIQ4</v>
      </c>
      <c r="B13848" s="6">
        <v>0.52847152847152801</v>
      </c>
      <c r="C13848" s="6">
        <v>0.67094897881901405</v>
      </c>
    </row>
    <row r="13849" spans="1:3" s="8" customFormat="1" x14ac:dyDescent="0.2">
      <c r="A13849" s="6" t="str">
        <f>"ZGRF1"</f>
        <v>ZGRF1</v>
      </c>
      <c r="B13849" s="6">
        <v>0.52847152847152801</v>
      </c>
      <c r="C13849" s="6">
        <v>0.67094897881901405</v>
      </c>
    </row>
    <row r="13850" spans="1:3" s="8" customFormat="1" x14ac:dyDescent="0.2">
      <c r="A13850" s="6" t="str">
        <f>"PMS2P1"</f>
        <v>PMS2P1</v>
      </c>
      <c r="B13850" s="6">
        <v>0.52847152847152801</v>
      </c>
      <c r="C13850" s="6">
        <v>0.67094897881901405</v>
      </c>
    </row>
    <row r="13851" spans="1:3" s="8" customFormat="1" x14ac:dyDescent="0.2">
      <c r="A13851" s="6" t="str">
        <f>"AXIN2"</f>
        <v>AXIN2</v>
      </c>
      <c r="B13851" s="6">
        <v>0.52847152847152801</v>
      </c>
      <c r="C13851" s="6">
        <v>0.67094897881901405</v>
      </c>
    </row>
    <row r="13852" spans="1:3" s="8" customFormat="1" x14ac:dyDescent="0.2">
      <c r="A13852" s="6" t="str">
        <f>"L1CAM"</f>
        <v>L1CAM</v>
      </c>
      <c r="B13852" s="6">
        <v>0.52947052947052897</v>
      </c>
      <c r="C13852" s="6">
        <v>0.67178077712748296</v>
      </c>
    </row>
    <row r="13853" spans="1:3" s="8" customFormat="1" x14ac:dyDescent="0.2">
      <c r="A13853" s="6" t="str">
        <f>"LINC02615"</f>
        <v>LINC02615</v>
      </c>
      <c r="B13853" s="6">
        <v>0.52947052947052897</v>
      </c>
      <c r="C13853" s="6">
        <v>0.67178077712748296</v>
      </c>
    </row>
    <row r="13854" spans="1:3" s="8" customFormat="1" x14ac:dyDescent="0.2">
      <c r="A13854" s="6" t="str">
        <f>"RAB26"</f>
        <v>RAB26</v>
      </c>
      <c r="B13854" s="6">
        <v>0.52947052947052897</v>
      </c>
      <c r="C13854" s="6">
        <v>0.67178077712748296</v>
      </c>
    </row>
    <row r="13855" spans="1:3" s="8" customFormat="1" x14ac:dyDescent="0.2">
      <c r="A13855" s="6" t="str">
        <f>"PRICKLE3"</f>
        <v>PRICKLE3</v>
      </c>
      <c r="B13855" s="6">
        <v>0.52947052947052897</v>
      </c>
      <c r="C13855" s="6">
        <v>0.67178077712748296</v>
      </c>
    </row>
    <row r="13856" spans="1:3" s="8" customFormat="1" x14ac:dyDescent="0.2">
      <c r="A13856" s="6" t="str">
        <f>"MID2"</f>
        <v>MID2</v>
      </c>
      <c r="B13856" s="6">
        <v>0.52947052947052897</v>
      </c>
      <c r="C13856" s="6">
        <v>0.67178077712748296</v>
      </c>
    </row>
    <row r="13857" spans="1:3" s="8" customFormat="1" x14ac:dyDescent="0.2">
      <c r="A13857" s="6" t="str">
        <f>"KCTD1"</f>
        <v>KCTD1</v>
      </c>
      <c r="B13857" s="6">
        <v>0.52947052947052897</v>
      </c>
      <c r="C13857" s="6">
        <v>0.67178077712748296</v>
      </c>
    </row>
    <row r="13858" spans="1:3" s="8" customFormat="1" x14ac:dyDescent="0.2">
      <c r="A13858" s="6" t="str">
        <f>"SGK1"</f>
        <v>SGK1</v>
      </c>
      <c r="B13858" s="6">
        <v>0.52947052947052897</v>
      </c>
      <c r="C13858" s="6">
        <v>0.67178077712748296</v>
      </c>
    </row>
    <row r="13859" spans="1:3" s="8" customFormat="1" x14ac:dyDescent="0.2">
      <c r="A13859" s="6" t="str">
        <f>"CDH1"</f>
        <v>CDH1</v>
      </c>
      <c r="B13859" s="6">
        <v>0.52947052947052897</v>
      </c>
      <c r="C13859" s="6">
        <v>0.67178077712748296</v>
      </c>
    </row>
    <row r="13860" spans="1:3" s="8" customFormat="1" x14ac:dyDescent="0.2">
      <c r="A13860" s="6" t="str">
        <f>"PIGR"</f>
        <v>PIGR</v>
      </c>
      <c r="B13860" s="6">
        <v>0.52947052947052897</v>
      </c>
      <c r="C13860" s="6">
        <v>0.67178077712748296</v>
      </c>
    </row>
    <row r="13861" spans="1:3" s="8" customFormat="1" x14ac:dyDescent="0.2">
      <c r="A13861" s="6" t="str">
        <f>"AC007613.1"</f>
        <v>AC007613.1</v>
      </c>
      <c r="B13861" s="6">
        <v>0.52970795568982798</v>
      </c>
      <c r="C13861" s="6">
        <v>0.67203352762265101</v>
      </c>
    </row>
    <row r="13862" spans="1:3" s="8" customFormat="1" x14ac:dyDescent="0.2">
      <c r="A13862" s="6" t="str">
        <f>"STK32B"</f>
        <v>STK32B</v>
      </c>
      <c r="B13862" s="6">
        <v>0.53046953046953005</v>
      </c>
      <c r="C13862" s="6">
        <v>0.67270851173923396</v>
      </c>
    </row>
    <row r="13863" spans="1:3" s="8" customFormat="1" x14ac:dyDescent="0.2">
      <c r="A13863" s="6" t="str">
        <f>"BX470102.1"</f>
        <v>BX470102.1</v>
      </c>
      <c r="B13863" s="6">
        <v>0.53046953046953005</v>
      </c>
      <c r="C13863" s="6">
        <v>0.67270851173923396</v>
      </c>
    </row>
    <row r="13864" spans="1:3" s="8" customFormat="1" x14ac:dyDescent="0.2">
      <c r="A13864" s="6" t="str">
        <f>"NRCAM"</f>
        <v>NRCAM</v>
      </c>
      <c r="B13864" s="6">
        <v>0.53046953046953005</v>
      </c>
      <c r="C13864" s="6">
        <v>0.67270851173923396</v>
      </c>
    </row>
    <row r="13865" spans="1:3" s="8" customFormat="1" x14ac:dyDescent="0.2">
      <c r="A13865" s="6" t="str">
        <f>"CNBD2"</f>
        <v>CNBD2</v>
      </c>
      <c r="B13865" s="6">
        <v>0.53046953046953005</v>
      </c>
      <c r="C13865" s="6">
        <v>0.67270851173923396</v>
      </c>
    </row>
    <row r="13866" spans="1:3" s="8" customFormat="1" x14ac:dyDescent="0.2">
      <c r="A13866" s="6" t="str">
        <f>"PIGA"</f>
        <v>PIGA</v>
      </c>
      <c r="B13866" s="6">
        <v>0.53046953046953005</v>
      </c>
      <c r="C13866" s="6">
        <v>0.67270851173923396</v>
      </c>
    </row>
    <row r="13867" spans="1:3" s="8" customFormat="1" x14ac:dyDescent="0.2">
      <c r="A13867" s="6" t="str">
        <f>"HPS4"</f>
        <v>HPS4</v>
      </c>
      <c r="B13867" s="6">
        <v>0.53046953046953005</v>
      </c>
      <c r="C13867" s="6">
        <v>0.67270851173923396</v>
      </c>
    </row>
    <row r="13868" spans="1:3" s="8" customFormat="1" x14ac:dyDescent="0.2">
      <c r="A13868" s="6" t="str">
        <f>"AC079414.3"</f>
        <v>AC079414.3</v>
      </c>
      <c r="B13868" s="6">
        <v>0.53077699293642699</v>
      </c>
      <c r="C13868" s="6">
        <v>0.67304987695926599</v>
      </c>
    </row>
    <row r="13869" spans="1:3" s="8" customFormat="1" x14ac:dyDescent="0.2">
      <c r="A13869" s="6" t="str">
        <f>"MORF4L1P1"</f>
        <v>MORF4L1P1</v>
      </c>
      <c r="B13869" s="6">
        <v>0.53096446700507605</v>
      </c>
      <c r="C13869" s="6">
        <v>0.67323905305864196</v>
      </c>
    </row>
    <row r="13870" spans="1:3" s="8" customFormat="1" x14ac:dyDescent="0.2">
      <c r="A13870" s="6" t="str">
        <f>"AC092053.3"</f>
        <v>AC092053.3</v>
      </c>
      <c r="B13870" s="6">
        <v>0.53106212424849697</v>
      </c>
      <c r="C13870" s="6">
        <v>0.67331432639596001</v>
      </c>
    </row>
    <row r="13871" spans="1:3" s="8" customFormat="1" x14ac:dyDescent="0.2">
      <c r="A13871" s="6" t="str">
        <f>"DOK5"</f>
        <v>DOK5</v>
      </c>
      <c r="B13871" s="6">
        <v>0.53146853146853101</v>
      </c>
      <c r="C13871" s="6">
        <v>0.67348966974219204</v>
      </c>
    </row>
    <row r="13872" spans="1:3" s="8" customFormat="1" x14ac:dyDescent="0.2">
      <c r="A13872" s="6" t="str">
        <f>"ADAMTS19"</f>
        <v>ADAMTS19</v>
      </c>
      <c r="B13872" s="6">
        <v>0.53146853146853101</v>
      </c>
      <c r="C13872" s="6">
        <v>0.67348966974219204</v>
      </c>
    </row>
    <row r="13873" spans="1:3" s="8" customFormat="1" x14ac:dyDescent="0.2">
      <c r="A13873" s="6" t="str">
        <f>"FGF7P5"</f>
        <v>FGF7P5</v>
      </c>
      <c r="B13873" s="6">
        <v>0.53146853146853101</v>
      </c>
      <c r="C13873" s="6">
        <v>0.67348966974219204</v>
      </c>
    </row>
    <row r="13874" spans="1:3" s="8" customFormat="1" x14ac:dyDescent="0.2">
      <c r="A13874" s="6" t="str">
        <f>"RPL23AP87"</f>
        <v>RPL23AP87</v>
      </c>
      <c r="B13874" s="6">
        <v>0.53146853146853101</v>
      </c>
      <c r="C13874" s="6">
        <v>0.67348966974219204</v>
      </c>
    </row>
    <row r="13875" spans="1:3" s="8" customFormat="1" x14ac:dyDescent="0.2">
      <c r="A13875" s="6" t="str">
        <f>"PTCSC2"</f>
        <v>PTCSC2</v>
      </c>
      <c r="B13875" s="6">
        <v>0.53146853146853101</v>
      </c>
      <c r="C13875" s="6">
        <v>0.67348966974219204</v>
      </c>
    </row>
    <row r="13876" spans="1:3" s="8" customFormat="1" x14ac:dyDescent="0.2">
      <c r="A13876" s="6" t="str">
        <f>"ANKDD1A"</f>
        <v>ANKDD1A</v>
      </c>
      <c r="B13876" s="6">
        <v>0.53146853146853101</v>
      </c>
      <c r="C13876" s="6">
        <v>0.67348966974219204</v>
      </c>
    </row>
    <row r="13877" spans="1:3" s="8" customFormat="1" x14ac:dyDescent="0.2">
      <c r="A13877" s="6" t="str">
        <f>"ZNF777"</f>
        <v>ZNF777</v>
      </c>
      <c r="B13877" s="6">
        <v>0.53146853146853101</v>
      </c>
      <c r="C13877" s="6">
        <v>0.67348966974219204</v>
      </c>
    </row>
    <row r="13878" spans="1:3" s="8" customFormat="1" x14ac:dyDescent="0.2">
      <c r="A13878" s="6" t="str">
        <f>"AACSP1"</f>
        <v>AACSP1</v>
      </c>
      <c r="B13878" s="6">
        <v>0.53246753246753198</v>
      </c>
      <c r="C13878" s="6">
        <v>0.67422114862166704</v>
      </c>
    </row>
    <row r="13879" spans="1:3" s="8" customFormat="1" x14ac:dyDescent="0.2">
      <c r="A13879" s="6" t="str">
        <f>"ST18"</f>
        <v>ST18</v>
      </c>
      <c r="B13879" s="6">
        <v>0.53246753246753198</v>
      </c>
      <c r="C13879" s="6">
        <v>0.67422114862166704</v>
      </c>
    </row>
    <row r="13880" spans="1:3" s="8" customFormat="1" x14ac:dyDescent="0.2">
      <c r="A13880" s="6" t="str">
        <f>"AC055811.2"</f>
        <v>AC055811.2</v>
      </c>
      <c r="B13880" s="6">
        <v>0.53246753246753198</v>
      </c>
      <c r="C13880" s="6">
        <v>0.67422114862166704</v>
      </c>
    </row>
    <row r="13881" spans="1:3" s="8" customFormat="1" x14ac:dyDescent="0.2">
      <c r="A13881" s="6" t="str">
        <f>"AC120114.3"</f>
        <v>AC120114.3</v>
      </c>
      <c r="B13881" s="6">
        <v>0.53246753246753198</v>
      </c>
      <c r="C13881" s="6">
        <v>0.67422114862166704</v>
      </c>
    </row>
    <row r="13882" spans="1:3" s="8" customFormat="1" x14ac:dyDescent="0.2">
      <c r="A13882" s="6" t="str">
        <f>"AC010478.1"</f>
        <v>AC010478.1</v>
      </c>
      <c r="B13882" s="6">
        <v>0.53246753246753198</v>
      </c>
      <c r="C13882" s="6">
        <v>0.67422114862166704</v>
      </c>
    </row>
    <row r="13883" spans="1:3" s="8" customFormat="1" x14ac:dyDescent="0.2">
      <c r="A13883" s="6" t="str">
        <f>"PFDN4"</f>
        <v>PFDN4</v>
      </c>
      <c r="B13883" s="6">
        <v>0.53246753246753198</v>
      </c>
      <c r="C13883" s="6">
        <v>0.67422114862166704</v>
      </c>
    </row>
    <row r="13884" spans="1:3" s="8" customFormat="1" x14ac:dyDescent="0.2">
      <c r="A13884" s="6" t="str">
        <f>"TIMM10"</f>
        <v>TIMM10</v>
      </c>
      <c r="B13884" s="6">
        <v>0.53246753246753198</v>
      </c>
      <c r="C13884" s="6">
        <v>0.67422114862166704</v>
      </c>
    </row>
    <row r="13885" spans="1:3" s="8" customFormat="1" x14ac:dyDescent="0.2">
      <c r="A13885" s="6" t="str">
        <f>"SDF2"</f>
        <v>SDF2</v>
      </c>
      <c r="B13885" s="6">
        <v>0.53246753246753198</v>
      </c>
      <c r="C13885" s="6">
        <v>0.67422114862166704</v>
      </c>
    </row>
    <row r="13886" spans="1:3" s="8" customFormat="1" x14ac:dyDescent="0.2">
      <c r="A13886" s="6" t="str">
        <f>"CUL4B"</f>
        <v>CUL4B</v>
      </c>
      <c r="B13886" s="6">
        <v>0.53246753246753198</v>
      </c>
      <c r="C13886" s="6">
        <v>0.67422114862166704</v>
      </c>
    </row>
    <row r="13887" spans="1:3" s="8" customFormat="1" x14ac:dyDescent="0.2">
      <c r="A13887" s="6" t="str">
        <f>"RBBP6"</f>
        <v>RBBP6</v>
      </c>
      <c r="B13887" s="6">
        <v>0.53246753246753198</v>
      </c>
      <c r="C13887" s="6">
        <v>0.67422114862166704</v>
      </c>
    </row>
    <row r="13888" spans="1:3" s="8" customFormat="1" x14ac:dyDescent="0.2">
      <c r="A13888" s="6" t="str">
        <f>"RTCB"</f>
        <v>RTCB</v>
      </c>
      <c r="B13888" s="6">
        <v>0.53246753246753198</v>
      </c>
      <c r="C13888" s="6">
        <v>0.67422114862166704</v>
      </c>
    </row>
    <row r="13889" spans="1:3" s="8" customFormat="1" x14ac:dyDescent="0.2">
      <c r="A13889" s="6" t="str">
        <f>"AL805961.1"</f>
        <v>AL805961.1</v>
      </c>
      <c r="B13889" s="6">
        <v>0.53259779338014002</v>
      </c>
      <c r="C13889" s="6">
        <v>0.67433752871517705</v>
      </c>
    </row>
    <row r="13890" spans="1:3" s="8" customFormat="1" x14ac:dyDescent="0.2">
      <c r="A13890" s="6" t="str">
        <f>"PPP1CA"</f>
        <v>PPP1CA</v>
      </c>
      <c r="B13890" s="6">
        <v>0.53300000000000003</v>
      </c>
      <c r="C13890" s="6">
        <v>0.67479818561451499</v>
      </c>
    </row>
    <row r="13891" spans="1:3" s="8" customFormat="1" x14ac:dyDescent="0.2">
      <c r="A13891" s="6" t="str">
        <f>"LINC02681"</f>
        <v>LINC02681</v>
      </c>
      <c r="B13891" s="6">
        <v>0.53346653346653305</v>
      </c>
      <c r="C13891" s="6">
        <v>0.67500003774019701</v>
      </c>
    </row>
    <row r="13892" spans="1:3" s="8" customFormat="1" x14ac:dyDescent="0.2">
      <c r="A13892" s="6" t="str">
        <f>"Z99943.1"</f>
        <v>Z99943.1</v>
      </c>
      <c r="B13892" s="6">
        <v>0.53346653346653305</v>
      </c>
      <c r="C13892" s="6">
        <v>0.67500003774019701</v>
      </c>
    </row>
    <row r="13893" spans="1:3" s="8" customFormat="1" x14ac:dyDescent="0.2">
      <c r="A13893" s="6" t="str">
        <f>"COL9A3"</f>
        <v>COL9A3</v>
      </c>
      <c r="B13893" s="6">
        <v>0.53346653346653305</v>
      </c>
      <c r="C13893" s="6">
        <v>0.67500003774019701</v>
      </c>
    </row>
    <row r="13894" spans="1:3" s="8" customFormat="1" x14ac:dyDescent="0.2">
      <c r="A13894" s="6" t="str">
        <f>"TANGO6"</f>
        <v>TANGO6</v>
      </c>
      <c r="B13894" s="6">
        <v>0.53346653346653305</v>
      </c>
      <c r="C13894" s="6">
        <v>0.67500003774019701</v>
      </c>
    </row>
    <row r="13895" spans="1:3" s="8" customFormat="1" x14ac:dyDescent="0.2">
      <c r="A13895" s="6" t="str">
        <f>"ZBTB18"</f>
        <v>ZBTB18</v>
      </c>
      <c r="B13895" s="6">
        <v>0.53346653346653305</v>
      </c>
      <c r="C13895" s="6">
        <v>0.67500003774019701</v>
      </c>
    </row>
    <row r="13896" spans="1:3" s="8" customFormat="1" x14ac:dyDescent="0.2">
      <c r="A13896" s="6" t="str">
        <f>"SNW1"</f>
        <v>SNW1</v>
      </c>
      <c r="B13896" s="6">
        <v>0.53346653346653305</v>
      </c>
      <c r="C13896" s="6">
        <v>0.67500003774019701</v>
      </c>
    </row>
    <row r="13897" spans="1:3" s="8" customFormat="1" x14ac:dyDescent="0.2">
      <c r="A13897" s="6" t="str">
        <f>"PPOX"</f>
        <v>PPOX</v>
      </c>
      <c r="B13897" s="6">
        <v>0.53346653346653305</v>
      </c>
      <c r="C13897" s="6">
        <v>0.67500003774019701</v>
      </c>
    </row>
    <row r="13898" spans="1:3" s="8" customFormat="1" x14ac:dyDescent="0.2">
      <c r="A13898" s="6" t="str">
        <f>"GSTP1"</f>
        <v>GSTP1</v>
      </c>
      <c r="B13898" s="6">
        <v>0.53346653346653305</v>
      </c>
      <c r="C13898" s="6">
        <v>0.67500003774019701</v>
      </c>
    </row>
    <row r="13899" spans="1:3" s="8" customFormat="1" x14ac:dyDescent="0.2">
      <c r="A13899" s="6" t="str">
        <f>"AL022324.2"</f>
        <v>AL022324.2</v>
      </c>
      <c r="B13899" s="6">
        <v>0.53394123606889499</v>
      </c>
      <c r="C13899" s="6">
        <v>0.67555207188339705</v>
      </c>
    </row>
    <row r="13900" spans="1:3" s="8" customFormat="1" x14ac:dyDescent="0.2">
      <c r="A13900" s="6" t="str">
        <f>"TCN2"</f>
        <v>TCN2</v>
      </c>
      <c r="B13900" s="6">
        <v>0.53446553446553402</v>
      </c>
      <c r="C13900" s="6">
        <v>0.67602085728973904</v>
      </c>
    </row>
    <row r="13901" spans="1:3" s="8" customFormat="1" x14ac:dyDescent="0.2">
      <c r="A13901" s="6" t="str">
        <f>"KPNA1"</f>
        <v>KPNA1</v>
      </c>
      <c r="B13901" s="6">
        <v>0.53446553446553402</v>
      </c>
      <c r="C13901" s="6">
        <v>0.67602085728973904</v>
      </c>
    </row>
    <row r="13902" spans="1:3" s="8" customFormat="1" x14ac:dyDescent="0.2">
      <c r="A13902" s="6" t="str">
        <f>"TAOK1"</f>
        <v>TAOK1</v>
      </c>
      <c r="B13902" s="6">
        <v>0.53446553446553402</v>
      </c>
      <c r="C13902" s="6">
        <v>0.67602085728973904</v>
      </c>
    </row>
    <row r="13903" spans="1:3" s="8" customFormat="1" x14ac:dyDescent="0.2">
      <c r="A13903" s="6" t="str">
        <f>"CAB39"</f>
        <v>CAB39</v>
      </c>
      <c r="B13903" s="6">
        <v>0.53446553446553402</v>
      </c>
      <c r="C13903" s="6">
        <v>0.67602085728973904</v>
      </c>
    </row>
    <row r="13904" spans="1:3" s="8" customFormat="1" x14ac:dyDescent="0.2">
      <c r="A13904" s="6" t="str">
        <f>"AL157392.5"</f>
        <v>AL157392.5</v>
      </c>
      <c r="B13904" s="6">
        <v>0.53453453453453403</v>
      </c>
      <c r="C13904" s="6">
        <v>0.67605950192442299</v>
      </c>
    </row>
    <row r="13905" spans="1:3" s="8" customFormat="1" x14ac:dyDescent="0.2">
      <c r="A13905" s="6" t="str">
        <f>"TPM3P9"</f>
        <v>TPM3P9</v>
      </c>
      <c r="B13905" s="6">
        <v>0.53546453546453499</v>
      </c>
      <c r="C13905" s="6">
        <v>0.676894923911458</v>
      </c>
    </row>
    <row r="13906" spans="1:3" s="8" customFormat="1" x14ac:dyDescent="0.2">
      <c r="A13906" s="6" t="str">
        <f>"NBPF8"</f>
        <v>NBPF8</v>
      </c>
      <c r="B13906" s="6">
        <v>0.53546453546453499</v>
      </c>
      <c r="C13906" s="6">
        <v>0.676894923911458</v>
      </c>
    </row>
    <row r="13907" spans="1:3" s="8" customFormat="1" x14ac:dyDescent="0.2">
      <c r="A13907" s="6" t="str">
        <f>"MTHFD2"</f>
        <v>MTHFD2</v>
      </c>
      <c r="B13907" s="6">
        <v>0.53546453546453499</v>
      </c>
      <c r="C13907" s="6">
        <v>0.676894923911458</v>
      </c>
    </row>
    <row r="13908" spans="1:3" s="8" customFormat="1" x14ac:dyDescent="0.2">
      <c r="A13908" s="6" t="str">
        <f>"CPAMD8"</f>
        <v>CPAMD8</v>
      </c>
      <c r="B13908" s="6">
        <v>0.53546453546453499</v>
      </c>
      <c r="C13908" s="6">
        <v>0.676894923911458</v>
      </c>
    </row>
    <row r="13909" spans="1:3" s="8" customFormat="1" x14ac:dyDescent="0.2">
      <c r="A13909" s="6" t="str">
        <f>"KDELR2"</f>
        <v>KDELR2</v>
      </c>
      <c r="B13909" s="6">
        <v>0.53546453546453499</v>
      </c>
      <c r="C13909" s="6">
        <v>0.676894923911458</v>
      </c>
    </row>
    <row r="13910" spans="1:3" s="8" customFormat="1" x14ac:dyDescent="0.2">
      <c r="A13910" s="6" t="str">
        <f>"GDI2"</f>
        <v>GDI2</v>
      </c>
      <c r="B13910" s="6">
        <v>0.53546453546453499</v>
      </c>
      <c r="C13910" s="6">
        <v>0.676894923911458</v>
      </c>
    </row>
    <row r="13911" spans="1:3" s="8" customFormat="1" x14ac:dyDescent="0.2">
      <c r="A13911" s="6" t="str">
        <f>"EPAS1"</f>
        <v>EPAS1</v>
      </c>
      <c r="B13911" s="6">
        <v>0.53546453546453499</v>
      </c>
      <c r="C13911" s="6">
        <v>0.676894923911458</v>
      </c>
    </row>
    <row r="13912" spans="1:3" s="8" customFormat="1" x14ac:dyDescent="0.2">
      <c r="A13912" s="6" t="str">
        <f>"PCAT5"</f>
        <v>PCAT5</v>
      </c>
      <c r="B13912" s="6">
        <v>0.53600000000000003</v>
      </c>
      <c r="C13912" s="6">
        <v>0.67752311120695796</v>
      </c>
    </row>
    <row r="13913" spans="1:3" s="8" customFormat="1" x14ac:dyDescent="0.2">
      <c r="A13913" s="6" t="str">
        <f>"AC005154.5"</f>
        <v>AC005154.5</v>
      </c>
      <c r="B13913" s="6">
        <v>0.53646353646353595</v>
      </c>
      <c r="C13913" s="6">
        <v>0.67762192552078304</v>
      </c>
    </row>
    <row r="13914" spans="1:3" s="8" customFormat="1" x14ac:dyDescent="0.2">
      <c r="A13914" s="6" t="str">
        <f>"AC068647.1"</f>
        <v>AC068647.1</v>
      </c>
      <c r="B13914" s="6">
        <v>0.53646353646353595</v>
      </c>
      <c r="C13914" s="6">
        <v>0.67762192552078304</v>
      </c>
    </row>
    <row r="13915" spans="1:3" s="8" customFormat="1" x14ac:dyDescent="0.2">
      <c r="A13915" s="6" t="str">
        <f>"TMCO1-AS1"</f>
        <v>TMCO1-AS1</v>
      </c>
      <c r="B13915" s="6">
        <v>0.53636363636363604</v>
      </c>
      <c r="C13915" s="6">
        <v>0.67762192552078304</v>
      </c>
    </row>
    <row r="13916" spans="1:3" s="8" customFormat="1" x14ac:dyDescent="0.2">
      <c r="A13916" s="6" t="str">
        <f>"GARNL3"</f>
        <v>GARNL3</v>
      </c>
      <c r="B13916" s="6">
        <v>0.53646353646353595</v>
      </c>
      <c r="C13916" s="6">
        <v>0.67762192552078304</v>
      </c>
    </row>
    <row r="13917" spans="1:3" s="8" customFormat="1" x14ac:dyDescent="0.2">
      <c r="A13917" s="6" t="str">
        <f>"ZNF763"</f>
        <v>ZNF763</v>
      </c>
      <c r="B13917" s="6">
        <v>0.53646353646353595</v>
      </c>
      <c r="C13917" s="6">
        <v>0.67762192552078304</v>
      </c>
    </row>
    <row r="13918" spans="1:3" s="8" customFormat="1" x14ac:dyDescent="0.2">
      <c r="A13918" s="6" t="str">
        <f>"SLC16A2"</f>
        <v>SLC16A2</v>
      </c>
      <c r="B13918" s="6">
        <v>0.53646353646353595</v>
      </c>
      <c r="C13918" s="6">
        <v>0.67762192552078304</v>
      </c>
    </row>
    <row r="13919" spans="1:3" s="8" customFormat="1" x14ac:dyDescent="0.2">
      <c r="A13919" s="6" t="str">
        <f>"KNTC1"</f>
        <v>KNTC1</v>
      </c>
      <c r="B13919" s="6">
        <v>0.53646353646353595</v>
      </c>
      <c r="C13919" s="6">
        <v>0.67762192552078304</v>
      </c>
    </row>
    <row r="13920" spans="1:3" s="8" customFormat="1" x14ac:dyDescent="0.2">
      <c r="A13920" s="6" t="str">
        <f>"JOSD2"</f>
        <v>JOSD2</v>
      </c>
      <c r="B13920" s="6">
        <v>0.53646353646353595</v>
      </c>
      <c r="C13920" s="6">
        <v>0.67762192552078304</v>
      </c>
    </row>
    <row r="13921" spans="1:3" s="8" customFormat="1" x14ac:dyDescent="0.2">
      <c r="A13921" s="6" t="str">
        <f>"DNAH11"</f>
        <v>DNAH11</v>
      </c>
      <c r="B13921" s="6">
        <v>0.53646353646353595</v>
      </c>
      <c r="C13921" s="6">
        <v>0.67762192552078304</v>
      </c>
    </row>
    <row r="13922" spans="1:3" s="8" customFormat="1" x14ac:dyDescent="0.2">
      <c r="A13922" s="6" t="str">
        <f>"COX4I1"</f>
        <v>COX4I1</v>
      </c>
      <c r="B13922" s="6">
        <v>0.53646353646353595</v>
      </c>
      <c r="C13922" s="6">
        <v>0.67762192552078304</v>
      </c>
    </row>
    <row r="13923" spans="1:3" s="8" customFormat="1" x14ac:dyDescent="0.2">
      <c r="A13923" s="6" t="str">
        <f>"LINC02548"</f>
        <v>LINC02548</v>
      </c>
      <c r="B13923" s="6">
        <v>0.53663793103448199</v>
      </c>
      <c r="C13923" s="6">
        <v>0.67779351955971401</v>
      </c>
    </row>
    <row r="13924" spans="1:3" s="8" customFormat="1" x14ac:dyDescent="0.2">
      <c r="A13924" s="6" t="str">
        <f>"AP001994.3"</f>
        <v>AP001994.3</v>
      </c>
      <c r="B13924" s="6">
        <v>0.53700000000000003</v>
      </c>
      <c r="C13924" s="6">
        <v>0.678202111613876</v>
      </c>
    </row>
    <row r="13925" spans="1:3" s="8" customFormat="1" x14ac:dyDescent="0.2">
      <c r="A13925" s="6" t="str">
        <f>"COL5A3"</f>
        <v>COL5A3</v>
      </c>
      <c r="B13925" s="6">
        <v>0.53746253746253703</v>
      </c>
      <c r="C13925" s="6">
        <v>0.67854259468274403</v>
      </c>
    </row>
    <row r="13926" spans="1:3" s="8" customFormat="1" x14ac:dyDescent="0.2">
      <c r="A13926" s="6" t="str">
        <f>"TMEM191B"</f>
        <v>TMEM191B</v>
      </c>
      <c r="B13926" s="6">
        <v>0.53746253746253703</v>
      </c>
      <c r="C13926" s="6">
        <v>0.67854259468274403</v>
      </c>
    </row>
    <row r="13927" spans="1:3" s="8" customFormat="1" x14ac:dyDescent="0.2">
      <c r="A13927" s="6" t="str">
        <f>"ZBTB21"</f>
        <v>ZBTB21</v>
      </c>
      <c r="B13927" s="6">
        <v>0.53746253746253703</v>
      </c>
      <c r="C13927" s="6">
        <v>0.67854259468274403</v>
      </c>
    </row>
    <row r="13928" spans="1:3" s="8" customFormat="1" x14ac:dyDescent="0.2">
      <c r="A13928" s="6" t="str">
        <f>"CYP4X1"</f>
        <v>CYP4X1</v>
      </c>
      <c r="B13928" s="6">
        <v>0.53746253746253703</v>
      </c>
      <c r="C13928" s="6">
        <v>0.67854259468274403</v>
      </c>
    </row>
    <row r="13929" spans="1:3" s="8" customFormat="1" x14ac:dyDescent="0.2">
      <c r="A13929" s="6" t="str">
        <f>"TDRD7"</f>
        <v>TDRD7</v>
      </c>
      <c r="B13929" s="6">
        <v>0.53746253746253703</v>
      </c>
      <c r="C13929" s="6">
        <v>0.67854259468274403</v>
      </c>
    </row>
    <row r="13930" spans="1:3" s="8" customFormat="1" x14ac:dyDescent="0.2">
      <c r="A13930" s="6" t="str">
        <f>"AC010198.1"</f>
        <v>AC010198.1</v>
      </c>
      <c r="B13930" s="6">
        <v>0.53800000000000003</v>
      </c>
      <c r="C13930" s="6">
        <v>0.67912361809045196</v>
      </c>
    </row>
    <row r="13931" spans="1:3" s="8" customFormat="1" x14ac:dyDescent="0.2">
      <c r="A13931" s="6" t="str">
        <f>"ATE1"</f>
        <v>ATE1</v>
      </c>
      <c r="B13931" s="6">
        <v>0.53800000000000003</v>
      </c>
      <c r="C13931" s="6">
        <v>0.67912361809045196</v>
      </c>
    </row>
    <row r="13932" spans="1:3" s="8" customFormat="1" x14ac:dyDescent="0.2">
      <c r="A13932" s="6" t="str">
        <f>"AC104964.3"</f>
        <v>AC104964.3</v>
      </c>
      <c r="B13932" s="6">
        <v>0.53846153846153799</v>
      </c>
      <c r="C13932" s="6">
        <v>0.67936483406096604</v>
      </c>
    </row>
    <row r="13933" spans="1:3" s="8" customFormat="1" x14ac:dyDescent="0.2">
      <c r="A13933" s="6" t="str">
        <f>"AP001160.2"</f>
        <v>AP001160.2</v>
      </c>
      <c r="B13933" s="6">
        <v>0.53846153846153799</v>
      </c>
      <c r="C13933" s="6">
        <v>0.67936483406096604</v>
      </c>
    </row>
    <row r="13934" spans="1:3" s="8" customFormat="1" x14ac:dyDescent="0.2">
      <c r="A13934" s="6" t="str">
        <f>"AC040174.1"</f>
        <v>AC040174.1</v>
      </c>
      <c r="B13934" s="6">
        <v>0.53846153846153799</v>
      </c>
      <c r="C13934" s="6">
        <v>0.67936483406096604</v>
      </c>
    </row>
    <row r="13935" spans="1:3" s="8" customFormat="1" x14ac:dyDescent="0.2">
      <c r="A13935" s="6" t="str">
        <f>"SCGB3A2"</f>
        <v>SCGB3A2</v>
      </c>
      <c r="B13935" s="6">
        <v>0.53846153846153799</v>
      </c>
      <c r="C13935" s="6">
        <v>0.67936483406096604</v>
      </c>
    </row>
    <row r="13936" spans="1:3" s="8" customFormat="1" x14ac:dyDescent="0.2">
      <c r="A13936" s="6" t="str">
        <f>"MTHFD2L"</f>
        <v>MTHFD2L</v>
      </c>
      <c r="B13936" s="6">
        <v>0.53846153846153799</v>
      </c>
      <c r="C13936" s="6">
        <v>0.67936483406096604</v>
      </c>
    </row>
    <row r="13937" spans="1:3" s="8" customFormat="1" x14ac:dyDescent="0.2">
      <c r="A13937" s="6" t="str">
        <f>"ARL5A"</f>
        <v>ARL5A</v>
      </c>
      <c r="B13937" s="6">
        <v>0.53846153846153799</v>
      </c>
      <c r="C13937" s="6">
        <v>0.67936483406096604</v>
      </c>
    </row>
    <row r="13938" spans="1:3" s="8" customFormat="1" x14ac:dyDescent="0.2">
      <c r="A13938" s="6" t="str">
        <f>"SRSF3"</f>
        <v>SRSF3</v>
      </c>
      <c r="B13938" s="6">
        <v>0.53846153846153799</v>
      </c>
      <c r="C13938" s="6">
        <v>0.67936483406096604</v>
      </c>
    </row>
    <row r="13939" spans="1:3" s="8" customFormat="1" x14ac:dyDescent="0.2">
      <c r="A13939" s="6" t="str">
        <f>"Z99129.3"</f>
        <v>Z99129.3</v>
      </c>
      <c r="B13939" s="6">
        <v>0.53900000000000003</v>
      </c>
      <c r="C13939" s="6">
        <v>0.67994662457851995</v>
      </c>
    </row>
    <row r="13940" spans="1:3" s="8" customFormat="1" x14ac:dyDescent="0.2">
      <c r="A13940" s="6" t="str">
        <f>"PTGES2-AS1"</f>
        <v>PTGES2-AS1</v>
      </c>
      <c r="B13940" s="6">
        <v>0.53900000000000003</v>
      </c>
      <c r="C13940" s="6">
        <v>0.67994662457851995</v>
      </c>
    </row>
    <row r="13941" spans="1:3" s="8" customFormat="1" x14ac:dyDescent="0.2">
      <c r="A13941" s="6" t="str">
        <f>"ART3"</f>
        <v>ART3</v>
      </c>
      <c r="B13941" s="6">
        <v>0.53946053946053896</v>
      </c>
      <c r="C13941" s="6">
        <v>0.68018601218084895</v>
      </c>
    </row>
    <row r="13942" spans="1:3" s="8" customFormat="1" x14ac:dyDescent="0.2">
      <c r="A13942" s="6" t="str">
        <f>"LIPJ"</f>
        <v>LIPJ</v>
      </c>
      <c r="B13942" s="6">
        <v>0.53946053946053896</v>
      </c>
      <c r="C13942" s="6">
        <v>0.68018601218084895</v>
      </c>
    </row>
    <row r="13943" spans="1:3" s="8" customFormat="1" x14ac:dyDescent="0.2">
      <c r="A13943" s="6" t="str">
        <f>"SPANXA2-OT1"</f>
        <v>SPANXA2-OT1</v>
      </c>
      <c r="B13943" s="6">
        <v>0.53946053946053896</v>
      </c>
      <c r="C13943" s="6">
        <v>0.68018601218084895</v>
      </c>
    </row>
    <row r="13944" spans="1:3" s="8" customFormat="1" x14ac:dyDescent="0.2">
      <c r="A13944" s="6" t="str">
        <f>"AL357075.4"</f>
        <v>AL357075.4</v>
      </c>
      <c r="B13944" s="6">
        <v>0.53946053946053896</v>
      </c>
      <c r="C13944" s="6">
        <v>0.68018601218084895</v>
      </c>
    </row>
    <row r="13945" spans="1:3" s="8" customFormat="1" x14ac:dyDescent="0.2">
      <c r="A13945" s="6" t="str">
        <f>"SLC2A4"</f>
        <v>SLC2A4</v>
      </c>
      <c r="B13945" s="6">
        <v>0.53946053946053896</v>
      </c>
      <c r="C13945" s="6">
        <v>0.68018601218084895</v>
      </c>
    </row>
    <row r="13946" spans="1:3" s="8" customFormat="1" x14ac:dyDescent="0.2">
      <c r="A13946" s="6" t="str">
        <f>"VPS35L"</f>
        <v>VPS35L</v>
      </c>
      <c r="B13946" s="6">
        <v>0.53946053946053896</v>
      </c>
      <c r="C13946" s="6">
        <v>0.68018601218084895</v>
      </c>
    </row>
    <row r="13947" spans="1:3" s="8" customFormat="1" x14ac:dyDescent="0.2">
      <c r="A13947" s="6" t="str">
        <f>"NBEA"</f>
        <v>NBEA</v>
      </c>
      <c r="B13947" s="6">
        <v>0.53946053946053896</v>
      </c>
      <c r="C13947" s="6">
        <v>0.68018601218084895</v>
      </c>
    </row>
    <row r="13948" spans="1:3" s="8" customFormat="1" x14ac:dyDescent="0.2">
      <c r="A13948" s="6" t="str">
        <f>"H2AZ1-DT"</f>
        <v>H2AZ1-DT</v>
      </c>
      <c r="B13948" s="6">
        <v>0.53953953953953904</v>
      </c>
      <c r="C13948" s="6">
        <v>0.68023684399966</v>
      </c>
    </row>
    <row r="13949" spans="1:3" s="8" customFormat="1" x14ac:dyDescent="0.2">
      <c r="A13949" s="6" t="str">
        <f>"SPECC1P1"</f>
        <v>SPECC1P1</v>
      </c>
      <c r="B13949" s="6">
        <v>0.53961885656970898</v>
      </c>
      <c r="C13949" s="6">
        <v>0.68028806810451403</v>
      </c>
    </row>
    <row r="13950" spans="1:3" s="8" customFormat="1" x14ac:dyDescent="0.2">
      <c r="A13950" s="6" t="str">
        <f>"TFF2"</f>
        <v>TFF2</v>
      </c>
      <c r="B13950" s="6">
        <v>0.54045954045954003</v>
      </c>
      <c r="C13950" s="6">
        <v>0.68090854477613805</v>
      </c>
    </row>
    <row r="13951" spans="1:3" s="8" customFormat="1" x14ac:dyDescent="0.2">
      <c r="A13951" s="6" t="str">
        <f>"LINC02482"</f>
        <v>LINC02482</v>
      </c>
      <c r="B13951" s="6">
        <v>0.54045954045954003</v>
      </c>
      <c r="C13951" s="6">
        <v>0.68090854477613805</v>
      </c>
    </row>
    <row r="13952" spans="1:3" s="8" customFormat="1" x14ac:dyDescent="0.2">
      <c r="A13952" s="6" t="str">
        <f>"AMY2B"</f>
        <v>AMY2B</v>
      </c>
      <c r="B13952" s="6">
        <v>0.54045954045954003</v>
      </c>
      <c r="C13952" s="6">
        <v>0.68090854477613805</v>
      </c>
    </row>
    <row r="13953" spans="1:3" s="8" customFormat="1" x14ac:dyDescent="0.2">
      <c r="A13953" s="6" t="str">
        <f>"POLB"</f>
        <v>POLB</v>
      </c>
      <c r="B13953" s="6">
        <v>0.54045954045954003</v>
      </c>
      <c r="C13953" s="6">
        <v>0.68090854477613805</v>
      </c>
    </row>
    <row r="13954" spans="1:3" s="8" customFormat="1" x14ac:dyDescent="0.2">
      <c r="A13954" s="6" t="str">
        <f>"SIDT2"</f>
        <v>SIDT2</v>
      </c>
      <c r="B13954" s="6">
        <v>0.54045954045954003</v>
      </c>
      <c r="C13954" s="6">
        <v>0.68090854477613805</v>
      </c>
    </row>
    <row r="13955" spans="1:3" s="8" customFormat="1" x14ac:dyDescent="0.2">
      <c r="A13955" s="6" t="str">
        <f>"BICD2"</f>
        <v>BICD2</v>
      </c>
      <c r="B13955" s="6">
        <v>0.54045954045954003</v>
      </c>
      <c r="C13955" s="6">
        <v>0.68090854477613805</v>
      </c>
    </row>
    <row r="13956" spans="1:3" s="8" customFormat="1" x14ac:dyDescent="0.2">
      <c r="A13956" s="6" t="str">
        <f>"IRS2"</f>
        <v>IRS2</v>
      </c>
      <c r="B13956" s="6">
        <v>0.54045954045954003</v>
      </c>
      <c r="C13956" s="6">
        <v>0.68090854477613805</v>
      </c>
    </row>
    <row r="13957" spans="1:3" s="8" customFormat="1" x14ac:dyDescent="0.2">
      <c r="A13957" s="6" t="str">
        <f>"UQCRC1"</f>
        <v>UQCRC1</v>
      </c>
      <c r="B13957" s="6">
        <v>0.54045954045954003</v>
      </c>
      <c r="C13957" s="6">
        <v>0.68090854477613805</v>
      </c>
    </row>
    <row r="13958" spans="1:3" s="8" customFormat="1" x14ac:dyDescent="0.2">
      <c r="A13958" s="6" t="str">
        <f>"CDC42BPB"</f>
        <v>CDC42BPB</v>
      </c>
      <c r="B13958" s="6">
        <v>0.54045954045954003</v>
      </c>
      <c r="C13958" s="6">
        <v>0.68090854477613805</v>
      </c>
    </row>
    <row r="13959" spans="1:3" s="8" customFormat="1" x14ac:dyDescent="0.2">
      <c r="A13959" s="6" t="str">
        <f>"MSS51"</f>
        <v>MSS51</v>
      </c>
      <c r="B13959" s="6">
        <v>0.54088050314465397</v>
      </c>
      <c r="C13959" s="6">
        <v>0.68139008219627395</v>
      </c>
    </row>
    <row r="13960" spans="1:3" s="8" customFormat="1" x14ac:dyDescent="0.2">
      <c r="A13960" s="6" t="str">
        <f>"ARL2-SNX15"</f>
        <v>ARL2-SNX15</v>
      </c>
      <c r="B13960" s="6">
        <v>0.54100000000000004</v>
      </c>
      <c r="C13960" s="6">
        <v>0.68149179740669097</v>
      </c>
    </row>
    <row r="13961" spans="1:3" s="8" customFormat="1" x14ac:dyDescent="0.2">
      <c r="A13961" s="6" t="str">
        <f>"LINC01871"</f>
        <v>LINC01871</v>
      </c>
      <c r="B13961" s="6">
        <v>0.541458541458541</v>
      </c>
      <c r="C13961" s="6">
        <v>0.68187402370600803</v>
      </c>
    </row>
    <row r="13962" spans="1:3" s="8" customFormat="1" x14ac:dyDescent="0.2">
      <c r="A13962" s="6" t="str">
        <f>"PPP1R3G"</f>
        <v>PPP1R3G</v>
      </c>
      <c r="B13962" s="6">
        <v>0.541458541458541</v>
      </c>
      <c r="C13962" s="6">
        <v>0.68187402370600803</v>
      </c>
    </row>
    <row r="13963" spans="1:3" s="8" customFormat="1" x14ac:dyDescent="0.2">
      <c r="A13963" s="6" t="str">
        <f>"RRAD"</f>
        <v>RRAD</v>
      </c>
      <c r="B13963" s="6">
        <v>0.541458541458541</v>
      </c>
      <c r="C13963" s="6">
        <v>0.68187402370600803</v>
      </c>
    </row>
    <row r="13964" spans="1:3" s="8" customFormat="1" x14ac:dyDescent="0.2">
      <c r="A13964" s="6" t="str">
        <f>"SERF2"</f>
        <v>SERF2</v>
      </c>
      <c r="B13964" s="6">
        <v>0.541458541458541</v>
      </c>
      <c r="C13964" s="6">
        <v>0.68187402370600803</v>
      </c>
    </row>
    <row r="13965" spans="1:3" s="8" customFormat="1" x14ac:dyDescent="0.2">
      <c r="A13965" s="6" t="str">
        <f>"GGTLC2"</f>
        <v>GGTLC2</v>
      </c>
      <c r="B13965" s="6">
        <v>0.54245754245754196</v>
      </c>
      <c r="C13965" s="6">
        <v>0.68269205744155603</v>
      </c>
    </row>
    <row r="13966" spans="1:3" s="8" customFormat="1" x14ac:dyDescent="0.2">
      <c r="A13966" s="6" t="str">
        <f>"AC103855.2"</f>
        <v>AC103855.2</v>
      </c>
      <c r="B13966" s="6">
        <v>0.54245754245754196</v>
      </c>
      <c r="C13966" s="6">
        <v>0.68269205744155603</v>
      </c>
    </row>
    <row r="13967" spans="1:3" s="8" customFormat="1" x14ac:dyDescent="0.2">
      <c r="A13967" s="6" t="str">
        <f>"AC073107.1"</f>
        <v>AC073107.1</v>
      </c>
      <c r="B13967" s="6">
        <v>0.54245754245754196</v>
      </c>
      <c r="C13967" s="6">
        <v>0.68269205744155603</v>
      </c>
    </row>
    <row r="13968" spans="1:3" s="8" customFormat="1" x14ac:dyDescent="0.2">
      <c r="A13968" s="6" t="str">
        <f>"AC012354.1"</f>
        <v>AC012354.1</v>
      </c>
      <c r="B13968" s="6">
        <v>0.54245754245754196</v>
      </c>
      <c r="C13968" s="6">
        <v>0.68269205744155603</v>
      </c>
    </row>
    <row r="13969" spans="1:3" s="8" customFormat="1" x14ac:dyDescent="0.2">
      <c r="A13969" s="6" t="str">
        <f>"ARHGAP22"</f>
        <v>ARHGAP22</v>
      </c>
      <c r="B13969" s="6">
        <v>0.54245754245754196</v>
      </c>
      <c r="C13969" s="6">
        <v>0.68269205744155603</v>
      </c>
    </row>
    <row r="13970" spans="1:3" s="8" customFormat="1" x14ac:dyDescent="0.2">
      <c r="A13970" s="6" t="str">
        <f>"KNSTRN"</f>
        <v>KNSTRN</v>
      </c>
      <c r="B13970" s="6">
        <v>0.54245754245754196</v>
      </c>
      <c r="C13970" s="6">
        <v>0.68269205744155603</v>
      </c>
    </row>
    <row r="13971" spans="1:3" s="8" customFormat="1" x14ac:dyDescent="0.2">
      <c r="A13971" s="6" t="str">
        <f>"KDELR3"</f>
        <v>KDELR3</v>
      </c>
      <c r="B13971" s="6">
        <v>0.54245754245754196</v>
      </c>
      <c r="C13971" s="6">
        <v>0.68269205744155603</v>
      </c>
    </row>
    <row r="13972" spans="1:3" s="8" customFormat="1" x14ac:dyDescent="0.2">
      <c r="A13972" s="6" t="str">
        <f>"PPIP5K1"</f>
        <v>PPIP5K1</v>
      </c>
      <c r="B13972" s="6">
        <v>0.54245754245754196</v>
      </c>
      <c r="C13972" s="6">
        <v>0.68269205744155603</v>
      </c>
    </row>
    <row r="13973" spans="1:3" s="8" customFormat="1" x14ac:dyDescent="0.2">
      <c r="A13973" s="6" t="str">
        <f>"PPP6R2"</f>
        <v>PPP6R2</v>
      </c>
      <c r="B13973" s="6">
        <v>0.54245754245754196</v>
      </c>
      <c r="C13973" s="6">
        <v>0.68269205744155603</v>
      </c>
    </row>
    <row r="13974" spans="1:3" s="8" customFormat="1" x14ac:dyDescent="0.2">
      <c r="A13974" s="6" t="str">
        <f>"IGKV3-15"</f>
        <v>IGKV3-15</v>
      </c>
      <c r="B13974" s="6">
        <v>0.54300000000000004</v>
      </c>
      <c r="C13974" s="6">
        <v>0.68332584269662899</v>
      </c>
    </row>
    <row r="13975" spans="1:3" s="8" customFormat="1" x14ac:dyDescent="0.2">
      <c r="A13975" s="6" t="str">
        <f>"PEG13"</f>
        <v>PEG13</v>
      </c>
      <c r="B13975" s="6">
        <v>0.54345654345654304</v>
      </c>
      <c r="C13975" s="6">
        <v>0.68346015306392904</v>
      </c>
    </row>
    <row r="13976" spans="1:3" s="8" customFormat="1" x14ac:dyDescent="0.2">
      <c r="A13976" s="6" t="str">
        <f>"GNAO1"</f>
        <v>GNAO1</v>
      </c>
      <c r="B13976" s="6">
        <v>0.54345654345654304</v>
      </c>
      <c r="C13976" s="6">
        <v>0.68346015306392904</v>
      </c>
    </row>
    <row r="13977" spans="1:3" s="8" customFormat="1" x14ac:dyDescent="0.2">
      <c r="A13977" s="6" t="str">
        <f>"AL356534.1"</f>
        <v>AL356534.1</v>
      </c>
      <c r="B13977" s="6">
        <v>0.54345654345654304</v>
      </c>
      <c r="C13977" s="6">
        <v>0.68346015306392904</v>
      </c>
    </row>
    <row r="13978" spans="1:3" s="8" customFormat="1" x14ac:dyDescent="0.2">
      <c r="A13978" s="6" t="str">
        <f>"AC010615.1"</f>
        <v>AC010615.1</v>
      </c>
      <c r="B13978" s="6">
        <v>0.54345654345654304</v>
      </c>
      <c r="C13978" s="6">
        <v>0.68346015306392904</v>
      </c>
    </row>
    <row r="13979" spans="1:3" s="8" customFormat="1" x14ac:dyDescent="0.2">
      <c r="A13979" s="6" t="str">
        <f>"AL355597.1"</f>
        <v>AL355597.1</v>
      </c>
      <c r="B13979" s="6">
        <v>0.54345654345654304</v>
      </c>
      <c r="C13979" s="6">
        <v>0.68346015306392904</v>
      </c>
    </row>
    <row r="13980" spans="1:3" s="8" customFormat="1" x14ac:dyDescent="0.2">
      <c r="A13980" s="6" t="str">
        <f>"AL080276.2"</f>
        <v>AL080276.2</v>
      </c>
      <c r="B13980" s="6">
        <v>0.54345654345654304</v>
      </c>
      <c r="C13980" s="6">
        <v>0.68346015306392904</v>
      </c>
    </row>
    <row r="13981" spans="1:3" s="8" customFormat="1" x14ac:dyDescent="0.2">
      <c r="A13981" s="6" t="str">
        <f>"KCTD10"</f>
        <v>KCTD10</v>
      </c>
      <c r="B13981" s="6">
        <v>0.54345654345654304</v>
      </c>
      <c r="C13981" s="6">
        <v>0.68346015306392904</v>
      </c>
    </row>
    <row r="13982" spans="1:3" s="8" customFormat="1" x14ac:dyDescent="0.2">
      <c r="A13982" s="6" t="str">
        <f>"SLC22A18"</f>
        <v>SLC22A18</v>
      </c>
      <c r="B13982" s="6">
        <v>0.54345654345654304</v>
      </c>
      <c r="C13982" s="6">
        <v>0.68346015306392904</v>
      </c>
    </row>
    <row r="13983" spans="1:3" s="8" customFormat="1" x14ac:dyDescent="0.2">
      <c r="A13983" s="6" t="str">
        <f>"CTDSP1"</f>
        <v>CTDSP1</v>
      </c>
      <c r="B13983" s="6">
        <v>0.54345654345654304</v>
      </c>
      <c r="C13983" s="6">
        <v>0.68346015306392904</v>
      </c>
    </row>
    <row r="13984" spans="1:3" s="8" customFormat="1" x14ac:dyDescent="0.2">
      <c r="A13984" s="6" t="str">
        <f>"AC024028.1"</f>
        <v>AC024028.1</v>
      </c>
      <c r="B13984" s="6">
        <v>0.54364640883977899</v>
      </c>
      <c r="C13984" s="6">
        <v>0.68365003597501695</v>
      </c>
    </row>
    <row r="13985" spans="1:3" s="8" customFormat="1" x14ac:dyDescent="0.2">
      <c r="A13985" s="6" t="str">
        <f>"ISCA1P1"</f>
        <v>ISCA1P1</v>
      </c>
      <c r="B13985" s="6">
        <v>0.54371859296482405</v>
      </c>
      <c r="C13985" s="6">
        <v>0.68369191495233606</v>
      </c>
    </row>
    <row r="13986" spans="1:3" s="8" customFormat="1" x14ac:dyDescent="0.2">
      <c r="A13986" s="6" t="str">
        <f>"AC104791.2"</f>
        <v>AC104791.2</v>
      </c>
      <c r="B13986" s="6">
        <v>0.544455544455544</v>
      </c>
      <c r="C13986" s="6">
        <v>0.68412936213422104</v>
      </c>
    </row>
    <row r="13987" spans="1:3" s="8" customFormat="1" x14ac:dyDescent="0.2">
      <c r="A13987" s="6" t="str">
        <f>"AC006042.2"</f>
        <v>AC006042.2</v>
      </c>
      <c r="B13987" s="6">
        <v>0.544455544455544</v>
      </c>
      <c r="C13987" s="6">
        <v>0.68412936213422104</v>
      </c>
    </row>
    <row r="13988" spans="1:3" s="8" customFormat="1" x14ac:dyDescent="0.2">
      <c r="A13988" s="6" t="str">
        <f>"AC139491.5"</f>
        <v>AC139491.5</v>
      </c>
      <c r="B13988" s="6">
        <v>0.544455544455544</v>
      </c>
      <c r="C13988" s="6">
        <v>0.68412936213422104</v>
      </c>
    </row>
    <row r="13989" spans="1:3" s="8" customFormat="1" x14ac:dyDescent="0.2">
      <c r="A13989" s="6" t="str">
        <f>"LINC00327"</f>
        <v>LINC00327</v>
      </c>
      <c r="B13989" s="6">
        <v>0.544455544455544</v>
      </c>
      <c r="C13989" s="6">
        <v>0.68412936213422104</v>
      </c>
    </row>
    <row r="13990" spans="1:3" s="8" customFormat="1" x14ac:dyDescent="0.2">
      <c r="A13990" s="6" t="str">
        <f>"RRP7BP"</f>
        <v>RRP7BP</v>
      </c>
      <c r="B13990" s="6">
        <v>0.544455544455544</v>
      </c>
      <c r="C13990" s="6">
        <v>0.68412936213422104</v>
      </c>
    </row>
    <row r="13991" spans="1:3" s="8" customFormat="1" x14ac:dyDescent="0.2">
      <c r="A13991" s="6" t="str">
        <f>"NDOR1"</f>
        <v>NDOR1</v>
      </c>
      <c r="B13991" s="6">
        <v>0.544455544455544</v>
      </c>
      <c r="C13991" s="6">
        <v>0.68412936213422104</v>
      </c>
    </row>
    <row r="13992" spans="1:3" s="8" customFormat="1" x14ac:dyDescent="0.2">
      <c r="A13992" s="6" t="str">
        <f>"USPL1"</f>
        <v>USPL1</v>
      </c>
      <c r="B13992" s="6">
        <v>0.544455544455544</v>
      </c>
      <c r="C13992" s="6">
        <v>0.68412936213422104</v>
      </c>
    </row>
    <row r="13993" spans="1:3" s="8" customFormat="1" x14ac:dyDescent="0.2">
      <c r="A13993" s="6" t="str">
        <f>"OSTM1"</f>
        <v>OSTM1</v>
      </c>
      <c r="B13993" s="6">
        <v>0.544455544455544</v>
      </c>
      <c r="C13993" s="6">
        <v>0.68412936213422104</v>
      </c>
    </row>
    <row r="13994" spans="1:3" s="8" customFormat="1" x14ac:dyDescent="0.2">
      <c r="A13994" s="6" t="str">
        <f>"NMNAT3"</f>
        <v>NMNAT3</v>
      </c>
      <c r="B13994" s="6">
        <v>0.544455544455544</v>
      </c>
      <c r="C13994" s="6">
        <v>0.68412936213422104</v>
      </c>
    </row>
    <row r="13995" spans="1:3" s="8" customFormat="1" x14ac:dyDescent="0.2">
      <c r="A13995" s="6" t="str">
        <f>"SH3BP4"</f>
        <v>SH3BP4</v>
      </c>
      <c r="B13995" s="6">
        <v>0.544455544455544</v>
      </c>
      <c r="C13995" s="6">
        <v>0.68412936213422104</v>
      </c>
    </row>
    <row r="13996" spans="1:3" s="8" customFormat="1" x14ac:dyDescent="0.2">
      <c r="A13996" s="6" t="str">
        <f>"RSC1A1"</f>
        <v>RSC1A1</v>
      </c>
      <c r="B13996" s="6">
        <v>0.54500000000000004</v>
      </c>
      <c r="C13996" s="6">
        <v>0.68471563303800997</v>
      </c>
    </row>
    <row r="13997" spans="1:3" s="8" customFormat="1" x14ac:dyDescent="0.2">
      <c r="A13997" s="6" t="str">
        <f>"AUP1"</f>
        <v>AUP1</v>
      </c>
      <c r="B13997" s="6">
        <v>0.54500000000000004</v>
      </c>
      <c r="C13997" s="6">
        <v>0.68471563303800997</v>
      </c>
    </row>
    <row r="13998" spans="1:3" s="8" customFormat="1" x14ac:dyDescent="0.2">
      <c r="A13998" s="6" t="str">
        <f>"FAM225B"</f>
        <v>FAM225B</v>
      </c>
      <c r="B13998" s="6">
        <v>0.54545454545454497</v>
      </c>
      <c r="C13998" s="6">
        <v>0.68494413534762</v>
      </c>
    </row>
    <row r="13999" spans="1:3" s="8" customFormat="1" x14ac:dyDescent="0.2">
      <c r="A13999" s="6" t="str">
        <f>"AC090912.2"</f>
        <v>AC090912.2</v>
      </c>
      <c r="B13999" s="6">
        <v>0.54545454545454497</v>
      </c>
      <c r="C13999" s="6">
        <v>0.68494413534762</v>
      </c>
    </row>
    <row r="14000" spans="1:3" s="8" customFormat="1" x14ac:dyDescent="0.2">
      <c r="A14000" s="6" t="str">
        <f>"AC069234.3"</f>
        <v>AC069234.3</v>
      </c>
      <c r="B14000" s="6">
        <v>0.54545454545454497</v>
      </c>
      <c r="C14000" s="6">
        <v>0.68494413534762</v>
      </c>
    </row>
    <row r="14001" spans="1:3" s="8" customFormat="1" x14ac:dyDescent="0.2">
      <c r="A14001" s="6" t="str">
        <f>"AC121338.2"</f>
        <v>AC121338.2</v>
      </c>
      <c r="B14001" s="6">
        <v>0.54545454545454497</v>
      </c>
      <c r="C14001" s="6">
        <v>0.68494413534762</v>
      </c>
    </row>
    <row r="14002" spans="1:3" s="8" customFormat="1" x14ac:dyDescent="0.2">
      <c r="A14002" s="6" t="str">
        <f>"COL7A1"</f>
        <v>COL7A1</v>
      </c>
      <c r="B14002" s="6">
        <v>0.54545454545454497</v>
      </c>
      <c r="C14002" s="6">
        <v>0.68494413534762</v>
      </c>
    </row>
    <row r="14003" spans="1:3" s="8" customFormat="1" x14ac:dyDescent="0.2">
      <c r="A14003" s="6" t="str">
        <f>"LLGL1"</f>
        <v>LLGL1</v>
      </c>
      <c r="B14003" s="6">
        <v>0.54545454545454497</v>
      </c>
      <c r="C14003" s="6">
        <v>0.68494413534762</v>
      </c>
    </row>
    <row r="14004" spans="1:3" s="8" customFormat="1" x14ac:dyDescent="0.2">
      <c r="A14004" s="6" t="str">
        <f>"URB1"</f>
        <v>URB1</v>
      </c>
      <c r="B14004" s="6">
        <v>0.54545454545454497</v>
      </c>
      <c r="C14004" s="6">
        <v>0.68494413534762</v>
      </c>
    </row>
    <row r="14005" spans="1:3" s="8" customFormat="1" x14ac:dyDescent="0.2">
      <c r="A14005" s="6" t="str">
        <f>"CTAGE3P"</f>
        <v>CTAGE3P</v>
      </c>
      <c r="B14005" s="6">
        <v>0.54554554554554502</v>
      </c>
      <c r="C14005" s="6">
        <v>0.68500948820857399</v>
      </c>
    </row>
    <row r="14006" spans="1:3" s="8" customFormat="1" x14ac:dyDescent="0.2">
      <c r="A14006" s="6" t="str">
        <f>"AC016394.1"</f>
        <v>AC016394.1</v>
      </c>
      <c r="B14006" s="6">
        <v>0.54645354645354605</v>
      </c>
      <c r="C14006" s="6">
        <v>0.68551324540480496</v>
      </c>
    </row>
    <row r="14007" spans="1:3" s="8" customFormat="1" x14ac:dyDescent="0.2">
      <c r="A14007" s="6" t="str">
        <f>"AC011294.1"</f>
        <v>AC011294.1</v>
      </c>
      <c r="B14007" s="6">
        <v>0.54645354645354605</v>
      </c>
      <c r="C14007" s="6">
        <v>0.68551324540480496</v>
      </c>
    </row>
    <row r="14008" spans="1:3" s="8" customFormat="1" x14ac:dyDescent="0.2">
      <c r="A14008" s="6" t="str">
        <f>"AC139100.1"</f>
        <v>AC139100.1</v>
      </c>
      <c r="B14008" s="6">
        <v>0.54645354645354605</v>
      </c>
      <c r="C14008" s="6">
        <v>0.68551324540480496</v>
      </c>
    </row>
    <row r="14009" spans="1:3" s="8" customFormat="1" x14ac:dyDescent="0.2">
      <c r="A14009" s="6" t="str">
        <f>"C11orf91"</f>
        <v>C11orf91</v>
      </c>
      <c r="B14009" s="6">
        <v>0.54645354645354605</v>
      </c>
      <c r="C14009" s="6">
        <v>0.68551324540480496</v>
      </c>
    </row>
    <row r="14010" spans="1:3" s="8" customFormat="1" x14ac:dyDescent="0.2">
      <c r="A14010" s="6" t="str">
        <f>"DUXAP10"</f>
        <v>DUXAP10</v>
      </c>
      <c r="B14010" s="6">
        <v>0.54645354645354605</v>
      </c>
      <c r="C14010" s="6">
        <v>0.68551324540480496</v>
      </c>
    </row>
    <row r="14011" spans="1:3" s="8" customFormat="1" x14ac:dyDescent="0.2">
      <c r="A14011" s="6" t="str">
        <f>"IRF1-AS1"</f>
        <v>IRF1-AS1</v>
      </c>
      <c r="B14011" s="6">
        <v>0.54645354645354605</v>
      </c>
      <c r="C14011" s="6">
        <v>0.68551324540480496</v>
      </c>
    </row>
    <row r="14012" spans="1:3" s="8" customFormat="1" x14ac:dyDescent="0.2">
      <c r="A14012" s="6" t="str">
        <f>"HLA-DOA"</f>
        <v>HLA-DOA</v>
      </c>
      <c r="B14012" s="6">
        <v>0.54645354645354605</v>
      </c>
      <c r="C14012" s="6">
        <v>0.68551324540480496</v>
      </c>
    </row>
    <row r="14013" spans="1:3" s="8" customFormat="1" x14ac:dyDescent="0.2">
      <c r="A14013" s="6" t="str">
        <f>"WHAMM"</f>
        <v>WHAMM</v>
      </c>
      <c r="B14013" s="6">
        <v>0.54645354645354605</v>
      </c>
      <c r="C14013" s="6">
        <v>0.68551324540480496</v>
      </c>
    </row>
    <row r="14014" spans="1:3" s="8" customFormat="1" x14ac:dyDescent="0.2">
      <c r="A14014" s="6" t="str">
        <f>"TOR1B"</f>
        <v>TOR1B</v>
      </c>
      <c r="B14014" s="6">
        <v>0.54645354645354605</v>
      </c>
      <c r="C14014" s="6">
        <v>0.68551324540480496</v>
      </c>
    </row>
    <row r="14015" spans="1:3" s="8" customFormat="1" x14ac:dyDescent="0.2">
      <c r="A14015" s="6" t="str">
        <f>"MIGA2"</f>
        <v>MIGA2</v>
      </c>
      <c r="B14015" s="6">
        <v>0.54645354645354605</v>
      </c>
      <c r="C14015" s="6">
        <v>0.68551324540480496</v>
      </c>
    </row>
    <row r="14016" spans="1:3" s="8" customFormat="1" x14ac:dyDescent="0.2">
      <c r="A14016" s="6" t="str">
        <f>"DAXX"</f>
        <v>DAXX</v>
      </c>
      <c r="B14016" s="6">
        <v>0.54645354645354605</v>
      </c>
      <c r="C14016" s="6">
        <v>0.68551324540480496</v>
      </c>
    </row>
    <row r="14017" spans="1:3" s="8" customFormat="1" x14ac:dyDescent="0.2">
      <c r="A14017" s="6" t="str">
        <f>"PSMC2"</f>
        <v>PSMC2</v>
      </c>
      <c r="B14017" s="6">
        <v>0.54645354645354605</v>
      </c>
      <c r="C14017" s="6">
        <v>0.68551324540480496</v>
      </c>
    </row>
    <row r="14018" spans="1:3" s="8" customFormat="1" x14ac:dyDescent="0.2">
      <c r="A14018" s="6" t="str">
        <f>"PTBP1"</f>
        <v>PTBP1</v>
      </c>
      <c r="B14018" s="6">
        <v>0.54645354645354605</v>
      </c>
      <c r="C14018" s="6">
        <v>0.68551324540480496</v>
      </c>
    </row>
    <row r="14019" spans="1:3" s="8" customFormat="1" x14ac:dyDescent="0.2">
      <c r="A14019" s="6" t="str">
        <f>"Z97055.2"</f>
        <v>Z97055.2</v>
      </c>
      <c r="B14019" s="6">
        <v>0.54657113613101305</v>
      </c>
      <c r="C14019" s="6">
        <v>0.68561184603564895</v>
      </c>
    </row>
    <row r="14020" spans="1:3" s="8" customFormat="1" x14ac:dyDescent="0.2">
      <c r="A14020" s="6" t="str">
        <f>"ARFGAP3"</f>
        <v>ARFGAP3</v>
      </c>
      <c r="B14020" s="6">
        <v>0.54700000000000004</v>
      </c>
      <c r="C14020" s="6">
        <v>0.68610086311434404</v>
      </c>
    </row>
    <row r="14021" spans="1:3" s="8" customFormat="1" x14ac:dyDescent="0.2">
      <c r="A14021" s="6" t="str">
        <f>"AP002954.1"</f>
        <v>AP002954.1</v>
      </c>
      <c r="B14021" s="6">
        <v>0.54745254745254701</v>
      </c>
      <c r="C14021" s="6">
        <v>0.68617902875512105</v>
      </c>
    </row>
    <row r="14022" spans="1:3" s="8" customFormat="1" x14ac:dyDescent="0.2">
      <c r="A14022" s="6" t="str">
        <f>"DUXAP8"</f>
        <v>DUXAP8</v>
      </c>
      <c r="B14022" s="6">
        <v>0.54745254745254701</v>
      </c>
      <c r="C14022" s="6">
        <v>0.68617902875512105</v>
      </c>
    </row>
    <row r="14023" spans="1:3" s="8" customFormat="1" x14ac:dyDescent="0.2">
      <c r="A14023" s="6" t="str">
        <f>"SCAT1"</f>
        <v>SCAT1</v>
      </c>
      <c r="B14023" s="6">
        <v>0.54745254745254701</v>
      </c>
      <c r="C14023" s="6">
        <v>0.68617902875512105</v>
      </c>
    </row>
    <row r="14024" spans="1:3" s="8" customFormat="1" x14ac:dyDescent="0.2">
      <c r="A14024" s="6" t="str">
        <f>"AC021205.3"</f>
        <v>AC021205.3</v>
      </c>
      <c r="B14024" s="6">
        <v>0.54741379310344795</v>
      </c>
      <c r="C14024" s="6">
        <v>0.68617902875512105</v>
      </c>
    </row>
    <row r="14025" spans="1:3" s="8" customFormat="1" x14ac:dyDescent="0.2">
      <c r="A14025" s="6" t="str">
        <f>"AC091078.1"</f>
        <v>AC091078.1</v>
      </c>
      <c r="B14025" s="6">
        <v>0.54745254745254701</v>
      </c>
      <c r="C14025" s="6">
        <v>0.68617902875512105</v>
      </c>
    </row>
    <row r="14026" spans="1:3" s="8" customFormat="1" x14ac:dyDescent="0.2">
      <c r="A14026" s="6" t="str">
        <f>"C5orf34"</f>
        <v>C5orf34</v>
      </c>
      <c r="B14026" s="6">
        <v>0.54745254745254701</v>
      </c>
      <c r="C14026" s="6">
        <v>0.68617902875512105</v>
      </c>
    </row>
    <row r="14027" spans="1:3" s="8" customFormat="1" x14ac:dyDescent="0.2">
      <c r="A14027" s="6" t="str">
        <f>"THEM6"</f>
        <v>THEM6</v>
      </c>
      <c r="B14027" s="6">
        <v>0.54745254745254701</v>
      </c>
      <c r="C14027" s="6">
        <v>0.68617902875512105</v>
      </c>
    </row>
    <row r="14028" spans="1:3" s="8" customFormat="1" x14ac:dyDescent="0.2">
      <c r="A14028" s="6" t="str">
        <f>"COQ10B"</f>
        <v>COQ10B</v>
      </c>
      <c r="B14028" s="6">
        <v>0.54745254745254701</v>
      </c>
      <c r="C14028" s="6">
        <v>0.68617902875512105</v>
      </c>
    </row>
    <row r="14029" spans="1:3" s="8" customFormat="1" x14ac:dyDescent="0.2">
      <c r="A14029" s="6" t="str">
        <f>"USP3"</f>
        <v>USP3</v>
      </c>
      <c r="B14029" s="6">
        <v>0.54745254745254701</v>
      </c>
      <c r="C14029" s="6">
        <v>0.68617902875512105</v>
      </c>
    </row>
    <row r="14030" spans="1:3" s="8" customFormat="1" x14ac:dyDescent="0.2">
      <c r="A14030" s="6" t="str">
        <f>"U2SURP"</f>
        <v>U2SURP</v>
      </c>
      <c r="B14030" s="6">
        <v>0.54745254745254701</v>
      </c>
      <c r="C14030" s="6">
        <v>0.68617902875512105</v>
      </c>
    </row>
    <row r="14031" spans="1:3" s="8" customFormat="1" x14ac:dyDescent="0.2">
      <c r="A14031" s="6" t="str">
        <f>"UNC5A"</f>
        <v>UNC5A</v>
      </c>
      <c r="B14031" s="6">
        <v>0.54845154845154798</v>
      </c>
      <c r="C14031" s="6">
        <v>0.68708834625049997</v>
      </c>
    </row>
    <row r="14032" spans="1:3" s="8" customFormat="1" x14ac:dyDescent="0.2">
      <c r="A14032" s="6" t="str">
        <f>"PRICKLE2-DT"</f>
        <v>PRICKLE2-DT</v>
      </c>
      <c r="B14032" s="6">
        <v>0.54828973843058304</v>
      </c>
      <c r="C14032" s="6">
        <v>0.68708834625049997</v>
      </c>
    </row>
    <row r="14033" spans="1:3" s="8" customFormat="1" x14ac:dyDescent="0.2">
      <c r="A14033" s="6" t="str">
        <f>"KCNMB1"</f>
        <v>KCNMB1</v>
      </c>
      <c r="B14033" s="6">
        <v>0.54845154845154798</v>
      </c>
      <c r="C14033" s="6">
        <v>0.68708834625049997</v>
      </c>
    </row>
    <row r="14034" spans="1:3" s="8" customFormat="1" x14ac:dyDescent="0.2">
      <c r="A14034" s="6" t="str">
        <f>"NMB"</f>
        <v>NMB</v>
      </c>
      <c r="B14034" s="6">
        <v>0.54845154845154798</v>
      </c>
      <c r="C14034" s="6">
        <v>0.68708834625049997</v>
      </c>
    </row>
    <row r="14035" spans="1:3" s="8" customFormat="1" x14ac:dyDescent="0.2">
      <c r="A14035" s="6" t="str">
        <f>"DDX10"</f>
        <v>DDX10</v>
      </c>
      <c r="B14035" s="6">
        <v>0.54845154845154798</v>
      </c>
      <c r="C14035" s="6">
        <v>0.68708834625049997</v>
      </c>
    </row>
    <row r="14036" spans="1:3" s="8" customFormat="1" x14ac:dyDescent="0.2">
      <c r="A14036" s="6" t="str">
        <f>"SPSB3"</f>
        <v>SPSB3</v>
      </c>
      <c r="B14036" s="6">
        <v>0.54845154845154798</v>
      </c>
      <c r="C14036" s="6">
        <v>0.68708834625049997</v>
      </c>
    </row>
    <row r="14037" spans="1:3" s="8" customFormat="1" x14ac:dyDescent="0.2">
      <c r="A14037" s="6" t="str">
        <f>"HDGFL2"</f>
        <v>HDGFL2</v>
      </c>
      <c r="B14037" s="6">
        <v>0.54845154845154798</v>
      </c>
      <c r="C14037" s="6">
        <v>0.68708834625049997</v>
      </c>
    </row>
    <row r="14038" spans="1:3" s="8" customFormat="1" x14ac:dyDescent="0.2">
      <c r="A14038" s="6" t="str">
        <f>"LINC00612"</f>
        <v>LINC00612</v>
      </c>
      <c r="B14038" s="6">
        <v>0.54854854854854795</v>
      </c>
      <c r="C14038" s="6">
        <v>0.68716090886070202</v>
      </c>
    </row>
    <row r="14039" spans="1:3" s="8" customFormat="1" x14ac:dyDescent="0.2">
      <c r="A14039" s="6" t="str">
        <f>"AC096645.1"</f>
        <v>AC096645.1</v>
      </c>
      <c r="B14039" s="6">
        <v>0.548879837067209</v>
      </c>
      <c r="C14039" s="6">
        <v>0.68752693082987704</v>
      </c>
    </row>
    <row r="14040" spans="1:3" s="8" customFormat="1" x14ac:dyDescent="0.2">
      <c r="A14040" s="6" t="str">
        <f>"AC010201.2"</f>
        <v>AC010201.2</v>
      </c>
      <c r="B14040" s="6">
        <v>0.54909819639278501</v>
      </c>
      <c r="C14040" s="6">
        <v>0.68755611027173802</v>
      </c>
    </row>
    <row r="14041" spans="1:3" s="8" customFormat="1" x14ac:dyDescent="0.2">
      <c r="A14041" s="6" t="str">
        <f>"AC005086.2"</f>
        <v>AC005086.2</v>
      </c>
      <c r="B14041" s="6">
        <v>0.54909819639278501</v>
      </c>
      <c r="C14041" s="6">
        <v>0.68755611027173802</v>
      </c>
    </row>
    <row r="14042" spans="1:3" s="8" customFormat="1" x14ac:dyDescent="0.2">
      <c r="A14042" s="6" t="str">
        <f>"AC103746.1"</f>
        <v>AC103746.1</v>
      </c>
      <c r="B14042" s="6">
        <v>0.54945054945054905</v>
      </c>
      <c r="C14042" s="6">
        <v>0.68755611027173802</v>
      </c>
    </row>
    <row r="14043" spans="1:3" s="8" customFormat="1" x14ac:dyDescent="0.2">
      <c r="A14043" s="6" t="str">
        <f>"AC008758.4"</f>
        <v>AC008758.4</v>
      </c>
      <c r="B14043" s="6">
        <v>0.54900000000000004</v>
      </c>
      <c r="C14043" s="6">
        <v>0.68755611027173802</v>
      </c>
    </row>
    <row r="14044" spans="1:3" s="8" customFormat="1" x14ac:dyDescent="0.2">
      <c r="A14044" s="6" t="str">
        <f>"AC234582.1"</f>
        <v>AC234582.1</v>
      </c>
      <c r="B14044" s="6">
        <v>0.54945054945054905</v>
      </c>
      <c r="C14044" s="6">
        <v>0.68755611027173802</v>
      </c>
    </row>
    <row r="14045" spans="1:3" s="8" customFormat="1" x14ac:dyDescent="0.2">
      <c r="A14045" s="6" t="str">
        <f>"ZNF366"</f>
        <v>ZNF366</v>
      </c>
      <c r="B14045" s="6">
        <v>0.54945054945054905</v>
      </c>
      <c r="C14045" s="6">
        <v>0.68755611027173802</v>
      </c>
    </row>
    <row r="14046" spans="1:3" s="8" customFormat="1" x14ac:dyDescent="0.2">
      <c r="A14046" s="6" t="str">
        <f>"C1orf54"</f>
        <v>C1orf54</v>
      </c>
      <c r="B14046" s="6">
        <v>0.54945054945054905</v>
      </c>
      <c r="C14046" s="6">
        <v>0.68755611027173802</v>
      </c>
    </row>
    <row r="14047" spans="1:3" s="8" customFormat="1" x14ac:dyDescent="0.2">
      <c r="A14047" s="6" t="str">
        <f>"WDR89"</f>
        <v>WDR89</v>
      </c>
      <c r="B14047" s="6">
        <v>0.54945054945054905</v>
      </c>
      <c r="C14047" s="6">
        <v>0.68755611027173802</v>
      </c>
    </row>
    <row r="14048" spans="1:3" s="8" customFormat="1" x14ac:dyDescent="0.2">
      <c r="A14048" s="6" t="str">
        <f>"ACVR2A"</f>
        <v>ACVR2A</v>
      </c>
      <c r="B14048" s="6">
        <v>0.54945054945054905</v>
      </c>
      <c r="C14048" s="6">
        <v>0.68755611027173802</v>
      </c>
    </row>
    <row r="14049" spans="1:3" s="8" customFormat="1" x14ac:dyDescent="0.2">
      <c r="A14049" s="6" t="str">
        <f>"PDIA5"</f>
        <v>PDIA5</v>
      </c>
      <c r="B14049" s="6">
        <v>0.54945054945054905</v>
      </c>
      <c r="C14049" s="6">
        <v>0.68755611027173802</v>
      </c>
    </row>
    <row r="14050" spans="1:3" s="8" customFormat="1" x14ac:dyDescent="0.2">
      <c r="A14050" s="6" t="str">
        <f>"ANXA8"</f>
        <v>ANXA8</v>
      </c>
      <c r="B14050" s="6">
        <v>0.54945054945054905</v>
      </c>
      <c r="C14050" s="6">
        <v>0.68755611027173802</v>
      </c>
    </row>
    <row r="14051" spans="1:3" s="8" customFormat="1" x14ac:dyDescent="0.2">
      <c r="A14051" s="6" t="str">
        <f>"MRPL30"</f>
        <v>MRPL30</v>
      </c>
      <c r="B14051" s="6">
        <v>0.54945054945054905</v>
      </c>
      <c r="C14051" s="6">
        <v>0.68755611027173802</v>
      </c>
    </row>
    <row r="14052" spans="1:3" s="8" customFormat="1" x14ac:dyDescent="0.2">
      <c r="A14052" s="6" t="str">
        <f>"SPCS2"</f>
        <v>SPCS2</v>
      </c>
      <c r="B14052" s="6">
        <v>0.54945054945054905</v>
      </c>
      <c r="C14052" s="6">
        <v>0.68755611027173802</v>
      </c>
    </row>
    <row r="14053" spans="1:3" s="8" customFormat="1" x14ac:dyDescent="0.2">
      <c r="A14053" s="6" t="str">
        <f>"EID1"</f>
        <v>EID1</v>
      </c>
      <c r="B14053" s="6">
        <v>0.54945054945054905</v>
      </c>
      <c r="C14053" s="6">
        <v>0.68755611027173802</v>
      </c>
    </row>
    <row r="14054" spans="1:3" s="8" customFormat="1" x14ac:dyDescent="0.2">
      <c r="A14054" s="6" t="str">
        <f>"LINC01250"</f>
        <v>LINC01250</v>
      </c>
      <c r="B14054" s="6">
        <v>0.55000000000000004</v>
      </c>
      <c r="C14054" s="6">
        <v>0.68819469152494095</v>
      </c>
    </row>
    <row r="14055" spans="1:3" s="8" customFormat="1" x14ac:dyDescent="0.2">
      <c r="A14055" s="6" t="str">
        <f>"AP001781.2"</f>
        <v>AP001781.2</v>
      </c>
      <c r="B14055" s="6">
        <v>0.55044955044955002</v>
      </c>
      <c r="C14055" s="6">
        <v>0.68846325450635804</v>
      </c>
    </row>
    <row r="14056" spans="1:3" s="8" customFormat="1" x14ac:dyDescent="0.2">
      <c r="A14056" s="6" t="str">
        <f>"TMED2-DT"</f>
        <v>TMED2-DT</v>
      </c>
      <c r="B14056" s="6">
        <v>0.55044955044955002</v>
      </c>
      <c r="C14056" s="6">
        <v>0.68846325450635804</v>
      </c>
    </row>
    <row r="14057" spans="1:3" s="8" customFormat="1" x14ac:dyDescent="0.2">
      <c r="A14057" s="6" t="str">
        <f>"MARCHF4"</f>
        <v>MARCHF4</v>
      </c>
      <c r="B14057" s="6">
        <v>0.55044955044955002</v>
      </c>
      <c r="C14057" s="6">
        <v>0.68846325450635804</v>
      </c>
    </row>
    <row r="14058" spans="1:3" s="8" customFormat="1" x14ac:dyDescent="0.2">
      <c r="A14058" s="6" t="str">
        <f>"RGS4"</f>
        <v>RGS4</v>
      </c>
      <c r="B14058" s="6">
        <v>0.55044955044955002</v>
      </c>
      <c r="C14058" s="6">
        <v>0.68846325450635804</v>
      </c>
    </row>
    <row r="14059" spans="1:3" s="8" customFormat="1" x14ac:dyDescent="0.2">
      <c r="A14059" s="6" t="str">
        <f>"GTF2H5"</f>
        <v>GTF2H5</v>
      </c>
      <c r="B14059" s="6">
        <v>0.55044955044955002</v>
      </c>
      <c r="C14059" s="6">
        <v>0.68846325450635804</v>
      </c>
    </row>
    <row r="14060" spans="1:3" s="8" customFormat="1" x14ac:dyDescent="0.2">
      <c r="A14060" s="6" t="str">
        <f>"ACADS"</f>
        <v>ACADS</v>
      </c>
      <c r="B14060" s="6">
        <v>0.55044955044955002</v>
      </c>
      <c r="C14060" s="6">
        <v>0.68846325450635804</v>
      </c>
    </row>
    <row r="14061" spans="1:3" s="8" customFormat="1" x14ac:dyDescent="0.2">
      <c r="A14061" s="6" t="str">
        <f>"AC090577.1"</f>
        <v>AC090577.1</v>
      </c>
      <c r="B14061" s="6">
        <v>0.55100000000000005</v>
      </c>
      <c r="C14061" s="6">
        <v>0.68910270270270202</v>
      </c>
    </row>
    <row r="14062" spans="1:3" s="8" customFormat="1" x14ac:dyDescent="0.2">
      <c r="A14062" s="6" t="str">
        <f>"AL139287.1"</f>
        <v>AL139287.1</v>
      </c>
      <c r="B14062" s="6">
        <v>0.55144855144855098</v>
      </c>
      <c r="C14062" s="6">
        <v>0.68946752905797204</v>
      </c>
    </row>
    <row r="14063" spans="1:3" s="8" customFormat="1" x14ac:dyDescent="0.2">
      <c r="A14063" s="6" t="str">
        <f>"ATP6V1G2-DDX39B"</f>
        <v>ATP6V1G2-DDX39B</v>
      </c>
      <c r="B14063" s="6">
        <v>0.55144855144855098</v>
      </c>
      <c r="C14063" s="6">
        <v>0.68946752905797204</v>
      </c>
    </row>
    <row r="14064" spans="1:3" s="8" customFormat="1" x14ac:dyDescent="0.2">
      <c r="A14064" s="6" t="str">
        <f>"AL590399.1"</f>
        <v>AL590399.1</v>
      </c>
      <c r="B14064" s="6">
        <v>0.55144855144855098</v>
      </c>
      <c r="C14064" s="6">
        <v>0.68946752905797204</v>
      </c>
    </row>
    <row r="14065" spans="1:3" s="8" customFormat="1" x14ac:dyDescent="0.2">
      <c r="A14065" s="6" t="str">
        <f>"ELK4"</f>
        <v>ELK4</v>
      </c>
      <c r="B14065" s="6">
        <v>0.55144855144855098</v>
      </c>
      <c r="C14065" s="6">
        <v>0.68946752905797204</v>
      </c>
    </row>
    <row r="14066" spans="1:3" s="8" customFormat="1" x14ac:dyDescent="0.2">
      <c r="A14066" s="6" t="str">
        <f>"AC008581.2"</f>
        <v>AC008581.2</v>
      </c>
      <c r="B14066" s="6">
        <v>0.551551551551551</v>
      </c>
      <c r="C14066" s="6">
        <v>0.68954727923800097</v>
      </c>
    </row>
    <row r="14067" spans="1:3" s="8" customFormat="1" x14ac:dyDescent="0.2">
      <c r="A14067" s="6" t="str">
        <f>"MMP16"</f>
        <v>MMP16</v>
      </c>
      <c r="B14067" s="6">
        <v>0.55244755244755195</v>
      </c>
      <c r="C14067" s="6">
        <v>0.68988266190169401</v>
      </c>
    </row>
    <row r="14068" spans="1:3" s="8" customFormat="1" x14ac:dyDescent="0.2">
      <c r="A14068" s="6" t="str">
        <f>"RPS2P17"</f>
        <v>RPS2P17</v>
      </c>
      <c r="B14068" s="6">
        <v>0.55190677966101698</v>
      </c>
      <c r="C14068" s="6">
        <v>0.68988266190169401</v>
      </c>
    </row>
    <row r="14069" spans="1:3" s="8" customFormat="1" x14ac:dyDescent="0.2">
      <c r="A14069" s="6" t="str">
        <f>"AC007000.1"</f>
        <v>AC007000.1</v>
      </c>
      <c r="B14069" s="6">
        <v>0.55196770938446005</v>
      </c>
      <c r="C14069" s="6">
        <v>0.68988266190169401</v>
      </c>
    </row>
    <row r="14070" spans="1:3" s="8" customFormat="1" x14ac:dyDescent="0.2">
      <c r="A14070" s="6" t="str">
        <f>"PCDHB8"</f>
        <v>PCDHB8</v>
      </c>
      <c r="B14070" s="6">
        <v>0.55244755244755195</v>
      </c>
      <c r="C14070" s="6">
        <v>0.68988266190169401</v>
      </c>
    </row>
    <row r="14071" spans="1:3" s="8" customFormat="1" x14ac:dyDescent="0.2">
      <c r="A14071" s="6" t="str">
        <f>"AC008738.7"</f>
        <v>AC008738.7</v>
      </c>
      <c r="B14071" s="6">
        <v>0.55244755244755195</v>
      </c>
      <c r="C14071" s="6">
        <v>0.68988266190169401</v>
      </c>
    </row>
    <row r="14072" spans="1:3" s="8" customFormat="1" x14ac:dyDescent="0.2">
      <c r="A14072" s="6" t="str">
        <f>"AL139384.1"</f>
        <v>AL139384.1</v>
      </c>
      <c r="B14072" s="6">
        <v>0.55244755244755195</v>
      </c>
      <c r="C14072" s="6">
        <v>0.68988266190169401</v>
      </c>
    </row>
    <row r="14073" spans="1:3" s="8" customFormat="1" x14ac:dyDescent="0.2">
      <c r="A14073" s="6" t="str">
        <f>"C16orf86"</f>
        <v>C16orf86</v>
      </c>
      <c r="B14073" s="6">
        <v>0.55244755244755195</v>
      </c>
      <c r="C14073" s="6">
        <v>0.68988266190169401</v>
      </c>
    </row>
    <row r="14074" spans="1:3" s="8" customFormat="1" x14ac:dyDescent="0.2">
      <c r="A14074" s="6" t="str">
        <f>"KIFC1"</f>
        <v>KIFC1</v>
      </c>
      <c r="B14074" s="6">
        <v>0.55244755244755195</v>
      </c>
      <c r="C14074" s="6">
        <v>0.68988266190169401</v>
      </c>
    </row>
    <row r="14075" spans="1:3" s="8" customFormat="1" x14ac:dyDescent="0.2">
      <c r="A14075" s="6" t="str">
        <f>"LINC02577"</f>
        <v>LINC02577</v>
      </c>
      <c r="B14075" s="6">
        <v>0.55244755244755195</v>
      </c>
      <c r="C14075" s="6">
        <v>0.68988266190169401</v>
      </c>
    </row>
    <row r="14076" spans="1:3" s="8" customFormat="1" x14ac:dyDescent="0.2">
      <c r="A14076" s="6" t="str">
        <f>"PIGB"</f>
        <v>PIGB</v>
      </c>
      <c r="B14076" s="6">
        <v>0.55244755244755195</v>
      </c>
      <c r="C14076" s="6">
        <v>0.68988266190169401</v>
      </c>
    </row>
    <row r="14077" spans="1:3" s="8" customFormat="1" x14ac:dyDescent="0.2">
      <c r="A14077" s="6" t="str">
        <f>"SLC25A25-AS1"</f>
        <v>SLC25A25-AS1</v>
      </c>
      <c r="B14077" s="6">
        <v>0.55244755244755195</v>
      </c>
      <c r="C14077" s="6">
        <v>0.68988266190169401</v>
      </c>
    </row>
    <row r="14078" spans="1:3" s="8" customFormat="1" x14ac:dyDescent="0.2">
      <c r="A14078" s="6" t="str">
        <f>"PIGV"</f>
        <v>PIGV</v>
      </c>
      <c r="B14078" s="6">
        <v>0.55244755244755195</v>
      </c>
      <c r="C14078" s="6">
        <v>0.68988266190169401</v>
      </c>
    </row>
    <row r="14079" spans="1:3" s="8" customFormat="1" x14ac:dyDescent="0.2">
      <c r="A14079" s="6" t="str">
        <f>"MICALL2"</f>
        <v>MICALL2</v>
      </c>
      <c r="B14079" s="6">
        <v>0.55244755244755195</v>
      </c>
      <c r="C14079" s="6">
        <v>0.68988266190169401</v>
      </c>
    </row>
    <row r="14080" spans="1:3" s="8" customFormat="1" x14ac:dyDescent="0.2">
      <c r="A14080" s="6" t="str">
        <f>"DUSP14"</f>
        <v>DUSP14</v>
      </c>
      <c r="B14080" s="6">
        <v>0.55244755244755195</v>
      </c>
      <c r="C14080" s="6">
        <v>0.68988266190169401</v>
      </c>
    </row>
    <row r="14081" spans="1:3" s="8" customFormat="1" x14ac:dyDescent="0.2">
      <c r="A14081" s="6" t="str">
        <f>"SLC7A1"</f>
        <v>SLC7A1</v>
      </c>
      <c r="B14081" s="6">
        <v>0.55244755244755195</v>
      </c>
      <c r="C14081" s="6">
        <v>0.68988266190169401</v>
      </c>
    </row>
    <row r="14082" spans="1:3" s="8" customFormat="1" x14ac:dyDescent="0.2">
      <c r="A14082" s="6" t="str">
        <f>"AKAP9"</f>
        <v>AKAP9</v>
      </c>
      <c r="B14082" s="6">
        <v>0.55244755244755195</v>
      </c>
      <c r="C14082" s="6">
        <v>0.68988266190169401</v>
      </c>
    </row>
    <row r="14083" spans="1:3" s="8" customFormat="1" x14ac:dyDescent="0.2">
      <c r="A14083" s="6" t="str">
        <f>"AC026979.4"</f>
        <v>AC026979.4</v>
      </c>
      <c r="B14083" s="6">
        <v>0.55255255255255198</v>
      </c>
      <c r="C14083" s="6">
        <v>0.68996478370146797</v>
      </c>
    </row>
    <row r="14084" spans="1:3" s="8" customFormat="1" x14ac:dyDescent="0.2">
      <c r="A14084" s="6" t="str">
        <f>"AC005606.2"</f>
        <v>AC005606.2</v>
      </c>
      <c r="B14084" s="6">
        <v>0.55300000000000005</v>
      </c>
      <c r="C14084" s="6">
        <v>0.690425447316103</v>
      </c>
    </row>
    <row r="14085" spans="1:3" s="8" customFormat="1" x14ac:dyDescent="0.2">
      <c r="A14085" s="6" t="str">
        <f>"KIF19"</f>
        <v>KIF19</v>
      </c>
      <c r="B14085" s="6">
        <v>0.55300000000000005</v>
      </c>
      <c r="C14085" s="6">
        <v>0.690425447316103</v>
      </c>
    </row>
    <row r="14086" spans="1:3" s="8" customFormat="1" x14ac:dyDescent="0.2">
      <c r="A14086" s="6" t="str">
        <f>"GOLGA8K"</f>
        <v>GOLGA8K</v>
      </c>
      <c r="B14086" s="6">
        <v>0.55344655344655302</v>
      </c>
      <c r="C14086" s="6">
        <v>0.69059070364775699</v>
      </c>
    </row>
    <row r="14087" spans="1:3" s="8" customFormat="1" x14ac:dyDescent="0.2">
      <c r="A14087" s="6" t="str">
        <f>"LINC02495"</f>
        <v>LINC02495</v>
      </c>
      <c r="B14087" s="6">
        <v>0.55344655344655302</v>
      </c>
      <c r="C14087" s="6">
        <v>0.69059070364775699</v>
      </c>
    </row>
    <row r="14088" spans="1:3" s="8" customFormat="1" x14ac:dyDescent="0.2">
      <c r="A14088" s="6" t="str">
        <f>"PLPPR1"</f>
        <v>PLPPR1</v>
      </c>
      <c r="B14088" s="6">
        <v>0.55344655344655302</v>
      </c>
      <c r="C14088" s="6">
        <v>0.69059070364775699</v>
      </c>
    </row>
    <row r="14089" spans="1:3" s="8" customFormat="1" x14ac:dyDescent="0.2">
      <c r="A14089" s="6" t="str">
        <f>"UBASH3A"</f>
        <v>UBASH3A</v>
      </c>
      <c r="B14089" s="6">
        <v>0.55344655344655302</v>
      </c>
      <c r="C14089" s="6">
        <v>0.69059070364775699</v>
      </c>
    </row>
    <row r="14090" spans="1:3" s="8" customFormat="1" x14ac:dyDescent="0.2">
      <c r="A14090" s="6" t="str">
        <f>"ZNF790-AS1"</f>
        <v>ZNF790-AS1</v>
      </c>
      <c r="B14090" s="6">
        <v>0.55344655344655302</v>
      </c>
      <c r="C14090" s="6">
        <v>0.69059070364775699</v>
      </c>
    </row>
    <row r="14091" spans="1:3" s="8" customFormat="1" x14ac:dyDescent="0.2">
      <c r="A14091" s="6" t="str">
        <f>"PRR29-AS1"</f>
        <v>PRR29-AS1</v>
      </c>
      <c r="B14091" s="6">
        <v>0.55344655344655302</v>
      </c>
      <c r="C14091" s="6">
        <v>0.69059070364775699</v>
      </c>
    </row>
    <row r="14092" spans="1:3" s="8" customFormat="1" x14ac:dyDescent="0.2">
      <c r="A14092" s="6" t="str">
        <f>"RHOBTB1"</f>
        <v>RHOBTB1</v>
      </c>
      <c r="B14092" s="6">
        <v>0.55344655344655302</v>
      </c>
      <c r="C14092" s="6">
        <v>0.69059070364775699</v>
      </c>
    </row>
    <row r="14093" spans="1:3" s="8" customFormat="1" x14ac:dyDescent="0.2">
      <c r="A14093" s="6" t="str">
        <f>"BCAS4"</f>
        <v>BCAS4</v>
      </c>
      <c r="B14093" s="6">
        <v>0.55344655344655302</v>
      </c>
      <c r="C14093" s="6">
        <v>0.69059070364775699</v>
      </c>
    </row>
    <row r="14094" spans="1:3" s="8" customFormat="1" x14ac:dyDescent="0.2">
      <c r="A14094" s="6" t="str">
        <f>"THORLNC"</f>
        <v>THORLNC</v>
      </c>
      <c r="B14094" s="6">
        <v>0.55376884422110495</v>
      </c>
      <c r="C14094" s="6">
        <v>0.69094382720385406</v>
      </c>
    </row>
    <row r="14095" spans="1:3" s="8" customFormat="1" x14ac:dyDescent="0.2">
      <c r="A14095" s="6" t="str">
        <f>"VPS33B-DT"</f>
        <v>VPS33B-DT</v>
      </c>
      <c r="B14095" s="6">
        <v>0.55400000000000005</v>
      </c>
      <c r="C14095" s="6">
        <v>0.69118319852419396</v>
      </c>
    </row>
    <row r="14096" spans="1:3" s="8" customFormat="1" x14ac:dyDescent="0.2">
      <c r="A14096" s="6" t="str">
        <f>"TSPAN32"</f>
        <v>TSPAN32</v>
      </c>
      <c r="B14096" s="6">
        <v>0.55444555444555399</v>
      </c>
      <c r="C14096" s="6">
        <v>0.69149376759845504</v>
      </c>
    </row>
    <row r="14097" spans="1:3" s="8" customFormat="1" x14ac:dyDescent="0.2">
      <c r="A14097" s="6" t="str">
        <f>"PCDHA12"</f>
        <v>PCDHA12</v>
      </c>
      <c r="B14097" s="6">
        <v>0.55444555444555399</v>
      </c>
      <c r="C14097" s="6">
        <v>0.69149376759845504</v>
      </c>
    </row>
    <row r="14098" spans="1:3" s="8" customFormat="1" x14ac:dyDescent="0.2">
      <c r="A14098" s="6" t="str">
        <f>"LINC02542"</f>
        <v>LINC02542</v>
      </c>
      <c r="B14098" s="6">
        <v>0.55444555444555399</v>
      </c>
      <c r="C14098" s="6">
        <v>0.69149376759845504</v>
      </c>
    </row>
    <row r="14099" spans="1:3" s="8" customFormat="1" x14ac:dyDescent="0.2">
      <c r="A14099" s="6" t="str">
        <f>"AC138356.2"</f>
        <v>AC138356.2</v>
      </c>
      <c r="B14099" s="6">
        <v>0.55444555444555399</v>
      </c>
      <c r="C14099" s="6">
        <v>0.69149376759845504</v>
      </c>
    </row>
    <row r="14100" spans="1:3" s="8" customFormat="1" x14ac:dyDescent="0.2">
      <c r="A14100" s="6" t="str">
        <f>"CSNK2A2"</f>
        <v>CSNK2A2</v>
      </c>
      <c r="B14100" s="6">
        <v>0.55444555444555399</v>
      </c>
      <c r="C14100" s="6">
        <v>0.69149376759845504</v>
      </c>
    </row>
    <row r="14101" spans="1:3" s="8" customFormat="1" x14ac:dyDescent="0.2">
      <c r="A14101" s="6" t="str">
        <f>"NRXN1"</f>
        <v>NRXN1</v>
      </c>
      <c r="B14101" s="6">
        <v>0.55500000000000005</v>
      </c>
      <c r="C14101" s="6">
        <v>0.69213617021276597</v>
      </c>
    </row>
    <row r="14102" spans="1:3" s="8" customFormat="1" x14ac:dyDescent="0.2">
      <c r="A14102" s="6" t="str">
        <f>"AC135178.3"</f>
        <v>AC135178.3</v>
      </c>
      <c r="B14102" s="6">
        <v>0.55511022044088099</v>
      </c>
      <c r="C14102" s="6">
        <v>0.692224531326321</v>
      </c>
    </row>
    <row r="14103" spans="1:3" s="8" customFormat="1" x14ac:dyDescent="0.2">
      <c r="A14103" s="6" t="str">
        <f>"RBP5"</f>
        <v>RBP5</v>
      </c>
      <c r="B14103" s="6">
        <v>0.55544455544455495</v>
      </c>
      <c r="C14103" s="6">
        <v>0.69234685354342196</v>
      </c>
    </row>
    <row r="14104" spans="1:3" s="8" customFormat="1" x14ac:dyDescent="0.2">
      <c r="A14104" s="6" t="str">
        <f>"AC007036.5"</f>
        <v>AC007036.5</v>
      </c>
      <c r="B14104" s="6">
        <v>0.55544455544455495</v>
      </c>
      <c r="C14104" s="6">
        <v>0.69234685354342196</v>
      </c>
    </row>
    <row r="14105" spans="1:3" s="8" customFormat="1" x14ac:dyDescent="0.2">
      <c r="A14105" s="6" t="str">
        <f>"SLC6A10P"</f>
        <v>SLC6A10P</v>
      </c>
      <c r="B14105" s="6">
        <v>0.55544455544455495</v>
      </c>
      <c r="C14105" s="6">
        <v>0.69234685354342196</v>
      </c>
    </row>
    <row r="14106" spans="1:3" s="8" customFormat="1" x14ac:dyDescent="0.2">
      <c r="A14106" s="6" t="str">
        <f>"DBF4"</f>
        <v>DBF4</v>
      </c>
      <c r="B14106" s="6">
        <v>0.55544455544455495</v>
      </c>
      <c r="C14106" s="6">
        <v>0.69234685354342196</v>
      </c>
    </row>
    <row r="14107" spans="1:3" s="8" customFormat="1" x14ac:dyDescent="0.2">
      <c r="A14107" s="6" t="str">
        <f>"NUBP2"</f>
        <v>NUBP2</v>
      </c>
      <c r="B14107" s="6">
        <v>0.55544455544455495</v>
      </c>
      <c r="C14107" s="6">
        <v>0.69234685354342196</v>
      </c>
    </row>
    <row r="14108" spans="1:3" s="8" customFormat="1" x14ac:dyDescent="0.2">
      <c r="A14108" s="6" t="str">
        <f>"YWHAH"</f>
        <v>YWHAH</v>
      </c>
      <c r="B14108" s="6">
        <v>0.55544455544455495</v>
      </c>
      <c r="C14108" s="6">
        <v>0.69234685354342196</v>
      </c>
    </row>
    <row r="14109" spans="1:3" s="8" customFormat="1" x14ac:dyDescent="0.2">
      <c r="A14109" s="6" t="str">
        <f>"POM121L9P"</f>
        <v>POM121L9P</v>
      </c>
      <c r="B14109" s="6">
        <v>0.55644355644355603</v>
      </c>
      <c r="C14109" s="6">
        <v>0.69310076478738303</v>
      </c>
    </row>
    <row r="14110" spans="1:3" s="8" customFormat="1" x14ac:dyDescent="0.2">
      <c r="A14110" s="6" t="str">
        <f>"PARP11"</f>
        <v>PARP11</v>
      </c>
      <c r="B14110" s="6">
        <v>0.55644355644355603</v>
      </c>
      <c r="C14110" s="6">
        <v>0.69310076478738303</v>
      </c>
    </row>
    <row r="14111" spans="1:3" s="8" customFormat="1" x14ac:dyDescent="0.2">
      <c r="A14111" s="6" t="str">
        <f>"ANXA8L1"</f>
        <v>ANXA8L1</v>
      </c>
      <c r="B14111" s="6">
        <v>0.55644355644355603</v>
      </c>
      <c r="C14111" s="6">
        <v>0.69310076478738303</v>
      </c>
    </row>
    <row r="14112" spans="1:3" s="8" customFormat="1" x14ac:dyDescent="0.2">
      <c r="A14112" s="6" t="str">
        <f>"DRAM1"</f>
        <v>DRAM1</v>
      </c>
      <c r="B14112" s="6">
        <v>0.55644355644355603</v>
      </c>
      <c r="C14112" s="6">
        <v>0.69310076478738303</v>
      </c>
    </row>
    <row r="14113" spans="1:3" s="8" customFormat="1" x14ac:dyDescent="0.2">
      <c r="A14113" s="6" t="str">
        <f>"CENPS"</f>
        <v>CENPS</v>
      </c>
      <c r="B14113" s="6">
        <v>0.55644355644355603</v>
      </c>
      <c r="C14113" s="6">
        <v>0.69310076478738303</v>
      </c>
    </row>
    <row r="14114" spans="1:3" s="8" customFormat="1" x14ac:dyDescent="0.2">
      <c r="A14114" s="6" t="str">
        <f>"HPS3"</f>
        <v>HPS3</v>
      </c>
      <c r="B14114" s="6">
        <v>0.55644355644355603</v>
      </c>
      <c r="C14114" s="6">
        <v>0.69310076478738303</v>
      </c>
    </row>
    <row r="14115" spans="1:3" s="8" customFormat="1" x14ac:dyDescent="0.2">
      <c r="A14115" s="6" t="str">
        <f>"SCAMP3"</f>
        <v>SCAMP3</v>
      </c>
      <c r="B14115" s="6">
        <v>0.55644355644355603</v>
      </c>
      <c r="C14115" s="6">
        <v>0.69310076478738303</v>
      </c>
    </row>
    <row r="14116" spans="1:3" s="8" customFormat="1" x14ac:dyDescent="0.2">
      <c r="A14116" s="6" t="str">
        <f>"CDC34"</f>
        <v>CDC34</v>
      </c>
      <c r="B14116" s="6">
        <v>0.55644355644355603</v>
      </c>
      <c r="C14116" s="6">
        <v>0.69310076478738303</v>
      </c>
    </row>
    <row r="14117" spans="1:3" s="8" customFormat="1" x14ac:dyDescent="0.2">
      <c r="A14117" s="6" t="str">
        <f>"MAVS"</f>
        <v>MAVS</v>
      </c>
      <c r="B14117" s="6">
        <v>0.55644355644355603</v>
      </c>
      <c r="C14117" s="6">
        <v>0.69310076478738303</v>
      </c>
    </row>
    <row r="14118" spans="1:3" s="8" customFormat="1" x14ac:dyDescent="0.2">
      <c r="A14118" s="6" t="str">
        <f>"NACA"</f>
        <v>NACA</v>
      </c>
      <c r="B14118" s="6">
        <v>0.55644355644355603</v>
      </c>
      <c r="C14118" s="6">
        <v>0.69310076478738303</v>
      </c>
    </row>
    <row r="14119" spans="1:3" s="8" customFormat="1" x14ac:dyDescent="0.2">
      <c r="A14119" s="6" t="str">
        <f>"AC005041.5"</f>
        <v>AC005041.5</v>
      </c>
      <c r="B14119" s="6">
        <v>0.55678391959798901</v>
      </c>
      <c r="C14119" s="6">
        <v>0.69347559443342199</v>
      </c>
    </row>
    <row r="14120" spans="1:3" s="8" customFormat="1" x14ac:dyDescent="0.2">
      <c r="A14120" s="6" t="str">
        <f>"AL161669.3"</f>
        <v>AL161669.3</v>
      </c>
      <c r="B14120" s="6">
        <v>0.55734406438631701</v>
      </c>
      <c r="C14120" s="6">
        <v>0.69380449674900402</v>
      </c>
    </row>
    <row r="14121" spans="1:3" s="8" customFormat="1" x14ac:dyDescent="0.2">
      <c r="A14121" s="6" t="str">
        <f>"TMEM240"</f>
        <v>TMEM240</v>
      </c>
      <c r="B14121" s="6">
        <v>0.55712841253791701</v>
      </c>
      <c r="C14121" s="6">
        <v>0.69380449674900402</v>
      </c>
    </row>
    <row r="14122" spans="1:3" s="8" customFormat="1" x14ac:dyDescent="0.2">
      <c r="A14122" s="6" t="str">
        <f>"CLEC18C"</f>
        <v>CLEC18C</v>
      </c>
      <c r="B14122" s="6">
        <v>0.557442557442557</v>
      </c>
      <c r="C14122" s="6">
        <v>0.69380449674900402</v>
      </c>
    </row>
    <row r="14123" spans="1:3" s="8" customFormat="1" x14ac:dyDescent="0.2">
      <c r="A14123" s="6" t="str">
        <f>"AP002364.1"</f>
        <v>AP002364.1</v>
      </c>
      <c r="B14123" s="6">
        <v>0.557442557442557</v>
      </c>
      <c r="C14123" s="6">
        <v>0.69380449674900402</v>
      </c>
    </row>
    <row r="14124" spans="1:3" s="8" customFormat="1" x14ac:dyDescent="0.2">
      <c r="A14124" s="6" t="str">
        <f>"RND2"</f>
        <v>RND2</v>
      </c>
      <c r="B14124" s="6">
        <v>0.557442557442557</v>
      </c>
      <c r="C14124" s="6">
        <v>0.69380449674900402</v>
      </c>
    </row>
    <row r="14125" spans="1:3" s="8" customFormat="1" x14ac:dyDescent="0.2">
      <c r="A14125" s="6" t="str">
        <f>"TCOF1"</f>
        <v>TCOF1</v>
      </c>
      <c r="B14125" s="6">
        <v>0.557442557442557</v>
      </c>
      <c r="C14125" s="6">
        <v>0.69380449674900402</v>
      </c>
    </row>
    <row r="14126" spans="1:3" s="8" customFormat="1" x14ac:dyDescent="0.2">
      <c r="A14126" s="6" t="str">
        <f>"CORO7"</f>
        <v>CORO7</v>
      </c>
      <c r="B14126" s="6">
        <v>0.557442557442557</v>
      </c>
      <c r="C14126" s="6">
        <v>0.69380449674900402</v>
      </c>
    </row>
    <row r="14127" spans="1:3" s="8" customFormat="1" x14ac:dyDescent="0.2">
      <c r="A14127" s="6" t="str">
        <f>"MPZL1"</f>
        <v>MPZL1</v>
      </c>
      <c r="B14127" s="6">
        <v>0.557442557442557</v>
      </c>
      <c r="C14127" s="6">
        <v>0.69380449674900402</v>
      </c>
    </row>
    <row r="14128" spans="1:3" s="8" customFormat="1" x14ac:dyDescent="0.2">
      <c r="A14128" s="6" t="str">
        <f>"ARFGEF1"</f>
        <v>ARFGEF1</v>
      </c>
      <c r="B14128" s="6">
        <v>0.557442557442557</v>
      </c>
      <c r="C14128" s="6">
        <v>0.69380449674900402</v>
      </c>
    </row>
    <row r="14129" spans="1:3" s="8" customFormat="1" x14ac:dyDescent="0.2">
      <c r="A14129" s="6" t="str">
        <f>"CTSH"</f>
        <v>CTSH</v>
      </c>
      <c r="B14129" s="6">
        <v>0.557442557442557</v>
      </c>
      <c r="C14129" s="6">
        <v>0.69380449674900402</v>
      </c>
    </row>
    <row r="14130" spans="1:3" s="8" customFormat="1" x14ac:dyDescent="0.2">
      <c r="A14130" s="6" t="str">
        <f>"JPH4"</f>
        <v>JPH4</v>
      </c>
      <c r="B14130" s="6">
        <v>0.55844155844155796</v>
      </c>
      <c r="C14130" s="6">
        <v>0.69455625715351199</v>
      </c>
    </row>
    <row r="14131" spans="1:3" s="8" customFormat="1" x14ac:dyDescent="0.2">
      <c r="A14131" s="6" t="str">
        <f>"NAGPA-AS1"</f>
        <v>NAGPA-AS1</v>
      </c>
      <c r="B14131" s="6">
        <v>0.55844155844155796</v>
      </c>
      <c r="C14131" s="6">
        <v>0.69455625715351199</v>
      </c>
    </row>
    <row r="14132" spans="1:3" s="8" customFormat="1" x14ac:dyDescent="0.2">
      <c r="A14132" s="6" t="str">
        <f>"ERICD"</f>
        <v>ERICD</v>
      </c>
      <c r="B14132" s="6">
        <v>0.55813953488372003</v>
      </c>
      <c r="C14132" s="6">
        <v>0.69455625715351199</v>
      </c>
    </row>
    <row r="14133" spans="1:3" s="8" customFormat="1" x14ac:dyDescent="0.2">
      <c r="A14133" s="6" t="str">
        <f>"AC011676.1"</f>
        <v>AC011676.1</v>
      </c>
      <c r="B14133" s="6">
        <v>0.55844155844155796</v>
      </c>
      <c r="C14133" s="6">
        <v>0.69455625715351199</v>
      </c>
    </row>
    <row r="14134" spans="1:3" s="8" customFormat="1" x14ac:dyDescent="0.2">
      <c r="A14134" s="6" t="str">
        <f>"FGF12"</f>
        <v>FGF12</v>
      </c>
      <c r="B14134" s="6">
        <v>0.55844155844155796</v>
      </c>
      <c r="C14134" s="6">
        <v>0.69455625715351199</v>
      </c>
    </row>
    <row r="14135" spans="1:3" s="8" customFormat="1" x14ac:dyDescent="0.2">
      <c r="A14135" s="6" t="str">
        <f>"LTC4S"</f>
        <v>LTC4S</v>
      </c>
      <c r="B14135" s="6">
        <v>0.55844155844155796</v>
      </c>
      <c r="C14135" s="6">
        <v>0.69455625715351199</v>
      </c>
    </row>
    <row r="14136" spans="1:3" s="8" customFormat="1" x14ac:dyDescent="0.2">
      <c r="A14136" s="6" t="str">
        <f>"MRPL2"</f>
        <v>MRPL2</v>
      </c>
      <c r="B14136" s="6">
        <v>0.55844155844155796</v>
      </c>
      <c r="C14136" s="6">
        <v>0.69455625715351199</v>
      </c>
    </row>
    <row r="14137" spans="1:3" s="8" customFormat="1" x14ac:dyDescent="0.2">
      <c r="A14137" s="6" t="str">
        <f>"TMEM33"</f>
        <v>TMEM33</v>
      </c>
      <c r="B14137" s="6">
        <v>0.55844155844155796</v>
      </c>
      <c r="C14137" s="6">
        <v>0.69455625715351199</v>
      </c>
    </row>
    <row r="14138" spans="1:3" s="8" customFormat="1" x14ac:dyDescent="0.2">
      <c r="A14138" s="6" t="str">
        <f>"RARS1"</f>
        <v>RARS1</v>
      </c>
      <c r="B14138" s="6">
        <v>0.55844155844155796</v>
      </c>
      <c r="C14138" s="6">
        <v>0.69455625715351199</v>
      </c>
    </row>
    <row r="14139" spans="1:3" s="8" customFormat="1" x14ac:dyDescent="0.2">
      <c r="A14139" s="6" t="str">
        <f>"LIMS1"</f>
        <v>LIMS1</v>
      </c>
      <c r="B14139" s="6">
        <v>0.55844155844155796</v>
      </c>
      <c r="C14139" s="6">
        <v>0.69455625715351199</v>
      </c>
    </row>
    <row r="14140" spans="1:3" s="8" customFormat="1" x14ac:dyDescent="0.2">
      <c r="A14140" s="6" t="str">
        <f>"ZBTB45P2"</f>
        <v>ZBTB45P2</v>
      </c>
      <c r="B14140" s="6">
        <v>0.55900000000000005</v>
      </c>
      <c r="C14140" s="6">
        <v>0.69515247524752399</v>
      </c>
    </row>
    <row r="14141" spans="1:3" s="8" customFormat="1" x14ac:dyDescent="0.2">
      <c r="A14141" s="6" t="str">
        <f>"CATSPERE"</f>
        <v>CATSPERE</v>
      </c>
      <c r="B14141" s="6">
        <v>0.55900000000000005</v>
      </c>
      <c r="C14141" s="6">
        <v>0.69515247524752399</v>
      </c>
    </row>
    <row r="14142" spans="1:3" s="8" customFormat="1" x14ac:dyDescent="0.2">
      <c r="A14142" s="6" t="str">
        <f>"TLCD3B"</f>
        <v>TLCD3B</v>
      </c>
      <c r="B14142" s="6">
        <v>0.55944055944055904</v>
      </c>
      <c r="C14142" s="6">
        <v>0.69525781307532597</v>
      </c>
    </row>
    <row r="14143" spans="1:3" s="8" customFormat="1" x14ac:dyDescent="0.2">
      <c r="A14143" s="6" t="str">
        <f>"KTN1-AS1"</f>
        <v>KTN1-AS1</v>
      </c>
      <c r="B14143" s="6">
        <v>0.55944055944055904</v>
      </c>
      <c r="C14143" s="6">
        <v>0.69525781307532597</v>
      </c>
    </row>
    <row r="14144" spans="1:3" s="8" customFormat="1" x14ac:dyDescent="0.2">
      <c r="A14144" s="6" t="str">
        <f>"FAM155B"</f>
        <v>FAM155B</v>
      </c>
      <c r="B14144" s="6">
        <v>0.55944055944055904</v>
      </c>
      <c r="C14144" s="6">
        <v>0.69525781307532597</v>
      </c>
    </row>
    <row r="14145" spans="1:3" s="8" customFormat="1" x14ac:dyDescent="0.2">
      <c r="A14145" s="6" t="str">
        <f>"AL078459.1"</f>
        <v>AL078459.1</v>
      </c>
      <c r="B14145" s="6">
        <v>0.55944055944055904</v>
      </c>
      <c r="C14145" s="6">
        <v>0.69525781307532597</v>
      </c>
    </row>
    <row r="14146" spans="1:3" s="8" customFormat="1" x14ac:dyDescent="0.2">
      <c r="A14146" s="6" t="str">
        <f>"ZNF518B"</f>
        <v>ZNF518B</v>
      </c>
      <c r="B14146" s="6">
        <v>0.55944055944055904</v>
      </c>
      <c r="C14146" s="6">
        <v>0.69525781307532597</v>
      </c>
    </row>
    <row r="14147" spans="1:3" s="8" customFormat="1" x14ac:dyDescent="0.2">
      <c r="A14147" s="6" t="str">
        <f>"SMIM26"</f>
        <v>SMIM26</v>
      </c>
      <c r="B14147" s="6">
        <v>0.55944055944055904</v>
      </c>
      <c r="C14147" s="6">
        <v>0.69525781307532597</v>
      </c>
    </row>
    <row r="14148" spans="1:3" s="8" customFormat="1" x14ac:dyDescent="0.2">
      <c r="A14148" s="6" t="str">
        <f>"KDM4A"</f>
        <v>KDM4A</v>
      </c>
      <c r="B14148" s="6">
        <v>0.55944055944055904</v>
      </c>
      <c r="C14148" s="6">
        <v>0.69525781307532597</v>
      </c>
    </row>
    <row r="14149" spans="1:3" s="8" customFormat="1" x14ac:dyDescent="0.2">
      <c r="A14149" s="6" t="str">
        <f>"PFKL"</f>
        <v>PFKL</v>
      </c>
      <c r="B14149" s="6">
        <v>0.55944055944055904</v>
      </c>
      <c r="C14149" s="6">
        <v>0.69525781307532597</v>
      </c>
    </row>
    <row r="14150" spans="1:3" s="8" customFormat="1" x14ac:dyDescent="0.2">
      <c r="A14150" s="6" t="str">
        <f>"AP1B1"</f>
        <v>AP1B1</v>
      </c>
      <c r="B14150" s="6">
        <v>0.55944055944055904</v>
      </c>
      <c r="C14150" s="6">
        <v>0.69525781307532597</v>
      </c>
    </row>
    <row r="14151" spans="1:3" s="8" customFormat="1" x14ac:dyDescent="0.2">
      <c r="A14151" s="6" t="str">
        <f>"SLC22A10"</f>
        <v>SLC22A10</v>
      </c>
      <c r="B14151" s="6">
        <v>0.56043956043956</v>
      </c>
      <c r="C14151" s="6">
        <v>0.69595827900912599</v>
      </c>
    </row>
    <row r="14152" spans="1:3" s="8" customFormat="1" x14ac:dyDescent="0.2">
      <c r="A14152" s="6" t="str">
        <f>"CBWD4P"</f>
        <v>CBWD4P</v>
      </c>
      <c r="B14152" s="6">
        <v>0.56043956043956</v>
      </c>
      <c r="C14152" s="6">
        <v>0.69595827900912599</v>
      </c>
    </row>
    <row r="14153" spans="1:3" s="8" customFormat="1" x14ac:dyDescent="0.2">
      <c r="A14153" s="6" t="str">
        <f>"AC012317.2"</f>
        <v>AC012317.2</v>
      </c>
      <c r="B14153" s="6">
        <v>0.56043956043956</v>
      </c>
      <c r="C14153" s="6">
        <v>0.69595827900912599</v>
      </c>
    </row>
    <row r="14154" spans="1:3" s="8" customFormat="1" x14ac:dyDescent="0.2">
      <c r="A14154" s="6" t="str">
        <f>"AL354993.2"</f>
        <v>AL354993.2</v>
      </c>
      <c r="B14154" s="6">
        <v>0.56043956043956</v>
      </c>
      <c r="C14154" s="6">
        <v>0.69595827900912599</v>
      </c>
    </row>
    <row r="14155" spans="1:3" s="8" customFormat="1" x14ac:dyDescent="0.2">
      <c r="A14155" s="6" t="str">
        <f>"UBE2D3-AS1"</f>
        <v>UBE2D3-AS1</v>
      </c>
      <c r="B14155" s="6">
        <v>0.56017191977077296</v>
      </c>
      <c r="C14155" s="6">
        <v>0.69595827900912599</v>
      </c>
    </row>
    <row r="14156" spans="1:3" s="8" customFormat="1" x14ac:dyDescent="0.2">
      <c r="A14156" s="6" t="str">
        <f>"TMEM191C"</f>
        <v>TMEM191C</v>
      </c>
      <c r="B14156" s="6">
        <v>0.56043956043956</v>
      </c>
      <c r="C14156" s="6">
        <v>0.69595827900912599</v>
      </c>
    </row>
    <row r="14157" spans="1:3" s="8" customFormat="1" x14ac:dyDescent="0.2">
      <c r="A14157" s="6" t="str">
        <f>"SERPINI1"</f>
        <v>SERPINI1</v>
      </c>
      <c r="B14157" s="6">
        <v>0.56043956043956</v>
      </c>
      <c r="C14157" s="6">
        <v>0.69595827900912599</v>
      </c>
    </row>
    <row r="14158" spans="1:3" s="8" customFormat="1" x14ac:dyDescent="0.2">
      <c r="A14158" s="6" t="str">
        <f>"ACOT11"</f>
        <v>ACOT11</v>
      </c>
      <c r="B14158" s="6">
        <v>0.56043956043956</v>
      </c>
      <c r="C14158" s="6">
        <v>0.69595827900912599</v>
      </c>
    </row>
    <row r="14159" spans="1:3" s="8" customFormat="1" x14ac:dyDescent="0.2">
      <c r="A14159" s="6" t="str">
        <f>"IL10RB"</f>
        <v>IL10RB</v>
      </c>
      <c r="B14159" s="6">
        <v>0.56043956043956</v>
      </c>
      <c r="C14159" s="6">
        <v>0.69595827900912599</v>
      </c>
    </row>
    <row r="14160" spans="1:3" s="8" customFormat="1" x14ac:dyDescent="0.2">
      <c r="A14160" s="6" t="str">
        <f>"AFF1"</f>
        <v>AFF1</v>
      </c>
      <c r="B14160" s="6">
        <v>0.56043956043956</v>
      </c>
      <c r="C14160" s="6">
        <v>0.69595827900912599</v>
      </c>
    </row>
    <row r="14161" spans="1:3" s="8" customFormat="1" x14ac:dyDescent="0.2">
      <c r="A14161" s="6" t="str">
        <f>"LMAN1"</f>
        <v>LMAN1</v>
      </c>
      <c r="B14161" s="6">
        <v>0.56043956043956</v>
      </c>
      <c r="C14161" s="6">
        <v>0.69595827900912599</v>
      </c>
    </row>
    <row r="14162" spans="1:3" s="8" customFormat="1" x14ac:dyDescent="0.2">
      <c r="A14162" s="6" t="str">
        <f>"AC135178.6"</f>
        <v>AC135178.6</v>
      </c>
      <c r="B14162" s="6">
        <v>0.56124497991967803</v>
      </c>
      <c r="C14162" s="6">
        <v>0.69686002873235597</v>
      </c>
    </row>
    <row r="14163" spans="1:3" s="8" customFormat="1" x14ac:dyDescent="0.2">
      <c r="A14163" s="6" t="str">
        <f>"AL359091.3"</f>
        <v>AL359091.3</v>
      </c>
      <c r="B14163" s="6">
        <v>0.56124497991967803</v>
      </c>
      <c r="C14163" s="6">
        <v>0.69686002873235597</v>
      </c>
    </row>
    <row r="14164" spans="1:3" s="8" customFormat="1" x14ac:dyDescent="0.2">
      <c r="A14164" s="6" t="str">
        <f>"LINC00643"</f>
        <v>LINC00643</v>
      </c>
      <c r="B14164" s="6">
        <v>0.56143856143856097</v>
      </c>
      <c r="C14164" s="6">
        <v>0.69690354823772804</v>
      </c>
    </row>
    <row r="14165" spans="1:3" s="8" customFormat="1" x14ac:dyDescent="0.2">
      <c r="A14165" s="6" t="str">
        <f>"CDHR2"</f>
        <v>CDHR2</v>
      </c>
      <c r="B14165" s="6">
        <v>0.56143856143856097</v>
      </c>
      <c r="C14165" s="6">
        <v>0.69690354823772804</v>
      </c>
    </row>
    <row r="14166" spans="1:3" s="8" customFormat="1" x14ac:dyDescent="0.2">
      <c r="A14166" s="6" t="str">
        <f>"LARP1B"</f>
        <v>LARP1B</v>
      </c>
      <c r="B14166" s="6">
        <v>0.56143856143856097</v>
      </c>
      <c r="C14166" s="6">
        <v>0.69690354823772804</v>
      </c>
    </row>
    <row r="14167" spans="1:3" s="8" customFormat="1" x14ac:dyDescent="0.2">
      <c r="A14167" s="6" t="str">
        <f>"KIAA1109"</f>
        <v>KIAA1109</v>
      </c>
      <c r="B14167" s="6">
        <v>0.56143856143856097</v>
      </c>
      <c r="C14167" s="6">
        <v>0.69690354823772804</v>
      </c>
    </row>
    <row r="14168" spans="1:3" s="8" customFormat="1" x14ac:dyDescent="0.2">
      <c r="A14168" s="6" t="str">
        <f>"AC027601.1"</f>
        <v>AC027601.1</v>
      </c>
      <c r="B14168" s="6">
        <v>0.56243756243756204</v>
      </c>
      <c r="C14168" s="6">
        <v>0.697848017069016</v>
      </c>
    </row>
    <row r="14169" spans="1:3" s="8" customFormat="1" x14ac:dyDescent="0.2">
      <c r="A14169" s="6" t="str">
        <f>"AC078925.4"</f>
        <v>AC078925.4</v>
      </c>
      <c r="B14169" s="6">
        <v>0.56243756243756204</v>
      </c>
      <c r="C14169" s="6">
        <v>0.697848017069016</v>
      </c>
    </row>
    <row r="14170" spans="1:3" s="8" customFormat="1" x14ac:dyDescent="0.2">
      <c r="A14170" s="6" t="str">
        <f>"PDE3A"</f>
        <v>PDE3A</v>
      </c>
      <c r="B14170" s="6">
        <v>0.56243756243756204</v>
      </c>
      <c r="C14170" s="6">
        <v>0.697848017069016</v>
      </c>
    </row>
    <row r="14171" spans="1:3" s="8" customFormat="1" x14ac:dyDescent="0.2">
      <c r="A14171" s="6" t="str">
        <f>"KLRK1-AS1"</f>
        <v>KLRK1-AS1</v>
      </c>
      <c r="B14171" s="6">
        <v>0.56243756243756204</v>
      </c>
      <c r="C14171" s="6">
        <v>0.697848017069016</v>
      </c>
    </row>
    <row r="14172" spans="1:3" s="8" customFormat="1" x14ac:dyDescent="0.2">
      <c r="A14172" s="6" t="str">
        <f>"GTF2IP4"</f>
        <v>GTF2IP4</v>
      </c>
      <c r="B14172" s="6">
        <v>0.56243756243756204</v>
      </c>
      <c r="C14172" s="6">
        <v>0.697848017069016</v>
      </c>
    </row>
    <row r="14173" spans="1:3" s="8" customFormat="1" x14ac:dyDescent="0.2">
      <c r="A14173" s="6" t="str">
        <f>"ERLEC1"</f>
        <v>ERLEC1</v>
      </c>
      <c r="B14173" s="6">
        <v>0.56243756243756204</v>
      </c>
      <c r="C14173" s="6">
        <v>0.697848017069016</v>
      </c>
    </row>
    <row r="14174" spans="1:3" s="8" customFormat="1" x14ac:dyDescent="0.2">
      <c r="A14174" s="6" t="str">
        <f>"KIAA0319L"</f>
        <v>KIAA0319L</v>
      </c>
      <c r="B14174" s="6">
        <v>0.56299999999999994</v>
      </c>
      <c r="C14174" s="6">
        <v>0.69849657800042297</v>
      </c>
    </row>
    <row r="14175" spans="1:3" s="8" customFormat="1" x14ac:dyDescent="0.2">
      <c r="A14175" s="6" t="str">
        <f>"AC091214.1"</f>
        <v>AC091214.1</v>
      </c>
      <c r="B14175" s="6">
        <v>0.56312625250501003</v>
      </c>
      <c r="C14175" s="6">
        <v>0.69860392437195495</v>
      </c>
    </row>
    <row r="14176" spans="1:3" s="8" customFormat="1" x14ac:dyDescent="0.2">
      <c r="A14176" s="6" t="str">
        <f>"TRAV1-2"</f>
        <v>TRAV1-2</v>
      </c>
      <c r="B14176" s="6">
        <v>0.56343656343656301</v>
      </c>
      <c r="C14176" s="6">
        <v>0.69864385667220397</v>
      </c>
    </row>
    <row r="14177" spans="1:3" s="8" customFormat="1" x14ac:dyDescent="0.2">
      <c r="A14177" s="6" t="str">
        <f>"AC026458.1"</f>
        <v>AC026458.1</v>
      </c>
      <c r="B14177" s="6">
        <v>0.563253012048192</v>
      </c>
      <c r="C14177" s="6">
        <v>0.69864385667220397</v>
      </c>
    </row>
    <row r="14178" spans="1:3" s="8" customFormat="1" x14ac:dyDescent="0.2">
      <c r="A14178" s="6" t="str">
        <f>"AC139491.7"</f>
        <v>AC139491.7</v>
      </c>
      <c r="B14178" s="6">
        <v>0.56343656343656301</v>
      </c>
      <c r="C14178" s="6">
        <v>0.69864385667220397</v>
      </c>
    </row>
    <row r="14179" spans="1:3" s="8" customFormat="1" x14ac:dyDescent="0.2">
      <c r="A14179" s="6" t="str">
        <f>"ARMCX5-GPRASP2"</f>
        <v>ARMCX5-GPRASP2</v>
      </c>
      <c r="B14179" s="6">
        <v>0.56343656343656301</v>
      </c>
      <c r="C14179" s="6">
        <v>0.69864385667220397</v>
      </c>
    </row>
    <row r="14180" spans="1:3" s="8" customFormat="1" x14ac:dyDescent="0.2">
      <c r="A14180" s="6" t="str">
        <f>"AMIGO1"</f>
        <v>AMIGO1</v>
      </c>
      <c r="B14180" s="6">
        <v>0.56343656343656301</v>
      </c>
      <c r="C14180" s="6">
        <v>0.69864385667220397</v>
      </c>
    </row>
    <row r="14181" spans="1:3" s="8" customFormat="1" x14ac:dyDescent="0.2">
      <c r="A14181" s="6" t="str">
        <f>"WDR31"</f>
        <v>WDR31</v>
      </c>
      <c r="B14181" s="6">
        <v>0.56343656343656301</v>
      </c>
      <c r="C14181" s="6">
        <v>0.69864385667220397</v>
      </c>
    </row>
    <row r="14182" spans="1:3" s="8" customFormat="1" x14ac:dyDescent="0.2">
      <c r="A14182" s="6" t="str">
        <f>"TACC2"</f>
        <v>TACC2</v>
      </c>
      <c r="B14182" s="6">
        <v>0.56343656343656301</v>
      </c>
      <c r="C14182" s="6">
        <v>0.69864385667220397</v>
      </c>
    </row>
    <row r="14183" spans="1:3" s="8" customFormat="1" x14ac:dyDescent="0.2">
      <c r="A14183" s="6" t="str">
        <f>"AP002008.3"</f>
        <v>AP002008.3</v>
      </c>
      <c r="B14183" s="6">
        <v>0.56399999999999995</v>
      </c>
      <c r="C14183" s="6">
        <v>0.69929318854886402</v>
      </c>
    </row>
    <row r="14184" spans="1:3" s="8" customFormat="1" x14ac:dyDescent="0.2">
      <c r="A14184" s="6" t="str">
        <f>"RPS2P7"</f>
        <v>RPS2P7</v>
      </c>
      <c r="B14184" s="6">
        <v>0.56443556443556397</v>
      </c>
      <c r="C14184" s="6">
        <v>0.69973455760257797</v>
      </c>
    </row>
    <row r="14185" spans="1:3" s="8" customFormat="1" x14ac:dyDescent="0.2">
      <c r="A14185" s="6" t="str">
        <f>"SEPHS2"</f>
        <v>SEPHS2</v>
      </c>
      <c r="B14185" s="6">
        <v>0.56443556443556397</v>
      </c>
      <c r="C14185" s="6">
        <v>0.69973455760257797</v>
      </c>
    </row>
    <row r="14186" spans="1:3" s="8" customFormat="1" x14ac:dyDescent="0.2">
      <c r="A14186" s="6" t="str">
        <f>"SCN1A"</f>
        <v>SCN1A</v>
      </c>
      <c r="B14186" s="6">
        <v>0.56499999999999995</v>
      </c>
      <c r="C14186" s="6">
        <v>0.70038491364116995</v>
      </c>
    </row>
    <row r="14187" spans="1:3" s="8" customFormat="1" x14ac:dyDescent="0.2">
      <c r="A14187" s="6" t="str">
        <f>"AC005740.5"</f>
        <v>AC005740.5</v>
      </c>
      <c r="B14187" s="6">
        <v>0.56526104417670597</v>
      </c>
      <c r="C14187" s="6">
        <v>0.70047917420046402</v>
      </c>
    </row>
    <row r="14188" spans="1:3" s="8" customFormat="1" x14ac:dyDescent="0.2">
      <c r="A14188" s="6" t="str">
        <f>"AC015883.1"</f>
        <v>AC015883.1</v>
      </c>
      <c r="B14188" s="6">
        <v>0.56543456543456505</v>
      </c>
      <c r="C14188" s="6">
        <v>0.70047917420046402</v>
      </c>
    </row>
    <row r="14189" spans="1:3" s="8" customFormat="1" x14ac:dyDescent="0.2">
      <c r="A14189" s="6" t="str">
        <f>"THBS2"</f>
        <v>THBS2</v>
      </c>
      <c r="B14189" s="6">
        <v>0.56543456543456505</v>
      </c>
      <c r="C14189" s="6">
        <v>0.70047917420046402</v>
      </c>
    </row>
    <row r="14190" spans="1:3" s="8" customFormat="1" x14ac:dyDescent="0.2">
      <c r="A14190" s="6" t="str">
        <f>"AC092757.3"</f>
        <v>AC092757.3</v>
      </c>
      <c r="B14190" s="6">
        <v>0.56543456543456505</v>
      </c>
      <c r="C14190" s="6">
        <v>0.70047917420046402</v>
      </c>
    </row>
    <row r="14191" spans="1:3" s="8" customFormat="1" x14ac:dyDescent="0.2">
      <c r="A14191" s="6" t="str">
        <f>"FAM3C2P"</f>
        <v>FAM3C2P</v>
      </c>
      <c r="B14191" s="6">
        <v>0.56543456543456505</v>
      </c>
      <c r="C14191" s="6">
        <v>0.70047917420046402</v>
      </c>
    </row>
    <row r="14192" spans="1:3" s="8" customFormat="1" x14ac:dyDescent="0.2">
      <c r="A14192" s="6" t="str">
        <f>"DAZAP1"</f>
        <v>DAZAP1</v>
      </c>
      <c r="B14192" s="6">
        <v>0.56543456543456505</v>
      </c>
      <c r="C14192" s="6">
        <v>0.70047917420046402</v>
      </c>
    </row>
    <row r="14193" spans="1:3" s="8" customFormat="1" x14ac:dyDescent="0.2">
      <c r="A14193" s="6" t="str">
        <f>"PARK7"</f>
        <v>PARK7</v>
      </c>
      <c r="B14193" s="6">
        <v>0.56543456543456505</v>
      </c>
      <c r="C14193" s="6">
        <v>0.70047917420046402</v>
      </c>
    </row>
    <row r="14194" spans="1:3" s="8" customFormat="1" x14ac:dyDescent="0.2">
      <c r="A14194" s="6" t="str">
        <f>"SMPD3"</f>
        <v>SMPD3</v>
      </c>
      <c r="B14194" s="6">
        <v>0.56543456543456505</v>
      </c>
      <c r="C14194" s="6">
        <v>0.70047917420046402</v>
      </c>
    </row>
    <row r="14195" spans="1:3" s="8" customFormat="1" x14ac:dyDescent="0.2">
      <c r="A14195" s="6" t="str">
        <f>"DAP"</f>
        <v>DAP</v>
      </c>
      <c r="B14195" s="6">
        <v>0.56543456543456505</v>
      </c>
      <c r="C14195" s="6">
        <v>0.70047917420046402</v>
      </c>
    </row>
    <row r="14196" spans="1:3" s="8" customFormat="1" x14ac:dyDescent="0.2">
      <c r="A14196" s="6" t="str">
        <f>"SYT1"</f>
        <v>SYT1</v>
      </c>
      <c r="B14196" s="6">
        <v>0.56643356643356602</v>
      </c>
      <c r="C14196" s="6">
        <v>0.701173377836524</v>
      </c>
    </row>
    <row r="14197" spans="1:3" s="8" customFormat="1" x14ac:dyDescent="0.2">
      <c r="A14197" s="6" t="str">
        <f>"ALX4"</f>
        <v>ALX4</v>
      </c>
      <c r="B14197" s="6">
        <v>0.56643356643356602</v>
      </c>
      <c r="C14197" s="6">
        <v>0.701173377836524</v>
      </c>
    </row>
    <row r="14198" spans="1:3" s="8" customFormat="1" x14ac:dyDescent="0.2">
      <c r="A14198" s="6" t="str">
        <f>"AC138649.1"</f>
        <v>AC138649.1</v>
      </c>
      <c r="B14198" s="6">
        <v>0.56643356643356602</v>
      </c>
      <c r="C14198" s="6">
        <v>0.701173377836524</v>
      </c>
    </row>
    <row r="14199" spans="1:3" s="8" customFormat="1" x14ac:dyDescent="0.2">
      <c r="A14199" s="6" t="str">
        <f>"SGK2"</f>
        <v>SGK2</v>
      </c>
      <c r="B14199" s="6">
        <v>0.56643356643356602</v>
      </c>
      <c r="C14199" s="6">
        <v>0.701173377836524</v>
      </c>
    </row>
    <row r="14200" spans="1:3" s="8" customFormat="1" x14ac:dyDescent="0.2">
      <c r="A14200" s="6" t="str">
        <f>"AP005262.1"</f>
        <v>AP005262.1</v>
      </c>
      <c r="B14200" s="6">
        <v>0.56613226452905796</v>
      </c>
      <c r="C14200" s="6">
        <v>0.701173377836524</v>
      </c>
    </row>
    <row r="14201" spans="1:3" s="8" customFormat="1" x14ac:dyDescent="0.2">
      <c r="A14201" s="6" t="str">
        <f>"AC099518.4"</f>
        <v>AC099518.4</v>
      </c>
      <c r="B14201" s="6">
        <v>0.56643356643356602</v>
      </c>
      <c r="C14201" s="6">
        <v>0.701173377836524</v>
      </c>
    </row>
    <row r="14202" spans="1:3" s="8" customFormat="1" x14ac:dyDescent="0.2">
      <c r="A14202" s="6" t="str">
        <f>"GORAB"</f>
        <v>GORAB</v>
      </c>
      <c r="B14202" s="6">
        <v>0.56643356643356602</v>
      </c>
      <c r="C14202" s="6">
        <v>0.701173377836524</v>
      </c>
    </row>
    <row r="14203" spans="1:3" s="8" customFormat="1" x14ac:dyDescent="0.2">
      <c r="A14203" s="6" t="str">
        <f>"MRPL15"</f>
        <v>MRPL15</v>
      </c>
      <c r="B14203" s="6">
        <v>0.56643356643356602</v>
      </c>
      <c r="C14203" s="6">
        <v>0.701173377836524</v>
      </c>
    </row>
    <row r="14204" spans="1:3" s="8" customFormat="1" x14ac:dyDescent="0.2">
      <c r="A14204" s="6" t="str">
        <f>"CEP131"</f>
        <v>CEP131</v>
      </c>
      <c r="B14204" s="6">
        <v>0.56643356643356602</v>
      </c>
      <c r="C14204" s="6">
        <v>0.701173377836524</v>
      </c>
    </row>
    <row r="14205" spans="1:3" s="8" customFormat="1" x14ac:dyDescent="0.2">
      <c r="A14205" s="6" t="str">
        <f>"PYGO2"</f>
        <v>PYGO2</v>
      </c>
      <c r="B14205" s="6">
        <v>0.56643356643356602</v>
      </c>
      <c r="C14205" s="6">
        <v>0.701173377836524</v>
      </c>
    </row>
    <row r="14206" spans="1:3" s="8" customFormat="1" x14ac:dyDescent="0.2">
      <c r="A14206" s="6" t="str">
        <f>"TMCO1"</f>
        <v>TMCO1</v>
      </c>
      <c r="B14206" s="6">
        <v>0.56643356643356602</v>
      </c>
      <c r="C14206" s="6">
        <v>0.701173377836524</v>
      </c>
    </row>
    <row r="14207" spans="1:3" s="8" customFormat="1" x14ac:dyDescent="0.2">
      <c r="A14207" s="6" t="str">
        <f>"AC008555.6"</f>
        <v>AC008555.6</v>
      </c>
      <c r="B14207" s="6">
        <v>0.56670010030090201</v>
      </c>
      <c r="C14207" s="6">
        <v>0.70145393240117304</v>
      </c>
    </row>
    <row r="14208" spans="1:3" s="8" customFormat="1" x14ac:dyDescent="0.2">
      <c r="A14208" s="6" t="str">
        <f>"AC025437.2"</f>
        <v>AC025437.2</v>
      </c>
      <c r="B14208" s="6">
        <v>0.56743256743256698</v>
      </c>
      <c r="C14208" s="6">
        <v>0.70186650715632104</v>
      </c>
    </row>
    <row r="14209" spans="1:3" s="8" customFormat="1" x14ac:dyDescent="0.2">
      <c r="A14209" s="6" t="str">
        <f>"AC074141.1"</f>
        <v>AC074141.1</v>
      </c>
      <c r="B14209" s="6">
        <v>0.56743256743256698</v>
      </c>
      <c r="C14209" s="6">
        <v>0.70186650715632104</v>
      </c>
    </row>
    <row r="14210" spans="1:3" s="8" customFormat="1" x14ac:dyDescent="0.2">
      <c r="A14210" s="6" t="str">
        <f>"AC025171.4"</f>
        <v>AC025171.4</v>
      </c>
      <c r="B14210" s="6">
        <v>0.56743256743256698</v>
      </c>
      <c r="C14210" s="6">
        <v>0.70186650715632104</v>
      </c>
    </row>
    <row r="14211" spans="1:3" s="8" customFormat="1" x14ac:dyDescent="0.2">
      <c r="A14211" s="6" t="str">
        <f>"ABCA6"</f>
        <v>ABCA6</v>
      </c>
      <c r="B14211" s="6">
        <v>0.56743256743256698</v>
      </c>
      <c r="C14211" s="6">
        <v>0.70186650715632104</v>
      </c>
    </row>
    <row r="14212" spans="1:3" s="8" customFormat="1" x14ac:dyDescent="0.2">
      <c r="A14212" s="6" t="str">
        <f>"DCHS2"</f>
        <v>DCHS2</v>
      </c>
      <c r="B14212" s="6">
        <v>0.56743256743256698</v>
      </c>
      <c r="C14212" s="6">
        <v>0.70186650715632104</v>
      </c>
    </row>
    <row r="14213" spans="1:3" s="8" customFormat="1" x14ac:dyDescent="0.2">
      <c r="A14213" s="6" t="str">
        <f>"TRAPPC2B"</f>
        <v>TRAPPC2B</v>
      </c>
      <c r="B14213" s="6">
        <v>0.56743256743256698</v>
      </c>
      <c r="C14213" s="6">
        <v>0.70186650715632104</v>
      </c>
    </row>
    <row r="14214" spans="1:3" s="8" customFormat="1" x14ac:dyDescent="0.2">
      <c r="A14214" s="6" t="str">
        <f>"ATP11C"</f>
        <v>ATP11C</v>
      </c>
      <c r="B14214" s="6">
        <v>0.56743256743256698</v>
      </c>
      <c r="C14214" s="6">
        <v>0.70186650715632104</v>
      </c>
    </row>
    <row r="14215" spans="1:3" s="8" customFormat="1" x14ac:dyDescent="0.2">
      <c r="A14215" s="6" t="str">
        <f>"SF3B3"</f>
        <v>SF3B3</v>
      </c>
      <c r="B14215" s="6">
        <v>0.56743256743256698</v>
      </c>
      <c r="C14215" s="6">
        <v>0.70186650715632104</v>
      </c>
    </row>
    <row r="14216" spans="1:3" s="8" customFormat="1" x14ac:dyDescent="0.2">
      <c r="A14216" s="6" t="str">
        <f>"MARCHF6"</f>
        <v>MARCHF6</v>
      </c>
      <c r="B14216" s="6">
        <v>0.56743256743256698</v>
      </c>
      <c r="C14216" s="6">
        <v>0.70186650715632104</v>
      </c>
    </row>
    <row r="14217" spans="1:3" s="8" customFormat="1" x14ac:dyDescent="0.2">
      <c r="A14217" s="6" t="str">
        <f>"TMED2"</f>
        <v>TMED2</v>
      </c>
      <c r="B14217" s="6">
        <v>0.56743256743256698</v>
      </c>
      <c r="C14217" s="6">
        <v>0.70186650715632104</v>
      </c>
    </row>
    <row r="14218" spans="1:3" s="8" customFormat="1" x14ac:dyDescent="0.2">
      <c r="A14218" s="6" t="str">
        <f>"AP001531.1"</f>
        <v>AP001531.1</v>
      </c>
      <c r="B14218" s="6">
        <v>0.56768558951964998</v>
      </c>
      <c r="C14218" s="6">
        <v>0.70213008413262501</v>
      </c>
    </row>
    <row r="14219" spans="1:3" s="8" customFormat="1" x14ac:dyDescent="0.2">
      <c r="A14219" s="6" t="str">
        <f>"CKS1BP1"</f>
        <v>CKS1BP1</v>
      </c>
      <c r="B14219" s="6">
        <v>0.56797583081571001</v>
      </c>
      <c r="C14219" s="6">
        <v>0.70241044970489797</v>
      </c>
    </row>
    <row r="14220" spans="1:3" s="8" customFormat="1" x14ac:dyDescent="0.2">
      <c r="A14220" s="6" t="str">
        <f>"AC009228.1"</f>
        <v>AC009228.1</v>
      </c>
      <c r="B14220" s="6">
        <v>0.56843156843156795</v>
      </c>
      <c r="C14220" s="6">
        <v>0.70241044970489797</v>
      </c>
    </row>
    <row r="14221" spans="1:3" s="8" customFormat="1" x14ac:dyDescent="0.2">
      <c r="A14221" s="6" t="str">
        <f>"MUCL3"</f>
        <v>MUCL3</v>
      </c>
      <c r="B14221" s="6">
        <v>0.56843156843156795</v>
      </c>
      <c r="C14221" s="6">
        <v>0.70241044970489797</v>
      </c>
    </row>
    <row r="14222" spans="1:3" s="8" customFormat="1" x14ac:dyDescent="0.2">
      <c r="A14222" s="6" t="str">
        <f>"AC103760.1"</f>
        <v>AC103760.1</v>
      </c>
      <c r="B14222" s="6">
        <v>0.56843156843156795</v>
      </c>
      <c r="C14222" s="6">
        <v>0.70241044970489797</v>
      </c>
    </row>
    <row r="14223" spans="1:3" s="8" customFormat="1" x14ac:dyDescent="0.2">
      <c r="A14223" s="6" t="str">
        <f>"PRPH2"</f>
        <v>PRPH2</v>
      </c>
      <c r="B14223" s="6">
        <v>0.56843156843156795</v>
      </c>
      <c r="C14223" s="6">
        <v>0.70241044970489797</v>
      </c>
    </row>
    <row r="14224" spans="1:3" s="8" customFormat="1" x14ac:dyDescent="0.2">
      <c r="A14224" s="6" t="str">
        <f>"PARD6G-AS1"</f>
        <v>PARD6G-AS1</v>
      </c>
      <c r="B14224" s="6">
        <v>0.56843156843156795</v>
      </c>
      <c r="C14224" s="6">
        <v>0.70241044970489797</v>
      </c>
    </row>
    <row r="14225" spans="1:3" s="8" customFormat="1" x14ac:dyDescent="0.2">
      <c r="A14225" s="6" t="str">
        <f>"CABLES1"</f>
        <v>CABLES1</v>
      </c>
      <c r="B14225" s="6">
        <v>0.56843156843156795</v>
      </c>
      <c r="C14225" s="6">
        <v>0.70241044970489797</v>
      </c>
    </row>
    <row r="14226" spans="1:3" s="8" customFormat="1" x14ac:dyDescent="0.2">
      <c r="A14226" s="6" t="str">
        <f>"PAPSS2"</f>
        <v>PAPSS2</v>
      </c>
      <c r="B14226" s="6">
        <v>0.56843156843156795</v>
      </c>
      <c r="C14226" s="6">
        <v>0.70241044970489797</v>
      </c>
    </row>
    <row r="14227" spans="1:3" s="8" customFormat="1" x14ac:dyDescent="0.2">
      <c r="A14227" s="6" t="str">
        <f>"HES2"</f>
        <v>HES2</v>
      </c>
      <c r="B14227" s="6">
        <v>0.56843156843156795</v>
      </c>
      <c r="C14227" s="6">
        <v>0.70241044970489797</v>
      </c>
    </row>
    <row r="14228" spans="1:3" s="8" customFormat="1" x14ac:dyDescent="0.2">
      <c r="A14228" s="6" t="str">
        <f>"RPUSD1"</f>
        <v>RPUSD1</v>
      </c>
      <c r="B14228" s="6">
        <v>0.56843156843156795</v>
      </c>
      <c r="C14228" s="6">
        <v>0.70241044970489797</v>
      </c>
    </row>
    <row r="14229" spans="1:3" s="8" customFormat="1" x14ac:dyDescent="0.2">
      <c r="A14229" s="6" t="str">
        <f>"PIP4P1"</f>
        <v>PIP4P1</v>
      </c>
      <c r="B14229" s="6">
        <v>0.56843156843156795</v>
      </c>
      <c r="C14229" s="6">
        <v>0.70241044970489797</v>
      </c>
    </row>
    <row r="14230" spans="1:3" s="8" customFormat="1" x14ac:dyDescent="0.2">
      <c r="A14230" s="6" t="str">
        <f>"ARHGEF18"</f>
        <v>ARHGEF18</v>
      </c>
      <c r="B14230" s="6">
        <v>0.56843156843156795</v>
      </c>
      <c r="C14230" s="6">
        <v>0.70241044970489797</v>
      </c>
    </row>
    <row r="14231" spans="1:3" s="8" customFormat="1" x14ac:dyDescent="0.2">
      <c r="A14231" s="6" t="str">
        <f>"TMEM259"</f>
        <v>TMEM259</v>
      </c>
      <c r="B14231" s="6">
        <v>0.56843156843156795</v>
      </c>
      <c r="C14231" s="6">
        <v>0.70241044970489797</v>
      </c>
    </row>
    <row r="14232" spans="1:3" s="8" customFormat="1" x14ac:dyDescent="0.2">
      <c r="A14232" s="6" t="str">
        <f>"SLC12A9-AS1"</f>
        <v>SLC12A9-AS1</v>
      </c>
      <c r="B14232" s="6">
        <v>0.56884422110552701</v>
      </c>
      <c r="C14232" s="6">
        <v>0.70287097069212201</v>
      </c>
    </row>
    <row r="14233" spans="1:3" s="8" customFormat="1" x14ac:dyDescent="0.2">
      <c r="A14233" s="6" t="str">
        <f>"IGHV3-11"</f>
        <v>IGHV3-11</v>
      </c>
      <c r="B14233" s="6">
        <v>0.56943056943056902</v>
      </c>
      <c r="C14233" s="6">
        <v>0.70290397563124796</v>
      </c>
    </row>
    <row r="14234" spans="1:3" s="8" customFormat="1" x14ac:dyDescent="0.2">
      <c r="A14234" s="6" t="str">
        <f>"AL713999.2"</f>
        <v>AL713999.2</v>
      </c>
      <c r="B14234" s="6">
        <v>0.56943056943056902</v>
      </c>
      <c r="C14234" s="6">
        <v>0.70290397563124796</v>
      </c>
    </row>
    <row r="14235" spans="1:3" s="8" customFormat="1" x14ac:dyDescent="0.2">
      <c r="A14235" s="6" t="str">
        <f>"SMIM10L2B-AS1"</f>
        <v>SMIM10L2B-AS1</v>
      </c>
      <c r="B14235" s="6">
        <v>0.56943056943056902</v>
      </c>
      <c r="C14235" s="6">
        <v>0.70290397563124796</v>
      </c>
    </row>
    <row r="14236" spans="1:3" s="8" customFormat="1" x14ac:dyDescent="0.2">
      <c r="A14236" s="6" t="str">
        <f>"STPG4"</f>
        <v>STPG4</v>
      </c>
      <c r="B14236" s="6">
        <v>0.56943056943056902</v>
      </c>
      <c r="C14236" s="6">
        <v>0.70290397563124796</v>
      </c>
    </row>
    <row r="14237" spans="1:3" s="8" customFormat="1" x14ac:dyDescent="0.2">
      <c r="A14237" s="6" t="str">
        <f>"AC138028.4"</f>
        <v>AC138028.4</v>
      </c>
      <c r="B14237" s="6">
        <v>0.56913183279742696</v>
      </c>
      <c r="C14237" s="6">
        <v>0.70290397563124796</v>
      </c>
    </row>
    <row r="14238" spans="1:3" s="8" customFormat="1" x14ac:dyDescent="0.2">
      <c r="A14238" s="6" t="str">
        <f>"AC004584.3"</f>
        <v>AC004584.3</v>
      </c>
      <c r="B14238" s="6">
        <v>0.56943056943056902</v>
      </c>
      <c r="C14238" s="6">
        <v>0.70290397563124796</v>
      </c>
    </row>
    <row r="14239" spans="1:3" s="8" customFormat="1" x14ac:dyDescent="0.2">
      <c r="A14239" s="6" t="str">
        <f>"HGF"</f>
        <v>HGF</v>
      </c>
      <c r="B14239" s="6">
        <v>0.56943056943056902</v>
      </c>
      <c r="C14239" s="6">
        <v>0.70290397563124796</v>
      </c>
    </row>
    <row r="14240" spans="1:3" s="8" customFormat="1" x14ac:dyDescent="0.2">
      <c r="A14240" s="6" t="str">
        <f>"PDXDC2P"</f>
        <v>PDXDC2P</v>
      </c>
      <c r="B14240" s="6">
        <v>0.56943056943056902</v>
      </c>
      <c r="C14240" s="6">
        <v>0.70290397563124796</v>
      </c>
    </row>
    <row r="14241" spans="1:3" s="8" customFormat="1" x14ac:dyDescent="0.2">
      <c r="A14241" s="6" t="str">
        <f>"FAM27E3"</f>
        <v>FAM27E3</v>
      </c>
      <c r="B14241" s="6">
        <v>0.56943056943056902</v>
      </c>
      <c r="C14241" s="6">
        <v>0.70290397563124796</v>
      </c>
    </row>
    <row r="14242" spans="1:3" s="8" customFormat="1" x14ac:dyDescent="0.2">
      <c r="A14242" s="6" t="str">
        <f>"AP006222.1"</f>
        <v>AP006222.1</v>
      </c>
      <c r="B14242" s="6">
        <v>0.56943056943056902</v>
      </c>
      <c r="C14242" s="6">
        <v>0.70290397563124796</v>
      </c>
    </row>
    <row r="14243" spans="1:3" s="8" customFormat="1" x14ac:dyDescent="0.2">
      <c r="A14243" s="6" t="str">
        <f>"TMEM44"</f>
        <v>TMEM44</v>
      </c>
      <c r="B14243" s="6">
        <v>0.56943056943056902</v>
      </c>
      <c r="C14243" s="6">
        <v>0.70290397563124796</v>
      </c>
    </row>
    <row r="14244" spans="1:3" s="8" customFormat="1" x14ac:dyDescent="0.2">
      <c r="A14244" s="6" t="str">
        <f>"CERK"</f>
        <v>CERK</v>
      </c>
      <c r="B14244" s="6">
        <v>0.56943056943056902</v>
      </c>
      <c r="C14244" s="6">
        <v>0.70290397563124796</v>
      </c>
    </row>
    <row r="14245" spans="1:3" s="8" customFormat="1" x14ac:dyDescent="0.2">
      <c r="A14245" s="6" t="str">
        <f>"ATP5MF"</f>
        <v>ATP5MF</v>
      </c>
      <c r="B14245" s="6">
        <v>0.56899999999999995</v>
      </c>
      <c r="C14245" s="6">
        <v>0.70290397563124796</v>
      </c>
    </row>
    <row r="14246" spans="1:3" s="8" customFormat="1" x14ac:dyDescent="0.2">
      <c r="A14246" s="6" t="str">
        <f>"GNS"</f>
        <v>GNS</v>
      </c>
      <c r="B14246" s="6">
        <v>0.56943056943056902</v>
      </c>
      <c r="C14246" s="6">
        <v>0.70290397563124796</v>
      </c>
    </row>
    <row r="14247" spans="1:3" s="8" customFormat="1" x14ac:dyDescent="0.2">
      <c r="A14247" s="6" t="str">
        <f>"AC073343.1"</f>
        <v>AC073343.1</v>
      </c>
      <c r="B14247" s="6">
        <v>0.56970912738214596</v>
      </c>
      <c r="C14247" s="6">
        <v>0.70314910478610604</v>
      </c>
    </row>
    <row r="14248" spans="1:3" s="8" customFormat="1" x14ac:dyDescent="0.2">
      <c r="A14248" s="6" t="str">
        <f>"THRIL"</f>
        <v>THRIL</v>
      </c>
      <c r="B14248" s="6">
        <v>0.56967670011148197</v>
      </c>
      <c r="C14248" s="6">
        <v>0.70314910478610604</v>
      </c>
    </row>
    <row r="14249" spans="1:3" s="8" customFormat="1" x14ac:dyDescent="0.2">
      <c r="A14249" s="6" t="str">
        <f>"GOLGA8G"</f>
        <v>GOLGA8G</v>
      </c>
      <c r="B14249" s="6">
        <v>0.57042957042956999</v>
      </c>
      <c r="C14249" s="6">
        <v>0.70344579328378998</v>
      </c>
    </row>
    <row r="14250" spans="1:3" s="8" customFormat="1" x14ac:dyDescent="0.2">
      <c r="A14250" s="6" t="str">
        <f>"AC093028.1"</f>
        <v>AC093028.1</v>
      </c>
      <c r="B14250" s="6">
        <v>0.57042253521126696</v>
      </c>
      <c r="C14250" s="6">
        <v>0.70344579328378998</v>
      </c>
    </row>
    <row r="14251" spans="1:3" s="8" customFormat="1" x14ac:dyDescent="0.2">
      <c r="A14251" s="6" t="str">
        <f>"EPHX4"</f>
        <v>EPHX4</v>
      </c>
      <c r="B14251" s="6">
        <v>0.56999999999999995</v>
      </c>
      <c r="C14251" s="6">
        <v>0.70344579328378998</v>
      </c>
    </row>
    <row r="14252" spans="1:3" s="8" customFormat="1" x14ac:dyDescent="0.2">
      <c r="A14252" s="6" t="str">
        <f>"GGT3P"</f>
        <v>GGT3P</v>
      </c>
      <c r="B14252" s="6">
        <v>0.57042957042956999</v>
      </c>
      <c r="C14252" s="6">
        <v>0.70344579328378998</v>
      </c>
    </row>
    <row r="14253" spans="1:3" s="8" customFormat="1" x14ac:dyDescent="0.2">
      <c r="A14253" s="6" t="str">
        <f>"SLC47A1"</f>
        <v>SLC47A1</v>
      </c>
      <c r="B14253" s="6">
        <v>0.57042957042956999</v>
      </c>
      <c r="C14253" s="6">
        <v>0.70344579328378998</v>
      </c>
    </row>
    <row r="14254" spans="1:3" s="8" customFormat="1" x14ac:dyDescent="0.2">
      <c r="A14254" s="6" t="str">
        <f>"AL022322.2"</f>
        <v>AL022322.2</v>
      </c>
      <c r="B14254" s="6">
        <v>0.57042957042956999</v>
      </c>
      <c r="C14254" s="6">
        <v>0.70344579328378998</v>
      </c>
    </row>
    <row r="14255" spans="1:3" s="8" customFormat="1" x14ac:dyDescent="0.2">
      <c r="A14255" s="6" t="str">
        <f>"SGSM1"</f>
        <v>SGSM1</v>
      </c>
      <c r="B14255" s="6">
        <v>0.57042957042956999</v>
      </c>
      <c r="C14255" s="6">
        <v>0.70344579328378998</v>
      </c>
    </row>
    <row r="14256" spans="1:3" s="8" customFormat="1" x14ac:dyDescent="0.2">
      <c r="A14256" s="6" t="str">
        <f>"RCE1"</f>
        <v>RCE1</v>
      </c>
      <c r="B14256" s="6">
        <v>0.57042957042956999</v>
      </c>
      <c r="C14256" s="6">
        <v>0.70344579328378998</v>
      </c>
    </row>
    <row r="14257" spans="1:3" s="8" customFormat="1" x14ac:dyDescent="0.2">
      <c r="A14257" s="6" t="str">
        <f>"EFCAB12"</f>
        <v>EFCAB12</v>
      </c>
      <c r="B14257" s="6">
        <v>0.57042957042956999</v>
      </c>
      <c r="C14257" s="6">
        <v>0.70344579328378998</v>
      </c>
    </row>
    <row r="14258" spans="1:3" s="8" customFormat="1" x14ac:dyDescent="0.2">
      <c r="A14258" s="6" t="str">
        <f>"ANP32B"</f>
        <v>ANP32B</v>
      </c>
      <c r="B14258" s="6">
        <v>0.57042957042956999</v>
      </c>
      <c r="C14258" s="6">
        <v>0.70344579328378998</v>
      </c>
    </row>
    <row r="14259" spans="1:3" s="8" customFormat="1" x14ac:dyDescent="0.2">
      <c r="A14259" s="6" t="str">
        <f>"RAB14"</f>
        <v>RAB14</v>
      </c>
      <c r="B14259" s="6">
        <v>0.57042957042956999</v>
      </c>
      <c r="C14259" s="6">
        <v>0.70344579328378998</v>
      </c>
    </row>
    <row r="14260" spans="1:3" s="8" customFormat="1" x14ac:dyDescent="0.2">
      <c r="A14260" s="6" t="str">
        <f>"AL360020.1"</f>
        <v>AL360020.1</v>
      </c>
      <c r="B14260" s="6">
        <v>0.57042957042956999</v>
      </c>
      <c r="C14260" s="6">
        <v>0.70344579328378998</v>
      </c>
    </row>
    <row r="14261" spans="1:3" s="8" customFormat="1" x14ac:dyDescent="0.2">
      <c r="A14261" s="6" t="str">
        <f>"LINC00624"</f>
        <v>LINC00624</v>
      </c>
      <c r="B14261" s="6">
        <v>0.57099999999999995</v>
      </c>
      <c r="C14261" s="6">
        <v>0.70409985974754496</v>
      </c>
    </row>
    <row r="14262" spans="1:3" s="8" customFormat="1" x14ac:dyDescent="0.2">
      <c r="A14262" s="6" t="str">
        <f>"RAD51-AS1"</f>
        <v>RAD51-AS1</v>
      </c>
      <c r="B14262" s="6">
        <v>0.57142857142857095</v>
      </c>
      <c r="C14262" s="6">
        <v>0.70428261021938698</v>
      </c>
    </row>
    <row r="14263" spans="1:3" s="8" customFormat="1" x14ac:dyDescent="0.2">
      <c r="A14263" s="6" t="str">
        <f>"GDPD1"</f>
        <v>GDPD1</v>
      </c>
      <c r="B14263" s="6">
        <v>0.57142857142857095</v>
      </c>
      <c r="C14263" s="6">
        <v>0.70428261021938698</v>
      </c>
    </row>
    <row r="14264" spans="1:3" s="8" customFormat="1" x14ac:dyDescent="0.2">
      <c r="A14264" s="6" t="str">
        <f>"ZNF675"</f>
        <v>ZNF675</v>
      </c>
      <c r="B14264" s="6">
        <v>0.57142857142857095</v>
      </c>
      <c r="C14264" s="6">
        <v>0.70428261021938698</v>
      </c>
    </row>
    <row r="14265" spans="1:3" s="8" customFormat="1" x14ac:dyDescent="0.2">
      <c r="A14265" s="6" t="str">
        <f>"AKAP12"</f>
        <v>AKAP12</v>
      </c>
      <c r="B14265" s="6">
        <v>0.57142857142857095</v>
      </c>
      <c r="C14265" s="6">
        <v>0.70428261021938698</v>
      </c>
    </row>
    <row r="14266" spans="1:3" s="8" customFormat="1" x14ac:dyDescent="0.2">
      <c r="A14266" s="6" t="str">
        <f>"FBXL2"</f>
        <v>FBXL2</v>
      </c>
      <c r="B14266" s="6">
        <v>0.57142857142857095</v>
      </c>
      <c r="C14266" s="6">
        <v>0.70428261021938698</v>
      </c>
    </row>
    <row r="14267" spans="1:3" s="8" customFormat="1" x14ac:dyDescent="0.2">
      <c r="A14267" s="6" t="str">
        <f>"B3GAT3"</f>
        <v>B3GAT3</v>
      </c>
      <c r="B14267" s="6">
        <v>0.57142857142857095</v>
      </c>
      <c r="C14267" s="6">
        <v>0.70428261021938698</v>
      </c>
    </row>
    <row r="14268" spans="1:3" s="8" customFormat="1" x14ac:dyDescent="0.2">
      <c r="A14268" s="6" t="str">
        <f>"PYCR1"</f>
        <v>PYCR1</v>
      </c>
      <c r="B14268" s="6">
        <v>0.57142857142857095</v>
      </c>
      <c r="C14268" s="6">
        <v>0.70428261021938698</v>
      </c>
    </row>
    <row r="14269" spans="1:3" s="8" customFormat="1" x14ac:dyDescent="0.2">
      <c r="A14269" s="6" t="str">
        <f>"AC011592.1"</f>
        <v>AC011592.1</v>
      </c>
      <c r="B14269" s="6">
        <v>0.57242757242757203</v>
      </c>
      <c r="C14269" s="6">
        <v>0.70497033433018796</v>
      </c>
    </row>
    <row r="14270" spans="1:3" s="8" customFormat="1" x14ac:dyDescent="0.2">
      <c r="A14270" s="6" t="str">
        <f>"CUX2"</f>
        <v>CUX2</v>
      </c>
      <c r="B14270" s="6">
        <v>0.57242757242757203</v>
      </c>
      <c r="C14270" s="6">
        <v>0.70497033433018796</v>
      </c>
    </row>
    <row r="14271" spans="1:3" s="8" customFormat="1" x14ac:dyDescent="0.2">
      <c r="A14271" s="6" t="str">
        <f>"AC005725.1"</f>
        <v>AC005725.1</v>
      </c>
      <c r="B14271" s="6">
        <v>0.57242757242757203</v>
      </c>
      <c r="C14271" s="6">
        <v>0.70497033433018796</v>
      </c>
    </row>
    <row r="14272" spans="1:3" s="8" customFormat="1" x14ac:dyDescent="0.2">
      <c r="A14272" s="6" t="str">
        <f>"AC097634.4"</f>
        <v>AC097634.4</v>
      </c>
      <c r="B14272" s="6">
        <v>0.57242757242757203</v>
      </c>
      <c r="C14272" s="6">
        <v>0.70497033433018796</v>
      </c>
    </row>
    <row r="14273" spans="1:3" s="8" customFormat="1" x14ac:dyDescent="0.2">
      <c r="A14273" s="6" t="str">
        <f>"AC020907.1"</f>
        <v>AC020907.1</v>
      </c>
      <c r="B14273" s="6">
        <v>0.57242757242757203</v>
      </c>
      <c r="C14273" s="6">
        <v>0.70497033433018796</v>
      </c>
    </row>
    <row r="14274" spans="1:3" s="8" customFormat="1" x14ac:dyDescent="0.2">
      <c r="A14274" s="6" t="str">
        <f>"CD247"</f>
        <v>CD247</v>
      </c>
      <c r="B14274" s="6">
        <v>0.57242757242757203</v>
      </c>
      <c r="C14274" s="6">
        <v>0.70497033433018796</v>
      </c>
    </row>
    <row r="14275" spans="1:3" s="8" customFormat="1" x14ac:dyDescent="0.2">
      <c r="A14275" s="6" t="str">
        <f>"AP001350.2"</f>
        <v>AP001350.2</v>
      </c>
      <c r="B14275" s="6">
        <v>0.57242757242757203</v>
      </c>
      <c r="C14275" s="6">
        <v>0.70497033433018796</v>
      </c>
    </row>
    <row r="14276" spans="1:3" s="8" customFormat="1" x14ac:dyDescent="0.2">
      <c r="A14276" s="6" t="str">
        <f>"ITIH6"</f>
        <v>ITIH6</v>
      </c>
      <c r="B14276" s="6">
        <v>0.57242757242757203</v>
      </c>
      <c r="C14276" s="6">
        <v>0.70497033433018796</v>
      </c>
    </row>
    <row r="14277" spans="1:3" s="8" customFormat="1" x14ac:dyDescent="0.2">
      <c r="A14277" s="6" t="str">
        <f>"ZNF71"</f>
        <v>ZNF71</v>
      </c>
      <c r="B14277" s="6">
        <v>0.57242757242757203</v>
      </c>
      <c r="C14277" s="6">
        <v>0.70497033433018796</v>
      </c>
    </row>
    <row r="14278" spans="1:3" s="8" customFormat="1" x14ac:dyDescent="0.2">
      <c r="A14278" s="6" t="str">
        <f>"PPP1R37"</f>
        <v>PPP1R37</v>
      </c>
      <c r="B14278" s="6">
        <v>0.57242757242757203</v>
      </c>
      <c r="C14278" s="6">
        <v>0.70497033433018796</v>
      </c>
    </row>
    <row r="14279" spans="1:3" s="8" customFormat="1" x14ac:dyDescent="0.2">
      <c r="A14279" s="6" t="str">
        <f>"RPL29"</f>
        <v>RPL29</v>
      </c>
      <c r="B14279" s="6">
        <v>0.57242757242757203</v>
      </c>
      <c r="C14279" s="6">
        <v>0.70497033433018796</v>
      </c>
    </row>
    <row r="14280" spans="1:3" s="8" customFormat="1" x14ac:dyDescent="0.2">
      <c r="A14280" s="6" t="str">
        <f>"SPATA12"</f>
        <v>SPATA12</v>
      </c>
      <c r="B14280" s="6">
        <v>0.57314629258517003</v>
      </c>
      <c r="C14280" s="6">
        <v>0.70580603745483805</v>
      </c>
    </row>
    <row r="14281" spans="1:3" s="8" customFormat="1" x14ac:dyDescent="0.2">
      <c r="A14281" s="6" t="str">
        <f>"WEE2"</f>
        <v>WEE2</v>
      </c>
      <c r="B14281" s="6">
        <v>0.57342657342657299</v>
      </c>
      <c r="C14281" s="6">
        <v>0.70585459342897205</v>
      </c>
    </row>
    <row r="14282" spans="1:3" s="8" customFormat="1" x14ac:dyDescent="0.2">
      <c r="A14282" s="6" t="str">
        <f>"TNNT1"</f>
        <v>TNNT1</v>
      </c>
      <c r="B14282" s="6">
        <v>0.57342657342657299</v>
      </c>
      <c r="C14282" s="6">
        <v>0.70585459342897205</v>
      </c>
    </row>
    <row r="14283" spans="1:3" s="8" customFormat="1" x14ac:dyDescent="0.2">
      <c r="A14283" s="6" t="str">
        <f>"AL136531.2"</f>
        <v>AL136531.2</v>
      </c>
      <c r="B14283" s="6">
        <v>0.57342657342657299</v>
      </c>
      <c r="C14283" s="6">
        <v>0.70585459342897205</v>
      </c>
    </row>
    <row r="14284" spans="1:3" s="8" customFormat="1" x14ac:dyDescent="0.2">
      <c r="A14284" s="6" t="str">
        <f>"CRYZL2P-SEC16B"</f>
        <v>CRYZL2P-SEC16B</v>
      </c>
      <c r="B14284" s="6">
        <v>0.57342657342657299</v>
      </c>
      <c r="C14284" s="6">
        <v>0.70585459342897205</v>
      </c>
    </row>
    <row r="14285" spans="1:3" s="8" customFormat="1" x14ac:dyDescent="0.2">
      <c r="A14285" s="6" t="str">
        <f>"ZNF160"</f>
        <v>ZNF160</v>
      </c>
      <c r="B14285" s="6">
        <v>0.57342657342657299</v>
      </c>
      <c r="C14285" s="6">
        <v>0.70585459342897205</v>
      </c>
    </row>
    <row r="14286" spans="1:3" s="8" customFormat="1" x14ac:dyDescent="0.2">
      <c r="A14286" s="6" t="str">
        <f>"TTC1"</f>
        <v>TTC1</v>
      </c>
      <c r="B14286" s="6">
        <v>0.57342657342657299</v>
      </c>
      <c r="C14286" s="6">
        <v>0.70585459342897205</v>
      </c>
    </row>
    <row r="14287" spans="1:3" s="8" customFormat="1" x14ac:dyDescent="0.2">
      <c r="A14287" s="6" t="str">
        <f>"AL049650.1"</f>
        <v>AL049650.1</v>
      </c>
      <c r="B14287" s="6">
        <v>0.57442557442557396</v>
      </c>
      <c r="C14287" s="6">
        <v>0.70698532236993705</v>
      </c>
    </row>
    <row r="14288" spans="1:3" s="8" customFormat="1" x14ac:dyDescent="0.2">
      <c r="A14288" s="6" t="str">
        <f>"AL109615.4"</f>
        <v>AL109615.4</v>
      </c>
      <c r="B14288" s="6">
        <v>0.57442557442557396</v>
      </c>
      <c r="C14288" s="6">
        <v>0.70698532236993705</v>
      </c>
    </row>
    <row r="14289" spans="1:3" s="8" customFormat="1" x14ac:dyDescent="0.2">
      <c r="A14289" s="6" t="str">
        <f>"NRN1L"</f>
        <v>NRN1L</v>
      </c>
      <c r="B14289" s="6">
        <v>0.57542457542457504</v>
      </c>
      <c r="C14289" s="6">
        <v>0.70781851936101603</v>
      </c>
    </row>
    <row r="14290" spans="1:3" s="8" customFormat="1" x14ac:dyDescent="0.2">
      <c r="A14290" s="6" t="str">
        <f>"AC020651.2"</f>
        <v>AC020651.2</v>
      </c>
      <c r="B14290" s="6">
        <v>0.57542457542457504</v>
      </c>
      <c r="C14290" s="6">
        <v>0.70781851936101603</v>
      </c>
    </row>
    <row r="14291" spans="1:3" s="8" customFormat="1" x14ac:dyDescent="0.2">
      <c r="A14291" s="6" t="str">
        <f>"AC092384.2"</f>
        <v>AC092384.2</v>
      </c>
      <c r="B14291" s="6">
        <v>0.57542457542457504</v>
      </c>
      <c r="C14291" s="6">
        <v>0.70781851936101603</v>
      </c>
    </row>
    <row r="14292" spans="1:3" s="8" customFormat="1" x14ac:dyDescent="0.2">
      <c r="A14292" s="6" t="str">
        <f>"IL9RP3"</f>
        <v>IL9RP3</v>
      </c>
      <c r="B14292" s="6">
        <v>0.57542457542457504</v>
      </c>
      <c r="C14292" s="6">
        <v>0.70781851936101603</v>
      </c>
    </row>
    <row r="14293" spans="1:3" s="8" customFormat="1" x14ac:dyDescent="0.2">
      <c r="A14293" s="6" t="str">
        <f>"HDAC9"</f>
        <v>HDAC9</v>
      </c>
      <c r="B14293" s="6">
        <v>0.57542457542457504</v>
      </c>
      <c r="C14293" s="6">
        <v>0.70781851936101603</v>
      </c>
    </row>
    <row r="14294" spans="1:3" s="8" customFormat="1" x14ac:dyDescent="0.2">
      <c r="A14294" s="6" t="str">
        <f>"GNB5"</f>
        <v>GNB5</v>
      </c>
      <c r="B14294" s="6">
        <v>0.57542457542457504</v>
      </c>
      <c r="C14294" s="6">
        <v>0.70781851936101603</v>
      </c>
    </row>
    <row r="14295" spans="1:3" s="8" customFormat="1" x14ac:dyDescent="0.2">
      <c r="A14295" s="6" t="str">
        <f>"ELMOD2"</f>
        <v>ELMOD2</v>
      </c>
      <c r="B14295" s="6">
        <v>0.57542457542457504</v>
      </c>
      <c r="C14295" s="6">
        <v>0.70781851936101603</v>
      </c>
    </row>
    <row r="14296" spans="1:3" s="8" customFormat="1" x14ac:dyDescent="0.2">
      <c r="A14296" s="6" t="str">
        <f>"CYB561A3"</f>
        <v>CYB561A3</v>
      </c>
      <c r="B14296" s="6">
        <v>0.57542457542457504</v>
      </c>
      <c r="C14296" s="6">
        <v>0.70781851936101603</v>
      </c>
    </row>
    <row r="14297" spans="1:3" s="8" customFormat="1" x14ac:dyDescent="0.2">
      <c r="A14297" s="6" t="str">
        <f>"TXLNGY"</f>
        <v>TXLNGY</v>
      </c>
      <c r="B14297" s="6">
        <v>0.57579185520361897</v>
      </c>
      <c r="C14297" s="6">
        <v>0.70822075978598498</v>
      </c>
    </row>
    <row r="14298" spans="1:3" s="8" customFormat="1" x14ac:dyDescent="0.2">
      <c r="A14298" s="6" t="str">
        <f>"PNMT"</f>
        <v>PNMT</v>
      </c>
      <c r="B14298" s="6">
        <v>0.576423576423576</v>
      </c>
      <c r="C14298" s="6">
        <v>0.70839686241004596</v>
      </c>
    </row>
    <row r="14299" spans="1:3" s="8" customFormat="1" x14ac:dyDescent="0.2">
      <c r="A14299" s="6" t="str">
        <f>"AL645820.1"</f>
        <v>AL645820.1</v>
      </c>
      <c r="B14299" s="6">
        <v>0.576423576423576</v>
      </c>
      <c r="C14299" s="6">
        <v>0.70839686241004596</v>
      </c>
    </row>
    <row r="14300" spans="1:3" s="8" customFormat="1" x14ac:dyDescent="0.2">
      <c r="A14300" s="6" t="str">
        <f>"AC008269.1"</f>
        <v>AC008269.1</v>
      </c>
      <c r="B14300" s="6">
        <v>0.576423576423576</v>
      </c>
      <c r="C14300" s="6">
        <v>0.70839686241004596</v>
      </c>
    </row>
    <row r="14301" spans="1:3" s="8" customFormat="1" x14ac:dyDescent="0.2">
      <c r="A14301" s="6" t="str">
        <f>"LINC00239"</f>
        <v>LINC00239</v>
      </c>
      <c r="B14301" s="6">
        <v>0.57645875251509004</v>
      </c>
      <c r="C14301" s="6">
        <v>0.70839686241004596</v>
      </c>
    </row>
    <row r="14302" spans="1:3" s="8" customFormat="1" x14ac:dyDescent="0.2">
      <c r="A14302" s="6" t="str">
        <f>"AC109992.1"</f>
        <v>AC109992.1</v>
      </c>
      <c r="B14302" s="6">
        <v>0.576423576423576</v>
      </c>
      <c r="C14302" s="6">
        <v>0.70839686241004596</v>
      </c>
    </row>
    <row r="14303" spans="1:3" s="8" customFormat="1" x14ac:dyDescent="0.2">
      <c r="A14303" s="6" t="str">
        <f>"AL121944.1"</f>
        <v>AL121944.1</v>
      </c>
      <c r="B14303" s="6">
        <v>0.576423576423576</v>
      </c>
      <c r="C14303" s="6">
        <v>0.70839686241004596</v>
      </c>
    </row>
    <row r="14304" spans="1:3" s="8" customFormat="1" x14ac:dyDescent="0.2">
      <c r="A14304" s="6" t="str">
        <f>"C9orf40"</f>
        <v>C9orf40</v>
      </c>
      <c r="B14304" s="6">
        <v>0.576423576423576</v>
      </c>
      <c r="C14304" s="6">
        <v>0.70839686241004596</v>
      </c>
    </row>
    <row r="14305" spans="1:3" s="8" customFormat="1" x14ac:dyDescent="0.2">
      <c r="A14305" s="6" t="str">
        <f>"AC098582.1"</f>
        <v>AC098582.1</v>
      </c>
      <c r="B14305" s="6">
        <v>0.576423576423576</v>
      </c>
      <c r="C14305" s="6">
        <v>0.70839686241004596</v>
      </c>
    </row>
    <row r="14306" spans="1:3" s="8" customFormat="1" x14ac:dyDescent="0.2">
      <c r="A14306" s="6" t="str">
        <f>"APBB2"</f>
        <v>APBB2</v>
      </c>
      <c r="B14306" s="6">
        <v>0.576423576423576</v>
      </c>
      <c r="C14306" s="6">
        <v>0.70839686241004596</v>
      </c>
    </row>
    <row r="14307" spans="1:3" s="8" customFormat="1" x14ac:dyDescent="0.2">
      <c r="A14307" s="6" t="str">
        <f>"DCLRE1A"</f>
        <v>DCLRE1A</v>
      </c>
      <c r="B14307" s="6">
        <v>0.576423576423576</v>
      </c>
      <c r="C14307" s="6">
        <v>0.70839686241004596</v>
      </c>
    </row>
    <row r="14308" spans="1:3" s="8" customFormat="1" x14ac:dyDescent="0.2">
      <c r="A14308" s="6" t="str">
        <f>"ZBTB22"</f>
        <v>ZBTB22</v>
      </c>
      <c r="B14308" s="6">
        <v>0.576423576423576</v>
      </c>
      <c r="C14308" s="6">
        <v>0.70839686241004596</v>
      </c>
    </row>
    <row r="14309" spans="1:3" s="8" customFormat="1" x14ac:dyDescent="0.2">
      <c r="A14309" s="6" t="str">
        <f>"KIF24"</f>
        <v>KIF24</v>
      </c>
      <c r="B14309" s="6">
        <v>0.576423576423576</v>
      </c>
      <c r="C14309" s="6">
        <v>0.70839686241004596</v>
      </c>
    </row>
    <row r="14310" spans="1:3" s="8" customFormat="1" x14ac:dyDescent="0.2">
      <c r="A14310" s="6" t="str">
        <f>"CKB"</f>
        <v>CKB</v>
      </c>
      <c r="B14310" s="6">
        <v>0.576423576423576</v>
      </c>
      <c r="C14310" s="6">
        <v>0.70839686241004596</v>
      </c>
    </row>
    <row r="14311" spans="1:3" s="8" customFormat="1" x14ac:dyDescent="0.2">
      <c r="A14311" s="6" t="str">
        <f>"AC008764.8"</f>
        <v>AC008764.8</v>
      </c>
      <c r="B14311" s="6">
        <v>0.57668711656441696</v>
      </c>
      <c r="C14311" s="6">
        <v>0.70862797048698201</v>
      </c>
    </row>
    <row r="14312" spans="1:3" s="8" customFormat="1" x14ac:dyDescent="0.2">
      <c r="A14312" s="6" t="str">
        <f>"AP003419.1"</f>
        <v>AP003419.1</v>
      </c>
      <c r="B14312" s="6">
        <v>0.57699999999999996</v>
      </c>
      <c r="C14312" s="6">
        <v>0.70896289567465498</v>
      </c>
    </row>
    <row r="14313" spans="1:3" s="8" customFormat="1" x14ac:dyDescent="0.2">
      <c r="A14313" s="6" t="str">
        <f>"DPP6"</f>
        <v>DPP6</v>
      </c>
      <c r="B14313" s="6">
        <v>0.57742257742257697</v>
      </c>
      <c r="C14313" s="6">
        <v>0.70908573234154604</v>
      </c>
    </row>
    <row r="14314" spans="1:3" s="8" customFormat="1" x14ac:dyDescent="0.2">
      <c r="A14314" s="6" t="str">
        <f>"CACNA1C-AS2"</f>
        <v>CACNA1C-AS2</v>
      </c>
      <c r="B14314" s="6">
        <v>0.57715430861723405</v>
      </c>
      <c r="C14314" s="6">
        <v>0.70908573234154604</v>
      </c>
    </row>
    <row r="14315" spans="1:3" s="8" customFormat="1" x14ac:dyDescent="0.2">
      <c r="A14315" s="6" t="str">
        <f>"RBMXP4"</f>
        <v>RBMXP4</v>
      </c>
      <c r="B14315" s="6">
        <v>0.57742257742257697</v>
      </c>
      <c r="C14315" s="6">
        <v>0.70908573234154604</v>
      </c>
    </row>
    <row r="14316" spans="1:3" s="8" customFormat="1" x14ac:dyDescent="0.2">
      <c r="A14316" s="6" t="str">
        <f>"LINC01625"</f>
        <v>LINC01625</v>
      </c>
      <c r="B14316" s="6">
        <v>0.57742257742257697</v>
      </c>
      <c r="C14316" s="6">
        <v>0.70908573234154604</v>
      </c>
    </row>
    <row r="14317" spans="1:3" s="8" customFormat="1" x14ac:dyDescent="0.2">
      <c r="A14317" s="6" t="str">
        <f>"TNKS2-AS1"</f>
        <v>TNKS2-AS1</v>
      </c>
      <c r="B14317" s="6">
        <v>0.57742257742257697</v>
      </c>
      <c r="C14317" s="6">
        <v>0.70908573234154604</v>
      </c>
    </row>
    <row r="14318" spans="1:3" s="8" customFormat="1" x14ac:dyDescent="0.2">
      <c r="A14318" s="6" t="str">
        <f>"SLC6A4"</f>
        <v>SLC6A4</v>
      </c>
      <c r="B14318" s="6">
        <v>0.57742257742257697</v>
      </c>
      <c r="C14318" s="6">
        <v>0.70908573234154604</v>
      </c>
    </row>
    <row r="14319" spans="1:3" s="8" customFormat="1" x14ac:dyDescent="0.2">
      <c r="A14319" s="6" t="str">
        <f>"DCAF16"</f>
        <v>DCAF16</v>
      </c>
      <c r="B14319" s="6">
        <v>0.57742257742257697</v>
      </c>
      <c r="C14319" s="6">
        <v>0.70908573234154604</v>
      </c>
    </row>
    <row r="14320" spans="1:3" s="8" customFormat="1" x14ac:dyDescent="0.2">
      <c r="A14320" s="6" t="str">
        <f>"FAM168B"</f>
        <v>FAM168B</v>
      </c>
      <c r="B14320" s="6">
        <v>0.57742257742257697</v>
      </c>
      <c r="C14320" s="6">
        <v>0.70908573234154604</v>
      </c>
    </row>
    <row r="14321" spans="1:3" s="8" customFormat="1" x14ac:dyDescent="0.2">
      <c r="A14321" s="6" t="str">
        <f>"AL355388.1"</f>
        <v>AL355388.1</v>
      </c>
      <c r="B14321" s="6">
        <v>0.57799999999999996</v>
      </c>
      <c r="C14321" s="6">
        <v>0.70974525139664801</v>
      </c>
    </row>
    <row r="14322" spans="1:3" s="8" customFormat="1" x14ac:dyDescent="0.2">
      <c r="A14322" s="6" t="str">
        <f>"AF274853.1"</f>
        <v>AF274853.1</v>
      </c>
      <c r="B14322" s="6">
        <v>0.57815631262525002</v>
      </c>
      <c r="C14322" s="6">
        <v>0.70988761966359903</v>
      </c>
    </row>
    <row r="14323" spans="1:3" s="8" customFormat="1" x14ac:dyDescent="0.2">
      <c r="A14323" s="6" t="str">
        <f>"PEMT"</f>
        <v>PEMT</v>
      </c>
      <c r="B14323" s="6">
        <v>0.57842157842157804</v>
      </c>
      <c r="C14323" s="6">
        <v>0.71006457937482703</v>
      </c>
    </row>
    <row r="14324" spans="1:3" s="8" customFormat="1" x14ac:dyDescent="0.2">
      <c r="A14324" s="6" t="str">
        <f>"USP7"</f>
        <v>USP7</v>
      </c>
      <c r="B14324" s="6">
        <v>0.57842157842157804</v>
      </c>
      <c r="C14324" s="6">
        <v>0.71006457937482703</v>
      </c>
    </row>
    <row r="14325" spans="1:3" s="8" customFormat="1" x14ac:dyDescent="0.2">
      <c r="A14325" s="6" t="str">
        <f>"KDM3B"</f>
        <v>KDM3B</v>
      </c>
      <c r="B14325" s="6">
        <v>0.57842157842157804</v>
      </c>
      <c r="C14325" s="6">
        <v>0.71006457937482703</v>
      </c>
    </row>
    <row r="14326" spans="1:3" s="8" customFormat="1" x14ac:dyDescent="0.2">
      <c r="A14326" s="6" t="str">
        <f>"NBPF2P"</f>
        <v>NBPF2P</v>
      </c>
      <c r="B14326" s="6">
        <v>0.57862903225806395</v>
      </c>
      <c r="C14326" s="6">
        <v>0.71026966165625105</v>
      </c>
    </row>
    <row r="14327" spans="1:3" s="8" customFormat="1" x14ac:dyDescent="0.2">
      <c r="A14327" s="6" t="str">
        <f>"KRTAP5-11"</f>
        <v>KRTAP5-11</v>
      </c>
      <c r="B14327" s="6">
        <v>0.57899999999999996</v>
      </c>
      <c r="C14327" s="6">
        <v>0.71067541532877199</v>
      </c>
    </row>
    <row r="14328" spans="1:3" s="8" customFormat="1" x14ac:dyDescent="0.2">
      <c r="A14328" s="6" t="str">
        <f>"Z95118.2"</f>
        <v>Z95118.2</v>
      </c>
      <c r="B14328" s="6">
        <v>0.57942057942057901</v>
      </c>
      <c r="C14328" s="6">
        <v>0.71099312411245397</v>
      </c>
    </row>
    <row r="14329" spans="1:3" s="8" customFormat="1" x14ac:dyDescent="0.2">
      <c r="A14329" s="6" t="str">
        <f>"ROR1"</f>
        <v>ROR1</v>
      </c>
      <c r="B14329" s="6">
        <v>0.57942057942057901</v>
      </c>
      <c r="C14329" s="6">
        <v>0.71099312411245397</v>
      </c>
    </row>
    <row r="14330" spans="1:3" s="8" customFormat="1" x14ac:dyDescent="0.2">
      <c r="A14330" s="6" t="str">
        <f>"SLC13A2"</f>
        <v>SLC13A2</v>
      </c>
      <c r="B14330" s="6">
        <v>0.57942057942057901</v>
      </c>
      <c r="C14330" s="6">
        <v>0.71099312411245397</v>
      </c>
    </row>
    <row r="14331" spans="1:3" s="8" customFormat="1" x14ac:dyDescent="0.2">
      <c r="A14331" s="6" t="str">
        <f>"ACOX1"</f>
        <v>ACOX1</v>
      </c>
      <c r="B14331" s="6">
        <v>0.57942057942057901</v>
      </c>
      <c r="C14331" s="6">
        <v>0.71099312411245397</v>
      </c>
    </row>
    <row r="14332" spans="1:3" s="8" customFormat="1" x14ac:dyDescent="0.2">
      <c r="A14332" s="6" t="str">
        <f>"RN7SL784P"</f>
        <v>RN7SL784P</v>
      </c>
      <c r="B14332" s="6">
        <v>0.57954545454545403</v>
      </c>
      <c r="C14332" s="6">
        <v>0.71109673244904503</v>
      </c>
    </row>
    <row r="14333" spans="1:3" s="8" customFormat="1" x14ac:dyDescent="0.2">
      <c r="A14333" s="6" t="str">
        <f>"BX470111.1"</f>
        <v>BX470111.1</v>
      </c>
      <c r="B14333" s="6">
        <v>0.57999999999999996</v>
      </c>
      <c r="C14333" s="6">
        <v>0.71160480044655305</v>
      </c>
    </row>
    <row r="14334" spans="1:3" s="8" customFormat="1" x14ac:dyDescent="0.2">
      <c r="A14334" s="6" t="str">
        <f>"AC116351.2"</f>
        <v>AC116351.2</v>
      </c>
      <c r="B14334" s="6">
        <v>0.58041958041957997</v>
      </c>
      <c r="C14334" s="6">
        <v>0.711771943796492</v>
      </c>
    </row>
    <row r="14335" spans="1:3" s="8" customFormat="1" x14ac:dyDescent="0.2">
      <c r="A14335" s="6" t="str">
        <f>"AC026740.1"</f>
        <v>AC026740.1</v>
      </c>
      <c r="B14335" s="6">
        <v>0.58041958041957997</v>
      </c>
      <c r="C14335" s="6">
        <v>0.711771943796492</v>
      </c>
    </row>
    <row r="14336" spans="1:3" s="8" customFormat="1" x14ac:dyDescent="0.2">
      <c r="A14336" s="6" t="str">
        <f>"DPP10-AS1"</f>
        <v>DPP10-AS1</v>
      </c>
      <c r="B14336" s="6">
        <v>0.58041958041957997</v>
      </c>
      <c r="C14336" s="6">
        <v>0.711771943796492</v>
      </c>
    </row>
    <row r="14337" spans="1:3" s="8" customFormat="1" x14ac:dyDescent="0.2">
      <c r="A14337" s="6" t="str">
        <f>"SPATC1L"</f>
        <v>SPATC1L</v>
      </c>
      <c r="B14337" s="6">
        <v>0.58041958041957997</v>
      </c>
      <c r="C14337" s="6">
        <v>0.711771943796492</v>
      </c>
    </row>
    <row r="14338" spans="1:3" s="8" customFormat="1" x14ac:dyDescent="0.2">
      <c r="A14338" s="6" t="str">
        <f>"PLOD2"</f>
        <v>PLOD2</v>
      </c>
      <c r="B14338" s="6">
        <v>0.58041958041957997</v>
      </c>
      <c r="C14338" s="6">
        <v>0.711771943796492</v>
      </c>
    </row>
    <row r="14339" spans="1:3" s="8" customFormat="1" x14ac:dyDescent="0.2">
      <c r="A14339" s="6" t="str">
        <f>"ANKFY1"</f>
        <v>ANKFY1</v>
      </c>
      <c r="B14339" s="6">
        <v>0.58041958041957997</v>
      </c>
      <c r="C14339" s="6">
        <v>0.711771943796492</v>
      </c>
    </row>
    <row r="14340" spans="1:3" s="8" customFormat="1" x14ac:dyDescent="0.2">
      <c r="A14340" s="6" t="str">
        <f>"ANAPC16"</f>
        <v>ANAPC16</v>
      </c>
      <c r="B14340" s="6">
        <v>0.58041958041957997</v>
      </c>
      <c r="C14340" s="6">
        <v>0.711771943796492</v>
      </c>
    </row>
    <row r="14341" spans="1:3" s="8" customFormat="1" x14ac:dyDescent="0.2">
      <c r="A14341" s="6" t="str">
        <f>"AL139039.3"</f>
        <v>AL139039.3</v>
      </c>
      <c r="B14341" s="6">
        <v>0.58099999999999996</v>
      </c>
      <c r="C14341" s="6">
        <v>0.71243403068340305</v>
      </c>
    </row>
    <row r="14342" spans="1:3" s="8" customFormat="1" x14ac:dyDescent="0.2">
      <c r="A14342" s="6" t="str">
        <f>"AP003108.4"</f>
        <v>AP003108.4</v>
      </c>
      <c r="B14342" s="6">
        <v>0.58116232464929796</v>
      </c>
      <c r="C14342" s="6">
        <v>0.71258338446644298</v>
      </c>
    </row>
    <row r="14343" spans="1:3" s="8" customFormat="1" x14ac:dyDescent="0.2">
      <c r="A14343" s="6" t="str">
        <f>"THG1L"</f>
        <v>THG1L</v>
      </c>
      <c r="B14343" s="6">
        <v>0.58141858141858105</v>
      </c>
      <c r="C14343" s="6">
        <v>0.712649124192411</v>
      </c>
    </row>
    <row r="14344" spans="1:3" s="8" customFormat="1" x14ac:dyDescent="0.2">
      <c r="A14344" s="6" t="str">
        <f>"BCL2L11"</f>
        <v>BCL2L11</v>
      </c>
      <c r="B14344" s="6">
        <v>0.58141858141858105</v>
      </c>
      <c r="C14344" s="6">
        <v>0.712649124192411</v>
      </c>
    </row>
    <row r="14345" spans="1:3" s="8" customFormat="1" x14ac:dyDescent="0.2">
      <c r="A14345" s="6" t="str">
        <f>"AIMP1"</f>
        <v>AIMP1</v>
      </c>
      <c r="B14345" s="6">
        <v>0.58141858141858105</v>
      </c>
      <c r="C14345" s="6">
        <v>0.712649124192411</v>
      </c>
    </row>
    <row r="14346" spans="1:3" s="8" customFormat="1" x14ac:dyDescent="0.2">
      <c r="A14346" s="6" t="str">
        <f>"PIK3R2"</f>
        <v>PIK3R2</v>
      </c>
      <c r="B14346" s="6">
        <v>0.58141858141858105</v>
      </c>
      <c r="C14346" s="6">
        <v>0.712649124192411</v>
      </c>
    </row>
    <row r="14347" spans="1:3" s="8" customFormat="1" x14ac:dyDescent="0.2">
      <c r="A14347" s="6" t="str">
        <f>"PFKP"</f>
        <v>PFKP</v>
      </c>
      <c r="B14347" s="6">
        <v>0.58141858141858105</v>
      </c>
      <c r="C14347" s="6">
        <v>0.712649124192411</v>
      </c>
    </row>
    <row r="14348" spans="1:3" s="8" customFormat="1" x14ac:dyDescent="0.2">
      <c r="A14348" s="6" t="str">
        <f>"RPS10P5"</f>
        <v>RPS10P5</v>
      </c>
      <c r="B14348" s="6">
        <v>0.58199999999999996</v>
      </c>
      <c r="C14348" s="6">
        <v>0.71331205129992303</v>
      </c>
    </row>
    <row r="14349" spans="1:3" s="8" customFormat="1" x14ac:dyDescent="0.2">
      <c r="A14349" s="6" t="str">
        <f>"AL513165.1"</f>
        <v>AL513165.1</v>
      </c>
      <c r="B14349" s="6">
        <v>0.58241758241758201</v>
      </c>
      <c r="C14349" s="6">
        <v>0.71337634224232105</v>
      </c>
    </row>
    <row r="14350" spans="1:3" s="8" customFormat="1" x14ac:dyDescent="0.2">
      <c r="A14350" s="6" t="str">
        <f>"SUSD5"</f>
        <v>SUSD5</v>
      </c>
      <c r="B14350" s="6">
        <v>0.58241758241758201</v>
      </c>
      <c r="C14350" s="6">
        <v>0.71337634224232105</v>
      </c>
    </row>
    <row r="14351" spans="1:3" s="8" customFormat="1" x14ac:dyDescent="0.2">
      <c r="A14351" s="6" t="str">
        <f>"FOXP3"</f>
        <v>FOXP3</v>
      </c>
      <c r="B14351" s="6">
        <v>0.58241758241758201</v>
      </c>
      <c r="C14351" s="6">
        <v>0.71337634224232105</v>
      </c>
    </row>
    <row r="14352" spans="1:3" s="8" customFormat="1" x14ac:dyDescent="0.2">
      <c r="A14352" s="6" t="str">
        <f>"AC012101.2"</f>
        <v>AC012101.2</v>
      </c>
      <c r="B14352" s="6">
        <v>0.58241758241758201</v>
      </c>
      <c r="C14352" s="6">
        <v>0.71337634224232105</v>
      </c>
    </row>
    <row r="14353" spans="1:3" s="8" customFormat="1" x14ac:dyDescent="0.2">
      <c r="A14353" s="6" t="str">
        <f>"AC139887.2"</f>
        <v>AC139887.2</v>
      </c>
      <c r="B14353" s="6">
        <v>0.58241758241758201</v>
      </c>
      <c r="C14353" s="6">
        <v>0.71337634224232105</v>
      </c>
    </row>
    <row r="14354" spans="1:3" s="8" customFormat="1" x14ac:dyDescent="0.2">
      <c r="A14354" s="6" t="str">
        <f>"ROM1"</f>
        <v>ROM1</v>
      </c>
      <c r="B14354" s="6">
        <v>0.58241758241758201</v>
      </c>
      <c r="C14354" s="6">
        <v>0.71337634224232105</v>
      </c>
    </row>
    <row r="14355" spans="1:3" s="8" customFormat="1" x14ac:dyDescent="0.2">
      <c r="A14355" s="6" t="str">
        <f>"VPS4A"</f>
        <v>VPS4A</v>
      </c>
      <c r="B14355" s="6">
        <v>0.58241758241758201</v>
      </c>
      <c r="C14355" s="6">
        <v>0.71337634224232105</v>
      </c>
    </row>
    <row r="14356" spans="1:3" s="8" customFormat="1" x14ac:dyDescent="0.2">
      <c r="A14356" s="6" t="str">
        <f>"CDK2AP2"</f>
        <v>CDK2AP2</v>
      </c>
      <c r="B14356" s="6">
        <v>0.58241758241758201</v>
      </c>
      <c r="C14356" s="6">
        <v>0.71337634224232105</v>
      </c>
    </row>
    <row r="14357" spans="1:3" s="8" customFormat="1" x14ac:dyDescent="0.2">
      <c r="A14357" s="6" t="str">
        <f>"SHROOM3"</f>
        <v>SHROOM3</v>
      </c>
      <c r="B14357" s="6">
        <v>0.58241758241758201</v>
      </c>
      <c r="C14357" s="6">
        <v>0.71337634224232105</v>
      </c>
    </row>
    <row r="14358" spans="1:3" s="8" customFormat="1" x14ac:dyDescent="0.2">
      <c r="A14358" s="6" t="str">
        <f>"PSMD10P2"</f>
        <v>PSMD10P2</v>
      </c>
      <c r="B14358" s="6">
        <v>0.58341658341658298</v>
      </c>
      <c r="C14358" s="6">
        <v>0.71415225915748004</v>
      </c>
    </row>
    <row r="14359" spans="1:3" s="8" customFormat="1" x14ac:dyDescent="0.2">
      <c r="A14359" s="6" t="str">
        <f>"AC106779.1"</f>
        <v>AC106779.1</v>
      </c>
      <c r="B14359" s="6">
        <v>0.58341658341658298</v>
      </c>
      <c r="C14359" s="6">
        <v>0.71415225915748004</v>
      </c>
    </row>
    <row r="14360" spans="1:3" s="8" customFormat="1" x14ac:dyDescent="0.2">
      <c r="A14360" s="6" t="str">
        <f>"CPT1C"</f>
        <v>CPT1C</v>
      </c>
      <c r="B14360" s="6">
        <v>0.58341658341658298</v>
      </c>
      <c r="C14360" s="6">
        <v>0.71415225915748004</v>
      </c>
    </row>
    <row r="14361" spans="1:3" s="8" customFormat="1" x14ac:dyDescent="0.2">
      <c r="A14361" s="6" t="str">
        <f>"ZNF285"</f>
        <v>ZNF285</v>
      </c>
      <c r="B14361" s="6">
        <v>0.58341658341658298</v>
      </c>
      <c r="C14361" s="6">
        <v>0.71415225915748004</v>
      </c>
    </row>
    <row r="14362" spans="1:3" s="8" customFormat="1" x14ac:dyDescent="0.2">
      <c r="A14362" s="6" t="str">
        <f>"AL390728.6"</f>
        <v>AL390728.6</v>
      </c>
      <c r="B14362" s="6">
        <v>0.58341658341658298</v>
      </c>
      <c r="C14362" s="6">
        <v>0.71415225915748004</v>
      </c>
    </row>
    <row r="14363" spans="1:3" s="8" customFormat="1" x14ac:dyDescent="0.2">
      <c r="A14363" s="6" t="str">
        <f>"IL27RA"</f>
        <v>IL27RA</v>
      </c>
      <c r="B14363" s="6">
        <v>0.58341658341658298</v>
      </c>
      <c r="C14363" s="6">
        <v>0.71415225915748004</v>
      </c>
    </row>
    <row r="14364" spans="1:3" s="8" customFormat="1" x14ac:dyDescent="0.2">
      <c r="A14364" s="6" t="str">
        <f>"ZFPL1"</f>
        <v>ZFPL1</v>
      </c>
      <c r="B14364" s="6">
        <v>0.58341658341658298</v>
      </c>
      <c r="C14364" s="6">
        <v>0.71415225915748004</v>
      </c>
    </row>
    <row r="14365" spans="1:3" s="8" customFormat="1" x14ac:dyDescent="0.2">
      <c r="A14365" s="6" t="str">
        <f>"PKP1"</f>
        <v>PKP1</v>
      </c>
      <c r="B14365" s="6">
        <v>0.58341658341658298</v>
      </c>
      <c r="C14365" s="6">
        <v>0.71415225915748004</v>
      </c>
    </row>
    <row r="14366" spans="1:3" s="8" customFormat="1" x14ac:dyDescent="0.2">
      <c r="A14366" s="6" t="str">
        <f>"OSBPL9"</f>
        <v>OSBPL9</v>
      </c>
      <c r="B14366" s="6">
        <v>0.58341658341658298</v>
      </c>
      <c r="C14366" s="6">
        <v>0.71415225915748004</v>
      </c>
    </row>
    <row r="14367" spans="1:3" s="8" customFormat="1" x14ac:dyDescent="0.2">
      <c r="A14367" s="6" t="str">
        <f>"AL355312.2"</f>
        <v>AL355312.2</v>
      </c>
      <c r="B14367" s="6">
        <v>0.584168336673346</v>
      </c>
      <c r="C14367" s="6">
        <v>0.71502269470027302</v>
      </c>
    </row>
    <row r="14368" spans="1:3" s="8" customFormat="1" x14ac:dyDescent="0.2">
      <c r="A14368" s="6" t="str">
        <f>"OSGEPL1-AS1"</f>
        <v>OSGEPL1-AS1</v>
      </c>
      <c r="B14368" s="6">
        <v>0.58445595854922205</v>
      </c>
      <c r="C14368" s="6">
        <v>0.71502633932578596</v>
      </c>
    </row>
    <row r="14369" spans="1:3" s="8" customFormat="1" x14ac:dyDescent="0.2">
      <c r="A14369" s="6" t="str">
        <f>"SATB2"</f>
        <v>SATB2</v>
      </c>
      <c r="B14369" s="6">
        <v>0.58441558441558406</v>
      </c>
      <c r="C14369" s="6">
        <v>0.71502633932578596</v>
      </c>
    </row>
    <row r="14370" spans="1:3" s="8" customFormat="1" x14ac:dyDescent="0.2">
      <c r="A14370" s="6" t="str">
        <f>"ZNF530"</f>
        <v>ZNF530</v>
      </c>
      <c r="B14370" s="6">
        <v>0.58441558441558406</v>
      </c>
      <c r="C14370" s="6">
        <v>0.71502633932578596</v>
      </c>
    </row>
    <row r="14371" spans="1:3" s="8" customFormat="1" x14ac:dyDescent="0.2">
      <c r="A14371" s="6" t="str">
        <f>"CLIC5"</f>
        <v>CLIC5</v>
      </c>
      <c r="B14371" s="6">
        <v>0.58441558441558406</v>
      </c>
      <c r="C14371" s="6">
        <v>0.71502633932578596</v>
      </c>
    </row>
    <row r="14372" spans="1:3" s="8" customFormat="1" x14ac:dyDescent="0.2">
      <c r="A14372" s="6" t="str">
        <f>"PITHD1"</f>
        <v>PITHD1</v>
      </c>
      <c r="B14372" s="6">
        <v>0.58441558441558406</v>
      </c>
      <c r="C14372" s="6">
        <v>0.71502633932578596</v>
      </c>
    </row>
    <row r="14373" spans="1:3" s="8" customFormat="1" x14ac:dyDescent="0.2">
      <c r="A14373" s="6" t="str">
        <f>"EIF3H"</f>
        <v>EIF3H</v>
      </c>
      <c r="B14373" s="6">
        <v>0.58441558441558406</v>
      </c>
      <c r="C14373" s="6">
        <v>0.71502633932578596</v>
      </c>
    </row>
    <row r="14374" spans="1:3" s="8" customFormat="1" x14ac:dyDescent="0.2">
      <c r="A14374" s="6" t="str">
        <f>"CYB5R3"</f>
        <v>CYB5R3</v>
      </c>
      <c r="B14374" s="6">
        <v>0.58441558441558406</v>
      </c>
      <c r="C14374" s="6">
        <v>0.71502633932578596</v>
      </c>
    </row>
    <row r="14375" spans="1:3" s="8" customFormat="1" x14ac:dyDescent="0.2">
      <c r="A14375" s="6" t="str">
        <f>"CKMT2"</f>
        <v>CKMT2</v>
      </c>
      <c r="B14375" s="6">
        <v>0.58541458541458502</v>
      </c>
      <c r="C14375" s="6">
        <v>0.71585049165021297</v>
      </c>
    </row>
    <row r="14376" spans="1:3" s="8" customFormat="1" x14ac:dyDescent="0.2">
      <c r="A14376" s="6" t="str">
        <f>"AC091053.1"</f>
        <v>AC091053.1</v>
      </c>
      <c r="B14376" s="6">
        <v>0.58526740665993904</v>
      </c>
      <c r="C14376" s="6">
        <v>0.71585049165021297</v>
      </c>
    </row>
    <row r="14377" spans="1:3" s="8" customFormat="1" x14ac:dyDescent="0.2">
      <c r="A14377" s="6" t="str">
        <f>"CNDP1"</f>
        <v>CNDP1</v>
      </c>
      <c r="B14377" s="6">
        <v>0.58541458541458502</v>
      </c>
      <c r="C14377" s="6">
        <v>0.71585049165021297</v>
      </c>
    </row>
    <row r="14378" spans="1:3" s="8" customFormat="1" x14ac:dyDescent="0.2">
      <c r="A14378" s="6" t="str">
        <f>"RAPSN"</f>
        <v>RAPSN</v>
      </c>
      <c r="B14378" s="6">
        <v>0.58541458541458502</v>
      </c>
      <c r="C14378" s="6">
        <v>0.71585049165021297</v>
      </c>
    </row>
    <row r="14379" spans="1:3" s="8" customFormat="1" x14ac:dyDescent="0.2">
      <c r="A14379" s="6" t="str">
        <f>"SIDT1"</f>
        <v>SIDT1</v>
      </c>
      <c r="B14379" s="6">
        <v>0.58541458541458502</v>
      </c>
      <c r="C14379" s="6">
        <v>0.71585049165021297</v>
      </c>
    </row>
    <row r="14380" spans="1:3" s="8" customFormat="1" x14ac:dyDescent="0.2">
      <c r="A14380" s="6" t="str">
        <f>"CEP290"</f>
        <v>CEP290</v>
      </c>
      <c r="B14380" s="6">
        <v>0.58541458541458502</v>
      </c>
      <c r="C14380" s="6">
        <v>0.71585049165021297</v>
      </c>
    </row>
    <row r="14381" spans="1:3" s="8" customFormat="1" x14ac:dyDescent="0.2">
      <c r="A14381" s="6" t="str">
        <f>"SREBF2"</f>
        <v>SREBF2</v>
      </c>
      <c r="B14381" s="6">
        <v>0.58541458541458502</v>
      </c>
      <c r="C14381" s="6">
        <v>0.71585049165021297</v>
      </c>
    </row>
    <row r="14382" spans="1:3" s="8" customFormat="1" x14ac:dyDescent="0.2">
      <c r="A14382" s="6" t="str">
        <f>"AL162231.4"</f>
        <v>AL162231.4</v>
      </c>
      <c r="B14382" s="6">
        <v>0.58558558558558504</v>
      </c>
      <c r="C14382" s="6">
        <v>0.71600980021812999</v>
      </c>
    </row>
    <row r="14383" spans="1:3" s="8" customFormat="1" x14ac:dyDescent="0.2">
      <c r="A14383" s="6" t="str">
        <f>"AC018685.2"</f>
        <v>AC018685.2</v>
      </c>
      <c r="B14383" s="6">
        <v>0.58599999999999997</v>
      </c>
      <c r="C14383" s="6">
        <v>0.71641688104011603</v>
      </c>
    </row>
    <row r="14384" spans="1:3" s="8" customFormat="1" x14ac:dyDescent="0.2">
      <c r="A14384" s="6" t="str">
        <f>"AL121845.2"</f>
        <v>AL121845.2</v>
      </c>
      <c r="B14384" s="6">
        <v>0.58599999999999997</v>
      </c>
      <c r="C14384" s="6">
        <v>0.71641688104011603</v>
      </c>
    </row>
    <row r="14385" spans="1:3" s="8" customFormat="1" x14ac:dyDescent="0.2">
      <c r="A14385" s="6" t="str">
        <f>"AL121845.1"</f>
        <v>AL121845.1</v>
      </c>
      <c r="B14385" s="6">
        <v>0.58641358641358599</v>
      </c>
      <c r="C14385" s="6">
        <v>0.71652397355962005</v>
      </c>
    </row>
    <row r="14386" spans="1:3" s="8" customFormat="1" x14ac:dyDescent="0.2">
      <c r="A14386" s="6" t="str">
        <f>"TRAV19"</f>
        <v>TRAV19</v>
      </c>
      <c r="B14386" s="6">
        <v>0.58641358641358599</v>
      </c>
      <c r="C14386" s="6">
        <v>0.71652397355962005</v>
      </c>
    </row>
    <row r="14387" spans="1:3" s="8" customFormat="1" x14ac:dyDescent="0.2">
      <c r="A14387" s="6" t="str">
        <f>"AC098650.1"</f>
        <v>AC098650.1</v>
      </c>
      <c r="B14387" s="6">
        <v>0.58641358641358599</v>
      </c>
      <c r="C14387" s="6">
        <v>0.71652397355962005</v>
      </c>
    </row>
    <row r="14388" spans="1:3" s="8" customFormat="1" x14ac:dyDescent="0.2">
      <c r="A14388" s="6" t="str">
        <f>"AC005699.1"</f>
        <v>AC005699.1</v>
      </c>
      <c r="B14388" s="6">
        <v>0.58641358641358599</v>
      </c>
      <c r="C14388" s="6">
        <v>0.71652397355962005</v>
      </c>
    </row>
    <row r="14389" spans="1:3" s="8" customFormat="1" x14ac:dyDescent="0.2">
      <c r="A14389" s="6" t="str">
        <f>"PCDHB7"</f>
        <v>PCDHB7</v>
      </c>
      <c r="B14389" s="6">
        <v>0.58641358641358599</v>
      </c>
      <c r="C14389" s="6">
        <v>0.71652397355962005</v>
      </c>
    </row>
    <row r="14390" spans="1:3" s="8" customFormat="1" x14ac:dyDescent="0.2">
      <c r="A14390" s="6" t="str">
        <f>"ACVR2B"</f>
        <v>ACVR2B</v>
      </c>
      <c r="B14390" s="6">
        <v>0.58641358641358599</v>
      </c>
      <c r="C14390" s="6">
        <v>0.71652397355962005</v>
      </c>
    </row>
    <row r="14391" spans="1:3" s="8" customFormat="1" x14ac:dyDescent="0.2">
      <c r="A14391" s="6" t="str">
        <f>"PKN1"</f>
        <v>PKN1</v>
      </c>
      <c r="B14391" s="6">
        <v>0.58641358641358599</v>
      </c>
      <c r="C14391" s="6">
        <v>0.71652397355962005</v>
      </c>
    </row>
    <row r="14392" spans="1:3" s="8" customFormat="1" x14ac:dyDescent="0.2">
      <c r="A14392" s="6" t="str">
        <f>"ZNF207"</f>
        <v>ZNF207</v>
      </c>
      <c r="B14392" s="6">
        <v>0.58641358641358599</v>
      </c>
      <c r="C14392" s="6">
        <v>0.71652397355962005</v>
      </c>
    </row>
    <row r="14393" spans="1:3" s="8" customFormat="1" x14ac:dyDescent="0.2">
      <c r="A14393" s="6" t="str">
        <f>"EIF1AXP1"</f>
        <v>EIF1AXP1</v>
      </c>
      <c r="B14393" s="6">
        <v>0.58699999999999997</v>
      </c>
      <c r="C14393" s="6">
        <v>0.717190661478599</v>
      </c>
    </row>
    <row r="14394" spans="1:3" s="8" customFormat="1" x14ac:dyDescent="0.2">
      <c r="A14394" s="6" t="str">
        <f>"AC025180.1"</f>
        <v>AC025180.1</v>
      </c>
      <c r="B14394" s="6">
        <v>0.58741258741258695</v>
      </c>
      <c r="C14394" s="6">
        <v>0.71739567558431205</v>
      </c>
    </row>
    <row r="14395" spans="1:3" s="8" customFormat="1" x14ac:dyDescent="0.2">
      <c r="A14395" s="6" t="str">
        <f>"AC103810.1"</f>
        <v>AC103810.1</v>
      </c>
      <c r="B14395" s="6">
        <v>0.58741258741258695</v>
      </c>
      <c r="C14395" s="6">
        <v>0.71739567558431205</v>
      </c>
    </row>
    <row r="14396" spans="1:3" s="8" customFormat="1" x14ac:dyDescent="0.2">
      <c r="A14396" s="6" t="str">
        <f>"AUXG01000058.1"</f>
        <v>AUXG01000058.1</v>
      </c>
      <c r="B14396" s="6">
        <v>0.58741258741258695</v>
      </c>
      <c r="C14396" s="6">
        <v>0.71739567558431205</v>
      </c>
    </row>
    <row r="14397" spans="1:3" s="8" customFormat="1" x14ac:dyDescent="0.2">
      <c r="A14397" s="6" t="str">
        <f>"MST1R"</f>
        <v>MST1R</v>
      </c>
      <c r="B14397" s="6">
        <v>0.58741258741258695</v>
      </c>
      <c r="C14397" s="6">
        <v>0.71739567558431205</v>
      </c>
    </row>
    <row r="14398" spans="1:3" s="8" customFormat="1" x14ac:dyDescent="0.2">
      <c r="A14398" s="6" t="str">
        <f>"PSME3"</f>
        <v>PSME3</v>
      </c>
      <c r="B14398" s="6">
        <v>0.58741258741258695</v>
      </c>
      <c r="C14398" s="6">
        <v>0.71739567558431205</v>
      </c>
    </row>
    <row r="14399" spans="1:3" s="8" customFormat="1" x14ac:dyDescent="0.2">
      <c r="A14399" s="6" t="str">
        <f>"RPS2"</f>
        <v>RPS2</v>
      </c>
      <c r="B14399" s="6">
        <v>0.58741258741258695</v>
      </c>
      <c r="C14399" s="6">
        <v>0.71739567558431205</v>
      </c>
    </row>
    <row r="14400" spans="1:3" s="8" customFormat="1" x14ac:dyDescent="0.2">
      <c r="A14400" s="6" t="str">
        <f>"COL14A1"</f>
        <v>COL14A1</v>
      </c>
      <c r="B14400" s="6">
        <v>0.58841158841158803</v>
      </c>
      <c r="C14400" s="6">
        <v>0.71821667156944102</v>
      </c>
    </row>
    <row r="14401" spans="1:3" s="8" customFormat="1" x14ac:dyDescent="0.2">
      <c r="A14401" s="6" t="str">
        <f>"ZNF528-AS1"</f>
        <v>ZNF528-AS1</v>
      </c>
      <c r="B14401" s="6">
        <v>0.58841158841158803</v>
      </c>
      <c r="C14401" s="6">
        <v>0.71821667156944102</v>
      </c>
    </row>
    <row r="14402" spans="1:3" s="8" customFormat="1" x14ac:dyDescent="0.2">
      <c r="A14402" s="6" t="str">
        <f>"ARID4A"</f>
        <v>ARID4A</v>
      </c>
      <c r="B14402" s="6">
        <v>0.58841158841158803</v>
      </c>
      <c r="C14402" s="6">
        <v>0.71821667156944102</v>
      </c>
    </row>
    <row r="14403" spans="1:3" s="8" customFormat="1" x14ac:dyDescent="0.2">
      <c r="A14403" s="6" t="str">
        <f>"RORA"</f>
        <v>RORA</v>
      </c>
      <c r="B14403" s="6">
        <v>0.58841158841158803</v>
      </c>
      <c r="C14403" s="6">
        <v>0.71821667156944102</v>
      </c>
    </row>
    <row r="14404" spans="1:3" s="8" customFormat="1" x14ac:dyDescent="0.2">
      <c r="A14404" s="6" t="str">
        <f>"PSMD9"</f>
        <v>PSMD9</v>
      </c>
      <c r="B14404" s="6">
        <v>0.58841158841158803</v>
      </c>
      <c r="C14404" s="6">
        <v>0.71821667156944102</v>
      </c>
    </row>
    <row r="14405" spans="1:3" s="8" customFormat="1" x14ac:dyDescent="0.2">
      <c r="A14405" s="6" t="str">
        <f>"GNL3"</f>
        <v>GNL3</v>
      </c>
      <c r="B14405" s="6">
        <v>0.58841158841158803</v>
      </c>
      <c r="C14405" s="6">
        <v>0.71821667156944102</v>
      </c>
    </row>
    <row r="14406" spans="1:3" s="8" customFormat="1" x14ac:dyDescent="0.2">
      <c r="A14406" s="6" t="str">
        <f>"SMC1A"</f>
        <v>SMC1A</v>
      </c>
      <c r="B14406" s="6">
        <v>0.58841158841158803</v>
      </c>
      <c r="C14406" s="6">
        <v>0.71821667156944102</v>
      </c>
    </row>
    <row r="14407" spans="1:3" s="8" customFormat="1" x14ac:dyDescent="0.2">
      <c r="A14407" s="6" t="str">
        <f>"CORO1B"</f>
        <v>CORO1B</v>
      </c>
      <c r="B14407" s="6">
        <v>0.58841158841158803</v>
      </c>
      <c r="C14407" s="6">
        <v>0.71821667156944102</v>
      </c>
    </row>
    <row r="14408" spans="1:3" s="8" customFormat="1" x14ac:dyDescent="0.2">
      <c r="A14408" s="6" t="str">
        <f>"ESR2"</f>
        <v>ESR2</v>
      </c>
      <c r="B14408" s="6">
        <v>0.58894472361809003</v>
      </c>
      <c r="C14408" s="6">
        <v>0.71881752065666005</v>
      </c>
    </row>
    <row r="14409" spans="1:3" s="8" customFormat="1" x14ac:dyDescent="0.2">
      <c r="A14409" s="6" t="str">
        <f>"ZNF835"</f>
        <v>ZNF835</v>
      </c>
      <c r="B14409" s="6">
        <v>0.58941058941058899</v>
      </c>
      <c r="C14409" s="6">
        <v>0.71903675622282504</v>
      </c>
    </row>
    <row r="14410" spans="1:3" s="8" customFormat="1" x14ac:dyDescent="0.2">
      <c r="A14410" s="6" t="str">
        <f>"AC026741.1"</f>
        <v>AC026741.1</v>
      </c>
      <c r="B14410" s="6">
        <v>0.589178356713426</v>
      </c>
      <c r="C14410" s="6">
        <v>0.71903675622282504</v>
      </c>
    </row>
    <row r="14411" spans="1:3" s="8" customFormat="1" x14ac:dyDescent="0.2">
      <c r="A14411" s="6" t="str">
        <f>"ZBTB20-AS4"</f>
        <v>ZBTB20-AS4</v>
      </c>
      <c r="B14411" s="6">
        <v>0.58941058941058899</v>
      </c>
      <c r="C14411" s="6">
        <v>0.71903675622282504</v>
      </c>
    </row>
    <row r="14412" spans="1:3" s="8" customFormat="1" x14ac:dyDescent="0.2">
      <c r="A14412" s="6" t="str">
        <f>"ESRRB"</f>
        <v>ESRRB</v>
      </c>
      <c r="B14412" s="6">
        <v>0.58941058941058899</v>
      </c>
      <c r="C14412" s="6">
        <v>0.71903675622282504</v>
      </c>
    </row>
    <row r="14413" spans="1:3" s="8" customFormat="1" x14ac:dyDescent="0.2">
      <c r="A14413" s="6" t="str">
        <f>"AC025449.1"</f>
        <v>AC025449.1</v>
      </c>
      <c r="B14413" s="6">
        <v>0.58941058941058899</v>
      </c>
      <c r="C14413" s="6">
        <v>0.71903675622282504</v>
      </c>
    </row>
    <row r="14414" spans="1:3" s="8" customFormat="1" x14ac:dyDescent="0.2">
      <c r="A14414" s="6" t="str">
        <f>"PCDHB15"</f>
        <v>PCDHB15</v>
      </c>
      <c r="B14414" s="6">
        <v>0.58941058941058899</v>
      </c>
      <c r="C14414" s="6">
        <v>0.71903675622282504</v>
      </c>
    </row>
    <row r="14415" spans="1:3" s="8" customFormat="1" x14ac:dyDescent="0.2">
      <c r="A14415" s="6" t="str">
        <f>"PON2"</f>
        <v>PON2</v>
      </c>
      <c r="B14415" s="6">
        <v>0.58941058941058899</v>
      </c>
      <c r="C14415" s="6">
        <v>0.71903675622282504</v>
      </c>
    </row>
    <row r="14416" spans="1:3" s="8" customFormat="1" x14ac:dyDescent="0.2">
      <c r="A14416" s="6" t="str">
        <f>"KRT8P15"</f>
        <v>KRT8P15</v>
      </c>
      <c r="B14416" s="6">
        <v>0.59040959040958996</v>
      </c>
      <c r="C14416" s="6">
        <v>0.71980602078362599</v>
      </c>
    </row>
    <row r="14417" spans="1:3" s="8" customFormat="1" x14ac:dyDescent="0.2">
      <c r="A14417" s="6" t="str">
        <f>"AC092287.1"</f>
        <v>AC092287.1</v>
      </c>
      <c r="B14417" s="6">
        <v>0.59040959040958996</v>
      </c>
      <c r="C14417" s="6">
        <v>0.71980602078362599</v>
      </c>
    </row>
    <row r="14418" spans="1:3" s="8" customFormat="1" x14ac:dyDescent="0.2">
      <c r="A14418" s="6" t="str">
        <f>"ABCB4"</f>
        <v>ABCB4</v>
      </c>
      <c r="B14418" s="6">
        <v>0.59040959040958996</v>
      </c>
      <c r="C14418" s="6">
        <v>0.71980602078362599</v>
      </c>
    </row>
    <row r="14419" spans="1:3" s="8" customFormat="1" x14ac:dyDescent="0.2">
      <c r="A14419" s="6" t="str">
        <f>"CTAGE8"</f>
        <v>CTAGE8</v>
      </c>
      <c r="B14419" s="6">
        <v>0.59040959040958996</v>
      </c>
      <c r="C14419" s="6">
        <v>0.71980602078362599</v>
      </c>
    </row>
    <row r="14420" spans="1:3" s="8" customFormat="1" x14ac:dyDescent="0.2">
      <c r="A14420" s="6" t="str">
        <f>"AC026691.1"</f>
        <v>AC026691.1</v>
      </c>
      <c r="B14420" s="6">
        <v>0.59040959040958996</v>
      </c>
      <c r="C14420" s="6">
        <v>0.71980602078362599</v>
      </c>
    </row>
    <row r="14421" spans="1:3" s="8" customFormat="1" x14ac:dyDescent="0.2">
      <c r="A14421" s="6" t="str">
        <f>"SMO"</f>
        <v>SMO</v>
      </c>
      <c r="B14421" s="6">
        <v>0.59040959040958996</v>
      </c>
      <c r="C14421" s="6">
        <v>0.71980602078362599</v>
      </c>
    </row>
    <row r="14422" spans="1:3" s="8" customFormat="1" x14ac:dyDescent="0.2">
      <c r="A14422" s="6" t="str">
        <f>"TIGD2"</f>
        <v>TIGD2</v>
      </c>
      <c r="B14422" s="6">
        <v>0.59040959040958996</v>
      </c>
      <c r="C14422" s="6">
        <v>0.71980602078362599</v>
      </c>
    </row>
    <row r="14423" spans="1:3" s="8" customFormat="1" x14ac:dyDescent="0.2">
      <c r="A14423" s="6" t="str">
        <f>"NEURL1B"</f>
        <v>NEURL1B</v>
      </c>
      <c r="B14423" s="6">
        <v>0.59040959040958996</v>
      </c>
      <c r="C14423" s="6">
        <v>0.71980602078362599</v>
      </c>
    </row>
    <row r="14424" spans="1:3" s="8" customFormat="1" x14ac:dyDescent="0.2">
      <c r="A14424" s="6" t="str">
        <f>"AHCYL2"</f>
        <v>AHCYL2</v>
      </c>
      <c r="B14424" s="6">
        <v>0.59040959040958996</v>
      </c>
      <c r="C14424" s="6">
        <v>0.71980602078362599</v>
      </c>
    </row>
    <row r="14425" spans="1:3" s="8" customFormat="1" x14ac:dyDescent="0.2">
      <c r="A14425" s="6" t="str">
        <f>"OSMR-AS1"</f>
        <v>OSMR-AS1</v>
      </c>
      <c r="B14425" s="6">
        <v>0.59099999999999997</v>
      </c>
      <c r="C14425" s="6">
        <v>0.72047587354409304</v>
      </c>
    </row>
    <row r="14426" spans="1:3" s="8" customFormat="1" x14ac:dyDescent="0.2">
      <c r="A14426" s="6" t="str">
        <f>"CU633906.1"</f>
        <v>CU633906.1</v>
      </c>
      <c r="B14426" s="6">
        <v>0.59140859140859103</v>
      </c>
      <c r="C14426" s="6">
        <v>0.72067419759727402</v>
      </c>
    </row>
    <row r="14427" spans="1:3" s="8" customFormat="1" x14ac:dyDescent="0.2">
      <c r="A14427" s="6" t="str">
        <f>"TRABD2A"</f>
        <v>TRABD2A</v>
      </c>
      <c r="B14427" s="6">
        <v>0.59140859140859103</v>
      </c>
      <c r="C14427" s="6">
        <v>0.72067419759727402</v>
      </c>
    </row>
    <row r="14428" spans="1:3" s="8" customFormat="1" x14ac:dyDescent="0.2">
      <c r="A14428" s="6" t="str">
        <f>"BBOX1"</f>
        <v>BBOX1</v>
      </c>
      <c r="B14428" s="6">
        <v>0.59140859140859103</v>
      </c>
      <c r="C14428" s="6">
        <v>0.72067419759727402</v>
      </c>
    </row>
    <row r="14429" spans="1:3" s="8" customFormat="1" x14ac:dyDescent="0.2">
      <c r="A14429" s="6" t="str">
        <f>"SMIM5"</f>
        <v>SMIM5</v>
      </c>
      <c r="B14429" s="6">
        <v>0.59140859140859103</v>
      </c>
      <c r="C14429" s="6">
        <v>0.72067419759727402</v>
      </c>
    </row>
    <row r="14430" spans="1:3" s="8" customFormat="1" x14ac:dyDescent="0.2">
      <c r="A14430" s="6" t="str">
        <f>"JKAMP"</f>
        <v>JKAMP</v>
      </c>
      <c r="B14430" s="6">
        <v>0.59140859140859103</v>
      </c>
      <c r="C14430" s="6">
        <v>0.72067419759727402</v>
      </c>
    </row>
    <row r="14431" spans="1:3" s="8" customFormat="1" x14ac:dyDescent="0.2">
      <c r="A14431" s="6" t="str">
        <f>"PEPD"</f>
        <v>PEPD</v>
      </c>
      <c r="B14431" s="6">
        <v>0.59140859140859103</v>
      </c>
      <c r="C14431" s="6">
        <v>0.72067419759727402</v>
      </c>
    </row>
    <row r="14432" spans="1:3" s="8" customFormat="1" x14ac:dyDescent="0.2">
      <c r="A14432" s="6" t="str">
        <f>"AC005538.2"</f>
        <v>AC005538.2</v>
      </c>
      <c r="B14432" s="6">
        <v>0.59213250517598304</v>
      </c>
      <c r="C14432" s="6">
        <v>0.72144158909170297</v>
      </c>
    </row>
    <row r="14433" spans="1:3" s="8" customFormat="1" x14ac:dyDescent="0.2">
      <c r="A14433" s="6" t="str">
        <f>"GS1-594A7.3"</f>
        <v>GS1-594A7.3</v>
      </c>
      <c r="B14433" s="6">
        <v>0.592407592407592</v>
      </c>
      <c r="C14433" s="6">
        <v>0.72144158909170297</v>
      </c>
    </row>
    <row r="14434" spans="1:3" s="8" customFormat="1" x14ac:dyDescent="0.2">
      <c r="A14434" s="6" t="str">
        <f>"TPTE2P2"</f>
        <v>TPTE2P2</v>
      </c>
      <c r="B14434" s="6">
        <v>0.592407592407592</v>
      </c>
      <c r="C14434" s="6">
        <v>0.72144158909170297</v>
      </c>
    </row>
    <row r="14435" spans="1:3" s="8" customFormat="1" x14ac:dyDescent="0.2">
      <c r="A14435" s="6" t="str">
        <f>"ZNF485"</f>
        <v>ZNF485</v>
      </c>
      <c r="B14435" s="6">
        <v>0.592407592407592</v>
      </c>
      <c r="C14435" s="6">
        <v>0.72144158909170297</v>
      </c>
    </row>
    <row r="14436" spans="1:3" s="8" customFormat="1" x14ac:dyDescent="0.2">
      <c r="A14436" s="6" t="str">
        <f>"ETV5"</f>
        <v>ETV5</v>
      </c>
      <c r="B14436" s="6">
        <v>0.592407592407592</v>
      </c>
      <c r="C14436" s="6">
        <v>0.72144158909170297</v>
      </c>
    </row>
    <row r="14437" spans="1:3" s="8" customFormat="1" x14ac:dyDescent="0.2">
      <c r="A14437" s="6" t="str">
        <f>"TDG"</f>
        <v>TDG</v>
      </c>
      <c r="B14437" s="6">
        <v>0.592407592407592</v>
      </c>
      <c r="C14437" s="6">
        <v>0.72144158909170297</v>
      </c>
    </row>
    <row r="14438" spans="1:3" s="8" customFormat="1" x14ac:dyDescent="0.2">
      <c r="A14438" s="6" t="str">
        <f>"UBQLN2"</f>
        <v>UBQLN2</v>
      </c>
      <c r="B14438" s="6">
        <v>0.592407592407592</v>
      </c>
      <c r="C14438" s="6">
        <v>0.72144158909170297</v>
      </c>
    </row>
    <row r="14439" spans="1:3" s="8" customFormat="1" x14ac:dyDescent="0.2">
      <c r="A14439" s="6" t="str">
        <f>"ARF5"</f>
        <v>ARF5</v>
      </c>
      <c r="B14439" s="6">
        <v>0.592407592407592</v>
      </c>
      <c r="C14439" s="6">
        <v>0.72144158909170297</v>
      </c>
    </row>
    <row r="14440" spans="1:3" s="8" customFormat="1" x14ac:dyDescent="0.2">
      <c r="A14440" s="6" t="str">
        <f>"DTX4"</f>
        <v>DTX4</v>
      </c>
      <c r="B14440" s="6">
        <v>0.592407592407592</v>
      </c>
      <c r="C14440" s="6">
        <v>0.72144158909170297</v>
      </c>
    </row>
    <row r="14441" spans="1:3" s="8" customFormat="1" x14ac:dyDescent="0.2">
      <c r="A14441" s="6" t="str">
        <f>"BMS1P8"</f>
        <v>BMS1P8</v>
      </c>
      <c r="B14441" s="6">
        <v>0.59289340101522803</v>
      </c>
      <c r="C14441" s="6">
        <v>0.72198321076535799</v>
      </c>
    </row>
    <row r="14442" spans="1:3" s="8" customFormat="1" x14ac:dyDescent="0.2">
      <c r="A14442" s="6" t="str">
        <f>"ST8SIA2"</f>
        <v>ST8SIA2</v>
      </c>
      <c r="B14442" s="6">
        <v>0.59340659340659296</v>
      </c>
      <c r="C14442" s="6">
        <v>0.72215804128047101</v>
      </c>
    </row>
    <row r="14443" spans="1:3" s="8" customFormat="1" x14ac:dyDescent="0.2">
      <c r="A14443" s="6" t="str">
        <f>"AL117344.2"</f>
        <v>AL117344.2</v>
      </c>
      <c r="B14443" s="6">
        <v>0.59340659340659296</v>
      </c>
      <c r="C14443" s="6">
        <v>0.72215804128047101</v>
      </c>
    </row>
    <row r="14444" spans="1:3" s="8" customFormat="1" x14ac:dyDescent="0.2">
      <c r="A14444" s="6" t="str">
        <f>"CACNA1I"</f>
        <v>CACNA1I</v>
      </c>
      <c r="B14444" s="6">
        <v>0.59340659340659296</v>
      </c>
      <c r="C14444" s="6">
        <v>0.72215804128047101</v>
      </c>
    </row>
    <row r="14445" spans="1:3" s="8" customFormat="1" x14ac:dyDescent="0.2">
      <c r="A14445" s="6" t="str">
        <f>"LAMB4"</f>
        <v>LAMB4</v>
      </c>
      <c r="B14445" s="6">
        <v>0.59340659340659296</v>
      </c>
      <c r="C14445" s="6">
        <v>0.72215804128047101</v>
      </c>
    </row>
    <row r="14446" spans="1:3" s="8" customFormat="1" x14ac:dyDescent="0.2">
      <c r="A14446" s="6" t="str">
        <f>"PLA2G4B"</f>
        <v>PLA2G4B</v>
      </c>
      <c r="B14446" s="6">
        <v>0.59340659340659296</v>
      </c>
      <c r="C14446" s="6">
        <v>0.72215804128047101</v>
      </c>
    </row>
    <row r="14447" spans="1:3" s="8" customFormat="1" x14ac:dyDescent="0.2">
      <c r="A14447" s="6" t="str">
        <f>"FAM50B"</f>
        <v>FAM50B</v>
      </c>
      <c r="B14447" s="6">
        <v>0.59340659340659296</v>
      </c>
      <c r="C14447" s="6">
        <v>0.72215804128047101</v>
      </c>
    </row>
    <row r="14448" spans="1:3" s="8" customFormat="1" x14ac:dyDescent="0.2">
      <c r="A14448" s="6" t="str">
        <f>"OSBPL3"</f>
        <v>OSBPL3</v>
      </c>
      <c r="B14448" s="6">
        <v>0.59340659340659296</v>
      </c>
      <c r="C14448" s="6">
        <v>0.72215804128047101</v>
      </c>
    </row>
    <row r="14449" spans="1:3" s="8" customFormat="1" x14ac:dyDescent="0.2">
      <c r="A14449" s="6" t="str">
        <f>"PPM1H"</f>
        <v>PPM1H</v>
      </c>
      <c r="B14449" s="6">
        <v>0.59340659340659296</v>
      </c>
      <c r="C14449" s="6">
        <v>0.72215804128047101</v>
      </c>
    </row>
    <row r="14450" spans="1:3" s="8" customFormat="1" x14ac:dyDescent="0.2">
      <c r="A14450" s="6" t="str">
        <f>"SCNN1A"</f>
        <v>SCNN1A</v>
      </c>
      <c r="B14450" s="6">
        <v>0.59340659340659296</v>
      </c>
      <c r="C14450" s="6">
        <v>0.72215804128047101</v>
      </c>
    </row>
    <row r="14451" spans="1:3" s="8" customFormat="1" x14ac:dyDescent="0.2">
      <c r="A14451" s="6" t="str">
        <f>"EPS15-AS1"</f>
        <v>EPS15-AS1</v>
      </c>
      <c r="B14451" s="6">
        <v>0.59358841778697002</v>
      </c>
      <c r="C14451" s="6">
        <v>0.72232932445440001</v>
      </c>
    </row>
    <row r="14452" spans="1:3" s="8" customFormat="1" x14ac:dyDescent="0.2">
      <c r="A14452" s="6" t="str">
        <f>"AC126323.1"</f>
        <v>AC126323.1</v>
      </c>
      <c r="B14452" s="6">
        <v>0.59440559440559404</v>
      </c>
      <c r="C14452" s="6">
        <v>0.72272354944184503</v>
      </c>
    </row>
    <row r="14453" spans="1:3" s="8" customFormat="1" x14ac:dyDescent="0.2">
      <c r="A14453" s="6" t="str">
        <f>"AC012181.1"</f>
        <v>AC012181.1</v>
      </c>
      <c r="B14453" s="6">
        <v>0.59440559440559404</v>
      </c>
      <c r="C14453" s="6">
        <v>0.72272354944184503</v>
      </c>
    </row>
    <row r="14454" spans="1:3" s="8" customFormat="1" x14ac:dyDescent="0.2">
      <c r="A14454" s="6" t="str">
        <f>"FCRL6"</f>
        <v>FCRL6</v>
      </c>
      <c r="B14454" s="6">
        <v>0.59440559440559404</v>
      </c>
      <c r="C14454" s="6">
        <v>0.72272354944184503</v>
      </c>
    </row>
    <row r="14455" spans="1:3" s="8" customFormat="1" x14ac:dyDescent="0.2">
      <c r="A14455" s="6" t="str">
        <f>"AC012184.3"</f>
        <v>AC012184.3</v>
      </c>
      <c r="B14455" s="6">
        <v>0.59440559440559404</v>
      </c>
      <c r="C14455" s="6">
        <v>0.72272354944184503</v>
      </c>
    </row>
    <row r="14456" spans="1:3" s="8" customFormat="1" x14ac:dyDescent="0.2">
      <c r="A14456" s="6" t="str">
        <f>"AP000347.1"</f>
        <v>AP000347.1</v>
      </c>
      <c r="B14456" s="6">
        <v>0.59440559440559404</v>
      </c>
      <c r="C14456" s="6">
        <v>0.72272354944184503</v>
      </c>
    </row>
    <row r="14457" spans="1:3" s="8" customFormat="1" x14ac:dyDescent="0.2">
      <c r="A14457" s="6" t="str">
        <f>"AC046134.2"</f>
        <v>AC046134.2</v>
      </c>
      <c r="B14457" s="6">
        <v>0.59440559440559404</v>
      </c>
      <c r="C14457" s="6">
        <v>0.72272354944184503</v>
      </c>
    </row>
    <row r="14458" spans="1:3" s="8" customFormat="1" x14ac:dyDescent="0.2">
      <c r="A14458" s="6" t="str">
        <f>"SDHAF1"</f>
        <v>SDHAF1</v>
      </c>
      <c r="B14458" s="6">
        <v>0.59440559440559404</v>
      </c>
      <c r="C14458" s="6">
        <v>0.72272354944184503</v>
      </c>
    </row>
    <row r="14459" spans="1:3" s="8" customFormat="1" x14ac:dyDescent="0.2">
      <c r="A14459" s="6" t="str">
        <f>"CISD1"</f>
        <v>CISD1</v>
      </c>
      <c r="B14459" s="6">
        <v>0.59440559440559404</v>
      </c>
      <c r="C14459" s="6">
        <v>0.72272354944184503</v>
      </c>
    </row>
    <row r="14460" spans="1:3" s="8" customFormat="1" x14ac:dyDescent="0.2">
      <c r="A14460" s="6" t="str">
        <f>"CAMLG"</f>
        <v>CAMLG</v>
      </c>
      <c r="B14460" s="6">
        <v>0.59440559440559404</v>
      </c>
      <c r="C14460" s="6">
        <v>0.72272354944184503</v>
      </c>
    </row>
    <row r="14461" spans="1:3" s="8" customFormat="1" x14ac:dyDescent="0.2">
      <c r="A14461" s="6" t="str">
        <f>"FAM120B"</f>
        <v>FAM120B</v>
      </c>
      <c r="B14461" s="6">
        <v>0.59440559440559404</v>
      </c>
      <c r="C14461" s="6">
        <v>0.72272354944184503</v>
      </c>
    </row>
    <row r="14462" spans="1:3" s="8" customFormat="1" x14ac:dyDescent="0.2">
      <c r="A14462" s="6" t="str">
        <f>"ANO6"</f>
        <v>ANO6</v>
      </c>
      <c r="B14462" s="6">
        <v>0.59440559440559404</v>
      </c>
      <c r="C14462" s="6">
        <v>0.72272354944184503</v>
      </c>
    </row>
    <row r="14463" spans="1:3" s="8" customFormat="1" x14ac:dyDescent="0.2">
      <c r="A14463" s="6" t="str">
        <f>"GSDMD"</f>
        <v>GSDMD</v>
      </c>
      <c r="B14463" s="6">
        <v>0.59440559440559404</v>
      </c>
      <c r="C14463" s="6">
        <v>0.72272354944184503</v>
      </c>
    </row>
    <row r="14464" spans="1:3" s="8" customFormat="1" x14ac:dyDescent="0.2">
      <c r="A14464" s="6" t="str">
        <f>"TONSL-AS1"</f>
        <v>TONSL-AS1</v>
      </c>
      <c r="B14464" s="6">
        <v>0.59459459459459396</v>
      </c>
      <c r="C14464" s="6">
        <v>0.72290336384922504</v>
      </c>
    </row>
    <row r="14465" spans="1:3" s="8" customFormat="1" x14ac:dyDescent="0.2">
      <c r="A14465" s="6" t="str">
        <f>"AC092437.1"</f>
        <v>AC092437.1</v>
      </c>
      <c r="B14465" s="6">
        <v>0.59528688524590101</v>
      </c>
      <c r="C14465" s="6">
        <v>0.72308822471126499</v>
      </c>
    </row>
    <row r="14466" spans="1:3" s="8" customFormat="1" x14ac:dyDescent="0.2">
      <c r="A14466" s="6" t="str">
        <f>"PRRT3-AS1"</f>
        <v>PRRT3-AS1</v>
      </c>
      <c r="B14466" s="6">
        <v>0.59540459540459501</v>
      </c>
      <c r="C14466" s="6">
        <v>0.72308822471126499</v>
      </c>
    </row>
    <row r="14467" spans="1:3" s="8" customFormat="1" x14ac:dyDescent="0.2">
      <c r="A14467" s="6" t="str">
        <f>"AC010359.2"</f>
        <v>AC010359.2</v>
      </c>
      <c r="B14467" s="6">
        <v>0.59540459540459501</v>
      </c>
      <c r="C14467" s="6">
        <v>0.72308822471126499</v>
      </c>
    </row>
    <row r="14468" spans="1:3" s="8" customFormat="1" x14ac:dyDescent="0.2">
      <c r="A14468" s="6" t="str">
        <f>"AL109840.2"</f>
        <v>AL109840.2</v>
      </c>
      <c r="B14468" s="6">
        <v>0.59497487437185903</v>
      </c>
      <c r="C14468" s="6">
        <v>0.72308822471126499</v>
      </c>
    </row>
    <row r="14469" spans="1:3" s="8" customFormat="1" x14ac:dyDescent="0.2">
      <c r="A14469" s="6" t="str">
        <f>"AL732437.3"</f>
        <v>AL732437.3</v>
      </c>
      <c r="B14469" s="6">
        <v>0.59540459540459501</v>
      </c>
      <c r="C14469" s="6">
        <v>0.72308822471126499</v>
      </c>
    </row>
    <row r="14470" spans="1:3" s="8" customFormat="1" x14ac:dyDescent="0.2">
      <c r="A14470" s="6" t="str">
        <f>"ACR"</f>
        <v>ACR</v>
      </c>
      <c r="B14470" s="6">
        <v>0.59540459540459501</v>
      </c>
      <c r="C14470" s="6">
        <v>0.72308822471126499</v>
      </c>
    </row>
    <row r="14471" spans="1:3" s="8" customFormat="1" x14ac:dyDescent="0.2">
      <c r="A14471" s="6" t="str">
        <f>"AC078785.1"</f>
        <v>AC078785.1</v>
      </c>
      <c r="B14471" s="6">
        <v>0.59499999999999997</v>
      </c>
      <c r="C14471" s="6">
        <v>0.72308822471126499</v>
      </c>
    </row>
    <row r="14472" spans="1:3" s="8" customFormat="1" x14ac:dyDescent="0.2">
      <c r="A14472" s="6" t="str">
        <f>"AC105001.2"</f>
        <v>AC105001.2</v>
      </c>
      <c r="B14472" s="6">
        <v>0.59540459540459501</v>
      </c>
      <c r="C14472" s="6">
        <v>0.72308822471126499</v>
      </c>
    </row>
    <row r="14473" spans="1:3" s="8" customFormat="1" x14ac:dyDescent="0.2">
      <c r="A14473" s="6" t="str">
        <f>"NRG1"</f>
        <v>NRG1</v>
      </c>
      <c r="B14473" s="6">
        <v>0.59540459540459501</v>
      </c>
      <c r="C14473" s="6">
        <v>0.72308822471126499</v>
      </c>
    </row>
    <row r="14474" spans="1:3" s="8" customFormat="1" x14ac:dyDescent="0.2">
      <c r="A14474" s="6" t="str">
        <f>"MSRB2"</f>
        <v>MSRB2</v>
      </c>
      <c r="B14474" s="6">
        <v>0.59540459540459501</v>
      </c>
      <c r="C14474" s="6">
        <v>0.72308822471126499</v>
      </c>
    </row>
    <row r="14475" spans="1:3" s="8" customFormat="1" x14ac:dyDescent="0.2">
      <c r="A14475" s="6" t="str">
        <f>"CFAP161"</f>
        <v>CFAP161</v>
      </c>
      <c r="B14475" s="6">
        <v>0.59540459540459501</v>
      </c>
      <c r="C14475" s="6">
        <v>0.72308822471126499</v>
      </c>
    </row>
    <row r="14476" spans="1:3" s="8" customFormat="1" x14ac:dyDescent="0.2">
      <c r="A14476" s="6" t="str">
        <f>"NCDN"</f>
        <v>NCDN</v>
      </c>
      <c r="B14476" s="6">
        <v>0.59540459540459501</v>
      </c>
      <c r="C14476" s="6">
        <v>0.72308822471126499</v>
      </c>
    </row>
    <row r="14477" spans="1:3" s="8" customFormat="1" x14ac:dyDescent="0.2">
      <c r="A14477" s="6" t="str">
        <f>"BCL7A"</f>
        <v>BCL7A</v>
      </c>
      <c r="B14477" s="6">
        <v>0.59540459540459501</v>
      </c>
      <c r="C14477" s="6">
        <v>0.72308822471126499</v>
      </c>
    </row>
    <row r="14478" spans="1:3" s="8" customFormat="1" x14ac:dyDescent="0.2">
      <c r="A14478" s="6" t="str">
        <f>"LIMD1"</f>
        <v>LIMD1</v>
      </c>
      <c r="B14478" s="6">
        <v>0.59499999999999997</v>
      </c>
      <c r="C14478" s="6">
        <v>0.72308822471126499</v>
      </c>
    </row>
    <row r="14479" spans="1:3" s="8" customFormat="1" x14ac:dyDescent="0.2">
      <c r="A14479" s="6" t="str">
        <f>"PODXL"</f>
        <v>PODXL</v>
      </c>
      <c r="B14479" s="6">
        <v>0.59499999999999997</v>
      </c>
      <c r="C14479" s="6">
        <v>0.72308822471126499</v>
      </c>
    </row>
    <row r="14480" spans="1:3" s="8" customFormat="1" x14ac:dyDescent="0.2">
      <c r="A14480" s="6" t="str">
        <f>"SYNE1"</f>
        <v>SYNE1</v>
      </c>
      <c r="B14480" s="6">
        <v>0.59540459540459501</v>
      </c>
      <c r="C14480" s="6">
        <v>0.72308822471126499</v>
      </c>
    </row>
    <row r="14481" spans="1:3" s="8" customFormat="1" x14ac:dyDescent="0.2">
      <c r="A14481" s="6" t="str">
        <f>"BMPER"</f>
        <v>BMPER</v>
      </c>
      <c r="B14481" s="6">
        <v>0.59640359640359597</v>
      </c>
      <c r="C14481" s="6">
        <v>0.72400143867178701</v>
      </c>
    </row>
    <row r="14482" spans="1:3" s="8" customFormat="1" x14ac:dyDescent="0.2">
      <c r="A14482" s="6" t="str">
        <f>"AL158066.1"</f>
        <v>AL158066.1</v>
      </c>
      <c r="B14482" s="6">
        <v>0.59640359640359597</v>
      </c>
      <c r="C14482" s="6">
        <v>0.72400143867178701</v>
      </c>
    </row>
    <row r="14483" spans="1:3" s="8" customFormat="1" x14ac:dyDescent="0.2">
      <c r="A14483" s="6" t="str">
        <f>"LINC00294"</f>
        <v>LINC00294</v>
      </c>
      <c r="B14483" s="6">
        <v>0.59640359640359597</v>
      </c>
      <c r="C14483" s="6">
        <v>0.72400143867178701</v>
      </c>
    </row>
    <row r="14484" spans="1:3" s="8" customFormat="1" x14ac:dyDescent="0.2">
      <c r="A14484" s="6" t="str">
        <f>"CAPN8"</f>
        <v>CAPN8</v>
      </c>
      <c r="B14484" s="6">
        <v>0.59640359640359597</v>
      </c>
      <c r="C14484" s="6">
        <v>0.72400143867178701</v>
      </c>
    </row>
    <row r="14485" spans="1:3" s="8" customFormat="1" x14ac:dyDescent="0.2">
      <c r="A14485" s="6" t="str">
        <f>"CBY1"</f>
        <v>CBY1</v>
      </c>
      <c r="B14485" s="6">
        <v>0.59640359640359597</v>
      </c>
      <c r="C14485" s="6">
        <v>0.72400143867178701</v>
      </c>
    </row>
    <row r="14486" spans="1:3" s="8" customFormat="1" x14ac:dyDescent="0.2">
      <c r="A14486" s="6" t="str">
        <f>"CTTN"</f>
        <v>CTTN</v>
      </c>
      <c r="B14486" s="6">
        <v>0.59640359640359597</v>
      </c>
      <c r="C14486" s="6">
        <v>0.72400143867178701</v>
      </c>
    </row>
    <row r="14487" spans="1:3" s="8" customFormat="1" x14ac:dyDescent="0.2">
      <c r="A14487" s="6" t="str">
        <f>"PRSS21"</f>
        <v>PRSS21</v>
      </c>
      <c r="B14487" s="6">
        <v>0.59740259740259705</v>
      </c>
      <c r="C14487" s="6">
        <v>0.72481385998256198</v>
      </c>
    </row>
    <row r="14488" spans="1:3" s="8" customFormat="1" x14ac:dyDescent="0.2">
      <c r="A14488" s="6" t="str">
        <f>"ESYT3"</f>
        <v>ESYT3</v>
      </c>
      <c r="B14488" s="6">
        <v>0.59740259740259705</v>
      </c>
      <c r="C14488" s="6">
        <v>0.72481385998256198</v>
      </c>
    </row>
    <row r="14489" spans="1:3" s="8" customFormat="1" x14ac:dyDescent="0.2">
      <c r="A14489" s="6" t="str">
        <f>"RNF214"</f>
        <v>RNF214</v>
      </c>
      <c r="B14489" s="6">
        <v>0.59740259740259705</v>
      </c>
      <c r="C14489" s="6">
        <v>0.72481385998256198</v>
      </c>
    </row>
    <row r="14490" spans="1:3" s="8" customFormat="1" x14ac:dyDescent="0.2">
      <c r="A14490" s="6" t="str">
        <f>"FBXO27"</f>
        <v>FBXO27</v>
      </c>
      <c r="B14490" s="6">
        <v>0.59740259740259705</v>
      </c>
      <c r="C14490" s="6">
        <v>0.72481385998256198</v>
      </c>
    </row>
    <row r="14491" spans="1:3" s="8" customFormat="1" x14ac:dyDescent="0.2">
      <c r="A14491" s="6" t="str">
        <f>"ZNF83"</f>
        <v>ZNF83</v>
      </c>
      <c r="B14491" s="6">
        <v>0.59740259740259705</v>
      </c>
      <c r="C14491" s="6">
        <v>0.72481385998256198</v>
      </c>
    </row>
    <row r="14492" spans="1:3" s="8" customFormat="1" x14ac:dyDescent="0.2">
      <c r="A14492" s="6" t="str">
        <f>"SPARCL1"</f>
        <v>SPARCL1</v>
      </c>
      <c r="B14492" s="6">
        <v>0.59740259740259705</v>
      </c>
      <c r="C14492" s="6">
        <v>0.72481385998256198</v>
      </c>
    </row>
    <row r="14493" spans="1:3" s="8" customFormat="1" x14ac:dyDescent="0.2">
      <c r="A14493" s="6" t="str">
        <f>"ATOX1"</f>
        <v>ATOX1</v>
      </c>
      <c r="B14493" s="6">
        <v>0.59740259740259705</v>
      </c>
      <c r="C14493" s="6">
        <v>0.72481385998256198</v>
      </c>
    </row>
    <row r="14494" spans="1:3" s="8" customFormat="1" x14ac:dyDescent="0.2">
      <c r="A14494" s="6" t="str">
        <f>"STRN"</f>
        <v>STRN</v>
      </c>
      <c r="B14494" s="6">
        <v>0.59740259740259705</v>
      </c>
      <c r="C14494" s="6">
        <v>0.72481385998256198</v>
      </c>
    </row>
    <row r="14495" spans="1:3" s="8" customFormat="1" x14ac:dyDescent="0.2">
      <c r="A14495" s="6" t="str">
        <f>"SPP2"</f>
        <v>SPP2</v>
      </c>
      <c r="B14495" s="6">
        <v>0.59759759759759701</v>
      </c>
      <c r="C14495" s="6">
        <v>0.725000424738247</v>
      </c>
    </row>
    <row r="14496" spans="1:3" s="8" customFormat="1" x14ac:dyDescent="0.2">
      <c r="A14496" s="6" t="str">
        <f>"AC006960.3"</f>
        <v>AC006960.3</v>
      </c>
      <c r="B14496" s="6">
        <v>0.59791666666666599</v>
      </c>
      <c r="C14496" s="6">
        <v>0.72533747269173199</v>
      </c>
    </row>
    <row r="14497" spans="1:3" s="8" customFormat="1" x14ac:dyDescent="0.2">
      <c r="A14497" s="6" t="str">
        <f>"PLS3-AS1"</f>
        <v>PLS3-AS1</v>
      </c>
      <c r="B14497" s="6">
        <v>0.59840159840159801</v>
      </c>
      <c r="C14497" s="6">
        <v>0.72547529690386803</v>
      </c>
    </row>
    <row r="14498" spans="1:3" s="8" customFormat="1" x14ac:dyDescent="0.2">
      <c r="A14498" s="6" t="str">
        <f>"AC103955.1"</f>
        <v>AC103955.1</v>
      </c>
      <c r="B14498" s="6">
        <v>0.59840159840159801</v>
      </c>
      <c r="C14498" s="6">
        <v>0.72547529690386803</v>
      </c>
    </row>
    <row r="14499" spans="1:3" s="8" customFormat="1" x14ac:dyDescent="0.2">
      <c r="A14499" s="6" t="str">
        <f>"U47924.2"</f>
        <v>U47924.2</v>
      </c>
      <c r="B14499" s="6">
        <v>0.59840159840159801</v>
      </c>
      <c r="C14499" s="6">
        <v>0.72547529690386803</v>
      </c>
    </row>
    <row r="14500" spans="1:3" s="8" customFormat="1" x14ac:dyDescent="0.2">
      <c r="A14500" s="6" t="str">
        <f>"GOLT1B"</f>
        <v>GOLT1B</v>
      </c>
      <c r="B14500" s="6">
        <v>0.59840159840159801</v>
      </c>
      <c r="C14500" s="6">
        <v>0.72547529690386803</v>
      </c>
    </row>
    <row r="14501" spans="1:3" s="8" customFormat="1" x14ac:dyDescent="0.2">
      <c r="A14501" s="6" t="str">
        <f>"B3GNT2"</f>
        <v>B3GNT2</v>
      </c>
      <c r="B14501" s="6">
        <v>0.59840159840159801</v>
      </c>
      <c r="C14501" s="6">
        <v>0.72547529690386803</v>
      </c>
    </row>
    <row r="14502" spans="1:3" s="8" customFormat="1" x14ac:dyDescent="0.2">
      <c r="A14502" s="6" t="str">
        <f>"PSMA3"</f>
        <v>PSMA3</v>
      </c>
      <c r="B14502" s="6">
        <v>0.59840159840159801</v>
      </c>
      <c r="C14502" s="6">
        <v>0.72547529690386803</v>
      </c>
    </row>
    <row r="14503" spans="1:3" s="8" customFormat="1" x14ac:dyDescent="0.2">
      <c r="A14503" s="6" t="str">
        <f>"RPS28"</f>
        <v>RPS28</v>
      </c>
      <c r="B14503" s="6">
        <v>0.59840159840159801</v>
      </c>
      <c r="C14503" s="6">
        <v>0.72547529690386803</v>
      </c>
    </row>
    <row r="14504" spans="1:3" s="8" customFormat="1" x14ac:dyDescent="0.2">
      <c r="A14504" s="6" t="str">
        <f>"TFCP2L1"</f>
        <v>TFCP2L1</v>
      </c>
      <c r="B14504" s="6">
        <v>0.59840159840159801</v>
      </c>
      <c r="C14504" s="6">
        <v>0.72547529690386803</v>
      </c>
    </row>
    <row r="14505" spans="1:3" s="8" customFormat="1" x14ac:dyDescent="0.2">
      <c r="A14505" s="6" t="str">
        <f>"ATP2A2"</f>
        <v>ATP2A2</v>
      </c>
      <c r="B14505" s="6">
        <v>0.59840159840159801</v>
      </c>
      <c r="C14505" s="6">
        <v>0.72547529690386803</v>
      </c>
    </row>
    <row r="14506" spans="1:3" s="8" customFormat="1" x14ac:dyDescent="0.2">
      <c r="A14506" s="6" t="str">
        <f>"NPIPB8"</f>
        <v>NPIPB8</v>
      </c>
      <c r="B14506" s="6">
        <v>0.59940059940059898</v>
      </c>
      <c r="C14506" s="6">
        <v>0.72593568013362697</v>
      </c>
    </row>
    <row r="14507" spans="1:3" s="8" customFormat="1" x14ac:dyDescent="0.2">
      <c r="A14507" s="6" t="str">
        <f>"AC008406.3"</f>
        <v>AC008406.3</v>
      </c>
      <c r="B14507" s="6">
        <v>0.599198396793587</v>
      </c>
      <c r="C14507" s="6">
        <v>0.72593568013362697</v>
      </c>
    </row>
    <row r="14508" spans="1:3" s="8" customFormat="1" x14ac:dyDescent="0.2">
      <c r="A14508" s="6" t="str">
        <f>"LRP2"</f>
        <v>LRP2</v>
      </c>
      <c r="B14508" s="6">
        <v>0.59940059940059898</v>
      </c>
      <c r="C14508" s="6">
        <v>0.72593568013362697</v>
      </c>
    </row>
    <row r="14509" spans="1:3" s="8" customFormat="1" x14ac:dyDescent="0.2">
      <c r="A14509" s="6" t="str">
        <f>"AC008543.1"</f>
        <v>AC008543.1</v>
      </c>
      <c r="B14509" s="6">
        <v>0.59940059940059898</v>
      </c>
      <c r="C14509" s="6">
        <v>0.72593568013362697</v>
      </c>
    </row>
    <row r="14510" spans="1:3" s="8" customFormat="1" x14ac:dyDescent="0.2">
      <c r="A14510" s="6" t="str">
        <f>"ZNF808"</f>
        <v>ZNF808</v>
      </c>
      <c r="B14510" s="6">
        <v>0.59940059940059898</v>
      </c>
      <c r="C14510" s="6">
        <v>0.72593568013362697</v>
      </c>
    </row>
    <row r="14511" spans="1:3" s="8" customFormat="1" x14ac:dyDescent="0.2">
      <c r="A14511" s="6" t="str">
        <f>"AL669918.1"</f>
        <v>AL669918.1</v>
      </c>
      <c r="B14511" s="6">
        <v>0.59940059940059898</v>
      </c>
      <c r="C14511" s="6">
        <v>0.72593568013362697</v>
      </c>
    </row>
    <row r="14512" spans="1:3" s="8" customFormat="1" x14ac:dyDescent="0.2">
      <c r="A14512" s="6" t="str">
        <f>"CRABP2"</f>
        <v>CRABP2</v>
      </c>
      <c r="B14512" s="6">
        <v>0.59940059940059898</v>
      </c>
      <c r="C14512" s="6">
        <v>0.72593568013362697</v>
      </c>
    </row>
    <row r="14513" spans="1:3" s="8" customFormat="1" x14ac:dyDescent="0.2">
      <c r="A14513" s="6" t="str">
        <f>"GCFC2"</f>
        <v>GCFC2</v>
      </c>
      <c r="B14513" s="6">
        <v>0.59940059940059898</v>
      </c>
      <c r="C14513" s="6">
        <v>0.72593568013362697</v>
      </c>
    </row>
    <row r="14514" spans="1:3" s="8" customFormat="1" x14ac:dyDescent="0.2">
      <c r="A14514" s="6" t="str">
        <f>"MIA"</f>
        <v>MIA</v>
      </c>
      <c r="B14514" s="6">
        <v>0.59940059940059898</v>
      </c>
      <c r="C14514" s="6">
        <v>0.72593568013362697</v>
      </c>
    </row>
    <row r="14515" spans="1:3" s="8" customFormat="1" x14ac:dyDescent="0.2">
      <c r="A14515" s="6" t="str">
        <f>"ZNF43"</f>
        <v>ZNF43</v>
      </c>
      <c r="B14515" s="6">
        <v>0.59940059940059898</v>
      </c>
      <c r="C14515" s="6">
        <v>0.72593568013362697</v>
      </c>
    </row>
    <row r="14516" spans="1:3" s="8" customFormat="1" x14ac:dyDescent="0.2">
      <c r="A14516" s="6" t="str">
        <f>"CSTF1"</f>
        <v>CSTF1</v>
      </c>
      <c r="B14516" s="6">
        <v>0.59940059940059898</v>
      </c>
      <c r="C14516" s="6">
        <v>0.72593568013362697</v>
      </c>
    </row>
    <row r="14517" spans="1:3" s="8" customFormat="1" x14ac:dyDescent="0.2">
      <c r="A14517" s="6" t="str">
        <f>"TSC1"</f>
        <v>TSC1</v>
      </c>
      <c r="B14517" s="6">
        <v>0.59940059940059898</v>
      </c>
      <c r="C14517" s="6">
        <v>0.72593568013362697</v>
      </c>
    </row>
    <row r="14518" spans="1:3" s="8" customFormat="1" x14ac:dyDescent="0.2">
      <c r="A14518" s="6" t="str">
        <f>"PSMA1"</f>
        <v>PSMA1</v>
      </c>
      <c r="B14518" s="6">
        <v>0.59940059940059898</v>
      </c>
      <c r="C14518" s="6">
        <v>0.72593568013362697</v>
      </c>
    </row>
    <row r="14519" spans="1:3" s="8" customFormat="1" x14ac:dyDescent="0.2">
      <c r="A14519" s="6" t="str">
        <f>"SSB"</f>
        <v>SSB</v>
      </c>
      <c r="B14519" s="6">
        <v>0.59940059940059898</v>
      </c>
      <c r="C14519" s="6">
        <v>0.72593568013362697</v>
      </c>
    </row>
    <row r="14520" spans="1:3" s="8" customFormat="1" x14ac:dyDescent="0.2">
      <c r="A14520" s="6" t="str">
        <f>"CD81"</f>
        <v>CD81</v>
      </c>
      <c r="B14520" s="6">
        <v>0.59940059940059898</v>
      </c>
      <c r="C14520" s="6">
        <v>0.72593568013362697</v>
      </c>
    </row>
    <row r="14521" spans="1:3" s="8" customFormat="1" x14ac:dyDescent="0.2">
      <c r="A14521" s="6" t="str">
        <f>"AC146944.2"</f>
        <v>AC146944.2</v>
      </c>
      <c r="B14521" s="6">
        <v>0.59979838709677402</v>
      </c>
      <c r="C14521" s="6">
        <v>0.726367413134275</v>
      </c>
    </row>
    <row r="14522" spans="1:3" s="8" customFormat="1" x14ac:dyDescent="0.2">
      <c r="A14522" s="6" t="str">
        <f>"SPON1"</f>
        <v>SPON1</v>
      </c>
      <c r="B14522" s="6">
        <v>0.60039960039960005</v>
      </c>
      <c r="C14522" s="6">
        <v>0.72694529872798797</v>
      </c>
    </row>
    <row r="14523" spans="1:3" s="8" customFormat="1" x14ac:dyDescent="0.2">
      <c r="A14523" s="6" t="str">
        <f>"TAS1R1"</f>
        <v>TAS1R1</v>
      </c>
      <c r="B14523" s="6">
        <v>0.60039960039960005</v>
      </c>
      <c r="C14523" s="6">
        <v>0.72694529872798797</v>
      </c>
    </row>
    <row r="14524" spans="1:3" s="8" customFormat="1" x14ac:dyDescent="0.2">
      <c r="A14524" s="6" t="str">
        <f>"SEPTIN7-DT"</f>
        <v>SEPTIN7-DT</v>
      </c>
      <c r="B14524" s="6">
        <v>0.60039960039960005</v>
      </c>
      <c r="C14524" s="6">
        <v>0.72694529872798797</v>
      </c>
    </row>
    <row r="14525" spans="1:3" s="8" customFormat="1" x14ac:dyDescent="0.2">
      <c r="A14525" s="6" t="str">
        <f>"AC113189.2"</f>
        <v>AC113189.2</v>
      </c>
      <c r="B14525" s="6">
        <v>0.60139860139860102</v>
      </c>
      <c r="C14525" s="6">
        <v>0.72785415424275601</v>
      </c>
    </row>
    <row r="14526" spans="1:3" s="8" customFormat="1" x14ac:dyDescent="0.2">
      <c r="A14526" s="6" t="str">
        <f>"HGH1"</f>
        <v>HGH1</v>
      </c>
      <c r="B14526" s="6">
        <v>0.60139860139860102</v>
      </c>
      <c r="C14526" s="6">
        <v>0.72785415424275601</v>
      </c>
    </row>
    <row r="14527" spans="1:3" s="8" customFormat="1" x14ac:dyDescent="0.2">
      <c r="A14527" s="6" t="str">
        <f>"C19orf47"</f>
        <v>C19orf47</v>
      </c>
      <c r="B14527" s="6">
        <v>0.60139860139860102</v>
      </c>
      <c r="C14527" s="6">
        <v>0.72785415424275601</v>
      </c>
    </row>
    <row r="14528" spans="1:3" s="8" customFormat="1" x14ac:dyDescent="0.2">
      <c r="A14528" s="6" t="str">
        <f>"FBXO33"</f>
        <v>FBXO33</v>
      </c>
      <c r="B14528" s="6">
        <v>0.60139860139860102</v>
      </c>
      <c r="C14528" s="6">
        <v>0.72785415424275601</v>
      </c>
    </row>
    <row r="14529" spans="1:3" s="8" customFormat="1" x14ac:dyDescent="0.2">
      <c r="A14529" s="6" t="str">
        <f>"MFN1"</f>
        <v>MFN1</v>
      </c>
      <c r="B14529" s="6">
        <v>0.60139860139860102</v>
      </c>
      <c r="C14529" s="6">
        <v>0.72785415424275601</v>
      </c>
    </row>
    <row r="14530" spans="1:3" s="8" customFormat="1" x14ac:dyDescent="0.2">
      <c r="A14530" s="6" t="str">
        <f>"CLINT1"</f>
        <v>CLINT1</v>
      </c>
      <c r="B14530" s="6">
        <v>0.60139860139860102</v>
      </c>
      <c r="C14530" s="6">
        <v>0.72785415424275601</v>
      </c>
    </row>
    <row r="14531" spans="1:3" s="8" customFormat="1" x14ac:dyDescent="0.2">
      <c r="A14531" s="6" t="str">
        <f>"PSMA6"</f>
        <v>PSMA6</v>
      </c>
      <c r="B14531" s="6">
        <v>0.60199999999999998</v>
      </c>
      <c r="C14531" s="6">
        <v>0.728531865106675</v>
      </c>
    </row>
    <row r="14532" spans="1:3" s="8" customFormat="1" x14ac:dyDescent="0.2">
      <c r="A14532" s="6" t="str">
        <f>"AL389889.2"</f>
        <v>AL389889.2</v>
      </c>
      <c r="B14532" s="6">
        <v>0.60239760239760198</v>
      </c>
      <c r="C14532" s="6">
        <v>0.72886255009698198</v>
      </c>
    </row>
    <row r="14533" spans="1:3" s="8" customFormat="1" x14ac:dyDescent="0.2">
      <c r="A14533" s="6" t="str">
        <f>"SPOPL"</f>
        <v>SPOPL</v>
      </c>
      <c r="B14533" s="6">
        <v>0.60239760239760198</v>
      </c>
      <c r="C14533" s="6">
        <v>0.72886255009698198</v>
      </c>
    </row>
    <row r="14534" spans="1:3" s="8" customFormat="1" x14ac:dyDescent="0.2">
      <c r="A14534" s="6" t="str">
        <f>"PTPRF"</f>
        <v>PTPRF</v>
      </c>
      <c r="B14534" s="6">
        <v>0.60239760239760198</v>
      </c>
      <c r="C14534" s="6">
        <v>0.72886255009698198</v>
      </c>
    </row>
    <row r="14535" spans="1:3" s="8" customFormat="1" x14ac:dyDescent="0.2">
      <c r="A14535" s="6" t="str">
        <f>"PMS2P8"</f>
        <v>PMS2P8</v>
      </c>
      <c r="B14535" s="6">
        <v>0.60339660339660295</v>
      </c>
      <c r="C14535" s="6">
        <v>0.72956926866023997</v>
      </c>
    </row>
    <row r="14536" spans="1:3" s="8" customFormat="1" x14ac:dyDescent="0.2">
      <c r="A14536" s="6" t="str">
        <f>"AC092828.1"</f>
        <v>AC092828.1</v>
      </c>
      <c r="B14536" s="6">
        <v>0.60339660339660295</v>
      </c>
      <c r="C14536" s="6">
        <v>0.72956926866023997</v>
      </c>
    </row>
    <row r="14537" spans="1:3" s="8" customFormat="1" x14ac:dyDescent="0.2">
      <c r="A14537" s="6" t="str">
        <f>"AL034374.1"</f>
        <v>AL034374.1</v>
      </c>
      <c r="B14537" s="6">
        <v>0.60339660339660295</v>
      </c>
      <c r="C14537" s="6">
        <v>0.72956926866023997</v>
      </c>
    </row>
    <row r="14538" spans="1:3" s="8" customFormat="1" x14ac:dyDescent="0.2">
      <c r="A14538" s="6" t="str">
        <f>"DSCC1"</f>
        <v>DSCC1</v>
      </c>
      <c r="B14538" s="6">
        <v>0.60339660339660295</v>
      </c>
      <c r="C14538" s="6">
        <v>0.72956926866023997</v>
      </c>
    </row>
    <row r="14539" spans="1:3" s="8" customFormat="1" x14ac:dyDescent="0.2">
      <c r="A14539" s="6" t="str">
        <f>"KEL"</f>
        <v>KEL</v>
      </c>
      <c r="B14539" s="6">
        <v>0.60339660339660295</v>
      </c>
      <c r="C14539" s="6">
        <v>0.72956926866023997</v>
      </c>
    </row>
    <row r="14540" spans="1:3" s="8" customFormat="1" x14ac:dyDescent="0.2">
      <c r="A14540" s="6" t="str">
        <f>"AXDND1"</f>
        <v>AXDND1</v>
      </c>
      <c r="B14540" s="6">
        <v>0.60339660339660295</v>
      </c>
      <c r="C14540" s="6">
        <v>0.72956926866023997</v>
      </c>
    </row>
    <row r="14541" spans="1:3" s="8" customFormat="1" x14ac:dyDescent="0.2">
      <c r="A14541" s="6" t="str">
        <f>"AC104162.1"</f>
        <v>AC104162.1</v>
      </c>
      <c r="B14541" s="6">
        <v>0.60339660339660295</v>
      </c>
      <c r="C14541" s="6">
        <v>0.72956926866023997</v>
      </c>
    </row>
    <row r="14542" spans="1:3" s="8" customFormat="1" x14ac:dyDescent="0.2">
      <c r="A14542" s="6" t="str">
        <f>"SETBP1"</f>
        <v>SETBP1</v>
      </c>
      <c r="B14542" s="6">
        <v>0.60339660339660295</v>
      </c>
      <c r="C14542" s="6">
        <v>0.72956926866023997</v>
      </c>
    </row>
    <row r="14543" spans="1:3" s="8" customFormat="1" x14ac:dyDescent="0.2">
      <c r="A14543" s="6" t="str">
        <f>"SDF4"</f>
        <v>SDF4</v>
      </c>
      <c r="B14543" s="6">
        <v>0.60339660339660295</v>
      </c>
      <c r="C14543" s="6">
        <v>0.72956926866023997</v>
      </c>
    </row>
    <row r="14544" spans="1:3" s="8" customFormat="1" x14ac:dyDescent="0.2">
      <c r="A14544" s="6" t="str">
        <f>"TUFM"</f>
        <v>TUFM</v>
      </c>
      <c r="B14544" s="6">
        <v>0.60339660339660295</v>
      </c>
      <c r="C14544" s="6">
        <v>0.72956926866023997</v>
      </c>
    </row>
    <row r="14545" spans="1:3" s="8" customFormat="1" x14ac:dyDescent="0.2">
      <c r="A14545" s="6" t="str">
        <f>"ST7-AS1"</f>
        <v>ST7-AS1</v>
      </c>
      <c r="B14545" s="6">
        <v>0.60399999999999998</v>
      </c>
      <c r="C14545" s="6">
        <v>0.730198418700584</v>
      </c>
    </row>
    <row r="14546" spans="1:3" s="8" customFormat="1" x14ac:dyDescent="0.2">
      <c r="A14546" s="6" t="str">
        <f>"CEP128"</f>
        <v>CEP128</v>
      </c>
      <c r="B14546" s="6">
        <v>0.60399999999999998</v>
      </c>
      <c r="C14546" s="6">
        <v>0.730198418700584</v>
      </c>
    </row>
    <row r="14547" spans="1:3" s="8" customFormat="1" x14ac:dyDescent="0.2">
      <c r="A14547" s="6" t="str">
        <f>"AC020907.6"</f>
        <v>AC020907.6</v>
      </c>
      <c r="B14547" s="6">
        <v>0.60439560439560402</v>
      </c>
      <c r="C14547" s="6">
        <v>0.730275015989301</v>
      </c>
    </row>
    <row r="14548" spans="1:3" s="8" customFormat="1" x14ac:dyDescent="0.2">
      <c r="A14548" s="6" t="str">
        <f>"PREX2"</f>
        <v>PREX2</v>
      </c>
      <c r="B14548" s="6">
        <v>0.60439560439560402</v>
      </c>
      <c r="C14548" s="6">
        <v>0.730275015989301</v>
      </c>
    </row>
    <row r="14549" spans="1:3" s="8" customFormat="1" x14ac:dyDescent="0.2">
      <c r="A14549" s="6" t="str">
        <f>"AL022322.1"</f>
        <v>AL022322.1</v>
      </c>
      <c r="B14549" s="6">
        <v>0.60439560439560402</v>
      </c>
      <c r="C14549" s="6">
        <v>0.730275015989301</v>
      </c>
    </row>
    <row r="14550" spans="1:3" s="8" customFormat="1" x14ac:dyDescent="0.2">
      <c r="A14550" s="6" t="str">
        <f>"AC126283.2"</f>
        <v>AC126283.2</v>
      </c>
      <c r="B14550" s="6">
        <v>0.60439560439560402</v>
      </c>
      <c r="C14550" s="6">
        <v>0.730275015989301</v>
      </c>
    </row>
    <row r="14551" spans="1:3" s="8" customFormat="1" x14ac:dyDescent="0.2">
      <c r="A14551" s="6" t="str">
        <f>"AC027307.2"</f>
        <v>AC027307.2</v>
      </c>
      <c r="B14551" s="6">
        <v>0.60439560439560402</v>
      </c>
      <c r="C14551" s="6">
        <v>0.730275015989301</v>
      </c>
    </row>
    <row r="14552" spans="1:3" s="8" customFormat="1" x14ac:dyDescent="0.2">
      <c r="A14552" s="6" t="str">
        <f>"TMEM265"</f>
        <v>TMEM265</v>
      </c>
      <c r="B14552" s="6">
        <v>0.60439560439560402</v>
      </c>
      <c r="C14552" s="6">
        <v>0.730275015989301</v>
      </c>
    </row>
    <row r="14553" spans="1:3" s="8" customFormat="1" x14ac:dyDescent="0.2">
      <c r="A14553" s="6" t="str">
        <f>"TRAM2"</f>
        <v>TRAM2</v>
      </c>
      <c r="B14553" s="6">
        <v>0.60439560439560402</v>
      </c>
      <c r="C14553" s="6">
        <v>0.730275015989301</v>
      </c>
    </row>
    <row r="14554" spans="1:3" s="8" customFormat="1" x14ac:dyDescent="0.2">
      <c r="A14554" s="6" t="str">
        <f>"FPGS"</f>
        <v>FPGS</v>
      </c>
      <c r="B14554" s="6">
        <v>0.60439560439560402</v>
      </c>
      <c r="C14554" s="6">
        <v>0.730275015989301</v>
      </c>
    </row>
    <row r="14555" spans="1:3" s="8" customFormat="1" x14ac:dyDescent="0.2">
      <c r="A14555" s="6" t="str">
        <f>"PTCHD3P2"</f>
        <v>PTCHD3P2</v>
      </c>
      <c r="B14555" s="6">
        <v>0.60460460460460397</v>
      </c>
      <c r="C14555" s="6">
        <v>0.730427163680341</v>
      </c>
    </row>
    <row r="14556" spans="1:3" s="8" customFormat="1" x14ac:dyDescent="0.2">
      <c r="A14556" s="6" t="str">
        <f>"PMS2P7"</f>
        <v>PMS2P7</v>
      </c>
      <c r="B14556" s="6">
        <v>0.60460460460460397</v>
      </c>
      <c r="C14556" s="6">
        <v>0.730427163680341</v>
      </c>
    </row>
    <row r="14557" spans="1:3" s="8" customFormat="1" x14ac:dyDescent="0.2">
      <c r="A14557" s="6" t="str">
        <f>"AC099518.1"</f>
        <v>AC099518.1</v>
      </c>
      <c r="B14557" s="6">
        <v>0.60499999999999998</v>
      </c>
      <c r="C14557" s="6">
        <v>0.73080442398845902</v>
      </c>
    </row>
    <row r="14558" spans="1:3" s="8" customFormat="1" x14ac:dyDescent="0.2">
      <c r="A14558" s="6" t="str">
        <f>"SP3"</f>
        <v>SP3</v>
      </c>
      <c r="B14558" s="6">
        <v>0.60499999999999998</v>
      </c>
      <c r="C14558" s="6">
        <v>0.73080442398845902</v>
      </c>
    </row>
    <row r="14559" spans="1:3" s="8" customFormat="1" x14ac:dyDescent="0.2">
      <c r="A14559" s="6" t="str">
        <f>"NANOGP7"</f>
        <v>NANOGP7</v>
      </c>
      <c r="B14559" s="6">
        <v>0.60539460539460499</v>
      </c>
      <c r="C14559" s="6">
        <v>0.731080196501527</v>
      </c>
    </row>
    <row r="14560" spans="1:3" s="8" customFormat="1" x14ac:dyDescent="0.2">
      <c r="A14560" s="6" t="str">
        <f>"VWC2"</f>
        <v>VWC2</v>
      </c>
      <c r="B14560" s="6">
        <v>0.60539460539460499</v>
      </c>
      <c r="C14560" s="6">
        <v>0.731080196501527</v>
      </c>
    </row>
    <row r="14561" spans="1:3" s="8" customFormat="1" x14ac:dyDescent="0.2">
      <c r="A14561" s="6" t="str">
        <f>"SLC43A1"</f>
        <v>SLC43A1</v>
      </c>
      <c r="B14561" s="6">
        <v>0.60539460539460499</v>
      </c>
      <c r="C14561" s="6">
        <v>0.731080196501527</v>
      </c>
    </row>
    <row r="14562" spans="1:3" s="8" customFormat="1" x14ac:dyDescent="0.2">
      <c r="A14562" s="6" t="str">
        <f>"RTRAF"</f>
        <v>RTRAF</v>
      </c>
      <c r="B14562" s="6">
        <v>0.60539460539460499</v>
      </c>
      <c r="C14562" s="6">
        <v>0.731080196501527</v>
      </c>
    </row>
    <row r="14563" spans="1:3" s="8" customFormat="1" x14ac:dyDescent="0.2">
      <c r="A14563" s="6" t="str">
        <f>"AC008467.1"</f>
        <v>AC008467.1</v>
      </c>
      <c r="B14563" s="6">
        <v>0.60639360639360596</v>
      </c>
      <c r="C14563" s="6">
        <v>0.73188449274659695</v>
      </c>
    </row>
    <row r="14564" spans="1:3" s="8" customFormat="1" x14ac:dyDescent="0.2">
      <c r="A14564" s="6" t="str">
        <f>"AL109936.9"</f>
        <v>AL109936.9</v>
      </c>
      <c r="B14564" s="6">
        <v>0.60639360639360596</v>
      </c>
      <c r="C14564" s="6">
        <v>0.73188449274659695</v>
      </c>
    </row>
    <row r="14565" spans="1:3" s="8" customFormat="1" x14ac:dyDescent="0.2">
      <c r="A14565" s="6" t="str">
        <f>"RPL32P29"</f>
        <v>RPL32P29</v>
      </c>
      <c r="B14565" s="6">
        <v>0.60639360639360596</v>
      </c>
      <c r="C14565" s="6">
        <v>0.73188449274659695</v>
      </c>
    </row>
    <row r="14566" spans="1:3" s="8" customFormat="1" x14ac:dyDescent="0.2">
      <c r="A14566" s="6" t="str">
        <f>"AL590560.3"</f>
        <v>AL590560.3</v>
      </c>
      <c r="B14566" s="6">
        <v>0.60639360639360596</v>
      </c>
      <c r="C14566" s="6">
        <v>0.73188449274659695</v>
      </c>
    </row>
    <row r="14567" spans="1:3" s="8" customFormat="1" x14ac:dyDescent="0.2">
      <c r="A14567" s="6" t="str">
        <f>"FSIP2"</f>
        <v>FSIP2</v>
      </c>
      <c r="B14567" s="6">
        <v>0.60639360639360596</v>
      </c>
      <c r="C14567" s="6">
        <v>0.73188449274659695</v>
      </c>
    </row>
    <row r="14568" spans="1:3" s="8" customFormat="1" x14ac:dyDescent="0.2">
      <c r="A14568" s="6" t="str">
        <f>"EP300-AS1"</f>
        <v>EP300-AS1</v>
      </c>
      <c r="B14568" s="6">
        <v>0.60639360639360596</v>
      </c>
      <c r="C14568" s="6">
        <v>0.73188449274659695</v>
      </c>
    </row>
    <row r="14569" spans="1:3" s="8" customFormat="1" x14ac:dyDescent="0.2">
      <c r="A14569" s="6" t="str">
        <f>"WBP4"</f>
        <v>WBP4</v>
      </c>
      <c r="B14569" s="6">
        <v>0.60639360639360596</v>
      </c>
      <c r="C14569" s="6">
        <v>0.73188449274659695</v>
      </c>
    </row>
    <row r="14570" spans="1:3" s="8" customFormat="1" x14ac:dyDescent="0.2">
      <c r="A14570" s="6" t="str">
        <f>"MFSD14C"</f>
        <v>MFSD14C</v>
      </c>
      <c r="B14570" s="6">
        <v>0.60639360639360596</v>
      </c>
      <c r="C14570" s="6">
        <v>0.73188449274659695</v>
      </c>
    </row>
    <row r="14571" spans="1:3" s="8" customFormat="1" x14ac:dyDescent="0.2">
      <c r="A14571" s="6" t="str">
        <f>"ZFP42"</f>
        <v>ZFP42</v>
      </c>
      <c r="B14571" s="6">
        <v>0.60739260739260703</v>
      </c>
      <c r="C14571" s="6">
        <v>0.73273817291380305</v>
      </c>
    </row>
    <row r="14572" spans="1:3" s="8" customFormat="1" x14ac:dyDescent="0.2">
      <c r="A14572" s="6" t="str">
        <f>"RGS20"</f>
        <v>RGS20</v>
      </c>
      <c r="B14572" s="6">
        <v>0.60739260739260703</v>
      </c>
      <c r="C14572" s="6">
        <v>0.73273817291380305</v>
      </c>
    </row>
    <row r="14573" spans="1:3" s="8" customFormat="1" x14ac:dyDescent="0.2">
      <c r="A14573" s="6" t="str">
        <f>"ADGRD1"</f>
        <v>ADGRD1</v>
      </c>
      <c r="B14573" s="6">
        <v>0.60739260739260703</v>
      </c>
      <c r="C14573" s="6">
        <v>0.73273817291380305</v>
      </c>
    </row>
    <row r="14574" spans="1:3" s="8" customFormat="1" x14ac:dyDescent="0.2">
      <c r="A14574" s="6" t="str">
        <f>"EIF1AY"</f>
        <v>EIF1AY</v>
      </c>
      <c r="B14574" s="6">
        <v>0.60725720384204895</v>
      </c>
      <c r="C14574" s="6">
        <v>0.73273817291380305</v>
      </c>
    </row>
    <row r="14575" spans="1:3" s="8" customFormat="1" x14ac:dyDescent="0.2">
      <c r="A14575" s="6" t="str">
        <f>"BMP7"</f>
        <v>BMP7</v>
      </c>
      <c r="B14575" s="6">
        <v>0.60739260739260703</v>
      </c>
      <c r="C14575" s="6">
        <v>0.73273817291380305</v>
      </c>
    </row>
    <row r="14576" spans="1:3" s="8" customFormat="1" x14ac:dyDescent="0.2">
      <c r="A14576" s="6" t="str">
        <f>"MFF"</f>
        <v>MFF</v>
      </c>
      <c r="B14576" s="6">
        <v>0.60739260739260703</v>
      </c>
      <c r="C14576" s="6">
        <v>0.73273817291380305</v>
      </c>
    </row>
    <row r="14577" spans="1:3" s="8" customFormat="1" x14ac:dyDescent="0.2">
      <c r="A14577" s="6" t="str">
        <f>"PSMD12"</f>
        <v>PSMD12</v>
      </c>
      <c r="B14577" s="6">
        <v>0.60739260739260703</v>
      </c>
      <c r="C14577" s="6">
        <v>0.73273817291380305</v>
      </c>
    </row>
    <row r="14578" spans="1:3" s="8" customFormat="1" x14ac:dyDescent="0.2">
      <c r="A14578" s="6" t="str">
        <f>"SLAMF9"</f>
        <v>SLAMF9</v>
      </c>
      <c r="B14578" s="6">
        <v>0.608391608391608</v>
      </c>
      <c r="C14578" s="6">
        <v>0.73328933045157596</v>
      </c>
    </row>
    <row r="14579" spans="1:3" s="8" customFormat="1" x14ac:dyDescent="0.2">
      <c r="A14579" s="6" t="str">
        <f>"AC092718.8"</f>
        <v>AC092718.8</v>
      </c>
      <c r="B14579" s="6">
        <v>0.608391608391608</v>
      </c>
      <c r="C14579" s="6">
        <v>0.73328933045157596</v>
      </c>
    </row>
    <row r="14580" spans="1:3" s="8" customFormat="1" x14ac:dyDescent="0.2">
      <c r="A14580" s="6" t="str">
        <f>"CTLA4"</f>
        <v>CTLA4</v>
      </c>
      <c r="B14580" s="6">
        <v>0.608391608391608</v>
      </c>
      <c r="C14580" s="6">
        <v>0.73328933045157596</v>
      </c>
    </row>
    <row r="14581" spans="1:3" s="8" customFormat="1" x14ac:dyDescent="0.2">
      <c r="A14581" s="6" t="str">
        <f>"SNHG21"</f>
        <v>SNHG21</v>
      </c>
      <c r="B14581" s="6">
        <v>0.60791366906474797</v>
      </c>
      <c r="C14581" s="6">
        <v>0.73328933045157596</v>
      </c>
    </row>
    <row r="14582" spans="1:3" s="8" customFormat="1" x14ac:dyDescent="0.2">
      <c r="A14582" s="6" t="str">
        <f>"AC011297.1"</f>
        <v>AC011297.1</v>
      </c>
      <c r="B14582" s="6">
        <v>0.60800842992623805</v>
      </c>
      <c r="C14582" s="6">
        <v>0.73328933045157596</v>
      </c>
    </row>
    <row r="14583" spans="1:3" s="8" customFormat="1" x14ac:dyDescent="0.2">
      <c r="A14583" s="6" t="str">
        <f>"DLX4"</f>
        <v>DLX4</v>
      </c>
      <c r="B14583" s="6">
        <v>0.60799999999999998</v>
      </c>
      <c r="C14583" s="6">
        <v>0.73328933045157596</v>
      </c>
    </row>
    <row r="14584" spans="1:3" s="8" customFormat="1" x14ac:dyDescent="0.2">
      <c r="A14584" s="6" t="str">
        <f>"CCDC183-AS1"</f>
        <v>CCDC183-AS1</v>
      </c>
      <c r="B14584" s="6">
        <v>0.608391608391608</v>
      </c>
      <c r="C14584" s="6">
        <v>0.73328933045157596</v>
      </c>
    </row>
    <row r="14585" spans="1:3" s="8" customFormat="1" x14ac:dyDescent="0.2">
      <c r="A14585" s="6" t="str">
        <f>"JADE3"</f>
        <v>JADE3</v>
      </c>
      <c r="B14585" s="6">
        <v>0.608391608391608</v>
      </c>
      <c r="C14585" s="6">
        <v>0.73328933045157596</v>
      </c>
    </row>
    <row r="14586" spans="1:3" s="8" customFormat="1" x14ac:dyDescent="0.2">
      <c r="A14586" s="6" t="str">
        <f>"FGD6"</f>
        <v>FGD6</v>
      </c>
      <c r="B14586" s="6">
        <v>0.608391608391608</v>
      </c>
      <c r="C14586" s="6">
        <v>0.73328933045157596</v>
      </c>
    </row>
    <row r="14587" spans="1:3" s="8" customFormat="1" x14ac:dyDescent="0.2">
      <c r="A14587" s="6" t="str">
        <f>"ANAPC1"</f>
        <v>ANAPC1</v>
      </c>
      <c r="B14587" s="6">
        <v>0.608391608391608</v>
      </c>
      <c r="C14587" s="6">
        <v>0.73328933045157596</v>
      </c>
    </row>
    <row r="14588" spans="1:3" s="8" customFormat="1" x14ac:dyDescent="0.2">
      <c r="A14588" s="6" t="str">
        <f>"UPF2"</f>
        <v>UPF2</v>
      </c>
      <c r="B14588" s="6">
        <v>0.608391608391608</v>
      </c>
      <c r="C14588" s="6">
        <v>0.73328933045157596</v>
      </c>
    </row>
    <row r="14589" spans="1:3" s="8" customFormat="1" x14ac:dyDescent="0.2">
      <c r="A14589" s="6" t="str">
        <f>"LRRC59"</f>
        <v>LRRC59</v>
      </c>
      <c r="B14589" s="6">
        <v>0.608391608391608</v>
      </c>
      <c r="C14589" s="6">
        <v>0.73328933045157596</v>
      </c>
    </row>
    <row r="14590" spans="1:3" s="8" customFormat="1" x14ac:dyDescent="0.2">
      <c r="A14590" s="6" t="str">
        <f>"RPS17"</f>
        <v>RPS17</v>
      </c>
      <c r="B14590" s="6">
        <v>0.608391608391608</v>
      </c>
      <c r="C14590" s="6">
        <v>0.73328933045157596</v>
      </c>
    </row>
    <row r="14591" spans="1:3" s="8" customFormat="1" x14ac:dyDescent="0.2">
      <c r="A14591" s="6" t="str">
        <f>"AC005253.1"</f>
        <v>AC005253.1</v>
      </c>
      <c r="B14591" s="6">
        <v>0.60860860860860799</v>
      </c>
      <c r="C14591" s="6">
        <v>0.73350060135529604</v>
      </c>
    </row>
    <row r="14592" spans="1:3" s="8" customFormat="1" x14ac:dyDescent="0.2">
      <c r="A14592" s="6" t="str">
        <f>"LINC01825"</f>
        <v>LINC01825</v>
      </c>
      <c r="B14592" s="6">
        <v>0.60899999999999999</v>
      </c>
      <c r="C14592" s="6">
        <v>0.73392200671646901</v>
      </c>
    </row>
    <row r="14593" spans="1:3" s="8" customFormat="1" x14ac:dyDescent="0.2">
      <c r="A14593" s="6" t="str">
        <f>"HIPK4"</f>
        <v>HIPK4</v>
      </c>
      <c r="B14593" s="6">
        <v>0.60905349794238595</v>
      </c>
      <c r="C14593" s="6">
        <v>0.73393617789329202</v>
      </c>
    </row>
    <row r="14594" spans="1:3" s="8" customFormat="1" x14ac:dyDescent="0.2">
      <c r="A14594" s="6" t="str">
        <f>"AC074386.1"</f>
        <v>AC074386.1</v>
      </c>
      <c r="B14594" s="6">
        <v>0.60939060939060896</v>
      </c>
      <c r="C14594" s="6">
        <v>0.734090873160545</v>
      </c>
    </row>
    <row r="14595" spans="1:3" s="8" customFormat="1" x14ac:dyDescent="0.2">
      <c r="A14595" s="6" t="str">
        <f>"WDR24"</f>
        <v>WDR24</v>
      </c>
      <c r="B14595" s="6">
        <v>0.60939060939060896</v>
      </c>
      <c r="C14595" s="6">
        <v>0.734090873160545</v>
      </c>
    </row>
    <row r="14596" spans="1:3" s="8" customFormat="1" x14ac:dyDescent="0.2">
      <c r="A14596" s="6" t="str">
        <f>"PARP2"</f>
        <v>PARP2</v>
      </c>
      <c r="B14596" s="6">
        <v>0.60939060939060896</v>
      </c>
      <c r="C14596" s="6">
        <v>0.734090873160545</v>
      </c>
    </row>
    <row r="14597" spans="1:3" s="8" customFormat="1" x14ac:dyDescent="0.2">
      <c r="A14597" s="6" t="str">
        <f>"CLASP1"</f>
        <v>CLASP1</v>
      </c>
      <c r="B14597" s="6">
        <v>0.60939060939060896</v>
      </c>
      <c r="C14597" s="6">
        <v>0.734090873160545</v>
      </c>
    </row>
    <row r="14598" spans="1:3" s="8" customFormat="1" x14ac:dyDescent="0.2">
      <c r="A14598" s="6" t="str">
        <f>"PPP2R5A"</f>
        <v>PPP2R5A</v>
      </c>
      <c r="B14598" s="6">
        <v>0.60939060939060896</v>
      </c>
      <c r="C14598" s="6">
        <v>0.734090873160545</v>
      </c>
    </row>
    <row r="14599" spans="1:3" s="8" customFormat="1" x14ac:dyDescent="0.2">
      <c r="A14599" s="6" t="str">
        <f>"LINC02742"</f>
        <v>LINC02742</v>
      </c>
      <c r="B14599" s="6">
        <v>0.60960960960960897</v>
      </c>
      <c r="C14599" s="6">
        <v>0.734304382475364</v>
      </c>
    </row>
    <row r="14600" spans="1:3" s="8" customFormat="1" x14ac:dyDescent="0.2">
      <c r="A14600" s="6" t="str">
        <f>"AC069234.2"</f>
        <v>AC069234.2</v>
      </c>
      <c r="B14600" s="6">
        <v>0.60982948846539597</v>
      </c>
      <c r="C14600" s="6">
        <v>0.734518920828517</v>
      </c>
    </row>
    <row r="14601" spans="1:3" s="8" customFormat="1" x14ac:dyDescent="0.2">
      <c r="A14601" s="6" t="str">
        <f>"SEMA3F"</f>
        <v>SEMA3F</v>
      </c>
      <c r="B14601" s="6">
        <v>0.61</v>
      </c>
      <c r="C14601" s="6">
        <v>0.73467397260273903</v>
      </c>
    </row>
    <row r="14602" spans="1:3" s="8" customFormat="1" x14ac:dyDescent="0.2">
      <c r="A14602" s="6" t="str">
        <f>"DBIL5P2"</f>
        <v>DBIL5P2</v>
      </c>
      <c r="B14602" s="6">
        <v>0.61038961038961004</v>
      </c>
      <c r="C14602" s="6">
        <v>0.73474061535397694</v>
      </c>
    </row>
    <row r="14603" spans="1:3" s="8" customFormat="1" x14ac:dyDescent="0.2">
      <c r="A14603" s="6" t="str">
        <f>"AC090739.1"</f>
        <v>AC090739.1</v>
      </c>
      <c r="B14603" s="6">
        <v>0.61038961038961004</v>
      </c>
      <c r="C14603" s="6">
        <v>0.73474061535397694</v>
      </c>
    </row>
    <row r="14604" spans="1:3" s="8" customFormat="1" x14ac:dyDescent="0.2">
      <c r="A14604" s="6" t="str">
        <f>"TCERG1L"</f>
        <v>TCERG1L</v>
      </c>
      <c r="B14604" s="6">
        <v>0.61038961038961004</v>
      </c>
      <c r="C14604" s="6">
        <v>0.73474061535397694</v>
      </c>
    </row>
    <row r="14605" spans="1:3" s="8" customFormat="1" x14ac:dyDescent="0.2">
      <c r="A14605" s="6" t="str">
        <f>"AL513166.1"</f>
        <v>AL513166.1</v>
      </c>
      <c r="B14605" s="6">
        <v>0.61024033437826497</v>
      </c>
      <c r="C14605" s="6">
        <v>0.73474061535397694</v>
      </c>
    </row>
    <row r="14606" spans="1:3" s="8" customFormat="1" x14ac:dyDescent="0.2">
      <c r="A14606" s="6" t="str">
        <f>"AC034236.2"</f>
        <v>AC034236.2</v>
      </c>
      <c r="B14606" s="6">
        <v>0.61038961038961004</v>
      </c>
      <c r="C14606" s="6">
        <v>0.73474061535397694</v>
      </c>
    </row>
    <row r="14607" spans="1:3" s="8" customFormat="1" x14ac:dyDescent="0.2">
      <c r="A14607" s="6" t="str">
        <f>"SLC16A6"</f>
        <v>SLC16A6</v>
      </c>
      <c r="B14607" s="6">
        <v>0.61038961038961004</v>
      </c>
      <c r="C14607" s="6">
        <v>0.73474061535397694</v>
      </c>
    </row>
    <row r="14608" spans="1:3" s="8" customFormat="1" x14ac:dyDescent="0.2">
      <c r="A14608" s="6" t="str">
        <f>"ZNF785"</f>
        <v>ZNF785</v>
      </c>
      <c r="B14608" s="6">
        <v>0.61038961038961004</v>
      </c>
      <c r="C14608" s="6">
        <v>0.73474061535397694</v>
      </c>
    </row>
    <row r="14609" spans="1:3" s="8" customFormat="1" x14ac:dyDescent="0.2">
      <c r="A14609" s="6" t="str">
        <f>"SLC25A39"</f>
        <v>SLC25A39</v>
      </c>
      <c r="B14609" s="6">
        <v>0.61038961038961004</v>
      </c>
      <c r="C14609" s="6">
        <v>0.73474061535397694</v>
      </c>
    </row>
    <row r="14610" spans="1:3" s="8" customFormat="1" x14ac:dyDescent="0.2">
      <c r="A14610" s="6" t="str">
        <f>"AC005342.1"</f>
        <v>AC005342.1</v>
      </c>
      <c r="B14610" s="6">
        <v>0.61083249749247703</v>
      </c>
      <c r="C14610" s="6">
        <v>0.735223398994299</v>
      </c>
    </row>
    <row r="14611" spans="1:3" s="8" customFormat="1" x14ac:dyDescent="0.2">
      <c r="A14611" s="6" t="str">
        <f>"AC092171.1"</f>
        <v>AC092171.1</v>
      </c>
      <c r="B14611" s="6">
        <v>0.611388611388611</v>
      </c>
      <c r="C14611" s="6">
        <v>0.73559064951469999</v>
      </c>
    </row>
    <row r="14612" spans="1:3" s="8" customFormat="1" x14ac:dyDescent="0.2">
      <c r="A14612" s="6" t="str">
        <f>"AC120057.3"</f>
        <v>AC120057.3</v>
      </c>
      <c r="B14612" s="6">
        <v>0.611388611388611</v>
      </c>
      <c r="C14612" s="6">
        <v>0.73559064951469999</v>
      </c>
    </row>
    <row r="14613" spans="1:3" s="8" customFormat="1" x14ac:dyDescent="0.2">
      <c r="A14613" s="6" t="str">
        <f>"TBX18"</f>
        <v>TBX18</v>
      </c>
      <c r="B14613" s="6">
        <v>0.611388611388611</v>
      </c>
      <c r="C14613" s="6">
        <v>0.73559064951469999</v>
      </c>
    </row>
    <row r="14614" spans="1:3" s="8" customFormat="1" x14ac:dyDescent="0.2">
      <c r="A14614" s="6" t="str">
        <f>"RGPD3"</f>
        <v>RGPD3</v>
      </c>
      <c r="B14614" s="6">
        <v>0.611388611388611</v>
      </c>
      <c r="C14614" s="6">
        <v>0.73559064951469999</v>
      </c>
    </row>
    <row r="14615" spans="1:3" s="8" customFormat="1" x14ac:dyDescent="0.2">
      <c r="A14615" s="6" t="str">
        <f>"CHKB-DT"</f>
        <v>CHKB-DT</v>
      </c>
      <c r="B14615" s="6">
        <v>0.611388611388611</v>
      </c>
      <c r="C14615" s="6">
        <v>0.73559064951469999</v>
      </c>
    </row>
    <row r="14616" spans="1:3" s="8" customFormat="1" x14ac:dyDescent="0.2">
      <c r="A14616" s="6" t="str">
        <f>"CEP83"</f>
        <v>CEP83</v>
      </c>
      <c r="B14616" s="6">
        <v>0.611388611388611</v>
      </c>
      <c r="C14616" s="6">
        <v>0.73559064951469999</v>
      </c>
    </row>
    <row r="14617" spans="1:3" s="8" customFormat="1" x14ac:dyDescent="0.2">
      <c r="A14617" s="6" t="str">
        <f>"SLC7A5P2"</f>
        <v>SLC7A5P2</v>
      </c>
      <c r="B14617" s="6">
        <v>0.61199999999999999</v>
      </c>
      <c r="C14617" s="6">
        <v>0.736275862068965</v>
      </c>
    </row>
    <row r="14618" spans="1:3" s="8" customFormat="1" x14ac:dyDescent="0.2">
      <c r="A14618" s="6" t="str">
        <f>"XK"</f>
        <v>XK</v>
      </c>
      <c r="B14618" s="6">
        <v>0.61238761238761197</v>
      </c>
      <c r="C14618" s="6">
        <v>0.73659099638988801</v>
      </c>
    </row>
    <row r="14619" spans="1:3" s="8" customFormat="1" x14ac:dyDescent="0.2">
      <c r="A14619" s="6" t="str">
        <f>"CEP85"</f>
        <v>CEP85</v>
      </c>
      <c r="B14619" s="6">
        <v>0.61238761238761197</v>
      </c>
      <c r="C14619" s="6">
        <v>0.73659099638988801</v>
      </c>
    </row>
    <row r="14620" spans="1:3" s="8" customFormat="1" x14ac:dyDescent="0.2">
      <c r="A14620" s="6" t="str">
        <f>"ANP32E"</f>
        <v>ANP32E</v>
      </c>
      <c r="B14620" s="6">
        <v>0.61238761238761197</v>
      </c>
      <c r="C14620" s="6">
        <v>0.73659099638988801</v>
      </c>
    </row>
    <row r="14621" spans="1:3" s="8" customFormat="1" x14ac:dyDescent="0.2">
      <c r="A14621" s="6" t="str">
        <f>"AC024361.1"</f>
        <v>AC024361.1</v>
      </c>
      <c r="B14621" s="6">
        <v>0.61338661338661304</v>
      </c>
      <c r="C14621" s="6">
        <v>0.73703636803267703</v>
      </c>
    </row>
    <row r="14622" spans="1:3" s="8" customFormat="1" x14ac:dyDescent="0.2">
      <c r="A14622" s="6" t="str">
        <f>"AC080013.4"</f>
        <v>AC080013.4</v>
      </c>
      <c r="B14622" s="6">
        <v>0.61338661338661304</v>
      </c>
      <c r="C14622" s="6">
        <v>0.73703636803267703</v>
      </c>
    </row>
    <row r="14623" spans="1:3" s="8" customFormat="1" x14ac:dyDescent="0.2">
      <c r="A14623" s="6" t="str">
        <f>"SNHG26"</f>
        <v>SNHG26</v>
      </c>
      <c r="B14623" s="6">
        <v>0.61338661338661304</v>
      </c>
      <c r="C14623" s="6">
        <v>0.73703636803267703</v>
      </c>
    </row>
    <row r="14624" spans="1:3" s="8" customFormat="1" x14ac:dyDescent="0.2">
      <c r="A14624" s="6" t="str">
        <f>"RN7SL455P"</f>
        <v>RN7SL455P</v>
      </c>
      <c r="B14624" s="6">
        <v>0.61299999999999999</v>
      </c>
      <c r="C14624" s="6">
        <v>0.73703636803267703</v>
      </c>
    </row>
    <row r="14625" spans="1:3" s="8" customFormat="1" x14ac:dyDescent="0.2">
      <c r="A14625" s="6" t="str">
        <f>"MTCP1"</f>
        <v>MTCP1</v>
      </c>
      <c r="B14625" s="6">
        <v>0.61338661338661304</v>
      </c>
      <c r="C14625" s="6">
        <v>0.73703636803267703</v>
      </c>
    </row>
    <row r="14626" spans="1:3" s="8" customFormat="1" x14ac:dyDescent="0.2">
      <c r="A14626" s="6" t="str">
        <f>"WFIKKN1"</f>
        <v>WFIKKN1</v>
      </c>
      <c r="B14626" s="6">
        <v>0.61338661338661304</v>
      </c>
      <c r="C14626" s="6">
        <v>0.73703636803267703</v>
      </c>
    </row>
    <row r="14627" spans="1:3" s="8" customFormat="1" x14ac:dyDescent="0.2">
      <c r="A14627" s="6" t="str">
        <f>"CD1D"</f>
        <v>CD1D</v>
      </c>
      <c r="B14627" s="6">
        <v>0.61338661338661304</v>
      </c>
      <c r="C14627" s="6">
        <v>0.73703636803267703</v>
      </c>
    </row>
    <row r="14628" spans="1:3" s="8" customFormat="1" x14ac:dyDescent="0.2">
      <c r="A14628" s="6" t="str">
        <f>"AP3B2"</f>
        <v>AP3B2</v>
      </c>
      <c r="B14628" s="6">
        <v>0.61338661338661304</v>
      </c>
      <c r="C14628" s="6">
        <v>0.73703636803267703</v>
      </c>
    </row>
    <row r="14629" spans="1:3" s="8" customFormat="1" x14ac:dyDescent="0.2">
      <c r="A14629" s="6" t="str">
        <f>"MBNL1-AS1"</f>
        <v>MBNL1-AS1</v>
      </c>
      <c r="B14629" s="6">
        <v>0.61338661338661304</v>
      </c>
      <c r="C14629" s="6">
        <v>0.73703636803267703</v>
      </c>
    </row>
    <row r="14630" spans="1:3" s="8" customFormat="1" x14ac:dyDescent="0.2">
      <c r="A14630" s="6" t="str">
        <f>"AC145207.5"</f>
        <v>AC145207.5</v>
      </c>
      <c r="B14630" s="6">
        <v>0.61299999999999999</v>
      </c>
      <c r="C14630" s="6">
        <v>0.73703636803267703</v>
      </c>
    </row>
    <row r="14631" spans="1:3" s="8" customFormat="1" x14ac:dyDescent="0.2">
      <c r="A14631" s="6" t="str">
        <f>"ZBED3"</f>
        <v>ZBED3</v>
      </c>
      <c r="B14631" s="6">
        <v>0.61338661338661304</v>
      </c>
      <c r="C14631" s="6">
        <v>0.73703636803267703</v>
      </c>
    </row>
    <row r="14632" spans="1:3" s="8" customFormat="1" x14ac:dyDescent="0.2">
      <c r="A14632" s="6" t="str">
        <f>"CENPJ"</f>
        <v>CENPJ</v>
      </c>
      <c r="B14632" s="6">
        <v>0.61338661338661304</v>
      </c>
      <c r="C14632" s="6">
        <v>0.73703636803267703</v>
      </c>
    </row>
    <row r="14633" spans="1:3" s="8" customFormat="1" x14ac:dyDescent="0.2">
      <c r="A14633" s="6" t="str">
        <f>"LYPD6B"</f>
        <v>LYPD6B</v>
      </c>
      <c r="B14633" s="6">
        <v>0.61338661338661304</v>
      </c>
      <c r="C14633" s="6">
        <v>0.73703636803267703</v>
      </c>
    </row>
    <row r="14634" spans="1:3" s="8" customFormat="1" x14ac:dyDescent="0.2">
      <c r="A14634" s="6" t="str">
        <f>"UNC93B1"</f>
        <v>UNC93B1</v>
      </c>
      <c r="B14634" s="6">
        <v>0.61338661338661304</v>
      </c>
      <c r="C14634" s="6">
        <v>0.73703636803267703</v>
      </c>
    </row>
    <row r="14635" spans="1:3" s="8" customFormat="1" x14ac:dyDescent="0.2">
      <c r="A14635" s="6" t="str">
        <f>"KIF5B"</f>
        <v>KIF5B</v>
      </c>
      <c r="B14635" s="6">
        <v>0.61338661338661304</v>
      </c>
      <c r="C14635" s="6">
        <v>0.73703636803267703</v>
      </c>
    </row>
    <row r="14636" spans="1:3" s="8" customFormat="1" x14ac:dyDescent="0.2">
      <c r="A14636" s="6" t="str">
        <f>"OLFM5P"</f>
        <v>OLFM5P</v>
      </c>
      <c r="B14636" s="6">
        <v>0.61438561438561401</v>
      </c>
      <c r="C14636" s="6">
        <v>0.73793419695059004</v>
      </c>
    </row>
    <row r="14637" spans="1:3" s="8" customFormat="1" x14ac:dyDescent="0.2">
      <c r="A14637" s="6" t="str">
        <f>"LINC00891"</f>
        <v>LINC00891</v>
      </c>
      <c r="B14637" s="6">
        <v>0.61438561438561401</v>
      </c>
      <c r="C14637" s="6">
        <v>0.73793419695059004</v>
      </c>
    </row>
    <row r="14638" spans="1:3" s="8" customFormat="1" x14ac:dyDescent="0.2">
      <c r="A14638" s="6" t="str">
        <f>"ADAMTS15"</f>
        <v>ADAMTS15</v>
      </c>
      <c r="B14638" s="6">
        <v>0.61438561438561401</v>
      </c>
      <c r="C14638" s="6">
        <v>0.73793419695059004</v>
      </c>
    </row>
    <row r="14639" spans="1:3" s="8" customFormat="1" x14ac:dyDescent="0.2">
      <c r="A14639" s="6" t="str">
        <f>"GZMB"</f>
        <v>GZMB</v>
      </c>
      <c r="B14639" s="6">
        <v>0.61438561438561401</v>
      </c>
      <c r="C14639" s="6">
        <v>0.73793419695059004</v>
      </c>
    </row>
    <row r="14640" spans="1:3" s="8" customFormat="1" x14ac:dyDescent="0.2">
      <c r="A14640" s="6" t="str">
        <f>"TMEM70"</f>
        <v>TMEM70</v>
      </c>
      <c r="B14640" s="6">
        <v>0.61438561438561401</v>
      </c>
      <c r="C14640" s="6">
        <v>0.73793419695059004</v>
      </c>
    </row>
    <row r="14641" spans="1:3" s="8" customFormat="1" x14ac:dyDescent="0.2">
      <c r="A14641" s="6" t="str">
        <f>"C19orf25"</f>
        <v>C19orf25</v>
      </c>
      <c r="B14641" s="6">
        <v>0.61438561438561401</v>
      </c>
      <c r="C14641" s="6">
        <v>0.73793419695059004</v>
      </c>
    </row>
    <row r="14642" spans="1:3" s="8" customFormat="1" x14ac:dyDescent="0.2">
      <c r="A14642" s="6" t="str">
        <f>"MASP1"</f>
        <v>MASP1</v>
      </c>
      <c r="B14642" s="6">
        <v>0.61538461538461497</v>
      </c>
      <c r="C14642" s="6">
        <v>0.73852873852873802</v>
      </c>
    </row>
    <row r="14643" spans="1:3" s="8" customFormat="1" x14ac:dyDescent="0.2">
      <c r="A14643" s="6" t="str">
        <f>"AL662907.1"</f>
        <v>AL662907.1</v>
      </c>
      <c r="B14643" s="6">
        <v>0.61499999999999999</v>
      </c>
      <c r="C14643" s="6">
        <v>0.73852873852873802</v>
      </c>
    </row>
    <row r="14644" spans="1:3" s="8" customFormat="1" x14ac:dyDescent="0.2">
      <c r="A14644" s="6" t="str">
        <f>"PRKCQ-AS1"</f>
        <v>PRKCQ-AS1</v>
      </c>
      <c r="B14644" s="6">
        <v>0.61538461538461497</v>
      </c>
      <c r="C14644" s="6">
        <v>0.73852873852873802</v>
      </c>
    </row>
    <row r="14645" spans="1:3" s="8" customFormat="1" x14ac:dyDescent="0.2">
      <c r="A14645" s="6" t="str">
        <f>"RAPGEF4"</f>
        <v>RAPGEF4</v>
      </c>
      <c r="B14645" s="6">
        <v>0.61538461538461497</v>
      </c>
      <c r="C14645" s="6">
        <v>0.73852873852873802</v>
      </c>
    </row>
    <row r="14646" spans="1:3" s="8" customFormat="1" x14ac:dyDescent="0.2">
      <c r="A14646" s="6" t="str">
        <f>"RBPMS-AS1"</f>
        <v>RBPMS-AS1</v>
      </c>
      <c r="B14646" s="6">
        <v>0.61538461538461497</v>
      </c>
      <c r="C14646" s="6">
        <v>0.73852873852873802</v>
      </c>
    </row>
    <row r="14647" spans="1:3" s="8" customFormat="1" x14ac:dyDescent="0.2">
      <c r="A14647" s="6" t="str">
        <f>"AC118553.1"</f>
        <v>AC118553.1</v>
      </c>
      <c r="B14647" s="6">
        <v>0.61538461538461497</v>
      </c>
      <c r="C14647" s="6">
        <v>0.73852873852873802</v>
      </c>
    </row>
    <row r="14648" spans="1:3" s="8" customFormat="1" x14ac:dyDescent="0.2">
      <c r="A14648" s="6" t="str">
        <f>"SOX6"</f>
        <v>SOX6</v>
      </c>
      <c r="B14648" s="6">
        <v>0.61538461538461497</v>
      </c>
      <c r="C14648" s="6">
        <v>0.73852873852873802</v>
      </c>
    </row>
    <row r="14649" spans="1:3" s="8" customFormat="1" x14ac:dyDescent="0.2">
      <c r="A14649" s="6" t="str">
        <f>"MIER1"</f>
        <v>MIER1</v>
      </c>
      <c r="B14649" s="6">
        <v>0.61538461538461497</v>
      </c>
      <c r="C14649" s="6">
        <v>0.73852873852873802</v>
      </c>
    </row>
    <row r="14650" spans="1:3" s="8" customFormat="1" x14ac:dyDescent="0.2">
      <c r="A14650" s="6" t="str">
        <f>"TMEM167B"</f>
        <v>TMEM167B</v>
      </c>
      <c r="B14650" s="6">
        <v>0.61538461538461497</v>
      </c>
      <c r="C14650" s="6">
        <v>0.73852873852873802</v>
      </c>
    </row>
    <row r="14651" spans="1:3" s="8" customFormat="1" x14ac:dyDescent="0.2">
      <c r="A14651" s="6" t="str">
        <f>"PLEKHA7"</f>
        <v>PLEKHA7</v>
      </c>
      <c r="B14651" s="6">
        <v>0.61538461538461497</v>
      </c>
      <c r="C14651" s="6">
        <v>0.73852873852873802</v>
      </c>
    </row>
    <row r="14652" spans="1:3" s="8" customFormat="1" x14ac:dyDescent="0.2">
      <c r="A14652" s="6" t="str">
        <f>"CNDP2"</f>
        <v>CNDP2</v>
      </c>
      <c r="B14652" s="6">
        <v>0.61538461538461497</v>
      </c>
      <c r="C14652" s="6">
        <v>0.73852873852873802</v>
      </c>
    </row>
    <row r="14653" spans="1:3" s="8" customFormat="1" x14ac:dyDescent="0.2">
      <c r="A14653" s="6" t="str">
        <f>"HDGF"</f>
        <v>HDGF</v>
      </c>
      <c r="B14653" s="6">
        <v>0.61538461538461497</v>
      </c>
      <c r="C14653" s="6">
        <v>0.73852873852873802</v>
      </c>
    </row>
    <row r="14654" spans="1:3" s="8" customFormat="1" x14ac:dyDescent="0.2">
      <c r="A14654" s="6" t="str">
        <f>"LINC01484"</f>
        <v>LINC01484</v>
      </c>
      <c r="B14654" s="6">
        <v>0.61599999999999999</v>
      </c>
      <c r="C14654" s="6">
        <v>0.73921681566914599</v>
      </c>
    </row>
    <row r="14655" spans="1:3" s="8" customFormat="1" x14ac:dyDescent="0.2">
      <c r="A14655" s="6" t="str">
        <f>"OMD"</f>
        <v>OMD</v>
      </c>
      <c r="B14655" s="6">
        <v>0.61638361638361605</v>
      </c>
      <c r="C14655" s="6">
        <v>0.73942485403803404</v>
      </c>
    </row>
    <row r="14656" spans="1:3" s="8" customFormat="1" x14ac:dyDescent="0.2">
      <c r="A14656" s="6" t="str">
        <f>"AC091551.1"</f>
        <v>AC091551.1</v>
      </c>
      <c r="B14656" s="6">
        <v>0.61638361638361605</v>
      </c>
      <c r="C14656" s="6">
        <v>0.73942485403803404</v>
      </c>
    </row>
    <row r="14657" spans="1:3" s="8" customFormat="1" x14ac:dyDescent="0.2">
      <c r="A14657" s="6" t="str">
        <f>"CSMD2"</f>
        <v>CSMD2</v>
      </c>
      <c r="B14657" s="6">
        <v>0.61638361638361605</v>
      </c>
      <c r="C14657" s="6">
        <v>0.73942485403803404</v>
      </c>
    </row>
    <row r="14658" spans="1:3" s="8" customFormat="1" x14ac:dyDescent="0.2">
      <c r="A14658" s="6" t="str">
        <f>"SLC13A5"</f>
        <v>SLC13A5</v>
      </c>
      <c r="B14658" s="6">
        <v>0.61638361638361605</v>
      </c>
      <c r="C14658" s="6">
        <v>0.73942485403803404</v>
      </c>
    </row>
    <row r="14659" spans="1:3" s="8" customFormat="1" x14ac:dyDescent="0.2">
      <c r="A14659" s="6" t="str">
        <f>"CAMK1D"</f>
        <v>CAMK1D</v>
      </c>
      <c r="B14659" s="6">
        <v>0.61638361638361605</v>
      </c>
      <c r="C14659" s="6">
        <v>0.73942485403803404</v>
      </c>
    </row>
    <row r="14660" spans="1:3" s="8" customFormat="1" x14ac:dyDescent="0.2">
      <c r="A14660" s="6" t="str">
        <f>"AC139530.3"</f>
        <v>AC139530.3</v>
      </c>
      <c r="B14660" s="6">
        <v>0.61685055165496405</v>
      </c>
      <c r="C14660" s="6">
        <v>0.73993451806404897</v>
      </c>
    </row>
    <row r="14661" spans="1:3" s="8" customFormat="1" x14ac:dyDescent="0.2">
      <c r="A14661" s="6" t="str">
        <f>"SEMA6A-AS1"</f>
        <v>SEMA6A-AS1</v>
      </c>
      <c r="B14661" s="6">
        <v>0.61699999999999999</v>
      </c>
      <c r="C14661" s="6">
        <v>0.74001282313621097</v>
      </c>
    </row>
    <row r="14662" spans="1:3" s="8" customFormat="1" x14ac:dyDescent="0.2">
      <c r="A14662" s="6" t="str">
        <f>"AC002072.1"</f>
        <v>AC002072.1</v>
      </c>
      <c r="B14662" s="6">
        <v>0.61699999999999999</v>
      </c>
      <c r="C14662" s="6">
        <v>0.74001282313621097</v>
      </c>
    </row>
    <row r="14663" spans="1:3" s="8" customFormat="1" x14ac:dyDescent="0.2">
      <c r="A14663" s="6" t="str">
        <f>"RAB39A"</f>
        <v>RAB39A</v>
      </c>
      <c r="B14663" s="6">
        <v>0.61738261738261702</v>
      </c>
      <c r="C14663" s="6">
        <v>0.74001744676591297</v>
      </c>
    </row>
    <row r="14664" spans="1:3" s="8" customFormat="1" x14ac:dyDescent="0.2">
      <c r="A14664" s="6" t="str">
        <f>"AC083864.5"</f>
        <v>AC083864.5</v>
      </c>
      <c r="B14664" s="6">
        <v>0.61738261738261702</v>
      </c>
      <c r="C14664" s="6">
        <v>0.74001744676591297</v>
      </c>
    </row>
    <row r="14665" spans="1:3" s="8" customFormat="1" x14ac:dyDescent="0.2">
      <c r="A14665" s="6" t="str">
        <f>"AL033519.4"</f>
        <v>AL033519.4</v>
      </c>
      <c r="B14665" s="6">
        <v>0.61738261738261702</v>
      </c>
      <c r="C14665" s="6">
        <v>0.74001744676591297</v>
      </c>
    </row>
    <row r="14666" spans="1:3" s="8" customFormat="1" x14ac:dyDescent="0.2">
      <c r="A14666" s="6" t="str">
        <f>"AL121832.3"</f>
        <v>AL121832.3</v>
      </c>
      <c r="B14666" s="6">
        <v>0.61738261738261702</v>
      </c>
      <c r="C14666" s="6">
        <v>0.74001744676591297</v>
      </c>
    </row>
    <row r="14667" spans="1:3" s="8" customFormat="1" x14ac:dyDescent="0.2">
      <c r="A14667" s="6" t="str">
        <f>"H2AZ2P1"</f>
        <v>H2AZ2P1</v>
      </c>
      <c r="B14667" s="6">
        <v>0.61738261738261702</v>
      </c>
      <c r="C14667" s="6">
        <v>0.74001744676591297</v>
      </c>
    </row>
    <row r="14668" spans="1:3" s="8" customFormat="1" x14ac:dyDescent="0.2">
      <c r="A14668" s="6" t="str">
        <f>"C5orf17"</f>
        <v>C5orf17</v>
      </c>
      <c r="B14668" s="6">
        <v>0.61738261738261702</v>
      </c>
      <c r="C14668" s="6">
        <v>0.74001744676591297</v>
      </c>
    </row>
    <row r="14669" spans="1:3" s="8" customFormat="1" x14ac:dyDescent="0.2">
      <c r="A14669" s="6" t="str">
        <f>"UPK3B"</f>
        <v>UPK3B</v>
      </c>
      <c r="B14669" s="6">
        <v>0.61738261738261702</v>
      </c>
      <c r="C14669" s="6">
        <v>0.74001744676591297</v>
      </c>
    </row>
    <row r="14670" spans="1:3" s="8" customFormat="1" x14ac:dyDescent="0.2">
      <c r="A14670" s="6" t="str">
        <f>"NOB1"</f>
        <v>NOB1</v>
      </c>
      <c r="B14670" s="6">
        <v>0.61738261738261702</v>
      </c>
      <c r="C14670" s="6">
        <v>0.74001744676591297</v>
      </c>
    </row>
    <row r="14671" spans="1:3" s="8" customFormat="1" x14ac:dyDescent="0.2">
      <c r="A14671" s="6" t="str">
        <f>"SYF2"</f>
        <v>SYF2</v>
      </c>
      <c r="B14671" s="6">
        <v>0.61738261738261702</v>
      </c>
      <c r="C14671" s="6">
        <v>0.74001744676591297</v>
      </c>
    </row>
    <row r="14672" spans="1:3" s="8" customFormat="1" x14ac:dyDescent="0.2">
      <c r="A14672" s="6" t="str">
        <f>"AC005005.4"</f>
        <v>AC005005.4</v>
      </c>
      <c r="B14672" s="6">
        <v>0.61831153388822802</v>
      </c>
      <c r="C14672" s="6">
        <v>0.74091185456680098</v>
      </c>
    </row>
    <row r="14673" spans="1:3" s="8" customFormat="1" x14ac:dyDescent="0.2">
      <c r="A14673" s="6" t="str">
        <f>"ACTG1P17"</f>
        <v>ACTG1P17</v>
      </c>
      <c r="B14673" s="6">
        <v>0.61838161838161798</v>
      </c>
      <c r="C14673" s="6">
        <v>0.74091185456680098</v>
      </c>
    </row>
    <row r="14674" spans="1:3" s="8" customFormat="1" x14ac:dyDescent="0.2">
      <c r="A14674" s="6" t="str">
        <f>"ATP6V1FNB"</f>
        <v>ATP6V1FNB</v>
      </c>
      <c r="B14674" s="6">
        <v>0.61838161838161798</v>
      </c>
      <c r="C14674" s="6">
        <v>0.74091185456680098</v>
      </c>
    </row>
    <row r="14675" spans="1:3" s="8" customFormat="1" x14ac:dyDescent="0.2">
      <c r="A14675" s="6" t="str">
        <f>"SGO2"</f>
        <v>SGO2</v>
      </c>
      <c r="B14675" s="6">
        <v>0.61838161838161798</v>
      </c>
      <c r="C14675" s="6">
        <v>0.74091185456680098</v>
      </c>
    </row>
    <row r="14676" spans="1:3" s="8" customFormat="1" x14ac:dyDescent="0.2">
      <c r="A14676" s="6" t="str">
        <f>"HS3ST3B1"</f>
        <v>HS3ST3B1</v>
      </c>
      <c r="B14676" s="6">
        <v>0.61838161838161798</v>
      </c>
      <c r="C14676" s="6">
        <v>0.74091185456680098</v>
      </c>
    </row>
    <row r="14677" spans="1:3" s="8" customFormat="1" x14ac:dyDescent="0.2">
      <c r="A14677" s="6" t="str">
        <f>"NEO1"</f>
        <v>NEO1</v>
      </c>
      <c r="B14677" s="6">
        <v>0.61838161838161798</v>
      </c>
      <c r="C14677" s="6">
        <v>0.74091185456680098</v>
      </c>
    </row>
    <row r="14678" spans="1:3" s="8" customFormat="1" x14ac:dyDescent="0.2">
      <c r="A14678" s="6" t="str">
        <f>"AC127035.1"</f>
        <v>AC127035.1</v>
      </c>
      <c r="B14678" s="6">
        <v>0.61885245901639296</v>
      </c>
      <c r="C14678" s="6">
        <v>0.741374958396529</v>
      </c>
    </row>
    <row r="14679" spans="1:3" s="8" customFormat="1" x14ac:dyDescent="0.2">
      <c r="A14679" s="6" t="str">
        <f>"SLC36A3"</f>
        <v>SLC36A3</v>
      </c>
      <c r="B14679" s="6">
        <v>0.61882893226176805</v>
      </c>
      <c r="C14679" s="6">
        <v>0.741374958396529</v>
      </c>
    </row>
    <row r="14680" spans="1:3" s="8" customFormat="1" x14ac:dyDescent="0.2">
      <c r="A14680" s="6" t="str">
        <f>"PRCD"</f>
        <v>PRCD</v>
      </c>
      <c r="B14680" s="6">
        <v>0.61938061938061895</v>
      </c>
      <c r="C14680" s="6">
        <v>0.74185605961370504</v>
      </c>
    </row>
    <row r="14681" spans="1:3" s="8" customFormat="1" x14ac:dyDescent="0.2">
      <c r="A14681" s="6" t="str">
        <f>"DDX25"</f>
        <v>DDX25</v>
      </c>
      <c r="B14681" s="6">
        <v>0.61938061938061895</v>
      </c>
      <c r="C14681" s="6">
        <v>0.74185605961370504</v>
      </c>
    </row>
    <row r="14682" spans="1:3" s="8" customFormat="1" x14ac:dyDescent="0.2">
      <c r="A14682" s="6" t="str">
        <f>"UTRN"</f>
        <v>UTRN</v>
      </c>
      <c r="B14682" s="6">
        <v>0.61938061938061895</v>
      </c>
      <c r="C14682" s="6">
        <v>0.74185605961370504</v>
      </c>
    </row>
    <row r="14683" spans="1:3" s="8" customFormat="1" x14ac:dyDescent="0.2">
      <c r="A14683" s="6" t="str">
        <f>"AC125494.2"</f>
        <v>AC125494.2</v>
      </c>
      <c r="B14683" s="6">
        <v>0.62</v>
      </c>
      <c r="C14683" s="6">
        <v>0.74249676496628703</v>
      </c>
    </row>
    <row r="14684" spans="1:3" s="8" customFormat="1" x14ac:dyDescent="0.2">
      <c r="A14684" s="6" t="str">
        <f>"CDKL3"</f>
        <v>CDKL3</v>
      </c>
      <c r="B14684" s="6">
        <v>0.62</v>
      </c>
      <c r="C14684" s="6">
        <v>0.74249676496628703</v>
      </c>
    </row>
    <row r="14685" spans="1:3" s="8" customFormat="1" x14ac:dyDescent="0.2">
      <c r="A14685" s="6" t="str">
        <f>"SNRPA1"</f>
        <v>SNRPA1</v>
      </c>
      <c r="B14685" s="6">
        <v>0.62037962037962002</v>
      </c>
      <c r="C14685" s="6">
        <v>0.74269847799259503</v>
      </c>
    </row>
    <row r="14686" spans="1:3" s="8" customFormat="1" x14ac:dyDescent="0.2">
      <c r="A14686" s="6" t="str">
        <f>"MFAP1"</f>
        <v>MFAP1</v>
      </c>
      <c r="B14686" s="6">
        <v>0.62037962037962002</v>
      </c>
      <c r="C14686" s="6">
        <v>0.74269847799259503</v>
      </c>
    </row>
    <row r="14687" spans="1:3" s="8" customFormat="1" x14ac:dyDescent="0.2">
      <c r="A14687" s="6" t="str">
        <f>"KDM1B"</f>
        <v>KDM1B</v>
      </c>
      <c r="B14687" s="6">
        <v>0.62037962037962002</v>
      </c>
      <c r="C14687" s="6">
        <v>0.74269847799259503</v>
      </c>
    </row>
    <row r="14688" spans="1:3" s="8" customFormat="1" x14ac:dyDescent="0.2">
      <c r="A14688" s="6" t="str">
        <f>"AFDN"</f>
        <v>AFDN</v>
      </c>
      <c r="B14688" s="6">
        <v>0.62037962037962002</v>
      </c>
      <c r="C14688" s="6">
        <v>0.74269847799259503</v>
      </c>
    </row>
    <row r="14689" spans="1:3" s="8" customFormat="1" x14ac:dyDescent="0.2">
      <c r="A14689" s="6" t="str">
        <f>"DSTN"</f>
        <v>DSTN</v>
      </c>
      <c r="B14689" s="6">
        <v>0.62037962037962002</v>
      </c>
      <c r="C14689" s="6">
        <v>0.74269847799259503</v>
      </c>
    </row>
    <row r="14690" spans="1:3" s="8" customFormat="1" x14ac:dyDescent="0.2">
      <c r="A14690" s="6" t="str">
        <f>"AL390198.2"</f>
        <v>AL390198.2</v>
      </c>
      <c r="B14690" s="6">
        <v>0.62124248496993895</v>
      </c>
      <c r="C14690" s="6">
        <v>0.74338833027089901</v>
      </c>
    </row>
    <row r="14691" spans="1:3" s="8" customFormat="1" x14ac:dyDescent="0.2">
      <c r="A14691" s="6" t="str">
        <f>"OR52N4"</f>
        <v>OR52N4</v>
      </c>
      <c r="B14691" s="6">
        <v>0.62137862137862099</v>
      </c>
      <c r="C14691" s="6">
        <v>0.74338833027089901</v>
      </c>
    </row>
    <row r="14692" spans="1:3" s="8" customFormat="1" x14ac:dyDescent="0.2">
      <c r="A14692" s="6" t="str">
        <f>"TBX4"</f>
        <v>TBX4</v>
      </c>
      <c r="B14692" s="6">
        <v>0.621</v>
      </c>
      <c r="C14692" s="6">
        <v>0.74338833027089901</v>
      </c>
    </row>
    <row r="14693" spans="1:3" s="8" customFormat="1" x14ac:dyDescent="0.2">
      <c r="A14693" s="6" t="str">
        <f>"CADM2"</f>
        <v>CADM2</v>
      </c>
      <c r="B14693" s="6">
        <v>0.62137862137862099</v>
      </c>
      <c r="C14693" s="6">
        <v>0.74338833027089901</v>
      </c>
    </row>
    <row r="14694" spans="1:3" s="8" customFormat="1" x14ac:dyDescent="0.2">
      <c r="A14694" s="6" t="str">
        <f>"AC113189.4"</f>
        <v>AC113189.4</v>
      </c>
      <c r="B14694" s="6">
        <v>0.62137862137862099</v>
      </c>
      <c r="C14694" s="6">
        <v>0.74338833027089901</v>
      </c>
    </row>
    <row r="14695" spans="1:3" s="8" customFormat="1" x14ac:dyDescent="0.2">
      <c r="A14695" s="6" t="str">
        <f>"SYNJ2BP-COX16"</f>
        <v>SYNJ2BP-COX16</v>
      </c>
      <c r="B14695" s="6">
        <v>0.62137862137862099</v>
      </c>
      <c r="C14695" s="6">
        <v>0.74338833027089901</v>
      </c>
    </row>
    <row r="14696" spans="1:3" s="8" customFormat="1" x14ac:dyDescent="0.2">
      <c r="A14696" s="6" t="str">
        <f>"CDIP1"</f>
        <v>CDIP1</v>
      </c>
      <c r="B14696" s="6">
        <v>0.62137862137862099</v>
      </c>
      <c r="C14696" s="6">
        <v>0.74338833027089901</v>
      </c>
    </row>
    <row r="14697" spans="1:3" s="8" customFormat="1" x14ac:dyDescent="0.2">
      <c r="A14697" s="6" t="str">
        <f>"DIXDC1"</f>
        <v>DIXDC1</v>
      </c>
      <c r="B14697" s="6">
        <v>0.62137862137862099</v>
      </c>
      <c r="C14697" s="6">
        <v>0.74338833027089901</v>
      </c>
    </row>
    <row r="14698" spans="1:3" s="8" customFormat="1" x14ac:dyDescent="0.2">
      <c r="A14698" s="6" t="str">
        <f>"PPP3R1"</f>
        <v>PPP3R1</v>
      </c>
      <c r="B14698" s="6">
        <v>0.62137862137862099</v>
      </c>
      <c r="C14698" s="6">
        <v>0.74338833027089901</v>
      </c>
    </row>
    <row r="14699" spans="1:3" s="8" customFormat="1" x14ac:dyDescent="0.2">
      <c r="A14699" s="6" t="str">
        <f>"ACSL5"</f>
        <v>ACSL5</v>
      </c>
      <c r="B14699" s="6">
        <v>0.62137862137862099</v>
      </c>
      <c r="C14699" s="6">
        <v>0.74338833027089901</v>
      </c>
    </row>
    <row r="14700" spans="1:3" s="8" customFormat="1" x14ac:dyDescent="0.2">
      <c r="A14700" s="6" t="str">
        <f>"TMIE"</f>
        <v>TMIE</v>
      </c>
      <c r="B14700" s="6">
        <v>0.621840242669363</v>
      </c>
      <c r="C14700" s="6">
        <v>0.74388998075366197</v>
      </c>
    </row>
    <row r="14701" spans="1:3" s="8" customFormat="1" x14ac:dyDescent="0.2">
      <c r="A14701" s="6" t="str">
        <f>"ATP1A3"</f>
        <v>ATP1A3</v>
      </c>
      <c r="B14701" s="6">
        <v>0.622</v>
      </c>
      <c r="C14701" s="6">
        <v>0.74397986531528404</v>
      </c>
    </row>
    <row r="14702" spans="1:3" s="8" customFormat="1" x14ac:dyDescent="0.2">
      <c r="A14702" s="6" t="str">
        <f>"ZNNT1"</f>
        <v>ZNNT1</v>
      </c>
      <c r="B14702" s="6">
        <v>0.622</v>
      </c>
      <c r="C14702" s="6">
        <v>0.74397986531528404</v>
      </c>
    </row>
    <row r="14703" spans="1:3" s="8" customFormat="1" x14ac:dyDescent="0.2">
      <c r="A14703" s="6" t="str">
        <f>"AC141586.4"</f>
        <v>AC141586.4</v>
      </c>
      <c r="B14703" s="6">
        <v>0.62237762237762195</v>
      </c>
      <c r="C14703" s="6">
        <v>0.74402665795690404</v>
      </c>
    </row>
    <row r="14704" spans="1:3" s="8" customFormat="1" x14ac:dyDescent="0.2">
      <c r="A14704" s="6" t="str">
        <f>"IL12A-AS1"</f>
        <v>IL12A-AS1</v>
      </c>
      <c r="B14704" s="6">
        <v>0.62237762237762195</v>
      </c>
      <c r="C14704" s="6">
        <v>0.74402665795690404</v>
      </c>
    </row>
    <row r="14705" spans="1:3" s="8" customFormat="1" x14ac:dyDescent="0.2">
      <c r="A14705" s="6" t="str">
        <f>"LINC01344"</f>
        <v>LINC01344</v>
      </c>
      <c r="B14705" s="6">
        <v>0.62237762237762195</v>
      </c>
      <c r="C14705" s="6">
        <v>0.74402665795690404</v>
      </c>
    </row>
    <row r="14706" spans="1:3" s="8" customFormat="1" x14ac:dyDescent="0.2">
      <c r="A14706" s="6" t="str">
        <f>"KIRREL3"</f>
        <v>KIRREL3</v>
      </c>
      <c r="B14706" s="6">
        <v>0.62237762237762195</v>
      </c>
      <c r="C14706" s="6">
        <v>0.74402665795690404</v>
      </c>
    </row>
    <row r="14707" spans="1:3" s="8" customFormat="1" x14ac:dyDescent="0.2">
      <c r="A14707" s="6" t="str">
        <f>"SAPCD1-AS1"</f>
        <v>SAPCD1-AS1</v>
      </c>
      <c r="B14707" s="6">
        <v>0.62237762237762195</v>
      </c>
      <c r="C14707" s="6">
        <v>0.74402665795690404</v>
      </c>
    </row>
    <row r="14708" spans="1:3" s="8" customFormat="1" x14ac:dyDescent="0.2">
      <c r="A14708" s="6" t="str">
        <f>"ZBTB34"</f>
        <v>ZBTB34</v>
      </c>
      <c r="B14708" s="6">
        <v>0.62237762237762195</v>
      </c>
      <c r="C14708" s="6">
        <v>0.74402665795690404</v>
      </c>
    </row>
    <row r="14709" spans="1:3" s="8" customFormat="1" x14ac:dyDescent="0.2">
      <c r="A14709" s="6" t="str">
        <f>"PHETA2"</f>
        <v>PHETA2</v>
      </c>
      <c r="B14709" s="6">
        <v>0.62237762237762195</v>
      </c>
      <c r="C14709" s="6">
        <v>0.74402665795690404</v>
      </c>
    </row>
    <row r="14710" spans="1:3" s="8" customFormat="1" x14ac:dyDescent="0.2">
      <c r="A14710" s="6" t="str">
        <f>"CCDC66"</f>
        <v>CCDC66</v>
      </c>
      <c r="B14710" s="6">
        <v>0.62237762237762195</v>
      </c>
      <c r="C14710" s="6">
        <v>0.74402665795690404</v>
      </c>
    </row>
    <row r="14711" spans="1:3" s="8" customFormat="1" x14ac:dyDescent="0.2">
      <c r="A14711" s="6" t="str">
        <f>"AC010624.5"</f>
        <v>AC010624.5</v>
      </c>
      <c r="B14711" s="6">
        <v>0.623</v>
      </c>
      <c r="C14711" s="6">
        <v>0.74472005438477196</v>
      </c>
    </row>
    <row r="14712" spans="1:3" s="8" customFormat="1" x14ac:dyDescent="0.2">
      <c r="A14712" s="6" t="str">
        <f>"IGHV4-34"</f>
        <v>IGHV4-34</v>
      </c>
      <c r="B14712" s="6">
        <v>0.62337662337662303</v>
      </c>
      <c r="C14712" s="6">
        <v>0.74491706051339002</v>
      </c>
    </row>
    <row r="14713" spans="1:3" s="8" customFormat="1" x14ac:dyDescent="0.2">
      <c r="A14713" s="6" t="str">
        <f>"SIGLEC8"</f>
        <v>SIGLEC8</v>
      </c>
      <c r="B14713" s="6">
        <v>0.62337662337662303</v>
      </c>
      <c r="C14713" s="6">
        <v>0.74491706051339002</v>
      </c>
    </row>
    <row r="14714" spans="1:3" s="8" customFormat="1" x14ac:dyDescent="0.2">
      <c r="A14714" s="6" t="str">
        <f>"SCOC-AS1"</f>
        <v>SCOC-AS1</v>
      </c>
      <c r="B14714" s="6">
        <v>0.62337662337662303</v>
      </c>
      <c r="C14714" s="6">
        <v>0.74491706051339002</v>
      </c>
    </row>
    <row r="14715" spans="1:3" s="8" customFormat="1" x14ac:dyDescent="0.2">
      <c r="A14715" s="6" t="str">
        <f>"TMEM213"</f>
        <v>TMEM213</v>
      </c>
      <c r="B14715" s="6">
        <v>0.62337662337662303</v>
      </c>
      <c r="C14715" s="6">
        <v>0.74491706051339002</v>
      </c>
    </row>
    <row r="14716" spans="1:3" s="8" customFormat="1" x14ac:dyDescent="0.2">
      <c r="A14716" s="6" t="str">
        <f>"SEC16A"</f>
        <v>SEC16A</v>
      </c>
      <c r="B14716" s="6">
        <v>0.62337662337662303</v>
      </c>
      <c r="C14716" s="6">
        <v>0.74491706051339002</v>
      </c>
    </row>
    <row r="14717" spans="1:3" s="8" customFormat="1" x14ac:dyDescent="0.2">
      <c r="A14717" s="6" t="str">
        <f>"Z95114.4"</f>
        <v>Z95114.4</v>
      </c>
      <c r="B14717" s="6">
        <v>0.62424242424242404</v>
      </c>
      <c r="C14717" s="6">
        <v>0.74575607791203502</v>
      </c>
    </row>
    <row r="14718" spans="1:3" s="8" customFormat="1" x14ac:dyDescent="0.2">
      <c r="A14718" s="6" t="str">
        <f>"LRRC37A16P"</f>
        <v>LRRC37A16P</v>
      </c>
      <c r="B14718" s="6">
        <v>0.62437562437562399</v>
      </c>
      <c r="C14718" s="6">
        <v>0.74575607791203502</v>
      </c>
    </row>
    <row r="14719" spans="1:3" s="8" customFormat="1" x14ac:dyDescent="0.2">
      <c r="A14719" s="6" t="str">
        <f>"ABHD14A-ACY1"</f>
        <v>ABHD14A-ACY1</v>
      </c>
      <c r="B14719" s="6">
        <v>0.62437562437562399</v>
      </c>
      <c r="C14719" s="6">
        <v>0.74575607791203502</v>
      </c>
    </row>
    <row r="14720" spans="1:3" s="8" customFormat="1" x14ac:dyDescent="0.2">
      <c r="A14720" s="6" t="str">
        <f>"AC124045.1"</f>
        <v>AC124045.1</v>
      </c>
      <c r="B14720" s="6">
        <v>0.62437562437562399</v>
      </c>
      <c r="C14720" s="6">
        <v>0.74575607791203502</v>
      </c>
    </row>
    <row r="14721" spans="1:3" s="8" customFormat="1" x14ac:dyDescent="0.2">
      <c r="A14721" s="6" t="str">
        <f>"ANKRD36"</f>
        <v>ANKRD36</v>
      </c>
      <c r="B14721" s="6">
        <v>0.62437562437562399</v>
      </c>
      <c r="C14721" s="6">
        <v>0.74575607791203502</v>
      </c>
    </row>
    <row r="14722" spans="1:3" s="8" customFormat="1" x14ac:dyDescent="0.2">
      <c r="A14722" s="6" t="str">
        <f>"PSMA7"</f>
        <v>PSMA7</v>
      </c>
      <c r="B14722" s="6">
        <v>0.62437562437562399</v>
      </c>
      <c r="C14722" s="6">
        <v>0.74575607791203502</v>
      </c>
    </row>
    <row r="14723" spans="1:3" s="8" customFormat="1" x14ac:dyDescent="0.2">
      <c r="A14723" s="6" t="str">
        <f>"CCDC88C"</f>
        <v>CCDC88C</v>
      </c>
      <c r="B14723" s="6">
        <v>0.62437562437562399</v>
      </c>
      <c r="C14723" s="6">
        <v>0.74575607791203502</v>
      </c>
    </row>
    <row r="14724" spans="1:3" s="8" customFormat="1" x14ac:dyDescent="0.2">
      <c r="A14724" s="6" t="str">
        <f>"SLFNL1-AS1"</f>
        <v>SLFNL1-AS1</v>
      </c>
      <c r="B14724" s="6">
        <v>0.62487462387161397</v>
      </c>
      <c r="C14724" s="6">
        <v>0.74630139143914098</v>
      </c>
    </row>
    <row r="14725" spans="1:3" s="8" customFormat="1" x14ac:dyDescent="0.2">
      <c r="A14725" s="6" t="str">
        <f>"AC008687.7"</f>
        <v>AC008687.7</v>
      </c>
      <c r="B14725" s="6">
        <v>0.62537462537462496</v>
      </c>
      <c r="C14725" s="6">
        <v>0.74654361253139201</v>
      </c>
    </row>
    <row r="14726" spans="1:3" s="8" customFormat="1" x14ac:dyDescent="0.2">
      <c r="A14726" s="6" t="str">
        <f>"AK4P1"</f>
        <v>AK4P1</v>
      </c>
      <c r="B14726" s="6">
        <v>0.62537462537462496</v>
      </c>
      <c r="C14726" s="6">
        <v>0.74654361253139201</v>
      </c>
    </row>
    <row r="14727" spans="1:3" s="8" customFormat="1" x14ac:dyDescent="0.2">
      <c r="A14727" s="6" t="str">
        <f>"NMUR1"</f>
        <v>NMUR1</v>
      </c>
      <c r="B14727" s="6">
        <v>0.62537462537462496</v>
      </c>
      <c r="C14727" s="6">
        <v>0.74654361253139201</v>
      </c>
    </row>
    <row r="14728" spans="1:3" s="8" customFormat="1" x14ac:dyDescent="0.2">
      <c r="A14728" s="6" t="str">
        <f>"XRCC2"</f>
        <v>XRCC2</v>
      </c>
      <c r="B14728" s="6">
        <v>0.62537462537462496</v>
      </c>
      <c r="C14728" s="6">
        <v>0.74654361253139201</v>
      </c>
    </row>
    <row r="14729" spans="1:3" s="8" customFormat="1" x14ac:dyDescent="0.2">
      <c r="A14729" s="6" t="str">
        <f>"PDZD8"</f>
        <v>PDZD8</v>
      </c>
      <c r="B14729" s="6">
        <v>0.62537462537462496</v>
      </c>
      <c r="C14729" s="6">
        <v>0.74654361253139201</v>
      </c>
    </row>
    <row r="14730" spans="1:3" s="8" customFormat="1" x14ac:dyDescent="0.2">
      <c r="A14730" s="6" t="str">
        <f>"PNMA1"</f>
        <v>PNMA1</v>
      </c>
      <c r="B14730" s="6">
        <v>0.62537462537462496</v>
      </c>
      <c r="C14730" s="6">
        <v>0.74654361253139201</v>
      </c>
    </row>
    <row r="14731" spans="1:3" s="8" customFormat="1" x14ac:dyDescent="0.2">
      <c r="A14731" s="6" t="str">
        <f>"SDC4"</f>
        <v>SDC4</v>
      </c>
      <c r="B14731" s="6">
        <v>0.62537462537462496</v>
      </c>
      <c r="C14731" s="6">
        <v>0.74654361253139201</v>
      </c>
    </row>
    <row r="14732" spans="1:3" s="8" customFormat="1" x14ac:dyDescent="0.2">
      <c r="A14732" s="6" t="str">
        <f>"AC140121.1"</f>
        <v>AC140121.1</v>
      </c>
      <c r="B14732" s="6">
        <v>0.62587763289869602</v>
      </c>
      <c r="C14732" s="6">
        <v>0.74709336072844101</v>
      </c>
    </row>
    <row r="14733" spans="1:3" s="8" customFormat="1" x14ac:dyDescent="0.2">
      <c r="A14733" s="6" t="str">
        <f>"AL590867.2"</f>
        <v>AL590867.2</v>
      </c>
      <c r="B14733" s="6">
        <v>0.62637362637362604</v>
      </c>
      <c r="C14733" s="6">
        <v>0.74748244629479699</v>
      </c>
    </row>
    <row r="14734" spans="1:3" s="8" customFormat="1" x14ac:dyDescent="0.2">
      <c r="A14734" s="6" t="str">
        <f>"AC005914.1"</f>
        <v>AC005914.1</v>
      </c>
      <c r="B14734" s="6">
        <v>0.62637362637362604</v>
      </c>
      <c r="C14734" s="6">
        <v>0.74748244629479699</v>
      </c>
    </row>
    <row r="14735" spans="1:3" s="8" customFormat="1" x14ac:dyDescent="0.2">
      <c r="A14735" s="6" t="str">
        <f>"ARIH2OS"</f>
        <v>ARIH2OS</v>
      </c>
      <c r="B14735" s="6">
        <v>0.62637362637362604</v>
      </c>
      <c r="C14735" s="6">
        <v>0.74748244629479699</v>
      </c>
    </row>
    <row r="14736" spans="1:3" s="8" customFormat="1" x14ac:dyDescent="0.2">
      <c r="A14736" s="6" t="str">
        <f>"HYOU1"</f>
        <v>HYOU1</v>
      </c>
      <c r="B14736" s="6">
        <v>0.62637362637362604</v>
      </c>
      <c r="C14736" s="6">
        <v>0.74748244629479699</v>
      </c>
    </row>
    <row r="14737" spans="1:3" s="8" customFormat="1" x14ac:dyDescent="0.2">
      <c r="A14737" s="6" t="str">
        <f>"AC026367.3"</f>
        <v>AC026367.3</v>
      </c>
      <c r="B14737" s="6">
        <v>0.627</v>
      </c>
      <c r="C14737" s="6">
        <v>0.74801466502035996</v>
      </c>
    </row>
    <row r="14738" spans="1:3" s="8" customFormat="1" x14ac:dyDescent="0.2">
      <c r="A14738" s="6" t="str">
        <f>"AC104135.1"</f>
        <v>AC104135.1</v>
      </c>
      <c r="B14738" s="6">
        <v>0.627</v>
      </c>
      <c r="C14738" s="6">
        <v>0.74801466502035996</v>
      </c>
    </row>
    <row r="14739" spans="1:3" s="8" customFormat="1" x14ac:dyDescent="0.2">
      <c r="A14739" s="6" t="str">
        <f>"COL22A1"</f>
        <v>COL22A1</v>
      </c>
      <c r="B14739" s="6">
        <v>0.627372627372627</v>
      </c>
      <c r="C14739" s="6">
        <v>0.74801466502035996</v>
      </c>
    </row>
    <row r="14740" spans="1:3" s="8" customFormat="1" x14ac:dyDescent="0.2">
      <c r="A14740" s="6" t="str">
        <f>"AC003005.1"</f>
        <v>AC003005.1</v>
      </c>
      <c r="B14740" s="6">
        <v>0.627372627372627</v>
      </c>
      <c r="C14740" s="6">
        <v>0.74801466502035996</v>
      </c>
    </row>
    <row r="14741" spans="1:3" s="8" customFormat="1" x14ac:dyDescent="0.2">
      <c r="A14741" s="6" t="str">
        <f>"FGFR4"</f>
        <v>FGFR4</v>
      </c>
      <c r="B14741" s="6">
        <v>0.627372627372627</v>
      </c>
      <c r="C14741" s="6">
        <v>0.74801466502035996</v>
      </c>
    </row>
    <row r="14742" spans="1:3" s="8" customFormat="1" x14ac:dyDescent="0.2">
      <c r="A14742" s="6" t="str">
        <f>"OR2A1-AS1"</f>
        <v>OR2A1-AS1</v>
      </c>
      <c r="B14742" s="6">
        <v>0.627</v>
      </c>
      <c r="C14742" s="6">
        <v>0.74801466502035996</v>
      </c>
    </row>
    <row r="14743" spans="1:3" s="8" customFormat="1" x14ac:dyDescent="0.2">
      <c r="A14743" s="6" t="str">
        <f>"PDGFRA"</f>
        <v>PDGFRA</v>
      </c>
      <c r="B14743" s="6">
        <v>0.627372627372627</v>
      </c>
      <c r="C14743" s="6">
        <v>0.74801466502035996</v>
      </c>
    </row>
    <row r="14744" spans="1:3" s="8" customFormat="1" x14ac:dyDescent="0.2">
      <c r="A14744" s="6" t="str">
        <f>"FSTL3"</f>
        <v>FSTL3</v>
      </c>
      <c r="B14744" s="6">
        <v>0.627372627372627</v>
      </c>
      <c r="C14744" s="6">
        <v>0.74801466502035996</v>
      </c>
    </row>
    <row r="14745" spans="1:3" s="8" customFormat="1" x14ac:dyDescent="0.2">
      <c r="A14745" s="6" t="str">
        <f>"ARNTL"</f>
        <v>ARNTL</v>
      </c>
      <c r="B14745" s="6">
        <v>0.627372627372627</v>
      </c>
      <c r="C14745" s="6">
        <v>0.74801466502035996</v>
      </c>
    </row>
    <row r="14746" spans="1:3" s="8" customFormat="1" x14ac:dyDescent="0.2">
      <c r="A14746" s="6" t="str">
        <f>"EEFSEC"</f>
        <v>EEFSEC</v>
      </c>
      <c r="B14746" s="6">
        <v>0.627372627372627</v>
      </c>
      <c r="C14746" s="6">
        <v>0.74801466502035996</v>
      </c>
    </row>
    <row r="14747" spans="1:3" s="8" customFormat="1" x14ac:dyDescent="0.2">
      <c r="A14747" s="6" t="str">
        <f>"PALM2AKAP2"</f>
        <v>PALM2AKAP2</v>
      </c>
      <c r="B14747" s="6">
        <v>0.627372627372627</v>
      </c>
      <c r="C14747" s="6">
        <v>0.74801466502035996</v>
      </c>
    </row>
    <row r="14748" spans="1:3" s="8" customFormat="1" x14ac:dyDescent="0.2">
      <c r="A14748" s="6" t="str">
        <f>"FAM160A1"</f>
        <v>FAM160A1</v>
      </c>
      <c r="B14748" s="6">
        <v>0.627372627372627</v>
      </c>
      <c r="C14748" s="6">
        <v>0.74801466502035996</v>
      </c>
    </row>
    <row r="14749" spans="1:3" s="8" customFormat="1" x14ac:dyDescent="0.2">
      <c r="A14749" s="6" t="str">
        <f>"SPCS3"</f>
        <v>SPCS3</v>
      </c>
      <c r="B14749" s="6">
        <v>0.627372627372627</v>
      </c>
      <c r="C14749" s="6">
        <v>0.74801466502035996</v>
      </c>
    </row>
    <row r="14750" spans="1:3" s="8" customFormat="1" x14ac:dyDescent="0.2">
      <c r="A14750" s="6" t="str">
        <f>"AGAP14P"</f>
        <v>AGAP14P</v>
      </c>
      <c r="B14750" s="6">
        <v>0.62837162837162797</v>
      </c>
      <c r="C14750" s="6">
        <v>0.74883195652298495</v>
      </c>
    </row>
    <row r="14751" spans="1:3" s="8" customFormat="1" x14ac:dyDescent="0.2">
      <c r="A14751" s="6" t="str">
        <f>"GSTA8P"</f>
        <v>GSTA8P</v>
      </c>
      <c r="B14751" s="6">
        <v>0.62837162837162797</v>
      </c>
      <c r="C14751" s="6">
        <v>0.74883195652298495</v>
      </c>
    </row>
    <row r="14752" spans="1:3" s="8" customFormat="1" x14ac:dyDescent="0.2">
      <c r="A14752" s="6" t="str">
        <f>"AC021028.1"</f>
        <v>AC021028.1</v>
      </c>
      <c r="B14752" s="6">
        <v>0.62839879154078504</v>
      </c>
      <c r="C14752" s="6">
        <v>0.74883195652298495</v>
      </c>
    </row>
    <row r="14753" spans="1:3" s="8" customFormat="1" x14ac:dyDescent="0.2">
      <c r="A14753" s="6" t="str">
        <f>"ACTG1P25"</f>
        <v>ACTG1P25</v>
      </c>
      <c r="B14753" s="6">
        <v>0.62837162837162797</v>
      </c>
      <c r="C14753" s="6">
        <v>0.74883195652298495</v>
      </c>
    </row>
    <row r="14754" spans="1:3" s="8" customFormat="1" x14ac:dyDescent="0.2">
      <c r="A14754" s="6" t="str">
        <f>"STIMATE-MUSTN1"</f>
        <v>STIMATE-MUSTN1</v>
      </c>
      <c r="B14754" s="6">
        <v>0.62837162837162797</v>
      </c>
      <c r="C14754" s="6">
        <v>0.74883195652298495</v>
      </c>
    </row>
    <row r="14755" spans="1:3" s="8" customFormat="1" x14ac:dyDescent="0.2">
      <c r="A14755" s="6" t="str">
        <f>"AL513477.1"</f>
        <v>AL513477.1</v>
      </c>
      <c r="B14755" s="6">
        <v>0.62837162837162797</v>
      </c>
      <c r="C14755" s="6">
        <v>0.74883195652298495</v>
      </c>
    </row>
    <row r="14756" spans="1:3" s="8" customFormat="1" x14ac:dyDescent="0.2">
      <c r="A14756" s="6" t="str">
        <f>"AXL"</f>
        <v>AXL</v>
      </c>
      <c r="B14756" s="6">
        <v>0.62837162837162797</v>
      </c>
      <c r="C14756" s="6">
        <v>0.74883195652298495</v>
      </c>
    </row>
    <row r="14757" spans="1:3" s="8" customFormat="1" x14ac:dyDescent="0.2">
      <c r="A14757" s="6" t="str">
        <f>"FAM174B"</f>
        <v>FAM174B</v>
      </c>
      <c r="B14757" s="6">
        <v>0.62837162837162797</v>
      </c>
      <c r="C14757" s="6">
        <v>0.74883195652298495</v>
      </c>
    </row>
    <row r="14758" spans="1:3" s="8" customFormat="1" x14ac:dyDescent="0.2">
      <c r="A14758" s="6" t="str">
        <f>"SLC4A9"</f>
        <v>SLC4A9</v>
      </c>
      <c r="B14758" s="6">
        <v>0.62937062937062904</v>
      </c>
      <c r="C14758" s="6">
        <v>0.74978679856728603</v>
      </c>
    </row>
    <row r="14759" spans="1:3" s="8" customFormat="1" x14ac:dyDescent="0.2">
      <c r="A14759" s="6" t="str">
        <f>"NAGS"</f>
        <v>NAGS</v>
      </c>
      <c r="B14759" s="6">
        <v>0.62937062937062904</v>
      </c>
      <c r="C14759" s="6">
        <v>0.74978679856728603</v>
      </c>
    </row>
    <row r="14760" spans="1:3" s="8" customFormat="1" x14ac:dyDescent="0.2">
      <c r="A14760" s="6" t="str">
        <f>"ZNF12"</f>
        <v>ZNF12</v>
      </c>
      <c r="B14760" s="6">
        <v>0.62937062937062904</v>
      </c>
      <c r="C14760" s="6">
        <v>0.74978679856728603</v>
      </c>
    </row>
    <row r="14761" spans="1:3" s="8" customFormat="1" x14ac:dyDescent="0.2">
      <c r="A14761" s="6" t="str">
        <f>"LUC7L3"</f>
        <v>LUC7L3</v>
      </c>
      <c r="B14761" s="6">
        <v>0.62937062937062904</v>
      </c>
      <c r="C14761" s="6">
        <v>0.74978679856728603</v>
      </c>
    </row>
    <row r="14762" spans="1:3" s="8" customFormat="1" x14ac:dyDescent="0.2">
      <c r="A14762" s="6" t="str">
        <f>"GOLGA2P11"</f>
        <v>GOLGA2P11</v>
      </c>
      <c r="B14762" s="6">
        <v>0.63</v>
      </c>
      <c r="C14762" s="6">
        <v>0.75048573944854602</v>
      </c>
    </row>
    <row r="14763" spans="1:3" s="8" customFormat="1" x14ac:dyDescent="0.2">
      <c r="A14763" s="6" t="str">
        <f>"TRBV5-1"</f>
        <v>TRBV5-1</v>
      </c>
      <c r="B14763" s="6">
        <v>0.63036963036963001</v>
      </c>
      <c r="C14763" s="6">
        <v>0.75051930262167899</v>
      </c>
    </row>
    <row r="14764" spans="1:3" s="8" customFormat="1" x14ac:dyDescent="0.2">
      <c r="A14764" s="6" t="str">
        <f>"AC021755.2"</f>
        <v>AC021755.2</v>
      </c>
      <c r="B14764" s="6">
        <v>0.63036963036963001</v>
      </c>
      <c r="C14764" s="6">
        <v>0.75051930262167899</v>
      </c>
    </row>
    <row r="14765" spans="1:3" s="8" customFormat="1" x14ac:dyDescent="0.2">
      <c r="A14765" s="6" t="str">
        <f>"HS3ST4"</f>
        <v>HS3ST4</v>
      </c>
      <c r="B14765" s="6">
        <v>0.63036963036963001</v>
      </c>
      <c r="C14765" s="6">
        <v>0.75051930262167899</v>
      </c>
    </row>
    <row r="14766" spans="1:3" s="8" customFormat="1" x14ac:dyDescent="0.2">
      <c r="A14766" s="6" t="str">
        <f>"AC008147.2"</f>
        <v>AC008147.2</v>
      </c>
      <c r="B14766" s="6">
        <v>0.63036963036963001</v>
      </c>
      <c r="C14766" s="6">
        <v>0.75051930262167899</v>
      </c>
    </row>
    <row r="14767" spans="1:3" s="8" customFormat="1" x14ac:dyDescent="0.2">
      <c r="A14767" s="6" t="str">
        <f>"AC087854.1"</f>
        <v>AC087854.1</v>
      </c>
      <c r="B14767" s="6">
        <v>0.63036963036963001</v>
      </c>
      <c r="C14767" s="6">
        <v>0.75051930262167899</v>
      </c>
    </row>
    <row r="14768" spans="1:3" s="8" customFormat="1" x14ac:dyDescent="0.2">
      <c r="A14768" s="6" t="str">
        <f>"PGBD2"</f>
        <v>PGBD2</v>
      </c>
      <c r="B14768" s="6">
        <v>0.63036963036963001</v>
      </c>
      <c r="C14768" s="6">
        <v>0.75051930262167899</v>
      </c>
    </row>
    <row r="14769" spans="1:3" s="8" customFormat="1" x14ac:dyDescent="0.2">
      <c r="A14769" s="6" t="str">
        <f>"PPID"</f>
        <v>PPID</v>
      </c>
      <c r="B14769" s="6">
        <v>0.63036963036963001</v>
      </c>
      <c r="C14769" s="6">
        <v>0.75051930262167899</v>
      </c>
    </row>
    <row r="14770" spans="1:3" s="8" customFormat="1" x14ac:dyDescent="0.2">
      <c r="A14770" s="6" t="str">
        <f>"RPS15"</f>
        <v>RPS15</v>
      </c>
      <c r="B14770" s="6">
        <v>0.63036963036963001</v>
      </c>
      <c r="C14770" s="6">
        <v>0.75051930262167899</v>
      </c>
    </row>
    <row r="14771" spans="1:3" s="8" customFormat="1" x14ac:dyDescent="0.2">
      <c r="A14771" s="6" t="str">
        <f>"A3GALT2"</f>
        <v>A3GALT2</v>
      </c>
      <c r="B14771" s="6">
        <v>0.63087934560327197</v>
      </c>
      <c r="C14771" s="6">
        <v>0.75107531571346797</v>
      </c>
    </row>
    <row r="14772" spans="1:3" s="8" customFormat="1" x14ac:dyDescent="0.2">
      <c r="A14772" s="6" t="str">
        <f>"AC122694.1"</f>
        <v>AC122694.1</v>
      </c>
      <c r="B14772" s="6">
        <v>0.63131313131313105</v>
      </c>
      <c r="C14772" s="6">
        <v>0.75109843812908506</v>
      </c>
    </row>
    <row r="14773" spans="1:3" s="8" customFormat="1" x14ac:dyDescent="0.2">
      <c r="A14773" s="6" t="str">
        <f>"AC099398.1"</f>
        <v>AC099398.1</v>
      </c>
      <c r="B14773" s="6">
        <v>0.63100000000000001</v>
      </c>
      <c r="C14773" s="6">
        <v>0.75109843812908506</v>
      </c>
    </row>
    <row r="14774" spans="1:3" s="8" customFormat="1" x14ac:dyDescent="0.2">
      <c r="A14774" s="6" t="str">
        <f>"RECK"</f>
        <v>RECK</v>
      </c>
      <c r="B14774" s="6">
        <v>0.63136863136863097</v>
      </c>
      <c r="C14774" s="6">
        <v>0.75109843812908506</v>
      </c>
    </row>
    <row r="14775" spans="1:3" s="8" customFormat="1" x14ac:dyDescent="0.2">
      <c r="A14775" s="6" t="str">
        <f>"PRICKLE1"</f>
        <v>PRICKLE1</v>
      </c>
      <c r="B14775" s="6">
        <v>0.63136863136863097</v>
      </c>
      <c r="C14775" s="6">
        <v>0.75109843812908506</v>
      </c>
    </row>
    <row r="14776" spans="1:3" s="8" customFormat="1" x14ac:dyDescent="0.2">
      <c r="A14776" s="6" t="str">
        <f>"U91328.1"</f>
        <v>U91328.1</v>
      </c>
      <c r="B14776" s="6">
        <v>0.63136863136863097</v>
      </c>
      <c r="C14776" s="6">
        <v>0.75109843812908506</v>
      </c>
    </row>
    <row r="14777" spans="1:3" s="8" customFormat="1" x14ac:dyDescent="0.2">
      <c r="A14777" s="6" t="str">
        <f>"AC010642.2"</f>
        <v>AC010642.2</v>
      </c>
      <c r="B14777" s="6">
        <v>0.63136863136863097</v>
      </c>
      <c r="C14777" s="6">
        <v>0.75109843812908506</v>
      </c>
    </row>
    <row r="14778" spans="1:3" s="8" customFormat="1" x14ac:dyDescent="0.2">
      <c r="A14778" s="6" t="str">
        <f>"STEAP1"</f>
        <v>STEAP1</v>
      </c>
      <c r="B14778" s="6">
        <v>0.63136863136863097</v>
      </c>
      <c r="C14778" s="6">
        <v>0.75109843812908506</v>
      </c>
    </row>
    <row r="14779" spans="1:3" s="8" customFormat="1" x14ac:dyDescent="0.2">
      <c r="A14779" s="6" t="str">
        <f>"TIMM22"</f>
        <v>TIMM22</v>
      </c>
      <c r="B14779" s="6">
        <v>0.63136863136863097</v>
      </c>
      <c r="C14779" s="6">
        <v>0.75109843812908506</v>
      </c>
    </row>
    <row r="14780" spans="1:3" s="8" customFormat="1" x14ac:dyDescent="0.2">
      <c r="A14780" s="6" t="str">
        <f>"TNK1"</f>
        <v>TNK1</v>
      </c>
      <c r="B14780" s="6">
        <v>0.63136863136863097</v>
      </c>
      <c r="C14780" s="6">
        <v>0.75109843812908506</v>
      </c>
    </row>
    <row r="14781" spans="1:3" s="8" customFormat="1" x14ac:dyDescent="0.2">
      <c r="A14781" s="6" t="str">
        <f>"SAMD8"</f>
        <v>SAMD8</v>
      </c>
      <c r="B14781" s="6">
        <v>0.63136863136863097</v>
      </c>
      <c r="C14781" s="6">
        <v>0.75109843812908506</v>
      </c>
    </row>
    <row r="14782" spans="1:3" s="8" customFormat="1" x14ac:dyDescent="0.2">
      <c r="A14782" s="6" t="str">
        <f>"CEP89"</f>
        <v>CEP89</v>
      </c>
      <c r="B14782" s="6">
        <v>0.63136863136863097</v>
      </c>
      <c r="C14782" s="6">
        <v>0.75109843812908506</v>
      </c>
    </row>
    <row r="14783" spans="1:3" s="8" customFormat="1" x14ac:dyDescent="0.2">
      <c r="A14783" s="6" t="str">
        <f>"LINC00205"</f>
        <v>LINC00205</v>
      </c>
      <c r="B14783" s="6">
        <v>0.63200000000000001</v>
      </c>
      <c r="C14783" s="6">
        <v>0.75179867406304901</v>
      </c>
    </row>
    <row r="14784" spans="1:3" s="8" customFormat="1" x14ac:dyDescent="0.2">
      <c r="A14784" s="6" t="str">
        <f>"LINC01537"</f>
        <v>LINC01537</v>
      </c>
      <c r="B14784" s="6">
        <v>0.63215859030836996</v>
      </c>
      <c r="C14784" s="6">
        <v>0.75193645755140204</v>
      </c>
    </row>
    <row r="14785" spans="1:3" s="8" customFormat="1" x14ac:dyDescent="0.2">
      <c r="A14785" s="6" t="str">
        <f>"AC104850.2"</f>
        <v>AC104850.2</v>
      </c>
      <c r="B14785" s="6">
        <v>0.63236763236763205</v>
      </c>
      <c r="C14785" s="6">
        <v>0.75198163573087495</v>
      </c>
    </row>
    <row r="14786" spans="1:3" s="8" customFormat="1" x14ac:dyDescent="0.2">
      <c r="A14786" s="6" t="str">
        <f>"GNAZ"</f>
        <v>GNAZ</v>
      </c>
      <c r="B14786" s="6">
        <v>0.63236763236763205</v>
      </c>
      <c r="C14786" s="6">
        <v>0.75198163573087495</v>
      </c>
    </row>
    <row r="14787" spans="1:3" s="8" customFormat="1" x14ac:dyDescent="0.2">
      <c r="A14787" s="6" t="str">
        <f>"CGRRF1"</f>
        <v>CGRRF1</v>
      </c>
      <c r="B14787" s="6">
        <v>0.63236763236763205</v>
      </c>
      <c r="C14787" s="6">
        <v>0.75198163573087495</v>
      </c>
    </row>
    <row r="14788" spans="1:3" s="8" customFormat="1" x14ac:dyDescent="0.2">
      <c r="A14788" s="6" t="str">
        <f>"PLA2G12A"</f>
        <v>PLA2G12A</v>
      </c>
      <c r="B14788" s="6">
        <v>0.63236763236763205</v>
      </c>
      <c r="C14788" s="6">
        <v>0.75198163573087495</v>
      </c>
    </row>
    <row r="14789" spans="1:3" s="8" customFormat="1" x14ac:dyDescent="0.2">
      <c r="A14789" s="6" t="str">
        <f>"CTNNA2-AS1"</f>
        <v>CTNNA2-AS1</v>
      </c>
      <c r="B14789" s="6">
        <v>0.63242698892245697</v>
      </c>
      <c r="C14789" s="6">
        <v>0.75200136416097396</v>
      </c>
    </row>
    <row r="14790" spans="1:3" s="8" customFormat="1" x14ac:dyDescent="0.2">
      <c r="A14790" s="6" t="str">
        <f>"SLC2A9-AS1"</f>
        <v>SLC2A9-AS1</v>
      </c>
      <c r="B14790" s="6">
        <v>0.63300000000000001</v>
      </c>
      <c r="C14790" s="6">
        <v>0.75263182094800196</v>
      </c>
    </row>
    <row r="14791" spans="1:3" s="8" customFormat="1" x14ac:dyDescent="0.2">
      <c r="A14791" s="6" t="str">
        <f>"ZMAT4"</f>
        <v>ZMAT4</v>
      </c>
      <c r="B14791" s="6">
        <v>0.63336663336663301</v>
      </c>
      <c r="C14791" s="6">
        <v>0.75276234411077203</v>
      </c>
    </row>
    <row r="14792" spans="1:3" s="8" customFormat="1" x14ac:dyDescent="0.2">
      <c r="A14792" s="6" t="str">
        <f>"CLIC4P3"</f>
        <v>CLIC4P3</v>
      </c>
      <c r="B14792" s="6">
        <v>0.63336663336663301</v>
      </c>
      <c r="C14792" s="6">
        <v>0.75276234411077203</v>
      </c>
    </row>
    <row r="14793" spans="1:3" s="8" customFormat="1" x14ac:dyDescent="0.2">
      <c r="A14793" s="6" t="str">
        <f>"AC008507.1"</f>
        <v>AC008507.1</v>
      </c>
      <c r="B14793" s="6">
        <v>0.63323201621073899</v>
      </c>
      <c r="C14793" s="6">
        <v>0.75276234411077203</v>
      </c>
    </row>
    <row r="14794" spans="1:3" s="8" customFormat="1" x14ac:dyDescent="0.2">
      <c r="A14794" s="6" t="str">
        <f>"FP236383.3"</f>
        <v>FP236383.3</v>
      </c>
      <c r="B14794" s="6">
        <v>0.63336663336663301</v>
      </c>
      <c r="C14794" s="6">
        <v>0.75276234411077203</v>
      </c>
    </row>
    <row r="14795" spans="1:3" s="8" customFormat="1" x14ac:dyDescent="0.2">
      <c r="A14795" s="6" t="str">
        <f>"LARGE2"</f>
        <v>LARGE2</v>
      </c>
      <c r="B14795" s="6">
        <v>0.63336663336663301</v>
      </c>
      <c r="C14795" s="6">
        <v>0.75276234411077203</v>
      </c>
    </row>
    <row r="14796" spans="1:3" s="8" customFormat="1" x14ac:dyDescent="0.2">
      <c r="A14796" s="6" t="str">
        <f>"SERINC1"</f>
        <v>SERINC1</v>
      </c>
      <c r="B14796" s="6">
        <v>0.63336663336663301</v>
      </c>
      <c r="C14796" s="6">
        <v>0.75276234411077203</v>
      </c>
    </row>
    <row r="14797" spans="1:3" s="8" customFormat="1" x14ac:dyDescent="0.2">
      <c r="A14797" s="6" t="str">
        <f>"AC138776.1"</f>
        <v>AC138776.1</v>
      </c>
      <c r="B14797" s="6">
        <v>0.63400000000000001</v>
      </c>
      <c r="C14797" s="6">
        <v>0.75346417950797495</v>
      </c>
    </row>
    <row r="14798" spans="1:3" s="8" customFormat="1" x14ac:dyDescent="0.2">
      <c r="A14798" s="6" t="str">
        <f>"AC006449.5"</f>
        <v>AC006449.5</v>
      </c>
      <c r="B14798" s="6">
        <v>0.63436563436563398</v>
      </c>
      <c r="C14798" s="6">
        <v>0.75369495369495298</v>
      </c>
    </row>
    <row r="14799" spans="1:3" s="8" customFormat="1" x14ac:dyDescent="0.2">
      <c r="A14799" s="6" t="str">
        <f>"GHRLOS"</f>
        <v>GHRLOS</v>
      </c>
      <c r="B14799" s="6">
        <v>0.63436563436563398</v>
      </c>
      <c r="C14799" s="6">
        <v>0.75369495369495298</v>
      </c>
    </row>
    <row r="14800" spans="1:3" s="8" customFormat="1" x14ac:dyDescent="0.2">
      <c r="A14800" s="6" t="str">
        <f>"PIWIL4"</f>
        <v>PIWIL4</v>
      </c>
      <c r="B14800" s="6">
        <v>0.63436563436563398</v>
      </c>
      <c r="C14800" s="6">
        <v>0.75369495369495298</v>
      </c>
    </row>
    <row r="14801" spans="1:3" s="8" customFormat="1" x14ac:dyDescent="0.2">
      <c r="A14801" s="6" t="str">
        <f>"AL356488.3"</f>
        <v>AL356488.3</v>
      </c>
      <c r="B14801" s="6">
        <v>0.63436563436563398</v>
      </c>
      <c r="C14801" s="6">
        <v>0.75369495369495298</v>
      </c>
    </row>
    <row r="14802" spans="1:3" s="8" customFormat="1" x14ac:dyDescent="0.2">
      <c r="A14802" s="6" t="str">
        <f>"AC005288.1"</f>
        <v>AC005288.1</v>
      </c>
      <c r="B14802" s="6">
        <v>0.63470319634703198</v>
      </c>
      <c r="C14802" s="6">
        <v>0.75404506483117395</v>
      </c>
    </row>
    <row r="14803" spans="1:3" s="8" customFormat="1" x14ac:dyDescent="0.2">
      <c r="A14803" s="6" t="str">
        <f>"AC020612.4"</f>
        <v>AC020612.4</v>
      </c>
      <c r="B14803" s="6">
        <v>0.63527054108216396</v>
      </c>
      <c r="C14803" s="6">
        <v>0.75421938488164098</v>
      </c>
    </row>
    <row r="14804" spans="1:3" s="8" customFormat="1" x14ac:dyDescent="0.2">
      <c r="A14804" s="6" t="str">
        <f>"AC004264.2"</f>
        <v>AC004264.2</v>
      </c>
      <c r="B14804" s="6">
        <v>0.63500000000000001</v>
      </c>
      <c r="C14804" s="6">
        <v>0.75421938488164098</v>
      </c>
    </row>
    <row r="14805" spans="1:3" s="8" customFormat="1" x14ac:dyDescent="0.2">
      <c r="A14805" s="6" t="str">
        <f>"HPN-AS1"</f>
        <v>HPN-AS1</v>
      </c>
      <c r="B14805" s="6">
        <v>0.63536463536463506</v>
      </c>
      <c r="C14805" s="6">
        <v>0.75421938488164098</v>
      </c>
    </row>
    <row r="14806" spans="1:3" s="8" customFormat="1" x14ac:dyDescent="0.2">
      <c r="A14806" s="6" t="str">
        <f>"ARSL"</f>
        <v>ARSL</v>
      </c>
      <c r="B14806" s="6">
        <v>0.63536463536463506</v>
      </c>
      <c r="C14806" s="6">
        <v>0.75421938488164098</v>
      </c>
    </row>
    <row r="14807" spans="1:3" s="8" customFormat="1" x14ac:dyDescent="0.2">
      <c r="A14807" s="6" t="str">
        <f>"AC132938.5"</f>
        <v>AC132938.5</v>
      </c>
      <c r="B14807" s="6">
        <v>0.63536463536463506</v>
      </c>
      <c r="C14807" s="6">
        <v>0.75421938488164098</v>
      </c>
    </row>
    <row r="14808" spans="1:3" s="8" customFormat="1" x14ac:dyDescent="0.2">
      <c r="A14808" s="6" t="str">
        <f>"BIVM-ERCC5"</f>
        <v>BIVM-ERCC5</v>
      </c>
      <c r="B14808" s="6">
        <v>0.63536463536463506</v>
      </c>
      <c r="C14808" s="6">
        <v>0.75421938488164098</v>
      </c>
    </row>
    <row r="14809" spans="1:3" s="8" customFormat="1" x14ac:dyDescent="0.2">
      <c r="A14809" s="6" t="str">
        <f>"VSIG10L2"</f>
        <v>VSIG10L2</v>
      </c>
      <c r="B14809" s="6">
        <v>0.63536463536463506</v>
      </c>
      <c r="C14809" s="6">
        <v>0.75421938488164098</v>
      </c>
    </row>
    <row r="14810" spans="1:3" s="8" customFormat="1" x14ac:dyDescent="0.2">
      <c r="A14810" s="6" t="str">
        <f>"AC104452.1"</f>
        <v>AC104452.1</v>
      </c>
      <c r="B14810" s="6">
        <v>0.63536463536463506</v>
      </c>
      <c r="C14810" s="6">
        <v>0.75421938488164098</v>
      </c>
    </row>
    <row r="14811" spans="1:3" s="8" customFormat="1" x14ac:dyDescent="0.2">
      <c r="A14811" s="6" t="str">
        <f>"ORC5"</f>
        <v>ORC5</v>
      </c>
      <c r="B14811" s="6">
        <v>0.63536463536463506</v>
      </c>
      <c r="C14811" s="6">
        <v>0.75421938488164098</v>
      </c>
    </row>
    <row r="14812" spans="1:3" s="8" customFormat="1" x14ac:dyDescent="0.2">
      <c r="A14812" s="6" t="str">
        <f>"PAX8-AS1"</f>
        <v>PAX8-AS1</v>
      </c>
      <c r="B14812" s="6">
        <v>0.63536463536463506</v>
      </c>
      <c r="C14812" s="6">
        <v>0.75421938488164098</v>
      </c>
    </row>
    <row r="14813" spans="1:3" s="8" customFormat="1" x14ac:dyDescent="0.2">
      <c r="A14813" s="6" t="str">
        <f>"IQUB"</f>
        <v>IQUB</v>
      </c>
      <c r="B14813" s="6">
        <v>0.63536463536463506</v>
      </c>
      <c r="C14813" s="6">
        <v>0.75421938488164098</v>
      </c>
    </row>
    <row r="14814" spans="1:3" s="8" customFormat="1" x14ac:dyDescent="0.2">
      <c r="A14814" s="6" t="str">
        <f>"ZDHHC7"</f>
        <v>ZDHHC7</v>
      </c>
      <c r="B14814" s="6">
        <v>0.63536463536463506</v>
      </c>
      <c r="C14814" s="6">
        <v>0.75421938488164098</v>
      </c>
    </row>
    <row r="14815" spans="1:3" s="8" customFormat="1" x14ac:dyDescent="0.2">
      <c r="A14815" s="6" t="str">
        <f>"AC005165.3"</f>
        <v>AC005165.3</v>
      </c>
      <c r="B14815" s="6">
        <v>0.63636363636363602</v>
      </c>
      <c r="C14815" s="6">
        <v>0.75494657818230804</v>
      </c>
    </row>
    <row r="14816" spans="1:3" s="8" customFormat="1" x14ac:dyDescent="0.2">
      <c r="A14816" s="6" t="str">
        <f>"OR1L8"</f>
        <v>OR1L8</v>
      </c>
      <c r="B14816" s="6">
        <v>0.63636363636363602</v>
      </c>
      <c r="C14816" s="6">
        <v>0.75494657818230804</v>
      </c>
    </row>
    <row r="14817" spans="1:3" s="8" customFormat="1" x14ac:dyDescent="0.2">
      <c r="A14817" s="6" t="str">
        <f>"AC144548.1"</f>
        <v>AC144548.1</v>
      </c>
      <c r="B14817" s="6">
        <v>0.63636363636363602</v>
      </c>
      <c r="C14817" s="6">
        <v>0.75494657818230804</v>
      </c>
    </row>
    <row r="14818" spans="1:3" s="8" customFormat="1" x14ac:dyDescent="0.2">
      <c r="A14818" s="6" t="str">
        <f>"AARSD1P1"</f>
        <v>AARSD1P1</v>
      </c>
      <c r="B14818" s="6">
        <v>0.63636363636363602</v>
      </c>
      <c r="C14818" s="6">
        <v>0.75494657818230804</v>
      </c>
    </row>
    <row r="14819" spans="1:3" s="8" customFormat="1" x14ac:dyDescent="0.2">
      <c r="A14819" s="6" t="str">
        <f>"AC099521.3"</f>
        <v>AC099521.3</v>
      </c>
      <c r="B14819" s="6">
        <v>0.63636363636363602</v>
      </c>
      <c r="C14819" s="6">
        <v>0.75494657818230804</v>
      </c>
    </row>
    <row r="14820" spans="1:3" s="8" customFormat="1" x14ac:dyDescent="0.2">
      <c r="A14820" s="6" t="str">
        <f>"STIMATE"</f>
        <v>STIMATE</v>
      </c>
      <c r="B14820" s="6">
        <v>0.63636363636363602</v>
      </c>
      <c r="C14820" s="6">
        <v>0.75494657818230804</v>
      </c>
    </row>
    <row r="14821" spans="1:3" s="8" customFormat="1" x14ac:dyDescent="0.2">
      <c r="A14821" s="6" t="str">
        <f>"SLC44A1"</f>
        <v>SLC44A1</v>
      </c>
      <c r="B14821" s="6">
        <v>0.63636363636363602</v>
      </c>
      <c r="C14821" s="6">
        <v>0.75494657818230804</v>
      </c>
    </row>
    <row r="14822" spans="1:3" s="8" customFormat="1" x14ac:dyDescent="0.2">
      <c r="A14822" s="6" t="str">
        <f>"LIG3"</f>
        <v>LIG3</v>
      </c>
      <c r="B14822" s="6">
        <v>0.63636363636363602</v>
      </c>
      <c r="C14822" s="6">
        <v>0.75494657818230804</v>
      </c>
    </row>
    <row r="14823" spans="1:3" s="8" customFormat="1" x14ac:dyDescent="0.2">
      <c r="A14823" s="6" t="str">
        <f>"UBTF"</f>
        <v>UBTF</v>
      </c>
      <c r="B14823" s="6">
        <v>0.63636363636363602</v>
      </c>
      <c r="C14823" s="6">
        <v>0.75494657818230804</v>
      </c>
    </row>
    <row r="14824" spans="1:3" s="8" customFormat="1" x14ac:dyDescent="0.2">
      <c r="A14824" s="6" t="str">
        <f>"AC074194.2"</f>
        <v>AC074194.2</v>
      </c>
      <c r="B14824" s="6">
        <v>0.63700000000000001</v>
      </c>
      <c r="C14824" s="6">
        <v>0.75565054307495105</v>
      </c>
    </row>
    <row r="14825" spans="1:3" s="8" customFormat="1" x14ac:dyDescent="0.2">
      <c r="A14825" s="6" t="str">
        <f>"AC140125.2"</f>
        <v>AC140125.2</v>
      </c>
      <c r="B14825" s="6">
        <v>0.63736263736263699</v>
      </c>
      <c r="C14825" s="6">
        <v>0.75597872616422301</v>
      </c>
    </row>
    <row r="14826" spans="1:3" s="8" customFormat="1" x14ac:dyDescent="0.2">
      <c r="A14826" s="6" t="str">
        <f>"ABHD3"</f>
        <v>ABHD3</v>
      </c>
      <c r="B14826" s="6">
        <v>0.63736263736263699</v>
      </c>
      <c r="C14826" s="6">
        <v>0.75597872616422301</v>
      </c>
    </row>
    <row r="14827" spans="1:3" s="8" customFormat="1" x14ac:dyDescent="0.2">
      <c r="A14827" s="6" t="str">
        <f>"C16orf96"</f>
        <v>C16orf96</v>
      </c>
      <c r="B14827" s="6">
        <v>0.63763763763763703</v>
      </c>
      <c r="C14827" s="6">
        <v>0.75625389317551694</v>
      </c>
    </row>
    <row r="14828" spans="1:3" s="8" customFormat="1" x14ac:dyDescent="0.2">
      <c r="A14828" s="6" t="str">
        <f>"AC012306.3"</f>
        <v>AC012306.3</v>
      </c>
      <c r="B14828" s="6">
        <v>0.63782696177062304</v>
      </c>
      <c r="C14828" s="6">
        <v>0.75642741591519802</v>
      </c>
    </row>
    <row r="14829" spans="1:3" s="8" customFormat="1" x14ac:dyDescent="0.2">
      <c r="A14829" s="6" t="str">
        <f>"AC087741.3"</f>
        <v>AC087741.3</v>
      </c>
      <c r="B14829" s="6">
        <v>0.63791374122367095</v>
      </c>
      <c r="C14829" s="6">
        <v>0.75647931114627898</v>
      </c>
    </row>
    <row r="14830" spans="1:3" s="8" customFormat="1" x14ac:dyDescent="0.2">
      <c r="A14830" s="6" t="str">
        <f>"AL110118.1"</f>
        <v>AL110118.1</v>
      </c>
      <c r="B14830" s="6">
        <v>0.63800000000000001</v>
      </c>
      <c r="C14830" s="6">
        <v>0.75653058196776501</v>
      </c>
    </row>
    <row r="14831" spans="1:3" s="8" customFormat="1" x14ac:dyDescent="0.2">
      <c r="A14831" s="6" t="str">
        <f>"DIRC3-AS1"</f>
        <v>DIRC3-AS1</v>
      </c>
      <c r="B14831" s="6">
        <v>0.63836163836163795</v>
      </c>
      <c r="C14831" s="6">
        <v>0.75670426378259703</v>
      </c>
    </row>
    <row r="14832" spans="1:3" s="8" customFormat="1" x14ac:dyDescent="0.2">
      <c r="A14832" s="6" t="str">
        <f>"KCNN1"</f>
        <v>KCNN1</v>
      </c>
      <c r="B14832" s="6">
        <v>0.63836163836163795</v>
      </c>
      <c r="C14832" s="6">
        <v>0.75670426378259703</v>
      </c>
    </row>
    <row r="14833" spans="1:3" s="8" customFormat="1" x14ac:dyDescent="0.2">
      <c r="A14833" s="6" t="str">
        <f>"GSTM4"</f>
        <v>GSTM4</v>
      </c>
      <c r="B14833" s="6">
        <v>0.63836163836163795</v>
      </c>
      <c r="C14833" s="6">
        <v>0.75670426378259703</v>
      </c>
    </row>
    <row r="14834" spans="1:3" s="8" customFormat="1" x14ac:dyDescent="0.2">
      <c r="A14834" s="6" t="str">
        <f>"KDM3A"</f>
        <v>KDM3A</v>
      </c>
      <c r="B14834" s="6">
        <v>0.63836163836163795</v>
      </c>
      <c r="C14834" s="6">
        <v>0.75670426378259703</v>
      </c>
    </row>
    <row r="14835" spans="1:3" s="8" customFormat="1" x14ac:dyDescent="0.2">
      <c r="A14835" s="6" t="str">
        <f>"PRPF6"</f>
        <v>PRPF6</v>
      </c>
      <c r="B14835" s="6">
        <v>0.63836163836163795</v>
      </c>
      <c r="C14835" s="6">
        <v>0.75670426378259703</v>
      </c>
    </row>
    <row r="14836" spans="1:3" s="8" customFormat="1" x14ac:dyDescent="0.2">
      <c r="A14836" s="6" t="str">
        <f>"TCP11X1"</f>
        <v>TCP11X1</v>
      </c>
      <c r="B14836" s="6">
        <v>0.63936063936063903</v>
      </c>
      <c r="C14836" s="6">
        <v>0.75753099403796798</v>
      </c>
    </row>
    <row r="14837" spans="1:3" s="8" customFormat="1" x14ac:dyDescent="0.2">
      <c r="A14837" s="6" t="str">
        <f>"MESTIT1"</f>
        <v>MESTIT1</v>
      </c>
      <c r="B14837" s="6">
        <v>0.63936063936063903</v>
      </c>
      <c r="C14837" s="6">
        <v>0.75753099403796798</v>
      </c>
    </row>
    <row r="14838" spans="1:3" s="8" customFormat="1" x14ac:dyDescent="0.2">
      <c r="A14838" s="6" t="str">
        <f>"AC108673.3"</f>
        <v>AC108673.3</v>
      </c>
      <c r="B14838" s="6">
        <v>0.63936063936063903</v>
      </c>
      <c r="C14838" s="6">
        <v>0.75753099403796798</v>
      </c>
    </row>
    <row r="14839" spans="1:3" s="8" customFormat="1" x14ac:dyDescent="0.2">
      <c r="A14839" s="6" t="str">
        <f>"BCRP3"</f>
        <v>BCRP3</v>
      </c>
      <c r="B14839" s="6">
        <v>0.63936063936063903</v>
      </c>
      <c r="C14839" s="6">
        <v>0.75753099403796798</v>
      </c>
    </row>
    <row r="14840" spans="1:3" s="8" customFormat="1" x14ac:dyDescent="0.2">
      <c r="A14840" s="6" t="str">
        <f>"NKD2"</f>
        <v>NKD2</v>
      </c>
      <c r="B14840" s="6">
        <v>0.63936063936063903</v>
      </c>
      <c r="C14840" s="6">
        <v>0.75753099403796798</v>
      </c>
    </row>
    <row r="14841" spans="1:3" s="8" customFormat="1" x14ac:dyDescent="0.2">
      <c r="A14841" s="6" t="str">
        <f>"CTIF"</f>
        <v>CTIF</v>
      </c>
      <c r="B14841" s="6">
        <v>0.63936063936063903</v>
      </c>
      <c r="C14841" s="6">
        <v>0.75753099403796798</v>
      </c>
    </row>
    <row r="14842" spans="1:3" s="8" customFormat="1" x14ac:dyDescent="0.2">
      <c r="A14842" s="6" t="str">
        <f>"RHOBTB2"</f>
        <v>RHOBTB2</v>
      </c>
      <c r="B14842" s="6">
        <v>0.63936063936063903</v>
      </c>
      <c r="C14842" s="6">
        <v>0.75753099403796798</v>
      </c>
    </row>
    <row r="14843" spans="1:3" s="8" customFormat="1" x14ac:dyDescent="0.2">
      <c r="A14843" s="6" t="str">
        <f>"AC034229.1"</f>
        <v>AC034229.1</v>
      </c>
      <c r="B14843" s="6">
        <v>0.63963963963963899</v>
      </c>
      <c r="C14843" s="6">
        <v>0.75781049881575402</v>
      </c>
    </row>
    <row r="14844" spans="1:3" s="8" customFormat="1" x14ac:dyDescent="0.2">
      <c r="A14844" s="6" t="str">
        <f>"AC104794.3"</f>
        <v>AC104794.3</v>
      </c>
      <c r="B14844" s="6">
        <v>0.64</v>
      </c>
      <c r="C14844" s="6">
        <v>0.75813527351118204</v>
      </c>
    </row>
    <row r="14845" spans="1:3" s="8" customFormat="1" x14ac:dyDescent="0.2">
      <c r="A14845" s="6" t="str">
        <f>"TRPC4AP"</f>
        <v>TRPC4AP</v>
      </c>
      <c r="B14845" s="6">
        <v>0.64</v>
      </c>
      <c r="C14845" s="6">
        <v>0.75813527351118204</v>
      </c>
    </row>
    <row r="14846" spans="1:3" s="8" customFormat="1" x14ac:dyDescent="0.2">
      <c r="A14846" s="6" t="str">
        <f>"LINC01881"</f>
        <v>LINC01881</v>
      </c>
      <c r="B14846" s="6">
        <v>0.64035964035963999</v>
      </c>
      <c r="C14846" s="6">
        <v>0.758203751672204</v>
      </c>
    </row>
    <row r="14847" spans="1:3" s="8" customFormat="1" x14ac:dyDescent="0.2">
      <c r="A14847" s="6" t="str">
        <f>"AL050309.1"</f>
        <v>AL050309.1</v>
      </c>
      <c r="B14847" s="6">
        <v>0.64035964035963999</v>
      </c>
      <c r="C14847" s="6">
        <v>0.758203751672204</v>
      </c>
    </row>
    <row r="14848" spans="1:3" s="8" customFormat="1" x14ac:dyDescent="0.2">
      <c r="A14848" s="6" t="str">
        <f>"COL27A1"</f>
        <v>COL27A1</v>
      </c>
      <c r="B14848" s="6">
        <v>0.64035964035963999</v>
      </c>
      <c r="C14848" s="6">
        <v>0.758203751672204</v>
      </c>
    </row>
    <row r="14849" spans="1:3" s="8" customFormat="1" x14ac:dyDescent="0.2">
      <c r="A14849" s="6" t="str">
        <f>"COX17"</f>
        <v>COX17</v>
      </c>
      <c r="B14849" s="6">
        <v>0.64035964035963999</v>
      </c>
      <c r="C14849" s="6">
        <v>0.758203751672204</v>
      </c>
    </row>
    <row r="14850" spans="1:3" s="8" customFormat="1" x14ac:dyDescent="0.2">
      <c r="A14850" s="6" t="str">
        <f>"WASHC2C"</f>
        <v>WASHC2C</v>
      </c>
      <c r="B14850" s="6">
        <v>0.64035964035963999</v>
      </c>
      <c r="C14850" s="6">
        <v>0.758203751672204</v>
      </c>
    </row>
    <row r="14851" spans="1:3" s="8" customFormat="1" x14ac:dyDescent="0.2">
      <c r="A14851" s="6" t="str">
        <f>"RNF220"</f>
        <v>RNF220</v>
      </c>
      <c r="B14851" s="6">
        <v>0.64035964035963999</v>
      </c>
      <c r="C14851" s="6">
        <v>0.758203751672204</v>
      </c>
    </row>
    <row r="14852" spans="1:3" s="8" customFormat="1" x14ac:dyDescent="0.2">
      <c r="A14852" s="6" t="str">
        <f>"RPL22"</f>
        <v>RPL22</v>
      </c>
      <c r="B14852" s="6">
        <v>0.64035964035963999</v>
      </c>
      <c r="C14852" s="6">
        <v>0.758203751672204</v>
      </c>
    </row>
    <row r="14853" spans="1:3" s="8" customFormat="1" x14ac:dyDescent="0.2">
      <c r="A14853" s="6" t="str">
        <f>"VAC14-AS1"</f>
        <v>VAC14-AS1</v>
      </c>
      <c r="B14853" s="6">
        <v>0.64100000000000001</v>
      </c>
      <c r="C14853" s="6">
        <v>0.75880867106503302</v>
      </c>
    </row>
    <row r="14854" spans="1:3" s="8" customFormat="1" x14ac:dyDescent="0.2">
      <c r="A14854" s="6" t="str">
        <f>"LINC02857"</f>
        <v>LINC02857</v>
      </c>
      <c r="B14854" s="6">
        <v>0.64100000000000001</v>
      </c>
      <c r="C14854" s="6">
        <v>0.75880867106503302</v>
      </c>
    </row>
    <row r="14855" spans="1:3" s="8" customFormat="1" x14ac:dyDescent="0.2">
      <c r="A14855" s="6" t="str">
        <f>"SMIM34A"</f>
        <v>SMIM34A</v>
      </c>
      <c r="B14855" s="6">
        <v>0.64100000000000001</v>
      </c>
      <c r="C14855" s="6">
        <v>0.75880867106503302</v>
      </c>
    </row>
    <row r="14856" spans="1:3" s="8" customFormat="1" x14ac:dyDescent="0.2">
      <c r="A14856" s="6" t="str">
        <f>"AL021328.1"</f>
        <v>AL021328.1</v>
      </c>
      <c r="B14856" s="6">
        <v>0.64135864135864096</v>
      </c>
      <c r="C14856" s="6">
        <v>0.75892667225103205</v>
      </c>
    </row>
    <row r="14857" spans="1:3" s="8" customFormat="1" x14ac:dyDescent="0.2">
      <c r="A14857" s="6" t="str">
        <f>"NGB"</f>
        <v>NGB</v>
      </c>
      <c r="B14857" s="6">
        <v>0.64135864135864096</v>
      </c>
      <c r="C14857" s="6">
        <v>0.75892667225103205</v>
      </c>
    </row>
    <row r="14858" spans="1:3" s="8" customFormat="1" x14ac:dyDescent="0.2">
      <c r="A14858" s="6" t="str">
        <f>"CPEB1"</f>
        <v>CPEB1</v>
      </c>
      <c r="B14858" s="6">
        <v>0.64135864135864096</v>
      </c>
      <c r="C14858" s="6">
        <v>0.75892667225103205</v>
      </c>
    </row>
    <row r="14859" spans="1:3" s="8" customFormat="1" x14ac:dyDescent="0.2">
      <c r="A14859" s="6" t="str">
        <f>"EPB41"</f>
        <v>EPB41</v>
      </c>
      <c r="B14859" s="6">
        <v>0.64135864135864096</v>
      </c>
      <c r="C14859" s="6">
        <v>0.75892667225103205</v>
      </c>
    </row>
    <row r="14860" spans="1:3" s="8" customFormat="1" x14ac:dyDescent="0.2">
      <c r="A14860" s="6" t="str">
        <f>"C9orf135"</f>
        <v>C9orf135</v>
      </c>
      <c r="B14860" s="6">
        <v>0.64135864135864096</v>
      </c>
      <c r="C14860" s="6">
        <v>0.75892667225103205</v>
      </c>
    </row>
    <row r="14861" spans="1:3" s="8" customFormat="1" x14ac:dyDescent="0.2">
      <c r="A14861" s="6" t="str">
        <f>"KHNYN"</f>
        <v>KHNYN</v>
      </c>
      <c r="B14861" s="6">
        <v>0.64135864135864096</v>
      </c>
      <c r="C14861" s="6">
        <v>0.75892667225103205</v>
      </c>
    </row>
    <row r="14862" spans="1:3" s="8" customFormat="1" x14ac:dyDescent="0.2">
      <c r="A14862" s="6" t="str">
        <f>"AC008403.2"</f>
        <v>AC008403.2</v>
      </c>
      <c r="B14862" s="6">
        <v>0.64235764235764203</v>
      </c>
      <c r="C14862" s="6">
        <v>0.75944441492750503</v>
      </c>
    </row>
    <row r="14863" spans="1:3" s="8" customFormat="1" x14ac:dyDescent="0.2">
      <c r="A14863" s="6" t="str">
        <f>"PON1"</f>
        <v>PON1</v>
      </c>
      <c r="B14863" s="6">
        <v>0.64235764235764203</v>
      </c>
      <c r="C14863" s="6">
        <v>0.75944441492750503</v>
      </c>
    </row>
    <row r="14864" spans="1:3" s="8" customFormat="1" x14ac:dyDescent="0.2">
      <c r="A14864" s="6" t="str">
        <f>"AL022323.3"</f>
        <v>AL022323.3</v>
      </c>
      <c r="B14864" s="6">
        <v>0.642211055276381</v>
      </c>
      <c r="C14864" s="6">
        <v>0.75944441492750503</v>
      </c>
    </row>
    <row r="14865" spans="1:3" s="8" customFormat="1" x14ac:dyDescent="0.2">
      <c r="A14865" s="6" t="str">
        <f>"C1orf127"</f>
        <v>C1orf127</v>
      </c>
      <c r="B14865" s="6">
        <v>0.64235764235764203</v>
      </c>
      <c r="C14865" s="6">
        <v>0.75944441492750503</v>
      </c>
    </row>
    <row r="14866" spans="1:3" s="8" customFormat="1" x14ac:dyDescent="0.2">
      <c r="A14866" s="6" t="str">
        <f>"AL671277.2"</f>
        <v>AL671277.2</v>
      </c>
      <c r="B14866" s="6">
        <v>0.64235764235764203</v>
      </c>
      <c r="C14866" s="6">
        <v>0.75944441492750503</v>
      </c>
    </row>
    <row r="14867" spans="1:3" s="8" customFormat="1" x14ac:dyDescent="0.2">
      <c r="A14867" s="6" t="str">
        <f>"LINC01569"</f>
        <v>LINC01569</v>
      </c>
      <c r="B14867" s="6">
        <v>0.64235764235764203</v>
      </c>
      <c r="C14867" s="6">
        <v>0.75944441492750503</v>
      </c>
    </row>
    <row r="14868" spans="1:3" s="8" customFormat="1" x14ac:dyDescent="0.2">
      <c r="A14868" s="6" t="str">
        <f>"AGAP6"</f>
        <v>AGAP6</v>
      </c>
      <c r="B14868" s="6">
        <v>0.64235764235764203</v>
      </c>
      <c r="C14868" s="6">
        <v>0.75944441492750503</v>
      </c>
    </row>
    <row r="14869" spans="1:3" s="8" customFormat="1" x14ac:dyDescent="0.2">
      <c r="A14869" s="6" t="str">
        <f>"PPM1E"</f>
        <v>PPM1E</v>
      </c>
      <c r="B14869" s="6">
        <v>0.64235764235764203</v>
      </c>
      <c r="C14869" s="6">
        <v>0.75944441492750503</v>
      </c>
    </row>
    <row r="14870" spans="1:3" s="8" customFormat="1" x14ac:dyDescent="0.2">
      <c r="A14870" s="6" t="str">
        <f>"DPYSL2"</f>
        <v>DPYSL2</v>
      </c>
      <c r="B14870" s="6">
        <v>0.64235764235764203</v>
      </c>
      <c r="C14870" s="6">
        <v>0.75944441492750503</v>
      </c>
    </row>
    <row r="14871" spans="1:3" s="8" customFormat="1" x14ac:dyDescent="0.2">
      <c r="A14871" s="6" t="str">
        <f>"CEP63"</f>
        <v>CEP63</v>
      </c>
      <c r="B14871" s="6">
        <v>0.64235764235764203</v>
      </c>
      <c r="C14871" s="6">
        <v>0.75944441492750503</v>
      </c>
    </row>
    <row r="14872" spans="1:3" s="8" customFormat="1" x14ac:dyDescent="0.2">
      <c r="A14872" s="6" t="str">
        <f>"AMBRA1"</f>
        <v>AMBRA1</v>
      </c>
      <c r="B14872" s="6">
        <v>0.64235764235764203</v>
      </c>
      <c r="C14872" s="6">
        <v>0.75944441492750503</v>
      </c>
    </row>
    <row r="14873" spans="1:3" s="8" customFormat="1" x14ac:dyDescent="0.2">
      <c r="A14873" s="6" t="str">
        <f>"C1orf116"</f>
        <v>C1orf116</v>
      </c>
      <c r="B14873" s="6">
        <v>0.64235764235764203</v>
      </c>
      <c r="C14873" s="6">
        <v>0.75944441492750503</v>
      </c>
    </row>
    <row r="14874" spans="1:3" s="8" customFormat="1" x14ac:dyDescent="0.2">
      <c r="A14874" s="6" t="str">
        <f>"CLMN"</f>
        <v>CLMN</v>
      </c>
      <c r="B14874" s="6">
        <v>0.64235764235764203</v>
      </c>
      <c r="C14874" s="6">
        <v>0.75944441492750503</v>
      </c>
    </row>
    <row r="14875" spans="1:3" s="8" customFormat="1" x14ac:dyDescent="0.2">
      <c r="A14875" s="6" t="str">
        <f>"LINC02523"</f>
        <v>LINC02523</v>
      </c>
      <c r="B14875" s="6">
        <v>0.643356643356643</v>
      </c>
      <c r="C14875" s="6">
        <v>0.76036988955391904</v>
      </c>
    </row>
    <row r="14876" spans="1:3" s="8" customFormat="1" x14ac:dyDescent="0.2">
      <c r="A14876" s="6" t="str">
        <f>"ZBTB24"</f>
        <v>ZBTB24</v>
      </c>
      <c r="B14876" s="6">
        <v>0.643356643356643</v>
      </c>
      <c r="C14876" s="6">
        <v>0.76036988955391904</v>
      </c>
    </row>
    <row r="14877" spans="1:3" s="8" customFormat="1" x14ac:dyDescent="0.2">
      <c r="A14877" s="6" t="str">
        <f>"PAPOLG"</f>
        <v>PAPOLG</v>
      </c>
      <c r="B14877" s="6">
        <v>0.643356643356643</v>
      </c>
      <c r="C14877" s="6">
        <v>0.76036988955391904</v>
      </c>
    </row>
    <row r="14878" spans="1:3" s="8" customFormat="1" x14ac:dyDescent="0.2">
      <c r="A14878" s="6" t="str">
        <f>"AC074117.1"</f>
        <v>AC074117.1</v>
      </c>
      <c r="B14878" s="6">
        <v>0.643356643356643</v>
      </c>
      <c r="C14878" s="6">
        <v>0.76036988955391904</v>
      </c>
    </row>
    <row r="14879" spans="1:3" s="8" customFormat="1" x14ac:dyDescent="0.2">
      <c r="A14879" s="6" t="str">
        <f>"SIN3B"</f>
        <v>SIN3B</v>
      </c>
      <c r="B14879" s="6">
        <v>0.643356643356643</v>
      </c>
      <c r="C14879" s="6">
        <v>0.76036988955391904</v>
      </c>
    </row>
    <row r="14880" spans="1:3" s="8" customFormat="1" x14ac:dyDescent="0.2">
      <c r="A14880" s="6" t="str">
        <f>"AC211476.6"</f>
        <v>AC211476.6</v>
      </c>
      <c r="B14880" s="6">
        <v>0.64400000000000002</v>
      </c>
      <c r="C14880" s="6">
        <v>0.76107910477854601</v>
      </c>
    </row>
    <row r="14881" spans="1:3" s="8" customFormat="1" x14ac:dyDescent="0.2">
      <c r="A14881" s="6" t="str">
        <f>"WFIKKN2"</f>
        <v>WFIKKN2</v>
      </c>
      <c r="B14881" s="6">
        <v>0.64435564435564396</v>
      </c>
      <c r="C14881" s="6">
        <v>0.761090189450503</v>
      </c>
    </row>
    <row r="14882" spans="1:3" s="8" customFormat="1" x14ac:dyDescent="0.2">
      <c r="A14882" s="6" t="str">
        <f>"VWA5B2"</f>
        <v>VWA5B2</v>
      </c>
      <c r="B14882" s="6">
        <v>0.64435564435564396</v>
      </c>
      <c r="C14882" s="6">
        <v>0.761090189450503</v>
      </c>
    </row>
    <row r="14883" spans="1:3" s="8" customFormat="1" x14ac:dyDescent="0.2">
      <c r="A14883" s="6" t="str">
        <f>"SERPINF2"</f>
        <v>SERPINF2</v>
      </c>
      <c r="B14883" s="6">
        <v>0.64435564435564396</v>
      </c>
      <c r="C14883" s="6">
        <v>0.761090189450503</v>
      </c>
    </row>
    <row r="14884" spans="1:3" s="8" customFormat="1" x14ac:dyDescent="0.2">
      <c r="A14884" s="6" t="str">
        <f>"H2BC18"</f>
        <v>H2BC18</v>
      </c>
      <c r="B14884" s="6">
        <v>0.64435564435564396</v>
      </c>
      <c r="C14884" s="6">
        <v>0.761090189450503</v>
      </c>
    </row>
    <row r="14885" spans="1:3" s="8" customFormat="1" x14ac:dyDescent="0.2">
      <c r="A14885" s="6" t="str">
        <f>"SULT1A3"</f>
        <v>SULT1A3</v>
      </c>
      <c r="B14885" s="6">
        <v>0.64435564435564396</v>
      </c>
      <c r="C14885" s="6">
        <v>0.761090189450503</v>
      </c>
    </row>
    <row r="14886" spans="1:3" s="8" customFormat="1" x14ac:dyDescent="0.2">
      <c r="A14886" s="6" t="str">
        <f>"BICC1"</f>
        <v>BICC1</v>
      </c>
      <c r="B14886" s="6">
        <v>0.64435564435564396</v>
      </c>
      <c r="C14886" s="6">
        <v>0.761090189450503</v>
      </c>
    </row>
    <row r="14887" spans="1:3" s="8" customFormat="1" x14ac:dyDescent="0.2">
      <c r="A14887" s="6" t="str">
        <f>"SCARA3"</f>
        <v>SCARA3</v>
      </c>
      <c r="B14887" s="6">
        <v>0.64435564435564396</v>
      </c>
      <c r="C14887" s="6">
        <v>0.761090189450503</v>
      </c>
    </row>
    <row r="14888" spans="1:3" s="8" customFormat="1" x14ac:dyDescent="0.2">
      <c r="A14888" s="6" t="str">
        <f>"CLCN3"</f>
        <v>CLCN3</v>
      </c>
      <c r="B14888" s="6">
        <v>0.64435564435564396</v>
      </c>
      <c r="C14888" s="6">
        <v>0.761090189450503</v>
      </c>
    </row>
    <row r="14889" spans="1:3" s="8" customFormat="1" x14ac:dyDescent="0.2">
      <c r="A14889" s="6" t="str">
        <f>"AC074011.1"</f>
        <v>AC074011.1</v>
      </c>
      <c r="B14889" s="6">
        <v>0.64539007092198497</v>
      </c>
      <c r="C14889" s="6">
        <v>0.76200490210784899</v>
      </c>
    </row>
    <row r="14890" spans="1:3" s="8" customFormat="1" x14ac:dyDescent="0.2">
      <c r="A14890" s="6" t="str">
        <f>"AP000311.1"</f>
        <v>AP000311.1</v>
      </c>
      <c r="B14890" s="6">
        <v>0.64535464535464504</v>
      </c>
      <c r="C14890" s="6">
        <v>0.76200490210784899</v>
      </c>
    </row>
    <row r="14891" spans="1:3" s="8" customFormat="1" x14ac:dyDescent="0.2">
      <c r="A14891" s="6" t="str">
        <f>"AL022151.1"</f>
        <v>AL022151.1</v>
      </c>
      <c r="B14891" s="6">
        <v>0.64535464535464504</v>
      </c>
      <c r="C14891" s="6">
        <v>0.76200490210784899</v>
      </c>
    </row>
    <row r="14892" spans="1:3" s="8" customFormat="1" x14ac:dyDescent="0.2">
      <c r="A14892" s="6" t="str">
        <f>"CDC25A"</f>
        <v>CDC25A</v>
      </c>
      <c r="B14892" s="6">
        <v>0.64535464535464504</v>
      </c>
      <c r="C14892" s="6">
        <v>0.76200490210784899</v>
      </c>
    </row>
    <row r="14893" spans="1:3" s="8" customFormat="1" x14ac:dyDescent="0.2">
      <c r="A14893" s="6" t="str">
        <f>"SLC38A6"</f>
        <v>SLC38A6</v>
      </c>
      <c r="B14893" s="6">
        <v>0.64535464535464504</v>
      </c>
      <c r="C14893" s="6">
        <v>0.76200490210784899</v>
      </c>
    </row>
    <row r="14894" spans="1:3" s="8" customFormat="1" x14ac:dyDescent="0.2">
      <c r="A14894" s="6" t="str">
        <f>"UTP23"</f>
        <v>UTP23</v>
      </c>
      <c r="B14894" s="6">
        <v>0.64535464535464504</v>
      </c>
      <c r="C14894" s="6">
        <v>0.76200490210784899</v>
      </c>
    </row>
    <row r="14895" spans="1:3" s="8" customFormat="1" x14ac:dyDescent="0.2">
      <c r="A14895" s="6" t="str">
        <f>"CSNK2A3"</f>
        <v>CSNK2A3</v>
      </c>
      <c r="B14895" s="6">
        <v>0.64600000000000002</v>
      </c>
      <c r="C14895" s="6">
        <v>0.76267382838727005</v>
      </c>
    </row>
    <row r="14896" spans="1:3" s="8" customFormat="1" x14ac:dyDescent="0.2">
      <c r="A14896" s="6" t="str">
        <f>"AL022328.1"</f>
        <v>AL022328.1</v>
      </c>
      <c r="B14896" s="6">
        <v>0.64635364635364601</v>
      </c>
      <c r="C14896" s="6">
        <v>0.76268168819504201</v>
      </c>
    </row>
    <row r="14897" spans="1:3" s="8" customFormat="1" x14ac:dyDescent="0.2">
      <c r="A14897" s="6" t="str">
        <f>"JAKMIP1"</f>
        <v>JAKMIP1</v>
      </c>
      <c r="B14897" s="6">
        <v>0.64635364635364601</v>
      </c>
      <c r="C14897" s="6">
        <v>0.76268168819504201</v>
      </c>
    </row>
    <row r="14898" spans="1:3" s="8" customFormat="1" x14ac:dyDescent="0.2">
      <c r="A14898" s="6" t="str">
        <f>"AL138762.1"</f>
        <v>AL138762.1</v>
      </c>
      <c r="B14898" s="6">
        <v>0.64635364635364601</v>
      </c>
      <c r="C14898" s="6">
        <v>0.76268168819504201</v>
      </c>
    </row>
    <row r="14899" spans="1:3" s="8" customFormat="1" x14ac:dyDescent="0.2">
      <c r="A14899" s="6" t="str">
        <f>"SIGLEC16"</f>
        <v>SIGLEC16</v>
      </c>
      <c r="B14899" s="6">
        <v>0.64635364635364601</v>
      </c>
      <c r="C14899" s="6">
        <v>0.76268168819504201</v>
      </c>
    </row>
    <row r="14900" spans="1:3" s="8" customFormat="1" x14ac:dyDescent="0.2">
      <c r="A14900" s="6" t="str">
        <f>"SMG1P1"</f>
        <v>SMG1P1</v>
      </c>
      <c r="B14900" s="6">
        <v>0.64635364635364601</v>
      </c>
      <c r="C14900" s="6">
        <v>0.76268168819504201</v>
      </c>
    </row>
    <row r="14901" spans="1:3" s="8" customFormat="1" x14ac:dyDescent="0.2">
      <c r="A14901" s="6" t="str">
        <f>"OR6D1P"</f>
        <v>OR6D1P</v>
      </c>
      <c r="B14901" s="6">
        <v>0.64635364635364601</v>
      </c>
      <c r="C14901" s="6">
        <v>0.76268168819504201</v>
      </c>
    </row>
    <row r="14902" spans="1:3" s="8" customFormat="1" x14ac:dyDescent="0.2">
      <c r="A14902" s="6" t="str">
        <f>"SREK1"</f>
        <v>SREK1</v>
      </c>
      <c r="B14902" s="6">
        <v>0.64635364635364601</v>
      </c>
      <c r="C14902" s="6">
        <v>0.76268168819504201</v>
      </c>
    </row>
    <row r="14903" spans="1:3" s="8" customFormat="1" x14ac:dyDescent="0.2">
      <c r="A14903" s="6" t="str">
        <f>"SNRPD2"</f>
        <v>SNRPD2</v>
      </c>
      <c r="B14903" s="6">
        <v>0.64635364635364601</v>
      </c>
      <c r="C14903" s="6">
        <v>0.76268168819504201</v>
      </c>
    </row>
    <row r="14904" spans="1:3" s="8" customFormat="1" x14ac:dyDescent="0.2">
      <c r="A14904" s="6" t="str">
        <f>"ANXA13"</f>
        <v>ANXA13</v>
      </c>
      <c r="B14904" s="6">
        <v>0.64700000000000002</v>
      </c>
      <c r="C14904" s="6">
        <v>0.76304122208398895</v>
      </c>
    </row>
    <row r="14905" spans="1:3" s="8" customFormat="1" x14ac:dyDescent="0.2">
      <c r="A14905" s="6" t="str">
        <f>"PRSS50"</f>
        <v>PRSS50</v>
      </c>
      <c r="B14905" s="6">
        <v>0.64700000000000002</v>
      </c>
      <c r="C14905" s="6">
        <v>0.76304122208398895</v>
      </c>
    </row>
    <row r="14906" spans="1:3" s="8" customFormat="1" x14ac:dyDescent="0.2">
      <c r="A14906" s="6" t="str">
        <f>"ATXN2-AS"</f>
        <v>ATXN2-AS</v>
      </c>
      <c r="B14906" s="6">
        <v>0.64694082246740203</v>
      </c>
      <c r="C14906" s="6">
        <v>0.76304122208398895</v>
      </c>
    </row>
    <row r="14907" spans="1:3" s="8" customFormat="1" x14ac:dyDescent="0.2">
      <c r="A14907" s="6" t="str">
        <f>"AC140479.4"</f>
        <v>AC140479.4</v>
      </c>
      <c r="B14907" s="6">
        <v>0.64735264735264697</v>
      </c>
      <c r="C14907" s="6">
        <v>0.76304122208398895</v>
      </c>
    </row>
    <row r="14908" spans="1:3" s="8" customFormat="1" x14ac:dyDescent="0.2">
      <c r="A14908" s="6" t="str">
        <f>"AL132657.1"</f>
        <v>AL132657.1</v>
      </c>
      <c r="B14908" s="6">
        <v>0.64735264735264697</v>
      </c>
      <c r="C14908" s="6">
        <v>0.76304122208398895</v>
      </c>
    </row>
    <row r="14909" spans="1:3" s="8" customFormat="1" x14ac:dyDescent="0.2">
      <c r="A14909" s="6" t="str">
        <f>"CXCL13"</f>
        <v>CXCL13</v>
      </c>
      <c r="B14909" s="6">
        <v>0.64735264735264697</v>
      </c>
      <c r="C14909" s="6">
        <v>0.76304122208398895</v>
      </c>
    </row>
    <row r="14910" spans="1:3" s="8" customFormat="1" x14ac:dyDescent="0.2">
      <c r="A14910" s="6" t="str">
        <f>"SPATA1"</f>
        <v>SPATA1</v>
      </c>
      <c r="B14910" s="6">
        <v>0.64735264735264697</v>
      </c>
      <c r="C14910" s="6">
        <v>0.76304122208398895</v>
      </c>
    </row>
    <row r="14911" spans="1:3" s="8" customFormat="1" x14ac:dyDescent="0.2">
      <c r="A14911" s="6" t="str">
        <f>"AL121929.3"</f>
        <v>AL121929.3</v>
      </c>
      <c r="B14911" s="6">
        <v>0.64735264735264697</v>
      </c>
      <c r="C14911" s="6">
        <v>0.76304122208398895</v>
      </c>
    </row>
    <row r="14912" spans="1:3" s="8" customFormat="1" x14ac:dyDescent="0.2">
      <c r="A14912" s="6" t="str">
        <f>"AC091614.1"</f>
        <v>AC091614.1</v>
      </c>
      <c r="B14912" s="6">
        <v>0.64735264735264697</v>
      </c>
      <c r="C14912" s="6">
        <v>0.76304122208398895</v>
      </c>
    </row>
    <row r="14913" spans="1:3" s="8" customFormat="1" x14ac:dyDescent="0.2">
      <c r="A14913" s="6" t="str">
        <f>"LINC02532"</f>
        <v>LINC02532</v>
      </c>
      <c r="B14913" s="6">
        <v>0.64735264735264697</v>
      </c>
      <c r="C14913" s="6">
        <v>0.76304122208398895</v>
      </c>
    </row>
    <row r="14914" spans="1:3" s="8" customFormat="1" x14ac:dyDescent="0.2">
      <c r="A14914" s="6" t="str">
        <f>"CLYBL"</f>
        <v>CLYBL</v>
      </c>
      <c r="B14914" s="6">
        <v>0.64735264735264697</v>
      </c>
      <c r="C14914" s="6">
        <v>0.76304122208398895</v>
      </c>
    </row>
    <row r="14915" spans="1:3" s="8" customFormat="1" x14ac:dyDescent="0.2">
      <c r="A14915" s="6" t="str">
        <f>"DPH3"</f>
        <v>DPH3</v>
      </c>
      <c r="B14915" s="6">
        <v>0.64735264735264697</v>
      </c>
      <c r="C14915" s="6">
        <v>0.76304122208398895</v>
      </c>
    </row>
    <row r="14916" spans="1:3" s="8" customFormat="1" x14ac:dyDescent="0.2">
      <c r="A14916" s="6" t="str">
        <f>"MGA"</f>
        <v>MGA</v>
      </c>
      <c r="B14916" s="6">
        <v>0.64735264735264697</v>
      </c>
      <c r="C14916" s="6">
        <v>0.76304122208398895</v>
      </c>
    </row>
    <row r="14917" spans="1:3" s="8" customFormat="1" x14ac:dyDescent="0.2">
      <c r="A14917" s="6" t="str">
        <f>"CDKL1"</f>
        <v>CDKL1</v>
      </c>
      <c r="B14917" s="6">
        <v>0.64735264735264697</v>
      </c>
      <c r="C14917" s="6">
        <v>0.76304122208398895</v>
      </c>
    </row>
    <row r="14918" spans="1:3" s="8" customFormat="1" x14ac:dyDescent="0.2">
      <c r="A14918" s="6" t="str">
        <f>"XRN1"</f>
        <v>XRN1</v>
      </c>
      <c r="B14918" s="6">
        <v>0.64735264735264697</v>
      </c>
      <c r="C14918" s="6">
        <v>0.76304122208398895</v>
      </c>
    </row>
    <row r="14919" spans="1:3" s="8" customFormat="1" x14ac:dyDescent="0.2">
      <c r="A14919" s="6" t="str">
        <f>"MGST1"</f>
        <v>MGST1</v>
      </c>
      <c r="B14919" s="6">
        <v>0.64700000000000002</v>
      </c>
      <c r="C14919" s="6">
        <v>0.76304122208398895</v>
      </c>
    </row>
    <row r="14920" spans="1:3" s="8" customFormat="1" x14ac:dyDescent="0.2">
      <c r="A14920" s="6" t="str">
        <f>"AL732509.1"</f>
        <v>AL732509.1</v>
      </c>
      <c r="B14920" s="6">
        <v>0.64759959141981605</v>
      </c>
      <c r="C14920" s="6">
        <v>0.76328113248381502</v>
      </c>
    </row>
    <row r="14921" spans="1:3" s="8" customFormat="1" x14ac:dyDescent="0.2">
      <c r="A14921" s="6" t="str">
        <f>"USP9Y"</f>
        <v>USP9Y</v>
      </c>
      <c r="B14921" s="6">
        <v>0.64766839378238295</v>
      </c>
      <c r="C14921" s="6">
        <v>0.76331106141215999</v>
      </c>
    </row>
    <row r="14922" spans="1:3" s="8" customFormat="1" x14ac:dyDescent="0.2">
      <c r="A14922" s="6" t="str">
        <f>"AL021155.4"</f>
        <v>AL021155.4</v>
      </c>
      <c r="B14922" s="6">
        <v>0.64800000000000002</v>
      </c>
      <c r="C14922" s="6">
        <v>0.76359951749095301</v>
      </c>
    </row>
    <row r="14923" spans="1:3" s="8" customFormat="1" x14ac:dyDescent="0.2">
      <c r="A14923" s="6" t="str">
        <f>"HSD17B4"</f>
        <v>HSD17B4</v>
      </c>
      <c r="B14923" s="6">
        <v>0.64800000000000002</v>
      </c>
      <c r="C14923" s="6">
        <v>0.76359951749095301</v>
      </c>
    </row>
    <row r="14924" spans="1:3" s="8" customFormat="1" x14ac:dyDescent="0.2">
      <c r="A14924" s="6" t="str">
        <f>"IZUMO1"</f>
        <v>IZUMO1</v>
      </c>
      <c r="B14924" s="6">
        <v>0.64835164835164805</v>
      </c>
      <c r="C14924" s="6">
        <v>0.76375798114928495</v>
      </c>
    </row>
    <row r="14925" spans="1:3" s="8" customFormat="1" x14ac:dyDescent="0.2">
      <c r="A14925" s="6" t="str">
        <f>"AP001033.2"</f>
        <v>AP001033.2</v>
      </c>
      <c r="B14925" s="6">
        <v>0.64835164835164805</v>
      </c>
      <c r="C14925" s="6">
        <v>0.76375798114928495</v>
      </c>
    </row>
    <row r="14926" spans="1:3" s="8" customFormat="1" x14ac:dyDescent="0.2">
      <c r="A14926" s="6" t="str">
        <f>"CCDC58"</f>
        <v>CCDC58</v>
      </c>
      <c r="B14926" s="6">
        <v>0.64835164835164805</v>
      </c>
      <c r="C14926" s="6">
        <v>0.76375798114928495</v>
      </c>
    </row>
    <row r="14927" spans="1:3" s="8" customFormat="1" x14ac:dyDescent="0.2">
      <c r="A14927" s="6" t="str">
        <f>"XPC"</f>
        <v>XPC</v>
      </c>
      <c r="B14927" s="6">
        <v>0.64835164835164805</v>
      </c>
      <c r="C14927" s="6">
        <v>0.76375798114928495</v>
      </c>
    </row>
    <row r="14928" spans="1:3" s="8" customFormat="1" x14ac:dyDescent="0.2">
      <c r="A14928" s="6" t="str">
        <f>"DDIT4"</f>
        <v>DDIT4</v>
      </c>
      <c r="B14928" s="6">
        <v>0.64835164835164805</v>
      </c>
      <c r="C14928" s="6">
        <v>0.76375798114928495</v>
      </c>
    </row>
    <row r="14929" spans="1:3" s="8" customFormat="1" x14ac:dyDescent="0.2">
      <c r="A14929" s="6" t="str">
        <f>"ERFL"</f>
        <v>ERFL</v>
      </c>
      <c r="B14929" s="6">
        <v>0.64935064935064901</v>
      </c>
      <c r="C14929" s="6">
        <v>0.76462745718755798</v>
      </c>
    </row>
    <row r="14930" spans="1:3" s="8" customFormat="1" x14ac:dyDescent="0.2">
      <c r="A14930" s="6" t="str">
        <f>"AC078880.4"</f>
        <v>AC078880.4</v>
      </c>
      <c r="B14930" s="6">
        <v>0.64929859719438798</v>
      </c>
      <c r="C14930" s="6">
        <v>0.76462745718755798</v>
      </c>
    </row>
    <row r="14931" spans="1:3" s="8" customFormat="1" x14ac:dyDescent="0.2">
      <c r="A14931" s="6" t="str">
        <f>"AL161729.1"</f>
        <v>AL161729.1</v>
      </c>
      <c r="B14931" s="6">
        <v>0.64935064935064901</v>
      </c>
      <c r="C14931" s="6">
        <v>0.76462745718755798</v>
      </c>
    </row>
    <row r="14932" spans="1:3" s="8" customFormat="1" x14ac:dyDescent="0.2">
      <c r="A14932" s="6" t="str">
        <f>"CDH11"</f>
        <v>CDH11</v>
      </c>
      <c r="B14932" s="6">
        <v>0.64935064935064901</v>
      </c>
      <c r="C14932" s="6">
        <v>0.76462745718755798</v>
      </c>
    </row>
    <row r="14933" spans="1:3" s="8" customFormat="1" x14ac:dyDescent="0.2">
      <c r="A14933" s="6" t="str">
        <f>"FUNDC1"</f>
        <v>FUNDC1</v>
      </c>
      <c r="B14933" s="6">
        <v>0.64935064935064901</v>
      </c>
      <c r="C14933" s="6">
        <v>0.76462745718755798</v>
      </c>
    </row>
    <row r="14934" spans="1:3" s="8" customFormat="1" x14ac:dyDescent="0.2">
      <c r="A14934" s="6" t="str">
        <f>"RAB1A"</f>
        <v>RAB1A</v>
      </c>
      <c r="B14934" s="6">
        <v>0.64935064935064901</v>
      </c>
      <c r="C14934" s="6">
        <v>0.76462745718755798</v>
      </c>
    </row>
    <row r="14935" spans="1:3" s="8" customFormat="1" x14ac:dyDescent="0.2">
      <c r="A14935" s="6" t="str">
        <f>"Z99127.3"</f>
        <v>Z99127.3</v>
      </c>
      <c r="B14935" s="6">
        <v>0.649649649649649</v>
      </c>
      <c r="C14935" s="6">
        <v>0.76492831387702098</v>
      </c>
    </row>
    <row r="14936" spans="1:3" s="8" customFormat="1" x14ac:dyDescent="0.2">
      <c r="A14936" s="6" t="str">
        <f>"AL161645.2"</f>
        <v>AL161645.2</v>
      </c>
      <c r="B14936" s="6">
        <v>0.64984552008238905</v>
      </c>
      <c r="C14936" s="6">
        <v>0.76510770841169895</v>
      </c>
    </row>
    <row r="14937" spans="1:3" s="8" customFormat="1" x14ac:dyDescent="0.2">
      <c r="A14937" s="6" t="str">
        <f>"FRMPD3"</f>
        <v>FRMPD3</v>
      </c>
      <c r="B14937" s="6">
        <v>0.65034965034964998</v>
      </c>
      <c r="C14937" s="6">
        <v>0.76549623480475604</v>
      </c>
    </row>
    <row r="14938" spans="1:3" s="8" customFormat="1" x14ac:dyDescent="0.2">
      <c r="A14938" s="6" t="str">
        <f>"PCDHGA12"</f>
        <v>PCDHGA12</v>
      </c>
      <c r="B14938" s="6">
        <v>0.65034965034964998</v>
      </c>
      <c r="C14938" s="6">
        <v>0.76549623480475604</v>
      </c>
    </row>
    <row r="14939" spans="1:3" s="8" customFormat="1" x14ac:dyDescent="0.2">
      <c r="A14939" s="6" t="str">
        <f>"NSMCE4A"</f>
        <v>NSMCE4A</v>
      </c>
      <c r="B14939" s="6">
        <v>0.65034965034964998</v>
      </c>
      <c r="C14939" s="6">
        <v>0.76549623480475604</v>
      </c>
    </row>
    <row r="14940" spans="1:3" s="8" customFormat="1" x14ac:dyDescent="0.2">
      <c r="A14940" s="6" t="str">
        <f>"ARIH1"</f>
        <v>ARIH1</v>
      </c>
      <c r="B14940" s="6">
        <v>0.65034965034964998</v>
      </c>
      <c r="C14940" s="6">
        <v>0.76549623480475604</v>
      </c>
    </row>
    <row r="14941" spans="1:3" s="8" customFormat="1" x14ac:dyDescent="0.2">
      <c r="A14941" s="6" t="str">
        <f>"CPLX1"</f>
        <v>CPLX1</v>
      </c>
      <c r="B14941" s="6">
        <v>0.65134865134865105</v>
      </c>
      <c r="C14941" s="6">
        <v>0.76646688652310002</v>
      </c>
    </row>
    <row r="14942" spans="1:3" s="8" customFormat="1" x14ac:dyDescent="0.2">
      <c r="A14942" s="6" t="str">
        <f>"AC068620.3"</f>
        <v>AC068620.3</v>
      </c>
      <c r="B14942" s="6">
        <v>0.65134865134865105</v>
      </c>
      <c r="C14942" s="6">
        <v>0.76646688652310002</v>
      </c>
    </row>
    <row r="14943" spans="1:3" s="8" customFormat="1" x14ac:dyDescent="0.2">
      <c r="A14943" s="6" t="str">
        <f>"TIGD4"</f>
        <v>TIGD4</v>
      </c>
      <c r="B14943" s="6">
        <v>0.65134865134865105</v>
      </c>
      <c r="C14943" s="6">
        <v>0.76646688652310002</v>
      </c>
    </row>
    <row r="14944" spans="1:3" s="8" customFormat="1" x14ac:dyDescent="0.2">
      <c r="A14944" s="6" t="str">
        <f>"SLC25A3"</f>
        <v>SLC25A3</v>
      </c>
      <c r="B14944" s="6">
        <v>0.65134865134865105</v>
      </c>
      <c r="C14944" s="6">
        <v>0.76646688652310002</v>
      </c>
    </row>
    <row r="14945" spans="1:3" s="8" customFormat="1" x14ac:dyDescent="0.2">
      <c r="A14945" s="6" t="str">
        <f>"AC092894.1"</f>
        <v>AC092894.1</v>
      </c>
      <c r="B14945" s="6">
        <v>0.65144766146993305</v>
      </c>
      <c r="C14945" s="6">
        <v>0.766532098453379</v>
      </c>
    </row>
    <row r="14946" spans="1:3" s="8" customFormat="1" x14ac:dyDescent="0.2">
      <c r="A14946" s="6" t="str">
        <f>"PRR34"</f>
        <v>PRR34</v>
      </c>
      <c r="B14946" s="6">
        <v>0.65163934426229497</v>
      </c>
      <c r="C14946" s="6">
        <v>0.76670633854186598</v>
      </c>
    </row>
    <row r="14947" spans="1:3" s="8" customFormat="1" x14ac:dyDescent="0.2">
      <c r="A14947" s="6" t="str">
        <f>"AC007614.2"</f>
        <v>AC007614.2</v>
      </c>
      <c r="B14947" s="6">
        <v>0.65200000000000002</v>
      </c>
      <c r="C14947" s="6">
        <v>0.76707935233507296</v>
      </c>
    </row>
    <row r="14948" spans="1:3" s="8" customFormat="1" x14ac:dyDescent="0.2">
      <c r="A14948" s="6" t="str">
        <f>"AC010643.1"</f>
        <v>AC010643.1</v>
      </c>
      <c r="B14948" s="6">
        <v>0.65234765234765202</v>
      </c>
      <c r="C14948" s="6">
        <v>0.76723169813932901</v>
      </c>
    </row>
    <row r="14949" spans="1:3" s="8" customFormat="1" x14ac:dyDescent="0.2">
      <c r="A14949" s="6" t="str">
        <f>"MPP2"</f>
        <v>MPP2</v>
      </c>
      <c r="B14949" s="6">
        <v>0.65234765234765202</v>
      </c>
      <c r="C14949" s="6">
        <v>0.76723169813932901</v>
      </c>
    </row>
    <row r="14950" spans="1:3" s="8" customFormat="1" x14ac:dyDescent="0.2">
      <c r="A14950" s="6" t="str">
        <f>"FGF14-AS2"</f>
        <v>FGF14-AS2</v>
      </c>
      <c r="B14950" s="6">
        <v>0.65234765234765202</v>
      </c>
      <c r="C14950" s="6">
        <v>0.76723169813932901</v>
      </c>
    </row>
    <row r="14951" spans="1:3" s="8" customFormat="1" x14ac:dyDescent="0.2">
      <c r="A14951" s="6" t="str">
        <f>"MARCHF2"</f>
        <v>MARCHF2</v>
      </c>
      <c r="B14951" s="6">
        <v>0.65234765234765202</v>
      </c>
      <c r="C14951" s="6">
        <v>0.76723169813932901</v>
      </c>
    </row>
    <row r="14952" spans="1:3" s="8" customFormat="1" x14ac:dyDescent="0.2">
      <c r="A14952" s="6" t="str">
        <f>"MFSD2A"</f>
        <v>MFSD2A</v>
      </c>
      <c r="B14952" s="6">
        <v>0.65234765234765202</v>
      </c>
      <c r="C14952" s="6">
        <v>0.76723169813932901</v>
      </c>
    </row>
    <row r="14953" spans="1:3" s="8" customFormat="1" x14ac:dyDescent="0.2">
      <c r="A14953" s="6" t="str">
        <f>"SLC4A1"</f>
        <v>SLC4A1</v>
      </c>
      <c r="B14953" s="6">
        <v>0.65291750503018098</v>
      </c>
      <c r="C14953" s="6">
        <v>0.76785054898680405</v>
      </c>
    </row>
    <row r="14954" spans="1:3" s="8" customFormat="1" x14ac:dyDescent="0.2">
      <c r="A14954" s="6" t="str">
        <f>"RHOXF1P3"</f>
        <v>RHOXF1P3</v>
      </c>
      <c r="B14954" s="6">
        <v>0.65334665334665298</v>
      </c>
      <c r="C14954" s="6">
        <v>0.76809838553503695</v>
      </c>
    </row>
    <row r="14955" spans="1:3" s="8" customFormat="1" x14ac:dyDescent="0.2">
      <c r="A14955" s="6" t="str">
        <f>"AL358472.2"</f>
        <v>AL358472.2</v>
      </c>
      <c r="B14955" s="6">
        <v>0.653306613226452</v>
      </c>
      <c r="C14955" s="6">
        <v>0.76809838553503695</v>
      </c>
    </row>
    <row r="14956" spans="1:3" s="8" customFormat="1" x14ac:dyDescent="0.2">
      <c r="A14956" s="6" t="str">
        <f>"CCDC103"</f>
        <v>CCDC103</v>
      </c>
      <c r="B14956" s="6">
        <v>0.65334665334665298</v>
      </c>
      <c r="C14956" s="6">
        <v>0.76809838553503695</v>
      </c>
    </row>
    <row r="14957" spans="1:3" s="8" customFormat="1" x14ac:dyDescent="0.2">
      <c r="A14957" s="6" t="str">
        <f>"ATG13"</f>
        <v>ATG13</v>
      </c>
      <c r="B14957" s="6">
        <v>0.65334665334665298</v>
      </c>
      <c r="C14957" s="6">
        <v>0.76809838553503695</v>
      </c>
    </row>
    <row r="14958" spans="1:3" s="8" customFormat="1" x14ac:dyDescent="0.2">
      <c r="A14958" s="6" t="str">
        <f>"RPS11"</f>
        <v>RPS11</v>
      </c>
      <c r="B14958" s="6">
        <v>0.65334665334665298</v>
      </c>
      <c r="C14958" s="6">
        <v>0.76809838553503695</v>
      </c>
    </row>
    <row r="14959" spans="1:3" s="8" customFormat="1" x14ac:dyDescent="0.2">
      <c r="A14959" s="6" t="str">
        <f>"AC139795.3"</f>
        <v>AC139795.3</v>
      </c>
      <c r="B14959" s="6">
        <v>0.65396188565697</v>
      </c>
      <c r="C14959" s="6">
        <v>0.76877027660062602</v>
      </c>
    </row>
    <row r="14960" spans="1:3" s="8" customFormat="1" x14ac:dyDescent="0.2">
      <c r="A14960" s="6" t="str">
        <f>"AC079331.2"</f>
        <v>AC079331.2</v>
      </c>
      <c r="B14960" s="6">
        <v>0.65434565434565395</v>
      </c>
      <c r="C14960" s="6">
        <v>0.76886160948974103</v>
      </c>
    </row>
    <row r="14961" spans="1:3" s="8" customFormat="1" x14ac:dyDescent="0.2">
      <c r="A14961" s="6" t="str">
        <f>"AC092071.1"</f>
        <v>AC092071.1</v>
      </c>
      <c r="B14961" s="6">
        <v>0.65434565434565395</v>
      </c>
      <c r="C14961" s="6">
        <v>0.76886160948974103</v>
      </c>
    </row>
    <row r="14962" spans="1:3" s="8" customFormat="1" x14ac:dyDescent="0.2">
      <c r="A14962" s="6" t="str">
        <f>"AC120114.1"</f>
        <v>AC120114.1</v>
      </c>
      <c r="B14962" s="6">
        <v>0.65434565434565395</v>
      </c>
      <c r="C14962" s="6">
        <v>0.76886160948974103</v>
      </c>
    </row>
    <row r="14963" spans="1:3" s="8" customFormat="1" x14ac:dyDescent="0.2">
      <c r="A14963" s="6" t="str">
        <f>"THAP9"</f>
        <v>THAP9</v>
      </c>
      <c r="B14963" s="6">
        <v>0.65434565434565395</v>
      </c>
      <c r="C14963" s="6">
        <v>0.76886160948974103</v>
      </c>
    </row>
    <row r="14964" spans="1:3" s="8" customFormat="1" x14ac:dyDescent="0.2">
      <c r="A14964" s="6" t="str">
        <f>"TMEM238L"</f>
        <v>TMEM238L</v>
      </c>
      <c r="B14964" s="6">
        <v>0.65434565434565395</v>
      </c>
      <c r="C14964" s="6">
        <v>0.76886160948974103</v>
      </c>
    </row>
    <row r="14965" spans="1:3" s="8" customFormat="1" x14ac:dyDescent="0.2">
      <c r="A14965" s="6" t="str">
        <f>"ANKRD49"</f>
        <v>ANKRD49</v>
      </c>
      <c r="B14965" s="6">
        <v>0.65434565434565395</v>
      </c>
      <c r="C14965" s="6">
        <v>0.76886160948974103</v>
      </c>
    </row>
    <row r="14966" spans="1:3" s="8" customFormat="1" x14ac:dyDescent="0.2">
      <c r="A14966" s="6" t="str">
        <f>"CYC1"</f>
        <v>CYC1</v>
      </c>
      <c r="B14966" s="6">
        <v>0.65434565434565395</v>
      </c>
      <c r="C14966" s="6">
        <v>0.76886160948974103</v>
      </c>
    </row>
    <row r="14967" spans="1:3" s="8" customFormat="1" x14ac:dyDescent="0.2">
      <c r="A14967" s="6" t="str">
        <f>"ZFY"</f>
        <v>ZFY</v>
      </c>
      <c r="B14967" s="6">
        <v>0.65460526315789402</v>
      </c>
      <c r="C14967" s="6">
        <v>0.76911525774210998</v>
      </c>
    </row>
    <row r="14968" spans="1:3" s="8" customFormat="1" x14ac:dyDescent="0.2">
      <c r="A14968" s="6" t="str">
        <f>"AC010896.1"</f>
        <v>AC010896.1</v>
      </c>
      <c r="B14968" s="6">
        <v>0.65500000000000003</v>
      </c>
      <c r="C14968" s="6">
        <v>0.76952762744704994</v>
      </c>
    </row>
    <row r="14969" spans="1:3" s="8" customFormat="1" x14ac:dyDescent="0.2">
      <c r="A14969" s="6" t="str">
        <f>"GUSBP4"</f>
        <v>GUSBP4</v>
      </c>
      <c r="B14969" s="6">
        <v>0.65534465534465502</v>
      </c>
      <c r="C14969" s="6">
        <v>0.76962401787086199</v>
      </c>
    </row>
    <row r="14970" spans="1:3" s="8" customFormat="1" x14ac:dyDescent="0.2">
      <c r="A14970" s="6" t="str">
        <f>"AC090181.2"</f>
        <v>AC090181.2</v>
      </c>
      <c r="B14970" s="6">
        <v>0.65534465534465502</v>
      </c>
      <c r="C14970" s="6">
        <v>0.76962401787086199</v>
      </c>
    </row>
    <row r="14971" spans="1:3" s="8" customFormat="1" x14ac:dyDescent="0.2">
      <c r="A14971" s="6" t="str">
        <f>"AP001062.1"</f>
        <v>AP001062.1</v>
      </c>
      <c r="B14971" s="6">
        <v>0.65534465534465502</v>
      </c>
      <c r="C14971" s="6">
        <v>0.76962401787086199</v>
      </c>
    </row>
    <row r="14972" spans="1:3" s="8" customFormat="1" x14ac:dyDescent="0.2">
      <c r="A14972" s="6" t="str">
        <f>"ZNF100"</f>
        <v>ZNF100</v>
      </c>
      <c r="B14972" s="6">
        <v>0.65534465534465502</v>
      </c>
      <c r="C14972" s="6">
        <v>0.76962401787086199</v>
      </c>
    </row>
    <row r="14973" spans="1:3" s="8" customFormat="1" x14ac:dyDescent="0.2">
      <c r="A14973" s="6" t="str">
        <f>"MET"</f>
        <v>MET</v>
      </c>
      <c r="B14973" s="6">
        <v>0.65534465534465502</v>
      </c>
      <c r="C14973" s="6">
        <v>0.76962401787086199</v>
      </c>
    </row>
    <row r="14974" spans="1:3" s="8" customFormat="1" x14ac:dyDescent="0.2">
      <c r="A14974" s="6" t="str">
        <f>"H2AJ"</f>
        <v>H2AJ</v>
      </c>
      <c r="B14974" s="6">
        <v>0.65534465534465502</v>
      </c>
      <c r="C14974" s="6">
        <v>0.76962401787086199</v>
      </c>
    </row>
    <row r="14975" spans="1:3" s="8" customFormat="1" x14ac:dyDescent="0.2">
      <c r="A14975" s="6" t="str">
        <f>"YTHDF3"</f>
        <v>YTHDF3</v>
      </c>
      <c r="B14975" s="6">
        <v>0.65600000000000003</v>
      </c>
      <c r="C14975" s="6">
        <v>0.77034219313476604</v>
      </c>
    </row>
    <row r="14976" spans="1:3" s="8" customFormat="1" x14ac:dyDescent="0.2">
      <c r="A14976" s="6" t="str">
        <f>"TLR9"</f>
        <v>TLR9</v>
      </c>
      <c r="B14976" s="6">
        <v>0.65634365634365599</v>
      </c>
      <c r="C14976" s="6">
        <v>0.77043703959591803</v>
      </c>
    </row>
    <row r="14977" spans="1:3" s="8" customFormat="1" x14ac:dyDescent="0.2">
      <c r="A14977" s="6" t="str">
        <f>"AP002754.1"</f>
        <v>AP002754.1</v>
      </c>
      <c r="B14977" s="6">
        <v>0.65634365634365599</v>
      </c>
      <c r="C14977" s="6">
        <v>0.77043703959591803</v>
      </c>
    </row>
    <row r="14978" spans="1:3" s="8" customFormat="1" x14ac:dyDescent="0.2">
      <c r="A14978" s="6" t="str">
        <f>"PCDH9"</f>
        <v>PCDH9</v>
      </c>
      <c r="B14978" s="6">
        <v>0.65634365634365599</v>
      </c>
      <c r="C14978" s="6">
        <v>0.77043703959591803</v>
      </c>
    </row>
    <row r="14979" spans="1:3" s="8" customFormat="1" x14ac:dyDescent="0.2">
      <c r="A14979" s="6" t="str">
        <f>"ZNF844"</f>
        <v>ZNF844</v>
      </c>
      <c r="B14979" s="6">
        <v>0.65634365634365599</v>
      </c>
      <c r="C14979" s="6">
        <v>0.77043703959591803</v>
      </c>
    </row>
    <row r="14980" spans="1:3" s="8" customFormat="1" x14ac:dyDescent="0.2">
      <c r="A14980" s="6" t="str">
        <f>"ERP44"</f>
        <v>ERP44</v>
      </c>
      <c r="B14980" s="6">
        <v>0.65634365634365599</v>
      </c>
      <c r="C14980" s="6">
        <v>0.77043703959591803</v>
      </c>
    </row>
    <row r="14981" spans="1:3" s="8" customFormat="1" x14ac:dyDescent="0.2">
      <c r="A14981" s="6" t="str">
        <f>"RPL37"</f>
        <v>RPL37</v>
      </c>
      <c r="B14981" s="6">
        <v>0.65634365634365599</v>
      </c>
      <c r="C14981" s="6">
        <v>0.77043703959591803</v>
      </c>
    </row>
    <row r="14982" spans="1:3" s="8" customFormat="1" x14ac:dyDescent="0.2">
      <c r="A14982" s="6" t="str">
        <f>"AL139353.2"</f>
        <v>AL139353.2</v>
      </c>
      <c r="B14982" s="6">
        <v>0.65641025641025597</v>
      </c>
      <c r="C14982" s="6">
        <v>0.77046378404098104</v>
      </c>
    </row>
    <row r="14983" spans="1:3" s="8" customFormat="1" x14ac:dyDescent="0.2">
      <c r="A14983" s="6" t="str">
        <f>"AC096921.2"</f>
        <v>AC096921.2</v>
      </c>
      <c r="B14983" s="6">
        <v>0.65734265734265696</v>
      </c>
      <c r="C14983" s="6">
        <v>0.77135223801890396</v>
      </c>
    </row>
    <row r="14984" spans="1:3" s="8" customFormat="1" x14ac:dyDescent="0.2">
      <c r="A14984" s="6" t="str">
        <f>"MSX1"</f>
        <v>MSX1</v>
      </c>
      <c r="B14984" s="6">
        <v>0.65734265734265696</v>
      </c>
      <c r="C14984" s="6">
        <v>0.77135223801890396</v>
      </c>
    </row>
    <row r="14985" spans="1:3" s="8" customFormat="1" x14ac:dyDescent="0.2">
      <c r="A14985" s="6" t="str">
        <f>"AL121972.1"</f>
        <v>AL121972.1</v>
      </c>
      <c r="B14985" s="6">
        <v>0.65734265734265696</v>
      </c>
      <c r="C14985" s="6">
        <v>0.77135223801890396</v>
      </c>
    </row>
    <row r="14986" spans="1:3" s="8" customFormat="1" x14ac:dyDescent="0.2">
      <c r="A14986" s="6" t="str">
        <f>"CCDC60"</f>
        <v>CCDC60</v>
      </c>
      <c r="B14986" s="6">
        <v>0.65734265734265696</v>
      </c>
      <c r="C14986" s="6">
        <v>0.77135223801890396</v>
      </c>
    </row>
    <row r="14987" spans="1:3" s="8" customFormat="1" x14ac:dyDescent="0.2">
      <c r="A14987" s="6" t="str">
        <f>"B3GAT1-DT"</f>
        <v>B3GAT1-DT</v>
      </c>
      <c r="B14987" s="6">
        <v>0.65800000000000003</v>
      </c>
      <c r="C14987" s="6">
        <v>0.77207206726277799</v>
      </c>
    </row>
    <row r="14988" spans="1:3" s="8" customFormat="1" x14ac:dyDescent="0.2">
      <c r="A14988" s="6" t="str">
        <f>"HECW1"</f>
        <v>HECW1</v>
      </c>
      <c r="B14988" s="6">
        <v>0.65834165834165803</v>
      </c>
      <c r="C14988" s="6">
        <v>0.772163802046406</v>
      </c>
    </row>
    <row r="14989" spans="1:3" s="8" customFormat="1" x14ac:dyDescent="0.2">
      <c r="A14989" s="6" t="str">
        <f>"AL513327.1"</f>
        <v>AL513327.1</v>
      </c>
      <c r="B14989" s="6">
        <v>0.65834165834165803</v>
      </c>
      <c r="C14989" s="6">
        <v>0.772163802046406</v>
      </c>
    </row>
    <row r="14990" spans="1:3" s="8" customFormat="1" x14ac:dyDescent="0.2">
      <c r="A14990" s="6" t="str">
        <f>"LINC01254"</f>
        <v>LINC01254</v>
      </c>
      <c r="B14990" s="6">
        <v>0.65834165834165803</v>
      </c>
      <c r="C14990" s="6">
        <v>0.772163802046406</v>
      </c>
    </row>
    <row r="14991" spans="1:3" s="8" customFormat="1" x14ac:dyDescent="0.2">
      <c r="A14991" s="6" t="str">
        <f>"HRK"</f>
        <v>HRK</v>
      </c>
      <c r="B14991" s="6">
        <v>0.65834165834165803</v>
      </c>
      <c r="C14991" s="6">
        <v>0.772163802046406</v>
      </c>
    </row>
    <row r="14992" spans="1:3" s="8" customFormat="1" x14ac:dyDescent="0.2">
      <c r="A14992" s="6" t="str">
        <f>"SOX13"</f>
        <v>SOX13</v>
      </c>
      <c r="B14992" s="6">
        <v>0.65834165834165803</v>
      </c>
      <c r="C14992" s="6">
        <v>0.772163802046406</v>
      </c>
    </row>
    <row r="14993" spans="1:3" s="8" customFormat="1" x14ac:dyDescent="0.2">
      <c r="A14993" s="6" t="str">
        <f>"TSPAN3"</f>
        <v>TSPAN3</v>
      </c>
      <c r="B14993" s="6">
        <v>0.65834165834165803</v>
      </c>
      <c r="C14993" s="6">
        <v>0.772163802046406</v>
      </c>
    </row>
    <row r="14994" spans="1:3" s="8" customFormat="1" x14ac:dyDescent="0.2">
      <c r="A14994" s="6" t="str">
        <f>"AGXT"</f>
        <v>AGXT</v>
      </c>
      <c r="B14994" s="6">
        <v>0.65900000000000003</v>
      </c>
      <c r="C14994" s="6">
        <v>0.77282003425184298</v>
      </c>
    </row>
    <row r="14995" spans="1:3" s="8" customFormat="1" x14ac:dyDescent="0.2">
      <c r="A14995" s="6" t="str">
        <f>"AC091181.1"</f>
        <v>AC091181.1</v>
      </c>
      <c r="B14995" s="6">
        <v>0.659340659340659</v>
      </c>
      <c r="C14995" s="6">
        <v>0.77282003425184298</v>
      </c>
    </row>
    <row r="14996" spans="1:3" s="8" customFormat="1" x14ac:dyDescent="0.2">
      <c r="A14996" s="6" t="str">
        <f>"C1QTNF1"</f>
        <v>C1QTNF1</v>
      </c>
      <c r="B14996" s="6">
        <v>0.659340659340659</v>
      </c>
      <c r="C14996" s="6">
        <v>0.77282003425184298</v>
      </c>
    </row>
    <row r="14997" spans="1:3" s="8" customFormat="1" x14ac:dyDescent="0.2">
      <c r="A14997" s="6" t="str">
        <f>"AP001347.1"</f>
        <v>AP001347.1</v>
      </c>
      <c r="B14997" s="6">
        <v>0.659340659340659</v>
      </c>
      <c r="C14997" s="6">
        <v>0.77282003425184298</v>
      </c>
    </row>
    <row r="14998" spans="1:3" s="8" customFormat="1" x14ac:dyDescent="0.2">
      <c r="A14998" s="6" t="str">
        <f>"ZNF669"</f>
        <v>ZNF669</v>
      </c>
      <c r="B14998" s="6">
        <v>0.659340659340659</v>
      </c>
      <c r="C14998" s="6">
        <v>0.77282003425184298</v>
      </c>
    </row>
    <row r="14999" spans="1:3" s="8" customFormat="1" x14ac:dyDescent="0.2">
      <c r="A14999" s="6" t="str">
        <f>"PCDHB11"</f>
        <v>PCDHB11</v>
      </c>
      <c r="B14999" s="6">
        <v>0.659340659340659</v>
      </c>
      <c r="C14999" s="6">
        <v>0.77282003425184298</v>
      </c>
    </row>
    <row r="15000" spans="1:3" s="8" customFormat="1" x14ac:dyDescent="0.2">
      <c r="A15000" s="6" t="str">
        <f>"AFAP1L1"</f>
        <v>AFAP1L1</v>
      </c>
      <c r="B15000" s="6">
        <v>0.659340659340659</v>
      </c>
      <c r="C15000" s="6">
        <v>0.77282003425184298</v>
      </c>
    </row>
    <row r="15001" spans="1:3" s="8" customFormat="1" x14ac:dyDescent="0.2">
      <c r="A15001" s="6" t="str">
        <f>"PLXDC1"</f>
        <v>PLXDC1</v>
      </c>
      <c r="B15001" s="6">
        <v>0.659340659340659</v>
      </c>
      <c r="C15001" s="6">
        <v>0.77282003425184298</v>
      </c>
    </row>
    <row r="15002" spans="1:3" s="8" customFormat="1" x14ac:dyDescent="0.2">
      <c r="A15002" s="6" t="str">
        <f>"RBM18"</f>
        <v>RBM18</v>
      </c>
      <c r="B15002" s="6">
        <v>0.659340659340659</v>
      </c>
      <c r="C15002" s="6">
        <v>0.77282003425184298</v>
      </c>
    </row>
    <row r="15003" spans="1:3" s="8" customFormat="1" x14ac:dyDescent="0.2">
      <c r="A15003" s="6" t="str">
        <f>"PWWP3A"</f>
        <v>PWWP3A</v>
      </c>
      <c r="B15003" s="6">
        <v>0.659340659340659</v>
      </c>
      <c r="C15003" s="6">
        <v>0.77282003425184298</v>
      </c>
    </row>
    <row r="15004" spans="1:3" s="8" customFormat="1" x14ac:dyDescent="0.2">
      <c r="A15004" s="6" t="str">
        <f>"LINC00539"</f>
        <v>LINC00539</v>
      </c>
      <c r="B15004" s="6">
        <v>0.66</v>
      </c>
      <c r="C15004" s="6">
        <v>0.77354129174165098</v>
      </c>
    </row>
    <row r="15005" spans="1:3" s="8" customFormat="1" x14ac:dyDescent="0.2">
      <c r="A15005" s="6" t="str">
        <f>"AL591368.1"</f>
        <v>AL591368.1</v>
      </c>
      <c r="B15005" s="6">
        <v>0.66033966033965996</v>
      </c>
      <c r="C15005" s="6">
        <v>0.77357845352515497</v>
      </c>
    </row>
    <row r="15006" spans="1:3" s="8" customFormat="1" x14ac:dyDescent="0.2">
      <c r="A15006" s="6" t="str">
        <f>"GFPT2"</f>
        <v>GFPT2</v>
      </c>
      <c r="B15006" s="6">
        <v>0.66033966033965996</v>
      </c>
      <c r="C15006" s="6">
        <v>0.77357845352515497</v>
      </c>
    </row>
    <row r="15007" spans="1:3" s="8" customFormat="1" x14ac:dyDescent="0.2">
      <c r="A15007" s="6" t="str">
        <f>"OR7E91P"</f>
        <v>OR7E91P</v>
      </c>
      <c r="B15007" s="6">
        <v>0.66033966033965996</v>
      </c>
      <c r="C15007" s="6">
        <v>0.77357845352515497</v>
      </c>
    </row>
    <row r="15008" spans="1:3" s="8" customFormat="1" x14ac:dyDescent="0.2">
      <c r="A15008" s="6" t="str">
        <f>"ANGPTL1"</f>
        <v>ANGPTL1</v>
      </c>
      <c r="B15008" s="6">
        <v>0.66033966033965996</v>
      </c>
      <c r="C15008" s="6">
        <v>0.77357845352515497</v>
      </c>
    </row>
    <row r="15009" spans="1:3" s="8" customFormat="1" x14ac:dyDescent="0.2">
      <c r="A15009" s="6" t="str">
        <f>"FAM131B"</f>
        <v>FAM131B</v>
      </c>
      <c r="B15009" s="6">
        <v>0.66033966033965996</v>
      </c>
      <c r="C15009" s="6">
        <v>0.77357845352515497</v>
      </c>
    </row>
    <row r="15010" spans="1:3" s="8" customFormat="1" x14ac:dyDescent="0.2">
      <c r="A15010" s="6" t="str">
        <f>"LSM12P1"</f>
        <v>LSM12P1</v>
      </c>
      <c r="B15010" s="6">
        <v>0.66033966033965996</v>
      </c>
      <c r="C15010" s="6">
        <v>0.77357845352515497</v>
      </c>
    </row>
    <row r="15011" spans="1:3" s="8" customFormat="1" x14ac:dyDescent="0.2">
      <c r="A15011" s="6" t="str">
        <f>"NFKBIL1"</f>
        <v>NFKBIL1</v>
      </c>
      <c r="B15011" s="6">
        <v>0.66033966033965996</v>
      </c>
      <c r="C15011" s="6">
        <v>0.77357845352515497</v>
      </c>
    </row>
    <row r="15012" spans="1:3" s="8" customFormat="1" x14ac:dyDescent="0.2">
      <c r="A15012" s="6" t="str">
        <f>"LRRC37A14P"</f>
        <v>LRRC37A14P</v>
      </c>
      <c r="B15012" s="6">
        <v>0.66066066066065998</v>
      </c>
      <c r="C15012" s="6">
        <v>0.77390294164659601</v>
      </c>
    </row>
    <row r="15013" spans="1:3" s="8" customFormat="1" x14ac:dyDescent="0.2">
      <c r="A15013" s="6" t="str">
        <f>"AC034111.2"</f>
        <v>AC034111.2</v>
      </c>
      <c r="B15013" s="6">
        <v>0.66071428571428503</v>
      </c>
      <c r="C15013" s="6">
        <v>0.77391420197175498</v>
      </c>
    </row>
    <row r="15014" spans="1:3" s="8" customFormat="1" x14ac:dyDescent="0.2">
      <c r="A15014" s="6" t="str">
        <f>"SHOX2"</f>
        <v>SHOX2</v>
      </c>
      <c r="B15014" s="6">
        <v>0.66133866133866104</v>
      </c>
      <c r="C15014" s="6">
        <v>0.77443919958570995</v>
      </c>
    </row>
    <row r="15015" spans="1:3" s="8" customFormat="1" x14ac:dyDescent="0.2">
      <c r="A15015" s="6" t="str">
        <f>"SLC25A35"</f>
        <v>SLC25A35</v>
      </c>
      <c r="B15015" s="6">
        <v>0.66133866133866104</v>
      </c>
      <c r="C15015" s="6">
        <v>0.77443919958570995</v>
      </c>
    </row>
    <row r="15016" spans="1:3" s="8" customFormat="1" x14ac:dyDescent="0.2">
      <c r="A15016" s="6" t="str">
        <f>"CAVIN1"</f>
        <v>CAVIN1</v>
      </c>
      <c r="B15016" s="6">
        <v>0.66133866133866104</v>
      </c>
      <c r="C15016" s="6">
        <v>0.77443919958570995</v>
      </c>
    </row>
    <row r="15017" spans="1:3" s="8" customFormat="1" x14ac:dyDescent="0.2">
      <c r="A15017" s="6" t="str">
        <f>"PTGES2"</f>
        <v>PTGES2</v>
      </c>
      <c r="B15017" s="6">
        <v>0.66133866133866104</v>
      </c>
      <c r="C15017" s="6">
        <v>0.77443919958570995</v>
      </c>
    </row>
    <row r="15018" spans="1:3" s="8" customFormat="1" x14ac:dyDescent="0.2">
      <c r="A15018" s="6" t="str">
        <f>"RIMBP3B"</f>
        <v>RIMBP3B</v>
      </c>
      <c r="B15018" s="6">
        <v>0.662337662337662</v>
      </c>
      <c r="C15018" s="6">
        <v>0.77529925805787803</v>
      </c>
    </row>
    <row r="15019" spans="1:3" s="8" customFormat="1" x14ac:dyDescent="0.2">
      <c r="A15019" s="6" t="str">
        <f>"C8orf88"</f>
        <v>C8orf88</v>
      </c>
      <c r="B15019" s="6">
        <v>0.662337662337662</v>
      </c>
      <c r="C15019" s="6">
        <v>0.77529925805787803</v>
      </c>
    </row>
    <row r="15020" spans="1:3" s="8" customFormat="1" x14ac:dyDescent="0.2">
      <c r="A15020" s="6" t="str">
        <f>"NBPF26"</f>
        <v>NBPF26</v>
      </c>
      <c r="B15020" s="6">
        <v>0.662337662337662</v>
      </c>
      <c r="C15020" s="6">
        <v>0.77529925805787803</v>
      </c>
    </row>
    <row r="15021" spans="1:3" s="8" customFormat="1" x14ac:dyDescent="0.2">
      <c r="A15021" s="6" t="str">
        <f>"PICK1"</f>
        <v>PICK1</v>
      </c>
      <c r="B15021" s="6">
        <v>0.662337662337662</v>
      </c>
      <c r="C15021" s="6">
        <v>0.77529925805787803</v>
      </c>
    </row>
    <row r="15022" spans="1:3" s="8" customFormat="1" x14ac:dyDescent="0.2">
      <c r="A15022" s="6" t="str">
        <f>"CHAD"</f>
        <v>CHAD</v>
      </c>
      <c r="B15022" s="6">
        <v>0.662337662337662</v>
      </c>
      <c r="C15022" s="6">
        <v>0.77529925805787803</v>
      </c>
    </row>
    <row r="15023" spans="1:3" s="8" customFormat="1" x14ac:dyDescent="0.2">
      <c r="A15023" s="6" t="str">
        <f>"POLR2L"</f>
        <v>POLR2L</v>
      </c>
      <c r="B15023" s="6">
        <v>0.662337662337662</v>
      </c>
      <c r="C15023" s="6">
        <v>0.77529925805787803</v>
      </c>
    </row>
    <row r="15024" spans="1:3" s="8" customFormat="1" x14ac:dyDescent="0.2">
      <c r="A15024" s="6" t="str">
        <f>"LINC02315"</f>
        <v>LINC02315</v>
      </c>
      <c r="B15024" s="6">
        <v>0.66300000000000003</v>
      </c>
      <c r="C15024" s="6">
        <v>0.77584886843899703</v>
      </c>
    </row>
    <row r="15025" spans="1:3" s="8" customFormat="1" x14ac:dyDescent="0.2">
      <c r="A15025" s="6" t="str">
        <f>"AL359732.1"</f>
        <v>AL359732.1</v>
      </c>
      <c r="B15025" s="6">
        <v>0.66333666333666297</v>
      </c>
      <c r="C15025" s="6">
        <v>0.77584886843899703</v>
      </c>
    </row>
    <row r="15026" spans="1:3" s="8" customFormat="1" x14ac:dyDescent="0.2">
      <c r="A15026" s="6" t="str">
        <f>"AC111182.1"</f>
        <v>AC111182.1</v>
      </c>
      <c r="B15026" s="6">
        <v>0.66333666333666297</v>
      </c>
      <c r="C15026" s="6">
        <v>0.77584886843899703</v>
      </c>
    </row>
    <row r="15027" spans="1:3" s="8" customFormat="1" x14ac:dyDescent="0.2">
      <c r="A15027" s="6" t="str">
        <f>"TSSK3"</f>
        <v>TSSK3</v>
      </c>
      <c r="B15027" s="6">
        <v>0.66333666333666297</v>
      </c>
      <c r="C15027" s="6">
        <v>0.77584886843899703</v>
      </c>
    </row>
    <row r="15028" spans="1:3" s="8" customFormat="1" x14ac:dyDescent="0.2">
      <c r="A15028" s="6" t="str">
        <f>"AC010401.1"</f>
        <v>AC010401.1</v>
      </c>
      <c r="B15028" s="6">
        <v>0.66333666333666297</v>
      </c>
      <c r="C15028" s="6">
        <v>0.77584886843899703</v>
      </c>
    </row>
    <row r="15029" spans="1:3" s="8" customFormat="1" x14ac:dyDescent="0.2">
      <c r="A15029" s="6" t="str">
        <f>"LINC00649"</f>
        <v>LINC00649</v>
      </c>
      <c r="B15029" s="6">
        <v>0.66333666333666297</v>
      </c>
      <c r="C15029" s="6">
        <v>0.77584886843899703</v>
      </c>
    </row>
    <row r="15030" spans="1:3" s="8" customFormat="1" x14ac:dyDescent="0.2">
      <c r="A15030" s="6" t="str">
        <f>"FAM114A2"</f>
        <v>FAM114A2</v>
      </c>
      <c r="B15030" s="6">
        <v>0.66333666333666297</v>
      </c>
      <c r="C15030" s="6">
        <v>0.77584886843899703</v>
      </c>
    </row>
    <row r="15031" spans="1:3" s="8" customFormat="1" x14ac:dyDescent="0.2">
      <c r="A15031" s="6" t="str">
        <f>"ZBTB20"</f>
        <v>ZBTB20</v>
      </c>
      <c r="B15031" s="6">
        <v>0.66333666333666297</v>
      </c>
      <c r="C15031" s="6">
        <v>0.77584886843899703</v>
      </c>
    </row>
    <row r="15032" spans="1:3" s="8" customFormat="1" x14ac:dyDescent="0.2">
      <c r="A15032" s="6" t="str">
        <f>"TAF13"</f>
        <v>TAF13</v>
      </c>
      <c r="B15032" s="6">
        <v>0.66333666333666297</v>
      </c>
      <c r="C15032" s="6">
        <v>0.77584886843899703</v>
      </c>
    </row>
    <row r="15033" spans="1:3" s="8" customFormat="1" x14ac:dyDescent="0.2">
      <c r="A15033" s="6" t="str">
        <f>"SLC4A1AP"</f>
        <v>SLC4A1AP</v>
      </c>
      <c r="B15033" s="6">
        <v>0.66333666333666297</v>
      </c>
      <c r="C15033" s="6">
        <v>0.77584886843899703</v>
      </c>
    </row>
    <row r="15034" spans="1:3" s="8" customFormat="1" x14ac:dyDescent="0.2">
      <c r="A15034" s="6" t="str">
        <f>"PSMC6"</f>
        <v>PSMC6</v>
      </c>
      <c r="B15034" s="6">
        <v>0.66333666333666297</v>
      </c>
      <c r="C15034" s="6">
        <v>0.77584886843899703</v>
      </c>
    </row>
    <row r="15035" spans="1:3" s="8" customFormat="1" x14ac:dyDescent="0.2">
      <c r="A15035" s="6" t="str">
        <f>"AHNAK2"</f>
        <v>AHNAK2</v>
      </c>
      <c r="B15035" s="6">
        <v>0.66333666333666297</v>
      </c>
      <c r="C15035" s="6">
        <v>0.77584886843899703</v>
      </c>
    </row>
    <row r="15036" spans="1:3" s="8" customFormat="1" x14ac:dyDescent="0.2">
      <c r="A15036" s="6" t="str">
        <f>"AC078795.2"</f>
        <v>AC078795.2</v>
      </c>
      <c r="B15036" s="6">
        <v>0.66400000000000003</v>
      </c>
      <c r="C15036" s="6">
        <v>0.77650081904269597</v>
      </c>
    </row>
    <row r="15037" spans="1:3" s="8" customFormat="1" x14ac:dyDescent="0.2">
      <c r="A15037" s="6" t="str">
        <f>"PCDHGA4"</f>
        <v>PCDHGA4</v>
      </c>
      <c r="B15037" s="6">
        <v>0.66433566433566404</v>
      </c>
      <c r="C15037" s="6">
        <v>0.77650081904269597</v>
      </c>
    </row>
    <row r="15038" spans="1:3" s="8" customFormat="1" x14ac:dyDescent="0.2">
      <c r="A15038" s="6" t="str">
        <f>"AC087721.2"</f>
        <v>AC087721.2</v>
      </c>
      <c r="B15038" s="6">
        <v>0.66433566433566404</v>
      </c>
      <c r="C15038" s="6">
        <v>0.77650081904269597</v>
      </c>
    </row>
    <row r="15039" spans="1:3" s="8" customFormat="1" x14ac:dyDescent="0.2">
      <c r="A15039" s="6" t="str">
        <f>"OSR1"</f>
        <v>OSR1</v>
      </c>
      <c r="B15039" s="6">
        <v>0.66433566433566404</v>
      </c>
      <c r="C15039" s="6">
        <v>0.77650081904269597</v>
      </c>
    </row>
    <row r="15040" spans="1:3" s="8" customFormat="1" x14ac:dyDescent="0.2">
      <c r="A15040" s="6" t="str">
        <f>"ADCK1"</f>
        <v>ADCK1</v>
      </c>
      <c r="B15040" s="6">
        <v>0.66433566433566404</v>
      </c>
      <c r="C15040" s="6">
        <v>0.77650081904269597</v>
      </c>
    </row>
    <row r="15041" spans="1:3" s="8" customFormat="1" x14ac:dyDescent="0.2">
      <c r="A15041" s="6" t="str">
        <f>"DOHH"</f>
        <v>DOHH</v>
      </c>
      <c r="B15041" s="6">
        <v>0.66433566433566404</v>
      </c>
      <c r="C15041" s="6">
        <v>0.77650081904269597</v>
      </c>
    </row>
    <row r="15042" spans="1:3" s="8" customFormat="1" x14ac:dyDescent="0.2">
      <c r="A15042" s="6" t="str">
        <f>"COX16"</f>
        <v>COX16</v>
      </c>
      <c r="B15042" s="6">
        <v>0.66433566433566404</v>
      </c>
      <c r="C15042" s="6">
        <v>0.77650081904269597</v>
      </c>
    </row>
    <row r="15043" spans="1:3" s="8" customFormat="1" x14ac:dyDescent="0.2">
      <c r="A15043" s="6" t="str">
        <f>"SVIP"</f>
        <v>SVIP</v>
      </c>
      <c r="B15043" s="6">
        <v>0.66433566433566404</v>
      </c>
      <c r="C15043" s="6">
        <v>0.77650081904269597</v>
      </c>
    </row>
    <row r="15044" spans="1:3" s="8" customFormat="1" x14ac:dyDescent="0.2">
      <c r="A15044" s="6" t="str">
        <f>"LUZP1"</f>
        <v>LUZP1</v>
      </c>
      <c r="B15044" s="6">
        <v>0.66433566433566404</v>
      </c>
      <c r="C15044" s="6">
        <v>0.77650081904269597</v>
      </c>
    </row>
    <row r="15045" spans="1:3" s="8" customFormat="1" x14ac:dyDescent="0.2">
      <c r="A15045" s="6" t="str">
        <f>"TOR3A"</f>
        <v>TOR3A</v>
      </c>
      <c r="B15045" s="6">
        <v>0.66433566433566404</v>
      </c>
      <c r="C15045" s="6">
        <v>0.77650081904269597</v>
      </c>
    </row>
    <row r="15046" spans="1:3" s="8" customFormat="1" x14ac:dyDescent="0.2">
      <c r="A15046" s="6" t="str">
        <f>"CYCSP10"</f>
        <v>CYCSP10</v>
      </c>
      <c r="B15046" s="6">
        <v>0.66498993963782604</v>
      </c>
      <c r="C15046" s="6">
        <v>0.77717399973414802</v>
      </c>
    </row>
    <row r="15047" spans="1:3" s="8" customFormat="1" x14ac:dyDescent="0.2">
      <c r="A15047" s="6" t="str">
        <f>"AL162431.1"</f>
        <v>AL162431.1</v>
      </c>
      <c r="B15047" s="6">
        <v>0.66500000000000004</v>
      </c>
      <c r="C15047" s="6">
        <v>0.77717399973414802</v>
      </c>
    </row>
    <row r="15048" spans="1:3" s="8" customFormat="1" x14ac:dyDescent="0.2">
      <c r="A15048" s="6" t="str">
        <f>"SFRP4"</f>
        <v>SFRP4</v>
      </c>
      <c r="B15048" s="6">
        <v>0.66533466533466501</v>
      </c>
      <c r="C15048" s="6">
        <v>0.777410110654844</v>
      </c>
    </row>
    <row r="15049" spans="1:3" s="8" customFormat="1" x14ac:dyDescent="0.2">
      <c r="A15049" s="6" t="str">
        <f>"AC012236.1"</f>
        <v>AC012236.1</v>
      </c>
      <c r="B15049" s="6">
        <v>0.66533466533466501</v>
      </c>
      <c r="C15049" s="6">
        <v>0.777410110654844</v>
      </c>
    </row>
    <row r="15050" spans="1:3" s="8" customFormat="1" x14ac:dyDescent="0.2">
      <c r="A15050" s="6" t="str">
        <f>"AL096701.4"</f>
        <v>AL096701.4</v>
      </c>
      <c r="B15050" s="6">
        <v>0.66533066132264496</v>
      </c>
      <c r="C15050" s="6">
        <v>0.777410110654844</v>
      </c>
    </row>
    <row r="15051" spans="1:3" s="8" customFormat="1" x14ac:dyDescent="0.2">
      <c r="A15051" s="6" t="str">
        <f>"AL034417.2"</f>
        <v>AL034417.2</v>
      </c>
      <c r="B15051" s="6">
        <v>0.66566566566566499</v>
      </c>
      <c r="C15051" s="6">
        <v>0.77769351305993395</v>
      </c>
    </row>
    <row r="15052" spans="1:3" s="8" customFormat="1" x14ac:dyDescent="0.2">
      <c r="A15052" s="6" t="str">
        <f>"AC090946.1"</f>
        <v>AC090946.1</v>
      </c>
      <c r="B15052" s="6">
        <v>0.66565961732124801</v>
      </c>
      <c r="C15052" s="6">
        <v>0.77769351305993395</v>
      </c>
    </row>
    <row r="15053" spans="1:3" s="8" customFormat="1" x14ac:dyDescent="0.2">
      <c r="A15053" s="6" t="str">
        <f>"AC110774.1"</f>
        <v>AC110774.1</v>
      </c>
      <c r="B15053" s="6">
        <v>0.66631467793030597</v>
      </c>
      <c r="C15053" s="6">
        <v>0.77795705390154601</v>
      </c>
    </row>
    <row r="15054" spans="1:3" s="8" customFormat="1" x14ac:dyDescent="0.2">
      <c r="A15054" s="6" t="str">
        <f>"C13orf42"</f>
        <v>C13orf42</v>
      </c>
      <c r="B15054" s="6">
        <v>0.66633366633366597</v>
      </c>
      <c r="C15054" s="6">
        <v>0.77795705390154601</v>
      </c>
    </row>
    <row r="15055" spans="1:3" s="8" customFormat="1" x14ac:dyDescent="0.2">
      <c r="A15055" s="6" t="str">
        <f>"ZNF736P9Y"</f>
        <v>ZNF736P9Y</v>
      </c>
      <c r="B15055" s="6">
        <v>0.66630316248636801</v>
      </c>
      <c r="C15055" s="6">
        <v>0.77795705390154601</v>
      </c>
    </row>
    <row r="15056" spans="1:3" s="8" customFormat="1" x14ac:dyDescent="0.2">
      <c r="A15056" s="6" t="str">
        <f>"AC135352.1"</f>
        <v>AC135352.1</v>
      </c>
      <c r="B15056" s="6">
        <v>0.66633366633366597</v>
      </c>
      <c r="C15056" s="6">
        <v>0.77795705390154601</v>
      </c>
    </row>
    <row r="15057" spans="1:3" s="8" customFormat="1" x14ac:dyDescent="0.2">
      <c r="A15057" s="6" t="str">
        <f>"AMIGO3"</f>
        <v>AMIGO3</v>
      </c>
      <c r="B15057" s="6">
        <v>0.66633366633366597</v>
      </c>
      <c r="C15057" s="6">
        <v>0.77795705390154601</v>
      </c>
    </row>
    <row r="15058" spans="1:3" s="8" customFormat="1" x14ac:dyDescent="0.2">
      <c r="A15058" s="6" t="str">
        <f>"BORCS8-MEF2B"</f>
        <v>BORCS8-MEF2B</v>
      </c>
      <c r="B15058" s="6">
        <v>0.66633366633366597</v>
      </c>
      <c r="C15058" s="6">
        <v>0.77795705390154601</v>
      </c>
    </row>
    <row r="15059" spans="1:3" s="8" customFormat="1" x14ac:dyDescent="0.2">
      <c r="A15059" s="6" t="str">
        <f>"PPP1R26-AS1"</f>
        <v>PPP1R26-AS1</v>
      </c>
      <c r="B15059" s="6">
        <v>0.66633366633366597</v>
      </c>
      <c r="C15059" s="6">
        <v>0.77795705390154601</v>
      </c>
    </row>
    <row r="15060" spans="1:3" s="8" customFormat="1" x14ac:dyDescent="0.2">
      <c r="A15060" s="6" t="str">
        <f>"AP4B1"</f>
        <v>AP4B1</v>
      </c>
      <c r="B15060" s="6">
        <v>0.66633366633366597</v>
      </c>
      <c r="C15060" s="6">
        <v>0.77795705390154601</v>
      </c>
    </row>
    <row r="15061" spans="1:3" s="8" customFormat="1" x14ac:dyDescent="0.2">
      <c r="A15061" s="6" t="str">
        <f>"DUOXA1"</f>
        <v>DUOXA1</v>
      </c>
      <c r="B15061" s="6">
        <v>0.66633366633366597</v>
      </c>
      <c r="C15061" s="6">
        <v>0.77795705390154601</v>
      </c>
    </row>
    <row r="15062" spans="1:3" s="8" customFormat="1" x14ac:dyDescent="0.2">
      <c r="A15062" s="6" t="str">
        <f>"VPS11"</f>
        <v>VPS11</v>
      </c>
      <c r="B15062" s="6">
        <v>0.66633366633366597</v>
      </c>
      <c r="C15062" s="6">
        <v>0.77795705390154601</v>
      </c>
    </row>
    <row r="15063" spans="1:3" s="8" customFormat="1" x14ac:dyDescent="0.2">
      <c r="A15063" s="6" t="str">
        <f>"LINC00562"</f>
        <v>LINC00562</v>
      </c>
      <c r="B15063" s="6">
        <v>0.66666666666666596</v>
      </c>
      <c r="C15063" s="6">
        <v>0.77829416190855505</v>
      </c>
    </row>
    <row r="15064" spans="1:3" s="8" customFormat="1" x14ac:dyDescent="0.2">
      <c r="A15064" s="6" t="str">
        <f>"AC134312.5"</f>
        <v>AC134312.5</v>
      </c>
      <c r="B15064" s="6">
        <v>0.66733266733266705</v>
      </c>
      <c r="C15064" s="6">
        <v>0.77860877351544699</v>
      </c>
    </row>
    <row r="15065" spans="1:3" s="8" customFormat="1" x14ac:dyDescent="0.2">
      <c r="A15065" s="6" t="str">
        <f>"UPK2"</f>
        <v>UPK2</v>
      </c>
      <c r="B15065" s="6">
        <v>0.66733266733266705</v>
      </c>
      <c r="C15065" s="6">
        <v>0.77860877351544699</v>
      </c>
    </row>
    <row r="15066" spans="1:3" s="8" customFormat="1" x14ac:dyDescent="0.2">
      <c r="A15066" s="6" t="str">
        <f>"DLGAP3"</f>
        <v>DLGAP3</v>
      </c>
      <c r="B15066" s="6">
        <v>0.66733466933867702</v>
      </c>
      <c r="C15066" s="6">
        <v>0.77860877351544699</v>
      </c>
    </row>
    <row r="15067" spans="1:3" s="8" customFormat="1" x14ac:dyDescent="0.2">
      <c r="A15067" s="6" t="str">
        <f>"AKR1E2"</f>
        <v>AKR1E2</v>
      </c>
      <c r="B15067" s="6">
        <v>0.66733266733266705</v>
      </c>
      <c r="C15067" s="6">
        <v>0.77860877351544699</v>
      </c>
    </row>
    <row r="15068" spans="1:3" s="8" customFormat="1" x14ac:dyDescent="0.2">
      <c r="A15068" s="6" t="str">
        <f>"SSC4D"</f>
        <v>SSC4D</v>
      </c>
      <c r="B15068" s="6">
        <v>0.66700000000000004</v>
      </c>
      <c r="C15068" s="6">
        <v>0.77860877351544699</v>
      </c>
    </row>
    <row r="15069" spans="1:3" s="8" customFormat="1" x14ac:dyDescent="0.2">
      <c r="A15069" s="6" t="str">
        <f>"AC092661.1"</f>
        <v>AC092661.1</v>
      </c>
      <c r="B15069" s="6">
        <v>0.66733266733266705</v>
      </c>
      <c r="C15069" s="6">
        <v>0.77860877351544699</v>
      </c>
    </row>
    <row r="15070" spans="1:3" s="8" customFormat="1" x14ac:dyDescent="0.2">
      <c r="A15070" s="6" t="str">
        <f>"ZNF16"</f>
        <v>ZNF16</v>
      </c>
      <c r="B15070" s="6">
        <v>0.66733266733266705</v>
      </c>
      <c r="C15070" s="6">
        <v>0.77860877351544699</v>
      </c>
    </row>
    <row r="15071" spans="1:3" s="8" customFormat="1" x14ac:dyDescent="0.2">
      <c r="A15071" s="6" t="str">
        <f>"MOB3B"</f>
        <v>MOB3B</v>
      </c>
      <c r="B15071" s="6">
        <v>0.66733266733266705</v>
      </c>
      <c r="C15071" s="6">
        <v>0.77860877351544699</v>
      </c>
    </row>
    <row r="15072" spans="1:3" s="8" customFormat="1" x14ac:dyDescent="0.2">
      <c r="A15072" s="6" t="str">
        <f>"ERN2"</f>
        <v>ERN2</v>
      </c>
      <c r="B15072" s="6">
        <v>0.66733266733266705</v>
      </c>
      <c r="C15072" s="6">
        <v>0.77860877351544699</v>
      </c>
    </row>
    <row r="15073" spans="1:3" s="8" customFormat="1" x14ac:dyDescent="0.2">
      <c r="A15073" s="6" t="str">
        <f>"OR5A2"</f>
        <v>OR5A2</v>
      </c>
      <c r="B15073" s="6">
        <v>0.66769230769230703</v>
      </c>
      <c r="C15073" s="6">
        <v>0.77897435897435896</v>
      </c>
    </row>
    <row r="15074" spans="1:3" s="8" customFormat="1" x14ac:dyDescent="0.2">
      <c r="A15074" s="6" t="str">
        <f>"TM9SF1"</f>
        <v>TM9SF1</v>
      </c>
      <c r="B15074" s="6">
        <v>0.66800000000000004</v>
      </c>
      <c r="C15074" s="6">
        <v>0.77928162940356904</v>
      </c>
    </row>
    <row r="15075" spans="1:3" s="8" customFormat="1" x14ac:dyDescent="0.2">
      <c r="A15075" s="6" t="str">
        <f>"KDM5C-IT1"</f>
        <v>KDM5C-IT1</v>
      </c>
      <c r="B15075" s="6">
        <v>0.66833166833166802</v>
      </c>
      <c r="C15075" s="6">
        <v>0.77935831659553401</v>
      </c>
    </row>
    <row r="15076" spans="1:3" s="8" customFormat="1" x14ac:dyDescent="0.2">
      <c r="A15076" s="6" t="str">
        <f>"AC026202.2"</f>
        <v>AC026202.2</v>
      </c>
      <c r="B15076" s="6">
        <v>0.66833166833166802</v>
      </c>
      <c r="C15076" s="6">
        <v>0.77935831659553401</v>
      </c>
    </row>
    <row r="15077" spans="1:3" s="8" customFormat="1" x14ac:dyDescent="0.2">
      <c r="A15077" s="6" t="str">
        <f>"MEX3B"</f>
        <v>MEX3B</v>
      </c>
      <c r="B15077" s="6">
        <v>0.66833166833166802</v>
      </c>
      <c r="C15077" s="6">
        <v>0.77935831659553401</v>
      </c>
    </row>
    <row r="15078" spans="1:3" s="8" customFormat="1" x14ac:dyDescent="0.2">
      <c r="A15078" s="6" t="str">
        <f>"EGFLAM"</f>
        <v>EGFLAM</v>
      </c>
      <c r="B15078" s="6">
        <v>0.66833166833166802</v>
      </c>
      <c r="C15078" s="6">
        <v>0.77935831659553401</v>
      </c>
    </row>
    <row r="15079" spans="1:3" s="8" customFormat="1" x14ac:dyDescent="0.2">
      <c r="A15079" s="6" t="str">
        <f>"CST6"</f>
        <v>CST6</v>
      </c>
      <c r="B15079" s="6">
        <v>0.66833166833166802</v>
      </c>
      <c r="C15079" s="6">
        <v>0.77935831659553401</v>
      </c>
    </row>
    <row r="15080" spans="1:3" s="8" customFormat="1" x14ac:dyDescent="0.2">
      <c r="A15080" s="6" t="str">
        <f>"PSMD13"</f>
        <v>PSMD13</v>
      </c>
      <c r="B15080" s="6">
        <v>0.66833166833166802</v>
      </c>
      <c r="C15080" s="6">
        <v>0.77935831659553401</v>
      </c>
    </row>
    <row r="15081" spans="1:3" s="8" customFormat="1" x14ac:dyDescent="0.2">
      <c r="A15081" s="6" t="str">
        <f>"PWAR5"</f>
        <v>PWAR5</v>
      </c>
      <c r="B15081" s="6">
        <v>0.66934673366834097</v>
      </c>
      <c r="C15081" s="6">
        <v>0.78012812121854003</v>
      </c>
    </row>
    <row r="15082" spans="1:3" s="8" customFormat="1" x14ac:dyDescent="0.2">
      <c r="A15082" s="6" t="str">
        <f>"HECW2-AS1"</f>
        <v>HECW2-AS1</v>
      </c>
      <c r="B15082" s="6">
        <v>0.66933066933066898</v>
      </c>
      <c r="C15082" s="6">
        <v>0.78012812121854003</v>
      </c>
    </row>
    <row r="15083" spans="1:3" s="8" customFormat="1" x14ac:dyDescent="0.2">
      <c r="A15083" s="6" t="str">
        <f>"HERC2P4"</f>
        <v>HERC2P4</v>
      </c>
      <c r="B15083" s="6">
        <v>0.66933066933066898</v>
      </c>
      <c r="C15083" s="6">
        <v>0.78012812121854003</v>
      </c>
    </row>
    <row r="15084" spans="1:3" s="8" customFormat="1" x14ac:dyDescent="0.2">
      <c r="A15084" s="6" t="str">
        <f>"SCN9A"</f>
        <v>SCN9A</v>
      </c>
      <c r="B15084" s="6">
        <v>0.66933066933066898</v>
      </c>
      <c r="C15084" s="6">
        <v>0.78012812121854003</v>
      </c>
    </row>
    <row r="15085" spans="1:3" s="8" customFormat="1" x14ac:dyDescent="0.2">
      <c r="A15085" s="6" t="str">
        <f>"BORCS6"</f>
        <v>BORCS6</v>
      </c>
      <c r="B15085" s="6">
        <v>0.66933066933066898</v>
      </c>
      <c r="C15085" s="6">
        <v>0.78012812121854003</v>
      </c>
    </row>
    <row r="15086" spans="1:3" s="8" customFormat="1" x14ac:dyDescent="0.2">
      <c r="A15086" s="6" t="str">
        <f>"IMP3"</f>
        <v>IMP3</v>
      </c>
      <c r="B15086" s="6">
        <v>0.66933066933066898</v>
      </c>
      <c r="C15086" s="6">
        <v>0.78012812121854003</v>
      </c>
    </row>
    <row r="15087" spans="1:3" s="8" customFormat="1" x14ac:dyDescent="0.2">
      <c r="A15087" s="6" t="str">
        <f>"NOA1"</f>
        <v>NOA1</v>
      </c>
      <c r="B15087" s="6">
        <v>0.66933066933066898</v>
      </c>
      <c r="C15087" s="6">
        <v>0.78012812121854003</v>
      </c>
    </row>
    <row r="15088" spans="1:3" s="8" customFormat="1" x14ac:dyDescent="0.2">
      <c r="A15088" s="6" t="str">
        <f>"BPIFB2"</f>
        <v>BPIFB2</v>
      </c>
      <c r="B15088" s="6">
        <v>0.66933066933066898</v>
      </c>
      <c r="C15088" s="6">
        <v>0.78012812121854003</v>
      </c>
    </row>
    <row r="15089" spans="1:3" s="8" customFormat="1" x14ac:dyDescent="0.2">
      <c r="A15089" s="6" t="str">
        <f>"RPL21P119"</f>
        <v>RPL21P119</v>
      </c>
      <c r="B15089" s="6">
        <v>0.66966966966966901</v>
      </c>
      <c r="C15089" s="6">
        <v>0.78045277515054801</v>
      </c>
    </row>
    <row r="15090" spans="1:3" s="8" customFormat="1" x14ac:dyDescent="0.2">
      <c r="A15090" s="6" t="str">
        <f>"ARHGAP31-AS1"</f>
        <v>ARHGAP31-AS1</v>
      </c>
      <c r="B15090" s="6">
        <v>0.67032967032966995</v>
      </c>
      <c r="C15090" s="6">
        <v>0.78101490346388303</v>
      </c>
    </row>
    <row r="15091" spans="1:3" s="8" customFormat="1" x14ac:dyDescent="0.2">
      <c r="A15091" s="6" t="str">
        <f>"AC139149.1"</f>
        <v>AC139149.1</v>
      </c>
      <c r="B15091" s="6">
        <v>0.67032967032966995</v>
      </c>
      <c r="C15091" s="6">
        <v>0.78101490346388303</v>
      </c>
    </row>
    <row r="15092" spans="1:3" s="8" customFormat="1" x14ac:dyDescent="0.2">
      <c r="A15092" s="6" t="str">
        <f>"CBSL"</f>
        <v>CBSL</v>
      </c>
      <c r="B15092" s="6">
        <v>0.67032967032966995</v>
      </c>
      <c r="C15092" s="6">
        <v>0.78101490346388303</v>
      </c>
    </row>
    <row r="15093" spans="1:3" s="8" customFormat="1" x14ac:dyDescent="0.2">
      <c r="A15093" s="6" t="str">
        <f>"HSD17B6"</f>
        <v>HSD17B6</v>
      </c>
      <c r="B15093" s="6">
        <v>0.67032967032966995</v>
      </c>
      <c r="C15093" s="6">
        <v>0.78101490346388303</v>
      </c>
    </row>
    <row r="15094" spans="1:3" s="8" customFormat="1" x14ac:dyDescent="0.2">
      <c r="A15094" s="6" t="str">
        <f>"AC027575.2"</f>
        <v>AC027575.2</v>
      </c>
      <c r="B15094" s="6">
        <v>0.67053364269141502</v>
      </c>
      <c r="C15094" s="6">
        <v>0.78120079328734104</v>
      </c>
    </row>
    <row r="15095" spans="1:3" s="8" customFormat="1" x14ac:dyDescent="0.2">
      <c r="A15095" s="6" t="str">
        <f>"AC018926.1"</f>
        <v>AC018926.1</v>
      </c>
      <c r="B15095" s="6">
        <v>0.67101303911735199</v>
      </c>
      <c r="C15095" s="6">
        <v>0.78155742562522201</v>
      </c>
    </row>
    <row r="15096" spans="1:3" s="8" customFormat="1" x14ac:dyDescent="0.2">
      <c r="A15096" s="6" t="str">
        <f>"BGN"</f>
        <v>BGN</v>
      </c>
      <c r="B15096" s="6">
        <v>0.67132867132867102</v>
      </c>
      <c r="C15096" s="6">
        <v>0.78155742562522201</v>
      </c>
    </row>
    <row r="15097" spans="1:3" s="8" customFormat="1" x14ac:dyDescent="0.2">
      <c r="A15097" s="6" t="str">
        <f>"AC024337.1"</f>
        <v>AC024337.1</v>
      </c>
      <c r="B15097" s="6">
        <v>0.67100000000000004</v>
      </c>
      <c r="C15097" s="6">
        <v>0.78155742562522201</v>
      </c>
    </row>
    <row r="15098" spans="1:3" s="8" customFormat="1" x14ac:dyDescent="0.2">
      <c r="A15098" s="6" t="str">
        <f>"BPI"</f>
        <v>BPI</v>
      </c>
      <c r="B15098" s="6">
        <v>0.67132867132867102</v>
      </c>
      <c r="C15098" s="6">
        <v>0.78155742562522201</v>
      </c>
    </row>
    <row r="15099" spans="1:3" s="8" customFormat="1" x14ac:dyDescent="0.2">
      <c r="A15099" s="6" t="str">
        <f>"MAP7D2"</f>
        <v>MAP7D2</v>
      </c>
      <c r="B15099" s="6">
        <v>0.67132867132867102</v>
      </c>
      <c r="C15099" s="6">
        <v>0.78155742562522201</v>
      </c>
    </row>
    <row r="15100" spans="1:3" s="8" customFormat="1" x14ac:dyDescent="0.2">
      <c r="A15100" s="6" t="str">
        <f>"PTRH1"</f>
        <v>PTRH1</v>
      </c>
      <c r="B15100" s="6">
        <v>0.67132867132867102</v>
      </c>
      <c r="C15100" s="6">
        <v>0.78155742562522201</v>
      </c>
    </row>
    <row r="15101" spans="1:3" s="8" customFormat="1" x14ac:dyDescent="0.2">
      <c r="A15101" s="6" t="str">
        <f>"UTP14A"</f>
        <v>UTP14A</v>
      </c>
      <c r="B15101" s="6">
        <v>0.67132867132867102</v>
      </c>
      <c r="C15101" s="6">
        <v>0.78155742562522201</v>
      </c>
    </row>
    <row r="15102" spans="1:3" s="8" customFormat="1" x14ac:dyDescent="0.2">
      <c r="A15102" s="6" t="str">
        <f>"NUAK1"</f>
        <v>NUAK1</v>
      </c>
      <c r="B15102" s="6">
        <v>0.67132867132867102</v>
      </c>
      <c r="C15102" s="6">
        <v>0.78155742562522201</v>
      </c>
    </row>
    <row r="15103" spans="1:3" s="8" customFormat="1" x14ac:dyDescent="0.2">
      <c r="A15103" s="6" t="str">
        <f>"TPRXL"</f>
        <v>TPRXL</v>
      </c>
      <c r="B15103" s="6">
        <v>0.67132867132867102</v>
      </c>
      <c r="C15103" s="6">
        <v>0.78155742562522201</v>
      </c>
    </row>
    <row r="15104" spans="1:3" s="8" customFormat="1" x14ac:dyDescent="0.2">
      <c r="A15104" s="6" t="str">
        <f>"TENT2"</f>
        <v>TENT2</v>
      </c>
      <c r="B15104" s="6">
        <v>0.67132867132867102</v>
      </c>
      <c r="C15104" s="6">
        <v>0.78155742562522201</v>
      </c>
    </row>
    <row r="15105" spans="1:3" s="8" customFormat="1" x14ac:dyDescent="0.2">
      <c r="A15105" s="6" t="str">
        <f>"SBF2"</f>
        <v>SBF2</v>
      </c>
      <c r="B15105" s="6">
        <v>0.67132867132867102</v>
      </c>
      <c r="C15105" s="6">
        <v>0.78155742562522201</v>
      </c>
    </row>
    <row r="15106" spans="1:3" s="8" customFormat="1" x14ac:dyDescent="0.2">
      <c r="A15106" s="6" t="str">
        <f>"AL356805.1"</f>
        <v>AL356805.1</v>
      </c>
      <c r="B15106" s="6">
        <v>0.67200000000000004</v>
      </c>
      <c r="C15106" s="6">
        <v>0.78223540315106499</v>
      </c>
    </row>
    <row r="15107" spans="1:3" s="8" customFormat="1" x14ac:dyDescent="0.2">
      <c r="A15107" s="6" t="str">
        <f>"DGKZP1"</f>
        <v>DGKZP1</v>
      </c>
      <c r="B15107" s="6">
        <v>0.67200000000000004</v>
      </c>
      <c r="C15107" s="6">
        <v>0.78223540315106499</v>
      </c>
    </row>
    <row r="15108" spans="1:3" s="8" customFormat="1" x14ac:dyDescent="0.2">
      <c r="A15108" s="6" t="str">
        <f>"SLC16A13"</f>
        <v>SLC16A13</v>
      </c>
      <c r="B15108" s="6">
        <v>0.67232767232767199</v>
      </c>
      <c r="C15108" s="6">
        <v>0.78240964859098505</v>
      </c>
    </row>
    <row r="15109" spans="1:3" s="8" customFormat="1" x14ac:dyDescent="0.2">
      <c r="A15109" s="6" t="str">
        <f>"UQCC3"</f>
        <v>UQCC3</v>
      </c>
      <c r="B15109" s="6">
        <v>0.67232767232767199</v>
      </c>
      <c r="C15109" s="6">
        <v>0.78240964859098505</v>
      </c>
    </row>
    <row r="15110" spans="1:3" s="8" customFormat="1" x14ac:dyDescent="0.2">
      <c r="A15110" s="6" t="str">
        <f>"WDR81"</f>
        <v>WDR81</v>
      </c>
      <c r="B15110" s="6">
        <v>0.67232767232767199</v>
      </c>
      <c r="C15110" s="6">
        <v>0.78240964859098505</v>
      </c>
    </row>
    <row r="15111" spans="1:3" s="8" customFormat="1" x14ac:dyDescent="0.2">
      <c r="A15111" s="6" t="str">
        <f>"PRKAB1"</f>
        <v>PRKAB1</v>
      </c>
      <c r="B15111" s="6">
        <v>0.67232767232767199</v>
      </c>
      <c r="C15111" s="6">
        <v>0.78240964859098505</v>
      </c>
    </row>
    <row r="15112" spans="1:3" s="8" customFormat="1" x14ac:dyDescent="0.2">
      <c r="A15112" s="6" t="str">
        <f>"AC004224.2"</f>
        <v>AC004224.2</v>
      </c>
      <c r="B15112" s="6">
        <v>0.67296996662958797</v>
      </c>
      <c r="C15112" s="6">
        <v>0.783105280472151</v>
      </c>
    </row>
    <row r="15113" spans="1:3" s="8" customFormat="1" x14ac:dyDescent="0.2">
      <c r="A15113" s="6" t="str">
        <f>"AL731684.1"</f>
        <v>AL731684.1</v>
      </c>
      <c r="B15113" s="6">
        <v>0.67332667332667295</v>
      </c>
      <c r="C15113" s="6">
        <v>0.78320938174083599</v>
      </c>
    </row>
    <row r="15114" spans="1:3" s="8" customFormat="1" x14ac:dyDescent="0.2">
      <c r="A15114" s="6" t="str">
        <f>"GZMK"</f>
        <v>GZMK</v>
      </c>
      <c r="B15114" s="6">
        <v>0.67332667332667295</v>
      </c>
      <c r="C15114" s="6">
        <v>0.78320938174083599</v>
      </c>
    </row>
    <row r="15115" spans="1:3" s="8" customFormat="1" x14ac:dyDescent="0.2">
      <c r="A15115" s="6" t="str">
        <f>"ZNF547"</f>
        <v>ZNF547</v>
      </c>
      <c r="B15115" s="6">
        <v>0.67332667332667295</v>
      </c>
      <c r="C15115" s="6">
        <v>0.78320938174083599</v>
      </c>
    </row>
    <row r="15116" spans="1:3" s="8" customFormat="1" x14ac:dyDescent="0.2">
      <c r="A15116" s="6" t="str">
        <f>"AMY1B"</f>
        <v>AMY1B</v>
      </c>
      <c r="B15116" s="6">
        <v>0.67332667332667295</v>
      </c>
      <c r="C15116" s="6">
        <v>0.78320938174083599</v>
      </c>
    </row>
    <row r="15117" spans="1:3" s="8" customFormat="1" x14ac:dyDescent="0.2">
      <c r="A15117" s="6" t="str">
        <f>"TYW5"</f>
        <v>TYW5</v>
      </c>
      <c r="B15117" s="6">
        <v>0.67332667332667295</v>
      </c>
      <c r="C15117" s="6">
        <v>0.78320938174083599</v>
      </c>
    </row>
    <row r="15118" spans="1:3" s="8" customFormat="1" x14ac:dyDescent="0.2">
      <c r="A15118" s="6" t="str">
        <f>"PSMA5"</f>
        <v>PSMA5</v>
      </c>
      <c r="B15118" s="6">
        <v>0.67332667332667295</v>
      </c>
      <c r="C15118" s="6">
        <v>0.78320938174083599</v>
      </c>
    </row>
    <row r="15119" spans="1:3" s="8" customFormat="1" x14ac:dyDescent="0.2">
      <c r="A15119" s="6" t="str">
        <f>"LINC01322"</f>
        <v>LINC01322</v>
      </c>
      <c r="B15119" s="6">
        <v>0.67432567432567403</v>
      </c>
      <c r="C15119" s="6">
        <v>0.78385288935959896</v>
      </c>
    </row>
    <row r="15120" spans="1:3" s="8" customFormat="1" x14ac:dyDescent="0.2">
      <c r="A15120" s="6" t="str">
        <f>"AC004067.1"</f>
        <v>AC004067.1</v>
      </c>
      <c r="B15120" s="6">
        <v>0.67408906882591002</v>
      </c>
      <c r="C15120" s="6">
        <v>0.78385288935959896</v>
      </c>
    </row>
    <row r="15121" spans="1:3" s="8" customFormat="1" x14ac:dyDescent="0.2">
      <c r="A15121" s="6" t="str">
        <f>"ANO5"</f>
        <v>ANO5</v>
      </c>
      <c r="B15121" s="6">
        <v>0.67432567432567403</v>
      </c>
      <c r="C15121" s="6">
        <v>0.78385288935959896</v>
      </c>
    </row>
    <row r="15122" spans="1:3" s="8" customFormat="1" x14ac:dyDescent="0.2">
      <c r="A15122" s="6" t="str">
        <f>"CR769775.2"</f>
        <v>CR769775.2</v>
      </c>
      <c r="B15122" s="6">
        <v>0.67432567432567403</v>
      </c>
      <c r="C15122" s="6">
        <v>0.78385288935959896</v>
      </c>
    </row>
    <row r="15123" spans="1:3" s="8" customFormat="1" x14ac:dyDescent="0.2">
      <c r="A15123" s="6" t="str">
        <f>"ADCY4"</f>
        <v>ADCY4</v>
      </c>
      <c r="B15123" s="6">
        <v>0.67400000000000004</v>
      </c>
      <c r="C15123" s="6">
        <v>0.78385288935959896</v>
      </c>
    </row>
    <row r="15124" spans="1:3" s="8" customFormat="1" x14ac:dyDescent="0.2">
      <c r="A15124" s="6" t="str">
        <f>"AC008969.1"</f>
        <v>AC008969.1</v>
      </c>
      <c r="B15124" s="6">
        <v>0.67432567432567403</v>
      </c>
      <c r="C15124" s="6">
        <v>0.78385288935959896</v>
      </c>
    </row>
    <row r="15125" spans="1:3" s="8" customFormat="1" x14ac:dyDescent="0.2">
      <c r="A15125" s="6" t="str">
        <f>"ATP13A5"</f>
        <v>ATP13A5</v>
      </c>
      <c r="B15125" s="6">
        <v>0.67432567432567403</v>
      </c>
      <c r="C15125" s="6">
        <v>0.78385288935959896</v>
      </c>
    </row>
    <row r="15126" spans="1:3" s="8" customFormat="1" x14ac:dyDescent="0.2">
      <c r="A15126" s="6" t="str">
        <f>"RUSC2"</f>
        <v>RUSC2</v>
      </c>
      <c r="B15126" s="6">
        <v>0.67432567432567403</v>
      </c>
      <c r="C15126" s="6">
        <v>0.78385288935959896</v>
      </c>
    </row>
    <row r="15127" spans="1:3" s="8" customFormat="1" x14ac:dyDescent="0.2">
      <c r="A15127" s="6" t="str">
        <f>"TRIM68"</f>
        <v>TRIM68</v>
      </c>
      <c r="B15127" s="6">
        <v>0.67400000000000004</v>
      </c>
      <c r="C15127" s="6">
        <v>0.78385288935959896</v>
      </c>
    </row>
    <row r="15128" spans="1:3" s="8" customFormat="1" x14ac:dyDescent="0.2">
      <c r="A15128" s="6" t="str">
        <f>"TSHZ2"</f>
        <v>TSHZ2</v>
      </c>
      <c r="B15128" s="6">
        <v>0.67432567432567403</v>
      </c>
      <c r="C15128" s="6">
        <v>0.78385288935959896</v>
      </c>
    </row>
    <row r="15129" spans="1:3" s="8" customFormat="1" x14ac:dyDescent="0.2">
      <c r="A15129" s="6" t="str">
        <f>"AC024597.1"</f>
        <v>AC024597.1</v>
      </c>
      <c r="B15129" s="6">
        <v>0.67467467467467401</v>
      </c>
      <c r="C15129" s="6">
        <v>0.78420673449758505</v>
      </c>
    </row>
    <row r="15130" spans="1:3" s="8" customFormat="1" x14ac:dyDescent="0.2">
      <c r="A15130" s="6" t="str">
        <f>"AC009118.3"</f>
        <v>AC009118.3</v>
      </c>
      <c r="B15130" s="6">
        <v>0.67532467532467499</v>
      </c>
      <c r="C15130" s="6">
        <v>0.78465105662145396</v>
      </c>
    </row>
    <row r="15131" spans="1:3" s="8" customFormat="1" x14ac:dyDescent="0.2">
      <c r="A15131" s="6" t="str">
        <f>"HRAT92"</f>
        <v>HRAT92</v>
      </c>
      <c r="B15131" s="6">
        <v>0.67532467532467499</v>
      </c>
      <c r="C15131" s="6">
        <v>0.78465105662145396</v>
      </c>
    </row>
    <row r="15132" spans="1:3" s="8" customFormat="1" x14ac:dyDescent="0.2">
      <c r="A15132" s="6" t="str">
        <f>"POLR2K"</f>
        <v>POLR2K</v>
      </c>
      <c r="B15132" s="6">
        <v>0.67532467532467499</v>
      </c>
      <c r="C15132" s="6">
        <v>0.78465105662145396</v>
      </c>
    </row>
    <row r="15133" spans="1:3" s="8" customFormat="1" x14ac:dyDescent="0.2">
      <c r="A15133" s="6" t="str">
        <f>"RAB40C"</f>
        <v>RAB40C</v>
      </c>
      <c r="B15133" s="6">
        <v>0.67532467532467499</v>
      </c>
      <c r="C15133" s="6">
        <v>0.78465105662145396</v>
      </c>
    </row>
    <row r="15134" spans="1:3" s="8" customFormat="1" x14ac:dyDescent="0.2">
      <c r="A15134" s="6" t="str">
        <f>"WARS1"</f>
        <v>WARS1</v>
      </c>
      <c r="B15134" s="6">
        <v>0.67532467532467499</v>
      </c>
      <c r="C15134" s="6">
        <v>0.78465105662145396</v>
      </c>
    </row>
    <row r="15135" spans="1:3" s="8" customFormat="1" x14ac:dyDescent="0.2">
      <c r="A15135" s="6" t="str">
        <f>"OS9"</f>
        <v>OS9</v>
      </c>
      <c r="B15135" s="6">
        <v>0.67532467532467499</v>
      </c>
      <c r="C15135" s="6">
        <v>0.78465105662145396</v>
      </c>
    </row>
    <row r="15136" spans="1:3" s="8" customFormat="1" x14ac:dyDescent="0.2">
      <c r="A15136" s="6" t="str">
        <f>"AL121929.2"</f>
        <v>AL121929.2</v>
      </c>
      <c r="B15136" s="6">
        <v>0.67632367632367596</v>
      </c>
      <c r="C15136" s="6">
        <v>0.78503370020961905</v>
      </c>
    </row>
    <row r="15137" spans="1:3" s="8" customFormat="1" x14ac:dyDescent="0.2">
      <c r="A15137" s="6" t="str">
        <f>"Z97989.1"</f>
        <v>Z97989.1</v>
      </c>
      <c r="B15137" s="6">
        <v>0.67632367632367596</v>
      </c>
      <c r="C15137" s="6">
        <v>0.78503370020961905</v>
      </c>
    </row>
    <row r="15138" spans="1:3" s="8" customFormat="1" x14ac:dyDescent="0.2">
      <c r="A15138" s="6" t="str">
        <f>"AC110614.1"</f>
        <v>AC110614.1</v>
      </c>
      <c r="B15138" s="6">
        <v>0.67632367632367596</v>
      </c>
      <c r="C15138" s="6">
        <v>0.78503370020961905</v>
      </c>
    </row>
    <row r="15139" spans="1:3" s="8" customFormat="1" x14ac:dyDescent="0.2">
      <c r="A15139" s="6" t="str">
        <f>"LINC01843"</f>
        <v>LINC01843</v>
      </c>
      <c r="B15139" s="6">
        <v>0.67632367632367596</v>
      </c>
      <c r="C15139" s="6">
        <v>0.78503370020961905</v>
      </c>
    </row>
    <row r="15140" spans="1:3" s="8" customFormat="1" x14ac:dyDescent="0.2">
      <c r="A15140" s="6" t="str">
        <f>"AC023632.2"</f>
        <v>AC023632.2</v>
      </c>
      <c r="B15140" s="6">
        <v>0.67632367632367596</v>
      </c>
      <c r="C15140" s="6">
        <v>0.78503370020961905</v>
      </c>
    </row>
    <row r="15141" spans="1:3" s="8" customFormat="1" x14ac:dyDescent="0.2">
      <c r="A15141" s="6" t="str">
        <f>"AL731577.2"</f>
        <v>AL731577.2</v>
      </c>
      <c r="B15141" s="6">
        <v>0.67632367632367596</v>
      </c>
      <c r="C15141" s="6">
        <v>0.78503370020961905</v>
      </c>
    </row>
    <row r="15142" spans="1:3" s="8" customFormat="1" x14ac:dyDescent="0.2">
      <c r="A15142" s="6" t="str">
        <f>"TMEM217"</f>
        <v>TMEM217</v>
      </c>
      <c r="B15142" s="6">
        <v>0.67632367632367596</v>
      </c>
      <c r="C15142" s="6">
        <v>0.78503370020961905</v>
      </c>
    </row>
    <row r="15143" spans="1:3" s="8" customFormat="1" x14ac:dyDescent="0.2">
      <c r="A15143" s="6" t="str">
        <f>"AC010327.6"</f>
        <v>AC010327.6</v>
      </c>
      <c r="B15143" s="6">
        <v>0.67632367632367596</v>
      </c>
      <c r="C15143" s="6">
        <v>0.78503370020961905</v>
      </c>
    </row>
    <row r="15144" spans="1:3" s="8" customFormat="1" x14ac:dyDescent="0.2">
      <c r="A15144" s="6" t="str">
        <f>"ANO7"</f>
        <v>ANO7</v>
      </c>
      <c r="B15144" s="6">
        <v>0.67632367632367596</v>
      </c>
      <c r="C15144" s="6">
        <v>0.78503370020961905</v>
      </c>
    </row>
    <row r="15145" spans="1:3" s="8" customFormat="1" x14ac:dyDescent="0.2">
      <c r="A15145" s="6" t="str">
        <f>"SUSD3"</f>
        <v>SUSD3</v>
      </c>
      <c r="B15145" s="6">
        <v>0.67632367632367596</v>
      </c>
      <c r="C15145" s="6">
        <v>0.78503370020961905</v>
      </c>
    </row>
    <row r="15146" spans="1:3" s="8" customFormat="1" x14ac:dyDescent="0.2">
      <c r="A15146" s="6" t="str">
        <f>"GEMIN7"</f>
        <v>GEMIN7</v>
      </c>
      <c r="B15146" s="6">
        <v>0.67632367632367596</v>
      </c>
      <c r="C15146" s="6">
        <v>0.78503370020961905</v>
      </c>
    </row>
    <row r="15147" spans="1:3" s="8" customFormat="1" x14ac:dyDescent="0.2">
      <c r="A15147" s="6" t="str">
        <f>"AC005332.6"</f>
        <v>AC005332.6</v>
      </c>
      <c r="B15147" s="6">
        <v>0.67632367632367596</v>
      </c>
      <c r="C15147" s="6">
        <v>0.78503370020961905</v>
      </c>
    </row>
    <row r="15148" spans="1:3" s="8" customFormat="1" x14ac:dyDescent="0.2">
      <c r="A15148" s="6" t="str">
        <f>"ROCK2"</f>
        <v>ROCK2</v>
      </c>
      <c r="B15148" s="6">
        <v>0.67632367632367596</v>
      </c>
      <c r="C15148" s="6">
        <v>0.78503370020961905</v>
      </c>
    </row>
    <row r="15149" spans="1:3" s="8" customFormat="1" x14ac:dyDescent="0.2">
      <c r="A15149" s="6" t="str">
        <f>"PLS1"</f>
        <v>PLS1</v>
      </c>
      <c r="B15149" s="6">
        <v>0.67600000000000005</v>
      </c>
      <c r="C15149" s="6">
        <v>0.78503370020961905</v>
      </c>
    </row>
    <row r="15150" spans="1:3" s="8" customFormat="1" x14ac:dyDescent="0.2">
      <c r="A15150" s="6" t="str">
        <f>"SCGB1A1"</f>
        <v>SCGB1A1</v>
      </c>
      <c r="B15150" s="6">
        <v>0.67632367632367596</v>
      </c>
      <c r="C15150" s="6">
        <v>0.78503370020961905</v>
      </c>
    </row>
    <row r="15151" spans="1:3" s="8" customFormat="1" x14ac:dyDescent="0.2">
      <c r="A15151" s="6" t="str">
        <f>"GDF5"</f>
        <v>GDF5</v>
      </c>
      <c r="B15151" s="6">
        <v>0.67732267732267704</v>
      </c>
      <c r="C15151" s="6">
        <v>0.78567464595566705</v>
      </c>
    </row>
    <row r="15152" spans="1:3" s="8" customFormat="1" x14ac:dyDescent="0.2">
      <c r="A15152" s="6" t="str">
        <f>"FBN3"</f>
        <v>FBN3</v>
      </c>
      <c r="B15152" s="6">
        <v>0.67732267732267704</v>
      </c>
      <c r="C15152" s="6">
        <v>0.78567464595566705</v>
      </c>
    </row>
    <row r="15153" spans="1:3" s="8" customFormat="1" x14ac:dyDescent="0.2">
      <c r="A15153" s="6" t="str">
        <f>"LINC01422"</f>
        <v>LINC01422</v>
      </c>
      <c r="B15153" s="6">
        <v>0.67732267732267704</v>
      </c>
      <c r="C15153" s="6">
        <v>0.78567464595566705</v>
      </c>
    </row>
    <row r="15154" spans="1:3" s="8" customFormat="1" x14ac:dyDescent="0.2">
      <c r="A15154" s="6" t="str">
        <f>"AC090204.1"</f>
        <v>AC090204.1</v>
      </c>
      <c r="B15154" s="6">
        <v>0.67732267732267704</v>
      </c>
      <c r="C15154" s="6">
        <v>0.78567464595566705</v>
      </c>
    </row>
    <row r="15155" spans="1:3" s="8" customFormat="1" x14ac:dyDescent="0.2">
      <c r="A15155" s="6" t="str">
        <f>"PRRX1"</f>
        <v>PRRX1</v>
      </c>
      <c r="B15155" s="6">
        <v>0.67732267732267704</v>
      </c>
      <c r="C15155" s="6">
        <v>0.78567464595566705</v>
      </c>
    </row>
    <row r="15156" spans="1:3" s="8" customFormat="1" x14ac:dyDescent="0.2">
      <c r="A15156" s="6" t="str">
        <f>"NR6A1"</f>
        <v>NR6A1</v>
      </c>
      <c r="B15156" s="6">
        <v>0.67732267732267704</v>
      </c>
      <c r="C15156" s="6">
        <v>0.78567464595566705</v>
      </c>
    </row>
    <row r="15157" spans="1:3" s="8" customFormat="1" x14ac:dyDescent="0.2">
      <c r="A15157" s="6" t="str">
        <f>"PLCB1"</f>
        <v>PLCB1</v>
      </c>
      <c r="B15157" s="6">
        <v>0.67732267732267704</v>
      </c>
      <c r="C15157" s="6">
        <v>0.78567464595566705</v>
      </c>
    </row>
    <row r="15158" spans="1:3" s="8" customFormat="1" x14ac:dyDescent="0.2">
      <c r="A15158" s="6" t="str">
        <f>"FGFR1"</f>
        <v>FGFR1</v>
      </c>
      <c r="B15158" s="6">
        <v>0.67732267732267704</v>
      </c>
      <c r="C15158" s="6">
        <v>0.78567464595566705</v>
      </c>
    </row>
    <row r="15159" spans="1:3" s="8" customFormat="1" x14ac:dyDescent="0.2">
      <c r="A15159" s="6" t="str">
        <f>"AC092445.1"</f>
        <v>AC092445.1</v>
      </c>
      <c r="B15159" s="6">
        <v>0.67732267732267704</v>
      </c>
      <c r="C15159" s="6">
        <v>0.78567464595566705</v>
      </c>
    </row>
    <row r="15160" spans="1:3" s="8" customFormat="1" x14ac:dyDescent="0.2">
      <c r="A15160" s="6" t="str">
        <f>"DYNC1I2"</f>
        <v>DYNC1I2</v>
      </c>
      <c r="B15160" s="6">
        <v>0.67732267732267704</v>
      </c>
      <c r="C15160" s="6">
        <v>0.78567464595566705</v>
      </c>
    </row>
    <row r="15161" spans="1:3" s="8" customFormat="1" x14ac:dyDescent="0.2">
      <c r="A15161" s="6" t="str">
        <f>"PRC1-AS1"</f>
        <v>PRC1-AS1</v>
      </c>
      <c r="B15161" s="6">
        <v>0.678321678321678</v>
      </c>
      <c r="C15161" s="6">
        <v>0.78657401685626405</v>
      </c>
    </row>
    <row r="15162" spans="1:3" s="8" customFormat="1" x14ac:dyDescent="0.2">
      <c r="A15162" s="6" t="str">
        <f>"AL356481.2"</f>
        <v>AL356481.2</v>
      </c>
      <c r="B15162" s="6">
        <v>0.678321678321678</v>
      </c>
      <c r="C15162" s="6">
        <v>0.78657401685626405</v>
      </c>
    </row>
    <row r="15163" spans="1:3" s="8" customFormat="1" x14ac:dyDescent="0.2">
      <c r="A15163" s="6" t="str">
        <f>"ERVMER34-1"</f>
        <v>ERVMER34-1</v>
      </c>
      <c r="B15163" s="6">
        <v>0.678321678321678</v>
      </c>
      <c r="C15163" s="6">
        <v>0.78657401685626405</v>
      </c>
    </row>
    <row r="15164" spans="1:3" s="8" customFormat="1" x14ac:dyDescent="0.2">
      <c r="A15164" s="6" t="str">
        <f>"TMED5"</f>
        <v>TMED5</v>
      </c>
      <c r="B15164" s="6">
        <v>0.678321678321678</v>
      </c>
      <c r="C15164" s="6">
        <v>0.78657401685626405</v>
      </c>
    </row>
    <row r="15165" spans="1:3" s="8" customFormat="1" x14ac:dyDescent="0.2">
      <c r="A15165" s="6" t="str">
        <f>"GANAB"</f>
        <v>GANAB</v>
      </c>
      <c r="B15165" s="6">
        <v>0.678321678321678</v>
      </c>
      <c r="C15165" s="6">
        <v>0.78657401685626405</v>
      </c>
    </row>
    <row r="15166" spans="1:3" s="8" customFormat="1" x14ac:dyDescent="0.2">
      <c r="A15166" s="6" t="str">
        <f>"AC004263.2"</f>
        <v>AC004263.2</v>
      </c>
      <c r="B15166" s="6">
        <v>0.67867867867867804</v>
      </c>
      <c r="C15166" s="6">
        <v>0.78688420716641705</v>
      </c>
    </row>
    <row r="15167" spans="1:3" s="8" customFormat="1" x14ac:dyDescent="0.2">
      <c r="A15167" s="6" t="str">
        <f>"AP000345.2"</f>
        <v>AP000345.2</v>
      </c>
      <c r="B15167" s="6">
        <v>0.67867867867867804</v>
      </c>
      <c r="C15167" s="6">
        <v>0.78688420716641705</v>
      </c>
    </row>
    <row r="15168" spans="1:3" s="8" customFormat="1" x14ac:dyDescent="0.2">
      <c r="A15168" s="6" t="str">
        <f>"LINC02709"</f>
        <v>LINC02709</v>
      </c>
      <c r="B15168" s="6">
        <v>0.67875125881168097</v>
      </c>
      <c r="C15168" s="6">
        <v>0.78691647227168204</v>
      </c>
    </row>
    <row r="15169" spans="1:3" s="8" customFormat="1" x14ac:dyDescent="0.2">
      <c r="A15169" s="6" t="str">
        <f>"AC004076.1"</f>
        <v>AC004076.1</v>
      </c>
      <c r="B15169" s="6">
        <v>0.67932067932067897</v>
      </c>
      <c r="C15169" s="6">
        <v>0.78721331390370497</v>
      </c>
    </row>
    <row r="15170" spans="1:3" s="8" customFormat="1" x14ac:dyDescent="0.2">
      <c r="A15170" s="6" t="str">
        <f>"NR2E3"</f>
        <v>NR2E3</v>
      </c>
      <c r="B15170" s="6">
        <v>0.67932067932067897</v>
      </c>
      <c r="C15170" s="6">
        <v>0.78721331390370497</v>
      </c>
    </row>
    <row r="15171" spans="1:3" s="8" customFormat="1" x14ac:dyDescent="0.2">
      <c r="A15171" s="6" t="str">
        <f>"AC097532.2"</f>
        <v>AC097532.2</v>
      </c>
      <c r="B15171" s="6">
        <v>0.67932067932067897</v>
      </c>
      <c r="C15171" s="6">
        <v>0.78721331390370497</v>
      </c>
    </row>
    <row r="15172" spans="1:3" s="8" customFormat="1" x14ac:dyDescent="0.2">
      <c r="A15172" s="6" t="str">
        <f>"LINC01521"</f>
        <v>LINC01521</v>
      </c>
      <c r="B15172" s="6">
        <v>0.67932067932067897</v>
      </c>
      <c r="C15172" s="6">
        <v>0.78721331390370497</v>
      </c>
    </row>
    <row r="15173" spans="1:3" s="8" customFormat="1" x14ac:dyDescent="0.2">
      <c r="A15173" s="6" t="str">
        <f>"AC104958.2"</f>
        <v>AC104958.2</v>
      </c>
      <c r="B15173" s="6">
        <v>0.67932067932067897</v>
      </c>
      <c r="C15173" s="6">
        <v>0.78721331390370497</v>
      </c>
    </row>
    <row r="15174" spans="1:3" s="8" customFormat="1" x14ac:dyDescent="0.2">
      <c r="A15174" s="6" t="str">
        <f>"TMEM9B"</f>
        <v>TMEM9B</v>
      </c>
      <c r="B15174" s="6">
        <v>0.67932067932067897</v>
      </c>
      <c r="C15174" s="6">
        <v>0.78721331390370497</v>
      </c>
    </row>
    <row r="15175" spans="1:3" s="8" customFormat="1" x14ac:dyDescent="0.2">
      <c r="A15175" s="6" t="str">
        <f>"COMT"</f>
        <v>COMT</v>
      </c>
      <c r="B15175" s="6">
        <v>0.67932067932067897</v>
      </c>
      <c r="C15175" s="6">
        <v>0.78721331390370497</v>
      </c>
    </row>
    <row r="15176" spans="1:3" s="8" customFormat="1" x14ac:dyDescent="0.2">
      <c r="A15176" s="6" t="str">
        <f>"AC020910.5"</f>
        <v>AC020910.5</v>
      </c>
      <c r="B15176" s="6">
        <v>0.67960088691795995</v>
      </c>
      <c r="C15176" s="6">
        <v>0.78748612820859298</v>
      </c>
    </row>
    <row r="15177" spans="1:3" s="8" customFormat="1" x14ac:dyDescent="0.2">
      <c r="A15177" s="6" t="str">
        <f>"AC073283.3"</f>
        <v>AC073283.3</v>
      </c>
      <c r="B15177" s="6">
        <v>0.68031968031968004</v>
      </c>
      <c r="C15177" s="6">
        <v>0.78764427566113004</v>
      </c>
    </row>
    <row r="15178" spans="1:3" s="8" customFormat="1" x14ac:dyDescent="0.2">
      <c r="A15178" s="6" t="str">
        <f>"AC092720.3"</f>
        <v>AC092720.3</v>
      </c>
      <c r="B15178" s="6">
        <v>0.68</v>
      </c>
      <c r="C15178" s="6">
        <v>0.78764427566113004</v>
      </c>
    </row>
    <row r="15179" spans="1:3" s="8" customFormat="1" x14ac:dyDescent="0.2">
      <c r="A15179" s="6" t="str">
        <f>"CORT"</f>
        <v>CORT</v>
      </c>
      <c r="B15179" s="6">
        <v>0.68031968031968004</v>
      </c>
      <c r="C15179" s="6">
        <v>0.78764427566113004</v>
      </c>
    </row>
    <row r="15180" spans="1:3" s="8" customFormat="1" x14ac:dyDescent="0.2">
      <c r="A15180" s="6" t="str">
        <f>"S100A1"</f>
        <v>S100A1</v>
      </c>
      <c r="B15180" s="6">
        <v>0.68031968031968004</v>
      </c>
      <c r="C15180" s="6">
        <v>0.78764427566113004</v>
      </c>
    </row>
    <row r="15181" spans="1:3" s="8" customFormat="1" x14ac:dyDescent="0.2">
      <c r="A15181" s="6" t="str">
        <f>"AC092279.2"</f>
        <v>AC092279.2</v>
      </c>
      <c r="B15181" s="6">
        <v>0.68031968031968004</v>
      </c>
      <c r="C15181" s="6">
        <v>0.78764427566113004</v>
      </c>
    </row>
    <row r="15182" spans="1:3" s="8" customFormat="1" x14ac:dyDescent="0.2">
      <c r="A15182" s="6" t="str">
        <f>"AC104187.1"</f>
        <v>AC104187.1</v>
      </c>
      <c r="B15182" s="6">
        <v>0.68031968031968004</v>
      </c>
      <c r="C15182" s="6">
        <v>0.78764427566113004</v>
      </c>
    </row>
    <row r="15183" spans="1:3" s="8" customFormat="1" x14ac:dyDescent="0.2">
      <c r="A15183" s="6" t="str">
        <f>"ZNF345"</f>
        <v>ZNF345</v>
      </c>
      <c r="B15183" s="6">
        <v>0.68031968031968004</v>
      </c>
      <c r="C15183" s="6">
        <v>0.78764427566113004</v>
      </c>
    </row>
    <row r="15184" spans="1:3" s="8" customFormat="1" x14ac:dyDescent="0.2">
      <c r="A15184" s="6" t="str">
        <f>"RAB30"</f>
        <v>RAB30</v>
      </c>
      <c r="B15184" s="6">
        <v>0.68031968031968004</v>
      </c>
      <c r="C15184" s="6">
        <v>0.78764427566113004</v>
      </c>
    </row>
    <row r="15185" spans="1:3" s="8" customFormat="1" x14ac:dyDescent="0.2">
      <c r="A15185" s="6" t="str">
        <f>"ZNF786"</f>
        <v>ZNF786</v>
      </c>
      <c r="B15185" s="6">
        <v>0.68031968031968004</v>
      </c>
      <c r="C15185" s="6">
        <v>0.78764427566113004</v>
      </c>
    </row>
    <row r="15186" spans="1:3" s="8" customFormat="1" x14ac:dyDescent="0.2">
      <c r="A15186" s="6" t="str">
        <f>"TCEAL1"</f>
        <v>TCEAL1</v>
      </c>
      <c r="B15186" s="6">
        <v>0.68031968031968004</v>
      </c>
      <c r="C15186" s="6">
        <v>0.78764427566113004</v>
      </c>
    </row>
    <row r="15187" spans="1:3" s="8" customFormat="1" x14ac:dyDescent="0.2">
      <c r="A15187" s="6" t="str">
        <f>"LRRC61"</f>
        <v>LRRC61</v>
      </c>
      <c r="B15187" s="6">
        <v>0.68031968031968004</v>
      </c>
      <c r="C15187" s="6">
        <v>0.78764427566113004</v>
      </c>
    </row>
    <row r="15188" spans="1:3" s="8" customFormat="1" x14ac:dyDescent="0.2">
      <c r="A15188" s="6" t="str">
        <f>"PLCH1"</f>
        <v>PLCH1</v>
      </c>
      <c r="B15188" s="6">
        <v>0.68031968031968004</v>
      </c>
      <c r="C15188" s="6">
        <v>0.78764427566113004</v>
      </c>
    </row>
    <row r="15189" spans="1:3" s="8" customFormat="1" x14ac:dyDescent="0.2">
      <c r="A15189" s="6" t="str">
        <f>"SCAF1"</f>
        <v>SCAF1</v>
      </c>
      <c r="B15189" s="6">
        <v>0.68031968031968004</v>
      </c>
      <c r="C15189" s="6">
        <v>0.78764427566113004</v>
      </c>
    </row>
    <row r="15190" spans="1:3" s="8" customFormat="1" x14ac:dyDescent="0.2">
      <c r="A15190" s="6" t="str">
        <f>"AC098476.1"</f>
        <v>AC098476.1</v>
      </c>
      <c r="B15190" s="6">
        <v>0.68082901554404096</v>
      </c>
      <c r="C15190" s="6">
        <v>0.78818206658281798</v>
      </c>
    </row>
    <row r="15191" spans="1:3" s="8" customFormat="1" x14ac:dyDescent="0.2">
      <c r="A15191" s="6" t="str">
        <f>"ZNF674"</f>
        <v>ZNF674</v>
      </c>
      <c r="B15191" s="6">
        <v>0.68131868131868101</v>
      </c>
      <c r="C15191" s="6">
        <v>0.78859318669745204</v>
      </c>
    </row>
    <row r="15192" spans="1:3" s="8" customFormat="1" x14ac:dyDescent="0.2">
      <c r="A15192" s="6" t="str">
        <f>"C16orf70"</f>
        <v>C16orf70</v>
      </c>
      <c r="B15192" s="6">
        <v>0.68131868131868101</v>
      </c>
      <c r="C15192" s="6">
        <v>0.78859318669745204</v>
      </c>
    </row>
    <row r="15193" spans="1:3" s="8" customFormat="1" x14ac:dyDescent="0.2">
      <c r="A15193" s="6" t="str">
        <f>"UTP20"</f>
        <v>UTP20</v>
      </c>
      <c r="B15193" s="6">
        <v>0.68131868131868101</v>
      </c>
      <c r="C15193" s="6">
        <v>0.78859318669745204</v>
      </c>
    </row>
    <row r="15194" spans="1:3" s="8" customFormat="1" x14ac:dyDescent="0.2">
      <c r="A15194" s="6" t="str">
        <f>"AC011462.1"</f>
        <v>AC011462.1</v>
      </c>
      <c r="B15194" s="6">
        <v>0.68231768231768197</v>
      </c>
      <c r="C15194" s="6">
        <v>0.78922997802092598</v>
      </c>
    </row>
    <row r="15195" spans="1:3" s="8" customFormat="1" x14ac:dyDescent="0.2">
      <c r="A15195" s="6" t="str">
        <f>"AL691442.1"</f>
        <v>AL691442.1</v>
      </c>
      <c r="B15195" s="6">
        <v>0.68231768231768197</v>
      </c>
      <c r="C15195" s="6">
        <v>0.78922997802092598</v>
      </c>
    </row>
    <row r="15196" spans="1:3" s="8" customFormat="1" x14ac:dyDescent="0.2">
      <c r="A15196" s="6" t="str">
        <f>"EIF2S3B"</f>
        <v>EIF2S3B</v>
      </c>
      <c r="B15196" s="6">
        <v>0.68200000000000005</v>
      </c>
      <c r="C15196" s="6">
        <v>0.78922997802092598</v>
      </c>
    </row>
    <row r="15197" spans="1:3" s="8" customFormat="1" x14ac:dyDescent="0.2">
      <c r="A15197" s="6" t="str">
        <f>"PTGES3L"</f>
        <v>PTGES3L</v>
      </c>
      <c r="B15197" s="6">
        <v>0.68231768231768197</v>
      </c>
      <c r="C15197" s="6">
        <v>0.78922997802092598</v>
      </c>
    </row>
    <row r="15198" spans="1:3" s="8" customFormat="1" x14ac:dyDescent="0.2">
      <c r="A15198" s="6" t="str">
        <f>"MMP11"</f>
        <v>MMP11</v>
      </c>
      <c r="B15198" s="6">
        <v>0.68231768231768197</v>
      </c>
      <c r="C15198" s="6">
        <v>0.78922997802092598</v>
      </c>
    </row>
    <row r="15199" spans="1:3" s="8" customFormat="1" x14ac:dyDescent="0.2">
      <c r="A15199" s="6" t="str">
        <f>"LRRC8C"</f>
        <v>LRRC8C</v>
      </c>
      <c r="B15199" s="6">
        <v>0.68231768231768197</v>
      </c>
      <c r="C15199" s="6">
        <v>0.78922997802092598</v>
      </c>
    </row>
    <row r="15200" spans="1:3" s="8" customFormat="1" x14ac:dyDescent="0.2">
      <c r="A15200" s="6" t="str">
        <f>"ST7"</f>
        <v>ST7</v>
      </c>
      <c r="B15200" s="6">
        <v>0.68231768231768197</v>
      </c>
      <c r="C15200" s="6">
        <v>0.78922997802092598</v>
      </c>
    </row>
    <row r="15201" spans="1:3" s="8" customFormat="1" x14ac:dyDescent="0.2">
      <c r="A15201" s="6" t="str">
        <f>"CNIH4"</f>
        <v>CNIH4</v>
      </c>
      <c r="B15201" s="6">
        <v>0.68231768231768197</v>
      </c>
      <c r="C15201" s="6">
        <v>0.78922997802092598</v>
      </c>
    </row>
    <row r="15202" spans="1:3" s="8" customFormat="1" x14ac:dyDescent="0.2">
      <c r="A15202" s="6" t="str">
        <f>"EFNA1"</f>
        <v>EFNA1</v>
      </c>
      <c r="B15202" s="6">
        <v>0.68231768231768197</v>
      </c>
      <c r="C15202" s="6">
        <v>0.78922997802092598</v>
      </c>
    </row>
    <row r="15203" spans="1:3" s="8" customFormat="1" x14ac:dyDescent="0.2">
      <c r="A15203" s="6" t="str">
        <f>"MPHOSPH10"</f>
        <v>MPHOSPH10</v>
      </c>
      <c r="B15203" s="6">
        <v>0.68231768231768197</v>
      </c>
      <c r="C15203" s="6">
        <v>0.78922997802092598</v>
      </c>
    </row>
    <row r="15204" spans="1:3" s="8" customFormat="1" x14ac:dyDescent="0.2">
      <c r="A15204" s="6" t="str">
        <f>"DIRC3"</f>
        <v>DIRC3</v>
      </c>
      <c r="B15204" s="6">
        <v>0.68331668331668305</v>
      </c>
      <c r="C15204" s="6">
        <v>0.78991785940704395</v>
      </c>
    </row>
    <row r="15205" spans="1:3" s="8" customFormat="1" x14ac:dyDescent="0.2">
      <c r="A15205" s="6" t="str">
        <f>"MPIG6B"</f>
        <v>MPIG6B</v>
      </c>
      <c r="B15205" s="6">
        <v>0.68331668331668305</v>
      </c>
      <c r="C15205" s="6">
        <v>0.78991785940704395</v>
      </c>
    </row>
    <row r="15206" spans="1:3" s="8" customFormat="1" x14ac:dyDescent="0.2">
      <c r="A15206" s="6" t="str">
        <f>"AL137003.1"</f>
        <v>AL137003.1</v>
      </c>
      <c r="B15206" s="6">
        <v>0.68331668331668305</v>
      </c>
      <c r="C15206" s="6">
        <v>0.78991785940704395</v>
      </c>
    </row>
    <row r="15207" spans="1:3" s="8" customFormat="1" x14ac:dyDescent="0.2">
      <c r="A15207" s="6" t="str">
        <f>"AL590617.2"</f>
        <v>AL590617.2</v>
      </c>
      <c r="B15207" s="6">
        <v>0.68331668331668305</v>
      </c>
      <c r="C15207" s="6">
        <v>0.78991785940704395</v>
      </c>
    </row>
    <row r="15208" spans="1:3" s="8" customFormat="1" x14ac:dyDescent="0.2">
      <c r="A15208" s="6" t="str">
        <f>"CTU2"</f>
        <v>CTU2</v>
      </c>
      <c r="B15208" s="6">
        <v>0.68331668331668305</v>
      </c>
      <c r="C15208" s="6">
        <v>0.78991785940704395</v>
      </c>
    </row>
    <row r="15209" spans="1:3" s="8" customFormat="1" x14ac:dyDescent="0.2">
      <c r="A15209" s="6" t="str">
        <f>"VANGL2"</f>
        <v>VANGL2</v>
      </c>
      <c r="B15209" s="6">
        <v>0.68331668331668305</v>
      </c>
      <c r="C15209" s="6">
        <v>0.78991785940704395</v>
      </c>
    </row>
    <row r="15210" spans="1:3" s="8" customFormat="1" x14ac:dyDescent="0.2">
      <c r="A15210" s="6" t="str">
        <f>"ROCK1"</f>
        <v>ROCK1</v>
      </c>
      <c r="B15210" s="6">
        <v>0.68331668331668305</v>
      </c>
      <c r="C15210" s="6">
        <v>0.78991785940704395</v>
      </c>
    </row>
    <row r="15211" spans="1:3" s="8" customFormat="1" x14ac:dyDescent="0.2">
      <c r="A15211" s="6" t="str">
        <f>"PLD3"</f>
        <v>PLD3</v>
      </c>
      <c r="B15211" s="6">
        <v>0.68331668331668305</v>
      </c>
      <c r="C15211" s="6">
        <v>0.78991785940704395</v>
      </c>
    </row>
    <row r="15212" spans="1:3" s="8" customFormat="1" x14ac:dyDescent="0.2">
      <c r="A15212" s="6" t="str">
        <f>"RPS3"</f>
        <v>RPS3</v>
      </c>
      <c r="B15212" s="6">
        <v>0.68331668331668305</v>
      </c>
      <c r="C15212" s="6">
        <v>0.78991785940704395</v>
      </c>
    </row>
    <row r="15213" spans="1:3" s="8" customFormat="1" x14ac:dyDescent="0.2">
      <c r="A15213" s="6" t="str">
        <f>"AC068669.1"</f>
        <v>AC068669.1</v>
      </c>
      <c r="B15213" s="6">
        <v>0.68389057750759796</v>
      </c>
      <c r="C15213" s="6">
        <v>0.79052931336402898</v>
      </c>
    </row>
    <row r="15214" spans="1:3" s="8" customFormat="1" x14ac:dyDescent="0.2">
      <c r="A15214" s="6" t="str">
        <f>"CRACDL"</f>
        <v>CRACDL</v>
      </c>
      <c r="B15214" s="6">
        <v>0.68400000000000005</v>
      </c>
      <c r="C15214" s="6">
        <v>0.79060382567540899</v>
      </c>
    </row>
    <row r="15215" spans="1:3" s="8" customFormat="1" x14ac:dyDescent="0.2">
      <c r="A15215" s="6" t="str">
        <f>"CD80"</f>
        <v>CD80</v>
      </c>
      <c r="B15215" s="6">
        <v>0.68431568431568401</v>
      </c>
      <c r="C15215" s="6">
        <v>0.79065687581358701</v>
      </c>
    </row>
    <row r="15216" spans="1:3" s="8" customFormat="1" x14ac:dyDescent="0.2">
      <c r="A15216" s="6" t="str">
        <f>"PLCXD2"</f>
        <v>PLCXD2</v>
      </c>
      <c r="B15216" s="6">
        <v>0.68431568431568401</v>
      </c>
      <c r="C15216" s="6">
        <v>0.79065687581358701</v>
      </c>
    </row>
    <row r="15217" spans="1:3" s="8" customFormat="1" x14ac:dyDescent="0.2">
      <c r="A15217" s="6" t="str">
        <f>"AC012313.1"</f>
        <v>AC012313.1</v>
      </c>
      <c r="B15217" s="6">
        <v>0.68431568431568401</v>
      </c>
      <c r="C15217" s="6">
        <v>0.79065687581358701</v>
      </c>
    </row>
    <row r="15218" spans="1:3" s="8" customFormat="1" x14ac:dyDescent="0.2">
      <c r="A15218" s="6" t="str">
        <f>"ATP5PF"</f>
        <v>ATP5PF</v>
      </c>
      <c r="B15218" s="6">
        <v>0.68431568431568401</v>
      </c>
      <c r="C15218" s="6">
        <v>0.79065687581358701</v>
      </c>
    </row>
    <row r="15219" spans="1:3" s="8" customFormat="1" x14ac:dyDescent="0.2">
      <c r="A15219" s="6" t="str">
        <f>"AKT1"</f>
        <v>AKT1</v>
      </c>
      <c r="B15219" s="6">
        <v>0.68431568431568401</v>
      </c>
      <c r="C15219" s="6">
        <v>0.79065687581358701</v>
      </c>
    </row>
    <row r="15220" spans="1:3" s="8" customFormat="1" x14ac:dyDescent="0.2">
      <c r="A15220" s="6" t="str">
        <f>"PTTG1IP"</f>
        <v>PTTG1IP</v>
      </c>
      <c r="B15220" s="6">
        <v>0.68431568431568401</v>
      </c>
      <c r="C15220" s="6">
        <v>0.79065687581358701</v>
      </c>
    </row>
    <row r="15221" spans="1:3" s="8" customFormat="1" x14ac:dyDescent="0.2">
      <c r="A15221" s="6" t="str">
        <f>"IGLV3-10"</f>
        <v>IGLV3-10</v>
      </c>
      <c r="B15221" s="6">
        <v>0.68531468531468498</v>
      </c>
      <c r="C15221" s="6">
        <v>0.79160306290306903</v>
      </c>
    </row>
    <row r="15222" spans="1:3" s="8" customFormat="1" x14ac:dyDescent="0.2">
      <c r="A15222" s="6" t="str">
        <f>"ZNF682"</f>
        <v>ZNF682</v>
      </c>
      <c r="B15222" s="6">
        <v>0.68531468531468498</v>
      </c>
      <c r="C15222" s="6">
        <v>0.79160306290306903</v>
      </c>
    </row>
    <row r="15223" spans="1:3" s="8" customFormat="1" x14ac:dyDescent="0.2">
      <c r="A15223" s="6" t="str">
        <f>"KTI12"</f>
        <v>KTI12</v>
      </c>
      <c r="B15223" s="6">
        <v>0.68531468531468498</v>
      </c>
      <c r="C15223" s="6">
        <v>0.79160306290306903</v>
      </c>
    </row>
    <row r="15224" spans="1:3" s="8" customFormat="1" x14ac:dyDescent="0.2">
      <c r="A15224" s="6" t="str">
        <f>"RPGRIP1L"</f>
        <v>RPGRIP1L</v>
      </c>
      <c r="B15224" s="6">
        <v>0.68531468531468498</v>
      </c>
      <c r="C15224" s="6">
        <v>0.79160306290306903</v>
      </c>
    </row>
    <row r="15225" spans="1:3" s="8" customFormat="1" x14ac:dyDescent="0.2">
      <c r="A15225" s="6" t="str">
        <f>"AL606760.2"</f>
        <v>AL606760.2</v>
      </c>
      <c r="B15225" s="6">
        <v>0.68542713567839197</v>
      </c>
      <c r="C15225" s="6">
        <v>0.79168094809306599</v>
      </c>
    </row>
    <row r="15226" spans="1:3" s="8" customFormat="1" x14ac:dyDescent="0.2">
      <c r="A15226" s="6" t="str">
        <f>"ZNF831"</f>
        <v>ZNF831</v>
      </c>
      <c r="B15226" s="6">
        <v>0.68631368631368606</v>
      </c>
      <c r="C15226" s="6">
        <v>0.79239263691003603</v>
      </c>
    </row>
    <row r="15227" spans="1:3" s="8" customFormat="1" x14ac:dyDescent="0.2">
      <c r="A15227" s="6" t="str">
        <f>"AL359636.2"</f>
        <v>AL359636.2</v>
      </c>
      <c r="B15227" s="6">
        <v>0.68631368631368606</v>
      </c>
      <c r="C15227" s="6">
        <v>0.79239263691003603</v>
      </c>
    </row>
    <row r="15228" spans="1:3" s="8" customFormat="1" x14ac:dyDescent="0.2">
      <c r="A15228" s="6" t="str">
        <f>"AC124947.2"</f>
        <v>AC124947.2</v>
      </c>
      <c r="B15228" s="6">
        <v>0.68631368631368606</v>
      </c>
      <c r="C15228" s="6">
        <v>0.79239263691003603</v>
      </c>
    </row>
    <row r="15229" spans="1:3" s="8" customFormat="1" x14ac:dyDescent="0.2">
      <c r="A15229" s="6" t="str">
        <f>"NUDT19"</f>
        <v>NUDT19</v>
      </c>
      <c r="B15229" s="6">
        <v>0.68631368631368606</v>
      </c>
      <c r="C15229" s="6">
        <v>0.79239263691003603</v>
      </c>
    </row>
    <row r="15230" spans="1:3" s="8" customFormat="1" x14ac:dyDescent="0.2">
      <c r="A15230" s="6" t="str">
        <f>"ETS1"</f>
        <v>ETS1</v>
      </c>
      <c r="B15230" s="6">
        <v>0.68631368631368606</v>
      </c>
      <c r="C15230" s="6">
        <v>0.79239263691003603</v>
      </c>
    </row>
    <row r="15231" spans="1:3" s="8" customFormat="1" x14ac:dyDescent="0.2">
      <c r="A15231" s="6" t="str">
        <f>"SLC50A1"</f>
        <v>SLC50A1</v>
      </c>
      <c r="B15231" s="6">
        <v>0.68631368631368606</v>
      </c>
      <c r="C15231" s="6">
        <v>0.79239263691003603</v>
      </c>
    </row>
    <row r="15232" spans="1:3" s="8" customFormat="1" x14ac:dyDescent="0.2">
      <c r="A15232" s="6" t="str">
        <f>"AC008770.4"</f>
        <v>AC008770.4</v>
      </c>
      <c r="B15232" s="6">
        <v>0.68637274549098104</v>
      </c>
      <c r="C15232" s="6">
        <v>0.79240879500449202</v>
      </c>
    </row>
    <row r="15233" spans="1:3" s="8" customFormat="1" x14ac:dyDescent="0.2">
      <c r="A15233" s="6" t="str">
        <f>"LUADT1"</f>
        <v>LUADT1</v>
      </c>
      <c r="B15233" s="6">
        <v>0.68686868686868596</v>
      </c>
      <c r="C15233" s="6">
        <v>0.79292929292929204</v>
      </c>
    </row>
    <row r="15234" spans="1:3" s="8" customFormat="1" x14ac:dyDescent="0.2">
      <c r="A15234" s="6" t="str">
        <f>"GPI"</f>
        <v>GPI</v>
      </c>
      <c r="B15234" s="6">
        <v>0.68731268731268702</v>
      </c>
      <c r="C15234" s="6">
        <v>0.79338976522722304</v>
      </c>
    </row>
    <row r="15235" spans="1:3" s="8" customFormat="1" x14ac:dyDescent="0.2">
      <c r="A15235" s="6" t="str">
        <f>"AC092718.2"</f>
        <v>AC092718.2</v>
      </c>
      <c r="B15235" s="6">
        <v>0.68831168831168799</v>
      </c>
      <c r="C15235" s="6">
        <v>0.79407379131824696</v>
      </c>
    </row>
    <row r="15236" spans="1:3" s="8" customFormat="1" x14ac:dyDescent="0.2">
      <c r="A15236" s="6" t="str">
        <f>"AL357033.3"</f>
        <v>AL357033.3</v>
      </c>
      <c r="B15236" s="6">
        <v>0.68831168831168799</v>
      </c>
      <c r="C15236" s="6">
        <v>0.79407379131824696</v>
      </c>
    </row>
    <row r="15237" spans="1:3" s="8" customFormat="1" x14ac:dyDescent="0.2">
      <c r="A15237" s="6" t="str">
        <f>"NEURL2"</f>
        <v>NEURL2</v>
      </c>
      <c r="B15237" s="6">
        <v>0.68831168831168799</v>
      </c>
      <c r="C15237" s="6">
        <v>0.79407379131824696</v>
      </c>
    </row>
    <row r="15238" spans="1:3" s="8" customFormat="1" x14ac:dyDescent="0.2">
      <c r="A15238" s="6" t="str">
        <f>"NUDT13"</f>
        <v>NUDT13</v>
      </c>
      <c r="B15238" s="6">
        <v>0.68831168831168799</v>
      </c>
      <c r="C15238" s="6">
        <v>0.79407379131824696</v>
      </c>
    </row>
    <row r="15239" spans="1:3" s="8" customFormat="1" x14ac:dyDescent="0.2">
      <c r="A15239" s="6" t="str">
        <f>"CALHM2"</f>
        <v>CALHM2</v>
      </c>
      <c r="B15239" s="6">
        <v>0.68831168831168799</v>
      </c>
      <c r="C15239" s="6">
        <v>0.79407379131824696</v>
      </c>
    </row>
    <row r="15240" spans="1:3" s="8" customFormat="1" x14ac:dyDescent="0.2">
      <c r="A15240" s="6" t="str">
        <f>"AC139795.1"</f>
        <v>AC139795.1</v>
      </c>
      <c r="B15240" s="6">
        <v>0.68831168831168799</v>
      </c>
      <c r="C15240" s="6">
        <v>0.79407379131824696</v>
      </c>
    </row>
    <row r="15241" spans="1:3" s="8" customFormat="1" x14ac:dyDescent="0.2">
      <c r="A15241" s="6" t="str">
        <f>"EVC2"</f>
        <v>EVC2</v>
      </c>
      <c r="B15241" s="6">
        <v>0.68831168831168799</v>
      </c>
      <c r="C15241" s="6">
        <v>0.79407379131824696</v>
      </c>
    </row>
    <row r="15242" spans="1:3" s="8" customFormat="1" x14ac:dyDescent="0.2">
      <c r="A15242" s="6" t="str">
        <f>"TRIM35"</f>
        <v>TRIM35</v>
      </c>
      <c r="B15242" s="6">
        <v>0.68831168831168799</v>
      </c>
      <c r="C15242" s="6">
        <v>0.79407379131824696</v>
      </c>
    </row>
    <row r="15243" spans="1:3" s="8" customFormat="1" x14ac:dyDescent="0.2">
      <c r="A15243" s="6" t="str">
        <f>"PRSS23"</f>
        <v>PRSS23</v>
      </c>
      <c r="B15243" s="6">
        <v>0.68831168831168799</v>
      </c>
      <c r="C15243" s="6">
        <v>0.79407379131824696</v>
      </c>
    </row>
    <row r="15244" spans="1:3" s="8" customFormat="1" x14ac:dyDescent="0.2">
      <c r="A15244" s="6" t="str">
        <f>"LINC01887"</f>
        <v>LINC01887</v>
      </c>
      <c r="B15244" s="6">
        <v>0.68931068931068895</v>
      </c>
      <c r="C15244" s="6">
        <v>0.79496551195901799</v>
      </c>
    </row>
    <row r="15245" spans="1:3" s="8" customFormat="1" x14ac:dyDescent="0.2">
      <c r="A15245" s="6" t="str">
        <f>"LINC02811"</f>
        <v>LINC02811</v>
      </c>
      <c r="B15245" s="6">
        <v>0.68931068931068895</v>
      </c>
      <c r="C15245" s="6">
        <v>0.79496551195901799</v>
      </c>
    </row>
    <row r="15246" spans="1:3" s="8" customFormat="1" x14ac:dyDescent="0.2">
      <c r="A15246" s="6" t="str">
        <f>"RPS26P19"</f>
        <v>RPS26P19</v>
      </c>
      <c r="B15246" s="6">
        <v>0.68931068931068895</v>
      </c>
      <c r="C15246" s="6">
        <v>0.79496551195901799</v>
      </c>
    </row>
    <row r="15247" spans="1:3" s="8" customFormat="1" x14ac:dyDescent="0.2">
      <c r="A15247" s="6" t="str">
        <f>"AC009126.1"</f>
        <v>AC009126.1</v>
      </c>
      <c r="B15247" s="6">
        <v>0.68931068931068895</v>
      </c>
      <c r="C15247" s="6">
        <v>0.79496551195901799</v>
      </c>
    </row>
    <row r="15248" spans="1:3" s="8" customFormat="1" x14ac:dyDescent="0.2">
      <c r="A15248" s="6" t="str">
        <f>"CMC2"</f>
        <v>CMC2</v>
      </c>
      <c r="B15248" s="6">
        <v>0.68931068931068895</v>
      </c>
      <c r="C15248" s="6">
        <v>0.79496551195901799</v>
      </c>
    </row>
    <row r="15249" spans="1:3" s="8" customFormat="1" x14ac:dyDescent="0.2">
      <c r="A15249" s="6" t="str">
        <f>"SAMMSON"</f>
        <v>SAMMSON</v>
      </c>
      <c r="B15249" s="6">
        <v>0.69030969030969003</v>
      </c>
      <c r="C15249" s="6">
        <v>0.79585664794162003</v>
      </c>
    </row>
    <row r="15250" spans="1:3" s="8" customFormat="1" x14ac:dyDescent="0.2">
      <c r="A15250" s="6" t="str">
        <f>"AL591501.1"</f>
        <v>AL591501.1</v>
      </c>
      <c r="B15250" s="6">
        <v>0.69030969030969003</v>
      </c>
      <c r="C15250" s="6">
        <v>0.79585664794162003</v>
      </c>
    </row>
    <row r="15251" spans="1:3" s="8" customFormat="1" x14ac:dyDescent="0.2">
      <c r="A15251" s="6" t="str">
        <f>"DHRS11"</f>
        <v>DHRS11</v>
      </c>
      <c r="B15251" s="6">
        <v>0.69030969030969003</v>
      </c>
      <c r="C15251" s="6">
        <v>0.79585664794162003</v>
      </c>
    </row>
    <row r="15252" spans="1:3" s="8" customFormat="1" x14ac:dyDescent="0.2">
      <c r="A15252" s="6" t="str">
        <f>"UBE2O"</f>
        <v>UBE2O</v>
      </c>
      <c r="B15252" s="6">
        <v>0.69030969030969003</v>
      </c>
      <c r="C15252" s="6">
        <v>0.79585664794162003</v>
      </c>
    </row>
    <row r="15253" spans="1:3" s="8" customFormat="1" x14ac:dyDescent="0.2">
      <c r="A15253" s="6" t="str">
        <f>"NASP"</f>
        <v>NASP</v>
      </c>
      <c r="B15253" s="6">
        <v>0.69030969030969003</v>
      </c>
      <c r="C15253" s="6">
        <v>0.79585664794162003</v>
      </c>
    </row>
    <row r="15254" spans="1:3" s="8" customFormat="1" x14ac:dyDescent="0.2">
      <c r="A15254" s="6" t="str">
        <f>"AC091607.2"</f>
        <v>AC091607.2</v>
      </c>
      <c r="B15254" s="6">
        <v>0.69066937119675398</v>
      </c>
      <c r="C15254" s="6">
        <v>0.79621911906665699</v>
      </c>
    </row>
    <row r="15255" spans="1:3" s="8" customFormat="1" x14ac:dyDescent="0.2">
      <c r="A15255" s="6" t="str">
        <f>"C4orf17"</f>
        <v>C4orf17</v>
      </c>
      <c r="B15255" s="6">
        <v>0.69130869130869099</v>
      </c>
      <c r="C15255" s="6">
        <v>0.79643399252912395</v>
      </c>
    </row>
    <row r="15256" spans="1:3" s="8" customFormat="1" x14ac:dyDescent="0.2">
      <c r="A15256" s="6" t="str">
        <f>"SMG7-AS1"</f>
        <v>SMG7-AS1</v>
      </c>
      <c r="B15256" s="6">
        <v>0.69130869130869099</v>
      </c>
      <c r="C15256" s="6">
        <v>0.79643399252912395</v>
      </c>
    </row>
    <row r="15257" spans="1:3" s="8" customFormat="1" x14ac:dyDescent="0.2">
      <c r="A15257" s="6" t="str">
        <f>"AL137060.1"</f>
        <v>AL137060.1</v>
      </c>
      <c r="B15257" s="6">
        <v>0.69130869130869099</v>
      </c>
      <c r="C15257" s="6">
        <v>0.79643399252912395</v>
      </c>
    </row>
    <row r="15258" spans="1:3" s="8" customFormat="1" x14ac:dyDescent="0.2">
      <c r="A15258" s="6" t="str">
        <f>"AC120114.4"</f>
        <v>AC120114.4</v>
      </c>
      <c r="B15258" s="6">
        <v>0.69099999999999995</v>
      </c>
      <c r="C15258" s="6">
        <v>0.79643399252912395</v>
      </c>
    </row>
    <row r="15259" spans="1:3" s="8" customFormat="1" x14ac:dyDescent="0.2">
      <c r="A15259" s="6" t="str">
        <f>"AL356235.1"</f>
        <v>AL356235.1</v>
      </c>
      <c r="B15259" s="6">
        <v>0.69130869130869099</v>
      </c>
      <c r="C15259" s="6">
        <v>0.79643399252912395</v>
      </c>
    </row>
    <row r="15260" spans="1:3" s="8" customFormat="1" x14ac:dyDescent="0.2">
      <c r="A15260" s="6" t="str">
        <f>"ZNF462"</f>
        <v>ZNF462</v>
      </c>
      <c r="B15260" s="6">
        <v>0.69130869130869099</v>
      </c>
      <c r="C15260" s="6">
        <v>0.79643399252912395</v>
      </c>
    </row>
    <row r="15261" spans="1:3" s="8" customFormat="1" x14ac:dyDescent="0.2">
      <c r="A15261" s="6" t="str">
        <f>"VANGL1"</f>
        <v>VANGL1</v>
      </c>
      <c r="B15261" s="6">
        <v>0.69130869130869099</v>
      </c>
      <c r="C15261" s="6">
        <v>0.79643399252912395</v>
      </c>
    </row>
    <row r="15262" spans="1:3" s="8" customFormat="1" x14ac:dyDescent="0.2">
      <c r="A15262" s="6" t="str">
        <f>"KIAA1671"</f>
        <v>KIAA1671</v>
      </c>
      <c r="B15262" s="6">
        <v>0.69130869130869099</v>
      </c>
      <c r="C15262" s="6">
        <v>0.79643399252912395</v>
      </c>
    </row>
    <row r="15263" spans="1:3" s="8" customFormat="1" x14ac:dyDescent="0.2">
      <c r="A15263" s="6" t="str">
        <f>"CFAP251"</f>
        <v>CFAP251</v>
      </c>
      <c r="B15263" s="6">
        <v>0.69130869130869099</v>
      </c>
      <c r="C15263" s="6">
        <v>0.79643399252912395</v>
      </c>
    </row>
    <row r="15264" spans="1:3" s="8" customFormat="1" x14ac:dyDescent="0.2">
      <c r="A15264" s="6" t="str">
        <f>"HSPA9"</f>
        <v>HSPA9</v>
      </c>
      <c r="B15264" s="6">
        <v>0.69130869130869099</v>
      </c>
      <c r="C15264" s="6">
        <v>0.79643399252912395</v>
      </c>
    </row>
    <row r="15265" spans="1:3" s="8" customFormat="1" x14ac:dyDescent="0.2">
      <c r="A15265" s="6" t="str">
        <f>"AC090948.1"</f>
        <v>AC090948.1</v>
      </c>
      <c r="B15265" s="6">
        <v>0.69199178644763804</v>
      </c>
      <c r="C15265" s="6">
        <v>0.79712597445135902</v>
      </c>
    </row>
    <row r="15266" spans="1:3" s="8" customFormat="1" x14ac:dyDescent="0.2">
      <c r="A15266" s="6" t="str">
        <f>"WDR54"</f>
        <v>WDR54</v>
      </c>
      <c r="B15266" s="6">
        <v>0.69199999999999995</v>
      </c>
      <c r="C15266" s="6">
        <v>0.79712597445135902</v>
      </c>
    </row>
    <row r="15267" spans="1:3" s="8" customFormat="1" x14ac:dyDescent="0.2">
      <c r="A15267" s="6" t="str">
        <f>"BX088651.4"</f>
        <v>BX088651.4</v>
      </c>
      <c r="B15267" s="6">
        <v>0.69230769230769196</v>
      </c>
      <c r="C15267" s="6">
        <v>0.79737593905406801</v>
      </c>
    </row>
    <row r="15268" spans="1:3" s="8" customFormat="1" x14ac:dyDescent="0.2">
      <c r="A15268" s="6" t="str">
        <f>"ARSB"</f>
        <v>ARSB</v>
      </c>
      <c r="B15268" s="6">
        <v>0.69230769230769196</v>
      </c>
      <c r="C15268" s="6">
        <v>0.79737593905406801</v>
      </c>
    </row>
    <row r="15269" spans="1:3" s="8" customFormat="1" x14ac:dyDescent="0.2">
      <c r="A15269" s="6" t="str">
        <f>"SLC45A2"</f>
        <v>SLC45A2</v>
      </c>
      <c r="B15269" s="6">
        <v>0.69330669330669303</v>
      </c>
      <c r="C15269" s="6">
        <v>0.79795162292871402</v>
      </c>
    </row>
    <row r="15270" spans="1:3" s="8" customFormat="1" x14ac:dyDescent="0.2">
      <c r="A15270" s="6" t="str">
        <f>"AC004585.1"</f>
        <v>AC004585.1</v>
      </c>
      <c r="B15270" s="6">
        <v>0.69330669330669303</v>
      </c>
      <c r="C15270" s="6">
        <v>0.79795162292871402</v>
      </c>
    </row>
    <row r="15271" spans="1:3" s="8" customFormat="1" x14ac:dyDescent="0.2">
      <c r="A15271" s="6" t="str">
        <f>"LINC02601"</f>
        <v>LINC02601</v>
      </c>
      <c r="B15271" s="6">
        <v>0.69299999999999995</v>
      </c>
      <c r="C15271" s="6">
        <v>0.79795162292871402</v>
      </c>
    </row>
    <row r="15272" spans="1:3" s="8" customFormat="1" x14ac:dyDescent="0.2">
      <c r="A15272" s="6" t="str">
        <f>"AC007066.3"</f>
        <v>AC007066.3</v>
      </c>
      <c r="B15272" s="6">
        <v>0.69285714285714195</v>
      </c>
      <c r="C15272" s="6">
        <v>0.79795162292871402</v>
      </c>
    </row>
    <row r="15273" spans="1:3" s="8" customFormat="1" x14ac:dyDescent="0.2">
      <c r="A15273" s="6" t="str">
        <f>"TRIM9"</f>
        <v>TRIM9</v>
      </c>
      <c r="B15273" s="6">
        <v>0.69330669330669303</v>
      </c>
      <c r="C15273" s="6">
        <v>0.79795162292871402</v>
      </c>
    </row>
    <row r="15274" spans="1:3" s="8" customFormat="1" x14ac:dyDescent="0.2">
      <c r="A15274" s="6" t="str">
        <f>"AC000120.3"</f>
        <v>AC000120.3</v>
      </c>
      <c r="B15274" s="6">
        <v>0.69299999999999995</v>
      </c>
      <c r="C15274" s="6">
        <v>0.79795162292871402</v>
      </c>
    </row>
    <row r="15275" spans="1:3" s="8" customFormat="1" x14ac:dyDescent="0.2">
      <c r="A15275" s="6" t="str">
        <f>"AL662844.4"</f>
        <v>AL662844.4</v>
      </c>
      <c r="B15275" s="6">
        <v>0.69330669330669303</v>
      </c>
      <c r="C15275" s="6">
        <v>0.79795162292871402</v>
      </c>
    </row>
    <row r="15276" spans="1:3" s="8" customFormat="1" x14ac:dyDescent="0.2">
      <c r="A15276" s="6" t="str">
        <f>"LINC00641"</f>
        <v>LINC00641</v>
      </c>
      <c r="B15276" s="6">
        <v>0.69330669330669303</v>
      </c>
      <c r="C15276" s="6">
        <v>0.79795162292871402</v>
      </c>
    </row>
    <row r="15277" spans="1:3" s="8" customFormat="1" x14ac:dyDescent="0.2">
      <c r="A15277" s="6" t="str">
        <f>"SLC35B4"</f>
        <v>SLC35B4</v>
      </c>
      <c r="B15277" s="6">
        <v>0.69330669330669303</v>
      </c>
      <c r="C15277" s="6">
        <v>0.79795162292871402</v>
      </c>
    </row>
    <row r="15278" spans="1:3" s="8" customFormat="1" x14ac:dyDescent="0.2">
      <c r="A15278" s="6" t="str">
        <f>"PTPRG"</f>
        <v>PTPRG</v>
      </c>
      <c r="B15278" s="6">
        <v>0.69330669330669303</v>
      </c>
      <c r="C15278" s="6">
        <v>0.79795162292871402</v>
      </c>
    </row>
    <row r="15279" spans="1:3" s="8" customFormat="1" x14ac:dyDescent="0.2">
      <c r="A15279" s="6" t="str">
        <f>"SARS1"</f>
        <v>SARS1</v>
      </c>
      <c r="B15279" s="6">
        <v>0.69330669330669303</v>
      </c>
      <c r="C15279" s="6">
        <v>0.79795162292871402</v>
      </c>
    </row>
    <row r="15280" spans="1:3" s="8" customFormat="1" x14ac:dyDescent="0.2">
      <c r="A15280" s="6" t="str">
        <f>"FAM184B"</f>
        <v>FAM184B</v>
      </c>
      <c r="B15280" s="6">
        <v>0.694305694305694</v>
      </c>
      <c r="C15280" s="6">
        <v>0.79878770797378496</v>
      </c>
    </row>
    <row r="15281" spans="1:3" s="8" customFormat="1" x14ac:dyDescent="0.2">
      <c r="A15281" s="6" t="str">
        <f>"AC121757.1"</f>
        <v>AC121757.1</v>
      </c>
      <c r="B15281" s="6">
        <v>0.694305694305694</v>
      </c>
      <c r="C15281" s="6">
        <v>0.79878770797378496</v>
      </c>
    </row>
    <row r="15282" spans="1:3" s="8" customFormat="1" x14ac:dyDescent="0.2">
      <c r="A15282" s="6" t="str">
        <f>"RPS2P55"</f>
        <v>RPS2P55</v>
      </c>
      <c r="B15282" s="6">
        <v>0.694305694305694</v>
      </c>
      <c r="C15282" s="6">
        <v>0.79878770797378496</v>
      </c>
    </row>
    <row r="15283" spans="1:3" s="8" customFormat="1" x14ac:dyDescent="0.2">
      <c r="A15283" s="6" t="str">
        <f>"COL1A2"</f>
        <v>COL1A2</v>
      </c>
      <c r="B15283" s="6">
        <v>0.694305694305694</v>
      </c>
      <c r="C15283" s="6">
        <v>0.79878770797378496</v>
      </c>
    </row>
    <row r="15284" spans="1:3" s="8" customFormat="1" x14ac:dyDescent="0.2">
      <c r="A15284" s="6" t="str">
        <f>"PARD3B"</f>
        <v>PARD3B</v>
      </c>
      <c r="B15284" s="6">
        <v>0.694305694305694</v>
      </c>
      <c r="C15284" s="6">
        <v>0.79878770797378496</v>
      </c>
    </row>
    <row r="15285" spans="1:3" s="8" customFormat="1" x14ac:dyDescent="0.2">
      <c r="A15285" s="6" t="str">
        <f>"TXNDC12"</f>
        <v>TXNDC12</v>
      </c>
      <c r="B15285" s="6">
        <v>0.694305694305694</v>
      </c>
      <c r="C15285" s="6">
        <v>0.79878770797378496</v>
      </c>
    </row>
    <row r="15286" spans="1:3" s="8" customFormat="1" x14ac:dyDescent="0.2">
      <c r="A15286" s="6" t="str">
        <f>"AC114980.1"</f>
        <v>AC114980.1</v>
      </c>
      <c r="B15286" s="6">
        <v>0.69441624365482202</v>
      </c>
      <c r="C15286" s="6">
        <v>0.79886262534683605</v>
      </c>
    </row>
    <row r="15287" spans="1:3" s="8" customFormat="1" x14ac:dyDescent="0.2">
      <c r="A15287" s="6" t="str">
        <f>"MTRNR2L8"</f>
        <v>MTRNR2L8</v>
      </c>
      <c r="B15287" s="6">
        <v>0.69530469530469496</v>
      </c>
      <c r="C15287" s="6">
        <v>0.79957084312587501</v>
      </c>
    </row>
    <row r="15288" spans="1:3" s="8" customFormat="1" x14ac:dyDescent="0.2">
      <c r="A15288" s="6" t="str">
        <f>"AL078644.1"</f>
        <v>AL078644.1</v>
      </c>
      <c r="B15288" s="6">
        <v>0.69530469530469496</v>
      </c>
      <c r="C15288" s="6">
        <v>0.79957084312587501</v>
      </c>
    </row>
    <row r="15289" spans="1:3" s="8" customFormat="1" x14ac:dyDescent="0.2">
      <c r="A15289" s="6" t="str">
        <f>"CCDC85A"</f>
        <v>CCDC85A</v>
      </c>
      <c r="B15289" s="6">
        <v>0.69530469530469496</v>
      </c>
      <c r="C15289" s="6">
        <v>0.79957084312587501</v>
      </c>
    </row>
    <row r="15290" spans="1:3" s="8" customFormat="1" x14ac:dyDescent="0.2">
      <c r="A15290" s="6" t="str">
        <f>"CCDC171"</f>
        <v>CCDC171</v>
      </c>
      <c r="B15290" s="6">
        <v>0.69530469530469496</v>
      </c>
      <c r="C15290" s="6">
        <v>0.79957084312587501</v>
      </c>
    </row>
    <row r="15291" spans="1:3" s="8" customFormat="1" x14ac:dyDescent="0.2">
      <c r="A15291" s="6" t="str">
        <f>"SAP30"</f>
        <v>SAP30</v>
      </c>
      <c r="B15291" s="6">
        <v>0.69530469530469496</v>
      </c>
      <c r="C15291" s="6">
        <v>0.79957084312587501</v>
      </c>
    </row>
    <row r="15292" spans="1:3" s="8" customFormat="1" x14ac:dyDescent="0.2">
      <c r="A15292" s="6" t="str">
        <f>"TOMM5"</f>
        <v>TOMM5</v>
      </c>
      <c r="B15292" s="6">
        <v>0.69530469530469496</v>
      </c>
      <c r="C15292" s="6">
        <v>0.79957084312587501</v>
      </c>
    </row>
    <row r="15293" spans="1:3" s="8" customFormat="1" x14ac:dyDescent="0.2">
      <c r="A15293" s="6" t="str">
        <f>"LINC01508"</f>
        <v>LINC01508</v>
      </c>
      <c r="B15293" s="6">
        <v>0.69630369630369604</v>
      </c>
      <c r="C15293" s="6">
        <v>0.80040558251972205</v>
      </c>
    </row>
    <row r="15294" spans="1:3" s="8" customFormat="1" x14ac:dyDescent="0.2">
      <c r="A15294" s="6" t="str">
        <f>"TCL6"</f>
        <v>TCL6</v>
      </c>
      <c r="B15294" s="6">
        <v>0.69630369630369604</v>
      </c>
      <c r="C15294" s="6">
        <v>0.80040558251972205</v>
      </c>
    </row>
    <row r="15295" spans="1:3" s="8" customFormat="1" x14ac:dyDescent="0.2">
      <c r="A15295" s="6" t="str">
        <f>"C4orf36"</f>
        <v>C4orf36</v>
      </c>
      <c r="B15295" s="6">
        <v>0.69630369630369604</v>
      </c>
      <c r="C15295" s="6">
        <v>0.80040558251972205</v>
      </c>
    </row>
    <row r="15296" spans="1:3" s="8" customFormat="1" x14ac:dyDescent="0.2">
      <c r="A15296" s="6" t="str">
        <f>"PAPPA2"</f>
        <v>PAPPA2</v>
      </c>
      <c r="B15296" s="6">
        <v>0.69630369630369604</v>
      </c>
      <c r="C15296" s="6">
        <v>0.80040558251972205</v>
      </c>
    </row>
    <row r="15297" spans="1:3" s="8" customFormat="1" x14ac:dyDescent="0.2">
      <c r="A15297" s="6" t="str">
        <f>"EIF4EBP1"</f>
        <v>EIF4EBP1</v>
      </c>
      <c r="B15297" s="6">
        <v>0.69630369630369604</v>
      </c>
      <c r="C15297" s="6">
        <v>0.80040558251972205</v>
      </c>
    </row>
    <row r="15298" spans="1:3" s="8" customFormat="1" x14ac:dyDescent="0.2">
      <c r="A15298" s="6" t="str">
        <f>"GPC1"</f>
        <v>GPC1</v>
      </c>
      <c r="B15298" s="6">
        <v>0.69630369630369604</v>
      </c>
      <c r="C15298" s="6">
        <v>0.80040558251972205</v>
      </c>
    </row>
    <row r="15299" spans="1:3" s="8" customFormat="1" x14ac:dyDescent="0.2">
      <c r="A15299" s="6" t="str">
        <f>"AC025262.1"</f>
        <v>AC025262.1</v>
      </c>
      <c r="B15299" s="6">
        <v>0.69699999999999995</v>
      </c>
      <c r="C15299" s="6">
        <v>0.80115361485161396</v>
      </c>
    </row>
    <row r="15300" spans="1:3" s="8" customFormat="1" x14ac:dyDescent="0.2">
      <c r="A15300" s="6" t="str">
        <f>"RPS3AP21"</f>
        <v>RPS3AP21</v>
      </c>
      <c r="B15300" s="6">
        <v>0.69730269730269701</v>
      </c>
      <c r="C15300" s="6">
        <v>0.80129202910538599</v>
      </c>
    </row>
    <row r="15301" spans="1:3" s="8" customFormat="1" x14ac:dyDescent="0.2">
      <c r="A15301" s="6" t="str">
        <f>"CNKSR2"</f>
        <v>CNKSR2</v>
      </c>
      <c r="B15301" s="6">
        <v>0.69730269730269701</v>
      </c>
      <c r="C15301" s="6">
        <v>0.80129202910538599</v>
      </c>
    </row>
    <row r="15302" spans="1:3" s="8" customFormat="1" x14ac:dyDescent="0.2">
      <c r="A15302" s="6" t="str">
        <f>"AL645924.1"</f>
        <v>AL645924.1</v>
      </c>
      <c r="B15302" s="6">
        <v>0.69730269730269701</v>
      </c>
      <c r="C15302" s="6">
        <v>0.80129202910538599</v>
      </c>
    </row>
    <row r="15303" spans="1:3" s="8" customFormat="1" x14ac:dyDescent="0.2">
      <c r="A15303" s="6" t="str">
        <f>"ORMDL2"</f>
        <v>ORMDL2</v>
      </c>
      <c r="B15303" s="6">
        <v>0.69730269730269701</v>
      </c>
      <c r="C15303" s="6">
        <v>0.80129202910538599</v>
      </c>
    </row>
    <row r="15304" spans="1:3" s="8" customFormat="1" x14ac:dyDescent="0.2">
      <c r="A15304" s="6" t="str">
        <f>"SYNPR"</f>
        <v>SYNPR</v>
      </c>
      <c r="B15304" s="6">
        <v>0.69830169830169797</v>
      </c>
      <c r="C15304" s="6">
        <v>0.802073098369394</v>
      </c>
    </row>
    <row r="15305" spans="1:3" s="8" customFormat="1" x14ac:dyDescent="0.2">
      <c r="A15305" s="6" t="str">
        <f>"AC078815.1"</f>
        <v>AC078815.1</v>
      </c>
      <c r="B15305" s="6">
        <v>0.69830169830169797</v>
      </c>
      <c r="C15305" s="6">
        <v>0.802073098369394</v>
      </c>
    </row>
    <row r="15306" spans="1:3" s="8" customFormat="1" x14ac:dyDescent="0.2">
      <c r="A15306" s="6" t="str">
        <f>"AC087672.2"</f>
        <v>AC087672.2</v>
      </c>
      <c r="B15306" s="6">
        <v>0.69830169830169797</v>
      </c>
      <c r="C15306" s="6">
        <v>0.802073098369394</v>
      </c>
    </row>
    <row r="15307" spans="1:3" s="8" customFormat="1" x14ac:dyDescent="0.2">
      <c r="A15307" s="6" t="str">
        <f>"TMEM231P1"</f>
        <v>TMEM231P1</v>
      </c>
      <c r="B15307" s="6">
        <v>0.69830169830169797</v>
      </c>
      <c r="C15307" s="6">
        <v>0.802073098369394</v>
      </c>
    </row>
    <row r="15308" spans="1:3" s="8" customFormat="1" x14ac:dyDescent="0.2">
      <c r="A15308" s="6" t="str">
        <f>"AC010491.1"</f>
        <v>AC010491.1</v>
      </c>
      <c r="B15308" s="6">
        <v>0.69830169830169797</v>
      </c>
      <c r="C15308" s="6">
        <v>0.802073098369394</v>
      </c>
    </row>
    <row r="15309" spans="1:3" s="8" customFormat="1" x14ac:dyDescent="0.2">
      <c r="A15309" s="6" t="str">
        <f>"SMIM31"</f>
        <v>SMIM31</v>
      </c>
      <c r="B15309" s="6">
        <v>0.69830169830169797</v>
      </c>
      <c r="C15309" s="6">
        <v>0.802073098369394</v>
      </c>
    </row>
    <row r="15310" spans="1:3" s="8" customFormat="1" x14ac:dyDescent="0.2">
      <c r="A15310" s="6" t="str">
        <f>"TAB1"</f>
        <v>TAB1</v>
      </c>
      <c r="B15310" s="6">
        <v>0.69830169830169797</v>
      </c>
      <c r="C15310" s="6">
        <v>0.802073098369394</v>
      </c>
    </row>
    <row r="15311" spans="1:3" s="8" customFormat="1" x14ac:dyDescent="0.2">
      <c r="A15311" s="6" t="str">
        <f>"SFTPD-AS1"</f>
        <v>SFTPD-AS1</v>
      </c>
      <c r="B15311" s="6">
        <v>0.69839679358717399</v>
      </c>
      <c r="C15311" s="6">
        <v>0.80212992935577199</v>
      </c>
    </row>
    <row r="15312" spans="1:3" s="8" customFormat="1" x14ac:dyDescent="0.2">
      <c r="A15312" s="6" t="str">
        <f>"SLC6A1"</f>
        <v>SLC6A1</v>
      </c>
      <c r="B15312" s="6">
        <v>0.69930069930069905</v>
      </c>
      <c r="C15312" s="6">
        <v>0.80264383136445705</v>
      </c>
    </row>
    <row r="15313" spans="1:3" s="8" customFormat="1" x14ac:dyDescent="0.2">
      <c r="A15313" s="6" t="str">
        <f>"AL118511.1"</f>
        <v>AL118511.1</v>
      </c>
      <c r="B15313" s="6">
        <v>0.69930069930069905</v>
      </c>
      <c r="C15313" s="6">
        <v>0.80264383136445705</v>
      </c>
    </row>
    <row r="15314" spans="1:3" s="8" customFormat="1" x14ac:dyDescent="0.2">
      <c r="A15314" s="6" t="str">
        <f>"AC011455.8"</f>
        <v>AC011455.8</v>
      </c>
      <c r="B15314" s="6">
        <v>0.69899999999999995</v>
      </c>
      <c r="C15314" s="6">
        <v>0.80264383136445705</v>
      </c>
    </row>
    <row r="15315" spans="1:3" s="8" customFormat="1" x14ac:dyDescent="0.2">
      <c r="A15315" s="6" t="str">
        <f>"TMEM47"</f>
        <v>TMEM47</v>
      </c>
      <c r="B15315" s="6">
        <v>0.69930069930069905</v>
      </c>
      <c r="C15315" s="6">
        <v>0.80264383136445705</v>
      </c>
    </row>
    <row r="15316" spans="1:3" s="8" customFormat="1" x14ac:dyDescent="0.2">
      <c r="A15316" s="6" t="str">
        <f>"DUSP8"</f>
        <v>DUSP8</v>
      </c>
      <c r="B15316" s="6">
        <v>0.69930069930069905</v>
      </c>
      <c r="C15316" s="6">
        <v>0.80264383136445705</v>
      </c>
    </row>
    <row r="15317" spans="1:3" s="8" customFormat="1" x14ac:dyDescent="0.2">
      <c r="A15317" s="6" t="str">
        <f>"DHFR2"</f>
        <v>DHFR2</v>
      </c>
      <c r="B15317" s="6">
        <v>0.69930069930069905</v>
      </c>
      <c r="C15317" s="6">
        <v>0.80264383136445705</v>
      </c>
    </row>
    <row r="15318" spans="1:3" s="8" customFormat="1" x14ac:dyDescent="0.2">
      <c r="A15318" s="6" t="str">
        <f>"ATG4A"</f>
        <v>ATG4A</v>
      </c>
      <c r="B15318" s="6">
        <v>0.69930069930069905</v>
      </c>
      <c r="C15318" s="6">
        <v>0.80264383136445705</v>
      </c>
    </row>
    <row r="15319" spans="1:3" s="8" customFormat="1" x14ac:dyDescent="0.2">
      <c r="A15319" s="6" t="str">
        <f>"POGLUT3"</f>
        <v>POGLUT3</v>
      </c>
      <c r="B15319" s="6">
        <v>0.69930069930069905</v>
      </c>
      <c r="C15319" s="6">
        <v>0.80264383136445705</v>
      </c>
    </row>
    <row r="15320" spans="1:3" s="8" customFormat="1" x14ac:dyDescent="0.2">
      <c r="A15320" s="6" t="str">
        <f>"ZFAS1"</f>
        <v>ZFAS1</v>
      </c>
      <c r="B15320" s="6">
        <v>0.69930069930069905</v>
      </c>
      <c r="C15320" s="6">
        <v>0.80264383136445705</v>
      </c>
    </row>
    <row r="15321" spans="1:3" s="8" customFormat="1" x14ac:dyDescent="0.2">
      <c r="A15321" s="6" t="str">
        <f>"SZRD1"</f>
        <v>SZRD1</v>
      </c>
      <c r="B15321" s="6">
        <v>0.69930069930069905</v>
      </c>
      <c r="C15321" s="6">
        <v>0.80264383136445705</v>
      </c>
    </row>
    <row r="15322" spans="1:3" s="8" customFormat="1" x14ac:dyDescent="0.2">
      <c r="A15322" s="6" t="str">
        <f>"KIAA0408"</f>
        <v>KIAA0408</v>
      </c>
      <c r="B15322" s="6">
        <v>0.70029970029970001</v>
      </c>
      <c r="C15322" s="6">
        <v>0.80337095055257801</v>
      </c>
    </row>
    <row r="15323" spans="1:3" s="8" customFormat="1" x14ac:dyDescent="0.2">
      <c r="A15323" s="6" t="str">
        <f>"AMDHD2"</f>
        <v>AMDHD2</v>
      </c>
      <c r="B15323" s="6">
        <v>0.70029970029970001</v>
      </c>
      <c r="C15323" s="6">
        <v>0.80337095055257801</v>
      </c>
    </row>
    <row r="15324" spans="1:3" s="8" customFormat="1" x14ac:dyDescent="0.2">
      <c r="A15324" s="6" t="str">
        <f>"ESCO1"</f>
        <v>ESCO1</v>
      </c>
      <c r="B15324" s="6">
        <v>0.70029970029970001</v>
      </c>
      <c r="C15324" s="6">
        <v>0.80337095055257801</v>
      </c>
    </row>
    <row r="15325" spans="1:3" s="8" customFormat="1" x14ac:dyDescent="0.2">
      <c r="A15325" s="6" t="str">
        <f>"CEP120"</f>
        <v>CEP120</v>
      </c>
      <c r="B15325" s="6">
        <v>0.70029970029970001</v>
      </c>
      <c r="C15325" s="6">
        <v>0.80337095055257801</v>
      </c>
    </row>
    <row r="15326" spans="1:3" s="8" customFormat="1" x14ac:dyDescent="0.2">
      <c r="A15326" s="6" t="str">
        <f>"NEU1"</f>
        <v>NEU1</v>
      </c>
      <c r="B15326" s="6">
        <v>0.70029970029970001</v>
      </c>
      <c r="C15326" s="6">
        <v>0.80337095055257801</v>
      </c>
    </row>
    <row r="15327" spans="1:3" s="8" customFormat="1" x14ac:dyDescent="0.2">
      <c r="A15327" s="6" t="str">
        <f>"PIP5K1C"</f>
        <v>PIP5K1C</v>
      </c>
      <c r="B15327" s="6">
        <v>0.70029970029970001</v>
      </c>
      <c r="C15327" s="6">
        <v>0.80337095055257801</v>
      </c>
    </row>
    <row r="15328" spans="1:3" s="8" customFormat="1" x14ac:dyDescent="0.2">
      <c r="A15328" s="6" t="str">
        <f>"HECTD4"</f>
        <v>HECTD4</v>
      </c>
      <c r="B15328" s="6">
        <v>0.70029970029970001</v>
      </c>
      <c r="C15328" s="6">
        <v>0.80337095055257801</v>
      </c>
    </row>
    <row r="15329" spans="1:3" s="8" customFormat="1" x14ac:dyDescent="0.2">
      <c r="A15329" s="6" t="str">
        <f>"PSD4"</f>
        <v>PSD4</v>
      </c>
      <c r="B15329" s="6">
        <v>0.70029970029970001</v>
      </c>
      <c r="C15329" s="6">
        <v>0.80337095055257801</v>
      </c>
    </row>
    <row r="15330" spans="1:3" s="8" customFormat="1" x14ac:dyDescent="0.2">
      <c r="A15330" s="6" t="str">
        <f>"AC010327.7"</f>
        <v>AC010327.7</v>
      </c>
      <c r="B15330" s="6">
        <v>0.70099999999999996</v>
      </c>
      <c r="C15330" s="6">
        <v>0.80409731113956395</v>
      </c>
    </row>
    <row r="15331" spans="1:3" s="8" customFormat="1" x14ac:dyDescent="0.2">
      <c r="A15331" s="6" t="str">
        <f>"AP001462.1"</f>
        <v>AP001462.1</v>
      </c>
      <c r="B15331" s="6">
        <v>0.70110330992978898</v>
      </c>
      <c r="C15331" s="6">
        <v>0.80409731113956395</v>
      </c>
    </row>
    <row r="15332" spans="1:3" s="8" customFormat="1" x14ac:dyDescent="0.2">
      <c r="A15332" s="6" t="str">
        <f>"STMN1"</f>
        <v>STMN1</v>
      </c>
      <c r="B15332" s="6">
        <v>0.70129870129870098</v>
      </c>
      <c r="C15332" s="6">
        <v>0.80409731113956395</v>
      </c>
    </row>
    <row r="15333" spans="1:3" s="8" customFormat="1" x14ac:dyDescent="0.2">
      <c r="A15333" s="6" t="str">
        <f>"WDR59"</f>
        <v>WDR59</v>
      </c>
      <c r="B15333" s="6">
        <v>0.70129870129870098</v>
      </c>
      <c r="C15333" s="6">
        <v>0.80409731113956395</v>
      </c>
    </row>
    <row r="15334" spans="1:3" s="8" customFormat="1" x14ac:dyDescent="0.2">
      <c r="A15334" s="6" t="str">
        <f>"TRMT2A"</f>
        <v>TRMT2A</v>
      </c>
      <c r="B15334" s="6">
        <v>0.70129870129870098</v>
      </c>
      <c r="C15334" s="6">
        <v>0.80409731113956395</v>
      </c>
    </row>
    <row r="15335" spans="1:3" s="8" customFormat="1" x14ac:dyDescent="0.2">
      <c r="A15335" s="6" t="str">
        <f>"SLC35E3"</f>
        <v>SLC35E3</v>
      </c>
      <c r="B15335" s="6">
        <v>0.70129870129870098</v>
      </c>
      <c r="C15335" s="6">
        <v>0.80409731113956395</v>
      </c>
    </row>
    <row r="15336" spans="1:3" s="8" customFormat="1" x14ac:dyDescent="0.2">
      <c r="A15336" s="6" t="str">
        <f>"ZNF687"</f>
        <v>ZNF687</v>
      </c>
      <c r="B15336" s="6">
        <v>0.70129870129870098</v>
      </c>
      <c r="C15336" s="6">
        <v>0.80409731113956395</v>
      </c>
    </row>
    <row r="15337" spans="1:3" s="8" customFormat="1" x14ac:dyDescent="0.2">
      <c r="A15337" s="6" t="str">
        <f>"ILF3"</f>
        <v>ILF3</v>
      </c>
      <c r="B15337" s="6">
        <v>0.70129870129870098</v>
      </c>
      <c r="C15337" s="6">
        <v>0.80409731113956395</v>
      </c>
    </row>
    <row r="15338" spans="1:3" s="8" customFormat="1" x14ac:dyDescent="0.2">
      <c r="A15338" s="6" t="str">
        <f>"AL096854.1"</f>
        <v>AL096854.1</v>
      </c>
      <c r="B15338" s="6">
        <v>0.70140280561122204</v>
      </c>
      <c r="C15338" s="6">
        <v>0.80411180948413896</v>
      </c>
    </row>
    <row r="15339" spans="1:3" s="8" customFormat="1" x14ac:dyDescent="0.2">
      <c r="A15339" s="6" t="str">
        <f>"FAM215B"</f>
        <v>FAM215B</v>
      </c>
      <c r="B15339" s="6">
        <v>0.70140280561122204</v>
      </c>
      <c r="C15339" s="6">
        <v>0.80411180948413896</v>
      </c>
    </row>
    <row r="15340" spans="1:3" s="8" customFormat="1" x14ac:dyDescent="0.2">
      <c r="A15340" s="6" t="str">
        <f>"AC139099.2"</f>
        <v>AC139099.2</v>
      </c>
      <c r="B15340" s="6">
        <v>0.70229770229770205</v>
      </c>
      <c r="C15340" s="6">
        <v>0.80492783191257899</v>
      </c>
    </row>
    <row r="15341" spans="1:3" s="8" customFormat="1" x14ac:dyDescent="0.2">
      <c r="A15341" s="6" t="str">
        <f>"AL360181.3"</f>
        <v>AL360181.3</v>
      </c>
      <c r="B15341" s="6">
        <v>0.70229770229770205</v>
      </c>
      <c r="C15341" s="6">
        <v>0.80492783191257899</v>
      </c>
    </row>
    <row r="15342" spans="1:3" s="8" customFormat="1" x14ac:dyDescent="0.2">
      <c r="A15342" s="6" t="str">
        <f>"AIP"</f>
        <v>AIP</v>
      </c>
      <c r="B15342" s="6">
        <v>0.70229770229770205</v>
      </c>
      <c r="C15342" s="6">
        <v>0.80492783191257899</v>
      </c>
    </row>
    <row r="15343" spans="1:3" s="8" customFormat="1" x14ac:dyDescent="0.2">
      <c r="A15343" s="6" t="str">
        <f>"BFAR"</f>
        <v>BFAR</v>
      </c>
      <c r="B15343" s="6">
        <v>0.70229770229770205</v>
      </c>
      <c r="C15343" s="6">
        <v>0.80492783191257899</v>
      </c>
    </row>
    <row r="15344" spans="1:3" s="8" customFormat="1" x14ac:dyDescent="0.2">
      <c r="A15344" s="6" t="str">
        <f>"AC092919.2"</f>
        <v>AC092919.2</v>
      </c>
      <c r="B15344" s="6">
        <v>0.70270270270270196</v>
      </c>
      <c r="C15344" s="6">
        <v>0.80533952449483903</v>
      </c>
    </row>
    <row r="15345" spans="1:3" s="8" customFormat="1" x14ac:dyDescent="0.2">
      <c r="A15345" s="6" t="str">
        <f>"AL391422.1"</f>
        <v>AL391422.1</v>
      </c>
      <c r="B15345" s="6">
        <v>0.70329670329670302</v>
      </c>
      <c r="C15345" s="6">
        <v>0.80570520755549102</v>
      </c>
    </row>
    <row r="15346" spans="1:3" s="8" customFormat="1" x14ac:dyDescent="0.2">
      <c r="A15346" s="6" t="str">
        <f>"KLRG1"</f>
        <v>KLRG1</v>
      </c>
      <c r="B15346" s="6">
        <v>0.70329670329670302</v>
      </c>
      <c r="C15346" s="6">
        <v>0.80570520755549102</v>
      </c>
    </row>
    <row r="15347" spans="1:3" s="8" customFormat="1" x14ac:dyDescent="0.2">
      <c r="A15347" s="6" t="str">
        <f>"AC005840.3"</f>
        <v>AC005840.3</v>
      </c>
      <c r="B15347" s="6">
        <v>0.70329670329670302</v>
      </c>
      <c r="C15347" s="6">
        <v>0.80570520755549102</v>
      </c>
    </row>
    <row r="15348" spans="1:3" s="8" customFormat="1" x14ac:dyDescent="0.2">
      <c r="A15348" s="6" t="str">
        <f>"ATF7"</f>
        <v>ATF7</v>
      </c>
      <c r="B15348" s="6">
        <v>0.70329670329670302</v>
      </c>
      <c r="C15348" s="6">
        <v>0.80570520755549102</v>
      </c>
    </row>
    <row r="15349" spans="1:3" s="8" customFormat="1" x14ac:dyDescent="0.2">
      <c r="A15349" s="6" t="str">
        <f>"LRRFIP2"</f>
        <v>LRRFIP2</v>
      </c>
      <c r="B15349" s="6">
        <v>0.70329670329670302</v>
      </c>
      <c r="C15349" s="6">
        <v>0.80570520755549102</v>
      </c>
    </row>
    <row r="15350" spans="1:3" s="8" customFormat="1" x14ac:dyDescent="0.2">
      <c r="A15350" s="6" t="str">
        <f>"RPS20"</f>
        <v>RPS20</v>
      </c>
      <c r="B15350" s="6">
        <v>0.70329670329670302</v>
      </c>
      <c r="C15350" s="6">
        <v>0.80570520755549102</v>
      </c>
    </row>
    <row r="15351" spans="1:3" s="8" customFormat="1" x14ac:dyDescent="0.2">
      <c r="A15351" s="6" t="str">
        <f>"NKAIN2"</f>
        <v>NKAIN2</v>
      </c>
      <c r="B15351" s="6">
        <v>0.70370370370370305</v>
      </c>
      <c r="C15351" s="6">
        <v>0.80611895282905</v>
      </c>
    </row>
    <row r="15352" spans="1:3" s="8" customFormat="1" x14ac:dyDescent="0.2">
      <c r="A15352" s="6" t="str">
        <f>"OR52K1"</f>
        <v>OR52K1</v>
      </c>
      <c r="B15352" s="6">
        <v>0.70399999999999996</v>
      </c>
      <c r="C15352" s="6">
        <v>0.80640583675330502</v>
      </c>
    </row>
    <row r="15353" spans="1:3" s="8" customFormat="1" x14ac:dyDescent="0.2">
      <c r="A15353" s="6" t="str">
        <f>"AC005005.3"</f>
        <v>AC005005.3</v>
      </c>
      <c r="B15353" s="6">
        <v>0.70429570429570398</v>
      </c>
      <c r="C15353" s="6">
        <v>0.80648187446832897</v>
      </c>
    </row>
    <row r="15354" spans="1:3" s="8" customFormat="1" x14ac:dyDescent="0.2">
      <c r="A15354" s="6" t="str">
        <f>"TBCEL-TECTA"</f>
        <v>TBCEL-TECTA</v>
      </c>
      <c r="B15354" s="6">
        <v>0.70429570429570398</v>
      </c>
      <c r="C15354" s="6">
        <v>0.80648187446832897</v>
      </c>
    </row>
    <row r="15355" spans="1:3" s="8" customFormat="1" x14ac:dyDescent="0.2">
      <c r="A15355" s="6" t="str">
        <f>"AC083855.2"</f>
        <v>AC083855.2</v>
      </c>
      <c r="B15355" s="6">
        <v>0.70429570429570398</v>
      </c>
      <c r="C15355" s="6">
        <v>0.80648187446832897</v>
      </c>
    </row>
    <row r="15356" spans="1:3" s="8" customFormat="1" x14ac:dyDescent="0.2">
      <c r="A15356" s="6" t="str">
        <f>"TEX30"</f>
        <v>TEX30</v>
      </c>
      <c r="B15356" s="6">
        <v>0.70429570429570398</v>
      </c>
      <c r="C15356" s="6">
        <v>0.80648187446832897</v>
      </c>
    </row>
    <row r="15357" spans="1:3" s="8" customFormat="1" x14ac:dyDescent="0.2">
      <c r="A15357" s="6" t="str">
        <f>"ZNF205"</f>
        <v>ZNF205</v>
      </c>
      <c r="B15357" s="6">
        <v>0.70429570429570398</v>
      </c>
      <c r="C15357" s="6">
        <v>0.80648187446832897</v>
      </c>
    </row>
    <row r="15358" spans="1:3" s="8" customFormat="1" x14ac:dyDescent="0.2">
      <c r="A15358" s="6" t="str">
        <f>"AL021308.1"</f>
        <v>AL021308.1</v>
      </c>
      <c r="B15358" s="6">
        <v>0.70470470470470403</v>
      </c>
      <c r="C15358" s="6">
        <v>0.80689767060802997</v>
      </c>
    </row>
    <row r="15359" spans="1:3" s="8" customFormat="1" x14ac:dyDescent="0.2">
      <c r="A15359" s="6" t="str">
        <f>"KCNK17"</f>
        <v>KCNK17</v>
      </c>
      <c r="B15359" s="6">
        <v>0.70529470529470495</v>
      </c>
      <c r="C15359" s="6">
        <v>0.80720529145418396</v>
      </c>
    </row>
    <row r="15360" spans="1:3" s="8" customFormat="1" x14ac:dyDescent="0.2">
      <c r="A15360" s="6" t="str">
        <f>"PVRIG"</f>
        <v>PVRIG</v>
      </c>
      <c r="B15360" s="6">
        <v>0.70529470529470495</v>
      </c>
      <c r="C15360" s="6">
        <v>0.80720529145418396</v>
      </c>
    </row>
    <row r="15361" spans="1:3" s="8" customFormat="1" x14ac:dyDescent="0.2">
      <c r="A15361" s="6" t="str">
        <f>"AC027801.2"</f>
        <v>AC027801.2</v>
      </c>
      <c r="B15361" s="6">
        <v>0.70529470529470495</v>
      </c>
      <c r="C15361" s="6">
        <v>0.80720529145418396</v>
      </c>
    </row>
    <row r="15362" spans="1:3" s="8" customFormat="1" x14ac:dyDescent="0.2">
      <c r="A15362" s="6" t="str">
        <f>"RAB43P1"</f>
        <v>RAB43P1</v>
      </c>
      <c r="B15362" s="6">
        <v>0.70529470529470495</v>
      </c>
      <c r="C15362" s="6">
        <v>0.80720529145418396</v>
      </c>
    </row>
    <row r="15363" spans="1:3" s="8" customFormat="1" x14ac:dyDescent="0.2">
      <c r="A15363" s="6" t="str">
        <f>"TMEM35A"</f>
        <v>TMEM35A</v>
      </c>
      <c r="B15363" s="6">
        <v>0.70529470529470495</v>
      </c>
      <c r="C15363" s="6">
        <v>0.80720529145418396</v>
      </c>
    </row>
    <row r="15364" spans="1:3" s="8" customFormat="1" x14ac:dyDescent="0.2">
      <c r="A15364" s="6" t="str">
        <f>"LINC00526"</f>
        <v>LINC00526</v>
      </c>
      <c r="B15364" s="6">
        <v>0.70529470529470495</v>
      </c>
      <c r="C15364" s="6">
        <v>0.80720529145418396</v>
      </c>
    </row>
    <row r="15365" spans="1:3" s="8" customFormat="1" x14ac:dyDescent="0.2">
      <c r="A15365" s="6" t="str">
        <f>"APH1A"</f>
        <v>APH1A</v>
      </c>
      <c r="B15365" s="6">
        <v>0.70529470529470495</v>
      </c>
      <c r="C15365" s="6">
        <v>0.80720529145418396</v>
      </c>
    </row>
    <row r="15366" spans="1:3" s="8" customFormat="1" x14ac:dyDescent="0.2">
      <c r="A15366" s="6" t="str">
        <f>"AC111170.3"</f>
        <v>AC111170.3</v>
      </c>
      <c r="B15366" s="6">
        <v>0.70629370629370603</v>
      </c>
      <c r="C15366" s="6">
        <v>0.80787540047281103</v>
      </c>
    </row>
    <row r="15367" spans="1:3" s="8" customFormat="1" x14ac:dyDescent="0.2">
      <c r="A15367" s="6" t="str">
        <f>"SEMA6D"</f>
        <v>SEMA6D</v>
      </c>
      <c r="B15367" s="6">
        <v>0.70629370629370603</v>
      </c>
      <c r="C15367" s="6">
        <v>0.80787540047281103</v>
      </c>
    </row>
    <row r="15368" spans="1:3" s="8" customFormat="1" x14ac:dyDescent="0.2">
      <c r="A15368" s="6" t="str">
        <f>"ITGB3"</f>
        <v>ITGB3</v>
      </c>
      <c r="B15368" s="6">
        <v>0.70599999999999996</v>
      </c>
      <c r="C15368" s="6">
        <v>0.80787540047281103</v>
      </c>
    </row>
    <row r="15369" spans="1:3" s="8" customFormat="1" x14ac:dyDescent="0.2">
      <c r="A15369" s="6" t="str">
        <f>"IGSF11"</f>
        <v>IGSF11</v>
      </c>
      <c r="B15369" s="6">
        <v>0.70629370629370603</v>
      </c>
      <c r="C15369" s="6">
        <v>0.80787540047281103</v>
      </c>
    </row>
    <row r="15370" spans="1:3" s="8" customFormat="1" x14ac:dyDescent="0.2">
      <c r="A15370" s="6" t="str">
        <f>"RASGEF1A"</f>
        <v>RASGEF1A</v>
      </c>
      <c r="B15370" s="6">
        <v>0.70629370629370603</v>
      </c>
      <c r="C15370" s="6">
        <v>0.80787540047281103</v>
      </c>
    </row>
    <row r="15371" spans="1:3" s="8" customFormat="1" x14ac:dyDescent="0.2">
      <c r="A15371" s="6" t="str">
        <f>"FAM182B"</f>
        <v>FAM182B</v>
      </c>
      <c r="B15371" s="6">
        <v>0.70629370629370603</v>
      </c>
      <c r="C15371" s="6">
        <v>0.80787540047281103</v>
      </c>
    </row>
    <row r="15372" spans="1:3" s="8" customFormat="1" x14ac:dyDescent="0.2">
      <c r="A15372" s="6" t="str">
        <f>"ANAPC10"</f>
        <v>ANAPC10</v>
      </c>
      <c r="B15372" s="6">
        <v>0.70629370629370603</v>
      </c>
      <c r="C15372" s="6">
        <v>0.80787540047281103</v>
      </c>
    </row>
    <row r="15373" spans="1:3" s="8" customFormat="1" x14ac:dyDescent="0.2">
      <c r="A15373" s="6" t="str">
        <f>"EFNB1"</f>
        <v>EFNB1</v>
      </c>
      <c r="B15373" s="6">
        <v>0.70629370629370603</v>
      </c>
      <c r="C15373" s="6">
        <v>0.80787540047281103</v>
      </c>
    </row>
    <row r="15374" spans="1:3" s="8" customFormat="1" x14ac:dyDescent="0.2">
      <c r="A15374" s="6" t="str">
        <f>"RNF216"</f>
        <v>RNF216</v>
      </c>
      <c r="B15374" s="6">
        <v>0.70629370629370603</v>
      </c>
      <c r="C15374" s="6">
        <v>0.80787540047281103</v>
      </c>
    </row>
    <row r="15375" spans="1:3" s="8" customFormat="1" x14ac:dyDescent="0.2">
      <c r="A15375" s="6" t="str">
        <f>"TFDP1P2"</f>
        <v>TFDP1P2</v>
      </c>
      <c r="B15375" s="6">
        <v>0.70682730923694703</v>
      </c>
      <c r="C15375" s="6">
        <v>0.80843316024603096</v>
      </c>
    </row>
    <row r="15376" spans="1:3" s="8" customFormat="1" x14ac:dyDescent="0.2">
      <c r="A15376" s="6" t="str">
        <f>"AC007638.2"</f>
        <v>AC007638.2</v>
      </c>
      <c r="B15376" s="6">
        <v>0.70699999999999996</v>
      </c>
      <c r="C15376" s="6">
        <v>0.80852549427679499</v>
      </c>
    </row>
    <row r="15377" spans="1:3" s="8" customFormat="1" x14ac:dyDescent="0.2">
      <c r="A15377" s="6" t="str">
        <f>"TTC26"</f>
        <v>TTC26</v>
      </c>
      <c r="B15377" s="6">
        <v>0.70699999999999996</v>
      </c>
      <c r="C15377" s="6">
        <v>0.80852549427679499</v>
      </c>
    </row>
    <row r="15378" spans="1:3" s="8" customFormat="1" x14ac:dyDescent="0.2">
      <c r="A15378" s="6" t="str">
        <f>"TMPRSS12"</f>
        <v>TMPRSS12</v>
      </c>
      <c r="B15378" s="6">
        <v>0.70729270729270699</v>
      </c>
      <c r="C15378" s="6">
        <v>0.80864986768757896</v>
      </c>
    </row>
    <row r="15379" spans="1:3" s="8" customFormat="1" x14ac:dyDescent="0.2">
      <c r="A15379" s="6" t="str">
        <f>"KISS1"</f>
        <v>KISS1</v>
      </c>
      <c r="B15379" s="6">
        <v>0.70729270729270699</v>
      </c>
      <c r="C15379" s="6">
        <v>0.80864986768757896</v>
      </c>
    </row>
    <row r="15380" spans="1:3" s="8" customFormat="1" x14ac:dyDescent="0.2">
      <c r="A15380" s="6" t="str">
        <f>"GCC1"</f>
        <v>GCC1</v>
      </c>
      <c r="B15380" s="6">
        <v>0.70729270729270699</v>
      </c>
      <c r="C15380" s="6">
        <v>0.80864986768757896</v>
      </c>
    </row>
    <row r="15381" spans="1:3" s="8" customFormat="1" x14ac:dyDescent="0.2">
      <c r="A15381" s="6" t="str">
        <f>"UBE2D2"</f>
        <v>UBE2D2</v>
      </c>
      <c r="B15381" s="6">
        <v>0.70729270729270699</v>
      </c>
      <c r="C15381" s="6">
        <v>0.80864986768757896</v>
      </c>
    </row>
    <row r="15382" spans="1:3" s="8" customFormat="1" x14ac:dyDescent="0.2">
      <c r="A15382" s="6" t="str">
        <f>"LINC01545"</f>
        <v>LINC01545</v>
      </c>
      <c r="B15382" s="6">
        <v>0.70799999999999996</v>
      </c>
      <c r="C15382" s="6">
        <v>0.80940589038424005</v>
      </c>
    </row>
    <row r="15383" spans="1:3" s="8" customFormat="1" x14ac:dyDescent="0.2">
      <c r="A15383" s="6" t="str">
        <f>"AC103974.1"</f>
        <v>AC103974.1</v>
      </c>
      <c r="B15383" s="6">
        <v>0.70829170829170796</v>
      </c>
      <c r="C15383" s="6">
        <v>0.80958147416805704</v>
      </c>
    </row>
    <row r="15384" spans="1:3" s="8" customFormat="1" x14ac:dyDescent="0.2">
      <c r="A15384" s="6" t="str">
        <f>"AC021037.1"</f>
        <v>AC021037.1</v>
      </c>
      <c r="B15384" s="6">
        <v>0.70828331332533001</v>
      </c>
      <c r="C15384" s="6">
        <v>0.80958147416805704</v>
      </c>
    </row>
    <row r="15385" spans="1:3" s="8" customFormat="1" x14ac:dyDescent="0.2">
      <c r="A15385" s="6" t="str">
        <f>"ZNF826P"</f>
        <v>ZNF826P</v>
      </c>
      <c r="B15385" s="6">
        <v>0.70829170829170796</v>
      </c>
      <c r="C15385" s="6">
        <v>0.80958147416805704</v>
      </c>
    </row>
    <row r="15386" spans="1:3" s="8" customFormat="1" x14ac:dyDescent="0.2">
      <c r="A15386" s="6" t="str">
        <f>"AL032819.2"</f>
        <v>AL032819.2</v>
      </c>
      <c r="B15386" s="6">
        <v>0.70929070929070903</v>
      </c>
      <c r="C15386" s="6">
        <v>0.81030196414811795</v>
      </c>
    </row>
    <row r="15387" spans="1:3" s="8" customFormat="1" x14ac:dyDescent="0.2">
      <c r="A15387" s="6" t="str">
        <f>"DUXAP9"</f>
        <v>DUXAP9</v>
      </c>
      <c r="B15387" s="6">
        <v>0.70929070929070903</v>
      </c>
      <c r="C15387" s="6">
        <v>0.81030196414811795</v>
      </c>
    </row>
    <row r="15388" spans="1:3" s="8" customFormat="1" x14ac:dyDescent="0.2">
      <c r="A15388" s="6" t="str">
        <f>"AC104581.4"</f>
        <v>AC104581.4</v>
      </c>
      <c r="B15388" s="6">
        <v>0.70929070929070903</v>
      </c>
      <c r="C15388" s="6">
        <v>0.81030196414811795</v>
      </c>
    </row>
    <row r="15389" spans="1:3" s="8" customFormat="1" x14ac:dyDescent="0.2">
      <c r="A15389" s="6" t="str">
        <f>"RBMS3"</f>
        <v>RBMS3</v>
      </c>
      <c r="B15389" s="6">
        <v>0.70929070929070903</v>
      </c>
      <c r="C15389" s="6">
        <v>0.81030196414811795</v>
      </c>
    </row>
    <row r="15390" spans="1:3" s="8" customFormat="1" x14ac:dyDescent="0.2">
      <c r="A15390" s="6" t="str">
        <f>"AF117829.1"</f>
        <v>AF117829.1</v>
      </c>
      <c r="B15390" s="6">
        <v>0.70899999999999996</v>
      </c>
      <c r="C15390" s="6">
        <v>0.81030196414811795</v>
      </c>
    </row>
    <row r="15391" spans="1:3" s="8" customFormat="1" x14ac:dyDescent="0.2">
      <c r="A15391" s="6" t="str">
        <f>"GRM5"</f>
        <v>GRM5</v>
      </c>
      <c r="B15391" s="6">
        <v>0.70929070929070903</v>
      </c>
      <c r="C15391" s="6">
        <v>0.81030196414811795</v>
      </c>
    </row>
    <row r="15392" spans="1:3" s="8" customFormat="1" x14ac:dyDescent="0.2">
      <c r="A15392" s="6" t="str">
        <f>"ACAD9"</f>
        <v>ACAD9</v>
      </c>
      <c r="B15392" s="6">
        <v>0.70929070929070903</v>
      </c>
      <c r="C15392" s="6">
        <v>0.81030196414811795</v>
      </c>
    </row>
    <row r="15393" spans="1:3" s="8" customFormat="1" x14ac:dyDescent="0.2">
      <c r="A15393" s="6" t="str">
        <f>"TUBGCP6"</f>
        <v>TUBGCP6</v>
      </c>
      <c r="B15393" s="6">
        <v>0.70929070929070903</v>
      </c>
      <c r="C15393" s="6">
        <v>0.81030196414811795</v>
      </c>
    </row>
    <row r="15394" spans="1:3" s="8" customFormat="1" x14ac:dyDescent="0.2">
      <c r="A15394" s="6" t="str">
        <f>"DDX3Y"</f>
        <v>DDX3Y</v>
      </c>
      <c r="B15394" s="6">
        <v>0.70995145631067902</v>
      </c>
      <c r="C15394" s="6">
        <v>0.81100411925985705</v>
      </c>
    </row>
    <row r="15395" spans="1:3" s="8" customFormat="1" x14ac:dyDescent="0.2">
      <c r="A15395" s="6" t="str">
        <f>"AC092718.1"</f>
        <v>AC092718.1</v>
      </c>
      <c r="B15395" s="6">
        <v>0.71</v>
      </c>
      <c r="C15395" s="6">
        <v>0.81100688579966196</v>
      </c>
    </row>
    <row r="15396" spans="1:3" s="8" customFormat="1" x14ac:dyDescent="0.2">
      <c r="A15396" s="6" t="str">
        <f>"AL139407.1"</f>
        <v>AL139407.1</v>
      </c>
      <c r="B15396" s="6">
        <v>0.71028971028971</v>
      </c>
      <c r="C15396" s="6">
        <v>0.81102170556716002</v>
      </c>
    </row>
    <row r="15397" spans="1:3" s="8" customFormat="1" x14ac:dyDescent="0.2">
      <c r="A15397" s="6" t="str">
        <f>"SAP30L-AS1"</f>
        <v>SAP30L-AS1</v>
      </c>
      <c r="B15397" s="6">
        <v>0.71028971028971</v>
      </c>
      <c r="C15397" s="6">
        <v>0.81102170556716002</v>
      </c>
    </row>
    <row r="15398" spans="1:3" s="8" customFormat="1" x14ac:dyDescent="0.2">
      <c r="A15398" s="6" t="str">
        <f>"DLG1-AS1"</f>
        <v>DLG1-AS1</v>
      </c>
      <c r="B15398" s="6">
        <v>0.71028971028971</v>
      </c>
      <c r="C15398" s="6">
        <v>0.81102170556716002</v>
      </c>
    </row>
    <row r="15399" spans="1:3" s="8" customFormat="1" x14ac:dyDescent="0.2">
      <c r="A15399" s="6" t="str">
        <f>"POLR1C"</f>
        <v>POLR1C</v>
      </c>
      <c r="B15399" s="6">
        <v>0.71028971028971</v>
      </c>
      <c r="C15399" s="6">
        <v>0.81102170556716002</v>
      </c>
    </row>
    <row r="15400" spans="1:3" s="8" customFormat="1" x14ac:dyDescent="0.2">
      <c r="A15400" s="6" t="str">
        <f>"SLC24A1"</f>
        <v>SLC24A1</v>
      </c>
      <c r="B15400" s="6">
        <v>0.71028971028971</v>
      </c>
      <c r="C15400" s="6">
        <v>0.81102170556716002</v>
      </c>
    </row>
    <row r="15401" spans="1:3" s="8" customFormat="1" x14ac:dyDescent="0.2">
      <c r="A15401" s="6" t="str">
        <f>"STT3A"</f>
        <v>STT3A</v>
      </c>
      <c r="B15401" s="6">
        <v>0.71028971028971</v>
      </c>
      <c r="C15401" s="6">
        <v>0.81102170556716002</v>
      </c>
    </row>
    <row r="15402" spans="1:3" s="8" customFormat="1" x14ac:dyDescent="0.2">
      <c r="A15402" s="6" t="str">
        <f>"AC008695.1"</f>
        <v>AC008695.1</v>
      </c>
      <c r="B15402" s="6">
        <v>0.71063829787234001</v>
      </c>
      <c r="C15402" s="6">
        <v>0.81136704303533702</v>
      </c>
    </row>
    <row r="15403" spans="1:3" s="8" customFormat="1" x14ac:dyDescent="0.2">
      <c r="A15403" s="6" t="str">
        <f>"AL590666.3"</f>
        <v>AL590666.3</v>
      </c>
      <c r="B15403" s="6">
        <v>0.71092951991828401</v>
      </c>
      <c r="C15403" s="6">
        <v>0.81164684315303803</v>
      </c>
    </row>
    <row r="15404" spans="1:3" s="8" customFormat="1" x14ac:dyDescent="0.2">
      <c r="A15404" s="6" t="str">
        <f>"CHMP1B2P"</f>
        <v>CHMP1B2P</v>
      </c>
      <c r="B15404" s="6">
        <v>0.71128871128871096</v>
      </c>
      <c r="C15404" s="6">
        <v>0.81174069959116602</v>
      </c>
    </row>
    <row r="15405" spans="1:3" s="8" customFormat="1" x14ac:dyDescent="0.2">
      <c r="A15405" s="6" t="str">
        <f>"AC048341.1"</f>
        <v>AC048341.1</v>
      </c>
      <c r="B15405" s="6">
        <v>0.71128871128871096</v>
      </c>
      <c r="C15405" s="6">
        <v>0.81174069959116602</v>
      </c>
    </row>
    <row r="15406" spans="1:3" s="8" customFormat="1" x14ac:dyDescent="0.2">
      <c r="A15406" s="6" t="str">
        <f>"TEX55"</f>
        <v>TEX55</v>
      </c>
      <c r="B15406" s="6">
        <v>0.71128871128871096</v>
      </c>
      <c r="C15406" s="6">
        <v>0.81174069959116602</v>
      </c>
    </row>
    <row r="15407" spans="1:3" s="8" customFormat="1" x14ac:dyDescent="0.2">
      <c r="A15407" s="6" t="str">
        <f>"CNKSR3"</f>
        <v>CNKSR3</v>
      </c>
      <c r="B15407" s="6">
        <v>0.71128871128871096</v>
      </c>
      <c r="C15407" s="6">
        <v>0.81174069959116602</v>
      </c>
    </row>
    <row r="15408" spans="1:3" s="8" customFormat="1" x14ac:dyDescent="0.2">
      <c r="A15408" s="6" t="str">
        <f>"ARRB1"</f>
        <v>ARRB1</v>
      </c>
      <c r="B15408" s="6">
        <v>0.71128871128871096</v>
      </c>
      <c r="C15408" s="6">
        <v>0.81174069959116602</v>
      </c>
    </row>
    <row r="15409" spans="1:3" s="8" customFormat="1" x14ac:dyDescent="0.2">
      <c r="A15409" s="6" t="str">
        <f>"EIF3J"</f>
        <v>EIF3J</v>
      </c>
      <c r="B15409" s="6">
        <v>0.71128871128871096</v>
      </c>
      <c r="C15409" s="6">
        <v>0.81174069959116602</v>
      </c>
    </row>
    <row r="15410" spans="1:3" s="8" customFormat="1" x14ac:dyDescent="0.2">
      <c r="A15410" s="6" t="str">
        <f>"AP003559.1"</f>
        <v>AP003559.1</v>
      </c>
      <c r="B15410" s="6">
        <v>0.71228771228771204</v>
      </c>
      <c r="C15410" s="6">
        <v>0.81261708511432695</v>
      </c>
    </row>
    <row r="15411" spans="1:3" s="8" customFormat="1" x14ac:dyDescent="0.2">
      <c r="A15411" s="6" t="str">
        <f>"TAT-AS1"</f>
        <v>TAT-AS1</v>
      </c>
      <c r="B15411" s="6">
        <v>0.71228771228771204</v>
      </c>
      <c r="C15411" s="6">
        <v>0.81261708511432695</v>
      </c>
    </row>
    <row r="15412" spans="1:3" s="8" customFormat="1" x14ac:dyDescent="0.2">
      <c r="A15412" s="6" t="str">
        <f>"AL121603.2"</f>
        <v>AL121603.2</v>
      </c>
      <c r="B15412" s="6">
        <v>0.71228771228771204</v>
      </c>
      <c r="C15412" s="6">
        <v>0.81261708511432695</v>
      </c>
    </row>
    <row r="15413" spans="1:3" s="8" customFormat="1" x14ac:dyDescent="0.2">
      <c r="A15413" s="6" t="str">
        <f>"CXCL9"</f>
        <v>CXCL9</v>
      </c>
      <c r="B15413" s="6">
        <v>0.71228771228771204</v>
      </c>
      <c r="C15413" s="6">
        <v>0.81261708511432695</v>
      </c>
    </row>
    <row r="15414" spans="1:3" s="8" customFormat="1" x14ac:dyDescent="0.2">
      <c r="A15414" s="6" t="str">
        <f>"TBRG4"</f>
        <v>TBRG4</v>
      </c>
      <c r="B15414" s="6">
        <v>0.71228771228771204</v>
      </c>
      <c r="C15414" s="6">
        <v>0.81261708511432695</v>
      </c>
    </row>
    <row r="15415" spans="1:3" s="8" customFormat="1" x14ac:dyDescent="0.2">
      <c r="A15415" s="6" t="str">
        <f>"GGT2"</f>
        <v>GGT2</v>
      </c>
      <c r="B15415" s="6">
        <v>0.713286713286713</v>
      </c>
      <c r="C15415" s="6">
        <v>0.81349290222036297</v>
      </c>
    </row>
    <row r="15416" spans="1:3" s="8" customFormat="1" x14ac:dyDescent="0.2">
      <c r="A15416" s="6" t="str">
        <f>"FGF20"</f>
        <v>FGF20</v>
      </c>
      <c r="B15416" s="6">
        <v>0.713286713286713</v>
      </c>
      <c r="C15416" s="6">
        <v>0.81349290222036297</v>
      </c>
    </row>
    <row r="15417" spans="1:3" s="8" customFormat="1" x14ac:dyDescent="0.2">
      <c r="A15417" s="6" t="str">
        <f>"FAM178B"</f>
        <v>FAM178B</v>
      </c>
      <c r="B15417" s="6">
        <v>0.713286713286713</v>
      </c>
      <c r="C15417" s="6">
        <v>0.81349290222036297</v>
      </c>
    </row>
    <row r="15418" spans="1:3" s="8" customFormat="1" x14ac:dyDescent="0.2">
      <c r="A15418" s="6" t="str">
        <f>"SYCP2"</f>
        <v>SYCP2</v>
      </c>
      <c r="B15418" s="6">
        <v>0.713286713286713</v>
      </c>
      <c r="C15418" s="6">
        <v>0.81349290222036297</v>
      </c>
    </row>
    <row r="15419" spans="1:3" s="8" customFormat="1" x14ac:dyDescent="0.2">
      <c r="A15419" s="6" t="str">
        <f>"DBN1"</f>
        <v>DBN1</v>
      </c>
      <c r="B15419" s="6">
        <v>0.713286713286713</v>
      </c>
      <c r="C15419" s="6">
        <v>0.81349290222036297</v>
      </c>
    </row>
    <row r="15420" spans="1:3" s="8" customFormat="1" x14ac:dyDescent="0.2">
      <c r="A15420" s="6" t="str">
        <f>"BMS1P12"</f>
        <v>BMS1P12</v>
      </c>
      <c r="B15420" s="6">
        <v>0.71428571428571397</v>
      </c>
      <c r="C15420" s="6">
        <v>0.81452658884565499</v>
      </c>
    </row>
    <row r="15421" spans="1:3" s="8" customFormat="1" x14ac:dyDescent="0.2">
      <c r="A15421" s="6" t="str">
        <f>"UBE2L5"</f>
        <v>UBE2L5</v>
      </c>
      <c r="B15421" s="6">
        <v>0.71428571428571397</v>
      </c>
      <c r="C15421" s="6">
        <v>0.81452658884565499</v>
      </c>
    </row>
    <row r="15422" spans="1:3" s="8" customFormat="1" x14ac:dyDescent="0.2">
      <c r="A15422" s="6" t="str">
        <f>"PCDHA9"</f>
        <v>PCDHA9</v>
      </c>
      <c r="B15422" s="6">
        <v>0.71471471471471404</v>
      </c>
      <c r="C15422" s="6">
        <v>0.814962942970205</v>
      </c>
    </row>
    <row r="15423" spans="1:3" s="8" customFormat="1" x14ac:dyDescent="0.2">
      <c r="A15423" s="6" t="str">
        <f>"GBA3"</f>
        <v>GBA3</v>
      </c>
      <c r="B15423" s="6">
        <v>0.71528471528471504</v>
      </c>
      <c r="C15423" s="6">
        <v>0.81513716354934695</v>
      </c>
    </row>
    <row r="15424" spans="1:3" s="8" customFormat="1" x14ac:dyDescent="0.2">
      <c r="A15424" s="6" t="str">
        <f>"AL356019.2"</f>
        <v>AL356019.2</v>
      </c>
      <c r="B15424" s="6">
        <v>0.71499999999999997</v>
      </c>
      <c r="C15424" s="6">
        <v>0.81513716354934695</v>
      </c>
    </row>
    <row r="15425" spans="1:3" s="8" customFormat="1" x14ac:dyDescent="0.2">
      <c r="A15425" s="6" t="str">
        <f>"RIPOR3"</f>
        <v>RIPOR3</v>
      </c>
      <c r="B15425" s="6">
        <v>0.71528471528471504</v>
      </c>
      <c r="C15425" s="6">
        <v>0.81513716354934695</v>
      </c>
    </row>
    <row r="15426" spans="1:3" s="8" customFormat="1" x14ac:dyDescent="0.2">
      <c r="A15426" s="6" t="str">
        <f>"DAPL1"</f>
        <v>DAPL1</v>
      </c>
      <c r="B15426" s="6">
        <v>0.71528471528471504</v>
      </c>
      <c r="C15426" s="6">
        <v>0.81513716354934695</v>
      </c>
    </row>
    <row r="15427" spans="1:3" s="8" customFormat="1" x14ac:dyDescent="0.2">
      <c r="A15427" s="6" t="str">
        <f>"PPP2R3B"</f>
        <v>PPP2R3B</v>
      </c>
      <c r="B15427" s="6">
        <v>0.71528471528471504</v>
      </c>
      <c r="C15427" s="6">
        <v>0.81513716354934695</v>
      </c>
    </row>
    <row r="15428" spans="1:3" s="8" customFormat="1" x14ac:dyDescent="0.2">
      <c r="A15428" s="6" t="str">
        <f>"ZNF548"</f>
        <v>ZNF548</v>
      </c>
      <c r="B15428" s="6">
        <v>0.71528471528471504</v>
      </c>
      <c r="C15428" s="6">
        <v>0.81513716354934695</v>
      </c>
    </row>
    <row r="15429" spans="1:3" s="8" customFormat="1" x14ac:dyDescent="0.2">
      <c r="A15429" s="6" t="str">
        <f>"RPUSD4"</f>
        <v>RPUSD4</v>
      </c>
      <c r="B15429" s="6">
        <v>0.71528471528471504</v>
      </c>
      <c r="C15429" s="6">
        <v>0.81513716354934695</v>
      </c>
    </row>
    <row r="15430" spans="1:3" s="8" customFormat="1" x14ac:dyDescent="0.2">
      <c r="A15430" s="6" t="str">
        <f>"ELF3-AS1"</f>
        <v>ELF3-AS1</v>
      </c>
      <c r="B15430" s="6">
        <v>0.71528471528471504</v>
      </c>
      <c r="C15430" s="6">
        <v>0.81513716354934695</v>
      </c>
    </row>
    <row r="15431" spans="1:3" s="8" customFormat="1" x14ac:dyDescent="0.2">
      <c r="A15431" s="6" t="str">
        <f>"ATP5MC3"</f>
        <v>ATP5MC3</v>
      </c>
      <c r="B15431" s="6">
        <v>0.71528471528471504</v>
      </c>
      <c r="C15431" s="6">
        <v>0.81513716354934695</v>
      </c>
    </row>
    <row r="15432" spans="1:3" s="8" customFormat="1" x14ac:dyDescent="0.2">
      <c r="A15432" s="6" t="str">
        <f>"AC112229.3"</f>
        <v>AC112229.3</v>
      </c>
      <c r="B15432" s="6">
        <v>0.71571571571571502</v>
      </c>
      <c r="C15432" s="6">
        <v>0.81557547437918099</v>
      </c>
    </row>
    <row r="15433" spans="1:3" s="8" customFormat="1" x14ac:dyDescent="0.2">
      <c r="A15433" s="6" t="str">
        <f>"AL033527.2"</f>
        <v>AL033527.2</v>
      </c>
      <c r="B15433" s="6">
        <v>0.71599999999999997</v>
      </c>
      <c r="C15433" s="6">
        <v>0.81579978412674803</v>
      </c>
    </row>
    <row r="15434" spans="1:3" s="8" customFormat="1" x14ac:dyDescent="0.2">
      <c r="A15434" s="6" t="str">
        <f>"AL136531.1"</f>
        <v>AL136531.1</v>
      </c>
      <c r="B15434" s="6">
        <v>0.71628371628371601</v>
      </c>
      <c r="C15434" s="6">
        <v>0.81579978412674803</v>
      </c>
    </row>
    <row r="15435" spans="1:3" s="8" customFormat="1" x14ac:dyDescent="0.2">
      <c r="A15435" s="6" t="str">
        <f>"ITGA2B"</f>
        <v>ITGA2B</v>
      </c>
      <c r="B15435" s="6">
        <v>0.71628371628371601</v>
      </c>
      <c r="C15435" s="6">
        <v>0.81579978412674803</v>
      </c>
    </row>
    <row r="15436" spans="1:3" s="8" customFormat="1" x14ac:dyDescent="0.2">
      <c r="A15436" s="6" t="str">
        <f>"AL158832.2"</f>
        <v>AL158832.2</v>
      </c>
      <c r="B15436" s="6">
        <v>0.71628371628371601</v>
      </c>
      <c r="C15436" s="6">
        <v>0.81579978412674803</v>
      </c>
    </row>
    <row r="15437" spans="1:3" s="8" customFormat="1" x14ac:dyDescent="0.2">
      <c r="A15437" s="6" t="str">
        <f>"CXorf58"</f>
        <v>CXorf58</v>
      </c>
      <c r="B15437" s="6">
        <v>0.71628371628371601</v>
      </c>
      <c r="C15437" s="6">
        <v>0.81579978412674803</v>
      </c>
    </row>
    <row r="15438" spans="1:3" s="8" customFormat="1" x14ac:dyDescent="0.2">
      <c r="A15438" s="6" t="str">
        <f>"IL11RA"</f>
        <v>IL11RA</v>
      </c>
      <c r="B15438" s="6">
        <v>0.71628371628371601</v>
      </c>
      <c r="C15438" s="6">
        <v>0.81579978412674803</v>
      </c>
    </row>
    <row r="15439" spans="1:3" s="8" customFormat="1" x14ac:dyDescent="0.2">
      <c r="A15439" s="6" t="str">
        <f>"LINC01232"</f>
        <v>LINC01232</v>
      </c>
      <c r="B15439" s="6">
        <v>0.71628371628371601</v>
      </c>
      <c r="C15439" s="6">
        <v>0.81579978412674803</v>
      </c>
    </row>
    <row r="15440" spans="1:3" s="8" customFormat="1" x14ac:dyDescent="0.2">
      <c r="A15440" s="6" t="str">
        <f>"GPN2"</f>
        <v>GPN2</v>
      </c>
      <c r="B15440" s="6">
        <v>0.71628371628371601</v>
      </c>
      <c r="C15440" s="6">
        <v>0.81579978412674803</v>
      </c>
    </row>
    <row r="15441" spans="1:3" s="8" customFormat="1" x14ac:dyDescent="0.2">
      <c r="A15441" s="6" t="str">
        <f>"ANKRD20A21P"</f>
        <v>ANKRD20A21P</v>
      </c>
      <c r="B15441" s="6">
        <v>0.71728271728271698</v>
      </c>
      <c r="C15441" s="6">
        <v>0.81667309639337604</v>
      </c>
    </row>
    <row r="15442" spans="1:3" s="8" customFormat="1" x14ac:dyDescent="0.2">
      <c r="A15442" s="6" t="str">
        <f>"LINC00888"</f>
        <v>LINC00888</v>
      </c>
      <c r="B15442" s="6">
        <v>0.71728271728271698</v>
      </c>
      <c r="C15442" s="6">
        <v>0.81667309639337604</v>
      </c>
    </row>
    <row r="15443" spans="1:3" s="8" customFormat="1" x14ac:dyDescent="0.2">
      <c r="A15443" s="6" t="str">
        <f>"ILDR1"</f>
        <v>ILDR1</v>
      </c>
      <c r="B15443" s="6">
        <v>0.71728271728271698</v>
      </c>
      <c r="C15443" s="6">
        <v>0.81667309639337604</v>
      </c>
    </row>
    <row r="15444" spans="1:3" s="8" customFormat="1" x14ac:dyDescent="0.2">
      <c r="A15444" s="6" t="str">
        <f>"PRR15L"</f>
        <v>PRR15L</v>
      </c>
      <c r="B15444" s="6">
        <v>0.71728271728271698</v>
      </c>
      <c r="C15444" s="6">
        <v>0.81667309639337604</v>
      </c>
    </row>
    <row r="15445" spans="1:3" s="8" customFormat="1" x14ac:dyDescent="0.2">
      <c r="A15445" s="6" t="str">
        <f>"UPF1"</f>
        <v>UPF1</v>
      </c>
      <c r="B15445" s="6">
        <v>0.71728271728271698</v>
      </c>
      <c r="C15445" s="6">
        <v>0.81667309639337604</v>
      </c>
    </row>
    <row r="15446" spans="1:3" s="8" customFormat="1" x14ac:dyDescent="0.2">
      <c r="A15446" s="6" t="str">
        <f>"PCDHA1"</f>
        <v>PCDHA1</v>
      </c>
      <c r="B15446" s="6">
        <v>0.71828171828171805</v>
      </c>
      <c r="C15446" s="6">
        <v>0.81717557804514296</v>
      </c>
    </row>
    <row r="15447" spans="1:3" s="8" customFormat="1" x14ac:dyDescent="0.2">
      <c r="A15447" s="6" t="str">
        <f>"BTLA"</f>
        <v>BTLA</v>
      </c>
      <c r="B15447" s="6">
        <v>0.71828171828171805</v>
      </c>
      <c r="C15447" s="6">
        <v>0.81717557804514296</v>
      </c>
    </row>
    <row r="15448" spans="1:3" s="8" customFormat="1" x14ac:dyDescent="0.2">
      <c r="A15448" s="6" t="str">
        <f>"KRT17P2"</f>
        <v>KRT17P2</v>
      </c>
      <c r="B15448" s="6">
        <v>0.71828171828171805</v>
      </c>
      <c r="C15448" s="6">
        <v>0.81717557804514296</v>
      </c>
    </row>
    <row r="15449" spans="1:3" s="8" customFormat="1" x14ac:dyDescent="0.2">
      <c r="A15449" s="6" t="str">
        <f>"ATP8B5P"</f>
        <v>ATP8B5P</v>
      </c>
      <c r="B15449" s="6">
        <v>0.71805273833671401</v>
      </c>
      <c r="C15449" s="6">
        <v>0.81717557804514296</v>
      </c>
    </row>
    <row r="15450" spans="1:3" s="8" customFormat="1" x14ac:dyDescent="0.2">
      <c r="A15450" s="6" t="str">
        <f>"AL627422.2"</f>
        <v>AL627422.2</v>
      </c>
      <c r="B15450" s="6">
        <v>0.71828171828171805</v>
      </c>
      <c r="C15450" s="6">
        <v>0.81717557804514296</v>
      </c>
    </row>
    <row r="15451" spans="1:3" s="8" customFormat="1" x14ac:dyDescent="0.2">
      <c r="A15451" s="6" t="str">
        <f>"UBE2Q2P1"</f>
        <v>UBE2Q2P1</v>
      </c>
      <c r="B15451" s="6">
        <v>0.71828171828171805</v>
      </c>
      <c r="C15451" s="6">
        <v>0.81717557804514296</v>
      </c>
    </row>
    <row r="15452" spans="1:3" s="8" customFormat="1" x14ac:dyDescent="0.2">
      <c r="A15452" s="6" t="str">
        <f>"ZNF165"</f>
        <v>ZNF165</v>
      </c>
      <c r="B15452" s="6">
        <v>0.71828171828171805</v>
      </c>
      <c r="C15452" s="6">
        <v>0.81717557804514296</v>
      </c>
    </row>
    <row r="15453" spans="1:3" s="8" customFormat="1" x14ac:dyDescent="0.2">
      <c r="A15453" s="6" t="str">
        <f>"METTL4"</f>
        <v>METTL4</v>
      </c>
      <c r="B15453" s="6">
        <v>0.71828171828171805</v>
      </c>
      <c r="C15453" s="6">
        <v>0.81717557804514296</v>
      </c>
    </row>
    <row r="15454" spans="1:3" s="8" customFormat="1" x14ac:dyDescent="0.2">
      <c r="A15454" s="6" t="str">
        <f>"CEP78"</f>
        <v>CEP78</v>
      </c>
      <c r="B15454" s="6">
        <v>0.71828171828171805</v>
      </c>
      <c r="C15454" s="6">
        <v>0.81717557804514296</v>
      </c>
    </row>
    <row r="15455" spans="1:3" s="8" customFormat="1" x14ac:dyDescent="0.2">
      <c r="A15455" s="6" t="str">
        <f>"UHRF1BP1L"</f>
        <v>UHRF1BP1L</v>
      </c>
      <c r="B15455" s="6">
        <v>0.71828171828171805</v>
      </c>
      <c r="C15455" s="6">
        <v>0.81717557804514296</v>
      </c>
    </row>
    <row r="15456" spans="1:3" s="8" customFormat="1" x14ac:dyDescent="0.2">
      <c r="A15456" s="6" t="str">
        <f>"RXRA"</f>
        <v>RXRA</v>
      </c>
      <c r="B15456" s="6">
        <v>0.71828171828171805</v>
      </c>
      <c r="C15456" s="6">
        <v>0.81717557804514296</v>
      </c>
    </row>
    <row r="15457" spans="1:3" s="8" customFormat="1" x14ac:dyDescent="0.2">
      <c r="A15457" s="6" t="str">
        <f>"HSPA1B"</f>
        <v>HSPA1B</v>
      </c>
      <c r="B15457" s="6">
        <v>0.71828171828171805</v>
      </c>
      <c r="C15457" s="6">
        <v>0.81717557804514296</v>
      </c>
    </row>
    <row r="15458" spans="1:3" s="8" customFormat="1" x14ac:dyDescent="0.2">
      <c r="A15458" s="6" t="str">
        <f>"AC135721.1"</f>
        <v>AC135721.1</v>
      </c>
      <c r="B15458" s="6">
        <v>0.71871871871871795</v>
      </c>
      <c r="C15458" s="6">
        <v>0.81761984537426002</v>
      </c>
    </row>
    <row r="15459" spans="1:3" s="8" customFormat="1" x14ac:dyDescent="0.2">
      <c r="A15459" s="6" t="str">
        <f>"LINC00313"</f>
        <v>LINC00313</v>
      </c>
      <c r="B15459" s="6">
        <v>0.71928071928071902</v>
      </c>
      <c r="C15459" s="6">
        <v>0.81799457818084098</v>
      </c>
    </row>
    <row r="15460" spans="1:3" s="8" customFormat="1" x14ac:dyDescent="0.2">
      <c r="A15460" s="6" t="str">
        <f>"B3GNT4"</f>
        <v>B3GNT4</v>
      </c>
      <c r="B15460" s="6">
        <v>0.71928071928071902</v>
      </c>
      <c r="C15460" s="6">
        <v>0.81799457818084098</v>
      </c>
    </row>
    <row r="15461" spans="1:3" s="8" customFormat="1" x14ac:dyDescent="0.2">
      <c r="A15461" s="6" t="str">
        <f>"ANKH"</f>
        <v>ANKH</v>
      </c>
      <c r="B15461" s="6">
        <v>0.71928071928071902</v>
      </c>
      <c r="C15461" s="6">
        <v>0.81799457818084098</v>
      </c>
    </row>
    <row r="15462" spans="1:3" s="8" customFormat="1" x14ac:dyDescent="0.2">
      <c r="A15462" s="6" t="str">
        <f>"FAM122B"</f>
        <v>FAM122B</v>
      </c>
      <c r="B15462" s="6">
        <v>0.71928071928071902</v>
      </c>
      <c r="C15462" s="6">
        <v>0.81799457818084098</v>
      </c>
    </row>
    <row r="15463" spans="1:3" s="8" customFormat="1" x14ac:dyDescent="0.2">
      <c r="A15463" s="6" t="str">
        <f>"HS1BP3"</f>
        <v>HS1BP3</v>
      </c>
      <c r="B15463" s="6">
        <v>0.71928071928071902</v>
      </c>
      <c r="C15463" s="6">
        <v>0.81799457818084098</v>
      </c>
    </row>
    <row r="15464" spans="1:3" s="8" customFormat="1" x14ac:dyDescent="0.2">
      <c r="A15464" s="6" t="str">
        <f>"LINC01801"</f>
        <v>LINC01801</v>
      </c>
      <c r="B15464" s="6">
        <v>0.72027972027971998</v>
      </c>
      <c r="C15464" s="6">
        <v>0.81876001043367996</v>
      </c>
    </row>
    <row r="15465" spans="1:3" s="8" customFormat="1" x14ac:dyDescent="0.2">
      <c r="A15465" s="6" t="str">
        <f>"AL035587.3"</f>
        <v>AL035587.3</v>
      </c>
      <c r="B15465" s="6">
        <v>0.72027972027971998</v>
      </c>
      <c r="C15465" s="6">
        <v>0.81876001043367996</v>
      </c>
    </row>
    <row r="15466" spans="1:3" s="8" customFormat="1" x14ac:dyDescent="0.2">
      <c r="A15466" s="6" t="str">
        <f>"MRGBP"</f>
        <v>MRGBP</v>
      </c>
      <c r="B15466" s="6">
        <v>0.72027972027971998</v>
      </c>
      <c r="C15466" s="6">
        <v>0.81876001043367996</v>
      </c>
    </row>
    <row r="15467" spans="1:3" s="8" customFormat="1" x14ac:dyDescent="0.2">
      <c r="A15467" s="6" t="str">
        <f>"ZBTB43"</f>
        <v>ZBTB43</v>
      </c>
      <c r="B15467" s="6">
        <v>0.72027972027971998</v>
      </c>
      <c r="C15467" s="6">
        <v>0.81876001043367996</v>
      </c>
    </row>
    <row r="15468" spans="1:3" s="8" customFormat="1" x14ac:dyDescent="0.2">
      <c r="A15468" s="6" t="str">
        <f>"NABP2"</f>
        <v>NABP2</v>
      </c>
      <c r="B15468" s="6">
        <v>0.72027972027971998</v>
      </c>
      <c r="C15468" s="6">
        <v>0.81876001043367996</v>
      </c>
    </row>
    <row r="15469" spans="1:3" s="8" customFormat="1" x14ac:dyDescent="0.2">
      <c r="A15469" s="6" t="str">
        <f>"CTSL"</f>
        <v>CTSL</v>
      </c>
      <c r="B15469" s="6">
        <v>0.72027972027971998</v>
      </c>
      <c r="C15469" s="6">
        <v>0.81876001043367996</v>
      </c>
    </row>
    <row r="15470" spans="1:3" s="8" customFormat="1" x14ac:dyDescent="0.2">
      <c r="A15470" s="6" t="str">
        <f>"CREB3L1"</f>
        <v>CREB3L1</v>
      </c>
      <c r="B15470" s="6">
        <v>0.72027972027971998</v>
      </c>
      <c r="C15470" s="6">
        <v>0.81876001043367996</v>
      </c>
    </row>
    <row r="15471" spans="1:3" s="8" customFormat="1" x14ac:dyDescent="0.2">
      <c r="A15471" s="6" t="str">
        <f>"HRG"</f>
        <v>HRG</v>
      </c>
      <c r="B15471" s="6">
        <v>0.72127872127872095</v>
      </c>
      <c r="C15471" s="6">
        <v>0.81947179911901702</v>
      </c>
    </row>
    <row r="15472" spans="1:3" s="8" customFormat="1" x14ac:dyDescent="0.2">
      <c r="A15472" s="6" t="str">
        <f>"LINC02328"</f>
        <v>LINC02328</v>
      </c>
      <c r="B15472" s="6">
        <v>0.72127872127872095</v>
      </c>
      <c r="C15472" s="6">
        <v>0.81947179911901702</v>
      </c>
    </row>
    <row r="15473" spans="1:3" s="8" customFormat="1" x14ac:dyDescent="0.2">
      <c r="A15473" s="6" t="str">
        <f>"NKAIN1"</f>
        <v>NKAIN1</v>
      </c>
      <c r="B15473" s="6">
        <v>0.72127872127872095</v>
      </c>
      <c r="C15473" s="6">
        <v>0.81947179911901702</v>
      </c>
    </row>
    <row r="15474" spans="1:3" s="8" customFormat="1" x14ac:dyDescent="0.2">
      <c r="A15474" s="6" t="str">
        <f>"AC005252.4"</f>
        <v>AC005252.4</v>
      </c>
      <c r="B15474" s="6">
        <v>0.72127872127872095</v>
      </c>
      <c r="C15474" s="6">
        <v>0.81947179911901702</v>
      </c>
    </row>
    <row r="15475" spans="1:3" s="8" customFormat="1" x14ac:dyDescent="0.2">
      <c r="A15475" s="6" t="str">
        <f>"AC010476.2"</f>
        <v>AC010476.2</v>
      </c>
      <c r="B15475" s="6">
        <v>0.72127872127872095</v>
      </c>
      <c r="C15475" s="6">
        <v>0.81947179911901702</v>
      </c>
    </row>
    <row r="15476" spans="1:3" s="8" customFormat="1" x14ac:dyDescent="0.2">
      <c r="A15476" s="6" t="str">
        <f>"NCBP2L"</f>
        <v>NCBP2L</v>
      </c>
      <c r="B15476" s="6">
        <v>0.72127872127872095</v>
      </c>
      <c r="C15476" s="6">
        <v>0.81947179911901702</v>
      </c>
    </row>
    <row r="15477" spans="1:3" s="8" customFormat="1" x14ac:dyDescent="0.2">
      <c r="A15477" s="6" t="str">
        <f>"IMMT"</f>
        <v>IMMT</v>
      </c>
      <c r="B15477" s="6">
        <v>0.72127872127872095</v>
      </c>
      <c r="C15477" s="6">
        <v>0.81947179911901702</v>
      </c>
    </row>
    <row r="15478" spans="1:3" s="8" customFormat="1" x14ac:dyDescent="0.2">
      <c r="A15478" s="6" t="str">
        <f>"SPATS2L"</f>
        <v>SPATS2L</v>
      </c>
      <c r="B15478" s="6">
        <v>0.72127872127872095</v>
      </c>
      <c r="C15478" s="6">
        <v>0.81947179911901702</v>
      </c>
    </row>
    <row r="15479" spans="1:3" s="8" customFormat="1" x14ac:dyDescent="0.2">
      <c r="A15479" s="6" t="str">
        <f>"AC134407.3"</f>
        <v>AC134407.3</v>
      </c>
      <c r="B15479" s="6">
        <v>0.72227772227772202</v>
      </c>
      <c r="C15479" s="6">
        <v>0.820076933462353</v>
      </c>
    </row>
    <row r="15480" spans="1:3" s="8" customFormat="1" x14ac:dyDescent="0.2">
      <c r="A15480" s="6" t="str">
        <f>"AC138393.3"</f>
        <v>AC138393.3</v>
      </c>
      <c r="B15480" s="6">
        <v>0.72227772227772202</v>
      </c>
      <c r="C15480" s="6">
        <v>0.820076933462353</v>
      </c>
    </row>
    <row r="15481" spans="1:3" s="8" customFormat="1" x14ac:dyDescent="0.2">
      <c r="A15481" s="6" t="str">
        <f>"YBX1P1"</f>
        <v>YBX1P1</v>
      </c>
      <c r="B15481" s="6">
        <v>0.72227772227772202</v>
      </c>
      <c r="C15481" s="6">
        <v>0.820076933462353</v>
      </c>
    </row>
    <row r="15482" spans="1:3" s="8" customFormat="1" x14ac:dyDescent="0.2">
      <c r="A15482" s="6" t="str">
        <f>"AL022323.2"</f>
        <v>AL022323.2</v>
      </c>
      <c r="B15482" s="6">
        <v>0.72216649949849498</v>
      </c>
      <c r="C15482" s="6">
        <v>0.820076933462353</v>
      </c>
    </row>
    <row r="15483" spans="1:3" s="8" customFormat="1" x14ac:dyDescent="0.2">
      <c r="A15483" s="6" t="str">
        <f>"RPSAP9"</f>
        <v>RPSAP9</v>
      </c>
      <c r="B15483" s="6">
        <v>0.72227772227772202</v>
      </c>
      <c r="C15483" s="6">
        <v>0.820076933462353</v>
      </c>
    </row>
    <row r="15484" spans="1:3" s="8" customFormat="1" x14ac:dyDescent="0.2">
      <c r="A15484" s="6" t="str">
        <f>"AL592295.5"</f>
        <v>AL592295.5</v>
      </c>
      <c r="B15484" s="6">
        <v>0.72227772227772202</v>
      </c>
      <c r="C15484" s="6">
        <v>0.820076933462353</v>
      </c>
    </row>
    <row r="15485" spans="1:3" s="8" customFormat="1" x14ac:dyDescent="0.2">
      <c r="A15485" s="6" t="str">
        <f>"AC019257.8"</f>
        <v>AC019257.8</v>
      </c>
      <c r="B15485" s="6">
        <v>0.72227772227772202</v>
      </c>
      <c r="C15485" s="6">
        <v>0.820076933462353</v>
      </c>
    </row>
    <row r="15486" spans="1:3" s="8" customFormat="1" x14ac:dyDescent="0.2">
      <c r="A15486" s="6" t="str">
        <f>"AC004233.2"</f>
        <v>AC004233.2</v>
      </c>
      <c r="B15486" s="6">
        <v>0.72227772227772202</v>
      </c>
      <c r="C15486" s="6">
        <v>0.820076933462353</v>
      </c>
    </row>
    <row r="15487" spans="1:3" s="8" customFormat="1" x14ac:dyDescent="0.2">
      <c r="A15487" s="6" t="str">
        <f>"PPP1R3E"</f>
        <v>PPP1R3E</v>
      </c>
      <c r="B15487" s="6">
        <v>0.72227772227772202</v>
      </c>
      <c r="C15487" s="6">
        <v>0.820076933462353</v>
      </c>
    </row>
    <row r="15488" spans="1:3" s="8" customFormat="1" x14ac:dyDescent="0.2">
      <c r="A15488" s="6" t="str">
        <f>"GID4"</f>
        <v>GID4</v>
      </c>
      <c r="B15488" s="6">
        <v>0.72227772227772202</v>
      </c>
      <c r="C15488" s="6">
        <v>0.820076933462353</v>
      </c>
    </row>
    <row r="15489" spans="1:3" s="8" customFormat="1" x14ac:dyDescent="0.2">
      <c r="A15489" s="6" t="str">
        <f>"AL357143.1"</f>
        <v>AL357143.1</v>
      </c>
      <c r="B15489" s="6">
        <v>0.72327672327672299</v>
      </c>
      <c r="C15489" s="6">
        <v>0.82057538564409904</v>
      </c>
    </row>
    <row r="15490" spans="1:3" s="8" customFormat="1" x14ac:dyDescent="0.2">
      <c r="A15490" s="6" t="str">
        <f>"AC025165.5"</f>
        <v>AC025165.5</v>
      </c>
      <c r="B15490" s="6">
        <v>0.72289156626506001</v>
      </c>
      <c r="C15490" s="6">
        <v>0.82057538564409904</v>
      </c>
    </row>
    <row r="15491" spans="1:3" s="8" customFormat="1" x14ac:dyDescent="0.2">
      <c r="A15491" s="6" t="str">
        <f>"AL157871.6"</f>
        <v>AL157871.6</v>
      </c>
      <c r="B15491" s="6">
        <v>0.72327672327672299</v>
      </c>
      <c r="C15491" s="6">
        <v>0.82057538564409904</v>
      </c>
    </row>
    <row r="15492" spans="1:3" s="8" customFormat="1" x14ac:dyDescent="0.2">
      <c r="A15492" s="6" t="str">
        <f>"AC006116.7"</f>
        <v>AC006116.7</v>
      </c>
      <c r="B15492" s="6">
        <v>0.72327672327672299</v>
      </c>
      <c r="C15492" s="6">
        <v>0.82057538564409904</v>
      </c>
    </row>
    <row r="15493" spans="1:3" s="8" customFormat="1" x14ac:dyDescent="0.2">
      <c r="A15493" s="6" t="str">
        <f>"ZFP2"</f>
        <v>ZFP2</v>
      </c>
      <c r="B15493" s="6">
        <v>0.72327672327672299</v>
      </c>
      <c r="C15493" s="6">
        <v>0.82057538564409904</v>
      </c>
    </row>
    <row r="15494" spans="1:3" s="8" customFormat="1" x14ac:dyDescent="0.2">
      <c r="A15494" s="6" t="str">
        <f>"SEC24B-AS1"</f>
        <v>SEC24B-AS1</v>
      </c>
      <c r="B15494" s="6">
        <v>0.72327672327672299</v>
      </c>
      <c r="C15494" s="6">
        <v>0.82057538564409904</v>
      </c>
    </row>
    <row r="15495" spans="1:3" s="8" customFormat="1" x14ac:dyDescent="0.2">
      <c r="A15495" s="6" t="str">
        <f>"CU633967.1"</f>
        <v>CU633967.1</v>
      </c>
      <c r="B15495" s="6">
        <v>0.72327672327672299</v>
      </c>
      <c r="C15495" s="6">
        <v>0.82057538564409904</v>
      </c>
    </row>
    <row r="15496" spans="1:3" s="8" customFormat="1" x14ac:dyDescent="0.2">
      <c r="A15496" s="6" t="str">
        <f>"DUSP28"</f>
        <v>DUSP28</v>
      </c>
      <c r="B15496" s="6">
        <v>0.72327672327672299</v>
      </c>
      <c r="C15496" s="6">
        <v>0.82057538564409904</v>
      </c>
    </row>
    <row r="15497" spans="1:3" s="8" customFormat="1" x14ac:dyDescent="0.2">
      <c r="A15497" s="6" t="str">
        <f>"BIK"</f>
        <v>BIK</v>
      </c>
      <c r="B15497" s="6">
        <v>0.72327672327672299</v>
      </c>
      <c r="C15497" s="6">
        <v>0.82057538564409904</v>
      </c>
    </row>
    <row r="15498" spans="1:3" s="8" customFormat="1" x14ac:dyDescent="0.2">
      <c r="A15498" s="6" t="str">
        <f>"RASGEF1B"</f>
        <v>RASGEF1B</v>
      </c>
      <c r="B15498" s="6">
        <v>0.72327672327672299</v>
      </c>
      <c r="C15498" s="6">
        <v>0.82057538564409904</v>
      </c>
    </row>
    <row r="15499" spans="1:3" s="8" customFormat="1" x14ac:dyDescent="0.2">
      <c r="A15499" s="6" t="str">
        <f>"ACSS2"</f>
        <v>ACSS2</v>
      </c>
      <c r="B15499" s="6">
        <v>0.72327672327672299</v>
      </c>
      <c r="C15499" s="6">
        <v>0.82057538564409904</v>
      </c>
    </row>
    <row r="15500" spans="1:3" s="8" customFormat="1" x14ac:dyDescent="0.2">
      <c r="A15500" s="6" t="str">
        <f>"FBXW11"</f>
        <v>FBXW11</v>
      </c>
      <c r="B15500" s="6">
        <v>0.72327672327672299</v>
      </c>
      <c r="C15500" s="6">
        <v>0.82057538564409904</v>
      </c>
    </row>
    <row r="15501" spans="1:3" s="8" customFormat="1" x14ac:dyDescent="0.2">
      <c r="A15501" s="6" t="str">
        <f>"AC012213.2"</f>
        <v>AC012213.2</v>
      </c>
      <c r="B15501" s="6">
        <v>0.72362869198312196</v>
      </c>
      <c r="C15501" s="6">
        <v>0.82092173676330404</v>
      </c>
    </row>
    <row r="15502" spans="1:3" s="8" customFormat="1" x14ac:dyDescent="0.2">
      <c r="A15502" s="6" t="str">
        <f>"AC010531.1"</f>
        <v>AC010531.1</v>
      </c>
      <c r="B15502" s="6">
        <v>0.72399999999999998</v>
      </c>
      <c r="C15502" s="6">
        <v>0.82117895000737195</v>
      </c>
    </row>
    <row r="15503" spans="1:3" s="8" customFormat="1" x14ac:dyDescent="0.2">
      <c r="A15503" s="6" t="str">
        <f>"MT1H"</f>
        <v>MT1H</v>
      </c>
      <c r="B15503" s="6">
        <v>0.72427572427572395</v>
      </c>
      <c r="C15503" s="6">
        <v>0.82117895000737195</v>
      </c>
    </row>
    <row r="15504" spans="1:3" s="8" customFormat="1" x14ac:dyDescent="0.2">
      <c r="A15504" s="6" t="str">
        <f>"AC122688.3"</f>
        <v>AC122688.3</v>
      </c>
      <c r="B15504" s="6">
        <v>0.72427572427572395</v>
      </c>
      <c r="C15504" s="6">
        <v>0.82117895000737195</v>
      </c>
    </row>
    <row r="15505" spans="1:3" s="8" customFormat="1" x14ac:dyDescent="0.2">
      <c r="A15505" s="6" t="str">
        <f>"AF131215.6"</f>
        <v>AF131215.6</v>
      </c>
      <c r="B15505" s="6">
        <v>0.72427572427572395</v>
      </c>
      <c r="C15505" s="6">
        <v>0.82117895000737195</v>
      </c>
    </row>
    <row r="15506" spans="1:3" s="8" customFormat="1" x14ac:dyDescent="0.2">
      <c r="A15506" s="6" t="str">
        <f>"KIF26B"</f>
        <v>KIF26B</v>
      </c>
      <c r="B15506" s="6">
        <v>0.72427572427572395</v>
      </c>
      <c r="C15506" s="6">
        <v>0.82117895000737195</v>
      </c>
    </row>
    <row r="15507" spans="1:3" s="8" customFormat="1" x14ac:dyDescent="0.2">
      <c r="A15507" s="6" t="str">
        <f>"PARD6G"</f>
        <v>PARD6G</v>
      </c>
      <c r="B15507" s="6">
        <v>0.72427572427572395</v>
      </c>
      <c r="C15507" s="6">
        <v>0.82117895000737195</v>
      </c>
    </row>
    <row r="15508" spans="1:3" s="8" customFormat="1" x14ac:dyDescent="0.2">
      <c r="A15508" s="6" t="str">
        <f>"PTHLH"</f>
        <v>PTHLH</v>
      </c>
      <c r="B15508" s="6">
        <v>0.72427572427572395</v>
      </c>
      <c r="C15508" s="6">
        <v>0.82117895000737195</v>
      </c>
    </row>
    <row r="15509" spans="1:3" s="8" customFormat="1" x14ac:dyDescent="0.2">
      <c r="A15509" s="6" t="str">
        <f>"PSMG3-AS1"</f>
        <v>PSMG3-AS1</v>
      </c>
      <c r="B15509" s="6">
        <v>0.72427572427572395</v>
      </c>
      <c r="C15509" s="6">
        <v>0.82117895000737195</v>
      </c>
    </row>
    <row r="15510" spans="1:3" s="8" customFormat="1" x14ac:dyDescent="0.2">
      <c r="A15510" s="6" t="str">
        <f>"TTC25"</f>
        <v>TTC25</v>
      </c>
      <c r="B15510" s="6">
        <v>0.72427572427572395</v>
      </c>
      <c r="C15510" s="6">
        <v>0.82117895000737195</v>
      </c>
    </row>
    <row r="15511" spans="1:3" s="8" customFormat="1" x14ac:dyDescent="0.2">
      <c r="A15511" s="6" t="str">
        <f>"SLC9C1"</f>
        <v>SLC9C1</v>
      </c>
      <c r="B15511" s="6">
        <v>0.72527472527472503</v>
      </c>
      <c r="C15511" s="6">
        <v>0.82194062704503501</v>
      </c>
    </row>
    <row r="15512" spans="1:3" s="8" customFormat="1" x14ac:dyDescent="0.2">
      <c r="A15512" s="6" t="str">
        <f>"TAL1"</f>
        <v>TAL1</v>
      </c>
      <c r="B15512" s="6">
        <v>0.72527472527472503</v>
      </c>
      <c r="C15512" s="6">
        <v>0.82194062704503501</v>
      </c>
    </row>
    <row r="15513" spans="1:3" s="8" customFormat="1" x14ac:dyDescent="0.2">
      <c r="A15513" s="6" t="str">
        <f>"AC092111.2"</f>
        <v>AC092111.2</v>
      </c>
      <c r="B15513" s="6">
        <v>0.72499999999999998</v>
      </c>
      <c r="C15513" s="6">
        <v>0.82194062704503501</v>
      </c>
    </row>
    <row r="15514" spans="1:3" s="8" customFormat="1" x14ac:dyDescent="0.2">
      <c r="A15514" s="6" t="str">
        <f>"TPT1P4"</f>
        <v>TPT1P4</v>
      </c>
      <c r="B15514" s="6">
        <v>0.72527472527472503</v>
      </c>
      <c r="C15514" s="6">
        <v>0.82194062704503501</v>
      </c>
    </row>
    <row r="15515" spans="1:3" s="8" customFormat="1" x14ac:dyDescent="0.2">
      <c r="A15515" s="6" t="str">
        <f>"Z84492.1"</f>
        <v>Z84492.1</v>
      </c>
      <c r="B15515" s="6">
        <v>0.72527472527472503</v>
      </c>
      <c r="C15515" s="6">
        <v>0.82194062704503501</v>
      </c>
    </row>
    <row r="15516" spans="1:3" s="8" customFormat="1" x14ac:dyDescent="0.2">
      <c r="A15516" s="6" t="str">
        <f>"ZNF843"</f>
        <v>ZNF843</v>
      </c>
      <c r="B15516" s="6">
        <v>0.72527472527472503</v>
      </c>
      <c r="C15516" s="6">
        <v>0.82194062704503501</v>
      </c>
    </row>
    <row r="15517" spans="1:3" s="8" customFormat="1" x14ac:dyDescent="0.2">
      <c r="A15517" s="6" t="str">
        <f>"TIPIN"</f>
        <v>TIPIN</v>
      </c>
      <c r="B15517" s="6">
        <v>0.72527472527472503</v>
      </c>
      <c r="C15517" s="6">
        <v>0.82194062704503501</v>
      </c>
    </row>
    <row r="15518" spans="1:3" s="8" customFormat="1" x14ac:dyDescent="0.2">
      <c r="A15518" s="6" t="str">
        <f>"TAS2R5"</f>
        <v>TAS2R5</v>
      </c>
      <c r="B15518" s="6">
        <v>0.72627372627372599</v>
      </c>
      <c r="C15518" s="6">
        <v>0.82264862166949204</v>
      </c>
    </row>
    <row r="15519" spans="1:3" s="8" customFormat="1" x14ac:dyDescent="0.2">
      <c r="A15519" s="6" t="str">
        <f>"CFHR2"</f>
        <v>CFHR2</v>
      </c>
      <c r="B15519" s="6">
        <v>0.72627372627372599</v>
      </c>
      <c r="C15519" s="6">
        <v>0.82264862166949204</v>
      </c>
    </row>
    <row r="15520" spans="1:3" s="8" customFormat="1" x14ac:dyDescent="0.2">
      <c r="A15520" s="6" t="str">
        <f>"AC006077.2"</f>
        <v>AC006077.2</v>
      </c>
      <c r="B15520" s="6">
        <v>0.72602739726027399</v>
      </c>
      <c r="C15520" s="6">
        <v>0.82264862166949204</v>
      </c>
    </row>
    <row r="15521" spans="1:3" s="8" customFormat="1" x14ac:dyDescent="0.2">
      <c r="A15521" s="6" t="str">
        <f>"AL132712.2"</f>
        <v>AL132712.2</v>
      </c>
      <c r="B15521" s="6">
        <v>0.72627372627372599</v>
      </c>
      <c r="C15521" s="6">
        <v>0.82264862166949204</v>
      </c>
    </row>
    <row r="15522" spans="1:3" s="8" customFormat="1" x14ac:dyDescent="0.2">
      <c r="A15522" s="6" t="str">
        <f>"C1orf50"</f>
        <v>C1orf50</v>
      </c>
      <c r="B15522" s="6">
        <v>0.72627372627372599</v>
      </c>
      <c r="C15522" s="6">
        <v>0.82264862166949204</v>
      </c>
    </row>
    <row r="15523" spans="1:3" s="8" customFormat="1" x14ac:dyDescent="0.2">
      <c r="A15523" s="6" t="str">
        <f>"WDR92"</f>
        <v>WDR92</v>
      </c>
      <c r="B15523" s="6">
        <v>0.72627372627372599</v>
      </c>
      <c r="C15523" s="6">
        <v>0.82264862166949204</v>
      </c>
    </row>
    <row r="15524" spans="1:3" s="8" customFormat="1" x14ac:dyDescent="0.2">
      <c r="A15524" s="6" t="str">
        <f>"ARHGEF7"</f>
        <v>ARHGEF7</v>
      </c>
      <c r="B15524" s="6">
        <v>0.72627372627372599</v>
      </c>
      <c r="C15524" s="6">
        <v>0.82264862166949204</v>
      </c>
    </row>
    <row r="15525" spans="1:3" s="8" customFormat="1" x14ac:dyDescent="0.2">
      <c r="A15525" s="6" t="str">
        <f>"TMEM190"</f>
        <v>TMEM190</v>
      </c>
      <c r="B15525" s="6">
        <v>0.72627372627372599</v>
      </c>
      <c r="C15525" s="6">
        <v>0.82264862166949204</v>
      </c>
    </row>
    <row r="15526" spans="1:3" s="8" customFormat="1" x14ac:dyDescent="0.2">
      <c r="A15526" s="6" t="str">
        <f>"AC051619.5"</f>
        <v>AC051619.5</v>
      </c>
      <c r="B15526" s="6">
        <v>0.72662601626016199</v>
      </c>
      <c r="C15526" s="6">
        <v>0.82299464540539102</v>
      </c>
    </row>
    <row r="15527" spans="1:3" s="8" customFormat="1" x14ac:dyDescent="0.2">
      <c r="A15527" s="6" t="str">
        <f>"AC011944.1"</f>
        <v>AC011944.1</v>
      </c>
      <c r="B15527" s="6">
        <v>0.72727272727272696</v>
      </c>
      <c r="C15527" s="6">
        <v>0.82356798276427301</v>
      </c>
    </row>
    <row r="15528" spans="1:3" s="8" customFormat="1" x14ac:dyDescent="0.2">
      <c r="A15528" s="6" t="str">
        <f>"AL117329.1"</f>
        <v>AL117329.1</v>
      </c>
      <c r="B15528" s="6">
        <v>0.72727272727272696</v>
      </c>
      <c r="C15528" s="6">
        <v>0.82356798276427301</v>
      </c>
    </row>
    <row r="15529" spans="1:3" s="8" customFormat="1" x14ac:dyDescent="0.2">
      <c r="A15529" s="6" t="str">
        <f>"CD1E"</f>
        <v>CD1E</v>
      </c>
      <c r="B15529" s="6">
        <v>0.72727272727272696</v>
      </c>
      <c r="C15529" s="6">
        <v>0.82356798276427301</v>
      </c>
    </row>
    <row r="15530" spans="1:3" s="8" customFormat="1" x14ac:dyDescent="0.2">
      <c r="A15530" s="6" t="str">
        <f>"AC096564.1"</f>
        <v>AC096564.1</v>
      </c>
      <c r="B15530" s="6">
        <v>0.72736625514403297</v>
      </c>
      <c r="C15530" s="6">
        <v>0.82362085327147105</v>
      </c>
    </row>
    <row r="15531" spans="1:3" s="8" customFormat="1" x14ac:dyDescent="0.2">
      <c r="A15531" s="6" t="str">
        <f>"AC092835.1"</f>
        <v>AC092835.1</v>
      </c>
      <c r="B15531" s="6">
        <v>0.72772772772772698</v>
      </c>
      <c r="C15531" s="6">
        <v>0.82397710008785296</v>
      </c>
    </row>
    <row r="15532" spans="1:3" s="8" customFormat="1" x14ac:dyDescent="0.2">
      <c r="A15532" s="6" t="str">
        <f>"PTGER2"</f>
        <v>PTGER2</v>
      </c>
      <c r="B15532" s="6">
        <v>0.72799999999999998</v>
      </c>
      <c r="C15532" s="6">
        <v>0.82423230957439897</v>
      </c>
    </row>
    <row r="15533" spans="1:3" s="8" customFormat="1" x14ac:dyDescent="0.2">
      <c r="A15533" s="6" t="str">
        <f>"IGHV3-43"</f>
        <v>IGHV3-43</v>
      </c>
      <c r="B15533" s="6">
        <v>0.72827172827172804</v>
      </c>
      <c r="C15533" s="6">
        <v>0.82438071777585098</v>
      </c>
    </row>
    <row r="15534" spans="1:3" s="8" customFormat="1" x14ac:dyDescent="0.2">
      <c r="A15534" s="6" t="str">
        <f>"PRKAR1B"</f>
        <v>PRKAR1B</v>
      </c>
      <c r="B15534" s="6">
        <v>0.72827172827172804</v>
      </c>
      <c r="C15534" s="6">
        <v>0.82438071777585098</v>
      </c>
    </row>
    <row r="15535" spans="1:3" s="8" customFormat="1" x14ac:dyDescent="0.2">
      <c r="A15535" s="6" t="str">
        <f>"PPRC1"</f>
        <v>PPRC1</v>
      </c>
      <c r="B15535" s="6">
        <v>0.72827172827172804</v>
      </c>
      <c r="C15535" s="6">
        <v>0.82438071777585098</v>
      </c>
    </row>
    <row r="15536" spans="1:3" s="8" customFormat="1" x14ac:dyDescent="0.2">
      <c r="A15536" s="6" t="str">
        <f>"LINC02609"</f>
        <v>LINC02609</v>
      </c>
      <c r="B15536" s="6">
        <v>0.72872872872872796</v>
      </c>
      <c r="C15536" s="6">
        <v>0.82484492861061898</v>
      </c>
    </row>
    <row r="15537" spans="1:3" s="8" customFormat="1" x14ac:dyDescent="0.2">
      <c r="A15537" s="6" t="str">
        <f>"AL162731.1"</f>
        <v>AL162731.1</v>
      </c>
      <c r="B15537" s="6">
        <v>0.729270729270729</v>
      </c>
      <c r="C15537" s="6">
        <v>0.82503355230627895</v>
      </c>
    </row>
    <row r="15538" spans="1:3" s="8" customFormat="1" x14ac:dyDescent="0.2">
      <c r="A15538" s="6" t="str">
        <f>"DIRAS1"</f>
        <v>DIRAS1</v>
      </c>
      <c r="B15538" s="6">
        <v>0.729270729270729</v>
      </c>
      <c r="C15538" s="6">
        <v>0.82503355230627895</v>
      </c>
    </row>
    <row r="15539" spans="1:3" s="8" customFormat="1" x14ac:dyDescent="0.2">
      <c r="A15539" s="6" t="str">
        <f>"AL137798.2"</f>
        <v>AL137798.2</v>
      </c>
      <c r="B15539" s="6">
        <v>0.729270729270729</v>
      </c>
      <c r="C15539" s="6">
        <v>0.82503355230627895</v>
      </c>
    </row>
    <row r="15540" spans="1:3" s="8" customFormat="1" x14ac:dyDescent="0.2">
      <c r="A15540" s="6" t="str">
        <f>"CD1A"</f>
        <v>CD1A</v>
      </c>
      <c r="B15540" s="6">
        <v>0.729270729270729</v>
      </c>
      <c r="C15540" s="6">
        <v>0.82503355230627895</v>
      </c>
    </row>
    <row r="15541" spans="1:3" s="8" customFormat="1" x14ac:dyDescent="0.2">
      <c r="A15541" s="6" t="str">
        <f>"MANEA-DT"</f>
        <v>MANEA-DT</v>
      </c>
      <c r="B15541" s="6">
        <v>0.729270729270729</v>
      </c>
      <c r="C15541" s="6">
        <v>0.82503355230627895</v>
      </c>
    </row>
    <row r="15542" spans="1:3" s="8" customFormat="1" x14ac:dyDescent="0.2">
      <c r="A15542" s="6" t="str">
        <f>"PUSL1"</f>
        <v>PUSL1</v>
      </c>
      <c r="B15542" s="6">
        <v>0.729270729270729</v>
      </c>
      <c r="C15542" s="6">
        <v>0.82503355230627895</v>
      </c>
    </row>
    <row r="15543" spans="1:3" s="8" customFormat="1" x14ac:dyDescent="0.2">
      <c r="A15543" s="6" t="str">
        <f>"VPS52"</f>
        <v>VPS52</v>
      </c>
      <c r="B15543" s="6">
        <v>0.729270729270729</v>
      </c>
      <c r="C15543" s="6">
        <v>0.82503355230627895</v>
      </c>
    </row>
    <row r="15544" spans="1:3" s="8" customFormat="1" x14ac:dyDescent="0.2">
      <c r="A15544" s="6" t="str">
        <f>"TTC21A"</f>
        <v>TTC21A</v>
      </c>
      <c r="B15544" s="6">
        <v>0.729270729270729</v>
      </c>
      <c r="C15544" s="6">
        <v>0.82503355230627895</v>
      </c>
    </row>
    <row r="15545" spans="1:3" s="8" customFormat="1" x14ac:dyDescent="0.2">
      <c r="A15545" s="6" t="str">
        <f>"ACKR4P1"</f>
        <v>ACKR4P1</v>
      </c>
      <c r="B15545" s="6">
        <v>0.73026973026972997</v>
      </c>
      <c r="C15545" s="6">
        <v>0.82573872658111602</v>
      </c>
    </row>
    <row r="15546" spans="1:3" s="8" customFormat="1" x14ac:dyDescent="0.2">
      <c r="A15546" s="6" t="str">
        <f>"AC093010.1"</f>
        <v>AC093010.1</v>
      </c>
      <c r="B15546" s="6">
        <v>0.73026973026972997</v>
      </c>
      <c r="C15546" s="6">
        <v>0.82573872658111602</v>
      </c>
    </row>
    <row r="15547" spans="1:3" s="8" customFormat="1" x14ac:dyDescent="0.2">
      <c r="A15547" s="6" t="str">
        <f>"AC005696.1"</f>
        <v>AC005696.1</v>
      </c>
      <c r="B15547" s="6">
        <v>0.73</v>
      </c>
      <c r="C15547" s="6">
        <v>0.82573872658111602</v>
      </c>
    </row>
    <row r="15548" spans="1:3" s="8" customFormat="1" x14ac:dyDescent="0.2">
      <c r="A15548" s="6" t="str">
        <f>"CCL14"</f>
        <v>CCL14</v>
      </c>
      <c r="B15548" s="6">
        <v>0.73026973026972997</v>
      </c>
      <c r="C15548" s="6">
        <v>0.82573872658111602</v>
      </c>
    </row>
    <row r="15549" spans="1:3" s="8" customFormat="1" x14ac:dyDescent="0.2">
      <c r="A15549" s="6" t="str">
        <f>"DUSP15"</f>
        <v>DUSP15</v>
      </c>
      <c r="B15549" s="6">
        <v>0.73</v>
      </c>
      <c r="C15549" s="6">
        <v>0.82573872658111602</v>
      </c>
    </row>
    <row r="15550" spans="1:3" s="8" customFormat="1" x14ac:dyDescent="0.2">
      <c r="A15550" s="6" t="str">
        <f>"SMOC1"</f>
        <v>SMOC1</v>
      </c>
      <c r="B15550" s="6">
        <v>0.73026973026972997</v>
      </c>
      <c r="C15550" s="6">
        <v>0.82573872658111602</v>
      </c>
    </row>
    <row r="15551" spans="1:3" s="8" customFormat="1" x14ac:dyDescent="0.2">
      <c r="A15551" s="6" t="str">
        <f>"RNASEH2A"</f>
        <v>RNASEH2A</v>
      </c>
      <c r="B15551" s="6">
        <v>0.73026973026972997</v>
      </c>
      <c r="C15551" s="6">
        <v>0.82573872658111602</v>
      </c>
    </row>
    <row r="15552" spans="1:3" s="8" customFormat="1" x14ac:dyDescent="0.2">
      <c r="A15552" s="6" t="str">
        <f>"ZFYVE27"</f>
        <v>ZFYVE27</v>
      </c>
      <c r="B15552" s="6">
        <v>0.73026973026972997</v>
      </c>
      <c r="C15552" s="6">
        <v>0.82573872658111602</v>
      </c>
    </row>
    <row r="15553" spans="1:3" s="8" customFormat="1" x14ac:dyDescent="0.2">
      <c r="A15553" s="6" t="str">
        <f>"AL136981.2"</f>
        <v>AL136981.2</v>
      </c>
      <c r="B15553" s="6">
        <v>0.73081081081081001</v>
      </c>
      <c r="C15553" s="6">
        <v>0.82629740851962996</v>
      </c>
    </row>
    <row r="15554" spans="1:3" s="8" customFormat="1" x14ac:dyDescent="0.2">
      <c r="A15554" s="6" t="str">
        <f>"AC008966.3"</f>
        <v>AC008966.3</v>
      </c>
      <c r="B15554" s="6">
        <v>0.73099999999999998</v>
      </c>
      <c r="C15554" s="6">
        <v>0.82639006237977897</v>
      </c>
    </row>
    <row r="15555" spans="1:3" s="8" customFormat="1" x14ac:dyDescent="0.2">
      <c r="A15555" s="6" t="str">
        <f>"TACR2"</f>
        <v>TACR2</v>
      </c>
      <c r="B15555" s="6">
        <v>0.73126873126873104</v>
      </c>
      <c r="C15555" s="6">
        <v>0.82639006237977897</v>
      </c>
    </row>
    <row r="15556" spans="1:3" s="8" customFormat="1" x14ac:dyDescent="0.2">
      <c r="A15556" s="6" t="str">
        <f>"LINC01907"</f>
        <v>LINC01907</v>
      </c>
      <c r="B15556" s="6">
        <v>0.73126873126873104</v>
      </c>
      <c r="C15556" s="6">
        <v>0.82639006237977897</v>
      </c>
    </row>
    <row r="15557" spans="1:3" s="8" customFormat="1" x14ac:dyDescent="0.2">
      <c r="A15557" s="6" t="str">
        <f>"AL669942.1"</f>
        <v>AL669942.1</v>
      </c>
      <c r="B15557" s="6">
        <v>0.73126873126873104</v>
      </c>
      <c r="C15557" s="6">
        <v>0.82639006237977897</v>
      </c>
    </row>
    <row r="15558" spans="1:3" s="8" customFormat="1" x14ac:dyDescent="0.2">
      <c r="A15558" s="6" t="str">
        <f>"Z94721.2"</f>
        <v>Z94721.2</v>
      </c>
      <c r="B15558" s="6">
        <v>0.73126873126873104</v>
      </c>
      <c r="C15558" s="6">
        <v>0.82639006237977897</v>
      </c>
    </row>
    <row r="15559" spans="1:3" s="8" customFormat="1" x14ac:dyDescent="0.2">
      <c r="A15559" s="6" t="str">
        <f>"SLC9A7P1"</f>
        <v>SLC9A7P1</v>
      </c>
      <c r="B15559" s="6">
        <v>0.73126873126873104</v>
      </c>
      <c r="C15559" s="6">
        <v>0.82639006237977897</v>
      </c>
    </row>
    <row r="15560" spans="1:3" s="8" customFormat="1" x14ac:dyDescent="0.2">
      <c r="A15560" s="6" t="str">
        <f>"NPTXR"</f>
        <v>NPTXR</v>
      </c>
      <c r="B15560" s="6">
        <v>0.73126873126873104</v>
      </c>
      <c r="C15560" s="6">
        <v>0.82639006237977897</v>
      </c>
    </row>
    <row r="15561" spans="1:3" s="8" customFormat="1" x14ac:dyDescent="0.2">
      <c r="A15561" s="6" t="str">
        <f>"ZBTB39"</f>
        <v>ZBTB39</v>
      </c>
      <c r="B15561" s="6">
        <v>0.73126873126873104</v>
      </c>
      <c r="C15561" s="6">
        <v>0.82639006237977897</v>
      </c>
    </row>
    <row r="15562" spans="1:3" s="8" customFormat="1" x14ac:dyDescent="0.2">
      <c r="A15562" s="6" t="str">
        <f>"AL391058.1"</f>
        <v>AL391058.1</v>
      </c>
      <c r="B15562" s="6">
        <v>0.73132780082987503</v>
      </c>
      <c r="C15562" s="6">
        <v>0.826403704761424</v>
      </c>
    </row>
    <row r="15563" spans="1:3" s="8" customFormat="1" x14ac:dyDescent="0.2">
      <c r="A15563" s="6" t="str">
        <f>"AHCTF1P1"</f>
        <v>AHCTF1P1</v>
      </c>
      <c r="B15563" s="6">
        <v>0.73146292585170303</v>
      </c>
      <c r="C15563" s="6">
        <v>0.82650328287985797</v>
      </c>
    </row>
    <row r="15564" spans="1:3" s="8" customFormat="1" x14ac:dyDescent="0.2">
      <c r="A15564" s="6" t="str">
        <f>"AC009167.1"</f>
        <v>AC009167.1</v>
      </c>
      <c r="B15564" s="6">
        <v>0.73230769230769199</v>
      </c>
      <c r="C15564" s="6">
        <v>0.82697954283851105</v>
      </c>
    </row>
    <row r="15565" spans="1:3" s="8" customFormat="1" x14ac:dyDescent="0.2">
      <c r="A15565" s="6" t="str">
        <f>"LINC01393"</f>
        <v>LINC01393</v>
      </c>
      <c r="B15565" s="6">
        <v>0.73226773226773201</v>
      </c>
      <c r="C15565" s="6">
        <v>0.82697954283851105</v>
      </c>
    </row>
    <row r="15566" spans="1:3" s="8" customFormat="1" x14ac:dyDescent="0.2">
      <c r="A15566" s="6" t="str">
        <f>"ARL4AP2"</f>
        <v>ARL4AP2</v>
      </c>
      <c r="B15566" s="6">
        <v>0.73226773226773201</v>
      </c>
      <c r="C15566" s="6">
        <v>0.82697954283851105</v>
      </c>
    </row>
    <row r="15567" spans="1:3" s="8" customFormat="1" x14ac:dyDescent="0.2">
      <c r="A15567" s="6" t="str">
        <f>"LINC02452"</f>
        <v>LINC02452</v>
      </c>
      <c r="B15567" s="6">
        <v>0.73199999999999998</v>
      </c>
      <c r="C15567" s="6">
        <v>0.82697954283851105</v>
      </c>
    </row>
    <row r="15568" spans="1:3" s="8" customFormat="1" x14ac:dyDescent="0.2">
      <c r="A15568" s="6" t="str">
        <f>"AL513318.1"</f>
        <v>AL513318.1</v>
      </c>
      <c r="B15568" s="6">
        <v>0.73226773226773201</v>
      </c>
      <c r="C15568" s="6">
        <v>0.82697954283851105</v>
      </c>
    </row>
    <row r="15569" spans="1:3" s="8" customFormat="1" x14ac:dyDescent="0.2">
      <c r="A15569" s="6" t="str">
        <f>"RASGRF1"</f>
        <v>RASGRF1</v>
      </c>
      <c r="B15569" s="6">
        <v>0.73226773226773201</v>
      </c>
      <c r="C15569" s="6">
        <v>0.82697954283851105</v>
      </c>
    </row>
    <row r="15570" spans="1:3" s="8" customFormat="1" x14ac:dyDescent="0.2">
      <c r="A15570" s="6" t="str">
        <f>"AL392086.3"</f>
        <v>AL392086.3</v>
      </c>
      <c r="B15570" s="6">
        <v>0.73226773226773201</v>
      </c>
      <c r="C15570" s="6">
        <v>0.82697954283851105</v>
      </c>
    </row>
    <row r="15571" spans="1:3" s="8" customFormat="1" x14ac:dyDescent="0.2">
      <c r="A15571" s="6" t="str">
        <f>"MBNL3"</f>
        <v>MBNL3</v>
      </c>
      <c r="B15571" s="6">
        <v>0.73226773226773201</v>
      </c>
      <c r="C15571" s="6">
        <v>0.82697954283851105</v>
      </c>
    </row>
    <row r="15572" spans="1:3" s="8" customFormat="1" x14ac:dyDescent="0.2">
      <c r="A15572" s="6" t="str">
        <f>"IRF2BPL"</f>
        <v>IRF2BPL</v>
      </c>
      <c r="B15572" s="6">
        <v>0.73226773226773201</v>
      </c>
      <c r="C15572" s="6">
        <v>0.82697954283851105</v>
      </c>
    </row>
    <row r="15573" spans="1:3" s="8" customFormat="1" x14ac:dyDescent="0.2">
      <c r="A15573" s="6" t="str">
        <f>"AC092849.2"</f>
        <v>AC092849.2</v>
      </c>
      <c r="B15573" s="6">
        <v>0.73299999999999998</v>
      </c>
      <c r="C15573" s="6">
        <v>0.82737180683792599</v>
      </c>
    </row>
    <row r="15574" spans="1:3" s="8" customFormat="1" x14ac:dyDescent="0.2">
      <c r="A15574" s="6" t="str">
        <f>"AL359715.4"</f>
        <v>AL359715.4</v>
      </c>
      <c r="B15574" s="6">
        <v>0.73326673326673297</v>
      </c>
      <c r="C15574" s="6">
        <v>0.82737180683792599</v>
      </c>
    </row>
    <row r="15575" spans="1:3" s="8" customFormat="1" x14ac:dyDescent="0.2">
      <c r="A15575" s="6" t="str">
        <f>"AL590787.1"</f>
        <v>AL590787.1</v>
      </c>
      <c r="B15575" s="6">
        <v>0.73326673326673297</v>
      </c>
      <c r="C15575" s="6">
        <v>0.82737180683792599</v>
      </c>
    </row>
    <row r="15576" spans="1:3" s="8" customFormat="1" x14ac:dyDescent="0.2">
      <c r="A15576" s="6" t="str">
        <f>"AC103706.1"</f>
        <v>AC103706.1</v>
      </c>
      <c r="B15576" s="6">
        <v>0.73326673326673297</v>
      </c>
      <c r="C15576" s="6">
        <v>0.82737180683792599</v>
      </c>
    </row>
    <row r="15577" spans="1:3" s="8" customFormat="1" x14ac:dyDescent="0.2">
      <c r="A15577" s="6" t="str">
        <f>"AC114730.1"</f>
        <v>AC114730.1</v>
      </c>
      <c r="B15577" s="6">
        <v>0.73319959879638896</v>
      </c>
      <c r="C15577" s="6">
        <v>0.82737180683792599</v>
      </c>
    </row>
    <row r="15578" spans="1:3" s="8" customFormat="1" x14ac:dyDescent="0.2">
      <c r="A15578" s="6" t="str">
        <f>"AL121790.1"</f>
        <v>AL121790.1</v>
      </c>
      <c r="B15578" s="6">
        <v>0.73326673326673297</v>
      </c>
      <c r="C15578" s="6">
        <v>0.82737180683792599</v>
      </c>
    </row>
    <row r="15579" spans="1:3" s="8" customFormat="1" x14ac:dyDescent="0.2">
      <c r="A15579" s="6" t="str">
        <f>"RIMBP3"</f>
        <v>RIMBP3</v>
      </c>
      <c r="B15579" s="6">
        <v>0.73326673326673297</v>
      </c>
      <c r="C15579" s="6">
        <v>0.82737180683792599</v>
      </c>
    </row>
    <row r="15580" spans="1:3" s="8" customFormat="1" x14ac:dyDescent="0.2">
      <c r="A15580" s="6" t="str">
        <f>"SLA2"</f>
        <v>SLA2</v>
      </c>
      <c r="B15580" s="6">
        <v>0.73326673326673297</v>
      </c>
      <c r="C15580" s="6">
        <v>0.82737180683792599</v>
      </c>
    </row>
    <row r="15581" spans="1:3" s="8" customFormat="1" x14ac:dyDescent="0.2">
      <c r="A15581" s="6" t="str">
        <f>"VWCE"</f>
        <v>VWCE</v>
      </c>
      <c r="B15581" s="6">
        <v>0.73326673326673297</v>
      </c>
      <c r="C15581" s="6">
        <v>0.82737180683792599</v>
      </c>
    </row>
    <row r="15582" spans="1:3" s="8" customFormat="1" x14ac:dyDescent="0.2">
      <c r="A15582" s="6" t="str">
        <f>"WDR37"</f>
        <v>WDR37</v>
      </c>
      <c r="B15582" s="6">
        <v>0.73326673326673297</v>
      </c>
      <c r="C15582" s="6">
        <v>0.82737180683792599</v>
      </c>
    </row>
    <row r="15583" spans="1:3" s="8" customFormat="1" x14ac:dyDescent="0.2">
      <c r="A15583" s="6" t="str">
        <f>"LSM1"</f>
        <v>LSM1</v>
      </c>
      <c r="B15583" s="6">
        <v>0.73326673326673297</v>
      </c>
      <c r="C15583" s="6">
        <v>0.82737180683792599</v>
      </c>
    </row>
    <row r="15584" spans="1:3" s="8" customFormat="1" x14ac:dyDescent="0.2">
      <c r="A15584" s="6" t="str">
        <f>"FGFR3"</f>
        <v>FGFR3</v>
      </c>
      <c r="B15584" s="6">
        <v>0.73326673326673297</v>
      </c>
      <c r="C15584" s="6">
        <v>0.82737180683792599</v>
      </c>
    </row>
    <row r="15585" spans="1:3" s="8" customFormat="1" x14ac:dyDescent="0.2">
      <c r="A15585" s="6" t="str">
        <f>"PGAM1"</f>
        <v>PGAM1</v>
      </c>
      <c r="B15585" s="6">
        <v>0.73326673326673297</v>
      </c>
      <c r="C15585" s="6">
        <v>0.82737180683792599</v>
      </c>
    </row>
    <row r="15586" spans="1:3" s="8" customFormat="1" x14ac:dyDescent="0.2">
      <c r="A15586" s="6" t="str">
        <f>"AC019171.1"</f>
        <v>AC019171.1</v>
      </c>
      <c r="B15586" s="6">
        <v>0.73346693386773498</v>
      </c>
      <c r="C15586" s="6">
        <v>0.82754459834008698</v>
      </c>
    </row>
    <row r="15587" spans="1:3" s="8" customFormat="1" x14ac:dyDescent="0.2">
      <c r="A15587" s="6" t="str">
        <f>"UGT3A1"</f>
        <v>UGT3A1</v>
      </c>
      <c r="B15587" s="6">
        <v>0.73426573426573405</v>
      </c>
      <c r="C15587" s="6">
        <v>0.82796772292732201</v>
      </c>
    </row>
    <row r="15588" spans="1:3" s="8" customFormat="1" x14ac:dyDescent="0.2">
      <c r="A15588" s="6" t="str">
        <f>"AC135782.3"</f>
        <v>AC135782.3</v>
      </c>
      <c r="B15588" s="6">
        <v>0.73426573426573405</v>
      </c>
      <c r="C15588" s="6">
        <v>0.82796772292732201</v>
      </c>
    </row>
    <row r="15589" spans="1:3" s="8" customFormat="1" x14ac:dyDescent="0.2">
      <c r="A15589" s="6" t="str">
        <f>"XCL1"</f>
        <v>XCL1</v>
      </c>
      <c r="B15589" s="6">
        <v>0.73426573426573405</v>
      </c>
      <c r="C15589" s="6">
        <v>0.82796772292732201</v>
      </c>
    </row>
    <row r="15590" spans="1:3" s="8" customFormat="1" x14ac:dyDescent="0.2">
      <c r="A15590" s="6" t="str">
        <f>"AC007620.2"</f>
        <v>AC007620.2</v>
      </c>
      <c r="B15590" s="6">
        <v>0.73426573426573405</v>
      </c>
      <c r="C15590" s="6">
        <v>0.82796772292732201</v>
      </c>
    </row>
    <row r="15591" spans="1:3" s="8" customFormat="1" x14ac:dyDescent="0.2">
      <c r="A15591" s="6" t="str">
        <f>"AC009053.2"</f>
        <v>AC009053.2</v>
      </c>
      <c r="B15591" s="6">
        <v>0.73420260782347002</v>
      </c>
      <c r="C15591" s="6">
        <v>0.82796772292732201</v>
      </c>
    </row>
    <row r="15592" spans="1:3" s="8" customFormat="1" x14ac:dyDescent="0.2">
      <c r="A15592" s="6" t="str">
        <f>"IGIP"</f>
        <v>IGIP</v>
      </c>
      <c r="B15592" s="6">
        <v>0.73426573426573405</v>
      </c>
      <c r="C15592" s="6">
        <v>0.82796772292732201</v>
      </c>
    </row>
    <row r="15593" spans="1:3" s="8" customFormat="1" x14ac:dyDescent="0.2">
      <c r="A15593" s="6" t="str">
        <f>"ZNF48"</f>
        <v>ZNF48</v>
      </c>
      <c r="B15593" s="6">
        <v>0.73426573426573405</v>
      </c>
      <c r="C15593" s="6">
        <v>0.82796772292732201</v>
      </c>
    </row>
    <row r="15594" spans="1:3" s="8" customFormat="1" x14ac:dyDescent="0.2">
      <c r="A15594" s="6" t="str">
        <f>"TMEM41B"</f>
        <v>TMEM41B</v>
      </c>
      <c r="B15594" s="6">
        <v>0.73426573426573405</v>
      </c>
      <c r="C15594" s="6">
        <v>0.82796772292732201</v>
      </c>
    </row>
    <row r="15595" spans="1:3" s="8" customFormat="1" x14ac:dyDescent="0.2">
      <c r="A15595" s="6" t="str">
        <f>"OGA"</f>
        <v>OGA</v>
      </c>
      <c r="B15595" s="6">
        <v>0.73426573426573405</v>
      </c>
      <c r="C15595" s="6">
        <v>0.82796772292732201</v>
      </c>
    </row>
    <row r="15596" spans="1:3" s="8" customFormat="1" x14ac:dyDescent="0.2">
      <c r="A15596" s="6" t="str">
        <f>"AL589787.2"</f>
        <v>AL589787.2</v>
      </c>
      <c r="B15596" s="6">
        <v>0.73440643863179</v>
      </c>
      <c r="C15596" s="6">
        <v>0.82807328098117405</v>
      </c>
    </row>
    <row r="15597" spans="1:3" s="8" customFormat="1" x14ac:dyDescent="0.2">
      <c r="A15597" s="6" t="str">
        <f>"OR1A1"</f>
        <v>OR1A1</v>
      </c>
      <c r="B15597" s="6">
        <v>0.73499999999999999</v>
      </c>
      <c r="C15597" s="6">
        <v>0.828689407540395</v>
      </c>
    </row>
    <row r="15598" spans="1:3" s="8" customFormat="1" x14ac:dyDescent="0.2">
      <c r="A15598" s="6" t="str">
        <f>"AC026202.3"</f>
        <v>AC026202.3</v>
      </c>
      <c r="B15598" s="6">
        <v>0.73508594539939298</v>
      </c>
      <c r="C15598" s="6">
        <v>0.82872220401865904</v>
      </c>
    </row>
    <row r="15599" spans="1:3" s="8" customFormat="1" x14ac:dyDescent="0.2">
      <c r="A15599" s="6" t="str">
        <f>"AL096701.3"</f>
        <v>AL096701.3</v>
      </c>
      <c r="B15599" s="6">
        <v>0.73526473526473501</v>
      </c>
      <c r="C15599" s="6">
        <v>0.82872220401865904</v>
      </c>
    </row>
    <row r="15600" spans="1:3" s="8" customFormat="1" x14ac:dyDescent="0.2">
      <c r="A15600" s="6" t="str">
        <f>"SH2D2A"</f>
        <v>SH2D2A</v>
      </c>
      <c r="B15600" s="6">
        <v>0.73526473526473501</v>
      </c>
      <c r="C15600" s="6">
        <v>0.82872220401865904</v>
      </c>
    </row>
    <row r="15601" spans="1:3" s="8" customFormat="1" x14ac:dyDescent="0.2">
      <c r="A15601" s="6" t="str">
        <f>"AP002358.1"</f>
        <v>AP002358.1</v>
      </c>
      <c r="B15601" s="6">
        <v>0.73526473526473501</v>
      </c>
      <c r="C15601" s="6">
        <v>0.82872220401865904</v>
      </c>
    </row>
    <row r="15602" spans="1:3" s="8" customFormat="1" x14ac:dyDescent="0.2">
      <c r="A15602" s="6" t="str">
        <f>"ADAMTS9"</f>
        <v>ADAMTS9</v>
      </c>
      <c r="B15602" s="6">
        <v>0.73526473526473501</v>
      </c>
      <c r="C15602" s="6">
        <v>0.82872220401865904</v>
      </c>
    </row>
    <row r="15603" spans="1:3" s="8" customFormat="1" x14ac:dyDescent="0.2">
      <c r="A15603" s="6" t="str">
        <f>"ZFY-AS1"</f>
        <v>ZFY-AS1</v>
      </c>
      <c r="B15603" s="6">
        <v>0.73542116630669496</v>
      </c>
      <c r="C15603" s="6">
        <v>0.82884539086892295</v>
      </c>
    </row>
    <row r="15604" spans="1:3" s="8" customFormat="1" x14ac:dyDescent="0.2">
      <c r="A15604" s="6" t="str">
        <f>"SLCO1B3-SLCO1B7"</f>
        <v>SLCO1B3-SLCO1B7</v>
      </c>
      <c r="B15604" s="6">
        <v>0.73626373626373598</v>
      </c>
      <c r="C15604" s="6">
        <v>0.82936973340560705</v>
      </c>
    </row>
    <row r="15605" spans="1:3" s="8" customFormat="1" x14ac:dyDescent="0.2">
      <c r="A15605" s="6" t="str">
        <f>"RAD21-AS1"</f>
        <v>RAD21-AS1</v>
      </c>
      <c r="B15605" s="6">
        <v>0.73626373626373598</v>
      </c>
      <c r="C15605" s="6">
        <v>0.82936973340560705</v>
      </c>
    </row>
    <row r="15606" spans="1:3" s="8" customFormat="1" x14ac:dyDescent="0.2">
      <c r="A15606" s="6" t="str">
        <f>"AC005261.3"</f>
        <v>AC005261.3</v>
      </c>
      <c r="B15606" s="6">
        <v>0.73599999999999999</v>
      </c>
      <c r="C15606" s="6">
        <v>0.82936973340560705</v>
      </c>
    </row>
    <row r="15607" spans="1:3" s="8" customFormat="1" x14ac:dyDescent="0.2">
      <c r="A15607" s="6" t="str">
        <f>"SYNE4"</f>
        <v>SYNE4</v>
      </c>
      <c r="B15607" s="6">
        <v>0.73626373626373598</v>
      </c>
      <c r="C15607" s="6">
        <v>0.82936973340560705</v>
      </c>
    </row>
    <row r="15608" spans="1:3" s="8" customFormat="1" x14ac:dyDescent="0.2">
      <c r="A15608" s="6" t="str">
        <f>"NR1H3"</f>
        <v>NR1H3</v>
      </c>
      <c r="B15608" s="6">
        <v>0.73626373626373598</v>
      </c>
      <c r="C15608" s="6">
        <v>0.82936973340560705</v>
      </c>
    </row>
    <row r="15609" spans="1:3" s="8" customFormat="1" x14ac:dyDescent="0.2">
      <c r="A15609" s="6" t="str">
        <f>"TMLHE"</f>
        <v>TMLHE</v>
      </c>
      <c r="B15609" s="6">
        <v>0.73626373626373598</v>
      </c>
      <c r="C15609" s="6">
        <v>0.82936973340560705</v>
      </c>
    </row>
    <row r="15610" spans="1:3" s="8" customFormat="1" x14ac:dyDescent="0.2">
      <c r="A15610" s="6" t="str">
        <f>"UBL7"</f>
        <v>UBL7</v>
      </c>
      <c r="B15610" s="6">
        <v>0.73626373626373598</v>
      </c>
      <c r="C15610" s="6">
        <v>0.82936973340560705</v>
      </c>
    </row>
    <row r="15611" spans="1:3" s="8" customFormat="1" x14ac:dyDescent="0.2">
      <c r="A15611" s="6" t="str">
        <f>"VAPB"</f>
        <v>VAPB</v>
      </c>
      <c r="B15611" s="6">
        <v>0.73626373626373598</v>
      </c>
      <c r="C15611" s="6">
        <v>0.82936973340560705</v>
      </c>
    </row>
    <row r="15612" spans="1:3" s="8" customFormat="1" x14ac:dyDescent="0.2">
      <c r="A15612" s="6" t="str">
        <f>"AC008915.1"</f>
        <v>AC008915.1</v>
      </c>
      <c r="B15612" s="6">
        <v>0.73635427394438702</v>
      </c>
      <c r="C15612" s="6">
        <v>0.82941858644789601</v>
      </c>
    </row>
    <row r="15613" spans="1:3" s="8" customFormat="1" x14ac:dyDescent="0.2">
      <c r="A15613" s="6" t="str">
        <f>"NR1I3"</f>
        <v>NR1I3</v>
      </c>
      <c r="B15613" s="6">
        <v>0.73726273726273694</v>
      </c>
      <c r="C15613" s="6">
        <v>0.83022913685737898</v>
      </c>
    </row>
    <row r="15614" spans="1:3" s="8" customFormat="1" x14ac:dyDescent="0.2">
      <c r="A15614" s="6" t="str">
        <f>"TRBC1"</f>
        <v>TRBC1</v>
      </c>
      <c r="B15614" s="6">
        <v>0.73726273726273694</v>
      </c>
      <c r="C15614" s="6">
        <v>0.83022913685737898</v>
      </c>
    </row>
    <row r="15615" spans="1:3" s="8" customFormat="1" x14ac:dyDescent="0.2">
      <c r="A15615" s="6" t="str">
        <f>"LRRC37A4P"</f>
        <v>LRRC37A4P</v>
      </c>
      <c r="B15615" s="6">
        <v>0.73726273726273694</v>
      </c>
      <c r="C15615" s="6">
        <v>0.83022913685737898</v>
      </c>
    </row>
    <row r="15616" spans="1:3" s="8" customFormat="1" x14ac:dyDescent="0.2">
      <c r="A15616" s="6" t="str">
        <f>"ZG16B"</f>
        <v>ZG16B</v>
      </c>
      <c r="B15616" s="6">
        <v>0.73726273726273694</v>
      </c>
      <c r="C15616" s="6">
        <v>0.83022913685737898</v>
      </c>
    </row>
    <row r="15617" spans="1:3" s="8" customFormat="1" x14ac:dyDescent="0.2">
      <c r="A15617" s="6" t="str">
        <f>"NQO2-AS1"</f>
        <v>NQO2-AS1</v>
      </c>
      <c r="B15617" s="6">
        <v>0.73826173826173802</v>
      </c>
      <c r="C15617" s="6">
        <v>0.83087521797199204</v>
      </c>
    </row>
    <row r="15618" spans="1:3" s="8" customFormat="1" x14ac:dyDescent="0.2">
      <c r="A15618" s="6" t="str">
        <f>"PEBP4"</f>
        <v>PEBP4</v>
      </c>
      <c r="B15618" s="6">
        <v>0.73826173826173802</v>
      </c>
      <c r="C15618" s="6">
        <v>0.83087521797199204</v>
      </c>
    </row>
    <row r="15619" spans="1:3" s="8" customFormat="1" x14ac:dyDescent="0.2">
      <c r="A15619" s="6" t="str">
        <f>"AC114490.1"</f>
        <v>AC114490.1</v>
      </c>
      <c r="B15619" s="6">
        <v>0.73826173826173802</v>
      </c>
      <c r="C15619" s="6">
        <v>0.83087521797199204</v>
      </c>
    </row>
    <row r="15620" spans="1:3" s="8" customFormat="1" x14ac:dyDescent="0.2">
      <c r="A15620" s="6" t="str">
        <f>"CCDC158"</f>
        <v>CCDC158</v>
      </c>
      <c r="B15620" s="6">
        <v>0.73826173826173802</v>
      </c>
      <c r="C15620" s="6">
        <v>0.83087521797199204</v>
      </c>
    </row>
    <row r="15621" spans="1:3" s="8" customFormat="1" x14ac:dyDescent="0.2">
      <c r="A15621" s="6" t="str">
        <f>"MVB12A"</f>
        <v>MVB12A</v>
      </c>
      <c r="B15621" s="6">
        <v>0.73826173826173802</v>
      </c>
      <c r="C15621" s="6">
        <v>0.83087521797199204</v>
      </c>
    </row>
    <row r="15622" spans="1:3" s="8" customFormat="1" x14ac:dyDescent="0.2">
      <c r="A15622" s="6" t="str">
        <f>"MOGS"</f>
        <v>MOGS</v>
      </c>
      <c r="B15622" s="6">
        <v>0.73826173826173802</v>
      </c>
      <c r="C15622" s="6">
        <v>0.83087521797199204</v>
      </c>
    </row>
    <row r="15623" spans="1:3" s="8" customFormat="1" x14ac:dyDescent="0.2">
      <c r="A15623" s="6" t="str">
        <f>"ZNF516"</f>
        <v>ZNF516</v>
      </c>
      <c r="B15623" s="6">
        <v>0.73799999999999999</v>
      </c>
      <c r="C15623" s="6">
        <v>0.83087521797199204</v>
      </c>
    </row>
    <row r="15624" spans="1:3" s="8" customFormat="1" x14ac:dyDescent="0.2">
      <c r="A15624" s="6" t="str">
        <f>"FOXO3"</f>
        <v>FOXO3</v>
      </c>
      <c r="B15624" s="6">
        <v>0.73826173826173802</v>
      </c>
      <c r="C15624" s="6">
        <v>0.83087521797199204</v>
      </c>
    </row>
    <row r="15625" spans="1:3" s="8" customFormat="1" x14ac:dyDescent="0.2">
      <c r="A15625" s="6" t="str">
        <f>"CLIP1"</f>
        <v>CLIP1</v>
      </c>
      <c r="B15625" s="6">
        <v>0.73826173826173802</v>
      </c>
      <c r="C15625" s="6">
        <v>0.83087521797199204</v>
      </c>
    </row>
    <row r="15626" spans="1:3" s="8" customFormat="1" x14ac:dyDescent="0.2">
      <c r="A15626" s="6" t="str">
        <f>"AC145343.1"</f>
        <v>AC145343.1</v>
      </c>
      <c r="B15626" s="6">
        <v>0.73873873873873797</v>
      </c>
      <c r="C15626" s="6">
        <v>0.83135884684684602</v>
      </c>
    </row>
    <row r="15627" spans="1:3" s="8" customFormat="1" x14ac:dyDescent="0.2">
      <c r="A15627" s="6" t="str">
        <f>"LINC01258"</f>
        <v>LINC01258</v>
      </c>
      <c r="B15627" s="6">
        <v>0.73926073926073899</v>
      </c>
      <c r="C15627" s="6">
        <v>0.83173336996358305</v>
      </c>
    </row>
    <row r="15628" spans="1:3" s="8" customFormat="1" x14ac:dyDescent="0.2">
      <c r="A15628" s="6" t="str">
        <f>"MMP24"</f>
        <v>MMP24</v>
      </c>
      <c r="B15628" s="6">
        <v>0.73926073926073899</v>
      </c>
      <c r="C15628" s="6">
        <v>0.83173336996358305</v>
      </c>
    </row>
    <row r="15629" spans="1:3" s="8" customFormat="1" x14ac:dyDescent="0.2">
      <c r="A15629" s="6" t="str">
        <f>"CALML3-AS1"</f>
        <v>CALML3-AS1</v>
      </c>
      <c r="B15629" s="6">
        <v>0.73926073926073899</v>
      </c>
      <c r="C15629" s="6">
        <v>0.83173336996358305</v>
      </c>
    </row>
    <row r="15630" spans="1:3" s="8" customFormat="1" x14ac:dyDescent="0.2">
      <c r="A15630" s="6" t="str">
        <f>"STK32C"</f>
        <v>STK32C</v>
      </c>
      <c r="B15630" s="6">
        <v>0.73926073926073899</v>
      </c>
      <c r="C15630" s="6">
        <v>0.83173336996358305</v>
      </c>
    </row>
    <row r="15631" spans="1:3" s="8" customFormat="1" x14ac:dyDescent="0.2">
      <c r="A15631" s="6" t="str">
        <f>"AC010336.4"</f>
        <v>AC010336.4</v>
      </c>
      <c r="B15631" s="6">
        <v>0.74</v>
      </c>
      <c r="C15631" s="6">
        <v>0.83227156475238295</v>
      </c>
    </row>
    <row r="15632" spans="1:3" s="8" customFormat="1" x14ac:dyDescent="0.2">
      <c r="A15632" s="6" t="str">
        <f>"RPL12P16"</f>
        <v>RPL12P16</v>
      </c>
      <c r="B15632" s="6">
        <v>0.74025974025973995</v>
      </c>
      <c r="C15632" s="6">
        <v>0.83227156475238295</v>
      </c>
    </row>
    <row r="15633" spans="1:3" s="8" customFormat="1" x14ac:dyDescent="0.2">
      <c r="A15633" s="6" t="str">
        <f>"AL008725.1"</f>
        <v>AL008725.1</v>
      </c>
      <c r="B15633" s="6">
        <v>0.74025974025973995</v>
      </c>
      <c r="C15633" s="6">
        <v>0.83227156475238295</v>
      </c>
    </row>
    <row r="15634" spans="1:3" s="8" customFormat="1" x14ac:dyDescent="0.2">
      <c r="A15634" s="6" t="str">
        <f>"LINC02840"</f>
        <v>LINC02840</v>
      </c>
      <c r="B15634" s="6">
        <v>0.74025974025973995</v>
      </c>
      <c r="C15634" s="6">
        <v>0.83227156475238295</v>
      </c>
    </row>
    <row r="15635" spans="1:3" s="8" customFormat="1" x14ac:dyDescent="0.2">
      <c r="A15635" s="6" t="str">
        <f>"GOLT1A"</f>
        <v>GOLT1A</v>
      </c>
      <c r="B15635" s="6">
        <v>0.74025974025973995</v>
      </c>
      <c r="C15635" s="6">
        <v>0.83227156475238295</v>
      </c>
    </row>
    <row r="15636" spans="1:3" s="8" customFormat="1" x14ac:dyDescent="0.2">
      <c r="A15636" s="6" t="str">
        <f>"ARNT2"</f>
        <v>ARNT2</v>
      </c>
      <c r="B15636" s="6">
        <v>0.74025974025973995</v>
      </c>
      <c r="C15636" s="6">
        <v>0.83227156475238295</v>
      </c>
    </row>
    <row r="15637" spans="1:3" s="8" customFormat="1" x14ac:dyDescent="0.2">
      <c r="A15637" s="6" t="str">
        <f>"AC018553.1"</f>
        <v>AC018553.1</v>
      </c>
      <c r="B15637" s="6">
        <v>0.74025974025973995</v>
      </c>
      <c r="C15637" s="6">
        <v>0.83227156475238295</v>
      </c>
    </row>
    <row r="15638" spans="1:3" s="8" customFormat="1" x14ac:dyDescent="0.2">
      <c r="A15638" s="6" t="str">
        <f>"MRAS"</f>
        <v>MRAS</v>
      </c>
      <c r="B15638" s="6">
        <v>0.74025974025973995</v>
      </c>
      <c r="C15638" s="6">
        <v>0.83227156475238295</v>
      </c>
    </row>
    <row r="15639" spans="1:3" s="8" customFormat="1" x14ac:dyDescent="0.2">
      <c r="A15639" s="6" t="str">
        <f>"PON3"</f>
        <v>PON3</v>
      </c>
      <c r="B15639" s="6">
        <v>0.74025974025973995</v>
      </c>
      <c r="C15639" s="6">
        <v>0.83227156475238295</v>
      </c>
    </row>
    <row r="15640" spans="1:3" s="8" customFormat="1" x14ac:dyDescent="0.2">
      <c r="A15640" s="6" t="str">
        <f>"COX11"</f>
        <v>COX11</v>
      </c>
      <c r="B15640" s="6">
        <v>0.74025974025973995</v>
      </c>
      <c r="C15640" s="6">
        <v>0.83227156475238295</v>
      </c>
    </row>
    <row r="15641" spans="1:3" s="8" customFormat="1" x14ac:dyDescent="0.2">
      <c r="A15641" s="6" t="str">
        <f>"FAM162A"</f>
        <v>FAM162A</v>
      </c>
      <c r="B15641" s="6">
        <v>0.74025974025973995</v>
      </c>
      <c r="C15641" s="6">
        <v>0.83227156475238295</v>
      </c>
    </row>
    <row r="15642" spans="1:3" s="8" customFormat="1" x14ac:dyDescent="0.2">
      <c r="A15642" s="6" t="str">
        <f>"AC036214.3"</f>
        <v>AC036214.3</v>
      </c>
      <c r="B15642" s="6">
        <v>0.74125874125874103</v>
      </c>
      <c r="C15642" s="6">
        <v>0.83318164831844199</v>
      </c>
    </row>
    <row r="15643" spans="1:3" s="8" customFormat="1" x14ac:dyDescent="0.2">
      <c r="A15643" s="6" t="str">
        <f>"AL158151.3"</f>
        <v>AL158151.3</v>
      </c>
      <c r="B15643" s="6">
        <v>0.74125874125874103</v>
      </c>
      <c r="C15643" s="6">
        <v>0.83318164831844199</v>
      </c>
    </row>
    <row r="15644" spans="1:3" s="8" customFormat="1" x14ac:dyDescent="0.2">
      <c r="A15644" s="6" t="str">
        <f>"AL132800.1"</f>
        <v>AL132800.1</v>
      </c>
      <c r="B15644" s="6">
        <v>0.74125874125874103</v>
      </c>
      <c r="C15644" s="6">
        <v>0.83318164831844199</v>
      </c>
    </row>
    <row r="15645" spans="1:3" s="8" customFormat="1" x14ac:dyDescent="0.2">
      <c r="A15645" s="6" t="str">
        <f>"MRPL20-AS1"</f>
        <v>MRPL20-AS1</v>
      </c>
      <c r="B15645" s="6">
        <v>0.74125874125874103</v>
      </c>
      <c r="C15645" s="6">
        <v>0.83318164831844199</v>
      </c>
    </row>
    <row r="15646" spans="1:3" s="8" customFormat="1" x14ac:dyDescent="0.2">
      <c r="A15646" s="6" t="str">
        <f>"ZNRF2P2"</f>
        <v>ZNRF2P2</v>
      </c>
      <c r="B15646" s="6">
        <v>0.74199999999999999</v>
      </c>
      <c r="C15646" s="6">
        <v>0.83390821935318904</v>
      </c>
    </row>
    <row r="15647" spans="1:3" s="8" customFormat="1" x14ac:dyDescent="0.2">
      <c r="A15647" s="6" t="str">
        <f>"C12orf29"</f>
        <v>C12orf29</v>
      </c>
      <c r="B15647" s="6">
        <v>0.74199999999999999</v>
      </c>
      <c r="C15647" s="6">
        <v>0.83390821935318904</v>
      </c>
    </row>
    <row r="15648" spans="1:3" s="8" customFormat="1" x14ac:dyDescent="0.2">
      <c r="A15648" s="6" t="str">
        <f>"MAP3K15"</f>
        <v>MAP3K15</v>
      </c>
      <c r="B15648" s="6">
        <v>0.74225774225774199</v>
      </c>
      <c r="C15648" s="6">
        <v>0.83398467347349103</v>
      </c>
    </row>
    <row r="15649" spans="1:3" s="8" customFormat="1" x14ac:dyDescent="0.2">
      <c r="A15649" s="6" t="str">
        <f>"AL078590.2"</f>
        <v>AL078590.2</v>
      </c>
      <c r="B15649" s="6">
        <v>0.74225774225774199</v>
      </c>
      <c r="C15649" s="6">
        <v>0.83398467347349103</v>
      </c>
    </row>
    <row r="15650" spans="1:3" s="8" customFormat="1" x14ac:dyDescent="0.2">
      <c r="A15650" s="6" t="str">
        <f>"LINC02614"</f>
        <v>LINC02614</v>
      </c>
      <c r="B15650" s="6">
        <v>0.74225774225774199</v>
      </c>
      <c r="C15650" s="6">
        <v>0.83398467347349103</v>
      </c>
    </row>
    <row r="15651" spans="1:3" s="8" customFormat="1" x14ac:dyDescent="0.2">
      <c r="A15651" s="6" t="str">
        <f>"PDXDC1"</f>
        <v>PDXDC1</v>
      </c>
      <c r="B15651" s="6">
        <v>0.74225774225774199</v>
      </c>
      <c r="C15651" s="6">
        <v>0.83398467347349103</v>
      </c>
    </row>
    <row r="15652" spans="1:3" s="8" customFormat="1" x14ac:dyDescent="0.2">
      <c r="A15652" s="6" t="str">
        <f>"MAP1A"</f>
        <v>MAP1A</v>
      </c>
      <c r="B15652" s="6">
        <v>0.74274274274274199</v>
      </c>
      <c r="C15652" s="6">
        <v>0.83447628831310305</v>
      </c>
    </row>
    <row r="15653" spans="1:3" s="8" customFormat="1" x14ac:dyDescent="0.2">
      <c r="A15653" s="6" t="str">
        <f>"LINC02666"</f>
        <v>LINC02666</v>
      </c>
      <c r="B15653" s="6">
        <v>0.74325674325674296</v>
      </c>
      <c r="C15653" s="6">
        <v>0.83468045557712101</v>
      </c>
    </row>
    <row r="15654" spans="1:3" s="8" customFormat="1" x14ac:dyDescent="0.2">
      <c r="A15654" s="6" t="str">
        <f>"AC232271.1"</f>
        <v>AC232271.1</v>
      </c>
      <c r="B15654" s="6">
        <v>0.74325674325674296</v>
      </c>
      <c r="C15654" s="6">
        <v>0.83468045557712101</v>
      </c>
    </row>
    <row r="15655" spans="1:3" s="8" customFormat="1" x14ac:dyDescent="0.2">
      <c r="A15655" s="6" t="str">
        <f>"NR5A2"</f>
        <v>NR5A2</v>
      </c>
      <c r="B15655" s="6">
        <v>0.74325674325674296</v>
      </c>
      <c r="C15655" s="6">
        <v>0.83468045557712101</v>
      </c>
    </row>
    <row r="15656" spans="1:3" s="8" customFormat="1" x14ac:dyDescent="0.2">
      <c r="A15656" s="6" t="str">
        <f>"CHKB-CPT1B"</f>
        <v>CHKB-CPT1B</v>
      </c>
      <c r="B15656" s="6">
        <v>0.74325674325674296</v>
      </c>
      <c r="C15656" s="6">
        <v>0.83468045557712101</v>
      </c>
    </row>
    <row r="15657" spans="1:3" s="8" customFormat="1" x14ac:dyDescent="0.2">
      <c r="A15657" s="6" t="str">
        <f>"MAP4K5"</f>
        <v>MAP4K5</v>
      </c>
      <c r="B15657" s="6">
        <v>0.74325674325674296</v>
      </c>
      <c r="C15657" s="6">
        <v>0.83468045557712101</v>
      </c>
    </row>
    <row r="15658" spans="1:3" s="8" customFormat="1" x14ac:dyDescent="0.2">
      <c r="A15658" s="6" t="str">
        <f>"IMP4"</f>
        <v>IMP4</v>
      </c>
      <c r="B15658" s="6">
        <v>0.74325674325674296</v>
      </c>
      <c r="C15658" s="6">
        <v>0.83468045557712101</v>
      </c>
    </row>
    <row r="15659" spans="1:3" s="8" customFormat="1" x14ac:dyDescent="0.2">
      <c r="A15659" s="6" t="str">
        <f>"TUG1"</f>
        <v>TUG1</v>
      </c>
      <c r="B15659" s="6">
        <v>0.74325674325674296</v>
      </c>
      <c r="C15659" s="6">
        <v>0.83468045557712101</v>
      </c>
    </row>
    <row r="15660" spans="1:3" s="8" customFormat="1" x14ac:dyDescent="0.2">
      <c r="A15660" s="6" t="str">
        <f>"AL121832.1"</f>
        <v>AL121832.1</v>
      </c>
      <c r="B15660" s="6">
        <v>0.74374374374374297</v>
      </c>
      <c r="C15660" s="6">
        <v>0.83517402069033697</v>
      </c>
    </row>
    <row r="15661" spans="1:3" s="8" customFormat="1" x14ac:dyDescent="0.2">
      <c r="A15661" s="6" t="str">
        <f>"AC034238.1"</f>
        <v>AC034238.1</v>
      </c>
      <c r="B15661" s="6">
        <v>0.74425574425574403</v>
      </c>
      <c r="C15661" s="6">
        <v>0.83548218890404702</v>
      </c>
    </row>
    <row r="15662" spans="1:3" s="8" customFormat="1" x14ac:dyDescent="0.2">
      <c r="A15662" s="6" t="str">
        <f>"APBA2"</f>
        <v>APBA2</v>
      </c>
      <c r="B15662" s="6">
        <v>0.74425574425574403</v>
      </c>
      <c r="C15662" s="6">
        <v>0.83548218890404702</v>
      </c>
    </row>
    <row r="15663" spans="1:3" s="8" customFormat="1" x14ac:dyDescent="0.2">
      <c r="A15663" s="6" t="str">
        <f>"SLC9B2"</f>
        <v>SLC9B2</v>
      </c>
      <c r="B15663" s="6">
        <v>0.74425574425574403</v>
      </c>
      <c r="C15663" s="6">
        <v>0.83548218890404702</v>
      </c>
    </row>
    <row r="15664" spans="1:3" s="8" customFormat="1" x14ac:dyDescent="0.2">
      <c r="A15664" s="6" t="str">
        <f>"BIRC3"</f>
        <v>BIRC3</v>
      </c>
      <c r="B15664" s="6">
        <v>0.74425574425574403</v>
      </c>
      <c r="C15664" s="6">
        <v>0.83548218890404702</v>
      </c>
    </row>
    <row r="15665" spans="1:3" s="8" customFormat="1" x14ac:dyDescent="0.2">
      <c r="A15665" s="6" t="str">
        <f>"ARID1B"</f>
        <v>ARID1B</v>
      </c>
      <c r="B15665" s="6">
        <v>0.74425574425574403</v>
      </c>
      <c r="C15665" s="6">
        <v>0.83548218890404702</v>
      </c>
    </row>
    <row r="15666" spans="1:3" s="8" customFormat="1" x14ac:dyDescent="0.2">
      <c r="A15666" s="6" t="str">
        <f>"SLC25A30-AS1"</f>
        <v>SLC25A30-AS1</v>
      </c>
      <c r="B15666" s="6">
        <v>0.74465920651068096</v>
      </c>
      <c r="C15666" s="6">
        <v>0.83588174192683196</v>
      </c>
    </row>
    <row r="15667" spans="1:3" s="8" customFormat="1" x14ac:dyDescent="0.2">
      <c r="A15667" s="6" t="str">
        <f>"COQ6"</f>
        <v>COQ6</v>
      </c>
      <c r="B15667" s="6">
        <v>0.745</v>
      </c>
      <c r="C15667" s="6">
        <v>0.83621090259159903</v>
      </c>
    </row>
    <row r="15668" spans="1:3" s="8" customFormat="1" x14ac:dyDescent="0.2">
      <c r="A15668" s="6" t="str">
        <f>"AC025165.3"</f>
        <v>AC025165.3</v>
      </c>
      <c r="B15668" s="6">
        <v>0.745254745254745</v>
      </c>
      <c r="C15668" s="6">
        <v>0.83622994324289701</v>
      </c>
    </row>
    <row r="15669" spans="1:3" s="8" customFormat="1" x14ac:dyDescent="0.2">
      <c r="A15669" s="6" t="str">
        <f>"CDADC1"</f>
        <v>CDADC1</v>
      </c>
      <c r="B15669" s="6">
        <v>0.745254745254745</v>
      </c>
      <c r="C15669" s="6">
        <v>0.83622994324289701</v>
      </c>
    </row>
    <row r="15670" spans="1:3" s="8" customFormat="1" x14ac:dyDescent="0.2">
      <c r="A15670" s="6" t="str">
        <f>"CTNS"</f>
        <v>CTNS</v>
      </c>
      <c r="B15670" s="6">
        <v>0.745254745254745</v>
      </c>
      <c r="C15670" s="6">
        <v>0.83622994324289701</v>
      </c>
    </row>
    <row r="15671" spans="1:3" s="8" customFormat="1" x14ac:dyDescent="0.2">
      <c r="A15671" s="6" t="str">
        <f>"MAP9"</f>
        <v>MAP9</v>
      </c>
      <c r="B15671" s="6">
        <v>0.745254745254745</v>
      </c>
      <c r="C15671" s="6">
        <v>0.83622994324289701</v>
      </c>
    </row>
    <row r="15672" spans="1:3" s="8" customFormat="1" x14ac:dyDescent="0.2">
      <c r="A15672" s="6" t="str">
        <f>"EPCAM"</f>
        <v>EPCAM</v>
      </c>
      <c r="B15672" s="6">
        <v>0.745254745254745</v>
      </c>
      <c r="C15672" s="6">
        <v>0.83622994324289701</v>
      </c>
    </row>
    <row r="15673" spans="1:3" s="8" customFormat="1" x14ac:dyDescent="0.2">
      <c r="A15673" s="6" t="str">
        <f>"ITGBL1"</f>
        <v>ITGBL1</v>
      </c>
      <c r="B15673" s="6">
        <v>0.74625374625374596</v>
      </c>
      <c r="C15673" s="6">
        <v>0.83713721685013498</v>
      </c>
    </row>
    <row r="15674" spans="1:3" s="8" customFormat="1" x14ac:dyDescent="0.2">
      <c r="A15674" s="6" t="str">
        <f>"SIAH2-AS1"</f>
        <v>SIAH2-AS1</v>
      </c>
      <c r="B15674" s="6">
        <v>0.74625374625374596</v>
      </c>
      <c r="C15674" s="6">
        <v>0.83713721685013498</v>
      </c>
    </row>
    <row r="15675" spans="1:3" s="8" customFormat="1" x14ac:dyDescent="0.2">
      <c r="A15675" s="6" t="str">
        <f>"ZNF142"</f>
        <v>ZNF142</v>
      </c>
      <c r="B15675" s="6">
        <v>0.74625374625374596</v>
      </c>
      <c r="C15675" s="6">
        <v>0.83713721685013498</v>
      </c>
    </row>
    <row r="15676" spans="1:3" s="8" customFormat="1" x14ac:dyDescent="0.2">
      <c r="A15676" s="6" t="str">
        <f>"RPS21"</f>
        <v>RPS21</v>
      </c>
      <c r="B15676" s="6">
        <v>0.74625374625374596</v>
      </c>
      <c r="C15676" s="6">
        <v>0.83713721685013498</v>
      </c>
    </row>
    <row r="15677" spans="1:3" s="8" customFormat="1" x14ac:dyDescent="0.2">
      <c r="A15677" s="6" t="str">
        <f>"LINC02611"</f>
        <v>LINC02611</v>
      </c>
      <c r="B15677" s="6">
        <v>0.74725274725274704</v>
      </c>
      <c r="C15677" s="6">
        <v>0.83799058084772304</v>
      </c>
    </row>
    <row r="15678" spans="1:3" s="8" customFormat="1" x14ac:dyDescent="0.2">
      <c r="A15678" s="6" t="str">
        <f>"CENATAC-DT"</f>
        <v>CENATAC-DT</v>
      </c>
      <c r="B15678" s="6">
        <v>0.74725274725274704</v>
      </c>
      <c r="C15678" s="6">
        <v>0.83799058084772304</v>
      </c>
    </row>
    <row r="15679" spans="1:3" s="8" customFormat="1" x14ac:dyDescent="0.2">
      <c r="A15679" s="6" t="str">
        <f>"SNCAIP"</f>
        <v>SNCAIP</v>
      </c>
      <c r="B15679" s="6">
        <v>0.74725274725274704</v>
      </c>
      <c r="C15679" s="6">
        <v>0.83799058084772304</v>
      </c>
    </row>
    <row r="15680" spans="1:3" s="8" customFormat="1" x14ac:dyDescent="0.2">
      <c r="A15680" s="6" t="str">
        <f>"PPP4R2"</f>
        <v>PPP4R2</v>
      </c>
      <c r="B15680" s="6">
        <v>0.74725274725274704</v>
      </c>
      <c r="C15680" s="6">
        <v>0.83799058084772304</v>
      </c>
    </row>
    <row r="15681" spans="1:3" s="8" customFormat="1" x14ac:dyDescent="0.2">
      <c r="A15681" s="6" t="str">
        <f>"KIF3B"</f>
        <v>KIF3B</v>
      </c>
      <c r="B15681" s="6">
        <v>0.74725274725274704</v>
      </c>
      <c r="C15681" s="6">
        <v>0.83799058084772304</v>
      </c>
    </row>
    <row r="15682" spans="1:3" s="8" customFormat="1" x14ac:dyDescent="0.2">
      <c r="A15682" s="6" t="str">
        <f>"AC011481.3"</f>
        <v>AC011481.3</v>
      </c>
      <c r="B15682" s="6">
        <v>0.74825174825174801</v>
      </c>
      <c r="C15682" s="6">
        <v>0.83862953287390696</v>
      </c>
    </row>
    <row r="15683" spans="1:3" s="8" customFormat="1" x14ac:dyDescent="0.2">
      <c r="A15683" s="6" t="str">
        <f>"AL022069.1"</f>
        <v>AL022069.1</v>
      </c>
      <c r="B15683" s="6">
        <v>0.748</v>
      </c>
      <c r="C15683" s="6">
        <v>0.83862953287390696</v>
      </c>
    </row>
    <row r="15684" spans="1:3" s="8" customFormat="1" x14ac:dyDescent="0.2">
      <c r="A15684" s="6" t="str">
        <f>"PPM1N"</f>
        <v>PPM1N</v>
      </c>
      <c r="B15684" s="6">
        <v>0.74825174825174801</v>
      </c>
      <c r="C15684" s="6">
        <v>0.83862953287390696</v>
      </c>
    </row>
    <row r="15685" spans="1:3" s="8" customFormat="1" x14ac:dyDescent="0.2">
      <c r="A15685" s="6" t="str">
        <f>"COLEC10"</f>
        <v>COLEC10</v>
      </c>
      <c r="B15685" s="6">
        <v>0.74825174825174801</v>
      </c>
      <c r="C15685" s="6">
        <v>0.83862953287390696</v>
      </c>
    </row>
    <row r="15686" spans="1:3" s="8" customFormat="1" x14ac:dyDescent="0.2">
      <c r="A15686" s="6" t="str">
        <f>"CCL26"</f>
        <v>CCL26</v>
      </c>
      <c r="B15686" s="6">
        <v>0.74825174825174801</v>
      </c>
      <c r="C15686" s="6">
        <v>0.83862953287390696</v>
      </c>
    </row>
    <row r="15687" spans="1:3" s="8" customFormat="1" x14ac:dyDescent="0.2">
      <c r="A15687" s="6" t="str">
        <f>"AL355347.1"</f>
        <v>AL355347.1</v>
      </c>
      <c r="B15687" s="6">
        <v>0.74825174825174801</v>
      </c>
      <c r="C15687" s="6">
        <v>0.83862953287390696</v>
      </c>
    </row>
    <row r="15688" spans="1:3" s="8" customFormat="1" x14ac:dyDescent="0.2">
      <c r="A15688" s="6" t="str">
        <f>"MRI1"</f>
        <v>MRI1</v>
      </c>
      <c r="B15688" s="6">
        <v>0.74825174825174801</v>
      </c>
      <c r="C15688" s="6">
        <v>0.83862953287390696</v>
      </c>
    </row>
    <row r="15689" spans="1:3" s="8" customFormat="1" x14ac:dyDescent="0.2">
      <c r="A15689" s="6" t="str">
        <f>"D2HGDH"</f>
        <v>D2HGDH</v>
      </c>
      <c r="B15689" s="6">
        <v>0.74825174825174801</v>
      </c>
      <c r="C15689" s="6">
        <v>0.83862953287390696</v>
      </c>
    </row>
    <row r="15690" spans="1:3" s="8" customFormat="1" x14ac:dyDescent="0.2">
      <c r="A15690" s="6" t="str">
        <f>"RHBDD1"</f>
        <v>RHBDD1</v>
      </c>
      <c r="B15690" s="6">
        <v>0.74825174825174801</v>
      </c>
      <c r="C15690" s="6">
        <v>0.83862953287390696</v>
      </c>
    </row>
    <row r="15691" spans="1:3" s="8" customFormat="1" x14ac:dyDescent="0.2">
      <c r="A15691" s="6" t="str">
        <f>"IL31RA"</f>
        <v>IL31RA</v>
      </c>
      <c r="B15691" s="6">
        <v>0.74925074925074897</v>
      </c>
      <c r="C15691" s="6">
        <v>0.83916083916083895</v>
      </c>
    </row>
    <row r="15692" spans="1:3" s="8" customFormat="1" x14ac:dyDescent="0.2">
      <c r="A15692" s="6" t="str">
        <f>"Z83844.2"</f>
        <v>Z83844.2</v>
      </c>
      <c r="B15692" s="6">
        <v>0.749</v>
      </c>
      <c r="C15692" s="6">
        <v>0.83916083916083895</v>
      </c>
    </row>
    <row r="15693" spans="1:3" s="8" customFormat="1" x14ac:dyDescent="0.2">
      <c r="A15693" s="6" t="str">
        <f>"AP001269.4"</f>
        <v>AP001269.4</v>
      </c>
      <c r="B15693" s="6">
        <v>0.74925074925074897</v>
      </c>
      <c r="C15693" s="6">
        <v>0.83916083916083895</v>
      </c>
    </row>
    <row r="15694" spans="1:3" s="8" customFormat="1" x14ac:dyDescent="0.2">
      <c r="A15694" s="6" t="str">
        <f>"AL139260.3"</f>
        <v>AL139260.3</v>
      </c>
      <c r="B15694" s="6">
        <v>0.74925074925074897</v>
      </c>
      <c r="C15694" s="6">
        <v>0.83916083916083895</v>
      </c>
    </row>
    <row r="15695" spans="1:3" s="8" customFormat="1" x14ac:dyDescent="0.2">
      <c r="A15695" s="6" t="str">
        <f>"NAPEPLD"</f>
        <v>NAPEPLD</v>
      </c>
      <c r="B15695" s="6">
        <v>0.749</v>
      </c>
      <c r="C15695" s="6">
        <v>0.83916083916083895</v>
      </c>
    </row>
    <row r="15696" spans="1:3" s="8" customFormat="1" x14ac:dyDescent="0.2">
      <c r="A15696" s="6" t="str">
        <f>"SLC2A9"</f>
        <v>SLC2A9</v>
      </c>
      <c r="B15696" s="6">
        <v>0.74925074925074897</v>
      </c>
      <c r="C15696" s="6">
        <v>0.83916083916083895</v>
      </c>
    </row>
    <row r="15697" spans="1:3" s="8" customFormat="1" x14ac:dyDescent="0.2">
      <c r="A15697" s="6" t="str">
        <f>"VRK1"</f>
        <v>VRK1</v>
      </c>
      <c r="B15697" s="6">
        <v>0.74925074925074897</v>
      </c>
      <c r="C15697" s="6">
        <v>0.83916083916083895</v>
      </c>
    </row>
    <row r="15698" spans="1:3" s="8" customFormat="1" x14ac:dyDescent="0.2">
      <c r="A15698" s="6" t="str">
        <f>"AHI1"</f>
        <v>AHI1</v>
      </c>
      <c r="B15698" s="6">
        <v>0.74925074925074897</v>
      </c>
      <c r="C15698" s="6">
        <v>0.83916083916083895</v>
      </c>
    </row>
    <row r="15699" spans="1:3" s="8" customFormat="1" x14ac:dyDescent="0.2">
      <c r="A15699" s="6" t="str">
        <f>"GET4"</f>
        <v>GET4</v>
      </c>
      <c r="B15699" s="6">
        <v>0.74925074925074897</v>
      </c>
      <c r="C15699" s="6">
        <v>0.83916083916083895</v>
      </c>
    </row>
    <row r="15700" spans="1:3" s="8" customFormat="1" x14ac:dyDescent="0.2">
      <c r="A15700" s="6" t="str">
        <f>"KMT5B"</f>
        <v>KMT5B</v>
      </c>
      <c r="B15700" s="6">
        <v>0.74925074925074897</v>
      </c>
      <c r="C15700" s="6">
        <v>0.83916083916083895</v>
      </c>
    </row>
    <row r="15701" spans="1:3" s="8" customFormat="1" x14ac:dyDescent="0.2">
      <c r="A15701" s="6" t="str">
        <f>"HSPBP1"</f>
        <v>HSPBP1</v>
      </c>
      <c r="B15701" s="6">
        <v>0.74925074925074897</v>
      </c>
      <c r="C15701" s="6">
        <v>0.83916083916083895</v>
      </c>
    </row>
    <row r="15702" spans="1:3" s="8" customFormat="1" x14ac:dyDescent="0.2">
      <c r="A15702" s="6" t="str">
        <f>"SPECC1L-ADORA2A"</f>
        <v>SPECC1L-ADORA2A</v>
      </c>
      <c r="B15702" s="6">
        <v>0.74974974974974895</v>
      </c>
      <c r="C15702" s="6">
        <v>0.83966623779374505</v>
      </c>
    </row>
    <row r="15703" spans="1:3" s="8" customFormat="1" x14ac:dyDescent="0.2">
      <c r="A15703" s="6" t="str">
        <f>"ETV2"</f>
        <v>ETV2</v>
      </c>
      <c r="B15703" s="6">
        <v>0.75024975024975005</v>
      </c>
      <c r="C15703" s="6">
        <v>0.84011918795081197</v>
      </c>
    </row>
    <row r="15704" spans="1:3" s="8" customFormat="1" x14ac:dyDescent="0.2">
      <c r="A15704" s="6" t="str">
        <f>"TLK2"</f>
        <v>TLK2</v>
      </c>
      <c r="B15704" s="6">
        <v>0.75024975024975005</v>
      </c>
      <c r="C15704" s="6">
        <v>0.84011918795081197</v>
      </c>
    </row>
    <row r="15705" spans="1:3" s="8" customFormat="1" x14ac:dyDescent="0.2">
      <c r="A15705" s="6" t="str">
        <f>"ACRV1"</f>
        <v>ACRV1</v>
      </c>
      <c r="B15705" s="6">
        <v>0.75124875124875101</v>
      </c>
      <c r="C15705" s="6">
        <v>0.840809499201708</v>
      </c>
    </row>
    <row r="15706" spans="1:3" s="8" customFormat="1" x14ac:dyDescent="0.2">
      <c r="A15706" s="6" t="str">
        <f>"RPS26P31"</f>
        <v>RPS26P31</v>
      </c>
      <c r="B15706" s="6">
        <v>0.75124875124875101</v>
      </c>
      <c r="C15706" s="6">
        <v>0.840809499201708</v>
      </c>
    </row>
    <row r="15707" spans="1:3" s="8" customFormat="1" x14ac:dyDescent="0.2">
      <c r="A15707" s="6" t="str">
        <f>"CU638689.5"</f>
        <v>CU638689.5</v>
      </c>
      <c r="B15707" s="6">
        <v>0.751</v>
      </c>
      <c r="C15707" s="6">
        <v>0.840809499201708</v>
      </c>
    </row>
    <row r="15708" spans="1:3" s="8" customFormat="1" x14ac:dyDescent="0.2">
      <c r="A15708" s="6" t="str">
        <f>"MEIOC"</f>
        <v>MEIOC</v>
      </c>
      <c r="B15708" s="6">
        <v>0.75124875124875101</v>
      </c>
      <c r="C15708" s="6">
        <v>0.840809499201708</v>
      </c>
    </row>
    <row r="15709" spans="1:3" s="8" customFormat="1" x14ac:dyDescent="0.2">
      <c r="A15709" s="6" t="str">
        <f>"AL139142.2"</f>
        <v>AL139142.2</v>
      </c>
      <c r="B15709" s="6">
        <v>0.75124875124875101</v>
      </c>
      <c r="C15709" s="6">
        <v>0.840809499201708</v>
      </c>
    </row>
    <row r="15710" spans="1:3" s="8" customFormat="1" x14ac:dyDescent="0.2">
      <c r="A15710" s="6" t="str">
        <f>"AC137630.1"</f>
        <v>AC137630.1</v>
      </c>
      <c r="B15710" s="6">
        <v>0.75124875124875101</v>
      </c>
      <c r="C15710" s="6">
        <v>0.840809499201708</v>
      </c>
    </row>
    <row r="15711" spans="1:3" s="8" customFormat="1" x14ac:dyDescent="0.2">
      <c r="A15711" s="6" t="str">
        <f>"ADAL"</f>
        <v>ADAL</v>
      </c>
      <c r="B15711" s="6">
        <v>0.75124875124875101</v>
      </c>
      <c r="C15711" s="6">
        <v>0.840809499201708</v>
      </c>
    </row>
    <row r="15712" spans="1:3" s="8" customFormat="1" x14ac:dyDescent="0.2">
      <c r="A15712" s="6" t="str">
        <f>"ACLY"</f>
        <v>ACLY</v>
      </c>
      <c r="B15712" s="6">
        <v>0.75124875124875101</v>
      </c>
      <c r="C15712" s="6">
        <v>0.840809499201708</v>
      </c>
    </row>
    <row r="15713" spans="1:3" s="8" customFormat="1" x14ac:dyDescent="0.2">
      <c r="A15713" s="6" t="str">
        <f>"EEF1E1-BLOC1S5"</f>
        <v>EEF1E1-BLOC1S5</v>
      </c>
      <c r="B15713" s="6">
        <v>0.75200803212851397</v>
      </c>
      <c r="C15713" s="6">
        <v>0.84149910780103498</v>
      </c>
    </row>
    <row r="15714" spans="1:3" s="8" customFormat="1" x14ac:dyDescent="0.2">
      <c r="A15714" s="6" t="str">
        <f>"AC010522.1"</f>
        <v>AC010522.1</v>
      </c>
      <c r="B15714" s="6">
        <v>0.75224775224775198</v>
      </c>
      <c r="C15714" s="6">
        <v>0.84149910780103498</v>
      </c>
    </row>
    <row r="15715" spans="1:3" s="8" customFormat="1" x14ac:dyDescent="0.2">
      <c r="A15715" s="6" t="str">
        <f>"BX664727.3"</f>
        <v>BX664727.3</v>
      </c>
      <c r="B15715" s="6">
        <v>0.75224775224775198</v>
      </c>
      <c r="C15715" s="6">
        <v>0.84149910780103498</v>
      </c>
    </row>
    <row r="15716" spans="1:3" s="8" customFormat="1" x14ac:dyDescent="0.2">
      <c r="A15716" s="6" t="str">
        <f>"AC098595.1"</f>
        <v>AC098595.1</v>
      </c>
      <c r="B15716" s="6">
        <v>0.752</v>
      </c>
      <c r="C15716" s="6">
        <v>0.84149910780103498</v>
      </c>
    </row>
    <row r="15717" spans="1:3" s="8" customFormat="1" x14ac:dyDescent="0.2">
      <c r="A15717" s="6" t="str">
        <f>"TMEM182"</f>
        <v>TMEM182</v>
      </c>
      <c r="B15717" s="6">
        <v>0.75224775224775198</v>
      </c>
      <c r="C15717" s="6">
        <v>0.84149910780103498</v>
      </c>
    </row>
    <row r="15718" spans="1:3" s="8" customFormat="1" x14ac:dyDescent="0.2">
      <c r="A15718" s="6" t="str">
        <f>"RFWD3"</f>
        <v>RFWD3</v>
      </c>
      <c r="B15718" s="6">
        <v>0.75224775224775198</v>
      </c>
      <c r="C15718" s="6">
        <v>0.84149910780103498</v>
      </c>
    </row>
    <row r="15719" spans="1:3" s="8" customFormat="1" x14ac:dyDescent="0.2">
      <c r="A15719" s="6" t="str">
        <f>"YTHDC1"</f>
        <v>YTHDC1</v>
      </c>
      <c r="B15719" s="6">
        <v>0.75224775224775198</v>
      </c>
      <c r="C15719" s="6">
        <v>0.84149910780103498</v>
      </c>
    </row>
    <row r="15720" spans="1:3" s="8" customFormat="1" x14ac:dyDescent="0.2">
      <c r="A15720" s="6" t="str">
        <f>"SYNE2"</f>
        <v>SYNE2</v>
      </c>
      <c r="B15720" s="6">
        <v>0.75224775224775198</v>
      </c>
      <c r="C15720" s="6">
        <v>0.84149910780103498</v>
      </c>
    </row>
    <row r="15721" spans="1:3" s="8" customFormat="1" x14ac:dyDescent="0.2">
      <c r="A15721" s="6" t="str">
        <f>"MEIOB"</f>
        <v>MEIOB</v>
      </c>
      <c r="B15721" s="6">
        <v>0.75324675324675305</v>
      </c>
      <c r="C15721" s="6">
        <v>0.84213446777027601</v>
      </c>
    </row>
    <row r="15722" spans="1:3" s="8" customFormat="1" x14ac:dyDescent="0.2">
      <c r="A15722" s="6" t="str">
        <f>"AP001372.4"</f>
        <v>AP001372.4</v>
      </c>
      <c r="B15722" s="6">
        <v>0.75324675324675305</v>
      </c>
      <c r="C15722" s="6">
        <v>0.84213446777027601</v>
      </c>
    </row>
    <row r="15723" spans="1:3" s="8" customFormat="1" x14ac:dyDescent="0.2">
      <c r="A15723" s="6" t="str">
        <f>"AL590560.5"</f>
        <v>AL590560.5</v>
      </c>
      <c r="B15723" s="6">
        <v>0.75324675324675305</v>
      </c>
      <c r="C15723" s="6">
        <v>0.84213446777027601</v>
      </c>
    </row>
    <row r="15724" spans="1:3" s="8" customFormat="1" x14ac:dyDescent="0.2">
      <c r="A15724" s="6" t="str">
        <f>"AC008132.1"</f>
        <v>AC008132.1</v>
      </c>
      <c r="B15724" s="6">
        <v>0.75324675324675305</v>
      </c>
      <c r="C15724" s="6">
        <v>0.84213446777027601</v>
      </c>
    </row>
    <row r="15725" spans="1:3" s="8" customFormat="1" x14ac:dyDescent="0.2">
      <c r="A15725" s="6" t="str">
        <f>"ZNF469"</f>
        <v>ZNF469</v>
      </c>
      <c r="B15725" s="6">
        <v>0.75324675324675305</v>
      </c>
      <c r="C15725" s="6">
        <v>0.84213446777027601</v>
      </c>
    </row>
    <row r="15726" spans="1:3" s="8" customFormat="1" x14ac:dyDescent="0.2">
      <c r="A15726" s="6" t="str">
        <f>"SLC25A33"</f>
        <v>SLC25A33</v>
      </c>
      <c r="B15726" s="6">
        <v>0.75324675324675305</v>
      </c>
      <c r="C15726" s="6">
        <v>0.84213446777027601</v>
      </c>
    </row>
    <row r="15727" spans="1:3" s="8" customFormat="1" x14ac:dyDescent="0.2">
      <c r="A15727" s="6" t="str">
        <f>"MFSD5"</f>
        <v>MFSD5</v>
      </c>
      <c r="B15727" s="6">
        <v>0.75324675324675305</v>
      </c>
      <c r="C15727" s="6">
        <v>0.84213446777027601</v>
      </c>
    </row>
    <row r="15728" spans="1:3" s="8" customFormat="1" x14ac:dyDescent="0.2">
      <c r="A15728" s="6" t="str">
        <f>"UROS"</f>
        <v>UROS</v>
      </c>
      <c r="B15728" s="6">
        <v>0.75324675324675305</v>
      </c>
      <c r="C15728" s="6">
        <v>0.84213446777027601</v>
      </c>
    </row>
    <row r="15729" spans="1:3" s="8" customFormat="1" x14ac:dyDescent="0.2">
      <c r="A15729" s="6" t="str">
        <f>"IRF2BP1"</f>
        <v>IRF2BP1</v>
      </c>
      <c r="B15729" s="6">
        <v>0.75324675324675305</v>
      </c>
      <c r="C15729" s="6">
        <v>0.84213446777027601</v>
      </c>
    </row>
    <row r="15730" spans="1:3" s="8" customFormat="1" x14ac:dyDescent="0.2">
      <c r="A15730" s="6" t="str">
        <f>"AL121987.2"</f>
        <v>AL121987.2</v>
      </c>
      <c r="B15730" s="6">
        <v>0.75424575424575402</v>
      </c>
      <c r="C15730" s="6">
        <v>0.84303695287676905</v>
      </c>
    </row>
    <row r="15731" spans="1:3" s="8" customFormat="1" x14ac:dyDescent="0.2">
      <c r="A15731" s="6" t="str">
        <f>"AC138207.4"</f>
        <v>AC138207.4</v>
      </c>
      <c r="B15731" s="6">
        <v>0.75424575424575402</v>
      </c>
      <c r="C15731" s="6">
        <v>0.84303695287676905</v>
      </c>
    </row>
    <row r="15732" spans="1:3" s="8" customFormat="1" x14ac:dyDescent="0.2">
      <c r="A15732" s="6" t="str">
        <f>"PAK1IP1"</f>
        <v>PAK1IP1</v>
      </c>
      <c r="B15732" s="6">
        <v>0.75424575424575402</v>
      </c>
      <c r="C15732" s="6">
        <v>0.84303695287676905</v>
      </c>
    </row>
    <row r="15733" spans="1:3" s="8" customFormat="1" x14ac:dyDescent="0.2">
      <c r="A15733" s="6" t="str">
        <f>"FNTB"</f>
        <v>FNTB</v>
      </c>
      <c r="B15733" s="6">
        <v>0.75424575424575402</v>
      </c>
      <c r="C15733" s="6">
        <v>0.84303695287676905</v>
      </c>
    </row>
    <row r="15734" spans="1:3" s="8" customFormat="1" x14ac:dyDescent="0.2">
      <c r="A15734" s="6" t="str">
        <f>"AC010889.2"</f>
        <v>AC010889.2</v>
      </c>
      <c r="B15734" s="6">
        <v>0.755</v>
      </c>
      <c r="C15734" s="6">
        <v>0.84377811654004498</v>
      </c>
    </row>
    <row r="15735" spans="1:3" s="8" customFormat="1" x14ac:dyDescent="0.2">
      <c r="A15735" s="6" t="str">
        <f>"LRRC2-AS1"</f>
        <v>LRRC2-AS1</v>
      </c>
      <c r="B15735" s="6">
        <v>0.75524475524475498</v>
      </c>
      <c r="C15735" s="6">
        <v>0.84377811654004498</v>
      </c>
    </row>
    <row r="15736" spans="1:3" s="8" customFormat="1" x14ac:dyDescent="0.2">
      <c r="A15736" s="6" t="str">
        <f>"OR2B11"</f>
        <v>OR2B11</v>
      </c>
      <c r="B15736" s="6">
        <v>0.75504032258064502</v>
      </c>
      <c r="C15736" s="6">
        <v>0.84377811654004498</v>
      </c>
    </row>
    <row r="15737" spans="1:3" s="8" customFormat="1" x14ac:dyDescent="0.2">
      <c r="A15737" s="6" t="str">
        <f>"FSCN2"</f>
        <v>FSCN2</v>
      </c>
      <c r="B15737" s="6">
        <v>0.75524475524475498</v>
      </c>
      <c r="C15737" s="6">
        <v>0.84377811654004498</v>
      </c>
    </row>
    <row r="15738" spans="1:3" s="8" customFormat="1" x14ac:dyDescent="0.2">
      <c r="A15738" s="6" t="str">
        <f>"CLEC10A"</f>
        <v>CLEC10A</v>
      </c>
      <c r="B15738" s="6">
        <v>0.75524475524475498</v>
      </c>
      <c r="C15738" s="6">
        <v>0.84377811654004498</v>
      </c>
    </row>
    <row r="15739" spans="1:3" s="8" customFormat="1" x14ac:dyDescent="0.2">
      <c r="A15739" s="6" t="str">
        <f>"DNAAF4"</f>
        <v>DNAAF4</v>
      </c>
      <c r="B15739" s="6">
        <v>0.75524475524475498</v>
      </c>
      <c r="C15739" s="6">
        <v>0.84377811654004498</v>
      </c>
    </row>
    <row r="15740" spans="1:3" s="8" customFormat="1" x14ac:dyDescent="0.2">
      <c r="A15740" s="6" t="str">
        <f>"NCOA7"</f>
        <v>NCOA7</v>
      </c>
      <c r="B15740" s="6">
        <v>0.75524475524475498</v>
      </c>
      <c r="C15740" s="6">
        <v>0.84377811654004498</v>
      </c>
    </row>
    <row r="15741" spans="1:3" s="8" customFormat="1" x14ac:dyDescent="0.2">
      <c r="A15741" s="6" t="str">
        <f>"AC005258.1"</f>
        <v>AC005258.1</v>
      </c>
      <c r="B15741" s="6">
        <v>0.75626880641925698</v>
      </c>
      <c r="C15741" s="6">
        <v>0.84460023449197996</v>
      </c>
    </row>
    <row r="15742" spans="1:3" s="8" customFormat="1" x14ac:dyDescent="0.2">
      <c r="A15742" s="6" t="str">
        <f>"AL583835.2"</f>
        <v>AL583835.2</v>
      </c>
      <c r="B15742" s="6">
        <v>0.75624375624375595</v>
      </c>
      <c r="C15742" s="6">
        <v>0.84460023449197996</v>
      </c>
    </row>
    <row r="15743" spans="1:3" s="8" customFormat="1" x14ac:dyDescent="0.2">
      <c r="A15743" s="6" t="str">
        <f>"KRTAP5-AS1"</f>
        <v>KRTAP5-AS1</v>
      </c>
      <c r="B15743" s="6">
        <v>0.75624375624375595</v>
      </c>
      <c r="C15743" s="6">
        <v>0.84460023449197996</v>
      </c>
    </row>
    <row r="15744" spans="1:3" s="8" customFormat="1" x14ac:dyDescent="0.2">
      <c r="A15744" s="6" t="str">
        <f>"ARRDC2"</f>
        <v>ARRDC2</v>
      </c>
      <c r="B15744" s="6">
        <v>0.75624375624375595</v>
      </c>
      <c r="C15744" s="6">
        <v>0.84460023449197996</v>
      </c>
    </row>
    <row r="15745" spans="1:3" s="8" customFormat="1" x14ac:dyDescent="0.2">
      <c r="A15745" s="6" t="str">
        <f>"PPP2R5D"</f>
        <v>PPP2R5D</v>
      </c>
      <c r="B15745" s="6">
        <v>0.75624375624375595</v>
      </c>
      <c r="C15745" s="6">
        <v>0.84460023449197996</v>
      </c>
    </row>
    <row r="15746" spans="1:3" s="8" customFormat="1" x14ac:dyDescent="0.2">
      <c r="A15746" s="6" t="str">
        <f>"GID8"</f>
        <v>GID8</v>
      </c>
      <c r="B15746" s="6">
        <v>0.75624375624375595</v>
      </c>
      <c r="C15746" s="6">
        <v>0.84460023449197996</v>
      </c>
    </row>
    <row r="15747" spans="1:3" s="8" customFormat="1" x14ac:dyDescent="0.2">
      <c r="A15747" s="6" t="str">
        <f>"NHLH2"</f>
        <v>NHLH2</v>
      </c>
      <c r="B15747" s="6">
        <v>0.75700000000000001</v>
      </c>
      <c r="C15747" s="6">
        <v>0.845258467806553</v>
      </c>
    </row>
    <row r="15748" spans="1:3" s="8" customFormat="1" x14ac:dyDescent="0.2">
      <c r="A15748" s="6" t="str">
        <f>"AL132712.1"</f>
        <v>AL132712.1</v>
      </c>
      <c r="B15748" s="6">
        <v>0.75724275724275703</v>
      </c>
      <c r="C15748" s="6">
        <v>0.845258467806553</v>
      </c>
    </row>
    <row r="15749" spans="1:3" s="8" customFormat="1" x14ac:dyDescent="0.2">
      <c r="A15749" s="6" t="str">
        <f>"RPL18AP3"</f>
        <v>RPL18AP3</v>
      </c>
      <c r="B15749" s="6">
        <v>0.75724275724275703</v>
      </c>
      <c r="C15749" s="6">
        <v>0.845258467806553</v>
      </c>
    </row>
    <row r="15750" spans="1:3" s="8" customFormat="1" x14ac:dyDescent="0.2">
      <c r="A15750" s="6" t="str">
        <f>"AL513122.2"</f>
        <v>AL513122.2</v>
      </c>
      <c r="B15750" s="6">
        <v>0.75724275724275703</v>
      </c>
      <c r="C15750" s="6">
        <v>0.845258467806553</v>
      </c>
    </row>
    <row r="15751" spans="1:3" s="8" customFormat="1" x14ac:dyDescent="0.2">
      <c r="A15751" s="6" t="str">
        <f>"LINC02700"</f>
        <v>LINC02700</v>
      </c>
      <c r="B15751" s="6">
        <v>0.75724275724275703</v>
      </c>
      <c r="C15751" s="6">
        <v>0.845258467806553</v>
      </c>
    </row>
    <row r="15752" spans="1:3" s="8" customFormat="1" x14ac:dyDescent="0.2">
      <c r="A15752" s="6" t="str">
        <f>"GUSBP9"</f>
        <v>GUSBP9</v>
      </c>
      <c r="B15752" s="6">
        <v>0.75724275724275703</v>
      </c>
      <c r="C15752" s="6">
        <v>0.845258467806553</v>
      </c>
    </row>
    <row r="15753" spans="1:3" s="8" customFormat="1" x14ac:dyDescent="0.2">
      <c r="A15753" s="6" t="str">
        <f>"AC027601.5"</f>
        <v>AC027601.5</v>
      </c>
      <c r="B15753" s="6">
        <v>0.75700000000000001</v>
      </c>
      <c r="C15753" s="6">
        <v>0.845258467806553</v>
      </c>
    </row>
    <row r="15754" spans="1:3" s="8" customFormat="1" x14ac:dyDescent="0.2">
      <c r="A15754" s="6" t="str">
        <f>"RAB29"</f>
        <v>RAB29</v>
      </c>
      <c r="B15754" s="6">
        <v>0.75724275724275703</v>
      </c>
      <c r="C15754" s="6">
        <v>0.845258467806553</v>
      </c>
    </row>
    <row r="15755" spans="1:3" s="8" customFormat="1" x14ac:dyDescent="0.2">
      <c r="A15755" s="6" t="str">
        <f>"OR5H14"</f>
        <v>OR5H14</v>
      </c>
      <c r="B15755" s="6">
        <v>0.75744680851063795</v>
      </c>
      <c r="C15755" s="6">
        <v>0.84543256829066005</v>
      </c>
    </row>
    <row r="15756" spans="1:3" s="8" customFormat="1" x14ac:dyDescent="0.2">
      <c r="A15756" s="6" t="str">
        <f>"GAPDHP62"</f>
        <v>GAPDHP62</v>
      </c>
      <c r="B15756" s="6">
        <v>0.75800000000000001</v>
      </c>
      <c r="C15756" s="6">
        <v>0.84594262503173401</v>
      </c>
    </row>
    <row r="15757" spans="1:3" s="8" customFormat="1" x14ac:dyDescent="0.2">
      <c r="A15757" s="6" t="str">
        <f>"AL161756.3"</f>
        <v>AL161756.3</v>
      </c>
      <c r="B15757" s="6">
        <v>0.75800000000000001</v>
      </c>
      <c r="C15757" s="6">
        <v>0.84594262503173401</v>
      </c>
    </row>
    <row r="15758" spans="1:3" s="8" customFormat="1" x14ac:dyDescent="0.2">
      <c r="A15758" s="6" t="str">
        <f>"TRMT10B"</f>
        <v>TRMT10B</v>
      </c>
      <c r="B15758" s="6">
        <v>0.75824175824175799</v>
      </c>
      <c r="C15758" s="6">
        <v>0.84599765716516895</v>
      </c>
    </row>
    <row r="15759" spans="1:3" s="8" customFormat="1" x14ac:dyDescent="0.2">
      <c r="A15759" s="6" t="str">
        <f>"FAM217B"</f>
        <v>FAM217B</v>
      </c>
      <c r="B15759" s="6">
        <v>0.75824175824175799</v>
      </c>
      <c r="C15759" s="6">
        <v>0.84599765716516895</v>
      </c>
    </row>
    <row r="15760" spans="1:3" s="8" customFormat="1" x14ac:dyDescent="0.2">
      <c r="A15760" s="6" t="str">
        <f>"GIGYF2"</f>
        <v>GIGYF2</v>
      </c>
      <c r="B15760" s="6">
        <v>0.75824175824175799</v>
      </c>
      <c r="C15760" s="6">
        <v>0.84599765716516895</v>
      </c>
    </row>
    <row r="15761" spans="1:3" s="8" customFormat="1" x14ac:dyDescent="0.2">
      <c r="A15761" s="6" t="str">
        <f>"MTUS1"</f>
        <v>MTUS1</v>
      </c>
      <c r="B15761" s="6">
        <v>0.75824175824175799</v>
      </c>
      <c r="C15761" s="6">
        <v>0.84599765716516895</v>
      </c>
    </row>
    <row r="15762" spans="1:3" s="8" customFormat="1" x14ac:dyDescent="0.2">
      <c r="A15762" s="6" t="str">
        <f>"TAS1R3"</f>
        <v>TAS1R3</v>
      </c>
      <c r="B15762" s="6">
        <v>0.75855130784708202</v>
      </c>
      <c r="C15762" s="6">
        <v>0.84628933425436803</v>
      </c>
    </row>
    <row r="15763" spans="1:3" s="8" customFormat="1" x14ac:dyDescent="0.2">
      <c r="A15763" s="6" t="str">
        <f>"DST-AS1"</f>
        <v>DST-AS1</v>
      </c>
      <c r="B15763" s="6">
        <v>0.75924075924075896</v>
      </c>
      <c r="C15763" s="6">
        <v>0.84678989664401305</v>
      </c>
    </row>
    <row r="15764" spans="1:3" s="8" customFormat="1" x14ac:dyDescent="0.2">
      <c r="A15764" s="6" t="str">
        <f>"AC005616.1"</f>
        <v>AC005616.1</v>
      </c>
      <c r="B15764" s="6">
        <v>0.75924075924075896</v>
      </c>
      <c r="C15764" s="6">
        <v>0.84678989664401305</v>
      </c>
    </row>
    <row r="15765" spans="1:3" s="8" customFormat="1" x14ac:dyDescent="0.2">
      <c r="A15765" s="6" t="str">
        <f>"CLEC12A-AS1"</f>
        <v>CLEC12A-AS1</v>
      </c>
      <c r="B15765" s="6">
        <v>0.75924075924075896</v>
      </c>
      <c r="C15765" s="6">
        <v>0.84678989664401305</v>
      </c>
    </row>
    <row r="15766" spans="1:3" s="8" customFormat="1" x14ac:dyDescent="0.2">
      <c r="A15766" s="6" t="str">
        <f>"SNAPC5"</f>
        <v>SNAPC5</v>
      </c>
      <c r="B15766" s="6">
        <v>0.75924075924075896</v>
      </c>
      <c r="C15766" s="6">
        <v>0.84678989664401305</v>
      </c>
    </row>
    <row r="15767" spans="1:3" s="8" customFormat="1" x14ac:dyDescent="0.2">
      <c r="A15767" s="6" t="str">
        <f>"ARL16"</f>
        <v>ARL16</v>
      </c>
      <c r="B15767" s="6">
        <v>0.75924075924075896</v>
      </c>
      <c r="C15767" s="6">
        <v>0.84678989664401305</v>
      </c>
    </row>
    <row r="15768" spans="1:3" s="8" customFormat="1" x14ac:dyDescent="0.2">
      <c r="A15768" s="6" t="str">
        <f>"LRRC69"</f>
        <v>LRRC69</v>
      </c>
      <c r="B15768" s="6">
        <v>0.76</v>
      </c>
      <c r="C15768" s="6">
        <v>0.84747542646965501</v>
      </c>
    </row>
    <row r="15769" spans="1:3" s="8" customFormat="1" x14ac:dyDescent="0.2">
      <c r="A15769" s="6" t="str">
        <f>"AP000253.1"</f>
        <v>AP000253.1</v>
      </c>
      <c r="B15769" s="6">
        <v>0.75991861648016201</v>
      </c>
      <c r="C15769" s="6">
        <v>0.84747542646965501</v>
      </c>
    </row>
    <row r="15770" spans="1:3" s="8" customFormat="1" x14ac:dyDescent="0.2">
      <c r="A15770" s="6" t="str">
        <f>"AP002498.1"</f>
        <v>AP002498.1</v>
      </c>
      <c r="B15770" s="6">
        <v>0.76</v>
      </c>
      <c r="C15770" s="6">
        <v>0.84747542646965501</v>
      </c>
    </row>
    <row r="15771" spans="1:3" s="8" customFormat="1" x14ac:dyDescent="0.2">
      <c r="A15771" s="6" t="str">
        <f>"LINC01485"</f>
        <v>LINC01485</v>
      </c>
      <c r="B15771" s="6">
        <v>0.76023976023976003</v>
      </c>
      <c r="C15771" s="6">
        <v>0.84758153335378805</v>
      </c>
    </row>
    <row r="15772" spans="1:3" s="8" customFormat="1" x14ac:dyDescent="0.2">
      <c r="A15772" s="6" t="str">
        <f>"RPL21P75"</f>
        <v>RPL21P75</v>
      </c>
      <c r="B15772" s="6">
        <v>0.76023976023976003</v>
      </c>
      <c r="C15772" s="6">
        <v>0.84758153335378805</v>
      </c>
    </row>
    <row r="15773" spans="1:3" s="8" customFormat="1" x14ac:dyDescent="0.2">
      <c r="A15773" s="6" t="str">
        <f>"ABCB8"</f>
        <v>ABCB8</v>
      </c>
      <c r="B15773" s="6">
        <v>0.76023976023976003</v>
      </c>
      <c r="C15773" s="6">
        <v>0.84758153335378805</v>
      </c>
    </row>
    <row r="15774" spans="1:3" s="8" customFormat="1" x14ac:dyDescent="0.2">
      <c r="A15774" s="6" t="str">
        <f>"AC111000.4"</f>
        <v>AC111000.4</v>
      </c>
      <c r="B15774" s="6">
        <v>0.761238761238761</v>
      </c>
      <c r="C15774" s="6">
        <v>0.848103806476739</v>
      </c>
    </row>
    <row r="15775" spans="1:3" s="8" customFormat="1" x14ac:dyDescent="0.2">
      <c r="A15775" s="6" t="str">
        <f>"LINC02354"</f>
        <v>LINC02354</v>
      </c>
      <c r="B15775" s="6">
        <v>0.76100000000000001</v>
      </c>
      <c r="C15775" s="6">
        <v>0.848103806476739</v>
      </c>
    </row>
    <row r="15776" spans="1:3" s="8" customFormat="1" x14ac:dyDescent="0.2">
      <c r="A15776" s="6" t="str">
        <f>"AC097375.3"</f>
        <v>AC097375.3</v>
      </c>
      <c r="B15776" s="6">
        <v>0.761238761238761</v>
      </c>
      <c r="C15776" s="6">
        <v>0.848103806476739</v>
      </c>
    </row>
    <row r="15777" spans="1:3" s="8" customFormat="1" x14ac:dyDescent="0.2">
      <c r="A15777" s="6" t="str">
        <f>"NAP1L1P1"</f>
        <v>NAP1L1P1</v>
      </c>
      <c r="B15777" s="6">
        <v>0.76089159067882395</v>
      </c>
      <c r="C15777" s="6">
        <v>0.848103806476739</v>
      </c>
    </row>
    <row r="15778" spans="1:3" s="8" customFormat="1" x14ac:dyDescent="0.2">
      <c r="A15778" s="6" t="str">
        <f>"SIRT4"</f>
        <v>SIRT4</v>
      </c>
      <c r="B15778" s="6">
        <v>0.761238761238761</v>
      </c>
      <c r="C15778" s="6">
        <v>0.848103806476739</v>
      </c>
    </row>
    <row r="15779" spans="1:3" s="8" customFormat="1" x14ac:dyDescent="0.2">
      <c r="A15779" s="6" t="str">
        <f>"PKP4-AS1"</f>
        <v>PKP4-AS1</v>
      </c>
      <c r="B15779" s="6">
        <v>0.761238761238761</v>
      </c>
      <c r="C15779" s="6">
        <v>0.848103806476739</v>
      </c>
    </row>
    <row r="15780" spans="1:3" s="8" customFormat="1" x14ac:dyDescent="0.2">
      <c r="A15780" s="6" t="str">
        <f>"AC126755.5"</f>
        <v>AC126755.5</v>
      </c>
      <c r="B15780" s="6">
        <v>0.761238761238761</v>
      </c>
      <c r="C15780" s="6">
        <v>0.848103806476739</v>
      </c>
    </row>
    <row r="15781" spans="1:3" s="8" customFormat="1" x14ac:dyDescent="0.2">
      <c r="A15781" s="6" t="str">
        <f>"KHDRBS3"</f>
        <v>KHDRBS3</v>
      </c>
      <c r="B15781" s="6">
        <v>0.761238761238761</v>
      </c>
      <c r="C15781" s="6">
        <v>0.848103806476739</v>
      </c>
    </row>
    <row r="15782" spans="1:3" s="8" customFormat="1" x14ac:dyDescent="0.2">
      <c r="A15782" s="6" t="str">
        <f>"PLA2G10"</f>
        <v>PLA2G10</v>
      </c>
      <c r="B15782" s="6">
        <v>0.761238761238761</v>
      </c>
      <c r="C15782" s="6">
        <v>0.848103806476739</v>
      </c>
    </row>
    <row r="15783" spans="1:3" s="8" customFormat="1" x14ac:dyDescent="0.2">
      <c r="A15783" s="6" t="str">
        <f>"ARHGEF34P"</f>
        <v>ARHGEF34P</v>
      </c>
      <c r="B15783" s="6">
        <v>0.761238761238761</v>
      </c>
      <c r="C15783" s="6">
        <v>0.848103806476739</v>
      </c>
    </row>
    <row r="15784" spans="1:3" s="8" customFormat="1" x14ac:dyDescent="0.2">
      <c r="A15784" s="6" t="str">
        <f>"NCBP3"</f>
        <v>NCBP3</v>
      </c>
      <c r="B15784" s="6">
        <v>0.76076076076076005</v>
      </c>
      <c r="C15784" s="6">
        <v>0.848103806476739</v>
      </c>
    </row>
    <row r="15785" spans="1:3" s="8" customFormat="1" x14ac:dyDescent="0.2">
      <c r="A15785" s="6" t="str">
        <f>"AP005205.2"</f>
        <v>AP005205.2</v>
      </c>
      <c r="B15785" s="6">
        <v>0.76156941649899401</v>
      </c>
      <c r="C15785" s="6">
        <v>0.84841843764054103</v>
      </c>
    </row>
    <row r="15786" spans="1:3" s="8" customFormat="1" x14ac:dyDescent="0.2">
      <c r="A15786" s="6" t="str">
        <f>"SLC5A4-AS1"</f>
        <v>SLC5A4-AS1</v>
      </c>
      <c r="B15786" s="6">
        <v>0.76200000000000001</v>
      </c>
      <c r="C15786" s="6">
        <v>0.84884434589800395</v>
      </c>
    </row>
    <row r="15787" spans="1:3" s="8" customFormat="1" x14ac:dyDescent="0.2">
      <c r="A15787" s="6" t="str">
        <f>"TPH1"</f>
        <v>TPH1</v>
      </c>
      <c r="B15787" s="6">
        <v>0.76223776223776196</v>
      </c>
      <c r="C15787" s="6">
        <v>0.84900163496476899</v>
      </c>
    </row>
    <row r="15788" spans="1:3" s="8" customFormat="1" x14ac:dyDescent="0.2">
      <c r="A15788" s="6" t="str">
        <f>"CSPG4"</f>
        <v>CSPG4</v>
      </c>
      <c r="B15788" s="6">
        <v>0.76223776223776196</v>
      </c>
      <c r="C15788" s="6">
        <v>0.84900163496476899</v>
      </c>
    </row>
    <row r="15789" spans="1:3" s="8" customFormat="1" x14ac:dyDescent="0.2">
      <c r="A15789" s="6" t="str">
        <f>"AC090772.3"</f>
        <v>AC090772.3</v>
      </c>
      <c r="B15789" s="6">
        <v>0.76323676323676304</v>
      </c>
      <c r="C15789" s="6">
        <v>0.84952242339253303</v>
      </c>
    </row>
    <row r="15790" spans="1:3" s="8" customFormat="1" x14ac:dyDescent="0.2">
      <c r="A15790" s="6" t="str">
        <f>"UNC93B5"</f>
        <v>UNC93B5</v>
      </c>
      <c r="B15790" s="6">
        <v>0.76323676323676304</v>
      </c>
      <c r="C15790" s="6">
        <v>0.84952242339253303</v>
      </c>
    </row>
    <row r="15791" spans="1:3" s="8" customFormat="1" x14ac:dyDescent="0.2">
      <c r="A15791" s="6" t="str">
        <f>"TRABD2B"</f>
        <v>TRABD2B</v>
      </c>
      <c r="B15791" s="6">
        <v>0.76323676323676304</v>
      </c>
      <c r="C15791" s="6">
        <v>0.84952242339253303</v>
      </c>
    </row>
    <row r="15792" spans="1:3" s="8" customFormat="1" x14ac:dyDescent="0.2">
      <c r="A15792" s="6" t="str">
        <f>"AL078621.1"</f>
        <v>AL078621.1</v>
      </c>
      <c r="B15792" s="6">
        <v>0.76323676323676304</v>
      </c>
      <c r="C15792" s="6">
        <v>0.84952242339253303</v>
      </c>
    </row>
    <row r="15793" spans="1:3" s="8" customFormat="1" x14ac:dyDescent="0.2">
      <c r="A15793" s="6" t="str">
        <f>"AC016821.1"</f>
        <v>AC016821.1</v>
      </c>
      <c r="B15793" s="6">
        <v>0.76323676323676304</v>
      </c>
      <c r="C15793" s="6">
        <v>0.84952242339253303</v>
      </c>
    </row>
    <row r="15794" spans="1:3" s="8" customFormat="1" x14ac:dyDescent="0.2">
      <c r="A15794" s="6" t="str">
        <f>"ANK1"</f>
        <v>ANK1</v>
      </c>
      <c r="B15794" s="6">
        <v>0.76323676323676304</v>
      </c>
      <c r="C15794" s="6">
        <v>0.84952242339253303</v>
      </c>
    </row>
    <row r="15795" spans="1:3" s="8" customFormat="1" x14ac:dyDescent="0.2">
      <c r="A15795" s="6" t="str">
        <f>"TCEANC"</f>
        <v>TCEANC</v>
      </c>
      <c r="B15795" s="6">
        <v>0.76323676323676304</v>
      </c>
      <c r="C15795" s="6">
        <v>0.84952242339253303</v>
      </c>
    </row>
    <row r="15796" spans="1:3" s="8" customFormat="1" x14ac:dyDescent="0.2">
      <c r="A15796" s="6" t="str">
        <f>"ZNF524"</f>
        <v>ZNF524</v>
      </c>
      <c r="B15796" s="6">
        <v>0.76323676323676304</v>
      </c>
      <c r="C15796" s="6">
        <v>0.84952242339253303</v>
      </c>
    </row>
    <row r="15797" spans="1:3" s="8" customFormat="1" x14ac:dyDescent="0.2">
      <c r="A15797" s="6" t="str">
        <f>"AIMP2"</f>
        <v>AIMP2</v>
      </c>
      <c r="B15797" s="6">
        <v>0.76323676323676304</v>
      </c>
      <c r="C15797" s="6">
        <v>0.84952242339253303</v>
      </c>
    </row>
    <row r="15798" spans="1:3" s="8" customFormat="1" x14ac:dyDescent="0.2">
      <c r="A15798" s="6" t="str">
        <f>"SPECC1L"</f>
        <v>SPECC1L</v>
      </c>
      <c r="B15798" s="6">
        <v>0.76323676323676304</v>
      </c>
      <c r="C15798" s="6">
        <v>0.84952242339253303</v>
      </c>
    </row>
    <row r="15799" spans="1:3" s="8" customFormat="1" x14ac:dyDescent="0.2">
      <c r="A15799" s="6" t="str">
        <f>"STAG2"</f>
        <v>STAG2</v>
      </c>
      <c r="B15799" s="6">
        <v>0.76323676323676304</v>
      </c>
      <c r="C15799" s="6">
        <v>0.84952242339253303</v>
      </c>
    </row>
    <row r="15800" spans="1:3" s="8" customFormat="1" x14ac:dyDescent="0.2">
      <c r="A15800" s="6" t="str">
        <f>"SPATA9"</f>
        <v>SPATA9</v>
      </c>
      <c r="B15800" s="6">
        <v>0.764235764235764</v>
      </c>
      <c r="C15800" s="6">
        <v>0.85009626001528804</v>
      </c>
    </row>
    <row r="15801" spans="1:3" s="8" customFormat="1" x14ac:dyDescent="0.2">
      <c r="A15801" s="6" t="str">
        <f>"AC100860.1"</f>
        <v>AC100860.1</v>
      </c>
      <c r="B15801" s="6">
        <v>0.764235764235764</v>
      </c>
      <c r="C15801" s="6">
        <v>0.85009626001528804</v>
      </c>
    </row>
    <row r="15802" spans="1:3" s="8" customFormat="1" x14ac:dyDescent="0.2">
      <c r="A15802" s="6" t="str">
        <f>"AC040160.2"</f>
        <v>AC040160.2</v>
      </c>
      <c r="B15802" s="6">
        <v>0.764235764235764</v>
      </c>
      <c r="C15802" s="6">
        <v>0.85009626001528804</v>
      </c>
    </row>
    <row r="15803" spans="1:3" s="8" customFormat="1" x14ac:dyDescent="0.2">
      <c r="A15803" s="6" t="str">
        <f>"ARHGAP11B"</f>
        <v>ARHGAP11B</v>
      </c>
      <c r="B15803" s="6">
        <v>0.764235764235764</v>
      </c>
      <c r="C15803" s="6">
        <v>0.85009626001528804</v>
      </c>
    </row>
    <row r="15804" spans="1:3" s="8" customFormat="1" x14ac:dyDescent="0.2">
      <c r="A15804" s="6" t="str">
        <f>"AC072026.2"</f>
        <v>AC072026.2</v>
      </c>
      <c r="B15804" s="6">
        <v>0.764235764235764</v>
      </c>
      <c r="C15804" s="6">
        <v>0.85009626001528804</v>
      </c>
    </row>
    <row r="15805" spans="1:3" s="8" customFormat="1" x14ac:dyDescent="0.2">
      <c r="A15805" s="6" t="str">
        <f>"PPP2R5B"</f>
        <v>PPP2R5B</v>
      </c>
      <c r="B15805" s="6">
        <v>0.764235764235764</v>
      </c>
      <c r="C15805" s="6">
        <v>0.85009626001528804</v>
      </c>
    </row>
    <row r="15806" spans="1:3" s="8" customFormat="1" x14ac:dyDescent="0.2">
      <c r="A15806" s="6" t="str">
        <f>"AGPAT4"</f>
        <v>AGPAT4</v>
      </c>
      <c r="B15806" s="6">
        <v>0.764235764235764</v>
      </c>
      <c r="C15806" s="6">
        <v>0.85009626001528804</v>
      </c>
    </row>
    <row r="15807" spans="1:3" s="8" customFormat="1" x14ac:dyDescent="0.2">
      <c r="A15807" s="6" t="str">
        <f>"DPP7"</f>
        <v>DPP7</v>
      </c>
      <c r="B15807" s="6">
        <v>0.764235764235764</v>
      </c>
      <c r="C15807" s="6">
        <v>0.85009626001528804</v>
      </c>
    </row>
    <row r="15808" spans="1:3" s="8" customFormat="1" x14ac:dyDescent="0.2">
      <c r="A15808" s="6" t="str">
        <f>"HSPH1"</f>
        <v>HSPH1</v>
      </c>
      <c r="B15808" s="6">
        <v>0.764235764235764</v>
      </c>
      <c r="C15808" s="6">
        <v>0.85009626001528804</v>
      </c>
    </row>
    <row r="15809" spans="1:3" s="8" customFormat="1" x14ac:dyDescent="0.2">
      <c r="A15809" s="6" t="str">
        <f>"RPL18A"</f>
        <v>RPL18A</v>
      </c>
      <c r="B15809" s="6">
        <v>0.764235764235764</v>
      </c>
      <c r="C15809" s="6">
        <v>0.85009626001528804</v>
      </c>
    </row>
    <row r="15810" spans="1:3" s="8" customFormat="1" x14ac:dyDescent="0.2">
      <c r="A15810" s="6" t="str">
        <f>"LINC00486"</f>
        <v>LINC00486</v>
      </c>
      <c r="B15810" s="6">
        <v>0.76476476476476396</v>
      </c>
      <c r="C15810" s="6">
        <v>0.85063088263796705</v>
      </c>
    </row>
    <row r="15811" spans="1:3" s="8" customFormat="1" x14ac:dyDescent="0.2">
      <c r="A15811" s="6" t="str">
        <f>"AC008938.1"</f>
        <v>AC008938.1</v>
      </c>
      <c r="B15811" s="6">
        <v>0.76482830385015599</v>
      </c>
      <c r="C15811" s="6">
        <v>0.85064774793808595</v>
      </c>
    </row>
    <row r="15812" spans="1:3" s="8" customFormat="1" x14ac:dyDescent="0.2">
      <c r="A15812" s="6" t="str">
        <f>"AC011591.1"</f>
        <v>AC011591.1</v>
      </c>
      <c r="B15812" s="6">
        <v>0.76523476523476497</v>
      </c>
      <c r="C15812" s="6">
        <v>0.85083073739412596</v>
      </c>
    </row>
    <row r="15813" spans="1:3" s="8" customFormat="1" x14ac:dyDescent="0.2">
      <c r="A15813" s="6" t="str">
        <f>"MUC7"</f>
        <v>MUC7</v>
      </c>
      <c r="B15813" s="6">
        <v>0.76523476523476497</v>
      </c>
      <c r="C15813" s="6">
        <v>0.85083073739412596</v>
      </c>
    </row>
    <row r="15814" spans="1:3" s="8" customFormat="1" x14ac:dyDescent="0.2">
      <c r="A15814" s="6" t="str">
        <f>"AL138828.1"</f>
        <v>AL138828.1</v>
      </c>
      <c r="B15814" s="6">
        <v>0.76523476523476497</v>
      </c>
      <c r="C15814" s="6">
        <v>0.85083073739412596</v>
      </c>
    </row>
    <row r="15815" spans="1:3" s="8" customFormat="1" x14ac:dyDescent="0.2">
      <c r="A15815" s="6" t="str">
        <f>"CALD1"</f>
        <v>CALD1</v>
      </c>
      <c r="B15815" s="6">
        <v>0.76523476523476497</v>
      </c>
      <c r="C15815" s="6">
        <v>0.85083073739412596</v>
      </c>
    </row>
    <row r="15816" spans="1:3" s="8" customFormat="1" x14ac:dyDescent="0.2">
      <c r="A15816" s="6" t="str">
        <f>"ERICH2"</f>
        <v>ERICH2</v>
      </c>
      <c r="B15816" s="6">
        <v>0.76523476523476497</v>
      </c>
      <c r="C15816" s="6">
        <v>0.85083073739412596</v>
      </c>
    </row>
    <row r="15817" spans="1:3" s="8" customFormat="1" x14ac:dyDescent="0.2">
      <c r="A15817" s="6" t="str">
        <f>"AC009041.1"</f>
        <v>AC009041.1</v>
      </c>
      <c r="B15817" s="6">
        <v>0.76623376623376604</v>
      </c>
      <c r="C15817" s="6">
        <v>0.85140313083440999</v>
      </c>
    </row>
    <row r="15818" spans="1:3" s="8" customFormat="1" x14ac:dyDescent="0.2">
      <c r="A15818" s="6" t="str">
        <f>"TMEM52B"</f>
        <v>TMEM52B</v>
      </c>
      <c r="B15818" s="6">
        <v>0.76623376623376604</v>
      </c>
      <c r="C15818" s="6">
        <v>0.85140313083440999</v>
      </c>
    </row>
    <row r="15819" spans="1:3" s="8" customFormat="1" x14ac:dyDescent="0.2">
      <c r="A15819" s="6" t="str">
        <f>"AL513477.2"</f>
        <v>AL513477.2</v>
      </c>
      <c r="B15819" s="6">
        <v>0.76612903225806395</v>
      </c>
      <c r="C15819" s="6">
        <v>0.85140313083440999</v>
      </c>
    </row>
    <row r="15820" spans="1:3" s="8" customFormat="1" x14ac:dyDescent="0.2">
      <c r="A15820" s="6" t="str">
        <f>"PRICKLE2-AS3"</f>
        <v>PRICKLE2-AS3</v>
      </c>
      <c r="B15820" s="6">
        <v>0.76619433198380504</v>
      </c>
      <c r="C15820" s="6">
        <v>0.85140313083440999</v>
      </c>
    </row>
    <row r="15821" spans="1:3" s="8" customFormat="1" x14ac:dyDescent="0.2">
      <c r="A15821" s="6" t="str">
        <f>"C9orf50"</f>
        <v>C9orf50</v>
      </c>
      <c r="B15821" s="6">
        <v>0.76623376623376604</v>
      </c>
      <c r="C15821" s="6">
        <v>0.85140313083440999</v>
      </c>
    </row>
    <row r="15822" spans="1:3" s="8" customFormat="1" x14ac:dyDescent="0.2">
      <c r="A15822" s="6" t="str">
        <f>"AL391628.1"</f>
        <v>AL391628.1</v>
      </c>
      <c r="B15822" s="6">
        <v>0.76623376623376604</v>
      </c>
      <c r="C15822" s="6">
        <v>0.85140313083440999</v>
      </c>
    </row>
    <row r="15823" spans="1:3" s="8" customFormat="1" x14ac:dyDescent="0.2">
      <c r="A15823" s="6" t="str">
        <f>"C15orf61"</f>
        <v>C15orf61</v>
      </c>
      <c r="B15823" s="6">
        <v>0.76623376623376604</v>
      </c>
      <c r="C15823" s="6">
        <v>0.85140313083440999</v>
      </c>
    </row>
    <row r="15824" spans="1:3" s="8" customFormat="1" x14ac:dyDescent="0.2">
      <c r="A15824" s="6" t="str">
        <f>"RBM42"</f>
        <v>RBM42</v>
      </c>
      <c r="B15824" s="6">
        <v>0.76623376623376604</v>
      </c>
      <c r="C15824" s="6">
        <v>0.85140313083440999</v>
      </c>
    </row>
    <row r="15825" spans="1:3" s="8" customFormat="1" x14ac:dyDescent="0.2">
      <c r="A15825" s="6" t="str">
        <f>"CDK5RAP3"</f>
        <v>CDK5RAP3</v>
      </c>
      <c r="B15825" s="6">
        <v>0.76623376623376604</v>
      </c>
      <c r="C15825" s="6">
        <v>0.85140313083440999</v>
      </c>
    </row>
    <row r="15826" spans="1:3" s="8" customFormat="1" x14ac:dyDescent="0.2">
      <c r="A15826" s="6" t="str">
        <f>"YLPM1"</f>
        <v>YLPM1</v>
      </c>
      <c r="B15826" s="6">
        <v>0.76623376623376604</v>
      </c>
      <c r="C15826" s="6">
        <v>0.85140313083440999</v>
      </c>
    </row>
    <row r="15827" spans="1:3" s="8" customFormat="1" x14ac:dyDescent="0.2">
      <c r="A15827" s="6" t="str">
        <f>"SYCE2"</f>
        <v>SYCE2</v>
      </c>
      <c r="B15827" s="6">
        <v>0.76723276723276701</v>
      </c>
      <c r="C15827" s="6">
        <v>0.85202860799677704</v>
      </c>
    </row>
    <row r="15828" spans="1:3" s="8" customFormat="1" x14ac:dyDescent="0.2">
      <c r="A15828" s="6" t="str">
        <f>"SLC25A21"</f>
        <v>SLC25A21</v>
      </c>
      <c r="B15828" s="6">
        <v>0.76723276723276701</v>
      </c>
      <c r="C15828" s="6">
        <v>0.85202860799677704</v>
      </c>
    </row>
    <row r="15829" spans="1:3" s="8" customFormat="1" x14ac:dyDescent="0.2">
      <c r="A15829" s="6" t="str">
        <f>"GPR161"</f>
        <v>GPR161</v>
      </c>
      <c r="B15829" s="6">
        <v>0.76723276723276701</v>
      </c>
      <c r="C15829" s="6">
        <v>0.85202860799677704</v>
      </c>
    </row>
    <row r="15830" spans="1:3" s="8" customFormat="1" x14ac:dyDescent="0.2">
      <c r="A15830" s="6" t="str">
        <f>"SYT12"</f>
        <v>SYT12</v>
      </c>
      <c r="B15830" s="6">
        <v>0.76723276723276701</v>
      </c>
      <c r="C15830" s="6">
        <v>0.85202860799677704</v>
      </c>
    </row>
    <row r="15831" spans="1:3" s="8" customFormat="1" x14ac:dyDescent="0.2">
      <c r="A15831" s="6" t="str">
        <f>"FUT1"</f>
        <v>FUT1</v>
      </c>
      <c r="B15831" s="6">
        <v>0.76723276723276701</v>
      </c>
      <c r="C15831" s="6">
        <v>0.85202860799677704</v>
      </c>
    </row>
    <row r="15832" spans="1:3" s="8" customFormat="1" x14ac:dyDescent="0.2">
      <c r="A15832" s="6" t="str">
        <f>"ISOC1"</f>
        <v>ISOC1</v>
      </c>
      <c r="B15832" s="6">
        <v>0.76723276723276701</v>
      </c>
      <c r="C15832" s="6">
        <v>0.85202860799677704</v>
      </c>
    </row>
    <row r="15833" spans="1:3" s="8" customFormat="1" x14ac:dyDescent="0.2">
      <c r="A15833" s="6" t="str">
        <f>"UXS1"</f>
        <v>UXS1</v>
      </c>
      <c r="B15833" s="6">
        <v>0.76723276723276701</v>
      </c>
      <c r="C15833" s="6">
        <v>0.85202860799677704</v>
      </c>
    </row>
    <row r="15834" spans="1:3" s="8" customFormat="1" x14ac:dyDescent="0.2">
      <c r="A15834" s="6" t="str">
        <f>"BBX"</f>
        <v>BBX</v>
      </c>
      <c r="B15834" s="6">
        <v>0.76723276723276701</v>
      </c>
      <c r="C15834" s="6">
        <v>0.85202860799677704</v>
      </c>
    </row>
    <row r="15835" spans="1:3" s="8" customFormat="1" x14ac:dyDescent="0.2">
      <c r="A15835" s="6" t="str">
        <f>"ADAM28"</f>
        <v>ADAM28</v>
      </c>
      <c r="B15835" s="6">
        <v>0.76723276723276701</v>
      </c>
      <c r="C15835" s="6">
        <v>0.85202860799677704</v>
      </c>
    </row>
    <row r="15836" spans="1:3" s="8" customFormat="1" x14ac:dyDescent="0.2">
      <c r="A15836" s="6" t="str">
        <f>"AC120498.9"</f>
        <v>AC120498.9</v>
      </c>
      <c r="B15836" s="6">
        <v>0.767332549941245</v>
      </c>
      <c r="C15836" s="6">
        <v>0.85208560518893905</v>
      </c>
    </row>
    <row r="15837" spans="1:3" s="8" customFormat="1" x14ac:dyDescent="0.2">
      <c r="A15837" s="6" t="str">
        <f>"RASA4DP"</f>
        <v>RASA4DP</v>
      </c>
      <c r="B15837" s="6">
        <v>0.76823176823176798</v>
      </c>
      <c r="C15837" s="6">
        <v>0.85249194828899399</v>
      </c>
    </row>
    <row r="15838" spans="1:3" s="8" customFormat="1" x14ac:dyDescent="0.2">
      <c r="A15838" s="6" t="str">
        <f>"FSCN3"</f>
        <v>FSCN3</v>
      </c>
      <c r="B15838" s="6">
        <v>0.76823176823176798</v>
      </c>
      <c r="C15838" s="6">
        <v>0.85249194828899399</v>
      </c>
    </row>
    <row r="15839" spans="1:3" s="8" customFormat="1" x14ac:dyDescent="0.2">
      <c r="A15839" s="6" t="str">
        <f>"TFAP2E-AS1"</f>
        <v>TFAP2E-AS1</v>
      </c>
      <c r="B15839" s="6">
        <v>0.76823176823176798</v>
      </c>
      <c r="C15839" s="6">
        <v>0.85249194828899399</v>
      </c>
    </row>
    <row r="15840" spans="1:3" s="8" customFormat="1" x14ac:dyDescent="0.2">
      <c r="A15840" s="6" t="str">
        <f>"LINC01427"</f>
        <v>LINC01427</v>
      </c>
      <c r="B15840" s="6">
        <v>0.76800000000000002</v>
      </c>
      <c r="C15840" s="6">
        <v>0.85249194828899399</v>
      </c>
    </row>
    <row r="15841" spans="1:3" s="8" customFormat="1" x14ac:dyDescent="0.2">
      <c r="A15841" s="6" t="str">
        <f>"AL161629.1"</f>
        <v>AL161629.1</v>
      </c>
      <c r="B15841" s="6">
        <v>0.76823176823176798</v>
      </c>
      <c r="C15841" s="6">
        <v>0.85249194828899399</v>
      </c>
    </row>
    <row r="15842" spans="1:3" s="8" customFormat="1" x14ac:dyDescent="0.2">
      <c r="A15842" s="6" t="str">
        <f>"ACTBL2"</f>
        <v>ACTBL2</v>
      </c>
      <c r="B15842" s="6">
        <v>0.76823176823176798</v>
      </c>
      <c r="C15842" s="6">
        <v>0.85249194828899399</v>
      </c>
    </row>
    <row r="15843" spans="1:3" s="8" customFormat="1" x14ac:dyDescent="0.2">
      <c r="A15843" s="6" t="str">
        <f>"LIMS3"</f>
        <v>LIMS3</v>
      </c>
      <c r="B15843" s="6">
        <v>0.76823176823176798</v>
      </c>
      <c r="C15843" s="6">
        <v>0.85249194828899399</v>
      </c>
    </row>
    <row r="15844" spans="1:3" s="8" customFormat="1" x14ac:dyDescent="0.2">
      <c r="A15844" s="6" t="str">
        <f>"AC007743.1"</f>
        <v>AC007743.1</v>
      </c>
      <c r="B15844" s="6">
        <v>0.76823176823176798</v>
      </c>
      <c r="C15844" s="6">
        <v>0.85249194828899399</v>
      </c>
    </row>
    <row r="15845" spans="1:3" s="8" customFormat="1" x14ac:dyDescent="0.2">
      <c r="A15845" s="6" t="str">
        <f>"PFKFB2"</f>
        <v>PFKFB2</v>
      </c>
      <c r="B15845" s="6">
        <v>0.76823176823176798</v>
      </c>
      <c r="C15845" s="6">
        <v>0.85249194828899399</v>
      </c>
    </row>
    <row r="15846" spans="1:3" s="8" customFormat="1" x14ac:dyDescent="0.2">
      <c r="A15846" s="6" t="str">
        <f>"CCDC96"</f>
        <v>CCDC96</v>
      </c>
      <c r="B15846" s="6">
        <v>0.76823176823176798</v>
      </c>
      <c r="C15846" s="6">
        <v>0.85249194828899399</v>
      </c>
    </row>
    <row r="15847" spans="1:3" s="8" customFormat="1" x14ac:dyDescent="0.2">
      <c r="A15847" s="6" t="str">
        <f>"CUEDC1"</f>
        <v>CUEDC1</v>
      </c>
      <c r="B15847" s="6">
        <v>0.76823176823176798</v>
      </c>
      <c r="C15847" s="6">
        <v>0.85249194828899399</v>
      </c>
    </row>
    <row r="15848" spans="1:3" s="8" customFormat="1" x14ac:dyDescent="0.2">
      <c r="A15848" s="6" t="str">
        <f>"AC099521.1"</f>
        <v>AC099521.1</v>
      </c>
      <c r="B15848" s="6">
        <v>0.76923076923076905</v>
      </c>
      <c r="C15848" s="6">
        <v>0.85343894543213095</v>
      </c>
    </row>
    <row r="15849" spans="1:3" s="8" customFormat="1" x14ac:dyDescent="0.2">
      <c r="A15849" s="6" t="str">
        <f>"FRG1BP"</f>
        <v>FRG1BP</v>
      </c>
      <c r="B15849" s="6">
        <v>0.76923076923076905</v>
      </c>
      <c r="C15849" s="6">
        <v>0.85343894543213095</v>
      </c>
    </row>
    <row r="15850" spans="1:3" s="8" customFormat="1" x14ac:dyDescent="0.2">
      <c r="A15850" s="6" t="str">
        <f>"OSGIN1"</f>
        <v>OSGIN1</v>
      </c>
      <c r="B15850" s="6">
        <v>0.76923076923076905</v>
      </c>
      <c r="C15850" s="6">
        <v>0.85343894543213095</v>
      </c>
    </row>
    <row r="15851" spans="1:3" s="8" customFormat="1" x14ac:dyDescent="0.2">
      <c r="A15851" s="6" t="str">
        <f>"GCSAML"</f>
        <v>GCSAML</v>
      </c>
      <c r="B15851" s="6">
        <v>0.77022977022977002</v>
      </c>
      <c r="C15851" s="6">
        <v>0.85422392177358997</v>
      </c>
    </row>
    <row r="15852" spans="1:3" s="8" customFormat="1" x14ac:dyDescent="0.2">
      <c r="A15852" s="6" t="str">
        <f>"SRSF12"</f>
        <v>SRSF12</v>
      </c>
      <c r="B15852" s="6">
        <v>0.77022977022977002</v>
      </c>
      <c r="C15852" s="6">
        <v>0.85422392177358997</v>
      </c>
    </row>
    <row r="15853" spans="1:3" s="8" customFormat="1" x14ac:dyDescent="0.2">
      <c r="A15853" s="6" t="str">
        <f>"TXNL4B"</f>
        <v>TXNL4B</v>
      </c>
      <c r="B15853" s="6">
        <v>0.77022977022977002</v>
      </c>
      <c r="C15853" s="6">
        <v>0.85422392177358997</v>
      </c>
    </row>
    <row r="15854" spans="1:3" s="8" customFormat="1" x14ac:dyDescent="0.2">
      <c r="A15854" s="6" t="str">
        <f>"MARCHF9"</f>
        <v>MARCHF9</v>
      </c>
      <c r="B15854" s="6">
        <v>0.77022977022977002</v>
      </c>
      <c r="C15854" s="6">
        <v>0.85422392177358997</v>
      </c>
    </row>
    <row r="15855" spans="1:3" s="8" customFormat="1" x14ac:dyDescent="0.2">
      <c r="A15855" s="6" t="str">
        <f>"ANKEF1"</f>
        <v>ANKEF1</v>
      </c>
      <c r="B15855" s="6">
        <v>0.77022977022977002</v>
      </c>
      <c r="C15855" s="6">
        <v>0.85422392177358997</v>
      </c>
    </row>
    <row r="15856" spans="1:3" s="8" customFormat="1" x14ac:dyDescent="0.2">
      <c r="A15856" s="6" t="str">
        <f>"AD000090.1"</f>
        <v>AD000090.1</v>
      </c>
      <c r="B15856" s="6">
        <v>0.77022977022977002</v>
      </c>
      <c r="C15856" s="6">
        <v>0.85422392177358997</v>
      </c>
    </row>
    <row r="15857" spans="1:3" s="8" customFormat="1" x14ac:dyDescent="0.2">
      <c r="A15857" s="6" t="str">
        <f>"AC006116.9"</f>
        <v>AC006116.9</v>
      </c>
      <c r="B15857" s="6">
        <v>0.77100000000000002</v>
      </c>
      <c r="C15857" s="6">
        <v>0.85502421796165495</v>
      </c>
    </row>
    <row r="15858" spans="1:3" s="8" customFormat="1" x14ac:dyDescent="0.2">
      <c r="A15858" s="6" t="str">
        <f>"AC127024.2"</f>
        <v>AC127024.2</v>
      </c>
      <c r="B15858" s="6">
        <v>0.77122877122877098</v>
      </c>
      <c r="C15858" s="6">
        <v>0.85522398393685495</v>
      </c>
    </row>
    <row r="15859" spans="1:3" s="8" customFormat="1" x14ac:dyDescent="0.2">
      <c r="A15859" s="6" t="str">
        <f>"AL365232.1"</f>
        <v>AL365232.1</v>
      </c>
      <c r="B15859" s="6">
        <v>0.77222777222777195</v>
      </c>
      <c r="C15859" s="6">
        <v>0.85584603219797895</v>
      </c>
    </row>
    <row r="15860" spans="1:3" s="8" customFormat="1" x14ac:dyDescent="0.2">
      <c r="A15860" s="6" t="str">
        <f>"ADAM12"</f>
        <v>ADAM12</v>
      </c>
      <c r="B15860" s="6">
        <v>0.77222777222777195</v>
      </c>
      <c r="C15860" s="6">
        <v>0.85584603219797895</v>
      </c>
    </row>
    <row r="15861" spans="1:3" s="8" customFormat="1" x14ac:dyDescent="0.2">
      <c r="A15861" s="6" t="str">
        <f>"AL121839.2"</f>
        <v>AL121839.2</v>
      </c>
      <c r="B15861" s="6">
        <v>0.77222777222777195</v>
      </c>
      <c r="C15861" s="6">
        <v>0.85584603219797895</v>
      </c>
    </row>
    <row r="15862" spans="1:3" s="8" customFormat="1" x14ac:dyDescent="0.2">
      <c r="A15862" s="6" t="str">
        <f>"MFAP3"</f>
        <v>MFAP3</v>
      </c>
      <c r="B15862" s="6">
        <v>0.77222777222777195</v>
      </c>
      <c r="C15862" s="6">
        <v>0.85584603219797895</v>
      </c>
    </row>
    <row r="15863" spans="1:3" s="8" customFormat="1" x14ac:dyDescent="0.2">
      <c r="A15863" s="6" t="str">
        <f>"TARBP2"</f>
        <v>TARBP2</v>
      </c>
      <c r="B15863" s="6">
        <v>0.77222777222777195</v>
      </c>
      <c r="C15863" s="6">
        <v>0.85584603219797895</v>
      </c>
    </row>
    <row r="15864" spans="1:3" s="8" customFormat="1" x14ac:dyDescent="0.2">
      <c r="A15864" s="6" t="str">
        <f>"RNF8"</f>
        <v>RNF8</v>
      </c>
      <c r="B15864" s="6">
        <v>0.77222777222777195</v>
      </c>
      <c r="C15864" s="6">
        <v>0.85584603219797895</v>
      </c>
    </row>
    <row r="15865" spans="1:3" s="8" customFormat="1" x14ac:dyDescent="0.2">
      <c r="A15865" s="6" t="str">
        <f>"NGFR"</f>
        <v>NGFR</v>
      </c>
      <c r="B15865" s="6">
        <v>0.77222777222777195</v>
      </c>
      <c r="C15865" s="6">
        <v>0.85584603219797895</v>
      </c>
    </row>
    <row r="15866" spans="1:3" s="8" customFormat="1" x14ac:dyDescent="0.2">
      <c r="A15866" s="6" t="str">
        <f>"ARMC9"</f>
        <v>ARMC9</v>
      </c>
      <c r="B15866" s="6">
        <v>0.77222777222777195</v>
      </c>
      <c r="C15866" s="6">
        <v>0.85584603219797895</v>
      </c>
    </row>
    <row r="15867" spans="1:3" s="8" customFormat="1" x14ac:dyDescent="0.2">
      <c r="A15867" s="6" t="str">
        <f>"SSR2"</f>
        <v>SSR2</v>
      </c>
      <c r="B15867" s="6">
        <v>0.77222777222777195</v>
      </c>
      <c r="C15867" s="6">
        <v>0.85584603219797895</v>
      </c>
    </row>
    <row r="15868" spans="1:3" s="8" customFormat="1" x14ac:dyDescent="0.2">
      <c r="A15868" s="6" t="str">
        <f>"AF235103.3"</f>
        <v>AF235103.3</v>
      </c>
      <c r="B15868" s="6">
        <v>0.77322677322677302</v>
      </c>
      <c r="C15868" s="6">
        <v>0.85668323233693999</v>
      </c>
    </row>
    <row r="15869" spans="1:3" s="8" customFormat="1" x14ac:dyDescent="0.2">
      <c r="A15869" s="6" t="str">
        <f>"HDX"</f>
        <v>HDX</v>
      </c>
      <c r="B15869" s="6">
        <v>0.77322677322677302</v>
      </c>
      <c r="C15869" s="6">
        <v>0.85668323233693999</v>
      </c>
    </row>
    <row r="15870" spans="1:3" s="8" customFormat="1" x14ac:dyDescent="0.2">
      <c r="A15870" s="6" t="str">
        <f>"ANXA6"</f>
        <v>ANXA6</v>
      </c>
      <c r="B15870" s="6">
        <v>0.77322677322677302</v>
      </c>
      <c r="C15870" s="6">
        <v>0.85668323233693999</v>
      </c>
    </row>
    <row r="15871" spans="1:3" s="8" customFormat="1" x14ac:dyDescent="0.2">
      <c r="A15871" s="6" t="str">
        <f>"AC069544.2"</f>
        <v>AC069544.2</v>
      </c>
      <c r="B15871" s="6">
        <v>0.77322677322677302</v>
      </c>
      <c r="C15871" s="6">
        <v>0.85668323233693999</v>
      </c>
    </row>
    <row r="15872" spans="1:3" s="8" customFormat="1" x14ac:dyDescent="0.2">
      <c r="A15872" s="6" t="str">
        <f>"SLC39A3"</f>
        <v>SLC39A3</v>
      </c>
      <c r="B15872" s="6">
        <v>0.77322677322677302</v>
      </c>
      <c r="C15872" s="6">
        <v>0.85668323233693999</v>
      </c>
    </row>
    <row r="15873" spans="1:3" s="8" customFormat="1" x14ac:dyDescent="0.2">
      <c r="A15873" s="6" t="str">
        <f>"AL117348.2"</f>
        <v>AL117348.2</v>
      </c>
      <c r="B15873" s="6">
        <v>0.77422577422577399</v>
      </c>
      <c r="C15873" s="6">
        <v>0.85708801397544798</v>
      </c>
    </row>
    <row r="15874" spans="1:3" s="8" customFormat="1" x14ac:dyDescent="0.2">
      <c r="A15874" s="6" t="str">
        <f>"AC079298.3"</f>
        <v>AC079298.3</v>
      </c>
      <c r="B15874" s="6">
        <v>0.77422577422577399</v>
      </c>
      <c r="C15874" s="6">
        <v>0.85708801397544798</v>
      </c>
    </row>
    <row r="15875" spans="1:3" s="8" customFormat="1" x14ac:dyDescent="0.2">
      <c r="A15875" s="6" t="str">
        <f>"HRCT1"</f>
        <v>HRCT1</v>
      </c>
      <c r="B15875" s="6">
        <v>0.77422577422577399</v>
      </c>
      <c r="C15875" s="6">
        <v>0.85708801397544798</v>
      </c>
    </row>
    <row r="15876" spans="1:3" s="8" customFormat="1" x14ac:dyDescent="0.2">
      <c r="A15876" s="6" t="str">
        <f>"DPYSL4"</f>
        <v>DPYSL4</v>
      </c>
      <c r="B15876" s="6">
        <v>0.77422577422577399</v>
      </c>
      <c r="C15876" s="6">
        <v>0.85708801397544798</v>
      </c>
    </row>
    <row r="15877" spans="1:3" s="8" customFormat="1" x14ac:dyDescent="0.2">
      <c r="A15877" s="6" t="str">
        <f>"DHRS4L1"</f>
        <v>DHRS4L1</v>
      </c>
      <c r="B15877" s="6">
        <v>0.77422577422577399</v>
      </c>
      <c r="C15877" s="6">
        <v>0.85708801397544798</v>
      </c>
    </row>
    <row r="15878" spans="1:3" s="8" customFormat="1" x14ac:dyDescent="0.2">
      <c r="A15878" s="6" t="str">
        <f>"ZNF492"</f>
        <v>ZNF492</v>
      </c>
      <c r="B15878" s="6">
        <v>0.77422577422577399</v>
      </c>
      <c r="C15878" s="6">
        <v>0.85708801397544798</v>
      </c>
    </row>
    <row r="15879" spans="1:3" s="8" customFormat="1" x14ac:dyDescent="0.2">
      <c r="A15879" s="6" t="str">
        <f>"CDCA7"</f>
        <v>CDCA7</v>
      </c>
      <c r="B15879" s="6">
        <v>0.77422577422577399</v>
      </c>
      <c r="C15879" s="6">
        <v>0.85708801397544798</v>
      </c>
    </row>
    <row r="15880" spans="1:3" s="8" customFormat="1" x14ac:dyDescent="0.2">
      <c r="A15880" s="6" t="str">
        <f>"PCCA-DT"</f>
        <v>PCCA-DT</v>
      </c>
      <c r="B15880" s="6">
        <v>0.77422577422577399</v>
      </c>
      <c r="C15880" s="6">
        <v>0.85708801397544798</v>
      </c>
    </row>
    <row r="15881" spans="1:3" s="8" customFormat="1" x14ac:dyDescent="0.2">
      <c r="A15881" s="6" t="str">
        <f>"RBM20"</f>
        <v>RBM20</v>
      </c>
      <c r="B15881" s="6">
        <v>0.77422577422577399</v>
      </c>
      <c r="C15881" s="6">
        <v>0.85708801397544798</v>
      </c>
    </row>
    <row r="15882" spans="1:3" s="8" customFormat="1" x14ac:dyDescent="0.2">
      <c r="A15882" s="6" t="str">
        <f>"COX10"</f>
        <v>COX10</v>
      </c>
      <c r="B15882" s="6">
        <v>0.77422577422577399</v>
      </c>
      <c r="C15882" s="6">
        <v>0.85708801397544798</v>
      </c>
    </row>
    <row r="15883" spans="1:3" s="8" customFormat="1" x14ac:dyDescent="0.2">
      <c r="A15883" s="6" t="str">
        <f>"ANKIB1"</f>
        <v>ANKIB1</v>
      </c>
      <c r="B15883" s="6">
        <v>0.77422577422577399</v>
      </c>
      <c r="C15883" s="6">
        <v>0.85708801397544798</v>
      </c>
    </row>
    <row r="15884" spans="1:3" s="8" customFormat="1" x14ac:dyDescent="0.2">
      <c r="A15884" s="6" t="str">
        <f>"LAMTOR5"</f>
        <v>LAMTOR5</v>
      </c>
      <c r="B15884" s="6">
        <v>0.77422577422577399</v>
      </c>
      <c r="C15884" s="6">
        <v>0.85708801397544798</v>
      </c>
    </row>
    <row r="15885" spans="1:3" s="8" customFormat="1" x14ac:dyDescent="0.2">
      <c r="A15885" s="6" t="str">
        <f>"SQSTM1"</f>
        <v>SQSTM1</v>
      </c>
      <c r="B15885" s="6">
        <v>0.77422577422577399</v>
      </c>
      <c r="C15885" s="6">
        <v>0.85708801397544798</v>
      </c>
    </row>
    <row r="15886" spans="1:3" s="8" customFormat="1" x14ac:dyDescent="0.2">
      <c r="A15886" s="6" t="str">
        <f>"OR7E155P"</f>
        <v>OR7E155P</v>
      </c>
      <c r="B15886" s="6">
        <v>0.77500000000000002</v>
      </c>
      <c r="C15886" s="6">
        <v>0.85776192093836101</v>
      </c>
    </row>
    <row r="15887" spans="1:3" s="8" customFormat="1" x14ac:dyDescent="0.2">
      <c r="A15887" s="6" t="str">
        <f>"SPIC"</f>
        <v>SPIC</v>
      </c>
      <c r="B15887" s="6">
        <v>0.77522477522477495</v>
      </c>
      <c r="C15887" s="6">
        <v>0.85776192093836101</v>
      </c>
    </row>
    <row r="15888" spans="1:3" s="8" customFormat="1" x14ac:dyDescent="0.2">
      <c r="A15888" s="6" t="str">
        <f>"SCARNA7"</f>
        <v>SCARNA7</v>
      </c>
      <c r="B15888" s="6">
        <v>0.77522477522477495</v>
      </c>
      <c r="C15888" s="6">
        <v>0.85776192093836101</v>
      </c>
    </row>
    <row r="15889" spans="1:3" s="8" customFormat="1" x14ac:dyDescent="0.2">
      <c r="A15889" s="6" t="str">
        <f>"LINC00484"</f>
        <v>LINC00484</v>
      </c>
      <c r="B15889" s="6">
        <v>0.77522477522477495</v>
      </c>
      <c r="C15889" s="6">
        <v>0.85776192093836101</v>
      </c>
    </row>
    <row r="15890" spans="1:3" s="8" customFormat="1" x14ac:dyDescent="0.2">
      <c r="A15890" s="6" t="str">
        <f>"TNXB"</f>
        <v>TNXB</v>
      </c>
      <c r="B15890" s="6">
        <v>0.77522477522477495</v>
      </c>
      <c r="C15890" s="6">
        <v>0.85776192093836101</v>
      </c>
    </row>
    <row r="15891" spans="1:3" s="8" customFormat="1" x14ac:dyDescent="0.2">
      <c r="A15891" s="6" t="str">
        <f>"C16orf91"</f>
        <v>C16orf91</v>
      </c>
      <c r="B15891" s="6">
        <v>0.77522477522477495</v>
      </c>
      <c r="C15891" s="6">
        <v>0.85776192093836101</v>
      </c>
    </row>
    <row r="15892" spans="1:3" s="8" customFormat="1" x14ac:dyDescent="0.2">
      <c r="A15892" s="6" t="str">
        <f>"SETD6"</f>
        <v>SETD6</v>
      </c>
      <c r="B15892" s="6">
        <v>0.77522477522477495</v>
      </c>
      <c r="C15892" s="6">
        <v>0.85776192093836101</v>
      </c>
    </row>
    <row r="15893" spans="1:3" s="8" customFormat="1" x14ac:dyDescent="0.2">
      <c r="A15893" s="6" t="str">
        <f>"ACER3"</f>
        <v>ACER3</v>
      </c>
      <c r="B15893" s="6">
        <v>0.77522477522477495</v>
      </c>
      <c r="C15893" s="6">
        <v>0.85776192093836101</v>
      </c>
    </row>
    <row r="15894" spans="1:3" s="8" customFormat="1" x14ac:dyDescent="0.2">
      <c r="A15894" s="6" t="str">
        <f>"NAT2"</f>
        <v>NAT2</v>
      </c>
      <c r="B15894" s="6">
        <v>0.77622377622377603</v>
      </c>
      <c r="C15894" s="6">
        <v>0.85838116351920501</v>
      </c>
    </row>
    <row r="15895" spans="1:3" s="8" customFormat="1" x14ac:dyDescent="0.2">
      <c r="A15895" s="6" t="str">
        <f>"FTH1P23"</f>
        <v>FTH1P23</v>
      </c>
      <c r="B15895" s="6">
        <v>0.77622377622377603</v>
      </c>
      <c r="C15895" s="6">
        <v>0.85838116351920501</v>
      </c>
    </row>
    <row r="15896" spans="1:3" s="8" customFormat="1" x14ac:dyDescent="0.2">
      <c r="A15896" s="6" t="str">
        <f>"BX571818.1"</f>
        <v>BX571818.1</v>
      </c>
      <c r="B15896" s="6">
        <v>0.77622377622377603</v>
      </c>
      <c r="C15896" s="6">
        <v>0.85838116351920501</v>
      </c>
    </row>
    <row r="15897" spans="1:3" s="8" customFormat="1" x14ac:dyDescent="0.2">
      <c r="A15897" s="6" t="str">
        <f>"NT5M"</f>
        <v>NT5M</v>
      </c>
      <c r="B15897" s="6">
        <v>0.77622377622377603</v>
      </c>
      <c r="C15897" s="6">
        <v>0.85838116351920501</v>
      </c>
    </row>
    <row r="15898" spans="1:3" s="8" customFormat="1" x14ac:dyDescent="0.2">
      <c r="A15898" s="6" t="str">
        <f>"CCDC144A"</f>
        <v>CCDC144A</v>
      </c>
      <c r="B15898" s="6">
        <v>0.77622377622377603</v>
      </c>
      <c r="C15898" s="6">
        <v>0.85838116351920501</v>
      </c>
    </row>
    <row r="15899" spans="1:3" s="8" customFormat="1" x14ac:dyDescent="0.2">
      <c r="A15899" s="6" t="str">
        <f>"AL355999.1"</f>
        <v>AL355999.1</v>
      </c>
      <c r="B15899" s="6">
        <v>0.77622377622377603</v>
      </c>
      <c r="C15899" s="6">
        <v>0.85838116351920501</v>
      </c>
    </row>
    <row r="15900" spans="1:3" s="8" customFormat="1" x14ac:dyDescent="0.2">
      <c r="A15900" s="6" t="str">
        <f>"MPC1"</f>
        <v>MPC1</v>
      </c>
      <c r="B15900" s="6">
        <v>0.77622377622377603</v>
      </c>
      <c r="C15900" s="6">
        <v>0.85838116351920501</v>
      </c>
    </row>
    <row r="15901" spans="1:3" s="8" customFormat="1" x14ac:dyDescent="0.2">
      <c r="A15901" s="6" t="str">
        <f>"TMEM63A"</f>
        <v>TMEM63A</v>
      </c>
      <c r="B15901" s="6">
        <v>0.77622377622377603</v>
      </c>
      <c r="C15901" s="6">
        <v>0.85838116351920501</v>
      </c>
    </row>
    <row r="15902" spans="1:3" s="8" customFormat="1" x14ac:dyDescent="0.2">
      <c r="A15902" s="6" t="str">
        <f>"PSMC1"</f>
        <v>PSMC1</v>
      </c>
      <c r="B15902" s="6">
        <v>0.77622377622377603</v>
      </c>
      <c r="C15902" s="6">
        <v>0.85838116351920501</v>
      </c>
    </row>
    <row r="15903" spans="1:3" s="8" customFormat="1" x14ac:dyDescent="0.2">
      <c r="A15903" s="6" t="str">
        <f>"AC073389.3"</f>
        <v>AC073389.3</v>
      </c>
      <c r="B15903" s="6">
        <v>0.77665995975855096</v>
      </c>
      <c r="C15903" s="6">
        <v>0.85880950398656497</v>
      </c>
    </row>
    <row r="15904" spans="1:3" s="8" customFormat="1" x14ac:dyDescent="0.2">
      <c r="A15904" s="6" t="str">
        <f>"NALCN"</f>
        <v>NALCN</v>
      </c>
      <c r="B15904" s="6">
        <v>0.77700000000000002</v>
      </c>
      <c r="C15904" s="6">
        <v>0.85894571772266404</v>
      </c>
    </row>
    <row r="15905" spans="1:3" s="8" customFormat="1" x14ac:dyDescent="0.2">
      <c r="A15905" s="6" t="str">
        <f>"AL357141.1"</f>
        <v>AL357141.1</v>
      </c>
      <c r="B15905" s="6">
        <v>0.77722277722277699</v>
      </c>
      <c r="C15905" s="6">
        <v>0.85894571772266404</v>
      </c>
    </row>
    <row r="15906" spans="1:3" s="8" customFormat="1" x14ac:dyDescent="0.2">
      <c r="A15906" s="6" t="str">
        <f>"ATP8A1"</f>
        <v>ATP8A1</v>
      </c>
      <c r="B15906" s="6">
        <v>0.77722277722277699</v>
      </c>
      <c r="C15906" s="6">
        <v>0.85894571772266404</v>
      </c>
    </row>
    <row r="15907" spans="1:3" s="8" customFormat="1" x14ac:dyDescent="0.2">
      <c r="A15907" s="6" t="str">
        <f>"ZNF45"</f>
        <v>ZNF45</v>
      </c>
      <c r="B15907" s="6">
        <v>0.77722277722277699</v>
      </c>
      <c r="C15907" s="6">
        <v>0.85894571772266404</v>
      </c>
    </row>
    <row r="15908" spans="1:3" s="8" customFormat="1" x14ac:dyDescent="0.2">
      <c r="A15908" s="6" t="str">
        <f>"NFASC"</f>
        <v>NFASC</v>
      </c>
      <c r="B15908" s="6">
        <v>0.77722277722277699</v>
      </c>
      <c r="C15908" s="6">
        <v>0.85894571772266404</v>
      </c>
    </row>
    <row r="15909" spans="1:3" s="8" customFormat="1" x14ac:dyDescent="0.2">
      <c r="A15909" s="6" t="str">
        <f>"CEP162"</f>
        <v>CEP162</v>
      </c>
      <c r="B15909" s="6">
        <v>0.77722277722277699</v>
      </c>
      <c r="C15909" s="6">
        <v>0.85894571772266404</v>
      </c>
    </row>
    <row r="15910" spans="1:3" s="8" customFormat="1" x14ac:dyDescent="0.2">
      <c r="A15910" s="6" t="str">
        <f>"C9orf152"</f>
        <v>C9orf152</v>
      </c>
      <c r="B15910" s="6">
        <v>0.77722277722277699</v>
      </c>
      <c r="C15910" s="6">
        <v>0.85894571772266404</v>
      </c>
    </row>
    <row r="15911" spans="1:3" s="8" customFormat="1" x14ac:dyDescent="0.2">
      <c r="A15911" s="6" t="str">
        <f>"PANK2"</f>
        <v>PANK2</v>
      </c>
      <c r="B15911" s="6">
        <v>0.77722277722277699</v>
      </c>
      <c r="C15911" s="6">
        <v>0.85894571772266404</v>
      </c>
    </row>
    <row r="15912" spans="1:3" s="8" customFormat="1" x14ac:dyDescent="0.2">
      <c r="A15912" s="6" t="str">
        <f>"PHB"</f>
        <v>PHB</v>
      </c>
      <c r="B15912" s="6">
        <v>0.77722277722277699</v>
      </c>
      <c r="C15912" s="6">
        <v>0.85894571772266404</v>
      </c>
    </row>
    <row r="15913" spans="1:3" s="8" customFormat="1" x14ac:dyDescent="0.2">
      <c r="A15913" s="6" t="str">
        <f>"GOLGA6L1"</f>
        <v>GOLGA6L1</v>
      </c>
      <c r="B15913" s="6">
        <v>0.77800000000000002</v>
      </c>
      <c r="C15913" s="6">
        <v>0.85975062845650996</v>
      </c>
    </row>
    <row r="15914" spans="1:3" s="8" customFormat="1" x14ac:dyDescent="0.2">
      <c r="A15914" s="6" t="str">
        <f>"SH3GL1P1"</f>
        <v>SH3GL1P1</v>
      </c>
      <c r="B15914" s="6">
        <v>0.77822177822177796</v>
      </c>
      <c r="C15914" s="6">
        <v>0.85977957704522101</v>
      </c>
    </row>
    <row r="15915" spans="1:3" s="8" customFormat="1" x14ac:dyDescent="0.2">
      <c r="A15915" s="6" t="str">
        <f>"ISY1"</f>
        <v>ISY1</v>
      </c>
      <c r="B15915" s="6">
        <v>0.77822177822177796</v>
      </c>
      <c r="C15915" s="6">
        <v>0.85977957704522101</v>
      </c>
    </row>
    <row r="15916" spans="1:3" s="8" customFormat="1" x14ac:dyDescent="0.2">
      <c r="A15916" s="6" t="str">
        <f>"C8orf76"</f>
        <v>C8orf76</v>
      </c>
      <c r="B15916" s="6">
        <v>0.77822177822177796</v>
      </c>
      <c r="C15916" s="6">
        <v>0.85977957704522101</v>
      </c>
    </row>
    <row r="15917" spans="1:3" s="8" customFormat="1" x14ac:dyDescent="0.2">
      <c r="A15917" s="6" t="str">
        <f>"SEMA4B"</f>
        <v>SEMA4B</v>
      </c>
      <c r="B15917" s="6">
        <v>0.77822177822177796</v>
      </c>
      <c r="C15917" s="6">
        <v>0.85977957704522101</v>
      </c>
    </row>
    <row r="15918" spans="1:3" s="8" customFormat="1" x14ac:dyDescent="0.2">
      <c r="A15918" s="6" t="str">
        <f>"AC105053.1"</f>
        <v>AC105053.1</v>
      </c>
      <c r="B15918" s="6">
        <v>0.77922077922077904</v>
      </c>
      <c r="C15918" s="6">
        <v>0.86045077755703203</v>
      </c>
    </row>
    <row r="15919" spans="1:3" s="8" customFormat="1" x14ac:dyDescent="0.2">
      <c r="A15919" s="6" t="str">
        <f>"TMEM255B"</f>
        <v>TMEM255B</v>
      </c>
      <c r="B15919" s="6">
        <v>0.77922077922077904</v>
      </c>
      <c r="C15919" s="6">
        <v>0.86045077755703203</v>
      </c>
    </row>
    <row r="15920" spans="1:3" s="8" customFormat="1" x14ac:dyDescent="0.2">
      <c r="A15920" s="6" t="str">
        <f>"AL049629.1"</f>
        <v>AL049629.1</v>
      </c>
      <c r="B15920" s="6">
        <v>0.77922077922077904</v>
      </c>
      <c r="C15920" s="6">
        <v>0.86045077755703203</v>
      </c>
    </row>
    <row r="15921" spans="1:3" s="8" customFormat="1" x14ac:dyDescent="0.2">
      <c r="A15921" s="6" t="str">
        <f>"U73166.1"</f>
        <v>U73166.1</v>
      </c>
      <c r="B15921" s="6">
        <v>0.77922077922077904</v>
      </c>
      <c r="C15921" s="6">
        <v>0.86045077755703203</v>
      </c>
    </row>
    <row r="15922" spans="1:3" s="8" customFormat="1" x14ac:dyDescent="0.2">
      <c r="A15922" s="6" t="str">
        <f>"GSPT2"</f>
        <v>GSPT2</v>
      </c>
      <c r="B15922" s="6">
        <v>0.77922077922077904</v>
      </c>
      <c r="C15922" s="6">
        <v>0.86045077755703203</v>
      </c>
    </row>
    <row r="15923" spans="1:3" s="8" customFormat="1" x14ac:dyDescent="0.2">
      <c r="A15923" s="6" t="str">
        <f>"SPOCK2"</f>
        <v>SPOCK2</v>
      </c>
      <c r="B15923" s="6">
        <v>0.77922077922077904</v>
      </c>
      <c r="C15923" s="6">
        <v>0.86045077755703203</v>
      </c>
    </row>
    <row r="15924" spans="1:3" s="8" customFormat="1" x14ac:dyDescent="0.2">
      <c r="A15924" s="6" t="str">
        <f>"C1orf210"</f>
        <v>C1orf210</v>
      </c>
      <c r="B15924" s="6">
        <v>0.77922077922077904</v>
      </c>
      <c r="C15924" s="6">
        <v>0.86045077755703203</v>
      </c>
    </row>
    <row r="15925" spans="1:3" s="8" customFormat="1" x14ac:dyDescent="0.2">
      <c r="A15925" s="6" t="str">
        <f>"TCF20"</f>
        <v>TCF20</v>
      </c>
      <c r="B15925" s="6">
        <v>0.77922077922077904</v>
      </c>
      <c r="C15925" s="6">
        <v>0.86045077755703203</v>
      </c>
    </row>
    <row r="15926" spans="1:3" s="8" customFormat="1" x14ac:dyDescent="0.2">
      <c r="A15926" s="6" t="str">
        <f>"AC009159.3"</f>
        <v>AC009159.3</v>
      </c>
      <c r="B15926" s="6">
        <v>0.77955911823647295</v>
      </c>
      <c r="C15926" s="6">
        <v>0.86077033187253604</v>
      </c>
    </row>
    <row r="15927" spans="1:3" s="8" customFormat="1" x14ac:dyDescent="0.2">
      <c r="A15927" s="6" t="str">
        <f>"FRMD1"</f>
        <v>FRMD1</v>
      </c>
      <c r="B15927" s="6">
        <v>0.78021978021978</v>
      </c>
      <c r="C15927" s="6">
        <v>0.86085113982459704</v>
      </c>
    </row>
    <row r="15928" spans="1:3" s="8" customFormat="1" x14ac:dyDescent="0.2">
      <c r="A15928" s="6" t="str">
        <f>"AC004069.1"</f>
        <v>AC004069.1</v>
      </c>
      <c r="B15928" s="6">
        <v>0.78021978021978</v>
      </c>
      <c r="C15928" s="6">
        <v>0.86085113982459704</v>
      </c>
    </row>
    <row r="15929" spans="1:3" s="8" customFormat="1" x14ac:dyDescent="0.2">
      <c r="A15929" s="6" t="str">
        <f>"AC005548.1"</f>
        <v>AC005548.1</v>
      </c>
      <c r="B15929" s="6">
        <v>0.77972027972027902</v>
      </c>
      <c r="C15929" s="6">
        <v>0.86085113982459704</v>
      </c>
    </row>
    <row r="15930" spans="1:3" s="8" customFormat="1" x14ac:dyDescent="0.2">
      <c r="A15930" s="6" t="str">
        <f>"AC027020.2"</f>
        <v>AC027020.2</v>
      </c>
      <c r="B15930" s="6">
        <v>0.78021978021978</v>
      </c>
      <c r="C15930" s="6">
        <v>0.86085113982459704</v>
      </c>
    </row>
    <row r="15931" spans="1:3" s="8" customFormat="1" x14ac:dyDescent="0.2">
      <c r="A15931" s="6" t="str">
        <f>"PCDHGA2"</f>
        <v>PCDHGA2</v>
      </c>
      <c r="B15931" s="6">
        <v>0.78021978021978</v>
      </c>
      <c r="C15931" s="6">
        <v>0.86085113982459704</v>
      </c>
    </row>
    <row r="15932" spans="1:3" s="8" customFormat="1" x14ac:dyDescent="0.2">
      <c r="A15932" s="6" t="str">
        <f>"SLFN12"</f>
        <v>SLFN12</v>
      </c>
      <c r="B15932" s="6">
        <v>0.78021978021978</v>
      </c>
      <c r="C15932" s="6">
        <v>0.86085113982459704</v>
      </c>
    </row>
    <row r="15933" spans="1:3" s="8" customFormat="1" x14ac:dyDescent="0.2">
      <c r="A15933" s="6" t="str">
        <f>"ANKRD18B"</f>
        <v>ANKRD18B</v>
      </c>
      <c r="B15933" s="6">
        <v>0.78021978021978</v>
      </c>
      <c r="C15933" s="6">
        <v>0.86085113982459704</v>
      </c>
    </row>
    <row r="15934" spans="1:3" s="8" customFormat="1" x14ac:dyDescent="0.2">
      <c r="A15934" s="6" t="str">
        <f>"FAM156B"</f>
        <v>FAM156B</v>
      </c>
      <c r="B15934" s="6">
        <v>0.78021978021978</v>
      </c>
      <c r="C15934" s="6">
        <v>0.86085113982459704</v>
      </c>
    </row>
    <row r="15935" spans="1:3" s="8" customFormat="1" x14ac:dyDescent="0.2">
      <c r="A15935" s="6" t="str">
        <f>"TRMT12"</f>
        <v>TRMT12</v>
      </c>
      <c r="B15935" s="6">
        <v>0.78021978021978</v>
      </c>
      <c r="C15935" s="6">
        <v>0.86085113982459704</v>
      </c>
    </row>
    <row r="15936" spans="1:3" s="8" customFormat="1" x14ac:dyDescent="0.2">
      <c r="A15936" s="6" t="str">
        <f>"TVP23C-CDRT4"</f>
        <v>TVP23C-CDRT4</v>
      </c>
      <c r="B15936" s="6">
        <v>0.78021978021978</v>
      </c>
      <c r="C15936" s="6">
        <v>0.86085113982459704</v>
      </c>
    </row>
    <row r="15937" spans="1:3" s="8" customFormat="1" x14ac:dyDescent="0.2">
      <c r="A15937" s="6" t="str">
        <f>"BCKDHA"</f>
        <v>BCKDHA</v>
      </c>
      <c r="B15937" s="6">
        <v>0.78021978021978</v>
      </c>
      <c r="C15937" s="6">
        <v>0.86085113982459704</v>
      </c>
    </row>
    <row r="15938" spans="1:3" s="8" customFormat="1" x14ac:dyDescent="0.2">
      <c r="A15938" s="6" t="str">
        <f>"OGFR"</f>
        <v>OGFR</v>
      </c>
      <c r="B15938" s="6">
        <v>0.78</v>
      </c>
      <c r="C15938" s="6">
        <v>0.86085113982459704</v>
      </c>
    </row>
    <row r="15939" spans="1:3" s="8" customFormat="1" x14ac:dyDescent="0.2">
      <c r="A15939" s="6" t="str">
        <f>"AC007842.1"</f>
        <v>AC007842.1</v>
      </c>
      <c r="B15939" s="6">
        <v>0.780463242698892</v>
      </c>
      <c r="C15939" s="6">
        <v>0.86106573344317405</v>
      </c>
    </row>
    <row r="15940" spans="1:3" s="8" customFormat="1" x14ac:dyDescent="0.2">
      <c r="A15940" s="6" t="str">
        <f>"IL17D"</f>
        <v>IL17D</v>
      </c>
      <c r="B15940" s="6">
        <v>0.78121878121878097</v>
      </c>
      <c r="C15940" s="6">
        <v>0.86135885684418401</v>
      </c>
    </row>
    <row r="15941" spans="1:3" s="8" customFormat="1" x14ac:dyDescent="0.2">
      <c r="A15941" s="6" t="str">
        <f>"SLIT3"</f>
        <v>SLIT3</v>
      </c>
      <c r="B15941" s="6">
        <v>0.78121878121878097</v>
      </c>
      <c r="C15941" s="6">
        <v>0.86135885684418401</v>
      </c>
    </row>
    <row r="15942" spans="1:3" s="8" customFormat="1" x14ac:dyDescent="0.2">
      <c r="A15942" s="6" t="str">
        <f>"RAB4B-EGLN2"</f>
        <v>RAB4B-EGLN2</v>
      </c>
      <c r="B15942" s="6">
        <v>0.78121878121878097</v>
      </c>
      <c r="C15942" s="6">
        <v>0.86135885684418401</v>
      </c>
    </row>
    <row r="15943" spans="1:3" s="8" customFormat="1" x14ac:dyDescent="0.2">
      <c r="A15943" s="6" t="str">
        <f>"LRRC37A17P"</f>
        <v>LRRC37A17P</v>
      </c>
      <c r="B15943" s="6">
        <v>0.78121878121878097</v>
      </c>
      <c r="C15943" s="6">
        <v>0.86135885684418401</v>
      </c>
    </row>
    <row r="15944" spans="1:3" s="8" customFormat="1" x14ac:dyDescent="0.2">
      <c r="A15944" s="6" t="str">
        <f>"ACVR2B-AS1"</f>
        <v>ACVR2B-AS1</v>
      </c>
      <c r="B15944" s="6">
        <v>0.78121878121878097</v>
      </c>
      <c r="C15944" s="6">
        <v>0.86135885684418401</v>
      </c>
    </row>
    <row r="15945" spans="1:3" s="8" customFormat="1" x14ac:dyDescent="0.2">
      <c r="A15945" s="6" t="str">
        <f>"ACY3"</f>
        <v>ACY3</v>
      </c>
      <c r="B15945" s="6">
        <v>0.78121878121878097</v>
      </c>
      <c r="C15945" s="6">
        <v>0.86135885684418401</v>
      </c>
    </row>
    <row r="15946" spans="1:3" s="8" customFormat="1" x14ac:dyDescent="0.2">
      <c r="A15946" s="6" t="str">
        <f>"HIC2"</f>
        <v>HIC2</v>
      </c>
      <c r="B15946" s="6">
        <v>0.78121878121878097</v>
      </c>
      <c r="C15946" s="6">
        <v>0.86135885684418401</v>
      </c>
    </row>
    <row r="15947" spans="1:3" s="8" customFormat="1" x14ac:dyDescent="0.2">
      <c r="A15947" s="6" t="str">
        <f>"RAB11FIP2"</f>
        <v>RAB11FIP2</v>
      </c>
      <c r="B15947" s="6">
        <v>0.78121878121878097</v>
      </c>
      <c r="C15947" s="6">
        <v>0.86135885684418401</v>
      </c>
    </row>
    <row r="15948" spans="1:3" s="8" customFormat="1" x14ac:dyDescent="0.2">
      <c r="A15948" s="6" t="str">
        <f>"CGN"</f>
        <v>CGN</v>
      </c>
      <c r="B15948" s="6">
        <v>0.78121878121878097</v>
      </c>
      <c r="C15948" s="6">
        <v>0.86135885684418401</v>
      </c>
    </row>
    <row r="15949" spans="1:3" s="8" customFormat="1" x14ac:dyDescent="0.2">
      <c r="A15949" s="6" t="str">
        <f>"YWHAZ"</f>
        <v>YWHAZ</v>
      </c>
      <c r="B15949" s="6">
        <v>0.78121878121878097</v>
      </c>
      <c r="C15949" s="6">
        <v>0.86135885684418401</v>
      </c>
    </row>
    <row r="15950" spans="1:3" s="8" customFormat="1" x14ac:dyDescent="0.2">
      <c r="A15950" s="6" t="str">
        <f>"AC092073.1"</f>
        <v>AC092073.1</v>
      </c>
      <c r="B15950" s="6">
        <v>0.78200000000000003</v>
      </c>
      <c r="C15950" s="6">
        <v>0.86201828704967098</v>
      </c>
    </row>
    <row r="15951" spans="1:3" s="8" customFormat="1" x14ac:dyDescent="0.2">
      <c r="A15951" s="6" t="str">
        <f>"AC116158.3"</f>
        <v>AC116158.3</v>
      </c>
      <c r="B15951" s="6">
        <v>0.78221778221778204</v>
      </c>
      <c r="C15951" s="6">
        <v>0.86201828704967098</v>
      </c>
    </row>
    <row r="15952" spans="1:3" s="8" customFormat="1" x14ac:dyDescent="0.2">
      <c r="A15952" s="6" t="str">
        <f>"Z95114.1"</f>
        <v>Z95114.1</v>
      </c>
      <c r="B15952" s="6">
        <v>0.782258064516129</v>
      </c>
      <c r="C15952" s="6">
        <v>0.86201828704967098</v>
      </c>
    </row>
    <row r="15953" spans="1:3" s="8" customFormat="1" x14ac:dyDescent="0.2">
      <c r="A15953" s="6" t="str">
        <f>"BUB1B"</f>
        <v>BUB1B</v>
      </c>
      <c r="B15953" s="6">
        <v>0.78221778221778204</v>
      </c>
      <c r="C15953" s="6">
        <v>0.86201828704967098</v>
      </c>
    </row>
    <row r="15954" spans="1:3" s="8" customFormat="1" x14ac:dyDescent="0.2">
      <c r="A15954" s="6" t="str">
        <f>"HP"</f>
        <v>HP</v>
      </c>
      <c r="B15954" s="6">
        <v>0.78221778221778204</v>
      </c>
      <c r="C15954" s="6">
        <v>0.86201828704967098</v>
      </c>
    </row>
    <row r="15955" spans="1:3" s="8" customFormat="1" x14ac:dyDescent="0.2">
      <c r="A15955" s="6" t="str">
        <f>"POLR3F"</f>
        <v>POLR3F</v>
      </c>
      <c r="B15955" s="6">
        <v>0.78221778221778204</v>
      </c>
      <c r="C15955" s="6">
        <v>0.86201828704967098</v>
      </c>
    </row>
    <row r="15956" spans="1:3" s="8" customFormat="1" x14ac:dyDescent="0.2">
      <c r="A15956" s="6" t="str">
        <f>"REEP6"</f>
        <v>REEP6</v>
      </c>
      <c r="B15956" s="6">
        <v>0.78221778221778204</v>
      </c>
      <c r="C15956" s="6">
        <v>0.86201828704967098</v>
      </c>
    </row>
    <row r="15957" spans="1:3" s="8" customFormat="1" x14ac:dyDescent="0.2">
      <c r="A15957" s="6" t="str">
        <f>"SLC25A13"</f>
        <v>SLC25A13</v>
      </c>
      <c r="B15957" s="6">
        <v>0.78221778221778204</v>
      </c>
      <c r="C15957" s="6">
        <v>0.86201828704967098</v>
      </c>
    </row>
    <row r="15958" spans="1:3" s="8" customFormat="1" x14ac:dyDescent="0.2">
      <c r="A15958" s="6" t="str">
        <f>"CORO2A"</f>
        <v>CORO2A</v>
      </c>
      <c r="B15958" s="6">
        <v>0.78200000000000003</v>
      </c>
      <c r="C15958" s="6">
        <v>0.86201828704967098</v>
      </c>
    </row>
    <row r="15959" spans="1:3" s="8" customFormat="1" x14ac:dyDescent="0.2">
      <c r="A15959" s="6" t="str">
        <f>"LINC02561"</f>
        <v>LINC02561</v>
      </c>
      <c r="B15959" s="6">
        <v>0.78234704112336995</v>
      </c>
      <c r="C15959" s="6">
        <v>0.862062311762961</v>
      </c>
    </row>
    <row r="15960" spans="1:3" s="8" customFormat="1" x14ac:dyDescent="0.2">
      <c r="A15960" s="6" t="str">
        <f>"POM121L8P"</f>
        <v>POM121L8P</v>
      </c>
      <c r="B15960" s="6">
        <v>0.78300000000000003</v>
      </c>
      <c r="C15960" s="6">
        <v>0.86264227473121902</v>
      </c>
    </row>
    <row r="15961" spans="1:3" s="8" customFormat="1" x14ac:dyDescent="0.2">
      <c r="A15961" s="6" t="str">
        <f>"SEMA3F-AS1"</f>
        <v>SEMA3F-AS1</v>
      </c>
      <c r="B15961" s="6">
        <v>0.78321678321678301</v>
      </c>
      <c r="C15961" s="6">
        <v>0.86264227473121902</v>
      </c>
    </row>
    <row r="15962" spans="1:3" s="8" customFormat="1" x14ac:dyDescent="0.2">
      <c r="A15962" s="6" t="str">
        <f>"AC004540.1"</f>
        <v>AC004540.1</v>
      </c>
      <c r="B15962" s="6">
        <v>0.78300000000000003</v>
      </c>
      <c r="C15962" s="6">
        <v>0.86264227473121902</v>
      </c>
    </row>
    <row r="15963" spans="1:3" s="8" customFormat="1" x14ac:dyDescent="0.2">
      <c r="A15963" s="6" t="str">
        <f>"GUCA1A"</f>
        <v>GUCA1A</v>
      </c>
      <c r="B15963" s="6">
        <v>0.78321678321678301</v>
      </c>
      <c r="C15963" s="6">
        <v>0.86264227473121902</v>
      </c>
    </row>
    <row r="15964" spans="1:3" s="8" customFormat="1" x14ac:dyDescent="0.2">
      <c r="A15964" s="6" t="str">
        <f>"AC008985.1"</f>
        <v>AC008985.1</v>
      </c>
      <c r="B15964" s="6">
        <v>0.78321678321678301</v>
      </c>
      <c r="C15964" s="6">
        <v>0.86264227473121902</v>
      </c>
    </row>
    <row r="15965" spans="1:3" s="8" customFormat="1" x14ac:dyDescent="0.2">
      <c r="A15965" s="6" t="str">
        <f>"SYT15"</f>
        <v>SYT15</v>
      </c>
      <c r="B15965" s="6">
        <v>0.78321678321678301</v>
      </c>
      <c r="C15965" s="6">
        <v>0.86264227473121902</v>
      </c>
    </row>
    <row r="15966" spans="1:3" s="8" customFormat="1" x14ac:dyDescent="0.2">
      <c r="A15966" s="6" t="str">
        <f>"CLIC6"</f>
        <v>CLIC6</v>
      </c>
      <c r="B15966" s="6">
        <v>0.78321678321678301</v>
      </c>
      <c r="C15966" s="6">
        <v>0.86264227473121902</v>
      </c>
    </row>
    <row r="15967" spans="1:3" s="8" customFormat="1" x14ac:dyDescent="0.2">
      <c r="A15967" s="6" t="str">
        <f>"AC007773.1"</f>
        <v>AC007773.1</v>
      </c>
      <c r="B15967" s="6">
        <v>0.78361344537815103</v>
      </c>
      <c r="C15967" s="6">
        <v>0.86302510481832695</v>
      </c>
    </row>
    <row r="15968" spans="1:3" s="8" customFormat="1" x14ac:dyDescent="0.2">
      <c r="A15968" s="6" t="str">
        <f>"AC011476.2"</f>
        <v>AC011476.2</v>
      </c>
      <c r="B15968" s="6">
        <v>0.78400000000000003</v>
      </c>
      <c r="C15968" s="6">
        <v>0.86334268537074099</v>
      </c>
    </row>
    <row r="15969" spans="1:3" s="8" customFormat="1" x14ac:dyDescent="0.2">
      <c r="A15969" s="6" t="str">
        <f>"AC090825.1"</f>
        <v>AC090825.1</v>
      </c>
      <c r="B15969" s="6">
        <v>0.78400000000000003</v>
      </c>
      <c r="C15969" s="6">
        <v>0.86334268537074099</v>
      </c>
    </row>
    <row r="15970" spans="1:3" s="8" customFormat="1" x14ac:dyDescent="0.2">
      <c r="A15970" s="6" t="str">
        <f>"AC139887.5"</f>
        <v>AC139887.5</v>
      </c>
      <c r="B15970" s="6">
        <v>0.78421578421578397</v>
      </c>
      <c r="C15970" s="6">
        <v>0.86341809214515897</v>
      </c>
    </row>
    <row r="15971" spans="1:3" s="8" customFormat="1" x14ac:dyDescent="0.2">
      <c r="A15971" s="6" t="str">
        <f>"PMS2P2"</f>
        <v>PMS2P2</v>
      </c>
      <c r="B15971" s="6">
        <v>0.78421578421578397</v>
      </c>
      <c r="C15971" s="6">
        <v>0.86341809214515897</v>
      </c>
    </row>
    <row r="15972" spans="1:3" s="8" customFormat="1" x14ac:dyDescent="0.2">
      <c r="A15972" s="6" t="str">
        <f>"SP5"</f>
        <v>SP5</v>
      </c>
      <c r="B15972" s="6">
        <v>0.78421578421578397</v>
      </c>
      <c r="C15972" s="6">
        <v>0.86341809214515897</v>
      </c>
    </row>
    <row r="15973" spans="1:3" s="8" customFormat="1" x14ac:dyDescent="0.2">
      <c r="A15973" s="6" t="str">
        <f>"AC119674.1"</f>
        <v>AC119674.1</v>
      </c>
      <c r="B15973" s="6">
        <v>0.78521478521478505</v>
      </c>
      <c r="C15973" s="6">
        <v>0.86424742008116995</v>
      </c>
    </row>
    <row r="15974" spans="1:3" s="8" customFormat="1" x14ac:dyDescent="0.2">
      <c r="A15974" s="6" t="str">
        <f>"AL157400.3"</f>
        <v>AL157400.3</v>
      </c>
      <c r="B15974" s="6">
        <v>0.78521478521478505</v>
      </c>
      <c r="C15974" s="6">
        <v>0.86424742008116995</v>
      </c>
    </row>
    <row r="15975" spans="1:3" s="8" customFormat="1" x14ac:dyDescent="0.2">
      <c r="A15975" s="6" t="str">
        <f>"ARL15"</f>
        <v>ARL15</v>
      </c>
      <c r="B15975" s="6">
        <v>0.78521478521478505</v>
      </c>
      <c r="C15975" s="6">
        <v>0.86424742008116995</v>
      </c>
    </row>
    <row r="15976" spans="1:3" s="8" customFormat="1" x14ac:dyDescent="0.2">
      <c r="A15976" s="6" t="str">
        <f>"RDH13"</f>
        <v>RDH13</v>
      </c>
      <c r="B15976" s="6">
        <v>0.78521478521478505</v>
      </c>
      <c r="C15976" s="6">
        <v>0.86424742008116995</v>
      </c>
    </row>
    <row r="15977" spans="1:3" s="8" customFormat="1" x14ac:dyDescent="0.2">
      <c r="A15977" s="6" t="str">
        <f>"ZNF703"</f>
        <v>ZNF703</v>
      </c>
      <c r="B15977" s="6">
        <v>0.78521478521478505</v>
      </c>
      <c r="C15977" s="6">
        <v>0.86424742008116995</v>
      </c>
    </row>
    <row r="15978" spans="1:3" s="8" customFormat="1" x14ac:dyDescent="0.2">
      <c r="A15978" s="6" t="str">
        <f>"PRDM15"</f>
        <v>PRDM15</v>
      </c>
      <c r="B15978" s="6">
        <v>0.78578578578578495</v>
      </c>
      <c r="C15978" s="6">
        <v>0.86482175985837495</v>
      </c>
    </row>
    <row r="15979" spans="1:3" s="8" customFormat="1" x14ac:dyDescent="0.2">
      <c r="A15979" s="6" t="str">
        <f>"AC020604.1"</f>
        <v>AC020604.1</v>
      </c>
      <c r="B15979" s="6">
        <v>0.78600000000000003</v>
      </c>
      <c r="C15979" s="6">
        <v>0.86485975707120499</v>
      </c>
    </row>
    <row r="15980" spans="1:3" s="8" customFormat="1" x14ac:dyDescent="0.2">
      <c r="A15980" s="6" t="str">
        <f>"GAPLINC"</f>
        <v>GAPLINC</v>
      </c>
      <c r="B15980" s="6">
        <v>0.78621378621378601</v>
      </c>
      <c r="C15980" s="6">
        <v>0.86485975707120499</v>
      </c>
    </row>
    <row r="15981" spans="1:3" s="8" customFormat="1" x14ac:dyDescent="0.2">
      <c r="A15981" s="6" t="str">
        <f>"HSD17B1"</f>
        <v>HSD17B1</v>
      </c>
      <c r="B15981" s="6">
        <v>0.78621378621378601</v>
      </c>
      <c r="C15981" s="6">
        <v>0.86485975707120499</v>
      </c>
    </row>
    <row r="15982" spans="1:3" s="8" customFormat="1" x14ac:dyDescent="0.2">
      <c r="A15982" s="6" t="str">
        <f>"SNRPA"</f>
        <v>SNRPA</v>
      </c>
      <c r="B15982" s="6">
        <v>0.78621378621378601</v>
      </c>
      <c r="C15982" s="6">
        <v>0.86485975707120499</v>
      </c>
    </row>
    <row r="15983" spans="1:3" s="8" customFormat="1" x14ac:dyDescent="0.2">
      <c r="A15983" s="6" t="str">
        <f>"SURF1"</f>
        <v>SURF1</v>
      </c>
      <c r="B15983" s="6">
        <v>0.78621378621378601</v>
      </c>
      <c r="C15983" s="6">
        <v>0.86485975707120499</v>
      </c>
    </row>
    <row r="15984" spans="1:3" s="8" customFormat="1" x14ac:dyDescent="0.2">
      <c r="A15984" s="6" t="str">
        <f>"DKC1"</f>
        <v>DKC1</v>
      </c>
      <c r="B15984" s="6">
        <v>0.78621378621378601</v>
      </c>
      <c r="C15984" s="6">
        <v>0.86485975707120499</v>
      </c>
    </row>
    <row r="15985" spans="1:3" s="8" customFormat="1" x14ac:dyDescent="0.2">
      <c r="A15985" s="6" t="str">
        <f>"FOXP4"</f>
        <v>FOXP4</v>
      </c>
      <c r="B15985" s="6">
        <v>0.78621378621378601</v>
      </c>
      <c r="C15985" s="6">
        <v>0.86485975707120499</v>
      </c>
    </row>
    <row r="15986" spans="1:3" s="8" customFormat="1" x14ac:dyDescent="0.2">
      <c r="A15986" s="6" t="str">
        <f>"MAPK6"</f>
        <v>MAPK6</v>
      </c>
      <c r="B15986" s="6">
        <v>0.78621378621378601</v>
      </c>
      <c r="C15986" s="6">
        <v>0.86485975707120499</v>
      </c>
    </row>
    <row r="15987" spans="1:3" s="8" customFormat="1" x14ac:dyDescent="0.2">
      <c r="A15987" s="6" t="str">
        <f>"BZW1"</f>
        <v>BZW1</v>
      </c>
      <c r="B15987" s="6">
        <v>0.78657314629258501</v>
      </c>
      <c r="C15987" s="6">
        <v>0.86520093859682301</v>
      </c>
    </row>
    <row r="15988" spans="1:3" s="8" customFormat="1" x14ac:dyDescent="0.2">
      <c r="A15988" s="6" t="str">
        <f>"ADCY6-DT"</f>
        <v>ADCY6-DT</v>
      </c>
      <c r="B15988" s="6">
        <v>0.78674033149171196</v>
      </c>
      <c r="C15988" s="6">
        <v>0.86533070550761704</v>
      </c>
    </row>
    <row r="15989" spans="1:3" s="8" customFormat="1" x14ac:dyDescent="0.2">
      <c r="A15989" s="6" t="str">
        <f>"AC020658.7"</f>
        <v>AC020658.7</v>
      </c>
      <c r="B15989" s="6">
        <v>0.78693467336683398</v>
      </c>
      <c r="C15989" s="6">
        <v>0.86549032377297996</v>
      </c>
    </row>
    <row r="15990" spans="1:3" s="8" customFormat="1" x14ac:dyDescent="0.2">
      <c r="A15990" s="6" t="str">
        <f>"ZBTB44-DT"</f>
        <v>ZBTB44-DT</v>
      </c>
      <c r="B15990" s="6">
        <v>0.78721278721278698</v>
      </c>
      <c r="C15990" s="6">
        <v>0.86568790808940899</v>
      </c>
    </row>
    <row r="15991" spans="1:3" s="8" customFormat="1" x14ac:dyDescent="0.2">
      <c r="A15991" s="6" t="str">
        <f>"YPEL2"</f>
        <v>YPEL2</v>
      </c>
      <c r="B15991" s="6">
        <v>0.78721278721278698</v>
      </c>
      <c r="C15991" s="6">
        <v>0.86568790808940899</v>
      </c>
    </row>
    <row r="15992" spans="1:3" s="8" customFormat="1" x14ac:dyDescent="0.2">
      <c r="A15992" s="6" t="str">
        <f>"FCAMR"</f>
        <v>FCAMR</v>
      </c>
      <c r="B15992" s="6">
        <v>0.78821178821178794</v>
      </c>
      <c r="C15992" s="6">
        <v>0.86629889892593803</v>
      </c>
    </row>
    <row r="15993" spans="1:3" s="8" customFormat="1" x14ac:dyDescent="0.2">
      <c r="A15993" s="6" t="str">
        <f>"USH2A"</f>
        <v>USH2A</v>
      </c>
      <c r="B15993" s="6">
        <v>0.78821178821178794</v>
      </c>
      <c r="C15993" s="6">
        <v>0.86629889892593803</v>
      </c>
    </row>
    <row r="15994" spans="1:3" s="8" customFormat="1" x14ac:dyDescent="0.2">
      <c r="A15994" s="6" t="str">
        <f>"C8orf31"</f>
        <v>C8orf31</v>
      </c>
      <c r="B15994" s="6">
        <v>0.78821178821178794</v>
      </c>
      <c r="C15994" s="6">
        <v>0.86629889892593803</v>
      </c>
    </row>
    <row r="15995" spans="1:3" s="8" customFormat="1" x14ac:dyDescent="0.2">
      <c r="A15995" s="6" t="str">
        <f>"KIAA1328"</f>
        <v>KIAA1328</v>
      </c>
      <c r="B15995" s="6">
        <v>0.78821178821178794</v>
      </c>
      <c r="C15995" s="6">
        <v>0.86629889892593803</v>
      </c>
    </row>
    <row r="15996" spans="1:3" s="8" customFormat="1" x14ac:dyDescent="0.2">
      <c r="A15996" s="6" t="str">
        <f>"ERCC2"</f>
        <v>ERCC2</v>
      </c>
      <c r="B15996" s="6">
        <v>0.78821178821178794</v>
      </c>
      <c r="C15996" s="6">
        <v>0.86629889892593803</v>
      </c>
    </row>
    <row r="15997" spans="1:3" s="8" customFormat="1" x14ac:dyDescent="0.2">
      <c r="A15997" s="6" t="str">
        <f>"RNF4"</f>
        <v>RNF4</v>
      </c>
      <c r="B15997" s="6">
        <v>0.78821178821178794</v>
      </c>
      <c r="C15997" s="6">
        <v>0.86629889892593803</v>
      </c>
    </row>
    <row r="15998" spans="1:3" s="8" customFormat="1" x14ac:dyDescent="0.2">
      <c r="A15998" s="6" t="str">
        <f>"AURKAIP1"</f>
        <v>AURKAIP1</v>
      </c>
      <c r="B15998" s="6">
        <v>0.78821178821178794</v>
      </c>
      <c r="C15998" s="6">
        <v>0.86629889892593803</v>
      </c>
    </row>
    <row r="15999" spans="1:3" s="8" customFormat="1" x14ac:dyDescent="0.2">
      <c r="A15999" s="6" t="str">
        <f>"TPPP"</f>
        <v>TPPP</v>
      </c>
      <c r="B15999" s="6">
        <v>0.78800000000000003</v>
      </c>
      <c r="C15999" s="6">
        <v>0.86629889892593803</v>
      </c>
    </row>
    <row r="16000" spans="1:3" s="8" customFormat="1" x14ac:dyDescent="0.2">
      <c r="A16000" s="6" t="str">
        <f>"SPTBN1"</f>
        <v>SPTBN1</v>
      </c>
      <c r="B16000" s="6">
        <v>0.78821178821178794</v>
      </c>
      <c r="C16000" s="6">
        <v>0.86629889892593803</v>
      </c>
    </row>
    <row r="16001" spans="1:3" s="8" customFormat="1" x14ac:dyDescent="0.2">
      <c r="A16001" s="6" t="str">
        <f>"PNMA6B"</f>
        <v>PNMA6B</v>
      </c>
      <c r="B16001" s="6">
        <v>0.788788788788788</v>
      </c>
      <c r="C16001" s="6">
        <v>0.86687887887887805</v>
      </c>
    </row>
    <row r="16002" spans="1:3" s="8" customFormat="1" x14ac:dyDescent="0.2">
      <c r="A16002" s="6" t="str">
        <f>"ARHGEF38-IT1"</f>
        <v>ARHGEF38-IT1</v>
      </c>
      <c r="B16002" s="6">
        <v>0.78921078921078902</v>
      </c>
      <c r="C16002" s="6">
        <v>0.86707169743720802</v>
      </c>
    </row>
    <row r="16003" spans="1:3" s="8" customFormat="1" x14ac:dyDescent="0.2">
      <c r="A16003" s="6" t="str">
        <f>"AL162417.1"</f>
        <v>AL162417.1</v>
      </c>
      <c r="B16003" s="6">
        <v>0.78921078921078902</v>
      </c>
      <c r="C16003" s="6">
        <v>0.86707169743720802</v>
      </c>
    </row>
    <row r="16004" spans="1:3" s="8" customFormat="1" x14ac:dyDescent="0.2">
      <c r="A16004" s="6" t="str">
        <f>"AP005717.1"</f>
        <v>AP005717.1</v>
      </c>
      <c r="B16004" s="6">
        <v>0.78921078921078902</v>
      </c>
      <c r="C16004" s="6">
        <v>0.86707169743720802</v>
      </c>
    </row>
    <row r="16005" spans="1:3" s="8" customFormat="1" x14ac:dyDescent="0.2">
      <c r="A16005" s="6" t="str">
        <f>"TRIM69"</f>
        <v>TRIM69</v>
      </c>
      <c r="B16005" s="6">
        <v>0.78921078921078902</v>
      </c>
      <c r="C16005" s="6">
        <v>0.86707169743720802</v>
      </c>
    </row>
    <row r="16006" spans="1:3" s="8" customFormat="1" x14ac:dyDescent="0.2">
      <c r="A16006" s="6" t="str">
        <f>"PDK3"</f>
        <v>PDK3</v>
      </c>
      <c r="B16006" s="6">
        <v>0.78921078921078902</v>
      </c>
      <c r="C16006" s="6">
        <v>0.86707169743720802</v>
      </c>
    </row>
    <row r="16007" spans="1:3" s="8" customFormat="1" x14ac:dyDescent="0.2">
      <c r="A16007" s="6" t="str">
        <f>"SUGT1-DT"</f>
        <v>SUGT1-DT</v>
      </c>
      <c r="B16007" s="6">
        <v>0.78931451612903203</v>
      </c>
      <c r="C16007" s="6">
        <v>0.86713147892121101</v>
      </c>
    </row>
    <row r="16008" spans="1:3" s="8" customFormat="1" x14ac:dyDescent="0.2">
      <c r="A16008" s="6" t="str">
        <f>"AC211486.3"</f>
        <v>AC211486.3</v>
      </c>
      <c r="B16008" s="6">
        <v>0.79020979020978999</v>
      </c>
      <c r="C16008" s="6">
        <v>0.86782011116991997</v>
      </c>
    </row>
    <row r="16009" spans="1:3" s="8" customFormat="1" x14ac:dyDescent="0.2">
      <c r="A16009" s="6" t="str">
        <f>"ATP2A1-AS1"</f>
        <v>ATP2A1-AS1</v>
      </c>
      <c r="B16009" s="6">
        <v>0.79023746701846898</v>
      </c>
      <c r="C16009" s="6">
        <v>0.86782011116991997</v>
      </c>
    </row>
    <row r="16010" spans="1:3" s="8" customFormat="1" x14ac:dyDescent="0.2">
      <c r="A16010" s="6" t="str">
        <f>"WHAMMP3"</f>
        <v>WHAMMP3</v>
      </c>
      <c r="B16010" s="6">
        <v>0.79</v>
      </c>
      <c r="C16010" s="6">
        <v>0.86782011116991997</v>
      </c>
    </row>
    <row r="16011" spans="1:3" s="8" customFormat="1" x14ac:dyDescent="0.2">
      <c r="A16011" s="6" t="str">
        <f>"EPB41L3"</f>
        <v>EPB41L3</v>
      </c>
      <c r="B16011" s="6">
        <v>0.79020979020978999</v>
      </c>
      <c r="C16011" s="6">
        <v>0.86782011116991997</v>
      </c>
    </row>
    <row r="16012" spans="1:3" s="8" customFormat="1" x14ac:dyDescent="0.2">
      <c r="A16012" s="6" t="str">
        <f>"AP3B1"</f>
        <v>AP3B1</v>
      </c>
      <c r="B16012" s="6">
        <v>0.79020979020978999</v>
      </c>
      <c r="C16012" s="6">
        <v>0.86782011116991997</v>
      </c>
    </row>
    <row r="16013" spans="1:3" s="8" customFormat="1" x14ac:dyDescent="0.2">
      <c r="A16013" s="6" t="str">
        <f>"BPTF"</f>
        <v>BPTF</v>
      </c>
      <c r="B16013" s="6">
        <v>0.79020979020978999</v>
      </c>
      <c r="C16013" s="6">
        <v>0.86782011116991997</v>
      </c>
    </row>
    <row r="16014" spans="1:3" s="8" customFormat="1" x14ac:dyDescent="0.2">
      <c r="A16014" s="6" t="str">
        <f>"GDPD4"</f>
        <v>GDPD4</v>
      </c>
      <c r="B16014" s="6">
        <v>0.79120879120879095</v>
      </c>
      <c r="C16014" s="6">
        <v>0.86861555750860797</v>
      </c>
    </row>
    <row r="16015" spans="1:3" s="8" customFormat="1" x14ac:dyDescent="0.2">
      <c r="A16015" s="6" t="str">
        <f>"CCDC77"</f>
        <v>CCDC77</v>
      </c>
      <c r="B16015" s="6">
        <v>0.79120879120879095</v>
      </c>
      <c r="C16015" s="6">
        <v>0.86861555750860797</v>
      </c>
    </row>
    <row r="16016" spans="1:3" s="8" customFormat="1" x14ac:dyDescent="0.2">
      <c r="A16016" s="6" t="str">
        <f>"ILKAP"</f>
        <v>ILKAP</v>
      </c>
      <c r="B16016" s="6">
        <v>0.79120879120879095</v>
      </c>
      <c r="C16016" s="6">
        <v>0.86861555750860797</v>
      </c>
    </row>
    <row r="16017" spans="1:3" s="8" customFormat="1" x14ac:dyDescent="0.2">
      <c r="A16017" s="6" t="str">
        <f>"MEN1"</f>
        <v>MEN1</v>
      </c>
      <c r="B16017" s="6">
        <v>0.79120879120879095</v>
      </c>
      <c r="C16017" s="6">
        <v>0.86861555750860797</v>
      </c>
    </row>
    <row r="16018" spans="1:3" s="8" customFormat="1" x14ac:dyDescent="0.2">
      <c r="A16018" s="6" t="str">
        <f>"USP5"</f>
        <v>USP5</v>
      </c>
      <c r="B16018" s="6">
        <v>0.79120879120879095</v>
      </c>
      <c r="C16018" s="6">
        <v>0.86861555750860797</v>
      </c>
    </row>
    <row r="16019" spans="1:3" s="8" customFormat="1" x14ac:dyDescent="0.2">
      <c r="A16019" s="6" t="str">
        <f>"AL162274.3"</f>
        <v>AL162274.3</v>
      </c>
      <c r="B16019" s="6">
        <v>0.79145473041709002</v>
      </c>
      <c r="C16019" s="6">
        <v>0.86883131350069398</v>
      </c>
    </row>
    <row r="16020" spans="1:3" s="8" customFormat="1" x14ac:dyDescent="0.2">
      <c r="A16020" s="6" t="str">
        <f>"TUBB7P"</f>
        <v>TUBB7P</v>
      </c>
      <c r="B16020" s="6">
        <v>0.79220779220779203</v>
      </c>
      <c r="C16020" s="6">
        <v>0.86927811657920795</v>
      </c>
    </row>
    <row r="16021" spans="1:3" s="8" customFormat="1" x14ac:dyDescent="0.2">
      <c r="A16021" s="6" t="str">
        <f>"CYP51A1-AS1"</f>
        <v>CYP51A1-AS1</v>
      </c>
      <c r="B16021" s="6">
        <v>0.79200000000000004</v>
      </c>
      <c r="C16021" s="6">
        <v>0.86927811657920795</v>
      </c>
    </row>
    <row r="16022" spans="1:3" s="8" customFormat="1" x14ac:dyDescent="0.2">
      <c r="A16022" s="6" t="str">
        <f>"ZNF789"</f>
        <v>ZNF789</v>
      </c>
      <c r="B16022" s="6">
        <v>0.79220779220779203</v>
      </c>
      <c r="C16022" s="6">
        <v>0.86927811657920795</v>
      </c>
    </row>
    <row r="16023" spans="1:3" s="8" customFormat="1" x14ac:dyDescent="0.2">
      <c r="A16023" s="6" t="str">
        <f>"CLCN6"</f>
        <v>CLCN6</v>
      </c>
      <c r="B16023" s="6">
        <v>0.79220779220779203</v>
      </c>
      <c r="C16023" s="6">
        <v>0.86927811657920795</v>
      </c>
    </row>
    <row r="16024" spans="1:3" s="8" customFormat="1" x14ac:dyDescent="0.2">
      <c r="A16024" s="6" t="str">
        <f>"CCDC137"</f>
        <v>CCDC137</v>
      </c>
      <c r="B16024" s="6">
        <v>0.79220779220779203</v>
      </c>
      <c r="C16024" s="6">
        <v>0.86927811657920795</v>
      </c>
    </row>
    <row r="16025" spans="1:3" s="8" customFormat="1" x14ac:dyDescent="0.2">
      <c r="A16025" s="6" t="str">
        <f>"PDPR"</f>
        <v>PDPR</v>
      </c>
      <c r="B16025" s="6">
        <v>0.79220779220779203</v>
      </c>
      <c r="C16025" s="6">
        <v>0.86927811657920795</v>
      </c>
    </row>
    <row r="16026" spans="1:3" s="8" customFormat="1" x14ac:dyDescent="0.2">
      <c r="A16026" s="6" t="str">
        <f>"GNAQ"</f>
        <v>GNAQ</v>
      </c>
      <c r="B16026" s="6">
        <v>0.79220779220779203</v>
      </c>
      <c r="C16026" s="6">
        <v>0.86927811657920795</v>
      </c>
    </row>
    <row r="16027" spans="1:3" s="8" customFormat="1" x14ac:dyDescent="0.2">
      <c r="A16027" s="6" t="str">
        <f>"RABGAP1L-IT1"</f>
        <v>RABGAP1L-IT1</v>
      </c>
      <c r="B16027" s="6">
        <v>0.79300000000000004</v>
      </c>
      <c r="C16027" s="6">
        <v>0.87009309871458795</v>
      </c>
    </row>
    <row r="16028" spans="1:3" s="8" customFormat="1" x14ac:dyDescent="0.2">
      <c r="A16028" s="6" t="str">
        <f>"LINC02763"</f>
        <v>LINC02763</v>
      </c>
      <c r="B16028" s="6">
        <v>0.79320679320679299</v>
      </c>
      <c r="C16028" s="6">
        <v>0.87010282294125096</v>
      </c>
    </row>
    <row r="16029" spans="1:3" s="8" customFormat="1" x14ac:dyDescent="0.2">
      <c r="A16029" s="6" t="str">
        <f>"AC018362.3"</f>
        <v>AC018362.3</v>
      </c>
      <c r="B16029" s="6">
        <v>0.79320679320679299</v>
      </c>
      <c r="C16029" s="6">
        <v>0.87010282294125096</v>
      </c>
    </row>
    <row r="16030" spans="1:3" s="8" customFormat="1" x14ac:dyDescent="0.2">
      <c r="A16030" s="6" t="str">
        <f>"ZNF581"</f>
        <v>ZNF581</v>
      </c>
      <c r="B16030" s="6">
        <v>0.79320679320679299</v>
      </c>
      <c r="C16030" s="6">
        <v>0.87010282294125096</v>
      </c>
    </row>
    <row r="16031" spans="1:3" s="8" customFormat="1" x14ac:dyDescent="0.2">
      <c r="A16031" s="6" t="str">
        <f>"AC073896.1"</f>
        <v>AC073896.1</v>
      </c>
      <c r="B16031" s="6">
        <v>0.79320679320679299</v>
      </c>
      <c r="C16031" s="6">
        <v>0.87010282294125096</v>
      </c>
    </row>
    <row r="16032" spans="1:3" s="8" customFormat="1" x14ac:dyDescent="0.2">
      <c r="A16032" s="6" t="str">
        <f>"AC092143.1"</f>
        <v>AC092143.1</v>
      </c>
      <c r="B16032" s="6">
        <v>0.79405520169851296</v>
      </c>
      <c r="C16032" s="6">
        <v>0.87087270424760999</v>
      </c>
    </row>
    <row r="16033" spans="1:3" s="8" customFormat="1" x14ac:dyDescent="0.2">
      <c r="A16033" s="6" t="str">
        <f>"AC068620.1"</f>
        <v>AC068620.1</v>
      </c>
      <c r="B16033" s="6">
        <v>0.79420579420579396</v>
      </c>
      <c r="C16033" s="6">
        <v>0.87087270424760999</v>
      </c>
    </row>
    <row r="16034" spans="1:3" s="8" customFormat="1" x14ac:dyDescent="0.2">
      <c r="A16034" s="6" t="str">
        <f>"ADAMTSL2"</f>
        <v>ADAMTSL2</v>
      </c>
      <c r="B16034" s="6">
        <v>0.79420579420579396</v>
      </c>
      <c r="C16034" s="6">
        <v>0.87087270424760999</v>
      </c>
    </row>
    <row r="16035" spans="1:3" s="8" customFormat="1" x14ac:dyDescent="0.2">
      <c r="A16035" s="6" t="str">
        <f>"LINC01772"</f>
        <v>LINC01772</v>
      </c>
      <c r="B16035" s="6">
        <v>0.79400000000000004</v>
      </c>
      <c r="C16035" s="6">
        <v>0.87087270424760999</v>
      </c>
    </row>
    <row r="16036" spans="1:3" s="8" customFormat="1" x14ac:dyDescent="0.2">
      <c r="A16036" s="6" t="str">
        <f>"NPR2"</f>
        <v>NPR2</v>
      </c>
      <c r="B16036" s="6">
        <v>0.79420579420579396</v>
      </c>
      <c r="C16036" s="6">
        <v>0.87087270424760999</v>
      </c>
    </row>
    <row r="16037" spans="1:3" s="8" customFormat="1" x14ac:dyDescent="0.2">
      <c r="A16037" s="6" t="str">
        <f>"PIH1D1"</f>
        <v>PIH1D1</v>
      </c>
      <c r="B16037" s="6">
        <v>0.79420579420579396</v>
      </c>
      <c r="C16037" s="6">
        <v>0.87087270424760999</v>
      </c>
    </row>
    <row r="16038" spans="1:3" s="8" customFormat="1" x14ac:dyDescent="0.2">
      <c r="A16038" s="6" t="str">
        <f>"ZNRF3-AS1"</f>
        <v>ZNRF3-AS1</v>
      </c>
      <c r="B16038" s="6">
        <v>0.79453441295546501</v>
      </c>
      <c r="C16038" s="6">
        <v>0.87117871905025202</v>
      </c>
    </row>
    <row r="16039" spans="1:3" s="8" customFormat="1" x14ac:dyDescent="0.2">
      <c r="A16039" s="6" t="str">
        <f>"KRT16P5"</f>
        <v>KRT16P5</v>
      </c>
      <c r="B16039" s="6">
        <v>0.79520479520479503</v>
      </c>
      <c r="C16039" s="6">
        <v>0.87164200965472605</v>
      </c>
    </row>
    <row r="16040" spans="1:3" s="8" customFormat="1" x14ac:dyDescent="0.2">
      <c r="A16040" s="6" t="str">
        <f>"AC069213.1"</f>
        <v>AC069213.1</v>
      </c>
      <c r="B16040" s="6">
        <v>0.79520479520479503</v>
      </c>
      <c r="C16040" s="6">
        <v>0.87164200965472605</v>
      </c>
    </row>
    <row r="16041" spans="1:3" s="8" customFormat="1" x14ac:dyDescent="0.2">
      <c r="A16041" s="6" t="str">
        <f>"AC008537.3"</f>
        <v>AC008537.3</v>
      </c>
      <c r="B16041" s="6">
        <v>0.79518072289156605</v>
      </c>
      <c r="C16041" s="6">
        <v>0.87164200965472605</v>
      </c>
    </row>
    <row r="16042" spans="1:3" s="8" customFormat="1" x14ac:dyDescent="0.2">
      <c r="A16042" s="6" t="str">
        <f>"AL357054.4"</f>
        <v>AL357054.4</v>
      </c>
      <c r="B16042" s="6">
        <v>0.79520479520479503</v>
      </c>
      <c r="C16042" s="6">
        <v>0.87164200965472605</v>
      </c>
    </row>
    <row r="16043" spans="1:3" s="8" customFormat="1" x14ac:dyDescent="0.2">
      <c r="A16043" s="6" t="str">
        <f>"EFCAB14"</f>
        <v>EFCAB14</v>
      </c>
      <c r="B16043" s="6">
        <v>0.79520479520479503</v>
      </c>
      <c r="C16043" s="6">
        <v>0.87164200965472605</v>
      </c>
    </row>
    <row r="16044" spans="1:3" s="8" customFormat="1" x14ac:dyDescent="0.2">
      <c r="A16044" s="6" t="str">
        <f>"AL158070.1"</f>
        <v>AL158070.1</v>
      </c>
      <c r="B16044" s="6">
        <v>0.79600000000000004</v>
      </c>
      <c r="C16044" s="6">
        <v>0.87208468621200597</v>
      </c>
    </row>
    <row r="16045" spans="1:3" s="8" customFormat="1" x14ac:dyDescent="0.2">
      <c r="A16045" s="6" t="str">
        <f>"AC012313.7"</f>
        <v>AC012313.7</v>
      </c>
      <c r="B16045" s="6">
        <v>0.79579579579579496</v>
      </c>
      <c r="C16045" s="6">
        <v>0.87208468621200597</v>
      </c>
    </row>
    <row r="16046" spans="1:3" s="8" customFormat="1" x14ac:dyDescent="0.2">
      <c r="A16046" s="6" t="str">
        <f>"ARPP21"</f>
        <v>ARPP21</v>
      </c>
      <c r="B16046" s="6">
        <v>0.796203796203796</v>
      </c>
      <c r="C16046" s="6">
        <v>0.87208468621200597</v>
      </c>
    </row>
    <row r="16047" spans="1:3" s="8" customFormat="1" x14ac:dyDescent="0.2">
      <c r="A16047" s="6" t="str">
        <f>"AC092119.3"</f>
        <v>AC092119.3</v>
      </c>
      <c r="B16047" s="6">
        <v>0.79600000000000004</v>
      </c>
      <c r="C16047" s="6">
        <v>0.87208468621200597</v>
      </c>
    </row>
    <row r="16048" spans="1:3" s="8" customFormat="1" x14ac:dyDescent="0.2">
      <c r="A16048" s="6" t="str">
        <f>"AC009078.3"</f>
        <v>AC009078.3</v>
      </c>
      <c r="B16048" s="6">
        <v>0.796203796203796</v>
      </c>
      <c r="C16048" s="6">
        <v>0.87208468621200597</v>
      </c>
    </row>
    <row r="16049" spans="1:3" s="8" customFormat="1" x14ac:dyDescent="0.2">
      <c r="A16049" s="6" t="str">
        <f>"AL356481.3"</f>
        <v>AL356481.3</v>
      </c>
      <c r="B16049" s="6">
        <v>0.796203796203796</v>
      </c>
      <c r="C16049" s="6">
        <v>0.87208468621200597</v>
      </c>
    </row>
    <row r="16050" spans="1:3" s="8" customFormat="1" x14ac:dyDescent="0.2">
      <c r="A16050" s="6" t="str">
        <f>"HEXIM2"</f>
        <v>HEXIM2</v>
      </c>
      <c r="B16050" s="6">
        <v>0.796203796203796</v>
      </c>
      <c r="C16050" s="6">
        <v>0.87208468621200597</v>
      </c>
    </row>
    <row r="16051" spans="1:3" s="8" customFormat="1" x14ac:dyDescent="0.2">
      <c r="A16051" s="6" t="str">
        <f>"AC092279.1"</f>
        <v>AC092279.1</v>
      </c>
      <c r="B16051" s="6">
        <v>0.796203796203796</v>
      </c>
      <c r="C16051" s="6">
        <v>0.87208468621200597</v>
      </c>
    </row>
    <row r="16052" spans="1:3" s="8" customFormat="1" x14ac:dyDescent="0.2">
      <c r="A16052" s="6" t="str">
        <f>"TMEM62"</f>
        <v>TMEM62</v>
      </c>
      <c r="B16052" s="6">
        <v>0.796203796203796</v>
      </c>
      <c r="C16052" s="6">
        <v>0.87208468621200597</v>
      </c>
    </row>
    <row r="16053" spans="1:3" s="8" customFormat="1" x14ac:dyDescent="0.2">
      <c r="A16053" s="6" t="str">
        <f>"GTF3C4"</f>
        <v>GTF3C4</v>
      </c>
      <c r="B16053" s="6">
        <v>0.796203796203796</v>
      </c>
      <c r="C16053" s="6">
        <v>0.87208468621200597</v>
      </c>
    </row>
    <row r="16054" spans="1:3" s="8" customFormat="1" x14ac:dyDescent="0.2">
      <c r="A16054" s="6" t="str">
        <f>"RAB34"</f>
        <v>RAB34</v>
      </c>
      <c r="B16054" s="6">
        <v>0.796203796203796</v>
      </c>
      <c r="C16054" s="6">
        <v>0.87208468621200597</v>
      </c>
    </row>
    <row r="16055" spans="1:3" s="8" customFormat="1" x14ac:dyDescent="0.2">
      <c r="A16055" s="6" t="str">
        <f>"ERBIN"</f>
        <v>ERBIN</v>
      </c>
      <c r="B16055" s="6">
        <v>0.796203796203796</v>
      </c>
      <c r="C16055" s="6">
        <v>0.87208468621200597</v>
      </c>
    </row>
    <row r="16056" spans="1:3" s="8" customFormat="1" x14ac:dyDescent="0.2">
      <c r="A16056" s="6" t="str">
        <f>"AC123912.1"</f>
        <v>AC123912.1</v>
      </c>
      <c r="B16056" s="6">
        <v>0.79638916750250699</v>
      </c>
      <c r="C16056" s="6">
        <v>0.872233392797514</v>
      </c>
    </row>
    <row r="16057" spans="1:3" s="8" customFormat="1" x14ac:dyDescent="0.2">
      <c r="A16057" s="6" t="str">
        <f>"SLC30A10"</f>
        <v>SLC30A10</v>
      </c>
      <c r="B16057" s="6">
        <v>0.79657603222557904</v>
      </c>
      <c r="C16057" s="6">
        <v>0.872383716408481</v>
      </c>
    </row>
    <row r="16058" spans="1:3" s="8" customFormat="1" x14ac:dyDescent="0.2">
      <c r="A16058" s="6" t="str">
        <f>"IGKV2D-28"</f>
        <v>IGKV2D-28</v>
      </c>
      <c r="B16058" s="6">
        <v>0.79720279720279696</v>
      </c>
      <c r="C16058" s="6">
        <v>0.87263533279469496</v>
      </c>
    </row>
    <row r="16059" spans="1:3" s="8" customFormat="1" x14ac:dyDescent="0.2">
      <c r="A16059" s="6" t="str">
        <f>"LINC00895"</f>
        <v>LINC00895</v>
      </c>
      <c r="B16059" s="6">
        <v>0.79720279720279696</v>
      </c>
      <c r="C16059" s="6">
        <v>0.87263533279469496</v>
      </c>
    </row>
    <row r="16060" spans="1:3" s="8" customFormat="1" x14ac:dyDescent="0.2">
      <c r="A16060" s="6" t="str">
        <f>"AMPH"</f>
        <v>AMPH</v>
      </c>
      <c r="B16060" s="6">
        <v>0.79720279720279696</v>
      </c>
      <c r="C16060" s="6">
        <v>0.87263533279469496</v>
      </c>
    </row>
    <row r="16061" spans="1:3" s="8" customFormat="1" x14ac:dyDescent="0.2">
      <c r="A16061" s="6" t="str">
        <f>"CCDC154"</f>
        <v>CCDC154</v>
      </c>
      <c r="B16061" s="6">
        <v>0.79720279720279696</v>
      </c>
      <c r="C16061" s="6">
        <v>0.87263533279469496</v>
      </c>
    </row>
    <row r="16062" spans="1:3" s="8" customFormat="1" x14ac:dyDescent="0.2">
      <c r="A16062" s="6" t="str">
        <f>"AP003071.5"</f>
        <v>AP003071.5</v>
      </c>
      <c r="B16062" s="6">
        <v>0.79720279720279696</v>
      </c>
      <c r="C16062" s="6">
        <v>0.87263533279469496</v>
      </c>
    </row>
    <row r="16063" spans="1:3" s="8" customFormat="1" x14ac:dyDescent="0.2">
      <c r="A16063" s="6" t="str">
        <f>"AC008622.2"</f>
        <v>AC008622.2</v>
      </c>
      <c r="B16063" s="6">
        <v>0.79720279720279696</v>
      </c>
      <c r="C16063" s="6">
        <v>0.87263533279469496</v>
      </c>
    </row>
    <row r="16064" spans="1:3" s="8" customFormat="1" x14ac:dyDescent="0.2">
      <c r="A16064" s="6" t="str">
        <f>"AL137782.1"</f>
        <v>AL137782.1</v>
      </c>
      <c r="B16064" s="6">
        <v>0.79700000000000004</v>
      </c>
      <c r="C16064" s="6">
        <v>0.87263533279469496</v>
      </c>
    </row>
    <row r="16065" spans="1:3" s="8" customFormat="1" x14ac:dyDescent="0.2">
      <c r="A16065" s="6" t="str">
        <f>"PREB"</f>
        <v>PREB</v>
      </c>
      <c r="B16065" s="6">
        <v>0.79720279720279696</v>
      </c>
      <c r="C16065" s="6">
        <v>0.87263533279469496</v>
      </c>
    </row>
    <row r="16066" spans="1:3" s="8" customFormat="1" x14ac:dyDescent="0.2">
      <c r="A16066" s="6" t="str">
        <f>"AC009171.2"</f>
        <v>AC009171.2</v>
      </c>
      <c r="B16066" s="6">
        <v>0.79820179820179804</v>
      </c>
      <c r="C16066" s="6">
        <v>0.87351135297363802</v>
      </c>
    </row>
    <row r="16067" spans="1:3" s="8" customFormat="1" x14ac:dyDescent="0.2">
      <c r="A16067" s="6" t="str">
        <f>"GSG1L"</f>
        <v>GSG1L</v>
      </c>
      <c r="B16067" s="6">
        <v>0.79820179820179804</v>
      </c>
      <c r="C16067" s="6">
        <v>0.87351135297363802</v>
      </c>
    </row>
    <row r="16068" spans="1:3" s="8" customFormat="1" x14ac:dyDescent="0.2">
      <c r="A16068" s="6" t="str">
        <f>"AC091806.1"</f>
        <v>AC091806.1</v>
      </c>
      <c r="B16068" s="6">
        <v>0.79820179820179804</v>
      </c>
      <c r="C16068" s="6">
        <v>0.87351135297363802</v>
      </c>
    </row>
    <row r="16069" spans="1:3" s="8" customFormat="1" x14ac:dyDescent="0.2">
      <c r="A16069" s="6" t="str">
        <f>"SMIM10L1"</f>
        <v>SMIM10L1</v>
      </c>
      <c r="B16069" s="6">
        <v>0.79820179820179804</v>
      </c>
      <c r="C16069" s="6">
        <v>0.87351135297363802</v>
      </c>
    </row>
    <row r="16070" spans="1:3" s="8" customFormat="1" x14ac:dyDescent="0.2">
      <c r="A16070" s="6" t="str">
        <f>"NPM1P25"</f>
        <v>NPM1P25</v>
      </c>
      <c r="B16070" s="6">
        <v>0.79839518555667</v>
      </c>
      <c r="C16070" s="6">
        <v>0.87366861303307497</v>
      </c>
    </row>
    <row r="16071" spans="1:3" s="8" customFormat="1" x14ac:dyDescent="0.2">
      <c r="A16071" s="6" t="str">
        <f>"HIPK1-AS1"</f>
        <v>HIPK1-AS1</v>
      </c>
      <c r="B16071" s="6">
        <v>0.79920079920079901</v>
      </c>
      <c r="C16071" s="6">
        <v>0.87449575937441504</v>
      </c>
    </row>
    <row r="16072" spans="1:3" s="8" customFormat="1" x14ac:dyDescent="0.2">
      <c r="A16072" s="6" t="str">
        <f>"AC005962.1"</f>
        <v>AC005962.1</v>
      </c>
      <c r="B16072" s="6">
        <v>0.8</v>
      </c>
      <c r="C16072" s="6">
        <v>0.87515320852800604</v>
      </c>
    </row>
    <row r="16073" spans="1:3" s="8" customFormat="1" x14ac:dyDescent="0.2">
      <c r="A16073" s="6" t="str">
        <f>"METTL14-DT"</f>
        <v>METTL14-DT</v>
      </c>
      <c r="B16073" s="6">
        <v>0.80019980019979997</v>
      </c>
      <c r="C16073" s="6">
        <v>0.87515320852800604</v>
      </c>
    </row>
    <row r="16074" spans="1:3" s="8" customFormat="1" x14ac:dyDescent="0.2">
      <c r="A16074" s="6" t="str">
        <f>"STK4-AS1"</f>
        <v>STK4-AS1</v>
      </c>
      <c r="B16074" s="6">
        <v>0.80019980019979997</v>
      </c>
      <c r="C16074" s="6">
        <v>0.87515320852800604</v>
      </c>
    </row>
    <row r="16075" spans="1:3" s="8" customFormat="1" x14ac:dyDescent="0.2">
      <c r="A16075" s="6" t="str">
        <f>"SCUBE1"</f>
        <v>SCUBE1</v>
      </c>
      <c r="B16075" s="6">
        <v>0.80019980019979997</v>
      </c>
      <c r="C16075" s="6">
        <v>0.87515320852800604</v>
      </c>
    </row>
    <row r="16076" spans="1:3" s="8" customFormat="1" x14ac:dyDescent="0.2">
      <c r="A16076" s="6" t="str">
        <f>"AL160269.1"</f>
        <v>AL160269.1</v>
      </c>
      <c r="B16076" s="6">
        <v>0.80019980019979997</v>
      </c>
      <c r="C16076" s="6">
        <v>0.87515320852800604</v>
      </c>
    </row>
    <row r="16077" spans="1:3" s="8" customFormat="1" x14ac:dyDescent="0.2">
      <c r="A16077" s="6" t="str">
        <f>"AL390879.1"</f>
        <v>AL390879.1</v>
      </c>
      <c r="B16077" s="6">
        <v>0.80019980019979997</v>
      </c>
      <c r="C16077" s="6">
        <v>0.87515320852800604</v>
      </c>
    </row>
    <row r="16078" spans="1:3" s="8" customFormat="1" x14ac:dyDescent="0.2">
      <c r="A16078" s="6" t="str">
        <f>"PRR5"</f>
        <v>PRR5</v>
      </c>
      <c r="B16078" s="6">
        <v>0.80019980019979997</v>
      </c>
      <c r="C16078" s="6">
        <v>0.87515320852800604</v>
      </c>
    </row>
    <row r="16079" spans="1:3" s="8" customFormat="1" x14ac:dyDescent="0.2">
      <c r="A16079" s="6" t="str">
        <f>"MTG2"</f>
        <v>MTG2</v>
      </c>
      <c r="B16079" s="6">
        <v>0.80019980019979997</v>
      </c>
      <c r="C16079" s="6">
        <v>0.87515320852800604</v>
      </c>
    </row>
    <row r="16080" spans="1:3" s="8" customFormat="1" x14ac:dyDescent="0.2">
      <c r="A16080" s="6" t="str">
        <f>"AL844908.1"</f>
        <v>AL844908.1</v>
      </c>
      <c r="B16080" s="6">
        <v>0.80119880119880105</v>
      </c>
      <c r="C16080" s="6">
        <v>0.87586445261297596</v>
      </c>
    </row>
    <row r="16081" spans="1:3" s="8" customFormat="1" x14ac:dyDescent="0.2">
      <c r="A16081" s="6" t="str">
        <f>"AC010226.1"</f>
        <v>AC010226.1</v>
      </c>
      <c r="B16081" s="6">
        <v>0.80119880119880105</v>
      </c>
      <c r="C16081" s="6">
        <v>0.87586445261297596</v>
      </c>
    </row>
    <row r="16082" spans="1:3" s="8" customFormat="1" x14ac:dyDescent="0.2">
      <c r="A16082" s="6" t="str">
        <f>"RBM38-AS1"</f>
        <v>RBM38-AS1</v>
      </c>
      <c r="B16082" s="6">
        <v>0.80119880119880105</v>
      </c>
      <c r="C16082" s="6">
        <v>0.87586445261297596</v>
      </c>
    </row>
    <row r="16083" spans="1:3" s="8" customFormat="1" x14ac:dyDescent="0.2">
      <c r="A16083" s="6" t="str">
        <f>"PPP3CC"</f>
        <v>PPP3CC</v>
      </c>
      <c r="B16083" s="6">
        <v>0.80119880119880105</v>
      </c>
      <c r="C16083" s="6">
        <v>0.87586445261297596</v>
      </c>
    </row>
    <row r="16084" spans="1:3" s="8" customFormat="1" x14ac:dyDescent="0.2">
      <c r="A16084" s="6" t="str">
        <f>"TSPYL5"</f>
        <v>TSPYL5</v>
      </c>
      <c r="B16084" s="6">
        <v>0.80119880119880105</v>
      </c>
      <c r="C16084" s="6">
        <v>0.87586445261297596</v>
      </c>
    </row>
    <row r="16085" spans="1:3" s="8" customFormat="1" x14ac:dyDescent="0.2">
      <c r="A16085" s="6" t="str">
        <f>"CPT2"</f>
        <v>CPT2</v>
      </c>
      <c r="B16085" s="6">
        <v>0.80119880119880105</v>
      </c>
      <c r="C16085" s="6">
        <v>0.87586445261297596</v>
      </c>
    </row>
    <row r="16086" spans="1:3" s="8" customFormat="1" x14ac:dyDescent="0.2">
      <c r="A16086" s="6" t="str">
        <f>"RMND5A"</f>
        <v>RMND5A</v>
      </c>
      <c r="B16086" s="6">
        <v>0.80119880119880105</v>
      </c>
      <c r="C16086" s="6">
        <v>0.87586445261297596</v>
      </c>
    </row>
    <row r="16087" spans="1:3" s="8" customFormat="1" x14ac:dyDescent="0.2">
      <c r="A16087" s="6" t="str">
        <f>"AC023908.3"</f>
        <v>AC023908.3</v>
      </c>
      <c r="B16087" s="6">
        <v>0.80141843971631199</v>
      </c>
      <c r="C16087" s="6">
        <v>0.87605009598232197</v>
      </c>
    </row>
    <row r="16088" spans="1:3" s="8" customFormat="1" x14ac:dyDescent="0.2">
      <c r="A16088" s="6" t="str">
        <f>"FP671120.4"</f>
        <v>FP671120.4</v>
      </c>
      <c r="B16088" s="6">
        <v>0.80160320641282501</v>
      </c>
      <c r="C16088" s="6">
        <v>0.87619759940095199</v>
      </c>
    </row>
    <row r="16089" spans="1:3" s="8" customFormat="1" x14ac:dyDescent="0.2">
      <c r="A16089" s="6" t="str">
        <f>"CCL16"</f>
        <v>CCL16</v>
      </c>
      <c r="B16089" s="6">
        <v>0.80219780219780201</v>
      </c>
      <c r="C16089" s="6">
        <v>0.87654484093246299</v>
      </c>
    </row>
    <row r="16090" spans="1:3" s="8" customFormat="1" x14ac:dyDescent="0.2">
      <c r="A16090" s="6" t="str">
        <f>"AC024337.2"</f>
        <v>AC024337.2</v>
      </c>
      <c r="B16090" s="6">
        <v>0.80221997981836501</v>
      </c>
      <c r="C16090" s="6">
        <v>0.87654484093246299</v>
      </c>
    </row>
    <row r="16091" spans="1:3" s="8" customFormat="1" x14ac:dyDescent="0.2">
      <c r="A16091" s="6" t="str">
        <f>"AC092821.1"</f>
        <v>AC092821.1</v>
      </c>
      <c r="B16091" s="6">
        <v>0.80219780219780201</v>
      </c>
      <c r="C16091" s="6">
        <v>0.87654484093246299</v>
      </c>
    </row>
    <row r="16092" spans="1:3" s="8" customFormat="1" x14ac:dyDescent="0.2">
      <c r="A16092" s="6" t="str">
        <f>"LINC02331"</f>
        <v>LINC02331</v>
      </c>
      <c r="B16092" s="6">
        <v>0.80219780219780201</v>
      </c>
      <c r="C16092" s="6">
        <v>0.87654484093246299</v>
      </c>
    </row>
    <row r="16093" spans="1:3" s="8" customFormat="1" x14ac:dyDescent="0.2">
      <c r="A16093" s="6" t="str">
        <f>"RBIS"</f>
        <v>RBIS</v>
      </c>
      <c r="B16093" s="6">
        <v>0.80219780219780201</v>
      </c>
      <c r="C16093" s="6">
        <v>0.87654484093246299</v>
      </c>
    </row>
    <row r="16094" spans="1:3" s="8" customFormat="1" x14ac:dyDescent="0.2">
      <c r="A16094" s="6" t="str">
        <f>"SEPTIN7"</f>
        <v>SEPTIN7</v>
      </c>
      <c r="B16094" s="6">
        <v>0.80219780219780201</v>
      </c>
      <c r="C16094" s="6">
        <v>0.87654484093246299</v>
      </c>
    </row>
    <row r="16095" spans="1:3" s="8" customFormat="1" x14ac:dyDescent="0.2">
      <c r="A16095" s="6" t="str">
        <f>"SUGT1P1"</f>
        <v>SUGT1P1</v>
      </c>
      <c r="B16095" s="6">
        <v>0.80300000000000005</v>
      </c>
      <c r="C16095" s="6">
        <v>0.87717611250311001</v>
      </c>
    </row>
    <row r="16096" spans="1:3" s="8" customFormat="1" x14ac:dyDescent="0.2">
      <c r="A16096" s="6" t="str">
        <f>"AC002116.2"</f>
        <v>AC002116.2</v>
      </c>
      <c r="B16096" s="6">
        <v>0.80315789473684196</v>
      </c>
      <c r="C16096" s="6">
        <v>0.87717611250311001</v>
      </c>
    </row>
    <row r="16097" spans="1:3" s="8" customFormat="1" x14ac:dyDescent="0.2">
      <c r="A16097" s="6" t="str">
        <f>"AC006008.1"</f>
        <v>AC006008.1</v>
      </c>
      <c r="B16097" s="6">
        <v>0.80319680319680298</v>
      </c>
      <c r="C16097" s="6">
        <v>0.87717611250311001</v>
      </c>
    </row>
    <row r="16098" spans="1:3" s="8" customFormat="1" x14ac:dyDescent="0.2">
      <c r="A16098" s="6" t="str">
        <f>"TEX26-AS1"</f>
        <v>TEX26-AS1</v>
      </c>
      <c r="B16098" s="6">
        <v>0.80319680319680298</v>
      </c>
      <c r="C16098" s="6">
        <v>0.87717611250311001</v>
      </c>
    </row>
    <row r="16099" spans="1:3" s="8" customFormat="1" x14ac:dyDescent="0.2">
      <c r="A16099" s="6" t="str">
        <f>"PAPLN"</f>
        <v>PAPLN</v>
      </c>
      <c r="B16099" s="6">
        <v>0.80319680319680298</v>
      </c>
      <c r="C16099" s="6">
        <v>0.87717611250311001</v>
      </c>
    </row>
    <row r="16100" spans="1:3" s="8" customFormat="1" x14ac:dyDescent="0.2">
      <c r="A16100" s="6" t="str">
        <f>"CSTF3"</f>
        <v>CSTF3</v>
      </c>
      <c r="B16100" s="6">
        <v>0.80319680319680298</v>
      </c>
      <c r="C16100" s="6">
        <v>0.87717611250311001</v>
      </c>
    </row>
    <row r="16101" spans="1:3" s="8" customFormat="1" x14ac:dyDescent="0.2">
      <c r="A16101" s="6" t="str">
        <f>"CXXC1"</f>
        <v>CXXC1</v>
      </c>
      <c r="B16101" s="6">
        <v>0.80319680319680298</v>
      </c>
      <c r="C16101" s="6">
        <v>0.87717611250311001</v>
      </c>
    </row>
    <row r="16102" spans="1:3" s="8" customFormat="1" x14ac:dyDescent="0.2">
      <c r="A16102" s="6" t="str">
        <f>"FBXW9"</f>
        <v>FBXW9</v>
      </c>
      <c r="B16102" s="6">
        <v>0.80319680319680298</v>
      </c>
      <c r="C16102" s="6">
        <v>0.87717611250311001</v>
      </c>
    </row>
    <row r="16103" spans="1:3" s="8" customFormat="1" x14ac:dyDescent="0.2">
      <c r="A16103" s="6" t="str">
        <f>"ELAVL4"</f>
        <v>ELAVL4</v>
      </c>
      <c r="B16103" s="6">
        <v>0.80419580419580405</v>
      </c>
      <c r="C16103" s="6">
        <v>0.87799447541158704</v>
      </c>
    </row>
    <row r="16104" spans="1:3" s="8" customFormat="1" x14ac:dyDescent="0.2">
      <c r="A16104" s="6" t="str">
        <f>"HHIP-AS1"</f>
        <v>HHIP-AS1</v>
      </c>
      <c r="B16104" s="6">
        <v>0.80419580419580405</v>
      </c>
      <c r="C16104" s="6">
        <v>0.87799447541158704</v>
      </c>
    </row>
    <row r="16105" spans="1:3" s="8" customFormat="1" x14ac:dyDescent="0.2">
      <c r="A16105" s="6" t="str">
        <f>"C17orf67"</f>
        <v>C17orf67</v>
      </c>
      <c r="B16105" s="6">
        <v>0.80404685835995704</v>
      </c>
      <c r="C16105" s="6">
        <v>0.87799447541158704</v>
      </c>
    </row>
    <row r="16106" spans="1:3" s="8" customFormat="1" x14ac:dyDescent="0.2">
      <c r="A16106" s="6" t="str">
        <f>"AC017104.1"</f>
        <v>AC017104.1</v>
      </c>
      <c r="B16106" s="6">
        <v>0.80419580419580405</v>
      </c>
      <c r="C16106" s="6">
        <v>0.87799447541158704</v>
      </c>
    </row>
    <row r="16107" spans="1:3" s="8" customFormat="1" x14ac:dyDescent="0.2">
      <c r="A16107" s="6" t="str">
        <f>"MICU1"</f>
        <v>MICU1</v>
      </c>
      <c r="B16107" s="6">
        <v>0.80419580419580405</v>
      </c>
      <c r="C16107" s="6">
        <v>0.87799447541158704</v>
      </c>
    </row>
    <row r="16108" spans="1:3" s="8" customFormat="1" x14ac:dyDescent="0.2">
      <c r="A16108" s="6" t="str">
        <f>"AC008764.4"</f>
        <v>AC008764.4</v>
      </c>
      <c r="B16108" s="6">
        <v>0.80519480519480502</v>
      </c>
      <c r="C16108" s="6">
        <v>0.87843066475651099</v>
      </c>
    </row>
    <row r="16109" spans="1:3" s="8" customFormat="1" x14ac:dyDescent="0.2">
      <c r="A16109" s="6" t="str">
        <f>"AC135983.3"</f>
        <v>AC135983.3</v>
      </c>
      <c r="B16109" s="6">
        <v>0.80519480519480502</v>
      </c>
      <c r="C16109" s="6">
        <v>0.87843066475651099</v>
      </c>
    </row>
    <row r="16110" spans="1:3" s="8" customFormat="1" x14ac:dyDescent="0.2">
      <c r="A16110" s="6" t="str">
        <f>"AC034102.6"</f>
        <v>AC034102.6</v>
      </c>
      <c r="B16110" s="6">
        <v>0.80500000000000005</v>
      </c>
      <c r="C16110" s="6">
        <v>0.87843066475651099</v>
      </c>
    </row>
    <row r="16111" spans="1:3" s="8" customFormat="1" x14ac:dyDescent="0.2">
      <c r="A16111" s="6" t="str">
        <f>"PTBP1P"</f>
        <v>PTBP1P</v>
      </c>
      <c r="B16111" s="6">
        <v>0.80500000000000005</v>
      </c>
      <c r="C16111" s="6">
        <v>0.87843066475651099</v>
      </c>
    </row>
    <row r="16112" spans="1:3" s="8" customFormat="1" x14ac:dyDescent="0.2">
      <c r="A16112" s="6" t="str">
        <f>"GATA6-AS1"</f>
        <v>GATA6-AS1</v>
      </c>
      <c r="B16112" s="6">
        <v>0.80519480519480502</v>
      </c>
      <c r="C16112" s="6">
        <v>0.87843066475651099</v>
      </c>
    </row>
    <row r="16113" spans="1:3" s="8" customFormat="1" x14ac:dyDescent="0.2">
      <c r="A16113" s="6" t="str">
        <f>"AC019080.4"</f>
        <v>AC019080.4</v>
      </c>
      <c r="B16113" s="6">
        <v>0.80519480519480502</v>
      </c>
      <c r="C16113" s="6">
        <v>0.87843066475651099</v>
      </c>
    </row>
    <row r="16114" spans="1:3" s="8" customFormat="1" x14ac:dyDescent="0.2">
      <c r="A16114" s="6" t="str">
        <f>"AC012291.3"</f>
        <v>AC012291.3</v>
      </c>
      <c r="B16114" s="6">
        <v>0.80519480519480502</v>
      </c>
      <c r="C16114" s="6">
        <v>0.87843066475651099</v>
      </c>
    </row>
    <row r="16115" spans="1:3" s="8" customFormat="1" x14ac:dyDescent="0.2">
      <c r="A16115" s="6" t="str">
        <f>"AL645929.2"</f>
        <v>AL645929.2</v>
      </c>
      <c r="B16115" s="6">
        <v>0.80519480519480502</v>
      </c>
      <c r="C16115" s="6">
        <v>0.87843066475651099</v>
      </c>
    </row>
    <row r="16116" spans="1:3" s="8" customFormat="1" x14ac:dyDescent="0.2">
      <c r="A16116" s="6" t="str">
        <f>"ANKRD13B"</f>
        <v>ANKRD13B</v>
      </c>
      <c r="B16116" s="6">
        <v>0.80500000000000005</v>
      </c>
      <c r="C16116" s="6">
        <v>0.87843066475651099</v>
      </c>
    </row>
    <row r="16117" spans="1:3" s="8" customFormat="1" x14ac:dyDescent="0.2">
      <c r="A16117" s="6" t="str">
        <f>"SUZ12P1"</f>
        <v>SUZ12P1</v>
      </c>
      <c r="B16117" s="6">
        <v>0.80519480519480502</v>
      </c>
      <c r="C16117" s="6">
        <v>0.87843066475651099</v>
      </c>
    </row>
    <row r="16118" spans="1:3" s="8" customFormat="1" x14ac:dyDescent="0.2">
      <c r="A16118" s="6" t="str">
        <f>"HSPA13"</f>
        <v>HSPA13</v>
      </c>
      <c r="B16118" s="6">
        <v>0.80519480519480502</v>
      </c>
      <c r="C16118" s="6">
        <v>0.87843066475651099</v>
      </c>
    </row>
    <row r="16119" spans="1:3" s="8" customFormat="1" x14ac:dyDescent="0.2">
      <c r="A16119" s="6" t="str">
        <f>"ERCC4"</f>
        <v>ERCC4</v>
      </c>
      <c r="B16119" s="6">
        <v>0.80519480519480502</v>
      </c>
      <c r="C16119" s="6">
        <v>0.87843066475651099</v>
      </c>
    </row>
    <row r="16120" spans="1:3" s="8" customFormat="1" x14ac:dyDescent="0.2">
      <c r="A16120" s="6" t="str">
        <f>"FOXC2-AS1"</f>
        <v>FOXC2-AS1</v>
      </c>
      <c r="B16120" s="6">
        <v>0.80580580580580496</v>
      </c>
      <c r="C16120" s="6">
        <v>0.87904270049564404</v>
      </c>
    </row>
    <row r="16121" spans="1:3" s="8" customFormat="1" x14ac:dyDescent="0.2">
      <c r="A16121" s="6" t="str">
        <f>"AP001053.1"</f>
        <v>AP001053.1</v>
      </c>
      <c r="B16121" s="6">
        <v>0.80598555211558298</v>
      </c>
      <c r="C16121" s="6">
        <v>0.87913872174337204</v>
      </c>
    </row>
    <row r="16122" spans="1:3" s="8" customFormat="1" x14ac:dyDescent="0.2">
      <c r="A16122" s="6" t="str">
        <f>"AL136981.3"</f>
        <v>AL136981.3</v>
      </c>
      <c r="B16122" s="6">
        <v>0.80619380619380598</v>
      </c>
      <c r="C16122" s="6">
        <v>0.87913872174337204</v>
      </c>
    </row>
    <row r="16123" spans="1:3" s="8" customFormat="1" x14ac:dyDescent="0.2">
      <c r="A16123" s="6" t="str">
        <f>"AL355916.3"</f>
        <v>AL355916.3</v>
      </c>
      <c r="B16123" s="6">
        <v>0.80619380619380598</v>
      </c>
      <c r="C16123" s="6">
        <v>0.87913872174337204</v>
      </c>
    </row>
    <row r="16124" spans="1:3" s="8" customFormat="1" x14ac:dyDescent="0.2">
      <c r="A16124" s="6" t="str">
        <f>"COL5A1"</f>
        <v>COL5A1</v>
      </c>
      <c r="B16124" s="6">
        <v>0.80619380619380598</v>
      </c>
      <c r="C16124" s="6">
        <v>0.87913872174337204</v>
      </c>
    </row>
    <row r="16125" spans="1:3" s="8" customFormat="1" x14ac:dyDescent="0.2">
      <c r="A16125" s="6" t="str">
        <f>"CASTOR3"</f>
        <v>CASTOR3</v>
      </c>
      <c r="B16125" s="6">
        <v>0.80619380619380598</v>
      </c>
      <c r="C16125" s="6">
        <v>0.87913872174337204</v>
      </c>
    </row>
    <row r="16126" spans="1:3" s="8" customFormat="1" x14ac:dyDescent="0.2">
      <c r="A16126" s="6" t="str">
        <f>"USP9X"</f>
        <v>USP9X</v>
      </c>
      <c r="B16126" s="6">
        <v>0.80619380619380598</v>
      </c>
      <c r="C16126" s="6">
        <v>0.87913872174337204</v>
      </c>
    </row>
    <row r="16127" spans="1:3" s="8" customFormat="1" x14ac:dyDescent="0.2">
      <c r="A16127" s="6" t="str">
        <f>"AC007848.2"</f>
        <v>AC007848.2</v>
      </c>
      <c r="B16127" s="6">
        <v>0.80641925777331902</v>
      </c>
      <c r="C16127" s="6">
        <v>0.87933004022609795</v>
      </c>
    </row>
    <row r="16128" spans="1:3" s="8" customFormat="1" x14ac:dyDescent="0.2">
      <c r="A16128" s="6" t="str">
        <f>"THSD1"</f>
        <v>THSD1</v>
      </c>
      <c r="B16128" s="6">
        <v>0.80671414038657097</v>
      </c>
      <c r="C16128" s="6">
        <v>0.87959703878945095</v>
      </c>
    </row>
    <row r="16129" spans="1:3" s="8" customFormat="1" x14ac:dyDescent="0.2">
      <c r="A16129" s="6" t="str">
        <f>"RPS7P1"</f>
        <v>RPS7P1</v>
      </c>
      <c r="B16129" s="6">
        <v>0.80719280719280695</v>
      </c>
      <c r="C16129" s="6">
        <v>0.87995525862853796</v>
      </c>
    </row>
    <row r="16130" spans="1:3" s="8" customFormat="1" x14ac:dyDescent="0.2">
      <c r="A16130" s="6" t="str">
        <f>"SCHIP1"</f>
        <v>SCHIP1</v>
      </c>
      <c r="B16130" s="6">
        <v>0.80719280719280695</v>
      </c>
      <c r="C16130" s="6">
        <v>0.87995525862853796</v>
      </c>
    </row>
    <row r="16131" spans="1:3" s="8" customFormat="1" x14ac:dyDescent="0.2">
      <c r="A16131" s="6" t="str">
        <f>"CAMTA1"</f>
        <v>CAMTA1</v>
      </c>
      <c r="B16131" s="6">
        <v>0.80719280719280695</v>
      </c>
      <c r="C16131" s="6">
        <v>0.87995525862853796</v>
      </c>
    </row>
    <row r="16132" spans="1:3" s="8" customFormat="1" x14ac:dyDescent="0.2">
      <c r="A16132" s="6" t="str">
        <f>"AL592146.2"</f>
        <v>AL592146.2</v>
      </c>
      <c r="B16132" s="6">
        <v>0.80742226680040097</v>
      </c>
      <c r="C16132" s="6">
        <v>0.88015083624191004</v>
      </c>
    </row>
    <row r="16133" spans="1:3" s="8" customFormat="1" x14ac:dyDescent="0.2">
      <c r="A16133" s="6" t="str">
        <f>"LINC02600"</f>
        <v>LINC02600</v>
      </c>
      <c r="B16133" s="6">
        <v>0.80819180819180803</v>
      </c>
      <c r="C16133" s="6">
        <v>0.88033480488414495</v>
      </c>
    </row>
    <row r="16134" spans="1:3" s="8" customFormat="1" x14ac:dyDescent="0.2">
      <c r="A16134" s="6" t="str">
        <f>"DHCR24-DT"</f>
        <v>DHCR24-DT</v>
      </c>
      <c r="B16134" s="6">
        <v>0.80819180819180803</v>
      </c>
      <c r="C16134" s="6">
        <v>0.88033480488414495</v>
      </c>
    </row>
    <row r="16135" spans="1:3" s="8" customFormat="1" x14ac:dyDescent="0.2">
      <c r="A16135" s="6" t="str">
        <f>"AC091691.3"</f>
        <v>AC091691.3</v>
      </c>
      <c r="B16135" s="6">
        <v>0.80819180819180803</v>
      </c>
      <c r="C16135" s="6">
        <v>0.88033480488414495</v>
      </c>
    </row>
    <row r="16136" spans="1:3" s="8" customFormat="1" x14ac:dyDescent="0.2">
      <c r="A16136" s="6" t="str">
        <f>"SMG1P2"</f>
        <v>SMG1P2</v>
      </c>
      <c r="B16136" s="6">
        <v>0.80800000000000005</v>
      </c>
      <c r="C16136" s="6">
        <v>0.88033480488414495</v>
      </c>
    </row>
    <row r="16137" spans="1:3" s="8" customFormat="1" x14ac:dyDescent="0.2">
      <c r="A16137" s="6" t="str">
        <f>"AC044849.1"</f>
        <v>AC044849.1</v>
      </c>
      <c r="B16137" s="6">
        <v>0.80819180819180803</v>
      </c>
      <c r="C16137" s="6">
        <v>0.88033480488414495</v>
      </c>
    </row>
    <row r="16138" spans="1:3" s="8" customFormat="1" x14ac:dyDescent="0.2">
      <c r="A16138" s="6" t="str">
        <f>"NR2F2-AS1"</f>
        <v>NR2F2-AS1</v>
      </c>
      <c r="B16138" s="6">
        <v>0.80819180819180803</v>
      </c>
      <c r="C16138" s="6">
        <v>0.88033480488414495</v>
      </c>
    </row>
    <row r="16139" spans="1:3" s="8" customFormat="1" x14ac:dyDescent="0.2">
      <c r="A16139" s="6" t="str">
        <f>"UBOX5"</f>
        <v>UBOX5</v>
      </c>
      <c r="B16139" s="6">
        <v>0.80819180819180803</v>
      </c>
      <c r="C16139" s="6">
        <v>0.88033480488414495</v>
      </c>
    </row>
    <row r="16140" spans="1:3" s="8" customFormat="1" x14ac:dyDescent="0.2">
      <c r="A16140" s="6" t="str">
        <f>"AL139300.1"</f>
        <v>AL139300.1</v>
      </c>
      <c r="B16140" s="6">
        <v>0.80800000000000005</v>
      </c>
      <c r="C16140" s="6">
        <v>0.88033480488414495</v>
      </c>
    </row>
    <row r="16141" spans="1:3" s="8" customFormat="1" x14ac:dyDescent="0.2">
      <c r="A16141" s="6" t="str">
        <f>"POP7"</f>
        <v>POP7</v>
      </c>
      <c r="B16141" s="6">
        <v>0.80819180819180803</v>
      </c>
      <c r="C16141" s="6">
        <v>0.88033480488414495</v>
      </c>
    </row>
    <row r="16142" spans="1:3" s="8" customFormat="1" x14ac:dyDescent="0.2">
      <c r="A16142" s="6" t="str">
        <f>"RASEF"</f>
        <v>RASEF</v>
      </c>
      <c r="B16142" s="6">
        <v>0.80819180819180803</v>
      </c>
      <c r="C16142" s="6">
        <v>0.88033480488414495</v>
      </c>
    </row>
    <row r="16143" spans="1:3" s="8" customFormat="1" x14ac:dyDescent="0.2">
      <c r="A16143" s="6" t="str">
        <f>"CSNK1E"</f>
        <v>CSNK1E</v>
      </c>
      <c r="B16143" s="6">
        <v>0.80819180819180803</v>
      </c>
      <c r="C16143" s="6">
        <v>0.88033480488414495</v>
      </c>
    </row>
    <row r="16144" spans="1:3" s="8" customFormat="1" x14ac:dyDescent="0.2">
      <c r="A16144" s="6" t="str">
        <f>"WDR1"</f>
        <v>WDR1</v>
      </c>
      <c r="B16144" s="6">
        <v>0.80819180819180803</v>
      </c>
      <c r="C16144" s="6">
        <v>0.88033480488414495</v>
      </c>
    </row>
    <row r="16145" spans="1:3" s="8" customFormat="1" x14ac:dyDescent="0.2">
      <c r="A16145" s="6" t="str">
        <f>"AC005865.1"</f>
        <v>AC005865.1</v>
      </c>
      <c r="B16145" s="6">
        <v>0.80842527582748203</v>
      </c>
      <c r="C16145" s="6">
        <v>0.88053456703112298</v>
      </c>
    </row>
    <row r="16146" spans="1:3" s="8" customFormat="1" x14ac:dyDescent="0.2">
      <c r="A16146" s="6" t="str">
        <f>"OR7E25P"</f>
        <v>OR7E25P</v>
      </c>
      <c r="B16146" s="6">
        <v>0.80900000000000005</v>
      </c>
      <c r="C16146" s="6">
        <v>0.88082278004278702</v>
      </c>
    </row>
    <row r="16147" spans="1:3" s="8" customFormat="1" x14ac:dyDescent="0.2">
      <c r="A16147" s="6" t="str">
        <f>"TMEM169"</f>
        <v>TMEM169</v>
      </c>
      <c r="B16147" s="6">
        <v>0.80919080919080899</v>
      </c>
      <c r="C16147" s="6">
        <v>0.88082278004278702</v>
      </c>
    </row>
    <row r="16148" spans="1:3" s="8" customFormat="1" x14ac:dyDescent="0.2">
      <c r="A16148" s="6" t="str">
        <f>"RELA-DT"</f>
        <v>RELA-DT</v>
      </c>
      <c r="B16148" s="6">
        <v>0.80919080919080899</v>
      </c>
      <c r="C16148" s="6">
        <v>0.88082278004278702</v>
      </c>
    </row>
    <row r="16149" spans="1:3" s="8" customFormat="1" x14ac:dyDescent="0.2">
      <c r="A16149" s="6" t="str">
        <f>"AP002840.2"</f>
        <v>AP002840.2</v>
      </c>
      <c r="B16149" s="6">
        <v>0.80919080919080899</v>
      </c>
      <c r="C16149" s="6">
        <v>0.88082278004278702</v>
      </c>
    </row>
    <row r="16150" spans="1:3" s="8" customFormat="1" x14ac:dyDescent="0.2">
      <c r="A16150" s="6" t="str">
        <f>"ZNF101"</f>
        <v>ZNF101</v>
      </c>
      <c r="B16150" s="6">
        <v>0.80919080919080899</v>
      </c>
      <c r="C16150" s="6">
        <v>0.88082278004278702</v>
      </c>
    </row>
    <row r="16151" spans="1:3" s="8" customFormat="1" x14ac:dyDescent="0.2">
      <c r="A16151" s="6" t="str">
        <f>"MPND"</f>
        <v>MPND</v>
      </c>
      <c r="B16151" s="6">
        <v>0.80919080919080899</v>
      </c>
      <c r="C16151" s="6">
        <v>0.88082278004278702</v>
      </c>
    </row>
    <row r="16152" spans="1:3" s="8" customFormat="1" x14ac:dyDescent="0.2">
      <c r="A16152" s="6" t="str">
        <f>"MIER3"</f>
        <v>MIER3</v>
      </c>
      <c r="B16152" s="6">
        <v>0.80919080919080899</v>
      </c>
      <c r="C16152" s="6">
        <v>0.88082278004278702</v>
      </c>
    </row>
    <row r="16153" spans="1:3" s="8" customFormat="1" x14ac:dyDescent="0.2">
      <c r="A16153" s="6" t="str">
        <f>"WDR75"</f>
        <v>WDR75</v>
      </c>
      <c r="B16153" s="6">
        <v>0.80919080919080899</v>
      </c>
      <c r="C16153" s="6">
        <v>0.88082278004278702</v>
      </c>
    </row>
    <row r="16154" spans="1:3" s="8" customFormat="1" x14ac:dyDescent="0.2">
      <c r="A16154" s="6" t="str">
        <f>"SLC37A3"</f>
        <v>SLC37A3</v>
      </c>
      <c r="B16154" s="6">
        <v>0.80919080919080899</v>
      </c>
      <c r="C16154" s="6">
        <v>0.88082278004278702</v>
      </c>
    </row>
    <row r="16155" spans="1:3" s="8" customFormat="1" x14ac:dyDescent="0.2">
      <c r="A16155" s="6" t="str">
        <f>"HEATR5B"</f>
        <v>HEATR5B</v>
      </c>
      <c r="B16155" s="6">
        <v>0.80919080919080899</v>
      </c>
      <c r="C16155" s="6">
        <v>0.88082278004278702</v>
      </c>
    </row>
    <row r="16156" spans="1:3" s="8" customFormat="1" x14ac:dyDescent="0.2">
      <c r="A16156" s="6" t="str">
        <f>"LINC02801"</f>
        <v>LINC02801</v>
      </c>
      <c r="B16156" s="6">
        <v>0.81018981018980996</v>
      </c>
      <c r="C16156" s="6">
        <v>0.88158277366198101</v>
      </c>
    </row>
    <row r="16157" spans="1:3" s="8" customFormat="1" x14ac:dyDescent="0.2">
      <c r="A16157" s="6" t="str">
        <f>"C1QTNF12"</f>
        <v>C1QTNF12</v>
      </c>
      <c r="B16157" s="6">
        <v>0.81018981018980996</v>
      </c>
      <c r="C16157" s="6">
        <v>0.88158277366198101</v>
      </c>
    </row>
    <row r="16158" spans="1:3" s="8" customFormat="1" x14ac:dyDescent="0.2">
      <c r="A16158" s="6" t="str">
        <f>"AL162231.2"</f>
        <v>AL162231.2</v>
      </c>
      <c r="B16158" s="6">
        <v>0.81018981018980996</v>
      </c>
      <c r="C16158" s="6">
        <v>0.88158277366198101</v>
      </c>
    </row>
    <row r="16159" spans="1:3" s="8" customFormat="1" x14ac:dyDescent="0.2">
      <c r="A16159" s="6" t="str">
        <f>"RHOD"</f>
        <v>RHOD</v>
      </c>
      <c r="B16159" s="6">
        <v>0.81018981018980996</v>
      </c>
      <c r="C16159" s="6">
        <v>0.88158277366198101</v>
      </c>
    </row>
    <row r="16160" spans="1:3" s="8" customFormat="1" x14ac:dyDescent="0.2">
      <c r="A16160" s="6" t="str">
        <f>"SPG11"</f>
        <v>SPG11</v>
      </c>
      <c r="B16160" s="6">
        <v>0.81018981018980996</v>
      </c>
      <c r="C16160" s="6">
        <v>0.88158277366198101</v>
      </c>
    </row>
    <row r="16161" spans="1:3" s="8" customFormat="1" x14ac:dyDescent="0.2">
      <c r="A16161" s="6" t="str">
        <f>"EIF4EBP2"</f>
        <v>EIF4EBP2</v>
      </c>
      <c r="B16161" s="6">
        <v>0.81018981018980996</v>
      </c>
      <c r="C16161" s="6">
        <v>0.88158277366198101</v>
      </c>
    </row>
    <row r="16162" spans="1:3" s="8" customFormat="1" x14ac:dyDescent="0.2">
      <c r="A16162" s="6" t="str">
        <f>"AP002770.1"</f>
        <v>AP002770.1</v>
      </c>
      <c r="B16162" s="6">
        <v>0.81100000000000005</v>
      </c>
      <c r="C16162" s="6">
        <v>0.88217849316247399</v>
      </c>
    </row>
    <row r="16163" spans="1:3" s="8" customFormat="1" x14ac:dyDescent="0.2">
      <c r="A16163" s="6" t="str">
        <f>"HLA-DPB2"</f>
        <v>HLA-DPB2</v>
      </c>
      <c r="B16163" s="6">
        <v>0.81118881118881103</v>
      </c>
      <c r="C16163" s="6">
        <v>0.88217849316247399</v>
      </c>
    </row>
    <row r="16164" spans="1:3" s="8" customFormat="1" x14ac:dyDescent="0.2">
      <c r="A16164" s="6" t="str">
        <f>"AC136944.2"</f>
        <v>AC136944.2</v>
      </c>
      <c r="B16164" s="6">
        <v>0.81118881118881103</v>
      </c>
      <c r="C16164" s="6">
        <v>0.88217849316247399</v>
      </c>
    </row>
    <row r="16165" spans="1:3" s="8" customFormat="1" x14ac:dyDescent="0.2">
      <c r="A16165" s="6" t="str">
        <f>"SLC35B1"</f>
        <v>SLC35B1</v>
      </c>
      <c r="B16165" s="6">
        <v>0.81118881118881103</v>
      </c>
      <c r="C16165" s="6">
        <v>0.88217849316247399</v>
      </c>
    </row>
    <row r="16166" spans="1:3" s="8" customFormat="1" x14ac:dyDescent="0.2">
      <c r="A16166" s="6" t="str">
        <f>"MPST"</f>
        <v>MPST</v>
      </c>
      <c r="B16166" s="6">
        <v>0.81118881118881103</v>
      </c>
      <c r="C16166" s="6">
        <v>0.88217849316247399</v>
      </c>
    </row>
    <row r="16167" spans="1:3" s="8" customFormat="1" x14ac:dyDescent="0.2">
      <c r="A16167" s="6" t="str">
        <f>"STRA6LP"</f>
        <v>STRA6LP</v>
      </c>
      <c r="B16167" s="6">
        <v>0.81118881118881103</v>
      </c>
      <c r="C16167" s="6">
        <v>0.88217849316247399</v>
      </c>
    </row>
    <row r="16168" spans="1:3" s="8" customFormat="1" x14ac:dyDescent="0.2">
      <c r="A16168" s="6" t="str">
        <f>"FAM3C"</f>
        <v>FAM3C</v>
      </c>
      <c r="B16168" s="6">
        <v>0.81118881118881103</v>
      </c>
      <c r="C16168" s="6">
        <v>0.88217849316247399</v>
      </c>
    </row>
    <row r="16169" spans="1:3" s="8" customFormat="1" x14ac:dyDescent="0.2">
      <c r="A16169" s="6" t="str">
        <f>"PES1"</f>
        <v>PES1</v>
      </c>
      <c r="B16169" s="6">
        <v>0.81118881118881103</v>
      </c>
      <c r="C16169" s="6">
        <v>0.88217849316247399</v>
      </c>
    </row>
    <row r="16170" spans="1:3" s="8" customFormat="1" x14ac:dyDescent="0.2">
      <c r="A16170" s="6" t="str">
        <f>"ABI1"</f>
        <v>ABI1</v>
      </c>
      <c r="B16170" s="6">
        <v>0.81118881118881103</v>
      </c>
      <c r="C16170" s="6">
        <v>0.88217849316247399</v>
      </c>
    </row>
    <row r="16171" spans="1:3" s="8" customFormat="1" x14ac:dyDescent="0.2">
      <c r="A16171" s="6" t="str">
        <f>"AC016877.1"</f>
        <v>AC016877.1</v>
      </c>
      <c r="B16171" s="6">
        <v>0.812187812187812</v>
      </c>
      <c r="C16171" s="6">
        <v>0.88288269593907498</v>
      </c>
    </row>
    <row r="16172" spans="1:3" s="8" customFormat="1" x14ac:dyDescent="0.2">
      <c r="A16172" s="6" t="str">
        <f>"AL021408.2"</f>
        <v>AL021408.2</v>
      </c>
      <c r="B16172" s="6">
        <v>0.812187812187812</v>
      </c>
      <c r="C16172" s="6">
        <v>0.88288269593907498</v>
      </c>
    </row>
    <row r="16173" spans="1:3" s="8" customFormat="1" x14ac:dyDescent="0.2">
      <c r="A16173" s="6" t="str">
        <f>"TESK2"</f>
        <v>TESK2</v>
      </c>
      <c r="B16173" s="6">
        <v>0.812187812187812</v>
      </c>
      <c r="C16173" s="6">
        <v>0.88288269593907498</v>
      </c>
    </row>
    <row r="16174" spans="1:3" s="8" customFormat="1" x14ac:dyDescent="0.2">
      <c r="A16174" s="6" t="str">
        <f>"COX14"</f>
        <v>COX14</v>
      </c>
      <c r="B16174" s="6">
        <v>0.812187812187812</v>
      </c>
      <c r="C16174" s="6">
        <v>0.88288269593907498</v>
      </c>
    </row>
    <row r="16175" spans="1:3" s="8" customFormat="1" x14ac:dyDescent="0.2">
      <c r="A16175" s="6" t="str">
        <f>"MTMR6"</f>
        <v>MTMR6</v>
      </c>
      <c r="B16175" s="6">
        <v>0.812187812187812</v>
      </c>
      <c r="C16175" s="6">
        <v>0.88288269593907498</v>
      </c>
    </row>
    <row r="16176" spans="1:3" s="8" customFormat="1" x14ac:dyDescent="0.2">
      <c r="A16176" s="6" t="str">
        <f>"ATF7IP"</f>
        <v>ATF7IP</v>
      </c>
      <c r="B16176" s="6">
        <v>0.812187812187812</v>
      </c>
      <c r="C16176" s="6">
        <v>0.88288269593907498</v>
      </c>
    </row>
    <row r="16177" spans="1:3" s="8" customFormat="1" x14ac:dyDescent="0.2">
      <c r="A16177" s="6" t="str">
        <f>"TXNIP"</f>
        <v>TXNIP</v>
      </c>
      <c r="B16177" s="6">
        <v>0.81200000000000006</v>
      </c>
      <c r="C16177" s="6">
        <v>0.88288269593907498</v>
      </c>
    </row>
    <row r="16178" spans="1:3" s="8" customFormat="1" x14ac:dyDescent="0.2">
      <c r="A16178" s="6" t="str">
        <f>"AL096711.2"</f>
        <v>AL096711.2</v>
      </c>
      <c r="B16178" s="6">
        <v>0.81318681318681296</v>
      </c>
      <c r="C16178" s="6">
        <v>0.88364089253966904</v>
      </c>
    </row>
    <row r="16179" spans="1:3" s="8" customFormat="1" x14ac:dyDescent="0.2">
      <c r="A16179" s="6" t="str">
        <f>"FAM230A"</f>
        <v>FAM230A</v>
      </c>
      <c r="B16179" s="6">
        <v>0.81318681318681296</v>
      </c>
      <c r="C16179" s="6">
        <v>0.88364089253966904</v>
      </c>
    </row>
    <row r="16180" spans="1:3" s="8" customFormat="1" x14ac:dyDescent="0.2">
      <c r="A16180" s="6" t="str">
        <f>"TMEM105"</f>
        <v>TMEM105</v>
      </c>
      <c r="B16180" s="6">
        <v>0.81318681318681296</v>
      </c>
      <c r="C16180" s="6">
        <v>0.88364089253966904</v>
      </c>
    </row>
    <row r="16181" spans="1:3" s="8" customFormat="1" x14ac:dyDescent="0.2">
      <c r="A16181" s="6" t="str">
        <f>"ZNF738"</f>
        <v>ZNF738</v>
      </c>
      <c r="B16181" s="6">
        <v>0.81318681318681296</v>
      </c>
      <c r="C16181" s="6">
        <v>0.88364089253966904</v>
      </c>
    </row>
    <row r="16182" spans="1:3" s="8" customFormat="1" x14ac:dyDescent="0.2">
      <c r="A16182" s="6" t="str">
        <f>"ZKSCAN2"</f>
        <v>ZKSCAN2</v>
      </c>
      <c r="B16182" s="6">
        <v>0.81318681318681296</v>
      </c>
      <c r="C16182" s="6">
        <v>0.88364089253966904</v>
      </c>
    </row>
    <row r="16183" spans="1:3" s="8" customFormat="1" x14ac:dyDescent="0.2">
      <c r="A16183" s="6" t="str">
        <f>"RNF215"</f>
        <v>RNF215</v>
      </c>
      <c r="B16183" s="6">
        <v>0.81318681318681296</v>
      </c>
      <c r="C16183" s="6">
        <v>0.88364089253966904</v>
      </c>
    </row>
    <row r="16184" spans="1:3" s="8" customFormat="1" x14ac:dyDescent="0.2">
      <c r="A16184" s="6" t="str">
        <f>"AC048380.2"</f>
        <v>AC048380.2</v>
      </c>
      <c r="B16184" s="6">
        <v>0.81418581418581404</v>
      </c>
      <c r="C16184" s="6">
        <v>0.88401626160193603</v>
      </c>
    </row>
    <row r="16185" spans="1:3" s="8" customFormat="1" x14ac:dyDescent="0.2">
      <c r="A16185" s="6" t="str">
        <f>"AL139002.1"</f>
        <v>AL139002.1</v>
      </c>
      <c r="B16185" s="6">
        <v>0.81362725450901796</v>
      </c>
      <c r="C16185" s="6">
        <v>0.88401626160193603</v>
      </c>
    </row>
    <row r="16186" spans="1:3" s="8" customFormat="1" x14ac:dyDescent="0.2">
      <c r="A16186" s="6" t="str">
        <f>"AC008687.4"</f>
        <v>AC008687.4</v>
      </c>
      <c r="B16186" s="6">
        <v>0.81418581418581404</v>
      </c>
      <c r="C16186" s="6">
        <v>0.88401626160193603</v>
      </c>
    </row>
    <row r="16187" spans="1:3" s="8" customFormat="1" x14ac:dyDescent="0.2">
      <c r="A16187" s="6" t="str">
        <f>"SSXP10"</f>
        <v>SSXP10</v>
      </c>
      <c r="B16187" s="6">
        <v>0.81418581418581404</v>
      </c>
      <c r="C16187" s="6">
        <v>0.88401626160193603</v>
      </c>
    </row>
    <row r="16188" spans="1:3" s="8" customFormat="1" x14ac:dyDescent="0.2">
      <c r="A16188" s="6" t="str">
        <f>"LINC01492"</f>
        <v>LINC01492</v>
      </c>
      <c r="B16188" s="6">
        <v>0.81388329979879204</v>
      </c>
      <c r="C16188" s="6">
        <v>0.88401626160193603</v>
      </c>
    </row>
    <row r="16189" spans="1:3" s="8" customFormat="1" x14ac:dyDescent="0.2">
      <c r="A16189" s="6" t="str">
        <f>"TRPM8"</f>
        <v>TRPM8</v>
      </c>
      <c r="B16189" s="6">
        <v>0.81418581418581404</v>
      </c>
      <c r="C16189" s="6">
        <v>0.88401626160193603</v>
      </c>
    </row>
    <row r="16190" spans="1:3" s="8" customFormat="1" x14ac:dyDescent="0.2">
      <c r="A16190" s="6" t="str">
        <f>"AL137058.1"</f>
        <v>AL137058.1</v>
      </c>
      <c r="B16190" s="6">
        <v>0.81418581418581404</v>
      </c>
      <c r="C16190" s="6">
        <v>0.88401626160193603</v>
      </c>
    </row>
    <row r="16191" spans="1:3" s="8" customFormat="1" x14ac:dyDescent="0.2">
      <c r="A16191" s="6" t="str">
        <f>"OR2A9P"</f>
        <v>OR2A9P</v>
      </c>
      <c r="B16191" s="6">
        <v>0.81418581418581404</v>
      </c>
      <c r="C16191" s="6">
        <v>0.88401626160193603</v>
      </c>
    </row>
    <row r="16192" spans="1:3" s="8" customFormat="1" x14ac:dyDescent="0.2">
      <c r="A16192" s="6" t="str">
        <f>"STK17A"</f>
        <v>STK17A</v>
      </c>
      <c r="B16192" s="6">
        <v>0.81418581418581404</v>
      </c>
      <c r="C16192" s="6">
        <v>0.88401626160193603</v>
      </c>
    </row>
    <row r="16193" spans="1:3" s="8" customFormat="1" x14ac:dyDescent="0.2">
      <c r="A16193" s="6" t="str">
        <f>"AGK"</f>
        <v>AGK</v>
      </c>
      <c r="B16193" s="6">
        <v>0.81418581418581404</v>
      </c>
      <c r="C16193" s="6">
        <v>0.88401626160193603</v>
      </c>
    </row>
    <row r="16194" spans="1:3" s="8" customFormat="1" x14ac:dyDescent="0.2">
      <c r="A16194" s="6" t="str">
        <f>"CTTNBP2NL"</f>
        <v>CTTNBP2NL</v>
      </c>
      <c r="B16194" s="6">
        <v>0.81418581418581404</v>
      </c>
      <c r="C16194" s="6">
        <v>0.88401626160193603</v>
      </c>
    </row>
    <row r="16195" spans="1:3" s="8" customFormat="1" x14ac:dyDescent="0.2">
      <c r="A16195" s="6" t="str">
        <f>"DUOXA2"</f>
        <v>DUOXA2</v>
      </c>
      <c r="B16195" s="6">
        <v>0.81418581418581404</v>
      </c>
      <c r="C16195" s="6">
        <v>0.88401626160193603</v>
      </c>
    </row>
    <row r="16196" spans="1:3" s="8" customFormat="1" x14ac:dyDescent="0.2">
      <c r="A16196" s="6" t="str">
        <f>"SLC12A2"</f>
        <v>SLC12A2</v>
      </c>
      <c r="B16196" s="6">
        <v>0.81418581418581404</v>
      </c>
      <c r="C16196" s="6">
        <v>0.88401626160193603</v>
      </c>
    </row>
    <row r="16197" spans="1:3" s="8" customFormat="1" x14ac:dyDescent="0.2">
      <c r="A16197" s="6" t="str">
        <f>"ZNF878"</f>
        <v>ZNF878</v>
      </c>
      <c r="B16197" s="6">
        <v>0.81462925851703405</v>
      </c>
      <c r="C16197" s="6">
        <v>0.88444312680683601</v>
      </c>
    </row>
    <row r="16198" spans="1:3" s="8" customFormat="1" x14ac:dyDescent="0.2">
      <c r="A16198" s="6" t="str">
        <f>"RPS26P47"</f>
        <v>RPS26P47</v>
      </c>
      <c r="B16198" s="6">
        <v>0.81499999999999995</v>
      </c>
      <c r="C16198" s="6">
        <v>0.88455475410119</v>
      </c>
    </row>
    <row r="16199" spans="1:3" s="8" customFormat="1" x14ac:dyDescent="0.2">
      <c r="A16199" s="6" t="str">
        <f>"ANKRD34B"</f>
        <v>ANKRD34B</v>
      </c>
      <c r="B16199" s="6">
        <v>0.815184815184815</v>
      </c>
      <c r="C16199" s="6">
        <v>0.88455475410119</v>
      </c>
    </row>
    <row r="16200" spans="1:3" s="8" customFormat="1" x14ac:dyDescent="0.2">
      <c r="A16200" s="6" t="str">
        <f>"CSTF3-DT"</f>
        <v>CSTF3-DT</v>
      </c>
      <c r="B16200" s="6">
        <v>0.815184815184815</v>
      </c>
      <c r="C16200" s="6">
        <v>0.88455475410119</v>
      </c>
    </row>
    <row r="16201" spans="1:3" s="8" customFormat="1" x14ac:dyDescent="0.2">
      <c r="A16201" s="6" t="str">
        <f>"KMO"</f>
        <v>KMO</v>
      </c>
      <c r="B16201" s="6">
        <v>0.815184815184815</v>
      </c>
      <c r="C16201" s="6">
        <v>0.88455475410119</v>
      </c>
    </row>
    <row r="16202" spans="1:3" s="8" customFormat="1" x14ac:dyDescent="0.2">
      <c r="A16202" s="6" t="str">
        <f>"AP006621.5"</f>
        <v>AP006621.5</v>
      </c>
      <c r="B16202" s="6">
        <v>0.815184815184815</v>
      </c>
      <c r="C16202" s="6">
        <v>0.88455475410119</v>
      </c>
    </row>
    <row r="16203" spans="1:3" s="8" customFormat="1" x14ac:dyDescent="0.2">
      <c r="A16203" s="6" t="str">
        <f>"GDAP1"</f>
        <v>GDAP1</v>
      </c>
      <c r="B16203" s="6">
        <v>0.815184815184815</v>
      </c>
      <c r="C16203" s="6">
        <v>0.88455475410119</v>
      </c>
    </row>
    <row r="16204" spans="1:3" s="8" customFormat="1" x14ac:dyDescent="0.2">
      <c r="A16204" s="6" t="str">
        <f>"STAG3L3"</f>
        <v>STAG3L3</v>
      </c>
      <c r="B16204" s="6">
        <v>0.815184815184815</v>
      </c>
      <c r="C16204" s="6">
        <v>0.88455475410119</v>
      </c>
    </row>
    <row r="16205" spans="1:3" s="8" customFormat="1" x14ac:dyDescent="0.2">
      <c r="A16205" s="6" t="str">
        <f>"GDAP2"</f>
        <v>GDAP2</v>
      </c>
      <c r="B16205" s="6">
        <v>0.815184815184815</v>
      </c>
      <c r="C16205" s="6">
        <v>0.88455475410119</v>
      </c>
    </row>
    <row r="16206" spans="1:3" s="8" customFormat="1" x14ac:dyDescent="0.2">
      <c r="A16206" s="6" t="str">
        <f>"ARHGAP32"</f>
        <v>ARHGAP32</v>
      </c>
      <c r="B16206" s="6">
        <v>0.815184815184815</v>
      </c>
      <c r="C16206" s="6">
        <v>0.88455475410119</v>
      </c>
    </row>
    <row r="16207" spans="1:3" s="8" customFormat="1" x14ac:dyDescent="0.2">
      <c r="A16207" s="6" t="str">
        <f>"MUC19"</f>
        <v>MUC19</v>
      </c>
      <c r="B16207" s="6">
        <v>0.81618381618381597</v>
      </c>
      <c r="C16207" s="6">
        <v>0.88536559060926701</v>
      </c>
    </row>
    <row r="16208" spans="1:3" s="8" customFormat="1" x14ac:dyDescent="0.2">
      <c r="A16208" s="6" t="str">
        <f>"ZNF442"</f>
        <v>ZNF442</v>
      </c>
      <c r="B16208" s="6">
        <v>0.81599999999999995</v>
      </c>
      <c r="C16208" s="6">
        <v>0.88536559060926701</v>
      </c>
    </row>
    <row r="16209" spans="1:3" s="8" customFormat="1" x14ac:dyDescent="0.2">
      <c r="A16209" s="6" t="str">
        <f>"PJA1"</f>
        <v>PJA1</v>
      </c>
      <c r="B16209" s="6">
        <v>0.81618381618381597</v>
      </c>
      <c r="C16209" s="6">
        <v>0.88536559060926701</v>
      </c>
    </row>
    <row r="16210" spans="1:3" s="8" customFormat="1" x14ac:dyDescent="0.2">
      <c r="A16210" s="6" t="str">
        <f>"CFAP300"</f>
        <v>CFAP300</v>
      </c>
      <c r="B16210" s="6">
        <v>0.81618381618381597</v>
      </c>
      <c r="C16210" s="6">
        <v>0.88536559060926701</v>
      </c>
    </row>
    <row r="16211" spans="1:3" s="8" customFormat="1" x14ac:dyDescent="0.2">
      <c r="A16211" s="6" t="str">
        <f>"HTT"</f>
        <v>HTT</v>
      </c>
      <c r="B16211" s="6">
        <v>0.81618381618381597</v>
      </c>
      <c r="C16211" s="6">
        <v>0.88536559060926701</v>
      </c>
    </row>
    <row r="16212" spans="1:3" s="8" customFormat="1" x14ac:dyDescent="0.2">
      <c r="A16212" s="6" t="str">
        <f>"TPP2"</f>
        <v>TPP2</v>
      </c>
      <c r="B16212" s="6">
        <v>0.81718281718281705</v>
      </c>
      <c r="C16212" s="6">
        <v>0.88628524377614604</v>
      </c>
    </row>
    <row r="16213" spans="1:3" s="8" customFormat="1" x14ac:dyDescent="0.2">
      <c r="A16213" s="6" t="str">
        <f>"TRPV4"</f>
        <v>TRPV4</v>
      </c>
      <c r="B16213" s="6">
        <v>0.81718281718281705</v>
      </c>
      <c r="C16213" s="6">
        <v>0.88628524377614604</v>
      </c>
    </row>
    <row r="16214" spans="1:3" s="8" customFormat="1" x14ac:dyDescent="0.2">
      <c r="A16214" s="6" t="str">
        <f>"SLC31A1"</f>
        <v>SLC31A1</v>
      </c>
      <c r="B16214" s="6">
        <v>0.81718281718281705</v>
      </c>
      <c r="C16214" s="6">
        <v>0.88628524377614604</v>
      </c>
    </row>
    <row r="16215" spans="1:3" s="8" customFormat="1" x14ac:dyDescent="0.2">
      <c r="A16215" s="6" t="str">
        <f>"DUX4L50"</f>
        <v>DUX4L50</v>
      </c>
      <c r="B16215" s="6">
        <v>0.81818181818181801</v>
      </c>
      <c r="C16215" s="6">
        <v>0.88720455666681597</v>
      </c>
    </row>
    <row r="16216" spans="1:3" s="8" customFormat="1" x14ac:dyDescent="0.2">
      <c r="A16216" s="6" t="str">
        <f>"AC099329.2"</f>
        <v>AC099329.2</v>
      </c>
      <c r="B16216" s="6">
        <v>0.81818181818181801</v>
      </c>
      <c r="C16216" s="6">
        <v>0.88720455666681597</v>
      </c>
    </row>
    <row r="16217" spans="1:3" s="8" customFormat="1" x14ac:dyDescent="0.2">
      <c r="A16217" s="6" t="str">
        <f>"ZBTB40"</f>
        <v>ZBTB40</v>
      </c>
      <c r="B16217" s="6">
        <v>0.81818181818181801</v>
      </c>
      <c r="C16217" s="6">
        <v>0.88720455666681597</v>
      </c>
    </row>
    <row r="16218" spans="1:3" s="8" customFormat="1" x14ac:dyDescent="0.2">
      <c r="A16218" s="6" t="str">
        <f>"FGF22"</f>
        <v>FGF22</v>
      </c>
      <c r="B16218" s="6">
        <v>0.81881881881881802</v>
      </c>
      <c r="C16218" s="6">
        <v>0.88784054449713901</v>
      </c>
    </row>
    <row r="16219" spans="1:3" s="8" customFormat="1" x14ac:dyDescent="0.2">
      <c r="A16219" s="6" t="str">
        <f>"CLEC20A"</f>
        <v>CLEC20A</v>
      </c>
      <c r="B16219" s="6">
        <v>0.81918081918081898</v>
      </c>
      <c r="C16219" s="6">
        <v>0.88784982276106506</v>
      </c>
    </row>
    <row r="16220" spans="1:3" s="8" customFormat="1" x14ac:dyDescent="0.2">
      <c r="A16220" s="6" t="str">
        <f>"HTR1F"</f>
        <v>HTR1F</v>
      </c>
      <c r="B16220" s="6">
        <v>0.81918081918081898</v>
      </c>
      <c r="C16220" s="6">
        <v>0.88784982276106506</v>
      </c>
    </row>
    <row r="16221" spans="1:3" s="8" customFormat="1" x14ac:dyDescent="0.2">
      <c r="A16221" s="6" t="str">
        <f>"SPOCD1"</f>
        <v>SPOCD1</v>
      </c>
      <c r="B16221" s="6">
        <v>0.81918081918081898</v>
      </c>
      <c r="C16221" s="6">
        <v>0.88784982276106506</v>
      </c>
    </row>
    <row r="16222" spans="1:3" s="8" customFormat="1" x14ac:dyDescent="0.2">
      <c r="A16222" s="6" t="str">
        <f>"C4orf46"</f>
        <v>C4orf46</v>
      </c>
      <c r="B16222" s="6">
        <v>0.81918081918081898</v>
      </c>
      <c r="C16222" s="6">
        <v>0.88784982276106506</v>
      </c>
    </row>
    <row r="16223" spans="1:3" s="8" customFormat="1" x14ac:dyDescent="0.2">
      <c r="A16223" s="6" t="str">
        <f>"ABHD13"</f>
        <v>ABHD13</v>
      </c>
      <c r="B16223" s="6">
        <v>0.81918081918081898</v>
      </c>
      <c r="C16223" s="6">
        <v>0.88784982276106506</v>
      </c>
    </row>
    <row r="16224" spans="1:3" s="8" customFormat="1" x14ac:dyDescent="0.2">
      <c r="A16224" s="6" t="str">
        <f>"PRPF18"</f>
        <v>PRPF18</v>
      </c>
      <c r="B16224" s="6">
        <v>0.81918081918081898</v>
      </c>
      <c r="C16224" s="6">
        <v>0.88784982276106506</v>
      </c>
    </row>
    <row r="16225" spans="1:3" s="8" customFormat="1" x14ac:dyDescent="0.2">
      <c r="A16225" s="6" t="str">
        <f>"ZNF428"</f>
        <v>ZNF428</v>
      </c>
      <c r="B16225" s="6">
        <v>0.81918081918081898</v>
      </c>
      <c r="C16225" s="6">
        <v>0.88784982276106506</v>
      </c>
    </row>
    <row r="16226" spans="1:3" s="8" customFormat="1" x14ac:dyDescent="0.2">
      <c r="A16226" s="6" t="str">
        <f>"AL121938.1"</f>
        <v>AL121938.1</v>
      </c>
      <c r="B16226" s="6">
        <v>0.82017982017982005</v>
      </c>
      <c r="C16226" s="6">
        <v>0.88833027151474897</v>
      </c>
    </row>
    <row r="16227" spans="1:3" s="8" customFormat="1" x14ac:dyDescent="0.2">
      <c r="A16227" s="6" t="str">
        <f>"CUZD1"</f>
        <v>CUZD1</v>
      </c>
      <c r="B16227" s="6">
        <v>0.82017982017982005</v>
      </c>
      <c r="C16227" s="6">
        <v>0.88833027151474897</v>
      </c>
    </row>
    <row r="16228" spans="1:3" s="8" customFormat="1" x14ac:dyDescent="0.2">
      <c r="A16228" s="6" t="str">
        <f>"AC115522.1"</f>
        <v>AC115522.1</v>
      </c>
      <c r="B16228" s="6">
        <v>0.819819819819819</v>
      </c>
      <c r="C16228" s="6">
        <v>0.88833027151474897</v>
      </c>
    </row>
    <row r="16229" spans="1:3" s="8" customFormat="1" x14ac:dyDescent="0.2">
      <c r="A16229" s="6" t="str">
        <f>"ADAMTS8"</f>
        <v>ADAMTS8</v>
      </c>
      <c r="B16229" s="6">
        <v>0.82017982017982005</v>
      </c>
      <c r="C16229" s="6">
        <v>0.88833027151474897</v>
      </c>
    </row>
    <row r="16230" spans="1:3" s="8" customFormat="1" x14ac:dyDescent="0.2">
      <c r="A16230" s="6" t="str">
        <f>"TSPAN10"</f>
        <v>TSPAN10</v>
      </c>
      <c r="B16230" s="6">
        <v>0.82017982017982005</v>
      </c>
      <c r="C16230" s="6">
        <v>0.88833027151474897</v>
      </c>
    </row>
    <row r="16231" spans="1:3" s="8" customFormat="1" x14ac:dyDescent="0.2">
      <c r="A16231" s="6" t="str">
        <f>"C1QTNF6"</f>
        <v>C1QTNF6</v>
      </c>
      <c r="B16231" s="6">
        <v>0.82017982017982005</v>
      </c>
      <c r="C16231" s="6">
        <v>0.88833027151474897</v>
      </c>
    </row>
    <row r="16232" spans="1:3" s="8" customFormat="1" x14ac:dyDescent="0.2">
      <c r="A16232" s="6" t="str">
        <f>"ZNF430"</f>
        <v>ZNF430</v>
      </c>
      <c r="B16232" s="6">
        <v>0.82017982017982005</v>
      </c>
      <c r="C16232" s="6">
        <v>0.88833027151474897</v>
      </c>
    </row>
    <row r="16233" spans="1:3" s="8" customFormat="1" x14ac:dyDescent="0.2">
      <c r="A16233" s="6" t="str">
        <f>"AAAS"</f>
        <v>AAAS</v>
      </c>
      <c r="B16233" s="6">
        <v>0.82017982017982005</v>
      </c>
      <c r="C16233" s="6">
        <v>0.88833027151474897</v>
      </c>
    </row>
    <row r="16234" spans="1:3" s="8" customFormat="1" x14ac:dyDescent="0.2">
      <c r="A16234" s="6" t="str">
        <f>"WASHC4"</f>
        <v>WASHC4</v>
      </c>
      <c r="B16234" s="6">
        <v>0.82017982017982005</v>
      </c>
      <c r="C16234" s="6">
        <v>0.88833027151474897</v>
      </c>
    </row>
    <row r="16235" spans="1:3" s="8" customFormat="1" x14ac:dyDescent="0.2">
      <c r="A16235" s="6" t="str">
        <f>"BCAS1"</f>
        <v>BCAS1</v>
      </c>
      <c r="B16235" s="6">
        <v>0.82017982017982005</v>
      </c>
      <c r="C16235" s="6">
        <v>0.88833027151474897</v>
      </c>
    </row>
    <row r="16236" spans="1:3" s="8" customFormat="1" x14ac:dyDescent="0.2">
      <c r="A16236" s="6" t="str">
        <f>"FAM120A"</f>
        <v>FAM120A</v>
      </c>
      <c r="B16236" s="6">
        <v>0.82017982017982005</v>
      </c>
      <c r="C16236" s="6">
        <v>0.88833027151474897</v>
      </c>
    </row>
    <row r="16237" spans="1:3" s="8" customFormat="1" x14ac:dyDescent="0.2">
      <c r="A16237" s="6" t="str">
        <f>"AC124290.1"</f>
        <v>AC124290.1</v>
      </c>
      <c r="B16237" s="6">
        <v>0.82117882117882102</v>
      </c>
      <c r="C16237" s="6">
        <v>0.88919320103506305</v>
      </c>
    </row>
    <row r="16238" spans="1:3" s="8" customFormat="1" x14ac:dyDescent="0.2">
      <c r="A16238" s="6" t="str">
        <f>"SLC16A1"</f>
        <v>SLC16A1</v>
      </c>
      <c r="B16238" s="6">
        <v>0.82117882117882102</v>
      </c>
      <c r="C16238" s="6">
        <v>0.88919320103506305</v>
      </c>
    </row>
    <row r="16239" spans="1:3" s="8" customFormat="1" x14ac:dyDescent="0.2">
      <c r="A16239" s="6" t="str">
        <f>"CCDC134"</f>
        <v>CCDC134</v>
      </c>
      <c r="B16239" s="6">
        <v>0.82117882117882102</v>
      </c>
      <c r="C16239" s="6">
        <v>0.88919320103506305</v>
      </c>
    </row>
    <row r="16240" spans="1:3" s="8" customFormat="1" x14ac:dyDescent="0.2">
      <c r="A16240" s="6" t="str">
        <f>"SAR1B"</f>
        <v>SAR1B</v>
      </c>
      <c r="B16240" s="6">
        <v>0.82117882117882102</v>
      </c>
      <c r="C16240" s="6">
        <v>0.88919320103506305</v>
      </c>
    </row>
    <row r="16241" spans="1:3" s="8" customFormat="1" x14ac:dyDescent="0.2">
      <c r="A16241" s="6" t="str">
        <f>"CNIH3-AS2"</f>
        <v>CNIH3-AS2</v>
      </c>
      <c r="B16241" s="6">
        <v>0.82146439317953801</v>
      </c>
      <c r="C16241" s="6">
        <v>0.88933812890463004</v>
      </c>
    </row>
    <row r="16242" spans="1:3" s="8" customFormat="1" x14ac:dyDescent="0.2">
      <c r="A16242" s="6" t="str">
        <f>"AC233992.3"</f>
        <v>AC233992.3</v>
      </c>
      <c r="B16242" s="6">
        <v>0.82146439317953801</v>
      </c>
      <c r="C16242" s="6">
        <v>0.88933812890463004</v>
      </c>
    </row>
    <row r="16243" spans="1:3" s="8" customFormat="1" x14ac:dyDescent="0.2">
      <c r="A16243" s="6" t="str">
        <f>"AC004522.4"</f>
        <v>AC004522.4</v>
      </c>
      <c r="B16243" s="6">
        <v>0.82139253279515601</v>
      </c>
      <c r="C16243" s="6">
        <v>0.88933812890463004</v>
      </c>
    </row>
    <row r="16244" spans="1:3" s="8" customFormat="1" x14ac:dyDescent="0.2">
      <c r="A16244" s="6" t="str">
        <f>"H2AC18"</f>
        <v>H2AC18</v>
      </c>
      <c r="B16244" s="6">
        <v>0.82154171066525805</v>
      </c>
      <c r="C16244" s="6">
        <v>0.88936707753111499</v>
      </c>
    </row>
    <row r="16245" spans="1:3" s="8" customFormat="1" x14ac:dyDescent="0.2">
      <c r="A16245" s="6" t="str">
        <f>"BX537318.2"</f>
        <v>BX537318.2</v>
      </c>
      <c r="B16245" s="6">
        <v>0.82199999999999995</v>
      </c>
      <c r="C16245" s="6">
        <v>0.88956281228001599</v>
      </c>
    </row>
    <row r="16246" spans="1:3" s="8" customFormat="1" x14ac:dyDescent="0.2">
      <c r="A16246" s="6" t="str">
        <f>"UNC93B2"</f>
        <v>UNC93B2</v>
      </c>
      <c r="B16246" s="6">
        <v>0.82217782217782198</v>
      </c>
      <c r="C16246" s="6">
        <v>0.88956281228001599</v>
      </c>
    </row>
    <row r="16247" spans="1:3" s="8" customFormat="1" x14ac:dyDescent="0.2">
      <c r="A16247" s="6" t="str">
        <f>"AHRR"</f>
        <v>AHRR</v>
      </c>
      <c r="B16247" s="6">
        <v>0.82217782217782198</v>
      </c>
      <c r="C16247" s="6">
        <v>0.88956281228001599</v>
      </c>
    </row>
    <row r="16248" spans="1:3" s="8" customFormat="1" x14ac:dyDescent="0.2">
      <c r="A16248" s="6" t="str">
        <f>"SPTBN5"</f>
        <v>SPTBN5</v>
      </c>
      <c r="B16248" s="6">
        <v>0.82217782217782198</v>
      </c>
      <c r="C16248" s="6">
        <v>0.88956281228001599</v>
      </c>
    </row>
    <row r="16249" spans="1:3" s="8" customFormat="1" x14ac:dyDescent="0.2">
      <c r="A16249" s="6" t="str">
        <f>"CU634019.1"</f>
        <v>CU634019.1</v>
      </c>
      <c r="B16249" s="6">
        <v>0.82217782217782198</v>
      </c>
      <c r="C16249" s="6">
        <v>0.88956281228001599</v>
      </c>
    </row>
    <row r="16250" spans="1:3" s="8" customFormat="1" x14ac:dyDescent="0.2">
      <c r="A16250" s="6" t="str">
        <f>"EVA1A"</f>
        <v>EVA1A</v>
      </c>
      <c r="B16250" s="6">
        <v>0.82217782217782198</v>
      </c>
      <c r="C16250" s="6">
        <v>0.88956281228001599</v>
      </c>
    </row>
    <row r="16251" spans="1:3" s="8" customFormat="1" x14ac:dyDescent="0.2">
      <c r="A16251" s="6" t="str">
        <f>"EHD2"</f>
        <v>EHD2</v>
      </c>
      <c r="B16251" s="6">
        <v>0.82217782217782198</v>
      </c>
      <c r="C16251" s="6">
        <v>0.88956281228001599</v>
      </c>
    </row>
    <row r="16252" spans="1:3" s="8" customFormat="1" x14ac:dyDescent="0.2">
      <c r="A16252" s="6" t="str">
        <f>"MAPK9"</f>
        <v>MAPK9</v>
      </c>
      <c r="B16252" s="6">
        <v>0.82217782217782198</v>
      </c>
      <c r="C16252" s="6">
        <v>0.88956281228001599</v>
      </c>
    </row>
    <row r="16253" spans="1:3" s="8" customFormat="1" x14ac:dyDescent="0.2">
      <c r="A16253" s="6" t="str">
        <f>"VTA1"</f>
        <v>VTA1</v>
      </c>
      <c r="B16253" s="6">
        <v>0.82217782217782198</v>
      </c>
      <c r="C16253" s="6">
        <v>0.88956281228001599</v>
      </c>
    </row>
    <row r="16254" spans="1:3" s="8" customFormat="1" x14ac:dyDescent="0.2">
      <c r="A16254" s="6" t="str">
        <f>"CICP27"</f>
        <v>CICP27</v>
      </c>
      <c r="B16254" s="6">
        <v>0.82264529058116198</v>
      </c>
      <c r="C16254" s="6">
        <v>0.89001383065151995</v>
      </c>
    </row>
    <row r="16255" spans="1:3" s="8" customFormat="1" x14ac:dyDescent="0.2">
      <c r="A16255" s="6" t="str">
        <f>"AC024940.5"</f>
        <v>AC024940.5</v>
      </c>
      <c r="B16255" s="6">
        <v>0.82317682317682295</v>
      </c>
      <c r="C16255" s="6">
        <v>0.89015074464923705</v>
      </c>
    </row>
    <row r="16256" spans="1:3" s="8" customFormat="1" x14ac:dyDescent="0.2">
      <c r="A16256" s="6" t="str">
        <f>"AL034379.1"</f>
        <v>AL034379.1</v>
      </c>
      <c r="B16256" s="6">
        <v>0.82297154899894598</v>
      </c>
      <c r="C16256" s="6">
        <v>0.89015074464923705</v>
      </c>
    </row>
    <row r="16257" spans="1:3" s="8" customFormat="1" x14ac:dyDescent="0.2">
      <c r="A16257" s="6" t="str">
        <f>"AC018690.1"</f>
        <v>AC018690.1</v>
      </c>
      <c r="B16257" s="6">
        <v>0.82299999999999995</v>
      </c>
      <c r="C16257" s="6">
        <v>0.89015074464923705</v>
      </c>
    </row>
    <row r="16258" spans="1:3" s="8" customFormat="1" x14ac:dyDescent="0.2">
      <c r="A16258" s="6" t="str">
        <f>"AC096720.2"</f>
        <v>AC096720.2</v>
      </c>
      <c r="B16258" s="6">
        <v>0.82317682317682295</v>
      </c>
      <c r="C16258" s="6">
        <v>0.89015074464923705</v>
      </c>
    </row>
    <row r="16259" spans="1:3" s="8" customFormat="1" x14ac:dyDescent="0.2">
      <c r="A16259" s="6" t="str">
        <f>"AC079922.2"</f>
        <v>AC079922.2</v>
      </c>
      <c r="B16259" s="6">
        <v>0.82317682317682295</v>
      </c>
      <c r="C16259" s="6">
        <v>0.89015074464923705</v>
      </c>
    </row>
    <row r="16260" spans="1:3" s="8" customFormat="1" x14ac:dyDescent="0.2">
      <c r="A16260" s="6" t="str">
        <f>"AC133555.6"</f>
        <v>AC133555.6</v>
      </c>
      <c r="B16260" s="6">
        <v>0.82317682317682295</v>
      </c>
      <c r="C16260" s="6">
        <v>0.89015074464923705</v>
      </c>
    </row>
    <row r="16261" spans="1:3" s="8" customFormat="1" x14ac:dyDescent="0.2">
      <c r="A16261" s="6" t="str">
        <f>"NBR1"</f>
        <v>NBR1</v>
      </c>
      <c r="B16261" s="6">
        <v>0.82317682317682295</v>
      </c>
      <c r="C16261" s="6">
        <v>0.89015074464923705</v>
      </c>
    </row>
    <row r="16262" spans="1:3" s="8" customFormat="1" x14ac:dyDescent="0.2">
      <c r="A16262" s="6" t="str">
        <f>"PGK1"</f>
        <v>PGK1</v>
      </c>
      <c r="B16262" s="6">
        <v>0.82317682317682295</v>
      </c>
      <c r="C16262" s="6">
        <v>0.89015074464923705</v>
      </c>
    </row>
    <row r="16263" spans="1:3" s="8" customFormat="1" x14ac:dyDescent="0.2">
      <c r="A16263" s="6" t="str">
        <f>"LACTB2-AS1"</f>
        <v>LACTB2-AS1</v>
      </c>
      <c r="B16263" s="6">
        <v>0.82347041123370102</v>
      </c>
      <c r="C16263" s="6">
        <v>0.89035871063969696</v>
      </c>
    </row>
    <row r="16264" spans="1:3" s="8" customFormat="1" x14ac:dyDescent="0.2">
      <c r="A16264" s="6" t="str">
        <f>"AL391477.1"</f>
        <v>AL391477.1</v>
      </c>
      <c r="B16264" s="6">
        <v>0.82345971563981002</v>
      </c>
      <c r="C16264" s="6">
        <v>0.89035871063969696</v>
      </c>
    </row>
    <row r="16265" spans="1:3" s="8" customFormat="1" x14ac:dyDescent="0.2">
      <c r="A16265" s="6" t="str">
        <f>"AP001625.3"</f>
        <v>AP001625.3</v>
      </c>
      <c r="B16265" s="6">
        <v>0.82382382382382302</v>
      </c>
      <c r="C16265" s="6">
        <v>0.89068606235354797</v>
      </c>
    </row>
    <row r="16266" spans="1:3" s="8" customFormat="1" x14ac:dyDescent="0.2">
      <c r="A16266" s="6" t="str">
        <f>"AC017050.1"</f>
        <v>AC017050.1</v>
      </c>
      <c r="B16266" s="6">
        <v>0.82417582417582402</v>
      </c>
      <c r="C16266" s="6">
        <v>0.890738026570847</v>
      </c>
    </row>
    <row r="16267" spans="1:3" s="8" customFormat="1" x14ac:dyDescent="0.2">
      <c r="A16267" s="6" t="str">
        <f>"TAFA5"</f>
        <v>TAFA5</v>
      </c>
      <c r="B16267" s="6">
        <v>0.82417582417582402</v>
      </c>
      <c r="C16267" s="6">
        <v>0.890738026570847</v>
      </c>
    </row>
    <row r="16268" spans="1:3" s="8" customFormat="1" x14ac:dyDescent="0.2">
      <c r="A16268" s="6" t="str">
        <f>"KCTD15"</f>
        <v>KCTD15</v>
      </c>
      <c r="B16268" s="6">
        <v>0.82417582417582402</v>
      </c>
      <c r="C16268" s="6">
        <v>0.890738026570847</v>
      </c>
    </row>
    <row r="16269" spans="1:3" s="8" customFormat="1" x14ac:dyDescent="0.2">
      <c r="A16269" s="6" t="str">
        <f>"RC3H2"</f>
        <v>RC3H2</v>
      </c>
      <c r="B16269" s="6">
        <v>0.82417582417582402</v>
      </c>
      <c r="C16269" s="6">
        <v>0.890738026570847</v>
      </c>
    </row>
    <row r="16270" spans="1:3" s="8" customFormat="1" x14ac:dyDescent="0.2">
      <c r="A16270" s="6" t="str">
        <f>"FOXP1"</f>
        <v>FOXP1</v>
      </c>
      <c r="B16270" s="6">
        <v>0.82417582417582402</v>
      </c>
      <c r="C16270" s="6">
        <v>0.890738026570847</v>
      </c>
    </row>
    <row r="16271" spans="1:3" s="8" customFormat="1" x14ac:dyDescent="0.2">
      <c r="A16271" s="6" t="str">
        <f>"AFF4"</f>
        <v>AFF4</v>
      </c>
      <c r="B16271" s="6">
        <v>0.82417582417582402</v>
      </c>
      <c r="C16271" s="6">
        <v>0.890738026570847</v>
      </c>
    </row>
    <row r="16272" spans="1:3" s="8" customFormat="1" x14ac:dyDescent="0.2">
      <c r="A16272" s="6" t="str">
        <f>"TMDD1"</f>
        <v>TMDD1</v>
      </c>
      <c r="B16272" s="6">
        <v>0.82517482517482499</v>
      </c>
      <c r="C16272" s="6">
        <v>0.89126990945172702</v>
      </c>
    </row>
    <row r="16273" spans="1:3" s="8" customFormat="1" x14ac:dyDescent="0.2">
      <c r="A16273" s="6" t="str">
        <f>"NSFP1"</f>
        <v>NSFP1</v>
      </c>
      <c r="B16273" s="6">
        <v>0.82502543234994896</v>
      </c>
      <c r="C16273" s="6">
        <v>0.89126990945172702</v>
      </c>
    </row>
    <row r="16274" spans="1:3" s="8" customFormat="1" x14ac:dyDescent="0.2">
      <c r="A16274" s="6" t="str">
        <f>"PKD2L2"</f>
        <v>PKD2L2</v>
      </c>
      <c r="B16274" s="6">
        <v>0.82475490196078405</v>
      </c>
      <c r="C16274" s="6">
        <v>0.89126990945172702</v>
      </c>
    </row>
    <row r="16275" spans="1:3" s="8" customFormat="1" x14ac:dyDescent="0.2">
      <c r="A16275" s="6" t="str">
        <f>"AL132857.1"</f>
        <v>AL132857.1</v>
      </c>
      <c r="B16275" s="6">
        <v>0.82517482517482499</v>
      </c>
      <c r="C16275" s="6">
        <v>0.89126990945172702</v>
      </c>
    </row>
    <row r="16276" spans="1:3" s="8" customFormat="1" x14ac:dyDescent="0.2">
      <c r="A16276" s="6" t="str">
        <f>"GBAP1"</f>
        <v>GBAP1</v>
      </c>
      <c r="B16276" s="6">
        <v>0.82517482517482499</v>
      </c>
      <c r="C16276" s="6">
        <v>0.89126990945172702</v>
      </c>
    </row>
    <row r="16277" spans="1:3" s="8" customFormat="1" x14ac:dyDescent="0.2">
      <c r="A16277" s="6" t="str">
        <f>"AC114490.2"</f>
        <v>AC114490.2</v>
      </c>
      <c r="B16277" s="6">
        <v>0.82517482517482499</v>
      </c>
      <c r="C16277" s="6">
        <v>0.89126990945172702</v>
      </c>
    </row>
    <row r="16278" spans="1:3" s="8" customFormat="1" x14ac:dyDescent="0.2">
      <c r="A16278" s="6" t="str">
        <f>"TTC31"</f>
        <v>TTC31</v>
      </c>
      <c r="B16278" s="6">
        <v>0.82517482517482499</v>
      </c>
      <c r="C16278" s="6">
        <v>0.89126990945172702</v>
      </c>
    </row>
    <row r="16279" spans="1:3" s="8" customFormat="1" x14ac:dyDescent="0.2">
      <c r="A16279" s="6" t="str">
        <f>"ATPAF2"</f>
        <v>ATPAF2</v>
      </c>
      <c r="B16279" s="6">
        <v>0.82517482517482499</v>
      </c>
      <c r="C16279" s="6">
        <v>0.89126990945172702</v>
      </c>
    </row>
    <row r="16280" spans="1:3" s="8" customFormat="1" x14ac:dyDescent="0.2">
      <c r="A16280" s="6" t="str">
        <f>"OSGEP"</f>
        <v>OSGEP</v>
      </c>
      <c r="B16280" s="6">
        <v>0.82517482517482499</v>
      </c>
      <c r="C16280" s="6">
        <v>0.89126990945172702</v>
      </c>
    </row>
    <row r="16281" spans="1:3" s="8" customFormat="1" x14ac:dyDescent="0.2">
      <c r="A16281" s="6" t="str">
        <f>"TSHZ1"</f>
        <v>TSHZ1</v>
      </c>
      <c r="B16281" s="6">
        <v>0.82517482517482499</v>
      </c>
      <c r="C16281" s="6">
        <v>0.89126990945172702</v>
      </c>
    </row>
    <row r="16282" spans="1:3" s="8" customFormat="1" x14ac:dyDescent="0.2">
      <c r="A16282" s="6" t="str">
        <f>"PSMB3"</f>
        <v>PSMB3</v>
      </c>
      <c r="B16282" s="6">
        <v>0.82582582582582498</v>
      </c>
      <c r="C16282" s="6">
        <v>0.89191826800081797</v>
      </c>
    </row>
    <row r="16283" spans="1:3" s="8" customFormat="1" x14ac:dyDescent="0.2">
      <c r="A16283" s="6" t="str">
        <f>"RAC1P2"</f>
        <v>RAC1P2</v>
      </c>
      <c r="B16283" s="6">
        <v>0.82617382617382595</v>
      </c>
      <c r="C16283" s="6">
        <v>0.89196540550380998</v>
      </c>
    </row>
    <row r="16284" spans="1:3" s="8" customFormat="1" x14ac:dyDescent="0.2">
      <c r="A16284" s="6" t="str">
        <f>"TMEM30A-DT"</f>
        <v>TMEM30A-DT</v>
      </c>
      <c r="B16284" s="6">
        <v>0.82617382617382595</v>
      </c>
      <c r="C16284" s="6">
        <v>0.89196540550380998</v>
      </c>
    </row>
    <row r="16285" spans="1:3" s="8" customFormat="1" x14ac:dyDescent="0.2">
      <c r="A16285" s="6" t="str">
        <f>"ZNF799"</f>
        <v>ZNF799</v>
      </c>
      <c r="B16285" s="6">
        <v>0.82617382617382595</v>
      </c>
      <c r="C16285" s="6">
        <v>0.89196540550380998</v>
      </c>
    </row>
    <row r="16286" spans="1:3" s="8" customFormat="1" x14ac:dyDescent="0.2">
      <c r="A16286" s="6" t="str">
        <f>"C14orf119"</f>
        <v>C14orf119</v>
      </c>
      <c r="B16286" s="6">
        <v>0.82617382617382595</v>
      </c>
      <c r="C16286" s="6">
        <v>0.89196540550380998</v>
      </c>
    </row>
    <row r="16287" spans="1:3" s="8" customFormat="1" x14ac:dyDescent="0.2">
      <c r="A16287" s="6" t="str">
        <f>"LRRC27"</f>
        <v>LRRC27</v>
      </c>
      <c r="B16287" s="6">
        <v>0.82617382617382595</v>
      </c>
      <c r="C16287" s="6">
        <v>0.89196540550380998</v>
      </c>
    </row>
    <row r="16288" spans="1:3" s="8" customFormat="1" x14ac:dyDescent="0.2">
      <c r="A16288" s="6" t="str">
        <f>"GTF2F1"</f>
        <v>GTF2F1</v>
      </c>
      <c r="B16288" s="6">
        <v>0.82617382617382595</v>
      </c>
      <c r="C16288" s="6">
        <v>0.89196540550380998</v>
      </c>
    </row>
    <row r="16289" spans="1:3" s="8" customFormat="1" x14ac:dyDescent="0.2">
      <c r="A16289" s="6" t="str">
        <f>"RBAK-RBAKDN"</f>
        <v>RBAK-RBAKDN</v>
      </c>
      <c r="B16289" s="6">
        <v>0.82717282717282703</v>
      </c>
      <c r="C16289" s="6">
        <v>0.89266030397735296</v>
      </c>
    </row>
    <row r="16290" spans="1:3" s="8" customFormat="1" x14ac:dyDescent="0.2">
      <c r="A16290" s="6" t="str">
        <f>"METTL7B"</f>
        <v>METTL7B</v>
      </c>
      <c r="B16290" s="6">
        <v>0.82717282717282703</v>
      </c>
      <c r="C16290" s="6">
        <v>0.89266030397735296</v>
      </c>
    </row>
    <row r="16291" spans="1:3" s="8" customFormat="1" x14ac:dyDescent="0.2">
      <c r="A16291" s="6" t="str">
        <f>"LINC00319"</f>
        <v>LINC00319</v>
      </c>
      <c r="B16291" s="6">
        <v>0.82717282717282703</v>
      </c>
      <c r="C16291" s="6">
        <v>0.89266030397735296</v>
      </c>
    </row>
    <row r="16292" spans="1:3" s="8" customFormat="1" x14ac:dyDescent="0.2">
      <c r="A16292" s="6" t="str">
        <f>"LINC00506"</f>
        <v>LINC00506</v>
      </c>
      <c r="B16292" s="6">
        <v>0.82717282717282703</v>
      </c>
      <c r="C16292" s="6">
        <v>0.89266030397735296</v>
      </c>
    </row>
    <row r="16293" spans="1:3" s="8" customFormat="1" x14ac:dyDescent="0.2">
      <c r="A16293" s="6" t="str">
        <f>"LINC00504"</f>
        <v>LINC00504</v>
      </c>
      <c r="B16293" s="6">
        <v>0.82717282717282703</v>
      </c>
      <c r="C16293" s="6">
        <v>0.89266030397735296</v>
      </c>
    </row>
    <row r="16294" spans="1:3" s="8" customFormat="1" x14ac:dyDescent="0.2">
      <c r="A16294" s="6" t="str">
        <f>"MUS81"</f>
        <v>MUS81</v>
      </c>
      <c r="B16294" s="6">
        <v>0.82717282717282703</v>
      </c>
      <c r="C16294" s="6">
        <v>0.89266030397735296</v>
      </c>
    </row>
    <row r="16295" spans="1:3" s="8" customFormat="1" x14ac:dyDescent="0.2">
      <c r="A16295" s="6" t="str">
        <f>"USP54"</f>
        <v>USP54</v>
      </c>
      <c r="B16295" s="6">
        <v>0.82717282717282703</v>
      </c>
      <c r="C16295" s="6">
        <v>0.89266030397735296</v>
      </c>
    </row>
    <row r="16296" spans="1:3" s="8" customFormat="1" x14ac:dyDescent="0.2">
      <c r="A16296" s="6" t="str">
        <f>"NTRK2"</f>
        <v>NTRK2</v>
      </c>
      <c r="B16296" s="6">
        <v>0.828171828171828</v>
      </c>
      <c r="C16296" s="6">
        <v>0.89362870806169703</v>
      </c>
    </row>
    <row r="16297" spans="1:3" s="8" customFormat="1" x14ac:dyDescent="0.2">
      <c r="A16297" s="6" t="str">
        <f>"CRB3"</f>
        <v>CRB3</v>
      </c>
      <c r="B16297" s="6">
        <v>0.828171828171828</v>
      </c>
      <c r="C16297" s="6">
        <v>0.89362870806169703</v>
      </c>
    </row>
    <row r="16298" spans="1:3" s="8" customFormat="1" x14ac:dyDescent="0.2">
      <c r="A16298" s="6" t="str">
        <f>"AC092587.1"</f>
        <v>AC092587.1</v>
      </c>
      <c r="B16298" s="6">
        <v>0.82917082917082896</v>
      </c>
      <c r="C16298" s="6">
        <v>0.894377368429632</v>
      </c>
    </row>
    <row r="16299" spans="1:3" s="8" customFormat="1" x14ac:dyDescent="0.2">
      <c r="A16299" s="6" t="str">
        <f>"PTGES3L-AARSD1"</f>
        <v>PTGES3L-AARSD1</v>
      </c>
      <c r="B16299" s="6">
        <v>0.82917082917082896</v>
      </c>
      <c r="C16299" s="6">
        <v>0.894377368429632</v>
      </c>
    </row>
    <row r="16300" spans="1:3" s="8" customFormat="1" x14ac:dyDescent="0.2">
      <c r="A16300" s="6" t="str">
        <f>"KRT81"</f>
        <v>KRT81</v>
      </c>
      <c r="B16300" s="6">
        <v>0.82917082917082896</v>
      </c>
      <c r="C16300" s="6">
        <v>0.894377368429632</v>
      </c>
    </row>
    <row r="16301" spans="1:3" s="8" customFormat="1" x14ac:dyDescent="0.2">
      <c r="A16301" s="6" t="str">
        <f>"NCKIPSD"</f>
        <v>NCKIPSD</v>
      </c>
      <c r="B16301" s="6">
        <v>0.82917082917082896</v>
      </c>
      <c r="C16301" s="6">
        <v>0.894377368429632</v>
      </c>
    </row>
    <row r="16302" spans="1:3" s="8" customFormat="1" x14ac:dyDescent="0.2">
      <c r="A16302" s="6" t="str">
        <f>"DIPK2A"</f>
        <v>DIPK2A</v>
      </c>
      <c r="B16302" s="6">
        <v>0.82917082917082896</v>
      </c>
      <c r="C16302" s="6">
        <v>0.894377368429632</v>
      </c>
    </row>
    <row r="16303" spans="1:3" s="8" customFormat="1" x14ac:dyDescent="0.2">
      <c r="A16303" s="6" t="str">
        <f>"C7orf26"</f>
        <v>C7orf26</v>
      </c>
      <c r="B16303" s="6">
        <v>0.82917082917082896</v>
      </c>
      <c r="C16303" s="6">
        <v>0.894377368429632</v>
      </c>
    </row>
    <row r="16304" spans="1:3" s="8" customFormat="1" x14ac:dyDescent="0.2">
      <c r="A16304" s="6" t="str">
        <f>"TOMM20L"</f>
        <v>TOMM20L</v>
      </c>
      <c r="B16304" s="6">
        <v>0.82943143812708997</v>
      </c>
      <c r="C16304" s="6">
        <v>0.89460359492282104</v>
      </c>
    </row>
    <row r="16305" spans="1:3" s="8" customFormat="1" x14ac:dyDescent="0.2">
      <c r="A16305" s="6" t="str">
        <f>"ERFE"</f>
        <v>ERFE</v>
      </c>
      <c r="B16305" s="6">
        <v>0.83</v>
      </c>
      <c r="C16305" s="6">
        <v>0.89490597680886996</v>
      </c>
    </row>
    <row r="16306" spans="1:3" s="8" customFormat="1" x14ac:dyDescent="0.2">
      <c r="A16306" s="6" t="str">
        <f>"GNAT2"</f>
        <v>GNAT2</v>
      </c>
      <c r="B16306" s="6">
        <v>0.83016983016983004</v>
      </c>
      <c r="C16306" s="6">
        <v>0.89490597680886996</v>
      </c>
    </row>
    <row r="16307" spans="1:3" s="8" customFormat="1" x14ac:dyDescent="0.2">
      <c r="A16307" s="6" t="str">
        <f>"DISP3"</f>
        <v>DISP3</v>
      </c>
      <c r="B16307" s="6">
        <v>0.83016983016983004</v>
      </c>
      <c r="C16307" s="6">
        <v>0.89490597680886996</v>
      </c>
    </row>
    <row r="16308" spans="1:3" s="8" customFormat="1" x14ac:dyDescent="0.2">
      <c r="A16308" s="6" t="str">
        <f>"SIM2"</f>
        <v>SIM2</v>
      </c>
      <c r="B16308" s="6">
        <v>0.83016983016983004</v>
      </c>
      <c r="C16308" s="6">
        <v>0.89490597680886996</v>
      </c>
    </row>
    <row r="16309" spans="1:3" s="8" customFormat="1" x14ac:dyDescent="0.2">
      <c r="A16309" s="6" t="str">
        <f>"ACSM5"</f>
        <v>ACSM5</v>
      </c>
      <c r="B16309" s="6">
        <v>0.83016983016983004</v>
      </c>
      <c r="C16309" s="6">
        <v>0.89490597680886996</v>
      </c>
    </row>
    <row r="16310" spans="1:3" s="8" customFormat="1" x14ac:dyDescent="0.2">
      <c r="A16310" s="6" t="str">
        <f>"PKD1L1"</f>
        <v>PKD1L1</v>
      </c>
      <c r="B16310" s="6">
        <v>0.83016983016983004</v>
      </c>
      <c r="C16310" s="6">
        <v>0.89490597680886996</v>
      </c>
    </row>
    <row r="16311" spans="1:3" s="8" customFormat="1" x14ac:dyDescent="0.2">
      <c r="A16311" s="6" t="str">
        <f>"AC073896.2"</f>
        <v>AC073896.2</v>
      </c>
      <c r="B16311" s="6">
        <v>0.83016983016983004</v>
      </c>
      <c r="C16311" s="6">
        <v>0.89490597680886996</v>
      </c>
    </row>
    <row r="16312" spans="1:3" s="8" customFormat="1" x14ac:dyDescent="0.2">
      <c r="A16312" s="6" t="str">
        <f>"TMEM260"</f>
        <v>TMEM260</v>
      </c>
      <c r="B16312" s="6">
        <v>0.83016983016983004</v>
      </c>
      <c r="C16312" s="6">
        <v>0.89490597680886996</v>
      </c>
    </row>
    <row r="16313" spans="1:3" s="8" customFormat="1" x14ac:dyDescent="0.2">
      <c r="A16313" s="6" t="str">
        <f>"SLC6A9"</f>
        <v>SLC6A9</v>
      </c>
      <c r="B16313" s="6">
        <v>0.83016983016983004</v>
      </c>
      <c r="C16313" s="6">
        <v>0.89490597680886996</v>
      </c>
    </row>
    <row r="16314" spans="1:3" s="8" customFormat="1" x14ac:dyDescent="0.2">
      <c r="A16314" s="6" t="str">
        <f>"AC006001.4"</f>
        <v>AC006001.4</v>
      </c>
      <c r="B16314" s="6">
        <v>0.83049147442326898</v>
      </c>
      <c r="C16314" s="6">
        <v>0.89519782297914297</v>
      </c>
    </row>
    <row r="16315" spans="1:3" s="8" customFormat="1" x14ac:dyDescent="0.2">
      <c r="A16315" s="6" t="str">
        <f>"AC068787.3"</f>
        <v>AC068787.3</v>
      </c>
      <c r="B16315" s="6">
        <v>0.83064516129032195</v>
      </c>
      <c r="C16315" s="6">
        <v>0.895308600964143</v>
      </c>
    </row>
    <row r="16316" spans="1:3" s="8" customFormat="1" x14ac:dyDescent="0.2">
      <c r="A16316" s="6" t="str">
        <f>"AC069287.1"</f>
        <v>AC069287.1</v>
      </c>
      <c r="B16316" s="6">
        <v>0.831168831168831</v>
      </c>
      <c r="C16316" s="6">
        <v>0.89537908027156299</v>
      </c>
    </row>
    <row r="16317" spans="1:3" s="8" customFormat="1" x14ac:dyDescent="0.2">
      <c r="A16317" s="6" t="str">
        <f>"AC099343.3"</f>
        <v>AC099343.3</v>
      </c>
      <c r="B16317" s="6">
        <v>0.831168831168831</v>
      </c>
      <c r="C16317" s="6">
        <v>0.89537908027156299</v>
      </c>
    </row>
    <row r="16318" spans="1:3" s="8" customFormat="1" x14ac:dyDescent="0.2">
      <c r="A16318" s="6" t="str">
        <f>"KREMEN2"</f>
        <v>KREMEN2</v>
      </c>
      <c r="B16318" s="6">
        <v>0.831168831168831</v>
      </c>
      <c r="C16318" s="6">
        <v>0.89537908027156299</v>
      </c>
    </row>
    <row r="16319" spans="1:3" s="8" customFormat="1" x14ac:dyDescent="0.2">
      <c r="A16319" s="6" t="str">
        <f>"PNMA8B"</f>
        <v>PNMA8B</v>
      </c>
      <c r="B16319" s="6">
        <v>0.831168831168831</v>
      </c>
      <c r="C16319" s="6">
        <v>0.89537908027156299</v>
      </c>
    </row>
    <row r="16320" spans="1:3" s="8" customFormat="1" x14ac:dyDescent="0.2">
      <c r="A16320" s="6" t="str">
        <f>"KCTD17"</f>
        <v>KCTD17</v>
      </c>
      <c r="B16320" s="6">
        <v>0.831168831168831</v>
      </c>
      <c r="C16320" s="6">
        <v>0.89537908027156299</v>
      </c>
    </row>
    <row r="16321" spans="1:3" s="8" customFormat="1" x14ac:dyDescent="0.2">
      <c r="A16321" s="6" t="str">
        <f>"PPP2R3C"</f>
        <v>PPP2R3C</v>
      </c>
      <c r="B16321" s="6">
        <v>0.831168831168831</v>
      </c>
      <c r="C16321" s="6">
        <v>0.89537908027156299</v>
      </c>
    </row>
    <row r="16322" spans="1:3" s="8" customFormat="1" x14ac:dyDescent="0.2">
      <c r="A16322" s="6" t="str">
        <f>"SLC4A4"</f>
        <v>SLC4A4</v>
      </c>
      <c r="B16322" s="6">
        <v>0.831168831168831</v>
      </c>
      <c r="C16322" s="6">
        <v>0.89537908027156299</v>
      </c>
    </row>
    <row r="16323" spans="1:3" s="8" customFormat="1" x14ac:dyDescent="0.2">
      <c r="A16323" s="6" t="str">
        <f>"RBM5"</f>
        <v>RBM5</v>
      </c>
      <c r="B16323" s="6">
        <v>0.831168831168831</v>
      </c>
      <c r="C16323" s="6">
        <v>0.89537908027156299</v>
      </c>
    </row>
    <row r="16324" spans="1:3" s="8" customFormat="1" x14ac:dyDescent="0.2">
      <c r="A16324" s="6" t="str">
        <f>"MON1B"</f>
        <v>MON1B</v>
      </c>
      <c r="B16324" s="6">
        <v>0.83099999999999996</v>
      </c>
      <c r="C16324" s="6">
        <v>0.89537908027156299</v>
      </c>
    </row>
    <row r="16325" spans="1:3" s="8" customFormat="1" x14ac:dyDescent="0.2">
      <c r="A16325" s="6" t="str">
        <f>"BUD23"</f>
        <v>BUD23</v>
      </c>
      <c r="B16325" s="6">
        <v>0.83183183183183096</v>
      </c>
      <c r="C16325" s="6">
        <v>0.89603840547236702</v>
      </c>
    </row>
    <row r="16326" spans="1:3" s="8" customFormat="1" x14ac:dyDescent="0.2">
      <c r="A16326" s="6" t="str">
        <f>"Z97056.2"</f>
        <v>Z97056.2</v>
      </c>
      <c r="B16326" s="6">
        <v>0.83216783216783197</v>
      </c>
      <c r="C16326" s="6">
        <v>0.896070983517401</v>
      </c>
    </row>
    <row r="16327" spans="1:3" s="8" customFormat="1" x14ac:dyDescent="0.2">
      <c r="A16327" s="6" t="str">
        <f>"SCARNA9"</f>
        <v>SCARNA9</v>
      </c>
      <c r="B16327" s="6">
        <v>0.83216783216783197</v>
      </c>
      <c r="C16327" s="6">
        <v>0.896070983517401</v>
      </c>
    </row>
    <row r="16328" spans="1:3" s="8" customFormat="1" x14ac:dyDescent="0.2">
      <c r="A16328" s="6" t="str">
        <f>"AL136982.4"</f>
        <v>AL136982.4</v>
      </c>
      <c r="B16328" s="6">
        <v>0.83216783216783197</v>
      </c>
      <c r="C16328" s="6">
        <v>0.896070983517401</v>
      </c>
    </row>
    <row r="16329" spans="1:3" s="8" customFormat="1" x14ac:dyDescent="0.2">
      <c r="A16329" s="6" t="str">
        <f>"AC004156.1"</f>
        <v>AC004156.1</v>
      </c>
      <c r="B16329" s="6">
        <v>0.83216783216783197</v>
      </c>
      <c r="C16329" s="6">
        <v>0.896070983517401</v>
      </c>
    </row>
    <row r="16330" spans="1:3" s="8" customFormat="1" x14ac:dyDescent="0.2">
      <c r="A16330" s="6" t="str">
        <f>"COMMD8"</f>
        <v>COMMD8</v>
      </c>
      <c r="B16330" s="6">
        <v>0.83216783216783197</v>
      </c>
      <c r="C16330" s="6">
        <v>0.896070983517401</v>
      </c>
    </row>
    <row r="16331" spans="1:3" s="8" customFormat="1" x14ac:dyDescent="0.2">
      <c r="A16331" s="6" t="str">
        <f>"PNPO"</f>
        <v>PNPO</v>
      </c>
      <c r="B16331" s="6">
        <v>0.83216783216783197</v>
      </c>
      <c r="C16331" s="6">
        <v>0.896070983517401</v>
      </c>
    </row>
    <row r="16332" spans="1:3" s="8" customFormat="1" x14ac:dyDescent="0.2">
      <c r="A16332" s="6" t="str">
        <f>"PEG3"</f>
        <v>PEG3</v>
      </c>
      <c r="B16332" s="6">
        <v>0.83316683316683304</v>
      </c>
      <c r="C16332" s="6">
        <v>0.89676229383642003</v>
      </c>
    </row>
    <row r="16333" spans="1:3" s="8" customFormat="1" x14ac:dyDescent="0.2">
      <c r="A16333" s="6" t="str">
        <f>"SLC9C2"</f>
        <v>SLC9C2</v>
      </c>
      <c r="B16333" s="6">
        <v>0.83316683316683304</v>
      </c>
      <c r="C16333" s="6">
        <v>0.89676229383642003</v>
      </c>
    </row>
    <row r="16334" spans="1:3" s="8" customFormat="1" x14ac:dyDescent="0.2">
      <c r="A16334" s="6" t="str">
        <f>"AC104667.2"</f>
        <v>AC104667.2</v>
      </c>
      <c r="B16334" s="6">
        <v>0.83316683316683304</v>
      </c>
      <c r="C16334" s="6">
        <v>0.89676229383642003</v>
      </c>
    </row>
    <row r="16335" spans="1:3" s="8" customFormat="1" x14ac:dyDescent="0.2">
      <c r="A16335" s="6" t="str">
        <f>"AL662899.2"</f>
        <v>AL662899.2</v>
      </c>
      <c r="B16335" s="6">
        <v>0.83316683316683304</v>
      </c>
      <c r="C16335" s="6">
        <v>0.89676229383642003</v>
      </c>
    </row>
    <row r="16336" spans="1:3" s="8" customFormat="1" x14ac:dyDescent="0.2">
      <c r="A16336" s="6" t="str">
        <f>"PHEX"</f>
        <v>PHEX</v>
      </c>
      <c r="B16336" s="6">
        <v>0.83316683316683304</v>
      </c>
      <c r="C16336" s="6">
        <v>0.89676229383642003</v>
      </c>
    </row>
    <row r="16337" spans="1:3" s="8" customFormat="1" x14ac:dyDescent="0.2">
      <c r="A16337" s="6" t="str">
        <f>"SEC23IP"</f>
        <v>SEC23IP</v>
      </c>
      <c r="B16337" s="6">
        <v>0.83316683316683304</v>
      </c>
      <c r="C16337" s="6">
        <v>0.89676229383642003</v>
      </c>
    </row>
    <row r="16338" spans="1:3" s="8" customFormat="1" x14ac:dyDescent="0.2">
      <c r="A16338" s="6" t="str">
        <f>"RTN4"</f>
        <v>RTN4</v>
      </c>
      <c r="B16338" s="6">
        <v>0.83316683316683304</v>
      </c>
      <c r="C16338" s="6">
        <v>0.89676229383642003</v>
      </c>
    </row>
    <row r="16339" spans="1:3" s="8" customFormat="1" x14ac:dyDescent="0.2">
      <c r="A16339" s="6" t="str">
        <f>"AC003070.2"</f>
        <v>AC003070.2</v>
      </c>
      <c r="B16339" s="6">
        <v>0.83416583416583401</v>
      </c>
      <c r="C16339" s="6">
        <v>0.89756284591678004</v>
      </c>
    </row>
    <row r="16340" spans="1:3" s="8" customFormat="1" x14ac:dyDescent="0.2">
      <c r="A16340" s="6" t="str">
        <f>"CCIN"</f>
        <v>CCIN</v>
      </c>
      <c r="B16340" s="6">
        <v>0.83416583416583401</v>
      </c>
      <c r="C16340" s="6">
        <v>0.89756284591678004</v>
      </c>
    </row>
    <row r="16341" spans="1:3" s="8" customFormat="1" x14ac:dyDescent="0.2">
      <c r="A16341" s="6" t="str">
        <f>"SLC35F1"</f>
        <v>SLC35F1</v>
      </c>
      <c r="B16341" s="6">
        <v>0.83416583416583401</v>
      </c>
      <c r="C16341" s="6">
        <v>0.89756284591678004</v>
      </c>
    </row>
    <row r="16342" spans="1:3" s="8" customFormat="1" x14ac:dyDescent="0.2">
      <c r="A16342" s="6" t="str">
        <f>"AC100781.1"</f>
        <v>AC100781.1</v>
      </c>
      <c r="B16342" s="6">
        <v>0.83416583416583401</v>
      </c>
      <c r="C16342" s="6">
        <v>0.89756284591678004</v>
      </c>
    </row>
    <row r="16343" spans="1:3" s="8" customFormat="1" x14ac:dyDescent="0.2">
      <c r="A16343" s="6" t="str">
        <f>"TDRD12"</f>
        <v>TDRD12</v>
      </c>
      <c r="B16343" s="6">
        <v>0.83416583416583401</v>
      </c>
      <c r="C16343" s="6">
        <v>0.89756284591678004</v>
      </c>
    </row>
    <row r="16344" spans="1:3" s="8" customFormat="1" x14ac:dyDescent="0.2">
      <c r="A16344" s="6" t="str">
        <f>"AC008808.1"</f>
        <v>AC008808.1</v>
      </c>
      <c r="B16344" s="6">
        <v>0.83483483483483401</v>
      </c>
      <c r="C16344" s="6">
        <v>0.89814313874004403</v>
      </c>
    </row>
    <row r="16345" spans="1:3" s="8" customFormat="1" x14ac:dyDescent="0.2">
      <c r="A16345" s="6" t="str">
        <f>"AC092354.2"</f>
        <v>AC092354.2</v>
      </c>
      <c r="B16345" s="6">
        <v>0.83477011494252795</v>
      </c>
      <c r="C16345" s="6">
        <v>0.89814313874004403</v>
      </c>
    </row>
    <row r="16346" spans="1:3" s="8" customFormat="1" x14ac:dyDescent="0.2">
      <c r="A16346" s="6" t="str">
        <f>"DUSP13"</f>
        <v>DUSP13</v>
      </c>
      <c r="B16346" s="6">
        <v>0.83516483516483497</v>
      </c>
      <c r="C16346" s="6">
        <v>0.89814313874004403</v>
      </c>
    </row>
    <row r="16347" spans="1:3" s="8" customFormat="1" x14ac:dyDescent="0.2">
      <c r="A16347" s="6" t="str">
        <f>"C18orf54"</f>
        <v>C18orf54</v>
      </c>
      <c r="B16347" s="6">
        <v>0.83516483516483497</v>
      </c>
      <c r="C16347" s="6">
        <v>0.89814313874004403</v>
      </c>
    </row>
    <row r="16348" spans="1:3" s="8" customFormat="1" x14ac:dyDescent="0.2">
      <c r="A16348" s="6" t="str">
        <f>"GUSBP13"</f>
        <v>GUSBP13</v>
      </c>
      <c r="B16348" s="6">
        <v>0.83516483516483497</v>
      </c>
      <c r="C16348" s="6">
        <v>0.89814313874004403</v>
      </c>
    </row>
    <row r="16349" spans="1:3" s="8" customFormat="1" x14ac:dyDescent="0.2">
      <c r="A16349" s="6" t="str">
        <f>"BMP8B"</f>
        <v>BMP8B</v>
      </c>
      <c r="B16349" s="6">
        <v>0.83516483516483497</v>
      </c>
      <c r="C16349" s="6">
        <v>0.89814313874004403</v>
      </c>
    </row>
    <row r="16350" spans="1:3" s="8" customFormat="1" x14ac:dyDescent="0.2">
      <c r="A16350" s="6" t="str">
        <f>"NIPA1"</f>
        <v>NIPA1</v>
      </c>
      <c r="B16350" s="6">
        <v>0.83516483516483497</v>
      </c>
      <c r="C16350" s="6">
        <v>0.89814313874004403</v>
      </c>
    </row>
    <row r="16351" spans="1:3" s="8" customFormat="1" x14ac:dyDescent="0.2">
      <c r="A16351" s="6" t="str">
        <f>"NLRX1"</f>
        <v>NLRX1</v>
      </c>
      <c r="B16351" s="6">
        <v>0.83516483516483497</v>
      </c>
      <c r="C16351" s="6">
        <v>0.89814313874004403</v>
      </c>
    </row>
    <row r="16352" spans="1:3" s="8" customFormat="1" x14ac:dyDescent="0.2">
      <c r="A16352" s="6" t="str">
        <f>"COPS7B"</f>
        <v>COPS7B</v>
      </c>
      <c r="B16352" s="6">
        <v>0.83516483516483497</v>
      </c>
      <c r="C16352" s="6">
        <v>0.89814313874004403</v>
      </c>
    </row>
    <row r="16353" spans="1:3" s="8" customFormat="1" x14ac:dyDescent="0.2">
      <c r="A16353" s="6" t="str">
        <f>"PRELID2"</f>
        <v>PRELID2</v>
      </c>
      <c r="B16353" s="6">
        <v>0.83616383616383605</v>
      </c>
      <c r="C16353" s="6">
        <v>0.89877773061341704</v>
      </c>
    </row>
    <row r="16354" spans="1:3" s="8" customFormat="1" x14ac:dyDescent="0.2">
      <c r="A16354" s="6" t="str">
        <f>"AC034139.1"</f>
        <v>AC034139.1</v>
      </c>
      <c r="B16354" s="6">
        <v>0.83616383616383605</v>
      </c>
      <c r="C16354" s="6">
        <v>0.89877773061341704</v>
      </c>
    </row>
    <row r="16355" spans="1:3" s="8" customFormat="1" x14ac:dyDescent="0.2">
      <c r="A16355" s="6" t="str">
        <f>"OR2A7"</f>
        <v>OR2A7</v>
      </c>
      <c r="B16355" s="6">
        <v>0.83616383616383605</v>
      </c>
      <c r="C16355" s="6">
        <v>0.89877773061341704</v>
      </c>
    </row>
    <row r="16356" spans="1:3" s="8" customFormat="1" x14ac:dyDescent="0.2">
      <c r="A16356" s="6" t="str">
        <f>"AGAP9"</f>
        <v>AGAP9</v>
      </c>
      <c r="B16356" s="6">
        <v>0.83616383616383605</v>
      </c>
      <c r="C16356" s="6">
        <v>0.89877773061341704</v>
      </c>
    </row>
    <row r="16357" spans="1:3" s="8" customFormat="1" x14ac:dyDescent="0.2">
      <c r="A16357" s="6" t="str">
        <f>"TSPAN4"</f>
        <v>TSPAN4</v>
      </c>
      <c r="B16357" s="6">
        <v>0.83616383616383605</v>
      </c>
      <c r="C16357" s="6">
        <v>0.89877773061341704</v>
      </c>
    </row>
    <row r="16358" spans="1:3" s="8" customFormat="1" x14ac:dyDescent="0.2">
      <c r="A16358" s="6" t="str">
        <f>"ARMCX6"</f>
        <v>ARMCX6</v>
      </c>
      <c r="B16358" s="6">
        <v>0.83616383616383605</v>
      </c>
      <c r="C16358" s="6">
        <v>0.89877773061341704</v>
      </c>
    </row>
    <row r="16359" spans="1:3" s="8" customFormat="1" x14ac:dyDescent="0.2">
      <c r="A16359" s="6" t="str">
        <f>"RBFA"</f>
        <v>RBFA</v>
      </c>
      <c r="B16359" s="6">
        <v>0.83616383616383605</v>
      </c>
      <c r="C16359" s="6">
        <v>0.89877773061341704</v>
      </c>
    </row>
    <row r="16360" spans="1:3" s="8" customFormat="1" x14ac:dyDescent="0.2">
      <c r="A16360" s="6" t="str">
        <f>"SET"</f>
        <v>SET</v>
      </c>
      <c r="B16360" s="6">
        <v>0.83616383616383605</v>
      </c>
      <c r="C16360" s="6">
        <v>0.89877773061341704</v>
      </c>
    </row>
    <row r="16361" spans="1:3" s="8" customFormat="1" x14ac:dyDescent="0.2">
      <c r="A16361" s="6" t="str">
        <f>"GOLGA6L17P"</f>
        <v>GOLGA6L17P</v>
      </c>
      <c r="B16361" s="6">
        <v>0.83716283716283701</v>
      </c>
      <c r="C16361" s="6">
        <v>0.89946665823483596</v>
      </c>
    </row>
    <row r="16362" spans="1:3" s="8" customFormat="1" x14ac:dyDescent="0.2">
      <c r="A16362" s="6" t="str">
        <f>"AKR1C4"</f>
        <v>AKR1C4</v>
      </c>
      <c r="B16362" s="6">
        <v>0.83699999999999997</v>
      </c>
      <c r="C16362" s="6">
        <v>0.89946665823483596</v>
      </c>
    </row>
    <row r="16363" spans="1:3" s="8" customFormat="1" x14ac:dyDescent="0.2">
      <c r="A16363" s="6" t="str">
        <f>"TCEA1P2"</f>
        <v>TCEA1P2</v>
      </c>
      <c r="B16363" s="6">
        <v>0.83716283716283701</v>
      </c>
      <c r="C16363" s="6">
        <v>0.89946665823483596</v>
      </c>
    </row>
    <row r="16364" spans="1:3" s="8" customFormat="1" x14ac:dyDescent="0.2">
      <c r="A16364" s="6" t="str">
        <f>"B3GALT2"</f>
        <v>B3GALT2</v>
      </c>
      <c r="B16364" s="6">
        <v>0.83716283716283701</v>
      </c>
      <c r="C16364" s="6">
        <v>0.89946665823483596</v>
      </c>
    </row>
    <row r="16365" spans="1:3" s="8" customFormat="1" x14ac:dyDescent="0.2">
      <c r="A16365" s="6" t="str">
        <f>"RBBP5"</f>
        <v>RBBP5</v>
      </c>
      <c r="B16365" s="6">
        <v>0.83716283716283701</v>
      </c>
      <c r="C16365" s="6">
        <v>0.89946665823483596</v>
      </c>
    </row>
    <row r="16366" spans="1:3" s="8" customFormat="1" x14ac:dyDescent="0.2">
      <c r="A16366" s="6" t="str">
        <f>"CTSO"</f>
        <v>CTSO</v>
      </c>
      <c r="B16366" s="6">
        <v>0.83716283716283701</v>
      </c>
      <c r="C16366" s="6">
        <v>0.89946665823483596</v>
      </c>
    </row>
    <row r="16367" spans="1:3" s="8" customFormat="1" x14ac:dyDescent="0.2">
      <c r="A16367" s="6" t="str">
        <f>"REC8"</f>
        <v>REC8</v>
      </c>
      <c r="B16367" s="6">
        <v>0.83716283716283701</v>
      </c>
      <c r="C16367" s="6">
        <v>0.89946665823483596</v>
      </c>
    </row>
    <row r="16368" spans="1:3" s="8" customFormat="1" x14ac:dyDescent="0.2">
      <c r="A16368" s="6" t="str">
        <f>"BIRC7"</f>
        <v>BIRC7</v>
      </c>
      <c r="B16368" s="6">
        <v>0.83816183816183798</v>
      </c>
      <c r="C16368" s="6">
        <v>0.90020997814792103</v>
      </c>
    </row>
    <row r="16369" spans="1:3" s="8" customFormat="1" x14ac:dyDescent="0.2">
      <c r="A16369" s="6" t="str">
        <f>"CENPV"</f>
        <v>CENPV</v>
      </c>
      <c r="B16369" s="6">
        <v>0.83816183816183798</v>
      </c>
      <c r="C16369" s="6">
        <v>0.90020997814792103</v>
      </c>
    </row>
    <row r="16370" spans="1:3" s="8" customFormat="1" x14ac:dyDescent="0.2">
      <c r="A16370" s="6" t="str">
        <f>"SLC16A14"</f>
        <v>SLC16A14</v>
      </c>
      <c r="B16370" s="6">
        <v>0.83816183816183798</v>
      </c>
      <c r="C16370" s="6">
        <v>0.90020997814792103</v>
      </c>
    </row>
    <row r="16371" spans="1:3" s="8" customFormat="1" x14ac:dyDescent="0.2">
      <c r="A16371" s="6" t="str">
        <f>"LRP4"</f>
        <v>LRP4</v>
      </c>
      <c r="B16371" s="6">
        <v>0.83816183816183798</v>
      </c>
      <c r="C16371" s="6">
        <v>0.90020997814792103</v>
      </c>
    </row>
    <row r="16372" spans="1:3" s="8" customFormat="1" x14ac:dyDescent="0.2">
      <c r="A16372" s="6" t="str">
        <f>"PSMG4"</f>
        <v>PSMG4</v>
      </c>
      <c r="B16372" s="6">
        <v>0.83816183816183798</v>
      </c>
      <c r="C16372" s="6">
        <v>0.90020997814792103</v>
      </c>
    </row>
    <row r="16373" spans="1:3" s="8" customFormat="1" x14ac:dyDescent="0.2">
      <c r="A16373" s="6" t="str">
        <f>"CDKL5"</f>
        <v>CDKL5</v>
      </c>
      <c r="B16373" s="6">
        <v>0.83816183816183798</v>
      </c>
      <c r="C16373" s="6">
        <v>0.90020997814792103</v>
      </c>
    </row>
    <row r="16374" spans="1:3" s="8" customFormat="1" x14ac:dyDescent="0.2">
      <c r="A16374" s="6" t="str">
        <f>"CAHM"</f>
        <v>CAHM</v>
      </c>
      <c r="B16374" s="6">
        <v>0.83867735470941795</v>
      </c>
      <c r="C16374" s="6">
        <v>0.90070864259515104</v>
      </c>
    </row>
    <row r="16375" spans="1:3" s="8" customFormat="1" x14ac:dyDescent="0.2">
      <c r="A16375" s="6" t="str">
        <f>"AL132639.3"</f>
        <v>AL132639.3</v>
      </c>
      <c r="B16375" s="6">
        <v>0.83916083916083895</v>
      </c>
      <c r="C16375" s="6">
        <v>0.90089774685903801</v>
      </c>
    </row>
    <row r="16376" spans="1:3" s="8" customFormat="1" x14ac:dyDescent="0.2">
      <c r="A16376" s="6" t="str">
        <f>"AL591379.1"</f>
        <v>AL591379.1</v>
      </c>
      <c r="B16376" s="6">
        <v>0.83916083916083895</v>
      </c>
      <c r="C16376" s="6">
        <v>0.90089774685903801</v>
      </c>
    </row>
    <row r="16377" spans="1:3" s="8" customFormat="1" x14ac:dyDescent="0.2">
      <c r="A16377" s="6" t="str">
        <f>"AC073610.2"</f>
        <v>AC073610.2</v>
      </c>
      <c r="B16377" s="6">
        <v>0.83916083916083895</v>
      </c>
      <c r="C16377" s="6">
        <v>0.90089774685903801</v>
      </c>
    </row>
    <row r="16378" spans="1:3" s="8" customFormat="1" x14ac:dyDescent="0.2">
      <c r="A16378" s="6" t="str">
        <f>"CALML6"</f>
        <v>CALML6</v>
      </c>
      <c r="B16378" s="6">
        <v>0.83916083916083895</v>
      </c>
      <c r="C16378" s="6">
        <v>0.90089774685903801</v>
      </c>
    </row>
    <row r="16379" spans="1:3" s="8" customFormat="1" x14ac:dyDescent="0.2">
      <c r="A16379" s="6" t="str">
        <f>"FO681492.1"</f>
        <v>FO681492.1</v>
      </c>
      <c r="B16379" s="6">
        <v>0.83916083916083895</v>
      </c>
      <c r="C16379" s="6">
        <v>0.90089774685903801</v>
      </c>
    </row>
    <row r="16380" spans="1:3" s="8" customFormat="1" x14ac:dyDescent="0.2">
      <c r="A16380" s="6" t="str">
        <f>"AC138866.1"</f>
        <v>AC138866.1</v>
      </c>
      <c r="B16380" s="6">
        <v>0.83916083916083895</v>
      </c>
      <c r="C16380" s="6">
        <v>0.90089774685903801</v>
      </c>
    </row>
    <row r="16381" spans="1:3" s="8" customFormat="1" x14ac:dyDescent="0.2">
      <c r="A16381" s="6" t="str">
        <f>"CYCSP34"</f>
        <v>CYCSP34</v>
      </c>
      <c r="B16381" s="6">
        <v>0.83934088568486098</v>
      </c>
      <c r="C16381" s="6">
        <v>0.90103602770956004</v>
      </c>
    </row>
    <row r="16382" spans="1:3" s="8" customFormat="1" x14ac:dyDescent="0.2">
      <c r="A16382" s="6" t="str">
        <f>"KCNQ4"</f>
        <v>KCNQ4</v>
      </c>
      <c r="B16382" s="6">
        <v>0.83983983983983901</v>
      </c>
      <c r="C16382" s="6">
        <v>0.90151661948255501</v>
      </c>
    </row>
    <row r="16383" spans="1:3" s="8" customFormat="1" x14ac:dyDescent="0.2">
      <c r="A16383" s="6" t="str">
        <f>"AP001160.1"</f>
        <v>AP001160.1</v>
      </c>
      <c r="B16383" s="6">
        <v>0.84015984015984002</v>
      </c>
      <c r="C16383" s="6">
        <v>0.90152990964609903</v>
      </c>
    </row>
    <row r="16384" spans="1:3" s="8" customFormat="1" x14ac:dyDescent="0.2">
      <c r="A16384" s="6" t="str">
        <f>"AC040162.1"</f>
        <v>AC040162.1</v>
      </c>
      <c r="B16384" s="6">
        <v>0.84015984015984002</v>
      </c>
      <c r="C16384" s="6">
        <v>0.90152990964609903</v>
      </c>
    </row>
    <row r="16385" spans="1:3" s="8" customFormat="1" x14ac:dyDescent="0.2">
      <c r="A16385" s="6" t="str">
        <f>"RIOX1"</f>
        <v>RIOX1</v>
      </c>
      <c r="B16385" s="6">
        <v>0.84015984015984002</v>
      </c>
      <c r="C16385" s="6">
        <v>0.90152990964609903</v>
      </c>
    </row>
    <row r="16386" spans="1:3" s="8" customFormat="1" x14ac:dyDescent="0.2">
      <c r="A16386" s="6" t="str">
        <f>"ST6GALNAC4"</f>
        <v>ST6GALNAC4</v>
      </c>
      <c r="B16386" s="6">
        <v>0.84015984015984002</v>
      </c>
      <c r="C16386" s="6">
        <v>0.90152990964609903</v>
      </c>
    </row>
    <row r="16387" spans="1:3" s="8" customFormat="1" x14ac:dyDescent="0.2">
      <c r="A16387" s="6" t="str">
        <f>"NKTR"</f>
        <v>NKTR</v>
      </c>
      <c r="B16387" s="6">
        <v>0.84015984015984002</v>
      </c>
      <c r="C16387" s="6">
        <v>0.90152990964609903</v>
      </c>
    </row>
    <row r="16388" spans="1:3" s="8" customFormat="1" x14ac:dyDescent="0.2">
      <c r="A16388" s="6" t="str">
        <f>"STAU2"</f>
        <v>STAU2</v>
      </c>
      <c r="B16388" s="6">
        <v>0.84015984015984002</v>
      </c>
      <c r="C16388" s="6">
        <v>0.90152990964609903</v>
      </c>
    </row>
    <row r="16389" spans="1:3" s="8" customFormat="1" x14ac:dyDescent="0.2">
      <c r="A16389" s="6" t="str">
        <f>"OR2AG2"</f>
        <v>OR2AG2</v>
      </c>
      <c r="B16389" s="6">
        <v>0.84115884115884099</v>
      </c>
      <c r="C16389" s="6">
        <v>0.90221648547865396</v>
      </c>
    </row>
    <row r="16390" spans="1:3" s="8" customFormat="1" x14ac:dyDescent="0.2">
      <c r="A16390" s="6" t="str">
        <f>"TERT"</f>
        <v>TERT</v>
      </c>
      <c r="B16390" s="6">
        <v>0.84115884115884099</v>
      </c>
      <c r="C16390" s="6">
        <v>0.90221648547865396</v>
      </c>
    </row>
    <row r="16391" spans="1:3" s="8" customFormat="1" x14ac:dyDescent="0.2">
      <c r="A16391" s="6" t="str">
        <f>"AC092143.3"</f>
        <v>AC092143.3</v>
      </c>
      <c r="B16391" s="6">
        <v>0.84115884115884099</v>
      </c>
      <c r="C16391" s="6">
        <v>0.90221648547865396</v>
      </c>
    </row>
    <row r="16392" spans="1:3" s="8" customFormat="1" x14ac:dyDescent="0.2">
      <c r="A16392" s="6" t="str">
        <f>"AC008870.5"</f>
        <v>AC008870.5</v>
      </c>
      <c r="B16392" s="6">
        <v>0.84115884115884099</v>
      </c>
      <c r="C16392" s="6">
        <v>0.90221648547865396</v>
      </c>
    </row>
    <row r="16393" spans="1:3" s="8" customFormat="1" x14ac:dyDescent="0.2">
      <c r="A16393" s="6" t="str">
        <f>"ZGLP1"</f>
        <v>ZGLP1</v>
      </c>
      <c r="B16393" s="6">
        <v>0.84115884115884099</v>
      </c>
      <c r="C16393" s="6">
        <v>0.90221648547865396</v>
      </c>
    </row>
    <row r="16394" spans="1:3" s="8" customFormat="1" x14ac:dyDescent="0.2">
      <c r="A16394" s="6" t="str">
        <f>"SLC2A5"</f>
        <v>SLC2A5</v>
      </c>
      <c r="B16394" s="6">
        <v>0.84115884115884099</v>
      </c>
      <c r="C16394" s="6">
        <v>0.90221648547865396</v>
      </c>
    </row>
    <row r="16395" spans="1:3" s="8" customFormat="1" x14ac:dyDescent="0.2">
      <c r="A16395" s="6" t="str">
        <f>"SYNPO"</f>
        <v>SYNPO</v>
      </c>
      <c r="B16395" s="6">
        <v>0.84099999999999997</v>
      </c>
      <c r="C16395" s="6">
        <v>0.90221648547865396</v>
      </c>
    </row>
    <row r="16396" spans="1:3" s="8" customFormat="1" x14ac:dyDescent="0.2">
      <c r="A16396" s="6" t="str">
        <f>"DLC1"</f>
        <v>DLC1</v>
      </c>
      <c r="B16396" s="6">
        <v>0.84215784215784195</v>
      </c>
      <c r="C16396" s="6">
        <v>0.90290247524562495</v>
      </c>
    </row>
    <row r="16397" spans="1:3" s="8" customFormat="1" x14ac:dyDescent="0.2">
      <c r="A16397" s="6" t="str">
        <f>"POGLUT2"</f>
        <v>POGLUT2</v>
      </c>
      <c r="B16397" s="6">
        <v>0.84215784215784195</v>
      </c>
      <c r="C16397" s="6">
        <v>0.90290247524562495</v>
      </c>
    </row>
    <row r="16398" spans="1:3" s="8" customFormat="1" x14ac:dyDescent="0.2">
      <c r="A16398" s="6" t="str">
        <f>"RRP8"</f>
        <v>RRP8</v>
      </c>
      <c r="B16398" s="6">
        <v>0.84215784215784195</v>
      </c>
      <c r="C16398" s="6">
        <v>0.90290247524562495</v>
      </c>
    </row>
    <row r="16399" spans="1:3" s="8" customFormat="1" x14ac:dyDescent="0.2">
      <c r="A16399" s="6" t="str">
        <f>"DPYD"</f>
        <v>DPYD</v>
      </c>
      <c r="B16399" s="6">
        <v>0.84215784215784195</v>
      </c>
      <c r="C16399" s="6">
        <v>0.90290247524562495</v>
      </c>
    </row>
    <row r="16400" spans="1:3" s="8" customFormat="1" x14ac:dyDescent="0.2">
      <c r="A16400" s="6" t="str">
        <f>"RPAP3"</f>
        <v>RPAP3</v>
      </c>
      <c r="B16400" s="6">
        <v>0.84215784215784195</v>
      </c>
      <c r="C16400" s="6">
        <v>0.90290247524562495</v>
      </c>
    </row>
    <row r="16401" spans="1:3" s="8" customFormat="1" x14ac:dyDescent="0.2">
      <c r="A16401" s="6" t="str">
        <f>"SCAF8"</f>
        <v>SCAF8</v>
      </c>
      <c r="B16401" s="6">
        <v>0.84215784215784195</v>
      </c>
      <c r="C16401" s="6">
        <v>0.90290247524562495</v>
      </c>
    </row>
    <row r="16402" spans="1:3" s="8" customFormat="1" x14ac:dyDescent="0.2">
      <c r="A16402" s="6" t="str">
        <f>"PPP1R7"</f>
        <v>PPP1R7</v>
      </c>
      <c r="B16402" s="6">
        <v>0.84215784215784195</v>
      </c>
      <c r="C16402" s="6">
        <v>0.90290247524562495</v>
      </c>
    </row>
    <row r="16403" spans="1:3" s="8" customFormat="1" x14ac:dyDescent="0.2">
      <c r="A16403" s="6" t="str">
        <f>"AC068860.1"</f>
        <v>AC068860.1</v>
      </c>
      <c r="B16403" s="6">
        <v>0.84265010351966796</v>
      </c>
      <c r="C16403" s="6">
        <v>0.90337516280269803</v>
      </c>
    </row>
    <row r="16404" spans="1:3" s="8" customFormat="1" x14ac:dyDescent="0.2">
      <c r="A16404" s="6" t="str">
        <f>"AC011773.3"</f>
        <v>AC011773.3</v>
      </c>
      <c r="B16404" s="6">
        <v>0.84299999999999997</v>
      </c>
      <c r="C16404" s="6">
        <v>0.90353281309463795</v>
      </c>
    </row>
    <row r="16405" spans="1:3" s="8" customFormat="1" x14ac:dyDescent="0.2">
      <c r="A16405" s="6" t="str">
        <f>"AC138123.1"</f>
        <v>AC138123.1</v>
      </c>
      <c r="B16405" s="6">
        <v>0.84315684315684303</v>
      </c>
      <c r="C16405" s="6">
        <v>0.90353281309463795</v>
      </c>
    </row>
    <row r="16406" spans="1:3" s="8" customFormat="1" x14ac:dyDescent="0.2">
      <c r="A16406" s="6" t="str">
        <f>"PIWIL2"</f>
        <v>PIWIL2</v>
      </c>
      <c r="B16406" s="6">
        <v>0.84315684315684303</v>
      </c>
      <c r="C16406" s="6">
        <v>0.90353281309463795</v>
      </c>
    </row>
    <row r="16407" spans="1:3" s="8" customFormat="1" x14ac:dyDescent="0.2">
      <c r="A16407" s="6" t="str">
        <f>"AC096887.2"</f>
        <v>AC096887.2</v>
      </c>
      <c r="B16407" s="6">
        <v>0.84299999999999997</v>
      </c>
      <c r="C16407" s="6">
        <v>0.90353281309463795</v>
      </c>
    </row>
    <row r="16408" spans="1:3" s="8" customFormat="1" x14ac:dyDescent="0.2">
      <c r="A16408" s="6" t="str">
        <f>"RPUSD3"</f>
        <v>RPUSD3</v>
      </c>
      <c r="B16408" s="6">
        <v>0.84315684315684303</v>
      </c>
      <c r="C16408" s="6">
        <v>0.90353281309463795</v>
      </c>
    </row>
    <row r="16409" spans="1:3" s="8" customFormat="1" x14ac:dyDescent="0.2">
      <c r="A16409" s="6" t="str">
        <f>"HEG1"</f>
        <v>HEG1</v>
      </c>
      <c r="B16409" s="6">
        <v>0.84315684315684303</v>
      </c>
      <c r="C16409" s="6">
        <v>0.90353281309463795</v>
      </c>
    </row>
    <row r="16410" spans="1:3" s="8" customFormat="1" x14ac:dyDescent="0.2">
      <c r="A16410" s="6" t="str">
        <f>"TLNRD1"</f>
        <v>TLNRD1</v>
      </c>
      <c r="B16410" s="6">
        <v>0.84315684315684303</v>
      </c>
      <c r="C16410" s="6">
        <v>0.90353281309463795</v>
      </c>
    </row>
    <row r="16411" spans="1:3" s="8" customFormat="1" x14ac:dyDescent="0.2">
      <c r="A16411" s="6" t="str">
        <f>"AC036214.1"</f>
        <v>AC036214.1</v>
      </c>
      <c r="B16411" s="6">
        <v>0.84415584415584399</v>
      </c>
      <c r="C16411" s="6">
        <v>0.90405240048945501</v>
      </c>
    </row>
    <row r="16412" spans="1:3" s="8" customFormat="1" x14ac:dyDescent="0.2">
      <c r="A16412" s="6" t="str">
        <f>"SMC1B"</f>
        <v>SMC1B</v>
      </c>
      <c r="B16412" s="6">
        <v>0.84415584415584399</v>
      </c>
      <c r="C16412" s="6">
        <v>0.90405240048945501</v>
      </c>
    </row>
    <row r="16413" spans="1:3" s="8" customFormat="1" x14ac:dyDescent="0.2">
      <c r="A16413" s="6" t="str">
        <f>"PCDHA7"</f>
        <v>PCDHA7</v>
      </c>
      <c r="B16413" s="6">
        <v>0.84415584415584399</v>
      </c>
      <c r="C16413" s="6">
        <v>0.90405240048945501</v>
      </c>
    </row>
    <row r="16414" spans="1:3" s="8" customFormat="1" x14ac:dyDescent="0.2">
      <c r="A16414" s="6" t="str">
        <f>"ZNF876P"</f>
        <v>ZNF876P</v>
      </c>
      <c r="B16414" s="6">
        <v>0.84415584415584399</v>
      </c>
      <c r="C16414" s="6">
        <v>0.90405240048945501</v>
      </c>
    </row>
    <row r="16415" spans="1:3" s="8" customFormat="1" x14ac:dyDescent="0.2">
      <c r="A16415" s="6" t="str">
        <f>"AC139019.1"</f>
        <v>AC139019.1</v>
      </c>
      <c r="B16415" s="6">
        <v>0.84415584415584399</v>
      </c>
      <c r="C16415" s="6">
        <v>0.90405240048945501</v>
      </c>
    </row>
    <row r="16416" spans="1:3" s="8" customFormat="1" x14ac:dyDescent="0.2">
      <c r="A16416" s="6" t="str">
        <f>"MAPK8IP2"</f>
        <v>MAPK8IP2</v>
      </c>
      <c r="B16416" s="6">
        <v>0.84415584415584399</v>
      </c>
      <c r="C16416" s="6">
        <v>0.90405240048945501</v>
      </c>
    </row>
    <row r="16417" spans="1:3" s="8" customFormat="1" x14ac:dyDescent="0.2">
      <c r="A16417" s="6" t="str">
        <f>"ZNF641"</f>
        <v>ZNF641</v>
      </c>
      <c r="B16417" s="6">
        <v>0.84399999999999997</v>
      </c>
      <c r="C16417" s="6">
        <v>0.90405240048945501</v>
      </c>
    </row>
    <row r="16418" spans="1:3" s="8" customFormat="1" x14ac:dyDescent="0.2">
      <c r="A16418" s="6" t="str">
        <f>"RBM26"</f>
        <v>RBM26</v>
      </c>
      <c r="B16418" s="6">
        <v>0.84415584415584399</v>
      </c>
      <c r="C16418" s="6">
        <v>0.90405240048945501</v>
      </c>
    </row>
    <row r="16419" spans="1:3" s="8" customFormat="1" x14ac:dyDescent="0.2">
      <c r="A16419" s="6" t="str">
        <f>"DR1"</f>
        <v>DR1</v>
      </c>
      <c r="B16419" s="6">
        <v>0.84415584415584399</v>
      </c>
      <c r="C16419" s="6">
        <v>0.90405240048945501</v>
      </c>
    </row>
    <row r="16420" spans="1:3" s="8" customFormat="1" x14ac:dyDescent="0.2">
      <c r="A16420" s="6" t="str">
        <f>"NBAS"</f>
        <v>NBAS</v>
      </c>
      <c r="B16420" s="6">
        <v>0.84415584415584399</v>
      </c>
      <c r="C16420" s="6">
        <v>0.90405240048945501</v>
      </c>
    </row>
    <row r="16421" spans="1:3" s="8" customFormat="1" x14ac:dyDescent="0.2">
      <c r="A16421" s="6" t="str">
        <f>"AC025887.2"</f>
        <v>AC025887.2</v>
      </c>
      <c r="B16421" s="6">
        <v>0.84515484515484496</v>
      </c>
      <c r="C16421" s="6">
        <v>0.90468148762420397</v>
      </c>
    </row>
    <row r="16422" spans="1:3" s="8" customFormat="1" x14ac:dyDescent="0.2">
      <c r="A16422" s="6" t="str">
        <f>"AL355312.4"</f>
        <v>AL355312.4</v>
      </c>
      <c r="B16422" s="6">
        <v>0.84491315136476397</v>
      </c>
      <c r="C16422" s="6">
        <v>0.90468148762420397</v>
      </c>
    </row>
    <row r="16423" spans="1:3" s="8" customFormat="1" x14ac:dyDescent="0.2">
      <c r="A16423" s="6" t="str">
        <f>"GP9"</f>
        <v>GP9</v>
      </c>
      <c r="B16423" s="6">
        <v>0.84515484515484496</v>
      </c>
      <c r="C16423" s="6">
        <v>0.90468148762420397</v>
      </c>
    </row>
    <row r="16424" spans="1:3" s="8" customFormat="1" x14ac:dyDescent="0.2">
      <c r="A16424" s="6" t="str">
        <f>"AC006001.2"</f>
        <v>AC006001.2</v>
      </c>
      <c r="B16424" s="6">
        <v>0.84515484515484496</v>
      </c>
      <c r="C16424" s="6">
        <v>0.90468148762420397</v>
      </c>
    </row>
    <row r="16425" spans="1:3" s="8" customFormat="1" x14ac:dyDescent="0.2">
      <c r="A16425" s="6" t="str">
        <f>"LINC01410"</f>
        <v>LINC01410</v>
      </c>
      <c r="B16425" s="6">
        <v>0.84515484515484496</v>
      </c>
      <c r="C16425" s="6">
        <v>0.90468148762420397</v>
      </c>
    </row>
    <row r="16426" spans="1:3" s="8" customFormat="1" x14ac:dyDescent="0.2">
      <c r="A16426" s="6" t="str">
        <f>"ATP23"</f>
        <v>ATP23</v>
      </c>
      <c r="B16426" s="6">
        <v>0.84515484515484496</v>
      </c>
      <c r="C16426" s="6">
        <v>0.90468148762420397</v>
      </c>
    </row>
    <row r="16427" spans="1:3" s="8" customFormat="1" x14ac:dyDescent="0.2">
      <c r="A16427" s="6" t="str">
        <f>"PSD"</f>
        <v>PSD</v>
      </c>
      <c r="B16427" s="6">
        <v>0.84515484515484496</v>
      </c>
      <c r="C16427" s="6">
        <v>0.90468148762420397</v>
      </c>
    </row>
    <row r="16428" spans="1:3" s="8" customFormat="1" x14ac:dyDescent="0.2">
      <c r="A16428" s="6" t="str">
        <f>"FTSJ1"</f>
        <v>FTSJ1</v>
      </c>
      <c r="B16428" s="6">
        <v>0.84515484515484496</v>
      </c>
      <c r="C16428" s="6">
        <v>0.90468148762420397</v>
      </c>
    </row>
    <row r="16429" spans="1:3" s="8" customFormat="1" x14ac:dyDescent="0.2">
      <c r="A16429" s="6" t="str">
        <f>"AF131216.4"</f>
        <v>AF131216.4</v>
      </c>
      <c r="B16429" s="6">
        <v>0.84526315789473605</v>
      </c>
      <c r="C16429" s="6">
        <v>0.90474235259441504</v>
      </c>
    </row>
    <row r="16430" spans="1:3" s="8" customFormat="1" x14ac:dyDescent="0.2">
      <c r="A16430" s="6" t="str">
        <f>"AC004997.1"</f>
        <v>AC004997.1</v>
      </c>
      <c r="B16430" s="6">
        <v>0.84615384615384603</v>
      </c>
      <c r="C16430" s="6">
        <v>0.90558546748443203</v>
      </c>
    </row>
    <row r="16431" spans="1:3" s="8" customFormat="1" x14ac:dyDescent="0.2">
      <c r="A16431" s="6" t="str">
        <f>"AADAC"</f>
        <v>AADAC</v>
      </c>
      <c r="B16431" s="6">
        <v>0.84615384615384603</v>
      </c>
      <c r="C16431" s="6">
        <v>0.90558546748443203</v>
      </c>
    </row>
    <row r="16432" spans="1:3" s="8" customFormat="1" x14ac:dyDescent="0.2">
      <c r="A16432" s="6" t="str">
        <f>"AL357093.1"</f>
        <v>AL357093.1</v>
      </c>
      <c r="B16432" s="6">
        <v>0.847152847152847</v>
      </c>
      <c r="C16432" s="6">
        <v>0.90643395791259895</v>
      </c>
    </row>
    <row r="16433" spans="1:3" s="8" customFormat="1" x14ac:dyDescent="0.2">
      <c r="A16433" s="6" t="str">
        <f>"MERTK"</f>
        <v>MERTK</v>
      </c>
      <c r="B16433" s="6">
        <v>0.847152847152847</v>
      </c>
      <c r="C16433" s="6">
        <v>0.90643395791259895</v>
      </c>
    </row>
    <row r="16434" spans="1:3" s="8" customFormat="1" x14ac:dyDescent="0.2">
      <c r="A16434" s="6" t="str">
        <f>"TMEM106C"</f>
        <v>TMEM106C</v>
      </c>
      <c r="B16434" s="6">
        <v>0.847152847152847</v>
      </c>
      <c r="C16434" s="6">
        <v>0.90643395791259895</v>
      </c>
    </row>
    <row r="16435" spans="1:3" s="8" customFormat="1" x14ac:dyDescent="0.2">
      <c r="A16435" s="6" t="str">
        <f>"PMM2"</f>
        <v>PMM2</v>
      </c>
      <c r="B16435" s="6">
        <v>0.847152847152847</v>
      </c>
      <c r="C16435" s="6">
        <v>0.90643395791259895</v>
      </c>
    </row>
    <row r="16436" spans="1:3" s="8" customFormat="1" x14ac:dyDescent="0.2">
      <c r="A16436" s="6" t="str">
        <f>"AC010332.3"</f>
        <v>AC010332.3</v>
      </c>
      <c r="B16436" s="6">
        <v>0.84815184815184796</v>
      </c>
      <c r="C16436" s="6">
        <v>0.90711648305468595</v>
      </c>
    </row>
    <row r="16437" spans="1:3" s="8" customFormat="1" x14ac:dyDescent="0.2">
      <c r="A16437" s="6" t="str">
        <f>"AC091965.1"</f>
        <v>AC091965.1</v>
      </c>
      <c r="B16437" s="6">
        <v>0.84815184815184796</v>
      </c>
      <c r="C16437" s="6">
        <v>0.90711648305468595</v>
      </c>
    </row>
    <row r="16438" spans="1:3" s="8" customFormat="1" x14ac:dyDescent="0.2">
      <c r="A16438" s="6" t="str">
        <f>"AC073257.2"</f>
        <v>AC073257.2</v>
      </c>
      <c r="B16438" s="6">
        <v>0.84815184815184796</v>
      </c>
      <c r="C16438" s="6">
        <v>0.90711648305468595</v>
      </c>
    </row>
    <row r="16439" spans="1:3" s="8" customFormat="1" x14ac:dyDescent="0.2">
      <c r="A16439" s="6" t="str">
        <f>"CEP83-DT"</f>
        <v>CEP83-DT</v>
      </c>
      <c r="B16439" s="6">
        <v>0.84815184815184796</v>
      </c>
      <c r="C16439" s="6">
        <v>0.90711648305468595</v>
      </c>
    </row>
    <row r="16440" spans="1:3" s="8" customFormat="1" x14ac:dyDescent="0.2">
      <c r="A16440" s="6" t="str">
        <f>"ZNF222"</f>
        <v>ZNF222</v>
      </c>
      <c r="B16440" s="6">
        <v>0.84799999999999998</v>
      </c>
      <c r="C16440" s="6">
        <v>0.90711648305468595</v>
      </c>
    </row>
    <row r="16441" spans="1:3" s="8" customFormat="1" x14ac:dyDescent="0.2">
      <c r="A16441" s="6" t="str">
        <f>"SNAP23"</f>
        <v>SNAP23</v>
      </c>
      <c r="B16441" s="6">
        <v>0.84815184815184796</v>
      </c>
      <c r="C16441" s="6">
        <v>0.90711648305468595</v>
      </c>
    </row>
    <row r="16442" spans="1:3" s="8" customFormat="1" x14ac:dyDescent="0.2">
      <c r="A16442" s="6" t="str">
        <f>"WASHC2A"</f>
        <v>WASHC2A</v>
      </c>
      <c r="B16442" s="6">
        <v>0.84815184815184796</v>
      </c>
      <c r="C16442" s="6">
        <v>0.90711648305468595</v>
      </c>
    </row>
    <row r="16443" spans="1:3" s="8" customFormat="1" x14ac:dyDescent="0.2">
      <c r="A16443" s="6" t="str">
        <f>"OLA1P3"</f>
        <v>OLA1P3</v>
      </c>
      <c r="B16443" s="6">
        <v>0.84854563691073204</v>
      </c>
      <c r="C16443" s="6">
        <v>0.90748245222225399</v>
      </c>
    </row>
    <row r="16444" spans="1:3" s="8" customFormat="1" x14ac:dyDescent="0.2">
      <c r="A16444" s="6" t="str">
        <f>"AL357673.1"</f>
        <v>AL357673.1</v>
      </c>
      <c r="B16444" s="6">
        <v>0.84915084915084904</v>
      </c>
      <c r="C16444" s="6">
        <v>0.90757771282935396</v>
      </c>
    </row>
    <row r="16445" spans="1:3" s="8" customFormat="1" x14ac:dyDescent="0.2">
      <c r="A16445" s="6" t="str">
        <f>"AL138995.1"</f>
        <v>AL138995.1</v>
      </c>
      <c r="B16445" s="6">
        <v>0.84899999999999998</v>
      </c>
      <c r="C16445" s="6">
        <v>0.90757771282935396</v>
      </c>
    </row>
    <row r="16446" spans="1:3" s="8" customFormat="1" x14ac:dyDescent="0.2">
      <c r="A16446" s="6" t="str">
        <f>"H2AC15"</f>
        <v>H2AC15</v>
      </c>
      <c r="B16446" s="6">
        <v>0.84915084915084904</v>
      </c>
      <c r="C16446" s="6">
        <v>0.90757771282935396</v>
      </c>
    </row>
    <row r="16447" spans="1:3" s="8" customFormat="1" x14ac:dyDescent="0.2">
      <c r="A16447" s="6" t="str">
        <f>"CTNNA3"</f>
        <v>CTNNA3</v>
      </c>
      <c r="B16447" s="6">
        <v>0.84915084915084904</v>
      </c>
      <c r="C16447" s="6">
        <v>0.90757771282935396</v>
      </c>
    </row>
    <row r="16448" spans="1:3" s="8" customFormat="1" x14ac:dyDescent="0.2">
      <c r="A16448" s="6" t="str">
        <f>"RPSAP70"</f>
        <v>RPSAP70</v>
      </c>
      <c r="B16448" s="6">
        <v>0.84915084915084904</v>
      </c>
      <c r="C16448" s="6">
        <v>0.90757771282935396</v>
      </c>
    </row>
    <row r="16449" spans="1:3" s="8" customFormat="1" x14ac:dyDescent="0.2">
      <c r="A16449" s="6" t="str">
        <f>"ELMOD1"</f>
        <v>ELMOD1</v>
      </c>
      <c r="B16449" s="6">
        <v>0.84915084915084904</v>
      </c>
      <c r="C16449" s="6">
        <v>0.90757771282935396</v>
      </c>
    </row>
    <row r="16450" spans="1:3" s="8" customFormat="1" x14ac:dyDescent="0.2">
      <c r="A16450" s="6" t="str">
        <f>"GP5"</f>
        <v>GP5</v>
      </c>
      <c r="B16450" s="6">
        <v>0.84915084915084904</v>
      </c>
      <c r="C16450" s="6">
        <v>0.90757771282935396</v>
      </c>
    </row>
    <row r="16451" spans="1:3" s="8" customFormat="1" x14ac:dyDescent="0.2">
      <c r="A16451" s="6" t="str">
        <f>"ADARB2"</f>
        <v>ADARB2</v>
      </c>
      <c r="B16451" s="6">
        <v>0.84915084915084904</v>
      </c>
      <c r="C16451" s="6">
        <v>0.90757771282935396</v>
      </c>
    </row>
    <row r="16452" spans="1:3" s="8" customFormat="1" x14ac:dyDescent="0.2">
      <c r="A16452" s="6" t="str">
        <f>"NSUN5"</f>
        <v>NSUN5</v>
      </c>
      <c r="B16452" s="6">
        <v>0.84915084915084904</v>
      </c>
      <c r="C16452" s="6">
        <v>0.90757771282935396</v>
      </c>
    </row>
    <row r="16453" spans="1:3" s="8" customFormat="1" x14ac:dyDescent="0.2">
      <c r="A16453" s="6" t="str">
        <f>"ACOT13"</f>
        <v>ACOT13</v>
      </c>
      <c r="B16453" s="6">
        <v>0.84915084915084904</v>
      </c>
      <c r="C16453" s="6">
        <v>0.90757771282935396</v>
      </c>
    </row>
    <row r="16454" spans="1:3" s="8" customFormat="1" x14ac:dyDescent="0.2">
      <c r="A16454" s="6" t="str">
        <f>"OR7E7P"</f>
        <v>OR7E7P</v>
      </c>
      <c r="B16454" s="6">
        <v>0.85014985014985001</v>
      </c>
      <c r="C16454" s="6">
        <v>0.90820382533626698</v>
      </c>
    </row>
    <row r="16455" spans="1:3" s="8" customFormat="1" x14ac:dyDescent="0.2">
      <c r="A16455" s="6" t="str">
        <f>"MXRA8"</f>
        <v>MXRA8</v>
      </c>
      <c r="B16455" s="6">
        <v>0.85</v>
      </c>
      <c r="C16455" s="6">
        <v>0.90820382533626698</v>
      </c>
    </row>
    <row r="16456" spans="1:3" s="8" customFormat="1" x14ac:dyDescent="0.2">
      <c r="A16456" s="6" t="str">
        <f>"AC090970.2"</f>
        <v>AC090970.2</v>
      </c>
      <c r="B16456" s="6">
        <v>0.85014985014985001</v>
      </c>
      <c r="C16456" s="6">
        <v>0.90820382533626698</v>
      </c>
    </row>
    <row r="16457" spans="1:3" s="8" customFormat="1" x14ac:dyDescent="0.2">
      <c r="A16457" s="6" t="str">
        <f>"LIPC"</f>
        <v>LIPC</v>
      </c>
      <c r="B16457" s="6">
        <v>0.85014985014985001</v>
      </c>
      <c r="C16457" s="6">
        <v>0.90820382533626698</v>
      </c>
    </row>
    <row r="16458" spans="1:3" s="8" customFormat="1" x14ac:dyDescent="0.2">
      <c r="A16458" s="6" t="str">
        <f>"TTC28"</f>
        <v>TTC28</v>
      </c>
      <c r="B16458" s="6">
        <v>0.85014985014985001</v>
      </c>
      <c r="C16458" s="6">
        <v>0.90820382533626698</v>
      </c>
    </row>
    <row r="16459" spans="1:3" s="8" customFormat="1" x14ac:dyDescent="0.2">
      <c r="A16459" s="6" t="str">
        <f>"GAREM1"</f>
        <v>GAREM1</v>
      </c>
      <c r="B16459" s="6">
        <v>0.85014985014985001</v>
      </c>
      <c r="C16459" s="6">
        <v>0.90820382533626698</v>
      </c>
    </row>
    <row r="16460" spans="1:3" s="8" customFormat="1" x14ac:dyDescent="0.2">
      <c r="A16460" s="6" t="str">
        <f>"LSS"</f>
        <v>LSS</v>
      </c>
      <c r="B16460" s="6">
        <v>0.85014985014985001</v>
      </c>
      <c r="C16460" s="6">
        <v>0.90820382533626698</v>
      </c>
    </row>
    <row r="16461" spans="1:3" s="8" customFormat="1" x14ac:dyDescent="0.2">
      <c r="A16461" s="6" t="str">
        <f>"NFIX"</f>
        <v>NFIX</v>
      </c>
      <c r="B16461" s="6">
        <v>0.85014985014985001</v>
      </c>
      <c r="C16461" s="6">
        <v>0.90820382533626698</v>
      </c>
    </row>
    <row r="16462" spans="1:3" s="8" customFormat="1" x14ac:dyDescent="0.2">
      <c r="A16462" s="6" t="str">
        <f>"AC073082.1"</f>
        <v>AC073082.1</v>
      </c>
      <c r="B16462" s="6">
        <v>0.85114885114885097</v>
      </c>
      <c r="C16462" s="6">
        <v>0.90888452047132995</v>
      </c>
    </row>
    <row r="16463" spans="1:3" s="8" customFormat="1" x14ac:dyDescent="0.2">
      <c r="A16463" s="6" t="str">
        <f>"OTOP1"</f>
        <v>OTOP1</v>
      </c>
      <c r="B16463" s="6">
        <v>0.85114885114885097</v>
      </c>
      <c r="C16463" s="6">
        <v>0.90888452047132995</v>
      </c>
    </row>
    <row r="16464" spans="1:3" s="8" customFormat="1" x14ac:dyDescent="0.2">
      <c r="A16464" s="6" t="str">
        <f>"GUSBP15"</f>
        <v>GUSBP15</v>
      </c>
      <c r="B16464" s="6">
        <v>0.85114885114885097</v>
      </c>
      <c r="C16464" s="6">
        <v>0.90888452047132995</v>
      </c>
    </row>
    <row r="16465" spans="1:3" s="8" customFormat="1" x14ac:dyDescent="0.2">
      <c r="A16465" s="6" t="str">
        <f>"B3GNT6"</f>
        <v>B3GNT6</v>
      </c>
      <c r="B16465" s="6">
        <v>0.85114885114885097</v>
      </c>
      <c r="C16465" s="6">
        <v>0.90888452047132995</v>
      </c>
    </row>
    <row r="16466" spans="1:3" s="8" customFormat="1" x14ac:dyDescent="0.2">
      <c r="A16466" s="6" t="str">
        <f>"NHS"</f>
        <v>NHS</v>
      </c>
      <c r="B16466" s="6">
        <v>0.85114885114885097</v>
      </c>
      <c r="C16466" s="6">
        <v>0.90888452047132995</v>
      </c>
    </row>
    <row r="16467" spans="1:3" s="8" customFormat="1" x14ac:dyDescent="0.2">
      <c r="A16467" s="6" t="str">
        <f>"TCEAL8"</f>
        <v>TCEAL8</v>
      </c>
      <c r="B16467" s="6">
        <v>0.85114885114885097</v>
      </c>
      <c r="C16467" s="6">
        <v>0.90888452047132995</v>
      </c>
    </row>
    <row r="16468" spans="1:3" s="8" customFormat="1" x14ac:dyDescent="0.2">
      <c r="A16468" s="6" t="str">
        <f>"SNHG16"</f>
        <v>SNHG16</v>
      </c>
      <c r="B16468" s="6">
        <v>0.85114885114885097</v>
      </c>
      <c r="C16468" s="6">
        <v>0.90888452047132995</v>
      </c>
    </row>
    <row r="16469" spans="1:3" s="8" customFormat="1" x14ac:dyDescent="0.2">
      <c r="A16469" s="6" t="str">
        <f>"AC079341.1"</f>
        <v>AC079341.1</v>
      </c>
      <c r="B16469" s="6">
        <v>0.85125628140703502</v>
      </c>
      <c r="C16469" s="6">
        <v>0.90894404009359397</v>
      </c>
    </row>
    <row r="16470" spans="1:3" s="8" customFormat="1" x14ac:dyDescent="0.2">
      <c r="A16470" s="6" t="str">
        <f>"TULP1"</f>
        <v>TULP1</v>
      </c>
      <c r="B16470" s="6">
        <v>0.85214785214785205</v>
      </c>
      <c r="C16470" s="6">
        <v>0.90956463713535396</v>
      </c>
    </row>
    <row r="16471" spans="1:3" s="8" customFormat="1" x14ac:dyDescent="0.2">
      <c r="A16471" s="6" t="str">
        <f>"TOB2P1"</f>
        <v>TOB2P1</v>
      </c>
      <c r="B16471" s="6">
        <v>0.85196374622356497</v>
      </c>
      <c r="C16471" s="6">
        <v>0.90956463713535396</v>
      </c>
    </row>
    <row r="16472" spans="1:3" s="8" customFormat="1" x14ac:dyDescent="0.2">
      <c r="A16472" s="6" t="str">
        <f>"FSTL4"</f>
        <v>FSTL4</v>
      </c>
      <c r="B16472" s="6">
        <v>0.85214785214785205</v>
      </c>
      <c r="C16472" s="6">
        <v>0.90956463713535396</v>
      </c>
    </row>
    <row r="16473" spans="1:3" s="8" customFormat="1" x14ac:dyDescent="0.2">
      <c r="A16473" s="6" t="str">
        <f>"PINK1-AS"</f>
        <v>PINK1-AS</v>
      </c>
      <c r="B16473" s="6">
        <v>0.85214785214785205</v>
      </c>
      <c r="C16473" s="6">
        <v>0.90956463713535396</v>
      </c>
    </row>
    <row r="16474" spans="1:3" s="8" customFormat="1" x14ac:dyDescent="0.2">
      <c r="A16474" s="6" t="str">
        <f>"Z82195.3"</f>
        <v>Z82195.3</v>
      </c>
      <c r="B16474" s="6">
        <v>0.85214785214785205</v>
      </c>
      <c r="C16474" s="6">
        <v>0.90956463713535396</v>
      </c>
    </row>
    <row r="16475" spans="1:3" s="8" customFormat="1" x14ac:dyDescent="0.2">
      <c r="A16475" s="6" t="str">
        <f>"RBM15B"</f>
        <v>RBM15B</v>
      </c>
      <c r="B16475" s="6">
        <v>0.85214785214785205</v>
      </c>
      <c r="C16475" s="6">
        <v>0.90956463713535396</v>
      </c>
    </row>
    <row r="16476" spans="1:3" s="8" customFormat="1" x14ac:dyDescent="0.2">
      <c r="A16476" s="6" t="str">
        <f>"AC133065.2"</f>
        <v>AC133065.2</v>
      </c>
      <c r="B16476" s="6">
        <v>0.85314685314685301</v>
      </c>
      <c r="C16476" s="6">
        <v>0.910354649295119</v>
      </c>
    </row>
    <row r="16477" spans="1:3" s="8" customFormat="1" x14ac:dyDescent="0.2">
      <c r="A16477" s="6" t="str">
        <f>"C1DP1"</f>
        <v>C1DP1</v>
      </c>
      <c r="B16477" s="6">
        <v>0.85299999999999998</v>
      </c>
      <c r="C16477" s="6">
        <v>0.910354649295119</v>
      </c>
    </row>
    <row r="16478" spans="1:3" s="8" customFormat="1" x14ac:dyDescent="0.2">
      <c r="A16478" s="6" t="str">
        <f>"RGPD4"</f>
        <v>RGPD4</v>
      </c>
      <c r="B16478" s="6">
        <v>0.85314685314685301</v>
      </c>
      <c r="C16478" s="6">
        <v>0.910354649295119</v>
      </c>
    </row>
    <row r="16479" spans="1:3" s="8" customFormat="1" x14ac:dyDescent="0.2">
      <c r="A16479" s="6" t="str">
        <f>"BCLAF3"</f>
        <v>BCLAF3</v>
      </c>
      <c r="B16479" s="6">
        <v>0.85314685314685301</v>
      </c>
      <c r="C16479" s="6">
        <v>0.910354649295119</v>
      </c>
    </row>
    <row r="16480" spans="1:3" s="8" customFormat="1" x14ac:dyDescent="0.2">
      <c r="A16480" s="6" t="str">
        <f>"C5orf22"</f>
        <v>C5orf22</v>
      </c>
      <c r="B16480" s="6">
        <v>0.85314685314685301</v>
      </c>
      <c r="C16480" s="6">
        <v>0.910354649295119</v>
      </c>
    </row>
    <row r="16481" spans="1:3" s="8" customFormat="1" x14ac:dyDescent="0.2">
      <c r="A16481" s="6" t="str">
        <f>"AC005593.1"</f>
        <v>AC005593.1</v>
      </c>
      <c r="B16481" s="6">
        <v>0.85370741482965895</v>
      </c>
      <c r="C16481" s="6">
        <v>0.91084225364751703</v>
      </c>
    </row>
    <row r="16482" spans="1:3" s="8" customFormat="1" x14ac:dyDescent="0.2">
      <c r="A16482" s="6" t="str">
        <f>"AL139317.3"</f>
        <v>AL139317.3</v>
      </c>
      <c r="B16482" s="6">
        <v>0.85370741482965895</v>
      </c>
      <c r="C16482" s="6">
        <v>0.91084225364751703</v>
      </c>
    </row>
    <row r="16483" spans="1:3" s="8" customFormat="1" x14ac:dyDescent="0.2">
      <c r="A16483" s="6" t="str">
        <f>"LRRC9"</f>
        <v>LRRC9</v>
      </c>
      <c r="B16483" s="6">
        <v>0.85414585414585398</v>
      </c>
      <c r="C16483" s="6">
        <v>0.91103364668814102</v>
      </c>
    </row>
    <row r="16484" spans="1:3" s="8" customFormat="1" x14ac:dyDescent="0.2">
      <c r="A16484" s="6" t="str">
        <f>"AC073840.1"</f>
        <v>AC073840.1</v>
      </c>
      <c r="B16484" s="6">
        <v>0.85414585414585398</v>
      </c>
      <c r="C16484" s="6">
        <v>0.91103364668814102</v>
      </c>
    </row>
    <row r="16485" spans="1:3" s="8" customFormat="1" x14ac:dyDescent="0.2">
      <c r="A16485" s="6" t="str">
        <f>"SMIM11B"</f>
        <v>SMIM11B</v>
      </c>
      <c r="B16485" s="6">
        <v>0.85399999999999998</v>
      </c>
      <c r="C16485" s="6">
        <v>0.91103364668814102</v>
      </c>
    </row>
    <row r="16486" spans="1:3" s="8" customFormat="1" x14ac:dyDescent="0.2">
      <c r="A16486" s="6" t="str">
        <f>"GPATCH1"</f>
        <v>GPATCH1</v>
      </c>
      <c r="B16486" s="6">
        <v>0.85414585414585398</v>
      </c>
      <c r="C16486" s="6">
        <v>0.91103364668814102</v>
      </c>
    </row>
    <row r="16487" spans="1:3" s="8" customFormat="1" x14ac:dyDescent="0.2">
      <c r="A16487" s="6" t="str">
        <f>"FN3K"</f>
        <v>FN3K</v>
      </c>
      <c r="B16487" s="6">
        <v>0.85414585414585398</v>
      </c>
      <c r="C16487" s="6">
        <v>0.91103364668814102</v>
      </c>
    </row>
    <row r="16488" spans="1:3" s="8" customFormat="1" x14ac:dyDescent="0.2">
      <c r="A16488" s="6" t="str">
        <f>"AC091825.3"</f>
        <v>AC091825.3</v>
      </c>
      <c r="B16488" s="6">
        <v>0.85478887744593202</v>
      </c>
      <c r="C16488" s="6">
        <v>0.91166419730753101</v>
      </c>
    </row>
    <row r="16489" spans="1:3" s="8" customFormat="1" x14ac:dyDescent="0.2">
      <c r="A16489" s="6" t="str">
        <f>"GNA12"</f>
        <v>GNA12</v>
      </c>
      <c r="B16489" s="6">
        <v>0.85514485514485505</v>
      </c>
      <c r="C16489" s="6">
        <v>0.911988545176318</v>
      </c>
    </row>
    <row r="16490" spans="1:3" s="8" customFormat="1" x14ac:dyDescent="0.2">
      <c r="A16490" s="6" t="str">
        <f>"BLOC1S5-TXNDC5"</f>
        <v>BLOC1S5-TXNDC5</v>
      </c>
      <c r="B16490" s="6">
        <v>0.85583756345177597</v>
      </c>
      <c r="C16490" s="6">
        <v>0.91255583235943205</v>
      </c>
    </row>
    <row r="16491" spans="1:3" s="8" customFormat="1" x14ac:dyDescent="0.2">
      <c r="A16491" s="6" t="str">
        <f>"AC138907.8"</f>
        <v>AC138907.8</v>
      </c>
      <c r="B16491" s="6">
        <v>0.85614385614385602</v>
      </c>
      <c r="C16491" s="6">
        <v>0.91255583235943205</v>
      </c>
    </row>
    <row r="16492" spans="1:3" s="8" customFormat="1" x14ac:dyDescent="0.2">
      <c r="A16492" s="6" t="str">
        <f>"AC012358.1"</f>
        <v>AC012358.1</v>
      </c>
      <c r="B16492" s="6">
        <v>0.85614385614385602</v>
      </c>
      <c r="C16492" s="6">
        <v>0.91255583235943205</v>
      </c>
    </row>
    <row r="16493" spans="1:3" s="8" customFormat="1" x14ac:dyDescent="0.2">
      <c r="A16493" s="6" t="str">
        <f>"AC099508.1"</f>
        <v>AC099508.1</v>
      </c>
      <c r="B16493" s="6">
        <v>0.85614385614385602</v>
      </c>
      <c r="C16493" s="6">
        <v>0.91255583235943205</v>
      </c>
    </row>
    <row r="16494" spans="1:3" s="8" customFormat="1" x14ac:dyDescent="0.2">
      <c r="A16494" s="6" t="str">
        <f>"AC124016.2"</f>
        <v>AC124016.2</v>
      </c>
      <c r="B16494" s="6">
        <v>0.85584677419354804</v>
      </c>
      <c r="C16494" s="6">
        <v>0.91255583235943205</v>
      </c>
    </row>
    <row r="16495" spans="1:3" s="8" customFormat="1" x14ac:dyDescent="0.2">
      <c r="A16495" s="6" t="str">
        <f>"LINC01684"</f>
        <v>LINC01684</v>
      </c>
      <c r="B16495" s="6">
        <v>0.85599999999999998</v>
      </c>
      <c r="C16495" s="6">
        <v>0.91255583235943205</v>
      </c>
    </row>
    <row r="16496" spans="1:3" s="8" customFormat="1" x14ac:dyDescent="0.2">
      <c r="A16496" s="6" t="str">
        <f>"AK4"</f>
        <v>AK4</v>
      </c>
      <c r="B16496" s="6">
        <v>0.85614385614385602</v>
      </c>
      <c r="C16496" s="6">
        <v>0.91255583235943205</v>
      </c>
    </row>
    <row r="16497" spans="1:3" s="8" customFormat="1" x14ac:dyDescent="0.2">
      <c r="A16497" s="6" t="str">
        <f>"CADM4"</f>
        <v>CADM4</v>
      </c>
      <c r="B16497" s="6">
        <v>0.85614385614385602</v>
      </c>
      <c r="C16497" s="6">
        <v>0.91255583235943205</v>
      </c>
    </row>
    <row r="16498" spans="1:3" s="8" customFormat="1" x14ac:dyDescent="0.2">
      <c r="A16498" s="6" t="str">
        <f>"RPL28"</f>
        <v>RPL28</v>
      </c>
      <c r="B16498" s="6">
        <v>0.85614385614385602</v>
      </c>
      <c r="C16498" s="6">
        <v>0.91255583235943205</v>
      </c>
    </row>
    <row r="16499" spans="1:3" s="8" customFormat="1" x14ac:dyDescent="0.2">
      <c r="A16499" s="6" t="str">
        <f>"CDHR5"</f>
        <v>CDHR5</v>
      </c>
      <c r="B16499" s="6">
        <v>0.85714285714285698</v>
      </c>
      <c r="C16499" s="6">
        <v>0.91328849300127202</v>
      </c>
    </row>
    <row r="16500" spans="1:3" s="8" customFormat="1" x14ac:dyDescent="0.2">
      <c r="A16500" s="6" t="str">
        <f>"ADGRB1"</f>
        <v>ADGRB1</v>
      </c>
      <c r="B16500" s="6">
        <v>0.85714285714285698</v>
      </c>
      <c r="C16500" s="6">
        <v>0.91328849300127202</v>
      </c>
    </row>
    <row r="16501" spans="1:3" s="8" customFormat="1" x14ac:dyDescent="0.2">
      <c r="A16501" s="6" t="str">
        <f>"STK31"</f>
        <v>STK31</v>
      </c>
      <c r="B16501" s="6">
        <v>0.85714285714285698</v>
      </c>
      <c r="C16501" s="6">
        <v>0.91328849300127202</v>
      </c>
    </row>
    <row r="16502" spans="1:3" s="8" customFormat="1" x14ac:dyDescent="0.2">
      <c r="A16502" s="6" t="str">
        <f>"TIMM8B"</f>
        <v>TIMM8B</v>
      </c>
      <c r="B16502" s="6">
        <v>0.85714285714285698</v>
      </c>
      <c r="C16502" s="6">
        <v>0.91328849300127202</v>
      </c>
    </row>
    <row r="16503" spans="1:3" s="8" customFormat="1" x14ac:dyDescent="0.2">
      <c r="A16503" s="6" t="str">
        <f>"NF1"</f>
        <v>NF1</v>
      </c>
      <c r="B16503" s="6">
        <v>0.85714285714285698</v>
      </c>
      <c r="C16503" s="6">
        <v>0.91328849300127202</v>
      </c>
    </row>
    <row r="16504" spans="1:3" s="8" customFormat="1" x14ac:dyDescent="0.2">
      <c r="A16504" s="6" t="str">
        <f>"ERAP1"</f>
        <v>ERAP1</v>
      </c>
      <c r="B16504" s="6">
        <v>0.85714285714285698</v>
      </c>
      <c r="C16504" s="6">
        <v>0.91328849300127202</v>
      </c>
    </row>
    <row r="16505" spans="1:3" s="8" customFormat="1" x14ac:dyDescent="0.2">
      <c r="A16505" s="6" t="str">
        <f>"XKR5"</f>
        <v>XKR5</v>
      </c>
      <c r="B16505" s="6">
        <v>0.85814185814185795</v>
      </c>
      <c r="C16505" s="6">
        <v>0.91390990452222298</v>
      </c>
    </row>
    <row r="16506" spans="1:3" s="8" customFormat="1" x14ac:dyDescent="0.2">
      <c r="A16506" s="6" t="str">
        <f>"AP001631.2"</f>
        <v>AP001631.2</v>
      </c>
      <c r="B16506" s="6">
        <v>0.85814185814185795</v>
      </c>
      <c r="C16506" s="6">
        <v>0.91390990452222298</v>
      </c>
    </row>
    <row r="16507" spans="1:3" s="8" customFormat="1" x14ac:dyDescent="0.2">
      <c r="A16507" s="6" t="str">
        <f>"AL136304.1"</f>
        <v>AL136304.1</v>
      </c>
      <c r="B16507" s="6">
        <v>0.85799999999999998</v>
      </c>
      <c r="C16507" s="6">
        <v>0.91390990452222298</v>
      </c>
    </row>
    <row r="16508" spans="1:3" s="8" customFormat="1" x14ac:dyDescent="0.2">
      <c r="A16508" s="6" t="str">
        <f>"RN7SK"</f>
        <v>RN7SK</v>
      </c>
      <c r="B16508" s="6">
        <v>0.85814185814185795</v>
      </c>
      <c r="C16508" s="6">
        <v>0.91390990452222298</v>
      </c>
    </row>
    <row r="16509" spans="1:3" s="8" customFormat="1" x14ac:dyDescent="0.2">
      <c r="A16509" s="6" t="str">
        <f>"LYAR"</f>
        <v>LYAR</v>
      </c>
      <c r="B16509" s="6">
        <v>0.85814185814185795</v>
      </c>
      <c r="C16509" s="6">
        <v>0.91390990452222298</v>
      </c>
    </row>
    <row r="16510" spans="1:3" s="8" customFormat="1" x14ac:dyDescent="0.2">
      <c r="A16510" s="6" t="str">
        <f>"TBCCD1"</f>
        <v>TBCCD1</v>
      </c>
      <c r="B16510" s="6">
        <v>0.85814185814185795</v>
      </c>
      <c r="C16510" s="6">
        <v>0.91390990452222298</v>
      </c>
    </row>
    <row r="16511" spans="1:3" s="8" customFormat="1" x14ac:dyDescent="0.2">
      <c r="A16511" s="6" t="str">
        <f>"MRPL22"</f>
        <v>MRPL22</v>
      </c>
      <c r="B16511" s="6">
        <v>0.85814185814185795</v>
      </c>
      <c r="C16511" s="6">
        <v>0.91390990452222298</v>
      </c>
    </row>
    <row r="16512" spans="1:3" s="8" customFormat="1" x14ac:dyDescent="0.2">
      <c r="A16512" s="6" t="str">
        <f>"MPPE1"</f>
        <v>MPPE1</v>
      </c>
      <c r="B16512" s="6">
        <v>0.85814185814185795</v>
      </c>
      <c r="C16512" s="6">
        <v>0.91390990452222298</v>
      </c>
    </row>
    <row r="16513" spans="1:3" s="8" customFormat="1" x14ac:dyDescent="0.2">
      <c r="A16513" s="6" t="str">
        <f>"ATP5PBP5"</f>
        <v>ATP5PBP5</v>
      </c>
      <c r="B16513" s="6">
        <v>0.85914085914085903</v>
      </c>
      <c r="C16513" s="6">
        <v>0.91464145226935001</v>
      </c>
    </row>
    <row r="16514" spans="1:3" s="8" customFormat="1" x14ac:dyDescent="0.2">
      <c r="A16514" s="6" t="str">
        <f>"AC026150.3"</f>
        <v>AC026150.3</v>
      </c>
      <c r="B16514" s="6">
        <v>0.85914085914085903</v>
      </c>
      <c r="C16514" s="6">
        <v>0.91464145226935001</v>
      </c>
    </row>
    <row r="16515" spans="1:3" s="8" customFormat="1" x14ac:dyDescent="0.2">
      <c r="A16515" s="6" t="str">
        <f>"SARDH"</f>
        <v>SARDH</v>
      </c>
      <c r="B16515" s="6">
        <v>0.85914085914085903</v>
      </c>
      <c r="C16515" s="6">
        <v>0.91464145226935001</v>
      </c>
    </row>
    <row r="16516" spans="1:3" s="8" customFormat="1" x14ac:dyDescent="0.2">
      <c r="A16516" s="6" t="str">
        <f>"RP9"</f>
        <v>RP9</v>
      </c>
      <c r="B16516" s="6">
        <v>0.85914085914085903</v>
      </c>
      <c r="C16516" s="6">
        <v>0.91464145226935001</v>
      </c>
    </row>
    <row r="16517" spans="1:3" s="8" customFormat="1" x14ac:dyDescent="0.2">
      <c r="A16517" s="6" t="str">
        <f>"PIGL"</f>
        <v>PIGL</v>
      </c>
      <c r="B16517" s="6">
        <v>0.85914085914085903</v>
      </c>
      <c r="C16517" s="6">
        <v>0.91464145226935001</v>
      </c>
    </row>
    <row r="16518" spans="1:3" s="8" customFormat="1" x14ac:dyDescent="0.2">
      <c r="A16518" s="6" t="str">
        <f>"MARCHF3"</f>
        <v>MARCHF3</v>
      </c>
      <c r="B16518" s="6">
        <v>0.85914085914085903</v>
      </c>
      <c r="C16518" s="6">
        <v>0.91464145226935001</v>
      </c>
    </row>
    <row r="16519" spans="1:3" s="8" customFormat="1" x14ac:dyDescent="0.2">
      <c r="A16519" s="6" t="str">
        <f>"AC083836.1"</f>
        <v>AC083836.1</v>
      </c>
      <c r="B16519" s="6">
        <v>0.85943775100401598</v>
      </c>
      <c r="C16519" s="6">
        <v>0.91490213183524705</v>
      </c>
    </row>
    <row r="16520" spans="1:3" s="8" customFormat="1" x14ac:dyDescent="0.2">
      <c r="A16520" s="6" t="str">
        <f>"AC011912.1"</f>
        <v>AC011912.1</v>
      </c>
      <c r="B16520" s="6">
        <v>0.86</v>
      </c>
      <c r="C16520" s="6">
        <v>0.915261682341863</v>
      </c>
    </row>
    <row r="16521" spans="1:3" s="8" customFormat="1" x14ac:dyDescent="0.2">
      <c r="A16521" s="6" t="str">
        <f>"AC020907.2"</f>
        <v>AC020907.2</v>
      </c>
      <c r="B16521" s="6">
        <v>0.85985985985985902</v>
      </c>
      <c r="C16521" s="6">
        <v>0.915261682341863</v>
      </c>
    </row>
    <row r="16522" spans="1:3" s="8" customFormat="1" x14ac:dyDescent="0.2">
      <c r="A16522" s="6" t="str">
        <f>"DDX12P"</f>
        <v>DDX12P</v>
      </c>
      <c r="B16522" s="6">
        <v>0.86013986013985999</v>
      </c>
      <c r="C16522" s="6">
        <v>0.915261682341863</v>
      </c>
    </row>
    <row r="16523" spans="1:3" s="8" customFormat="1" x14ac:dyDescent="0.2">
      <c r="A16523" s="6" t="str">
        <f>"PDXP"</f>
        <v>PDXP</v>
      </c>
      <c r="B16523" s="6">
        <v>0.86013986013985999</v>
      </c>
      <c r="C16523" s="6">
        <v>0.915261682341863</v>
      </c>
    </row>
    <row r="16524" spans="1:3" s="8" customFormat="1" x14ac:dyDescent="0.2">
      <c r="A16524" s="6" t="str">
        <f>"JPX"</f>
        <v>JPX</v>
      </c>
      <c r="B16524" s="6">
        <v>0.86013986013985999</v>
      </c>
      <c r="C16524" s="6">
        <v>0.915261682341863</v>
      </c>
    </row>
    <row r="16525" spans="1:3" s="8" customFormat="1" x14ac:dyDescent="0.2">
      <c r="A16525" s="6" t="str">
        <f>"SNAPC4"</f>
        <v>SNAPC4</v>
      </c>
      <c r="B16525" s="6">
        <v>0.86013986013985999</v>
      </c>
      <c r="C16525" s="6">
        <v>0.915261682341863</v>
      </c>
    </row>
    <row r="16526" spans="1:3" s="8" customFormat="1" x14ac:dyDescent="0.2">
      <c r="A16526" s="6" t="str">
        <f>"MGAT5"</f>
        <v>MGAT5</v>
      </c>
      <c r="B16526" s="6">
        <v>0.86</v>
      </c>
      <c r="C16526" s="6">
        <v>0.915261682341863</v>
      </c>
    </row>
    <row r="16527" spans="1:3" s="8" customFormat="1" x14ac:dyDescent="0.2">
      <c r="A16527" s="6" t="str">
        <f>"AC027682.7"</f>
        <v>AC027682.7</v>
      </c>
      <c r="B16527" s="6">
        <v>0.86113886113886096</v>
      </c>
      <c r="C16527" s="6">
        <v>0.91621381583262096</v>
      </c>
    </row>
    <row r="16528" spans="1:3" s="8" customFormat="1" x14ac:dyDescent="0.2">
      <c r="A16528" s="6" t="str">
        <f>"FAM120C"</f>
        <v>FAM120C</v>
      </c>
      <c r="B16528" s="6">
        <v>0.86113886113886096</v>
      </c>
      <c r="C16528" s="6">
        <v>0.91621381583262096</v>
      </c>
    </row>
    <row r="16529" spans="1:3" s="8" customFormat="1" x14ac:dyDescent="0.2">
      <c r="A16529" s="6" t="str">
        <f>"AC008972.2"</f>
        <v>AC008972.2</v>
      </c>
      <c r="B16529" s="6">
        <v>0.86178010471204103</v>
      </c>
      <c r="C16529" s="6">
        <v>0.91684059542936502</v>
      </c>
    </row>
    <row r="16530" spans="1:3" s="8" customFormat="1" x14ac:dyDescent="0.2">
      <c r="A16530" s="6" t="str">
        <f>"ZNF521"</f>
        <v>ZNF521</v>
      </c>
      <c r="B16530" s="6">
        <v>0.86213786213786203</v>
      </c>
      <c r="C16530" s="6">
        <v>0.91694381950233805</v>
      </c>
    </row>
    <row r="16531" spans="1:3" s="8" customFormat="1" x14ac:dyDescent="0.2">
      <c r="A16531" s="6" t="str">
        <f>"AC007000.3"</f>
        <v>AC007000.3</v>
      </c>
      <c r="B16531" s="6">
        <v>0.86213786213786203</v>
      </c>
      <c r="C16531" s="6">
        <v>0.91694381950233805</v>
      </c>
    </row>
    <row r="16532" spans="1:3" s="8" customFormat="1" x14ac:dyDescent="0.2">
      <c r="A16532" s="6" t="str">
        <f>"AC123595.2"</f>
        <v>AC123595.2</v>
      </c>
      <c r="B16532" s="6">
        <v>0.86213786213786203</v>
      </c>
      <c r="C16532" s="6">
        <v>0.91694381950233805</v>
      </c>
    </row>
    <row r="16533" spans="1:3" s="8" customFormat="1" x14ac:dyDescent="0.2">
      <c r="A16533" s="6" t="str">
        <f>"NPPC"</f>
        <v>NPPC</v>
      </c>
      <c r="B16533" s="6">
        <v>0.86213786213786203</v>
      </c>
      <c r="C16533" s="6">
        <v>0.91694381950233805</v>
      </c>
    </row>
    <row r="16534" spans="1:3" s="8" customFormat="1" x14ac:dyDescent="0.2">
      <c r="A16534" s="6" t="str">
        <f>"ZDHHC9"</f>
        <v>ZDHHC9</v>
      </c>
      <c r="B16534" s="6">
        <v>0.86213786213786203</v>
      </c>
      <c r="C16534" s="6">
        <v>0.91694381950233805</v>
      </c>
    </row>
    <row r="16535" spans="1:3" s="8" customFormat="1" x14ac:dyDescent="0.2">
      <c r="A16535" s="6" t="str">
        <f>"TMSB15B-AS1"</f>
        <v>TMSB15B-AS1</v>
      </c>
      <c r="B16535" s="6">
        <v>0.863136863136863</v>
      </c>
      <c r="C16535" s="6">
        <v>0.91761781145094301</v>
      </c>
    </row>
    <row r="16536" spans="1:3" s="8" customFormat="1" x14ac:dyDescent="0.2">
      <c r="A16536" s="6" t="str">
        <f>"CCDC175"</f>
        <v>CCDC175</v>
      </c>
      <c r="B16536" s="6">
        <v>0.863136863136863</v>
      </c>
      <c r="C16536" s="6">
        <v>0.91761781145094301</v>
      </c>
    </row>
    <row r="16537" spans="1:3" s="8" customFormat="1" x14ac:dyDescent="0.2">
      <c r="A16537" s="6" t="str">
        <f>"AC079594.1"</f>
        <v>AC079594.1</v>
      </c>
      <c r="B16537" s="6">
        <v>0.863136863136863</v>
      </c>
      <c r="C16537" s="6">
        <v>0.91761781145094301</v>
      </c>
    </row>
    <row r="16538" spans="1:3" s="8" customFormat="1" x14ac:dyDescent="0.2">
      <c r="A16538" s="6" t="str">
        <f>"ABCA11P"</f>
        <v>ABCA11P</v>
      </c>
      <c r="B16538" s="6">
        <v>0.863136863136863</v>
      </c>
      <c r="C16538" s="6">
        <v>0.91761781145094301</v>
      </c>
    </row>
    <row r="16539" spans="1:3" s="8" customFormat="1" x14ac:dyDescent="0.2">
      <c r="A16539" s="6" t="str">
        <f>"SDC3"</f>
        <v>SDC3</v>
      </c>
      <c r="B16539" s="6">
        <v>0.863136863136863</v>
      </c>
      <c r="C16539" s="6">
        <v>0.91761781145094301</v>
      </c>
    </row>
    <row r="16540" spans="1:3" s="8" customFormat="1" x14ac:dyDescent="0.2">
      <c r="A16540" s="6" t="str">
        <f>"ZFP64"</f>
        <v>ZFP64</v>
      </c>
      <c r="B16540" s="6">
        <v>0.863136863136863</v>
      </c>
      <c r="C16540" s="6">
        <v>0.91761781145094301</v>
      </c>
    </row>
    <row r="16541" spans="1:3" s="8" customFormat="1" x14ac:dyDescent="0.2">
      <c r="A16541" s="6" t="str">
        <f>"TM9SF4"</f>
        <v>TM9SF4</v>
      </c>
      <c r="B16541" s="6">
        <v>0.863136863136863</v>
      </c>
      <c r="C16541" s="6">
        <v>0.91761781145094301</v>
      </c>
    </row>
    <row r="16542" spans="1:3" s="8" customFormat="1" x14ac:dyDescent="0.2">
      <c r="A16542" s="6" t="str">
        <f>"AC027307.3"</f>
        <v>AC027307.3</v>
      </c>
      <c r="B16542" s="6">
        <v>0.86386386386386305</v>
      </c>
      <c r="C16542" s="6">
        <v>0.91833517817436505</v>
      </c>
    </row>
    <row r="16543" spans="1:3" s="8" customFormat="1" x14ac:dyDescent="0.2">
      <c r="A16543" s="6" t="str">
        <f>"AF111169.1"</f>
        <v>AF111169.1</v>
      </c>
      <c r="B16543" s="6">
        <v>0.86418511066398396</v>
      </c>
      <c r="C16543" s="6">
        <v>0.91839906841021901</v>
      </c>
    </row>
    <row r="16544" spans="1:3" s="8" customFormat="1" x14ac:dyDescent="0.2">
      <c r="A16544" s="6" t="str">
        <f>"AC020978.9"</f>
        <v>AC020978.9</v>
      </c>
      <c r="B16544" s="6">
        <v>0.86413586413586396</v>
      </c>
      <c r="C16544" s="6">
        <v>0.91839906841021901</v>
      </c>
    </row>
    <row r="16545" spans="1:3" s="8" customFormat="1" x14ac:dyDescent="0.2">
      <c r="A16545" s="6" t="str">
        <f>"RSKR"</f>
        <v>RSKR</v>
      </c>
      <c r="B16545" s="6">
        <v>0.86413586413586396</v>
      </c>
      <c r="C16545" s="6">
        <v>0.91839906841021901</v>
      </c>
    </row>
    <row r="16546" spans="1:3" s="8" customFormat="1" x14ac:dyDescent="0.2">
      <c r="A16546" s="6" t="str">
        <f>"ZNF506"</f>
        <v>ZNF506</v>
      </c>
      <c r="B16546" s="6">
        <v>0.86413586413586396</v>
      </c>
      <c r="C16546" s="6">
        <v>0.91839906841021901</v>
      </c>
    </row>
    <row r="16547" spans="1:3" s="8" customFormat="1" x14ac:dyDescent="0.2">
      <c r="A16547" s="6" t="str">
        <f>"ATP8B1"</f>
        <v>ATP8B1</v>
      </c>
      <c r="B16547" s="6">
        <v>0.86413586413586396</v>
      </c>
      <c r="C16547" s="6">
        <v>0.91839906841021901</v>
      </c>
    </row>
    <row r="16548" spans="1:3" s="8" customFormat="1" x14ac:dyDescent="0.2">
      <c r="A16548" s="6" t="str">
        <f>"AF129075.2"</f>
        <v>AF129075.2</v>
      </c>
      <c r="B16548" s="6">
        <v>0.86432160804020097</v>
      </c>
      <c r="C16548" s="6">
        <v>0.918488617621254</v>
      </c>
    </row>
    <row r="16549" spans="1:3" s="8" customFormat="1" x14ac:dyDescent="0.2">
      <c r="A16549" s="6" t="str">
        <f>"AL035653.1"</f>
        <v>AL035653.1</v>
      </c>
      <c r="B16549" s="6">
        <v>0.86499999999999999</v>
      </c>
      <c r="C16549" s="6">
        <v>0.91896408532870999</v>
      </c>
    </row>
    <row r="16550" spans="1:3" s="8" customFormat="1" x14ac:dyDescent="0.2">
      <c r="A16550" s="6" t="str">
        <f>"CLEC4F"</f>
        <v>CLEC4F</v>
      </c>
      <c r="B16550" s="6">
        <v>0.86513486513486504</v>
      </c>
      <c r="C16550" s="6">
        <v>0.91896408532870999</v>
      </c>
    </row>
    <row r="16551" spans="1:3" s="8" customFormat="1" x14ac:dyDescent="0.2">
      <c r="A16551" s="6" t="str">
        <f>"MEG3"</f>
        <v>MEG3</v>
      </c>
      <c r="B16551" s="6">
        <v>0.86513486513486504</v>
      </c>
      <c r="C16551" s="6">
        <v>0.91896408532870999</v>
      </c>
    </row>
    <row r="16552" spans="1:3" s="8" customFormat="1" x14ac:dyDescent="0.2">
      <c r="A16552" s="6" t="str">
        <f>"AC092902.5"</f>
        <v>AC092902.5</v>
      </c>
      <c r="B16552" s="6">
        <v>0.86513486513486504</v>
      </c>
      <c r="C16552" s="6">
        <v>0.91896408532870999</v>
      </c>
    </row>
    <row r="16553" spans="1:3" s="8" customFormat="1" x14ac:dyDescent="0.2">
      <c r="A16553" s="6" t="str">
        <f>"AC105285.1"</f>
        <v>AC105285.1</v>
      </c>
      <c r="B16553" s="6">
        <v>0.86513486513486504</v>
      </c>
      <c r="C16553" s="6">
        <v>0.91896408532870999</v>
      </c>
    </row>
    <row r="16554" spans="1:3" s="8" customFormat="1" x14ac:dyDescent="0.2">
      <c r="A16554" s="6" t="str">
        <f>"DNAAF4-CCPG1"</f>
        <v>DNAAF4-CCPG1</v>
      </c>
      <c r="B16554" s="6">
        <v>0.86499999999999999</v>
      </c>
      <c r="C16554" s="6">
        <v>0.91896408532870999</v>
      </c>
    </row>
    <row r="16555" spans="1:3" s="8" customFormat="1" x14ac:dyDescent="0.2">
      <c r="A16555" s="6" t="str">
        <f>"AP001273.2"</f>
        <v>AP001273.2</v>
      </c>
      <c r="B16555" s="6">
        <v>0.86513486513486504</v>
      </c>
      <c r="C16555" s="6">
        <v>0.91896408532870999</v>
      </c>
    </row>
    <row r="16556" spans="1:3" s="8" customFormat="1" x14ac:dyDescent="0.2">
      <c r="A16556" s="6" t="str">
        <f>"AC025287.1"</f>
        <v>AC025287.1</v>
      </c>
      <c r="B16556" s="6">
        <v>0.86590436590436504</v>
      </c>
      <c r="C16556" s="6">
        <v>0.91958084181245603</v>
      </c>
    </row>
    <row r="16557" spans="1:3" s="8" customFormat="1" x14ac:dyDescent="0.2">
      <c r="A16557" s="6" t="str">
        <f>"AC010973.2"</f>
        <v>AC010973.2</v>
      </c>
      <c r="B16557" s="6">
        <v>0.866133866133866</v>
      </c>
      <c r="C16557" s="6">
        <v>0.91958084181245603</v>
      </c>
    </row>
    <row r="16558" spans="1:3" s="8" customFormat="1" x14ac:dyDescent="0.2">
      <c r="A16558" s="6" t="str">
        <f>"AC090616.6"</f>
        <v>AC090616.6</v>
      </c>
      <c r="B16558" s="6">
        <v>0.86599999999999999</v>
      </c>
      <c r="C16558" s="6">
        <v>0.91958084181245603</v>
      </c>
    </row>
    <row r="16559" spans="1:3" s="8" customFormat="1" x14ac:dyDescent="0.2">
      <c r="A16559" s="6" t="str">
        <f>"DPF3"</f>
        <v>DPF3</v>
      </c>
      <c r="B16559" s="6">
        <v>0.866133866133866</v>
      </c>
      <c r="C16559" s="6">
        <v>0.91958084181245603</v>
      </c>
    </row>
    <row r="16560" spans="1:3" s="8" customFormat="1" x14ac:dyDescent="0.2">
      <c r="A16560" s="6" t="str">
        <f>"RN7SL3"</f>
        <v>RN7SL3</v>
      </c>
      <c r="B16560" s="6">
        <v>0.86599999999999999</v>
      </c>
      <c r="C16560" s="6">
        <v>0.91958084181245603</v>
      </c>
    </row>
    <row r="16561" spans="1:3" s="8" customFormat="1" x14ac:dyDescent="0.2">
      <c r="A16561" s="6" t="str">
        <f>"PANK4"</f>
        <v>PANK4</v>
      </c>
      <c r="B16561" s="6">
        <v>0.866133866133866</v>
      </c>
      <c r="C16561" s="6">
        <v>0.91958084181245603</v>
      </c>
    </row>
    <row r="16562" spans="1:3" s="8" customFormat="1" x14ac:dyDescent="0.2">
      <c r="A16562" s="6" t="str">
        <f>"NT5C"</f>
        <v>NT5C</v>
      </c>
      <c r="B16562" s="6">
        <v>0.866133866133866</v>
      </c>
      <c r="C16562" s="6">
        <v>0.91958084181245603</v>
      </c>
    </row>
    <row r="16563" spans="1:3" s="8" customFormat="1" x14ac:dyDescent="0.2">
      <c r="A16563" s="6" t="str">
        <f>"ATP5F1D"</f>
        <v>ATP5F1D</v>
      </c>
      <c r="B16563" s="6">
        <v>0.866133866133866</v>
      </c>
      <c r="C16563" s="6">
        <v>0.91958084181245603</v>
      </c>
    </row>
    <row r="16564" spans="1:3" s="8" customFormat="1" x14ac:dyDescent="0.2">
      <c r="A16564" s="6" t="str">
        <f>"KRT16P4"</f>
        <v>KRT16P4</v>
      </c>
      <c r="B16564" s="6">
        <v>0.86713286713286697</v>
      </c>
      <c r="C16564" s="6">
        <v>0.92014147219023201</v>
      </c>
    </row>
    <row r="16565" spans="1:3" s="8" customFormat="1" x14ac:dyDescent="0.2">
      <c r="A16565" s="6" t="str">
        <f>"PERM1"</f>
        <v>PERM1</v>
      </c>
      <c r="B16565" s="6">
        <v>0.86713286713286697</v>
      </c>
      <c r="C16565" s="6">
        <v>0.92014147219023201</v>
      </c>
    </row>
    <row r="16566" spans="1:3" s="8" customFormat="1" x14ac:dyDescent="0.2">
      <c r="A16566" s="6" t="str">
        <f>"NRBF2P6"</f>
        <v>NRBF2P6</v>
      </c>
      <c r="B16566" s="6">
        <v>0.86713286713286697</v>
      </c>
      <c r="C16566" s="6">
        <v>0.92014147219023201</v>
      </c>
    </row>
    <row r="16567" spans="1:3" s="8" customFormat="1" x14ac:dyDescent="0.2">
      <c r="A16567" s="6" t="str">
        <f>"AC126544.1"</f>
        <v>AC126544.1</v>
      </c>
      <c r="B16567" s="6">
        <v>0.86713286713286697</v>
      </c>
      <c r="C16567" s="6">
        <v>0.92014147219023201</v>
      </c>
    </row>
    <row r="16568" spans="1:3" s="8" customFormat="1" x14ac:dyDescent="0.2">
      <c r="A16568" s="6" t="str">
        <f>"AC074194.1"</f>
        <v>AC074194.1</v>
      </c>
      <c r="B16568" s="6">
        <v>0.86713286713286697</v>
      </c>
      <c r="C16568" s="6">
        <v>0.92014147219023201</v>
      </c>
    </row>
    <row r="16569" spans="1:3" s="8" customFormat="1" x14ac:dyDescent="0.2">
      <c r="A16569" s="6" t="str">
        <f>"CGREF1"</f>
        <v>CGREF1</v>
      </c>
      <c r="B16569" s="6">
        <v>0.86713286713286697</v>
      </c>
      <c r="C16569" s="6">
        <v>0.92014147219023201</v>
      </c>
    </row>
    <row r="16570" spans="1:3" s="8" customFormat="1" x14ac:dyDescent="0.2">
      <c r="A16570" s="6" t="str">
        <f>"NAA80"</f>
        <v>NAA80</v>
      </c>
      <c r="B16570" s="6">
        <v>0.86713286713286697</v>
      </c>
      <c r="C16570" s="6">
        <v>0.92014147219023201</v>
      </c>
    </row>
    <row r="16571" spans="1:3" s="8" customFormat="1" x14ac:dyDescent="0.2">
      <c r="A16571" s="6" t="str">
        <f>"PELP1"</f>
        <v>PELP1</v>
      </c>
      <c r="B16571" s="6">
        <v>0.86713286713286697</v>
      </c>
      <c r="C16571" s="6">
        <v>0.92014147219023201</v>
      </c>
    </row>
    <row r="16572" spans="1:3" s="8" customFormat="1" x14ac:dyDescent="0.2">
      <c r="A16572" s="6" t="str">
        <f>"ABHD2"</f>
        <v>ABHD2</v>
      </c>
      <c r="B16572" s="6">
        <v>0.86713286713286697</v>
      </c>
      <c r="C16572" s="6">
        <v>0.92014147219023201</v>
      </c>
    </row>
    <row r="16573" spans="1:3" s="8" customFormat="1" x14ac:dyDescent="0.2">
      <c r="A16573" s="6" t="str">
        <f>"AC007878.1"</f>
        <v>AC007878.1</v>
      </c>
      <c r="B16573" s="6">
        <v>0.86813186813186805</v>
      </c>
      <c r="C16573" s="6">
        <v>0.92097923192945796</v>
      </c>
    </row>
    <row r="16574" spans="1:3" s="8" customFormat="1" x14ac:dyDescent="0.2">
      <c r="A16574" s="6" t="str">
        <f>"L3MBTL2-AS1"</f>
        <v>L3MBTL2-AS1</v>
      </c>
      <c r="B16574" s="6">
        <v>0.86813186813186805</v>
      </c>
      <c r="C16574" s="6">
        <v>0.92097923192945796</v>
      </c>
    </row>
    <row r="16575" spans="1:3" s="8" customFormat="1" x14ac:dyDescent="0.2">
      <c r="A16575" s="6" t="str">
        <f>"WASH2P"</f>
        <v>WASH2P</v>
      </c>
      <c r="B16575" s="6">
        <v>0.86813186813186805</v>
      </c>
      <c r="C16575" s="6">
        <v>0.92097923192945796</v>
      </c>
    </row>
    <row r="16576" spans="1:3" s="8" customFormat="1" x14ac:dyDescent="0.2">
      <c r="A16576" s="6" t="str">
        <f>"RPL17"</f>
        <v>RPL17</v>
      </c>
      <c r="B16576" s="6">
        <v>0.86813186813186805</v>
      </c>
      <c r="C16576" s="6">
        <v>0.92097923192945796</v>
      </c>
    </row>
    <row r="16577" spans="1:3" s="8" customFormat="1" x14ac:dyDescent="0.2">
      <c r="A16577" s="6" t="str">
        <f>"AC118758.2"</f>
        <v>AC118758.2</v>
      </c>
      <c r="B16577" s="6">
        <v>0.86820925553319905</v>
      </c>
      <c r="C16577" s="6">
        <v>0.92100576431562298</v>
      </c>
    </row>
    <row r="16578" spans="1:3" s="8" customFormat="1" x14ac:dyDescent="0.2">
      <c r="A16578" s="6" t="str">
        <f>"AC004623.1"</f>
        <v>AC004623.1</v>
      </c>
      <c r="B16578" s="6">
        <v>0.86828774062816605</v>
      </c>
      <c r="C16578" s="6">
        <v>0.921033457875711</v>
      </c>
    </row>
    <row r="16579" spans="1:3" s="8" customFormat="1" x14ac:dyDescent="0.2">
      <c r="A16579" s="6" t="str">
        <f>"AC011462.4"</f>
        <v>AC011462.4</v>
      </c>
      <c r="B16579" s="6">
        <v>0.86881937436932299</v>
      </c>
      <c r="C16579" s="6">
        <v>0.921427541468539</v>
      </c>
    </row>
    <row r="16580" spans="1:3" s="8" customFormat="1" x14ac:dyDescent="0.2">
      <c r="A16580" s="6" t="str">
        <f>"AC091057.3"</f>
        <v>AC091057.3</v>
      </c>
      <c r="B16580" s="6">
        <v>0.86913086913086901</v>
      </c>
      <c r="C16580" s="6">
        <v>0.921427541468539</v>
      </c>
    </row>
    <row r="16581" spans="1:3" s="8" customFormat="1" x14ac:dyDescent="0.2">
      <c r="A16581" s="6" t="str">
        <f>"AC016949.1"</f>
        <v>AC016949.1</v>
      </c>
      <c r="B16581" s="6">
        <v>0.86913086913086901</v>
      </c>
      <c r="C16581" s="6">
        <v>0.921427541468539</v>
      </c>
    </row>
    <row r="16582" spans="1:3" s="8" customFormat="1" x14ac:dyDescent="0.2">
      <c r="A16582" s="6" t="str">
        <f>"TCAF1P1"</f>
        <v>TCAF1P1</v>
      </c>
      <c r="B16582" s="6">
        <v>0.86913086913086901</v>
      </c>
      <c r="C16582" s="6">
        <v>0.921427541468539</v>
      </c>
    </row>
    <row r="16583" spans="1:3" s="8" customFormat="1" x14ac:dyDescent="0.2">
      <c r="A16583" s="6" t="str">
        <f>"CERNA1"</f>
        <v>CERNA1</v>
      </c>
      <c r="B16583" s="6">
        <v>0.86913086913086901</v>
      </c>
      <c r="C16583" s="6">
        <v>0.921427541468539</v>
      </c>
    </row>
    <row r="16584" spans="1:3" s="8" customFormat="1" x14ac:dyDescent="0.2">
      <c r="A16584" s="6" t="str">
        <f>"EIF3CL"</f>
        <v>EIF3CL</v>
      </c>
      <c r="B16584" s="6">
        <v>0.86913086913086901</v>
      </c>
      <c r="C16584" s="6">
        <v>0.921427541468539</v>
      </c>
    </row>
    <row r="16585" spans="1:3" s="8" customFormat="1" x14ac:dyDescent="0.2">
      <c r="A16585" s="6" t="str">
        <f>"ABCC2"</f>
        <v>ABCC2</v>
      </c>
      <c r="B16585" s="6">
        <v>0.86913086913086901</v>
      </c>
      <c r="C16585" s="6">
        <v>0.921427541468539</v>
      </c>
    </row>
    <row r="16586" spans="1:3" s="8" customFormat="1" x14ac:dyDescent="0.2">
      <c r="A16586" s="6" t="str">
        <f>"CCDC51"</f>
        <v>CCDC51</v>
      </c>
      <c r="B16586" s="6">
        <v>0.86913086913086901</v>
      </c>
      <c r="C16586" s="6">
        <v>0.921427541468539</v>
      </c>
    </row>
    <row r="16587" spans="1:3" s="8" customFormat="1" x14ac:dyDescent="0.2">
      <c r="A16587" s="6" t="str">
        <f>"FUT11"</f>
        <v>FUT11</v>
      </c>
      <c r="B16587" s="6">
        <v>0.86913086913086901</v>
      </c>
      <c r="C16587" s="6">
        <v>0.921427541468539</v>
      </c>
    </row>
    <row r="16588" spans="1:3" s="8" customFormat="1" x14ac:dyDescent="0.2">
      <c r="A16588" s="6" t="str">
        <f>"RPL23AP47"</f>
        <v>RPL23AP47</v>
      </c>
      <c r="B16588" s="6">
        <v>0.87012987012986998</v>
      </c>
      <c r="C16588" s="6">
        <v>0.92193080479414502</v>
      </c>
    </row>
    <row r="16589" spans="1:3" s="8" customFormat="1" x14ac:dyDescent="0.2">
      <c r="A16589" s="6" t="str">
        <f>"AC004231.1"</f>
        <v>AC004231.1</v>
      </c>
      <c r="B16589" s="6">
        <v>0.86991869918699105</v>
      </c>
      <c r="C16589" s="6">
        <v>0.92193080479414502</v>
      </c>
    </row>
    <row r="16590" spans="1:3" s="8" customFormat="1" x14ac:dyDescent="0.2">
      <c r="A16590" s="6" t="str">
        <f>"ANKRD20A3P"</f>
        <v>ANKRD20A3P</v>
      </c>
      <c r="B16590" s="6">
        <v>0.87012987012986998</v>
      </c>
      <c r="C16590" s="6">
        <v>0.92193080479414502</v>
      </c>
    </row>
    <row r="16591" spans="1:3" s="8" customFormat="1" x14ac:dyDescent="0.2">
      <c r="A16591" s="6" t="str">
        <f>"PCDHB18P"</f>
        <v>PCDHB18P</v>
      </c>
      <c r="B16591" s="6">
        <v>0.87012987012986998</v>
      </c>
      <c r="C16591" s="6">
        <v>0.92193080479414502</v>
      </c>
    </row>
    <row r="16592" spans="1:3" s="8" customFormat="1" x14ac:dyDescent="0.2">
      <c r="A16592" s="6" t="str">
        <f>"TMEM81"</f>
        <v>TMEM81</v>
      </c>
      <c r="B16592" s="6">
        <v>0.87012987012986998</v>
      </c>
      <c r="C16592" s="6">
        <v>0.92193080479414502</v>
      </c>
    </row>
    <row r="16593" spans="1:3" s="8" customFormat="1" x14ac:dyDescent="0.2">
      <c r="A16593" s="6" t="str">
        <f>"FOXN1"</f>
        <v>FOXN1</v>
      </c>
      <c r="B16593" s="6">
        <v>0.87012987012986998</v>
      </c>
      <c r="C16593" s="6">
        <v>0.92193080479414502</v>
      </c>
    </row>
    <row r="16594" spans="1:3" s="8" customFormat="1" x14ac:dyDescent="0.2">
      <c r="A16594" s="6" t="str">
        <f>"TMPPE"</f>
        <v>TMPPE</v>
      </c>
      <c r="B16594" s="6">
        <v>0.87012987012986998</v>
      </c>
      <c r="C16594" s="6">
        <v>0.92193080479414502</v>
      </c>
    </row>
    <row r="16595" spans="1:3" s="8" customFormat="1" x14ac:dyDescent="0.2">
      <c r="A16595" s="6" t="str">
        <f>"AL157392.3"</f>
        <v>AL157392.3</v>
      </c>
      <c r="B16595" s="6">
        <v>0.87012987012986998</v>
      </c>
      <c r="C16595" s="6">
        <v>0.92193080479414502</v>
      </c>
    </row>
    <row r="16596" spans="1:3" s="8" customFormat="1" x14ac:dyDescent="0.2">
      <c r="A16596" s="6" t="str">
        <f>"KIF16B"</f>
        <v>KIF16B</v>
      </c>
      <c r="B16596" s="6">
        <v>0.87012987012986998</v>
      </c>
      <c r="C16596" s="6">
        <v>0.92193080479414502</v>
      </c>
    </row>
    <row r="16597" spans="1:3" s="8" customFormat="1" x14ac:dyDescent="0.2">
      <c r="A16597" s="6" t="str">
        <f>"ATP2B4"</f>
        <v>ATP2B4</v>
      </c>
      <c r="B16597" s="6">
        <v>0.87012987012986998</v>
      </c>
      <c r="C16597" s="6">
        <v>0.92193080479414502</v>
      </c>
    </row>
    <row r="16598" spans="1:3" s="8" customFormat="1" x14ac:dyDescent="0.2">
      <c r="A16598" s="6" t="str">
        <f>"AC105233.5"</f>
        <v>AC105233.5</v>
      </c>
      <c r="B16598" s="6">
        <v>0.87061183550651899</v>
      </c>
      <c r="C16598" s="6">
        <v>0.922385883927615</v>
      </c>
    </row>
    <row r="16599" spans="1:3" s="8" customFormat="1" x14ac:dyDescent="0.2">
      <c r="A16599" s="6" t="str">
        <f>"AC006427.2"</f>
        <v>AC006427.2</v>
      </c>
      <c r="B16599" s="6">
        <v>0.871</v>
      </c>
      <c r="C16599" s="6">
        <v>0.92260013671806695</v>
      </c>
    </row>
    <row r="16600" spans="1:3" s="8" customFormat="1" x14ac:dyDescent="0.2">
      <c r="A16600" s="6" t="str">
        <f>"BX005214.1"</f>
        <v>BX005214.1</v>
      </c>
      <c r="B16600" s="6">
        <v>0.87100103199174395</v>
      </c>
      <c r="C16600" s="6">
        <v>0.92260013671806695</v>
      </c>
    </row>
    <row r="16601" spans="1:3" s="8" customFormat="1" x14ac:dyDescent="0.2">
      <c r="A16601" s="6" t="str">
        <f>"SLC4A3"</f>
        <v>SLC4A3</v>
      </c>
      <c r="B16601" s="6">
        <v>0.87112887112887105</v>
      </c>
      <c r="C16601" s="6">
        <v>0.92260013671806695</v>
      </c>
    </row>
    <row r="16602" spans="1:3" s="8" customFormat="1" x14ac:dyDescent="0.2">
      <c r="A16602" s="6" t="str">
        <f>"DHX33"</f>
        <v>DHX33</v>
      </c>
      <c r="B16602" s="6">
        <v>0.87112887112887105</v>
      </c>
      <c r="C16602" s="6">
        <v>0.92260013671806695</v>
      </c>
    </row>
    <row r="16603" spans="1:3" s="8" customFormat="1" x14ac:dyDescent="0.2">
      <c r="A16603" s="6" t="str">
        <f>"AC020765.6"</f>
        <v>AC020765.6</v>
      </c>
      <c r="B16603" s="6">
        <v>0.87112887112887105</v>
      </c>
      <c r="C16603" s="6">
        <v>0.92260013671806695</v>
      </c>
    </row>
    <row r="16604" spans="1:3" s="8" customFormat="1" x14ac:dyDescent="0.2">
      <c r="A16604" s="6" t="str">
        <f>"SEPTIN2"</f>
        <v>SEPTIN2</v>
      </c>
      <c r="B16604" s="6">
        <v>0.87112887112887105</v>
      </c>
      <c r="C16604" s="6">
        <v>0.92260013671806695</v>
      </c>
    </row>
    <row r="16605" spans="1:3" s="8" customFormat="1" x14ac:dyDescent="0.2">
      <c r="A16605" s="6" t="str">
        <f>"AL157394.3"</f>
        <v>AL157394.3</v>
      </c>
      <c r="B16605" s="6">
        <v>0.87135678391959803</v>
      </c>
      <c r="C16605" s="6">
        <v>0.92278593642749995</v>
      </c>
    </row>
    <row r="16606" spans="1:3" s="8" customFormat="1" x14ac:dyDescent="0.2">
      <c r="A16606" s="6" t="str">
        <f>"AL591441.1"</f>
        <v>AL591441.1</v>
      </c>
      <c r="B16606" s="6">
        <v>0.87212787212787202</v>
      </c>
      <c r="C16606" s="6">
        <v>0.922935514172875</v>
      </c>
    </row>
    <row r="16607" spans="1:3" s="8" customFormat="1" x14ac:dyDescent="0.2">
      <c r="A16607" s="6" t="str">
        <f>"AL132640.3"</f>
        <v>AL132640.3</v>
      </c>
      <c r="B16607" s="6">
        <v>0.87212787212787202</v>
      </c>
      <c r="C16607" s="6">
        <v>0.922935514172875</v>
      </c>
    </row>
    <row r="16608" spans="1:3" s="8" customFormat="1" x14ac:dyDescent="0.2">
      <c r="A16608" s="6" t="str">
        <f>"AL137100.3"</f>
        <v>AL137100.3</v>
      </c>
      <c r="B16608" s="6">
        <v>0.87212787212787202</v>
      </c>
      <c r="C16608" s="6">
        <v>0.922935514172875</v>
      </c>
    </row>
    <row r="16609" spans="1:3" s="8" customFormat="1" x14ac:dyDescent="0.2">
      <c r="A16609" s="6" t="str">
        <f>"AP003717.4"</f>
        <v>AP003717.4</v>
      </c>
      <c r="B16609" s="6">
        <v>0.872</v>
      </c>
      <c r="C16609" s="6">
        <v>0.922935514172875</v>
      </c>
    </row>
    <row r="16610" spans="1:3" s="8" customFormat="1" x14ac:dyDescent="0.2">
      <c r="A16610" s="6" t="str">
        <f>"AC073283.2"</f>
        <v>AC073283.2</v>
      </c>
      <c r="B16610" s="6">
        <v>0.87212787212787202</v>
      </c>
      <c r="C16610" s="6">
        <v>0.922935514172875</v>
      </c>
    </row>
    <row r="16611" spans="1:3" s="8" customFormat="1" x14ac:dyDescent="0.2">
      <c r="A16611" s="6" t="str">
        <f>"LINC01355"</f>
        <v>LINC01355</v>
      </c>
      <c r="B16611" s="6">
        <v>0.87212787212787202</v>
      </c>
      <c r="C16611" s="6">
        <v>0.922935514172875</v>
      </c>
    </row>
    <row r="16612" spans="1:3" s="8" customFormat="1" x14ac:dyDescent="0.2">
      <c r="A16612" s="6" t="str">
        <f>"RIMBP2"</f>
        <v>RIMBP2</v>
      </c>
      <c r="B16612" s="6">
        <v>0.87212787212787202</v>
      </c>
      <c r="C16612" s="6">
        <v>0.922935514172875</v>
      </c>
    </row>
    <row r="16613" spans="1:3" s="8" customFormat="1" x14ac:dyDescent="0.2">
      <c r="A16613" s="6" t="str">
        <f>"ZNF837"</f>
        <v>ZNF837</v>
      </c>
      <c r="B16613" s="6">
        <v>0.87212787212787202</v>
      </c>
      <c r="C16613" s="6">
        <v>0.922935514172875</v>
      </c>
    </row>
    <row r="16614" spans="1:3" s="8" customFormat="1" x14ac:dyDescent="0.2">
      <c r="A16614" s="6" t="str">
        <f>"MFSD4B"</f>
        <v>MFSD4B</v>
      </c>
      <c r="B16614" s="6">
        <v>0.87212787212787202</v>
      </c>
      <c r="C16614" s="6">
        <v>0.922935514172875</v>
      </c>
    </row>
    <row r="16615" spans="1:3" s="8" customFormat="1" x14ac:dyDescent="0.2">
      <c r="A16615" s="6" t="str">
        <f>"PAXIP1"</f>
        <v>PAXIP1</v>
      </c>
      <c r="B16615" s="6">
        <v>0.87212787212787202</v>
      </c>
      <c r="C16615" s="6">
        <v>0.922935514172875</v>
      </c>
    </row>
    <row r="16616" spans="1:3" s="8" customFormat="1" x14ac:dyDescent="0.2">
      <c r="A16616" s="6" t="str">
        <f>"UVRAG"</f>
        <v>UVRAG</v>
      </c>
      <c r="B16616" s="6">
        <v>0.87212787212787202</v>
      </c>
      <c r="C16616" s="6">
        <v>0.922935514172875</v>
      </c>
    </row>
    <row r="16617" spans="1:3" s="8" customFormat="1" x14ac:dyDescent="0.2">
      <c r="A16617" s="6" t="str">
        <f>"EPS15"</f>
        <v>EPS15</v>
      </c>
      <c r="B16617" s="6">
        <v>0.87212787212787202</v>
      </c>
      <c r="C16617" s="6">
        <v>0.922935514172875</v>
      </c>
    </row>
    <row r="16618" spans="1:3" s="8" customFormat="1" x14ac:dyDescent="0.2">
      <c r="A16618" s="6" t="str">
        <f>"Z83843.1"</f>
        <v>Z83843.1</v>
      </c>
      <c r="B16618" s="6">
        <v>0.87312687312687298</v>
      </c>
      <c r="C16618" s="6">
        <v>0.92365918283377002</v>
      </c>
    </row>
    <row r="16619" spans="1:3" s="8" customFormat="1" x14ac:dyDescent="0.2">
      <c r="A16619" s="6" t="str">
        <f>"AL356234.2"</f>
        <v>AL356234.2</v>
      </c>
      <c r="B16619" s="6">
        <v>0.87312687312687298</v>
      </c>
      <c r="C16619" s="6">
        <v>0.92365918283377002</v>
      </c>
    </row>
    <row r="16620" spans="1:3" s="8" customFormat="1" x14ac:dyDescent="0.2">
      <c r="A16620" s="6" t="str">
        <f>"IKBKGP1"</f>
        <v>IKBKGP1</v>
      </c>
      <c r="B16620" s="6">
        <v>0.873</v>
      </c>
      <c r="C16620" s="6">
        <v>0.92365918283377002</v>
      </c>
    </row>
    <row r="16621" spans="1:3" s="8" customFormat="1" x14ac:dyDescent="0.2">
      <c r="A16621" s="6" t="str">
        <f>"SLC36A4"</f>
        <v>SLC36A4</v>
      </c>
      <c r="B16621" s="6">
        <v>0.87312687312687298</v>
      </c>
      <c r="C16621" s="6">
        <v>0.92365918283377002</v>
      </c>
    </row>
    <row r="16622" spans="1:3" s="8" customFormat="1" x14ac:dyDescent="0.2">
      <c r="A16622" s="6" t="str">
        <f>"TMEM18"</f>
        <v>TMEM18</v>
      </c>
      <c r="B16622" s="6">
        <v>0.87312687312687298</v>
      </c>
      <c r="C16622" s="6">
        <v>0.92365918283377002</v>
      </c>
    </row>
    <row r="16623" spans="1:3" s="8" customFormat="1" x14ac:dyDescent="0.2">
      <c r="A16623" s="6" t="str">
        <f>"GNB4"</f>
        <v>GNB4</v>
      </c>
      <c r="B16623" s="6">
        <v>0.87312687312687298</v>
      </c>
      <c r="C16623" s="6">
        <v>0.92365918283377002</v>
      </c>
    </row>
    <row r="16624" spans="1:3" s="8" customFormat="1" x14ac:dyDescent="0.2">
      <c r="A16624" s="6" t="str">
        <f>"AC083843.3"</f>
        <v>AC083843.3</v>
      </c>
      <c r="B16624" s="6">
        <v>0.873991935483871</v>
      </c>
      <c r="C16624" s="6">
        <v>0.92438232924160202</v>
      </c>
    </row>
    <row r="16625" spans="1:3" s="8" customFormat="1" x14ac:dyDescent="0.2">
      <c r="A16625" s="6" t="str">
        <f>"CAMK4"</f>
        <v>CAMK4</v>
      </c>
      <c r="B16625" s="6">
        <v>0.87412587412587395</v>
      </c>
      <c r="C16625" s="6">
        <v>0.92438232924160202</v>
      </c>
    </row>
    <row r="16626" spans="1:3" s="8" customFormat="1" x14ac:dyDescent="0.2">
      <c r="A16626" s="6" t="str">
        <f>"EGFL8"</f>
        <v>EGFL8</v>
      </c>
      <c r="B16626" s="6">
        <v>0.87412587412587395</v>
      </c>
      <c r="C16626" s="6">
        <v>0.92438232924160202</v>
      </c>
    </row>
    <row r="16627" spans="1:3" s="8" customFormat="1" x14ac:dyDescent="0.2">
      <c r="A16627" s="6" t="str">
        <f>"SNHG7"</f>
        <v>SNHG7</v>
      </c>
      <c r="B16627" s="6">
        <v>0.87412587412587395</v>
      </c>
      <c r="C16627" s="6">
        <v>0.92438232924160202</v>
      </c>
    </row>
    <row r="16628" spans="1:3" s="8" customFormat="1" x14ac:dyDescent="0.2">
      <c r="A16628" s="6" t="str">
        <f>"SIX3"</f>
        <v>SIX3</v>
      </c>
      <c r="B16628" s="6">
        <v>0.87412587412587395</v>
      </c>
      <c r="C16628" s="6">
        <v>0.92438232924160202</v>
      </c>
    </row>
    <row r="16629" spans="1:3" s="8" customFormat="1" x14ac:dyDescent="0.2">
      <c r="A16629" s="6" t="str">
        <f>"ATP5F1B"</f>
        <v>ATP5F1B</v>
      </c>
      <c r="B16629" s="6">
        <v>0.87412587412587395</v>
      </c>
      <c r="C16629" s="6">
        <v>0.92438232924160202</v>
      </c>
    </row>
    <row r="16630" spans="1:3" s="8" customFormat="1" x14ac:dyDescent="0.2">
      <c r="A16630" s="6" t="str">
        <f>"AC091304.1"</f>
        <v>AC091304.1</v>
      </c>
      <c r="B16630" s="6">
        <v>0.87512487512487502</v>
      </c>
      <c r="C16630" s="6">
        <v>0.92493813813763304</v>
      </c>
    </row>
    <row r="16631" spans="1:3" s="8" customFormat="1" x14ac:dyDescent="0.2">
      <c r="A16631" s="6" t="str">
        <f>"AC092634.3"</f>
        <v>AC092634.3</v>
      </c>
      <c r="B16631" s="6">
        <v>0.87512487512487502</v>
      </c>
      <c r="C16631" s="6">
        <v>0.92493813813763304</v>
      </c>
    </row>
    <row r="16632" spans="1:3" s="8" customFormat="1" x14ac:dyDescent="0.2">
      <c r="A16632" s="6" t="str">
        <f>"MMP23A"</f>
        <v>MMP23A</v>
      </c>
      <c r="B16632" s="6">
        <v>0.87512487512487502</v>
      </c>
      <c r="C16632" s="6">
        <v>0.92493813813763304</v>
      </c>
    </row>
    <row r="16633" spans="1:3" s="8" customFormat="1" x14ac:dyDescent="0.2">
      <c r="A16633" s="6" t="str">
        <f>"TAS2R4"</f>
        <v>TAS2R4</v>
      </c>
      <c r="B16633" s="6">
        <v>0.87512487512487502</v>
      </c>
      <c r="C16633" s="6">
        <v>0.92493813813763304</v>
      </c>
    </row>
    <row r="16634" spans="1:3" s="8" customFormat="1" x14ac:dyDescent="0.2">
      <c r="A16634" s="6" t="str">
        <f>"PVT1"</f>
        <v>PVT1</v>
      </c>
      <c r="B16634" s="6">
        <v>0.87512487512487502</v>
      </c>
      <c r="C16634" s="6">
        <v>0.92493813813763304</v>
      </c>
    </row>
    <row r="16635" spans="1:3" s="8" customFormat="1" x14ac:dyDescent="0.2">
      <c r="A16635" s="6" t="str">
        <f>"CCDC184"</f>
        <v>CCDC184</v>
      </c>
      <c r="B16635" s="6">
        <v>0.87512487512487502</v>
      </c>
      <c r="C16635" s="6">
        <v>0.92493813813763304</v>
      </c>
    </row>
    <row r="16636" spans="1:3" s="8" customFormat="1" x14ac:dyDescent="0.2">
      <c r="A16636" s="6" t="str">
        <f>"THOC1"</f>
        <v>THOC1</v>
      </c>
      <c r="B16636" s="6">
        <v>0.87512487512487502</v>
      </c>
      <c r="C16636" s="6">
        <v>0.92493813813763304</v>
      </c>
    </row>
    <row r="16637" spans="1:3" s="8" customFormat="1" x14ac:dyDescent="0.2">
      <c r="A16637" s="6" t="str">
        <f>"FAM118B"</f>
        <v>FAM118B</v>
      </c>
      <c r="B16637" s="6">
        <v>0.87512487512487502</v>
      </c>
      <c r="C16637" s="6">
        <v>0.92493813813763304</v>
      </c>
    </row>
    <row r="16638" spans="1:3" s="8" customFormat="1" x14ac:dyDescent="0.2">
      <c r="A16638" s="6" t="str">
        <f>"CPSF2"</f>
        <v>CPSF2</v>
      </c>
      <c r="B16638" s="6">
        <v>0.87512487512487502</v>
      </c>
      <c r="C16638" s="6">
        <v>0.92493813813763304</v>
      </c>
    </row>
    <row r="16639" spans="1:3" s="8" customFormat="1" x14ac:dyDescent="0.2">
      <c r="A16639" s="6" t="str">
        <f>"AL604028.2"</f>
        <v>AL604028.2</v>
      </c>
      <c r="B16639" s="6">
        <v>0.87575150300601201</v>
      </c>
      <c r="C16639" s="6">
        <v>0.92554480279226503</v>
      </c>
    </row>
    <row r="16640" spans="1:3" s="8" customFormat="1" x14ac:dyDescent="0.2">
      <c r="A16640" s="6" t="str">
        <f>"AL132780.2"</f>
        <v>AL132780.2</v>
      </c>
      <c r="B16640" s="6">
        <v>0.87587587587587501</v>
      </c>
      <c r="C16640" s="6">
        <v>0.92562061430382803</v>
      </c>
    </row>
    <row r="16641" spans="1:3" s="8" customFormat="1" x14ac:dyDescent="0.2">
      <c r="A16641" s="6" t="str">
        <f>"RASSF1"</f>
        <v>RASSF1</v>
      </c>
      <c r="B16641" s="6">
        <v>0.87612387612387599</v>
      </c>
      <c r="C16641" s="6">
        <v>0.92571579364032097</v>
      </c>
    </row>
    <row r="16642" spans="1:3" s="8" customFormat="1" x14ac:dyDescent="0.2">
      <c r="A16642" s="6" t="str">
        <f>"H2AW"</f>
        <v>H2AW</v>
      </c>
      <c r="B16642" s="6">
        <v>0.87612387612387599</v>
      </c>
      <c r="C16642" s="6">
        <v>0.92571579364032097</v>
      </c>
    </row>
    <row r="16643" spans="1:3" s="8" customFormat="1" x14ac:dyDescent="0.2">
      <c r="A16643" s="6" t="str">
        <f>"FBXO31"</f>
        <v>FBXO31</v>
      </c>
      <c r="B16643" s="6">
        <v>0.87612387612387599</v>
      </c>
      <c r="C16643" s="6">
        <v>0.92571579364032097</v>
      </c>
    </row>
    <row r="16644" spans="1:3" s="8" customFormat="1" x14ac:dyDescent="0.2">
      <c r="A16644" s="6" t="str">
        <f>"DCANP1"</f>
        <v>DCANP1</v>
      </c>
      <c r="B16644" s="6">
        <v>0.877</v>
      </c>
      <c r="C16644" s="6">
        <v>0.92643733008941997</v>
      </c>
    </row>
    <row r="16645" spans="1:3" s="8" customFormat="1" x14ac:dyDescent="0.2">
      <c r="A16645" s="6" t="str">
        <f>"LINC00507"</f>
        <v>LINC00507</v>
      </c>
      <c r="B16645" s="6">
        <v>0.877</v>
      </c>
      <c r="C16645" s="6">
        <v>0.92643733008941997</v>
      </c>
    </row>
    <row r="16646" spans="1:3" s="8" customFormat="1" x14ac:dyDescent="0.2">
      <c r="A16646" s="6" t="str">
        <f>"AC104806.2"</f>
        <v>AC104806.2</v>
      </c>
      <c r="B16646" s="6">
        <v>0.87712287712287695</v>
      </c>
      <c r="C16646" s="6">
        <v>0.92643733008941997</v>
      </c>
    </row>
    <row r="16647" spans="1:3" s="8" customFormat="1" x14ac:dyDescent="0.2">
      <c r="A16647" s="6" t="str">
        <f>"CTHRC1"</f>
        <v>CTHRC1</v>
      </c>
      <c r="B16647" s="6">
        <v>0.87712287712287695</v>
      </c>
      <c r="C16647" s="6">
        <v>0.92643733008941997</v>
      </c>
    </row>
    <row r="16648" spans="1:3" s="8" customFormat="1" x14ac:dyDescent="0.2">
      <c r="A16648" s="6" t="str">
        <f>"LYPD1"</f>
        <v>LYPD1</v>
      </c>
      <c r="B16648" s="6">
        <v>0.87712287712287695</v>
      </c>
      <c r="C16648" s="6">
        <v>0.92643733008941997</v>
      </c>
    </row>
    <row r="16649" spans="1:3" s="8" customFormat="1" x14ac:dyDescent="0.2">
      <c r="A16649" s="6" t="str">
        <f>"GNL3L"</f>
        <v>GNL3L</v>
      </c>
      <c r="B16649" s="6">
        <v>0.87712287712287695</v>
      </c>
      <c r="C16649" s="6">
        <v>0.92643733008941997</v>
      </c>
    </row>
    <row r="16650" spans="1:3" s="8" customFormat="1" x14ac:dyDescent="0.2">
      <c r="A16650" s="6" t="str">
        <f>"SLC23A3"</f>
        <v>SLC23A3</v>
      </c>
      <c r="B16650" s="6">
        <v>0.87812187812187803</v>
      </c>
      <c r="C16650" s="6">
        <v>0.92688007112642401</v>
      </c>
    </row>
    <row r="16651" spans="1:3" s="8" customFormat="1" x14ac:dyDescent="0.2">
      <c r="A16651" s="6" t="str">
        <f>"CA3-AS1"</f>
        <v>CA3-AS1</v>
      </c>
      <c r="B16651" s="6">
        <v>0.87812187812187803</v>
      </c>
      <c r="C16651" s="6">
        <v>0.92688007112642401</v>
      </c>
    </row>
    <row r="16652" spans="1:3" s="8" customFormat="1" x14ac:dyDescent="0.2">
      <c r="A16652" s="6" t="str">
        <f>"AL929554.1"</f>
        <v>AL929554.1</v>
      </c>
      <c r="B16652" s="6">
        <v>0.87812187812187803</v>
      </c>
      <c r="C16652" s="6">
        <v>0.92688007112642401</v>
      </c>
    </row>
    <row r="16653" spans="1:3" s="8" customFormat="1" x14ac:dyDescent="0.2">
      <c r="A16653" s="6" t="str">
        <f>"AL160272.1"</f>
        <v>AL160272.1</v>
      </c>
      <c r="B16653" s="6">
        <v>0.878</v>
      </c>
      <c r="C16653" s="6">
        <v>0.92688007112642401</v>
      </c>
    </row>
    <row r="16654" spans="1:3" s="8" customFormat="1" x14ac:dyDescent="0.2">
      <c r="A16654" s="6" t="str">
        <f>"GPAT2"</f>
        <v>GPAT2</v>
      </c>
      <c r="B16654" s="6">
        <v>0.87812187812187803</v>
      </c>
      <c r="C16654" s="6">
        <v>0.92688007112642401</v>
      </c>
    </row>
    <row r="16655" spans="1:3" s="8" customFormat="1" x14ac:dyDescent="0.2">
      <c r="A16655" s="6" t="str">
        <f>"AL359220.1"</f>
        <v>AL359220.1</v>
      </c>
      <c r="B16655" s="6">
        <v>0.87812187812187803</v>
      </c>
      <c r="C16655" s="6">
        <v>0.92688007112642401</v>
      </c>
    </row>
    <row r="16656" spans="1:3" s="8" customFormat="1" x14ac:dyDescent="0.2">
      <c r="A16656" s="6" t="str">
        <f>"LRRC37A7P"</f>
        <v>LRRC37A7P</v>
      </c>
      <c r="B16656" s="6">
        <v>0.87812187812187803</v>
      </c>
      <c r="C16656" s="6">
        <v>0.92688007112642401</v>
      </c>
    </row>
    <row r="16657" spans="1:3" s="8" customFormat="1" x14ac:dyDescent="0.2">
      <c r="A16657" s="6" t="str">
        <f>"AC007998.4"</f>
        <v>AC007998.4</v>
      </c>
      <c r="B16657" s="6">
        <v>0.87812187812187803</v>
      </c>
      <c r="C16657" s="6">
        <v>0.92688007112642401</v>
      </c>
    </row>
    <row r="16658" spans="1:3" s="8" customFormat="1" x14ac:dyDescent="0.2">
      <c r="A16658" s="6" t="str">
        <f>"AC019205.1"</f>
        <v>AC019205.1</v>
      </c>
      <c r="B16658" s="6">
        <v>0.87812187812187803</v>
      </c>
      <c r="C16658" s="6">
        <v>0.92688007112642401</v>
      </c>
    </row>
    <row r="16659" spans="1:3" s="8" customFormat="1" x14ac:dyDescent="0.2">
      <c r="A16659" s="6" t="str">
        <f>"TMEM229B"</f>
        <v>TMEM229B</v>
      </c>
      <c r="B16659" s="6">
        <v>0.87812187812187803</v>
      </c>
      <c r="C16659" s="6">
        <v>0.92688007112642401</v>
      </c>
    </row>
    <row r="16660" spans="1:3" s="8" customFormat="1" x14ac:dyDescent="0.2">
      <c r="A16660" s="6" t="str">
        <f>"COPS3"</f>
        <v>COPS3</v>
      </c>
      <c r="B16660" s="6">
        <v>0.87812187812187803</v>
      </c>
      <c r="C16660" s="6">
        <v>0.92688007112642401</v>
      </c>
    </row>
    <row r="16661" spans="1:3" s="8" customFormat="1" x14ac:dyDescent="0.2">
      <c r="A16661" s="6" t="str">
        <f>"CHD5"</f>
        <v>CHD5</v>
      </c>
      <c r="B16661" s="6">
        <v>0.879120879120879</v>
      </c>
      <c r="C16661" s="6">
        <v>0.92765611728645803</v>
      </c>
    </row>
    <row r="16662" spans="1:3" s="8" customFormat="1" x14ac:dyDescent="0.2">
      <c r="A16662" s="6" t="str">
        <f>"ABCG2"</f>
        <v>ABCG2</v>
      </c>
      <c r="B16662" s="6">
        <v>0.879120879120879</v>
      </c>
      <c r="C16662" s="6">
        <v>0.92765611728645803</v>
      </c>
    </row>
    <row r="16663" spans="1:3" s="8" customFormat="1" x14ac:dyDescent="0.2">
      <c r="A16663" s="6" t="str">
        <f>"AC078881.1"</f>
        <v>AC078881.1</v>
      </c>
      <c r="B16663" s="6">
        <v>0.879120879120879</v>
      </c>
      <c r="C16663" s="6">
        <v>0.92765611728645803</v>
      </c>
    </row>
    <row r="16664" spans="1:3" s="8" customFormat="1" x14ac:dyDescent="0.2">
      <c r="A16664" s="6" t="str">
        <f>"SHROOM4"</f>
        <v>SHROOM4</v>
      </c>
      <c r="B16664" s="6">
        <v>0.879120879120879</v>
      </c>
      <c r="C16664" s="6">
        <v>0.92765611728645803</v>
      </c>
    </row>
    <row r="16665" spans="1:3" s="8" customFormat="1" x14ac:dyDescent="0.2">
      <c r="A16665" s="6" t="str">
        <f>"ABRAXAS2"</f>
        <v>ABRAXAS2</v>
      </c>
      <c r="B16665" s="6">
        <v>0.879120879120879</v>
      </c>
      <c r="C16665" s="6">
        <v>0.92765611728645803</v>
      </c>
    </row>
    <row r="16666" spans="1:3" s="8" customFormat="1" x14ac:dyDescent="0.2">
      <c r="A16666" s="6" t="str">
        <f>"LINC01237"</f>
        <v>LINC01237</v>
      </c>
      <c r="B16666" s="6">
        <v>0.87979797979797902</v>
      </c>
      <c r="C16666" s="6">
        <v>0.92831489209526996</v>
      </c>
    </row>
    <row r="16667" spans="1:3" s="8" customFormat="1" x14ac:dyDescent="0.2">
      <c r="A16667" s="6" t="str">
        <f>"AC079781.4"</f>
        <v>AC079781.4</v>
      </c>
      <c r="B16667" s="6">
        <v>0.88011988011987996</v>
      </c>
      <c r="C16667" s="6">
        <v>0.92843169788397395</v>
      </c>
    </row>
    <row r="16668" spans="1:3" s="8" customFormat="1" x14ac:dyDescent="0.2">
      <c r="A16668" s="6" t="str">
        <f>"BMP8A"</f>
        <v>BMP8A</v>
      </c>
      <c r="B16668" s="6">
        <v>0.88011988011987996</v>
      </c>
      <c r="C16668" s="6">
        <v>0.92843169788397395</v>
      </c>
    </row>
    <row r="16669" spans="1:3" s="8" customFormat="1" x14ac:dyDescent="0.2">
      <c r="A16669" s="6" t="str">
        <f>"TLE2"</f>
        <v>TLE2</v>
      </c>
      <c r="B16669" s="6">
        <v>0.88011988011987996</v>
      </c>
      <c r="C16669" s="6">
        <v>0.92843169788397395</v>
      </c>
    </row>
    <row r="16670" spans="1:3" s="8" customFormat="1" x14ac:dyDescent="0.2">
      <c r="A16670" s="6" t="str">
        <f>"SIL1"</f>
        <v>SIL1</v>
      </c>
      <c r="B16670" s="6">
        <v>0.88011988011987996</v>
      </c>
      <c r="C16670" s="6">
        <v>0.92843169788397395</v>
      </c>
    </row>
    <row r="16671" spans="1:3" s="8" customFormat="1" x14ac:dyDescent="0.2">
      <c r="A16671" s="6" t="str">
        <f>"AL358472.4"</f>
        <v>AL358472.4</v>
      </c>
      <c r="B16671" s="6">
        <v>0.88051668460710397</v>
      </c>
      <c r="C16671" s="6">
        <v>0.92879456401507599</v>
      </c>
    </row>
    <row r="16672" spans="1:3" s="8" customFormat="1" x14ac:dyDescent="0.2">
      <c r="A16672" s="6" t="str">
        <f>"AC104109.3"</f>
        <v>AC104109.3</v>
      </c>
      <c r="B16672" s="6">
        <v>0.88111888111888104</v>
      </c>
      <c r="C16672" s="6">
        <v>0.92909537092794403</v>
      </c>
    </row>
    <row r="16673" spans="1:3" s="8" customFormat="1" x14ac:dyDescent="0.2">
      <c r="A16673" s="6" t="str">
        <f>"AL359538.1"</f>
        <v>AL359538.1</v>
      </c>
      <c r="B16673" s="6">
        <v>0.88111888111888104</v>
      </c>
      <c r="C16673" s="6">
        <v>0.92909537092794403</v>
      </c>
    </row>
    <row r="16674" spans="1:3" s="8" customFormat="1" x14ac:dyDescent="0.2">
      <c r="A16674" s="6" t="str">
        <f>"AL589765.7"</f>
        <v>AL589765.7</v>
      </c>
      <c r="B16674" s="6">
        <v>0.88111888111888104</v>
      </c>
      <c r="C16674" s="6">
        <v>0.92909537092794403</v>
      </c>
    </row>
    <row r="16675" spans="1:3" s="8" customFormat="1" x14ac:dyDescent="0.2">
      <c r="A16675" s="6" t="str">
        <f>"SMCR8"</f>
        <v>SMCR8</v>
      </c>
      <c r="B16675" s="6">
        <v>0.88111888111888104</v>
      </c>
      <c r="C16675" s="6">
        <v>0.92909537092794403</v>
      </c>
    </row>
    <row r="16676" spans="1:3" s="8" customFormat="1" x14ac:dyDescent="0.2">
      <c r="A16676" s="6" t="str">
        <f>"TNPO1"</f>
        <v>TNPO1</v>
      </c>
      <c r="B16676" s="6">
        <v>0.88111888111888104</v>
      </c>
      <c r="C16676" s="6">
        <v>0.92909537092794403</v>
      </c>
    </row>
    <row r="16677" spans="1:3" s="8" customFormat="1" x14ac:dyDescent="0.2">
      <c r="A16677" s="6" t="str">
        <f>"RPS15A"</f>
        <v>RPS15A</v>
      </c>
      <c r="B16677" s="6">
        <v>0.88111888111888104</v>
      </c>
      <c r="C16677" s="6">
        <v>0.92909537092794403</v>
      </c>
    </row>
    <row r="16678" spans="1:3" s="8" customFormat="1" x14ac:dyDescent="0.2">
      <c r="A16678" s="6" t="str">
        <f>"LINC00470"</f>
        <v>LINC00470</v>
      </c>
      <c r="B16678" s="6">
        <v>0.882117882117882</v>
      </c>
      <c r="C16678" s="6">
        <v>0.92964703860718201</v>
      </c>
    </row>
    <row r="16679" spans="1:3" s="8" customFormat="1" x14ac:dyDescent="0.2">
      <c r="A16679" s="6" t="str">
        <f>"AL158850.1"</f>
        <v>AL158850.1</v>
      </c>
      <c r="B16679" s="6">
        <v>0.882117882117882</v>
      </c>
      <c r="C16679" s="6">
        <v>0.92964703860718201</v>
      </c>
    </row>
    <row r="16680" spans="1:3" s="8" customFormat="1" x14ac:dyDescent="0.2">
      <c r="A16680" s="6" t="str">
        <f>"LIN7B"</f>
        <v>LIN7B</v>
      </c>
      <c r="B16680" s="6">
        <v>0.882117882117882</v>
      </c>
      <c r="C16680" s="6">
        <v>0.92964703860718201</v>
      </c>
    </row>
    <row r="16681" spans="1:3" s="8" customFormat="1" x14ac:dyDescent="0.2">
      <c r="A16681" s="6" t="str">
        <f>"METTL1"</f>
        <v>METTL1</v>
      </c>
      <c r="B16681" s="6">
        <v>0.882117882117882</v>
      </c>
      <c r="C16681" s="6">
        <v>0.92964703860718201</v>
      </c>
    </row>
    <row r="16682" spans="1:3" s="8" customFormat="1" x14ac:dyDescent="0.2">
      <c r="A16682" s="6" t="str">
        <f>"TIMM23B"</f>
        <v>TIMM23B</v>
      </c>
      <c r="B16682" s="6">
        <v>0.882117882117882</v>
      </c>
      <c r="C16682" s="6">
        <v>0.92964703860718201</v>
      </c>
    </row>
    <row r="16683" spans="1:3" s="8" customFormat="1" x14ac:dyDescent="0.2">
      <c r="A16683" s="6" t="str">
        <f>"ZNF408"</f>
        <v>ZNF408</v>
      </c>
      <c r="B16683" s="6">
        <v>0.882117882117882</v>
      </c>
      <c r="C16683" s="6">
        <v>0.92964703860718201</v>
      </c>
    </row>
    <row r="16684" spans="1:3" s="8" customFormat="1" x14ac:dyDescent="0.2">
      <c r="A16684" s="6" t="str">
        <f>"SIK1"</f>
        <v>SIK1</v>
      </c>
      <c r="B16684" s="6">
        <v>0.882117882117882</v>
      </c>
      <c r="C16684" s="6">
        <v>0.92964703860718201</v>
      </c>
    </row>
    <row r="16685" spans="1:3" s="8" customFormat="1" x14ac:dyDescent="0.2">
      <c r="A16685" s="6" t="str">
        <f>"SFXN2"</f>
        <v>SFXN2</v>
      </c>
      <c r="B16685" s="6">
        <v>0.882117882117882</v>
      </c>
      <c r="C16685" s="6">
        <v>0.92964703860718201</v>
      </c>
    </row>
    <row r="16686" spans="1:3" s="8" customFormat="1" x14ac:dyDescent="0.2">
      <c r="A16686" s="6" t="str">
        <f>"ARL6IP4"</f>
        <v>ARL6IP4</v>
      </c>
      <c r="B16686" s="6">
        <v>0.882117882117882</v>
      </c>
      <c r="C16686" s="6">
        <v>0.92964703860718201</v>
      </c>
    </row>
    <row r="16687" spans="1:3" s="8" customFormat="1" x14ac:dyDescent="0.2">
      <c r="A16687" s="6" t="str">
        <f>"VSTM2A"</f>
        <v>VSTM2A</v>
      </c>
      <c r="B16687" s="6">
        <v>0.88311688311688297</v>
      </c>
      <c r="C16687" s="6">
        <v>0.93008668380014803</v>
      </c>
    </row>
    <row r="16688" spans="1:3" s="8" customFormat="1" x14ac:dyDescent="0.2">
      <c r="A16688" s="6" t="str">
        <f>"TCAF2P1"</f>
        <v>TCAF2P1</v>
      </c>
      <c r="B16688" s="6">
        <v>0.88311688311688297</v>
      </c>
      <c r="C16688" s="6">
        <v>0.93008668380014803</v>
      </c>
    </row>
    <row r="16689" spans="1:3" s="8" customFormat="1" x14ac:dyDescent="0.2">
      <c r="A16689" s="6" t="str">
        <f>"AC009264.1"</f>
        <v>AC009264.1</v>
      </c>
      <c r="B16689" s="6">
        <v>0.88300000000000001</v>
      </c>
      <c r="C16689" s="6">
        <v>0.93008668380014803</v>
      </c>
    </row>
    <row r="16690" spans="1:3" s="8" customFormat="1" x14ac:dyDescent="0.2">
      <c r="A16690" s="6" t="str">
        <f>"TENM3"</f>
        <v>TENM3</v>
      </c>
      <c r="B16690" s="6">
        <v>0.88311688311688297</v>
      </c>
      <c r="C16690" s="6">
        <v>0.93008668380014803</v>
      </c>
    </row>
    <row r="16691" spans="1:3" s="8" customFormat="1" x14ac:dyDescent="0.2">
      <c r="A16691" s="6" t="str">
        <f>"AC127070.1"</f>
        <v>AC127070.1</v>
      </c>
      <c r="B16691" s="6">
        <v>0.88311688311688297</v>
      </c>
      <c r="C16691" s="6">
        <v>0.93008668380014803</v>
      </c>
    </row>
    <row r="16692" spans="1:3" s="8" customFormat="1" x14ac:dyDescent="0.2">
      <c r="A16692" s="6" t="str">
        <f>"HYAL3"</f>
        <v>HYAL3</v>
      </c>
      <c r="B16692" s="6">
        <v>0.88311688311688297</v>
      </c>
      <c r="C16692" s="6">
        <v>0.93008668380014803</v>
      </c>
    </row>
    <row r="16693" spans="1:3" s="8" customFormat="1" x14ac:dyDescent="0.2">
      <c r="A16693" s="6" t="str">
        <f>"BLOC1S2"</f>
        <v>BLOC1S2</v>
      </c>
      <c r="B16693" s="6">
        <v>0.88311688311688297</v>
      </c>
      <c r="C16693" s="6">
        <v>0.93008668380014803</v>
      </c>
    </row>
    <row r="16694" spans="1:3" s="8" customFormat="1" x14ac:dyDescent="0.2">
      <c r="A16694" s="6" t="str">
        <f>"MGAT3"</f>
        <v>MGAT3</v>
      </c>
      <c r="B16694" s="6">
        <v>0.88311688311688297</v>
      </c>
      <c r="C16694" s="6">
        <v>0.93008668380014803</v>
      </c>
    </row>
    <row r="16695" spans="1:3" s="8" customFormat="1" x14ac:dyDescent="0.2">
      <c r="A16695" s="6" t="str">
        <f>"PRDM4"</f>
        <v>PRDM4</v>
      </c>
      <c r="B16695" s="6">
        <v>0.88311688311688297</v>
      </c>
      <c r="C16695" s="6">
        <v>0.93008668380014803</v>
      </c>
    </row>
    <row r="16696" spans="1:3" s="8" customFormat="1" x14ac:dyDescent="0.2">
      <c r="A16696" s="6" t="str">
        <f>"CFAP298-TCP10L"</f>
        <v>CFAP298-TCP10L</v>
      </c>
      <c r="B16696" s="6">
        <v>0.88311688311688297</v>
      </c>
      <c r="C16696" s="6">
        <v>0.93008668380014803</v>
      </c>
    </row>
    <row r="16697" spans="1:3" s="8" customFormat="1" x14ac:dyDescent="0.2">
      <c r="A16697" s="6" t="str">
        <f>"TEX261"</f>
        <v>TEX261</v>
      </c>
      <c r="B16697" s="6">
        <v>0.88311688311688297</v>
      </c>
      <c r="C16697" s="6">
        <v>0.93008668380014803</v>
      </c>
    </row>
    <row r="16698" spans="1:3" s="8" customFormat="1" x14ac:dyDescent="0.2">
      <c r="A16698" s="6" t="str">
        <f>"AC094105.2"</f>
        <v>AC094105.2</v>
      </c>
      <c r="B16698" s="6">
        <v>0.88353413654618396</v>
      </c>
      <c r="C16698" s="6">
        <v>0.930470399294969</v>
      </c>
    </row>
    <row r="16699" spans="1:3" s="8" customFormat="1" x14ac:dyDescent="0.2">
      <c r="A16699" s="6" t="str">
        <f>"FOLH1B"</f>
        <v>FOLH1B</v>
      </c>
      <c r="B16699" s="6">
        <v>0.88367346938775504</v>
      </c>
      <c r="C16699" s="6">
        <v>0.93056140170764601</v>
      </c>
    </row>
    <row r="16700" spans="1:3" s="8" customFormat="1" x14ac:dyDescent="0.2">
      <c r="A16700" s="6" t="str">
        <f>"AC009093.11"</f>
        <v>AC009093.11</v>
      </c>
      <c r="B16700" s="6">
        <v>0.88376753507014005</v>
      </c>
      <c r="C16700" s="6">
        <v>0.930604727029962</v>
      </c>
    </row>
    <row r="16701" spans="1:3" s="8" customFormat="1" x14ac:dyDescent="0.2">
      <c r="A16701" s="6" t="str">
        <f>"ANKRD20A7P"</f>
        <v>ANKRD20A7P</v>
      </c>
      <c r="B16701" s="6">
        <v>0.88411588411588404</v>
      </c>
      <c r="C16701" s="6">
        <v>0.93069287034804205</v>
      </c>
    </row>
    <row r="16702" spans="1:3" s="8" customFormat="1" x14ac:dyDescent="0.2">
      <c r="A16702" s="6" t="str">
        <f>"LINC00668"</f>
        <v>LINC00668</v>
      </c>
      <c r="B16702" s="6">
        <v>0.88411588411588404</v>
      </c>
      <c r="C16702" s="6">
        <v>0.93069287034804205</v>
      </c>
    </row>
    <row r="16703" spans="1:3" s="8" customFormat="1" x14ac:dyDescent="0.2">
      <c r="A16703" s="6" t="str">
        <f>"CYP4F26P"</f>
        <v>CYP4F26P</v>
      </c>
      <c r="B16703" s="6">
        <v>0.88411588411588404</v>
      </c>
      <c r="C16703" s="6">
        <v>0.93069287034804205</v>
      </c>
    </row>
    <row r="16704" spans="1:3" s="8" customFormat="1" x14ac:dyDescent="0.2">
      <c r="A16704" s="6" t="str">
        <f>"THOC7"</f>
        <v>THOC7</v>
      </c>
      <c r="B16704" s="6">
        <v>0.88411588411588404</v>
      </c>
      <c r="C16704" s="6">
        <v>0.93069287034804205</v>
      </c>
    </row>
    <row r="16705" spans="1:3" s="8" customFormat="1" x14ac:dyDescent="0.2">
      <c r="A16705" s="6" t="str">
        <f>"SAMHD1"</f>
        <v>SAMHD1</v>
      </c>
      <c r="B16705" s="6">
        <v>0.88411588411588404</v>
      </c>
      <c r="C16705" s="6">
        <v>0.93069287034804205</v>
      </c>
    </row>
    <row r="16706" spans="1:3" s="8" customFormat="1" x14ac:dyDescent="0.2">
      <c r="A16706" s="6" t="str">
        <f>"AC137936.2"</f>
        <v>AC137936.2</v>
      </c>
      <c r="B16706" s="6">
        <v>0.88511488511488501</v>
      </c>
      <c r="C16706" s="6">
        <v>0.93118703720594298</v>
      </c>
    </row>
    <row r="16707" spans="1:3" s="8" customFormat="1" x14ac:dyDescent="0.2">
      <c r="A16707" s="6" t="str">
        <f>"PFN1P2"</f>
        <v>PFN1P2</v>
      </c>
      <c r="B16707" s="6">
        <v>0.88511488511488501</v>
      </c>
      <c r="C16707" s="6">
        <v>0.93118703720594298</v>
      </c>
    </row>
    <row r="16708" spans="1:3" s="8" customFormat="1" x14ac:dyDescent="0.2">
      <c r="A16708" s="6" t="str">
        <f>"HSFX2"</f>
        <v>HSFX2</v>
      </c>
      <c r="B16708" s="6">
        <v>0.88511488511488501</v>
      </c>
      <c r="C16708" s="6">
        <v>0.93118703720594298</v>
      </c>
    </row>
    <row r="16709" spans="1:3" s="8" customFormat="1" x14ac:dyDescent="0.2">
      <c r="A16709" s="6" t="str">
        <f>"AC092645.1"</f>
        <v>AC092645.1</v>
      </c>
      <c r="B16709" s="6">
        <v>0.884848484848484</v>
      </c>
      <c r="C16709" s="6">
        <v>0.93118703720594298</v>
      </c>
    </row>
    <row r="16710" spans="1:3" s="8" customFormat="1" x14ac:dyDescent="0.2">
      <c r="A16710" s="6" t="str">
        <f>"TBX19"</f>
        <v>TBX19</v>
      </c>
      <c r="B16710" s="6">
        <v>0.88488488488488404</v>
      </c>
      <c r="C16710" s="6">
        <v>0.93118703720594298</v>
      </c>
    </row>
    <row r="16711" spans="1:3" s="8" customFormat="1" x14ac:dyDescent="0.2">
      <c r="A16711" s="6" t="str">
        <f>"BOLA3-AS1"</f>
        <v>BOLA3-AS1</v>
      </c>
      <c r="B16711" s="6">
        <v>0.88511488511488501</v>
      </c>
      <c r="C16711" s="6">
        <v>0.93118703720594298</v>
      </c>
    </row>
    <row r="16712" spans="1:3" s="8" customFormat="1" x14ac:dyDescent="0.2">
      <c r="A16712" s="6" t="str">
        <f>"TIGD3"</f>
        <v>TIGD3</v>
      </c>
      <c r="B16712" s="6">
        <v>0.88511488511488501</v>
      </c>
      <c r="C16712" s="6">
        <v>0.93118703720594298</v>
      </c>
    </row>
    <row r="16713" spans="1:3" s="8" customFormat="1" x14ac:dyDescent="0.2">
      <c r="A16713" s="6" t="str">
        <f>"ADAMTS3"</f>
        <v>ADAMTS3</v>
      </c>
      <c r="B16713" s="6">
        <v>0.88511488511488501</v>
      </c>
      <c r="C16713" s="6">
        <v>0.93118703720594298</v>
      </c>
    </row>
    <row r="16714" spans="1:3" s="8" customFormat="1" x14ac:dyDescent="0.2">
      <c r="A16714" s="6" t="str">
        <f>"UTP4"</f>
        <v>UTP4</v>
      </c>
      <c r="B16714" s="6">
        <v>0.88511488511488501</v>
      </c>
      <c r="C16714" s="6">
        <v>0.93118703720594298</v>
      </c>
    </row>
    <row r="16715" spans="1:3" s="8" customFormat="1" x14ac:dyDescent="0.2">
      <c r="A16715" s="6" t="str">
        <f>"GORASP2"</f>
        <v>GORASP2</v>
      </c>
      <c r="B16715" s="6">
        <v>0.88511488511488501</v>
      </c>
      <c r="C16715" s="6">
        <v>0.93118703720594298</v>
      </c>
    </row>
    <row r="16716" spans="1:3" s="8" customFormat="1" x14ac:dyDescent="0.2">
      <c r="A16716" s="6" t="str">
        <f>"RIMBP3C"</f>
        <v>RIMBP3C</v>
      </c>
      <c r="B16716" s="6">
        <v>0.88600000000000001</v>
      </c>
      <c r="C16716" s="6">
        <v>0.93168061309654204</v>
      </c>
    </row>
    <row r="16717" spans="1:3" s="8" customFormat="1" x14ac:dyDescent="0.2">
      <c r="A16717" s="6" t="str">
        <f>"AP001412.1"</f>
        <v>AP001412.1</v>
      </c>
      <c r="B16717" s="6">
        <v>0.88577154308617201</v>
      </c>
      <c r="C16717" s="6">
        <v>0.93168061309654204</v>
      </c>
    </row>
    <row r="16718" spans="1:3" s="8" customFormat="1" x14ac:dyDescent="0.2">
      <c r="A16718" s="6" t="str">
        <f>"AL627309.3"</f>
        <v>AL627309.3</v>
      </c>
      <c r="B16718" s="6">
        <v>0.88600000000000001</v>
      </c>
      <c r="C16718" s="6">
        <v>0.93168061309654204</v>
      </c>
    </row>
    <row r="16719" spans="1:3" s="8" customFormat="1" x14ac:dyDescent="0.2">
      <c r="A16719" s="6" t="str">
        <f>"ATCAY"</f>
        <v>ATCAY</v>
      </c>
      <c r="B16719" s="6">
        <v>0.88611388611388597</v>
      </c>
      <c r="C16719" s="6">
        <v>0.93168061309654204</v>
      </c>
    </row>
    <row r="16720" spans="1:3" s="8" customFormat="1" x14ac:dyDescent="0.2">
      <c r="A16720" s="6" t="str">
        <f>"CYP4F35P"</f>
        <v>CYP4F35P</v>
      </c>
      <c r="B16720" s="6">
        <v>0.88611388611388597</v>
      </c>
      <c r="C16720" s="6">
        <v>0.93168061309654204</v>
      </c>
    </row>
    <row r="16721" spans="1:3" s="8" customFormat="1" x14ac:dyDescent="0.2">
      <c r="A16721" s="6" t="str">
        <f>"PMS2P6"</f>
        <v>PMS2P6</v>
      </c>
      <c r="B16721" s="6">
        <v>0.88611388611388597</v>
      </c>
      <c r="C16721" s="6">
        <v>0.93168061309654204</v>
      </c>
    </row>
    <row r="16722" spans="1:3" s="8" customFormat="1" x14ac:dyDescent="0.2">
      <c r="A16722" s="6" t="str">
        <f>"CABYR"</f>
        <v>CABYR</v>
      </c>
      <c r="B16722" s="6">
        <v>0.88611388611388597</v>
      </c>
      <c r="C16722" s="6">
        <v>0.93168061309654204</v>
      </c>
    </row>
    <row r="16723" spans="1:3" s="8" customFormat="1" x14ac:dyDescent="0.2">
      <c r="A16723" s="6" t="str">
        <f>"HTRA2"</f>
        <v>HTRA2</v>
      </c>
      <c r="B16723" s="6">
        <v>0.88611388611388597</v>
      </c>
      <c r="C16723" s="6">
        <v>0.93168061309654204</v>
      </c>
    </row>
    <row r="16724" spans="1:3" s="8" customFormat="1" x14ac:dyDescent="0.2">
      <c r="A16724" s="6" t="str">
        <f>"ZER1"</f>
        <v>ZER1</v>
      </c>
      <c r="B16724" s="6">
        <v>0.88611388611388597</v>
      </c>
      <c r="C16724" s="6">
        <v>0.93168061309654204</v>
      </c>
    </row>
    <row r="16725" spans="1:3" s="8" customFormat="1" x14ac:dyDescent="0.2">
      <c r="A16725" s="6" t="str">
        <f>"DIDO1"</f>
        <v>DIDO1</v>
      </c>
      <c r="B16725" s="6">
        <v>0.88611388611388597</v>
      </c>
      <c r="C16725" s="6">
        <v>0.93168061309654204</v>
      </c>
    </row>
    <row r="16726" spans="1:3" s="8" customFormat="1" x14ac:dyDescent="0.2">
      <c r="A16726" s="6" t="str">
        <f>"Z95331.1"</f>
        <v>Z95331.1</v>
      </c>
      <c r="B16726" s="6">
        <v>0.88665997993981904</v>
      </c>
      <c r="C16726" s="6">
        <v>0.932199048565727</v>
      </c>
    </row>
    <row r="16727" spans="1:3" s="8" customFormat="1" x14ac:dyDescent="0.2">
      <c r="A16727" s="6" t="str">
        <f>"AC007036.1"</f>
        <v>AC007036.1</v>
      </c>
      <c r="B16727" s="6">
        <v>0.88711288711288705</v>
      </c>
      <c r="C16727" s="6">
        <v>0.93239647381906798</v>
      </c>
    </row>
    <row r="16728" spans="1:3" s="8" customFormat="1" x14ac:dyDescent="0.2">
      <c r="A16728" s="6" t="str">
        <f>"ABCC11"</f>
        <v>ABCC11</v>
      </c>
      <c r="B16728" s="6">
        <v>0.88711288711288705</v>
      </c>
      <c r="C16728" s="6">
        <v>0.93239647381906798</v>
      </c>
    </row>
    <row r="16729" spans="1:3" s="8" customFormat="1" x14ac:dyDescent="0.2">
      <c r="A16729" s="6" t="str">
        <f>"AL590807.1"</f>
        <v>AL590807.1</v>
      </c>
      <c r="B16729" s="6">
        <v>0.88711288711288705</v>
      </c>
      <c r="C16729" s="6">
        <v>0.93239647381906798</v>
      </c>
    </row>
    <row r="16730" spans="1:3" s="8" customFormat="1" x14ac:dyDescent="0.2">
      <c r="A16730" s="6" t="str">
        <f>"POLH"</f>
        <v>POLH</v>
      </c>
      <c r="B16730" s="6">
        <v>0.88711288711288705</v>
      </c>
      <c r="C16730" s="6">
        <v>0.93239647381906798</v>
      </c>
    </row>
    <row r="16731" spans="1:3" s="8" customFormat="1" x14ac:dyDescent="0.2">
      <c r="A16731" s="6" t="str">
        <f>"SNHG5"</f>
        <v>SNHG5</v>
      </c>
      <c r="B16731" s="6">
        <v>0.88711288711288705</v>
      </c>
      <c r="C16731" s="6">
        <v>0.93239647381906798</v>
      </c>
    </row>
    <row r="16732" spans="1:3" s="8" customFormat="1" x14ac:dyDescent="0.2">
      <c r="A16732" s="6" t="str">
        <f>"C1orf232"</f>
        <v>C1orf232</v>
      </c>
      <c r="B16732" s="6">
        <v>0.88811188811188801</v>
      </c>
      <c r="C16732" s="6">
        <v>0.93305606981892997</v>
      </c>
    </row>
    <row r="16733" spans="1:3" s="8" customFormat="1" x14ac:dyDescent="0.2">
      <c r="A16733" s="6" t="str">
        <f>"RNF32-AS1"</f>
        <v>RNF32-AS1</v>
      </c>
      <c r="B16733" s="6">
        <v>0.88811188811188801</v>
      </c>
      <c r="C16733" s="6">
        <v>0.93305606981892997</v>
      </c>
    </row>
    <row r="16734" spans="1:3" s="8" customFormat="1" x14ac:dyDescent="0.2">
      <c r="A16734" s="6" t="str">
        <f>"AC015987.1"</f>
        <v>AC015987.1</v>
      </c>
      <c r="B16734" s="6">
        <v>0.88811188811188801</v>
      </c>
      <c r="C16734" s="6">
        <v>0.93305606981892997</v>
      </c>
    </row>
    <row r="16735" spans="1:3" s="8" customFormat="1" x14ac:dyDescent="0.2">
      <c r="A16735" s="6" t="str">
        <f>"AL031985.3"</f>
        <v>AL031985.3</v>
      </c>
      <c r="B16735" s="6">
        <v>0.88811188811188801</v>
      </c>
      <c r="C16735" s="6">
        <v>0.93305606981892997</v>
      </c>
    </row>
    <row r="16736" spans="1:3" s="8" customFormat="1" x14ac:dyDescent="0.2">
      <c r="A16736" s="6" t="str">
        <f>"PRECSIT"</f>
        <v>PRECSIT</v>
      </c>
      <c r="B16736" s="6">
        <v>0.88811188811188801</v>
      </c>
      <c r="C16736" s="6">
        <v>0.93305606981892997</v>
      </c>
    </row>
    <row r="16737" spans="1:3" s="8" customFormat="1" x14ac:dyDescent="0.2">
      <c r="A16737" s="6" t="str">
        <f>"TBCC"</f>
        <v>TBCC</v>
      </c>
      <c r="B16737" s="6">
        <v>0.88811188811188801</v>
      </c>
      <c r="C16737" s="6">
        <v>0.93305606981892997</v>
      </c>
    </row>
    <row r="16738" spans="1:3" s="8" customFormat="1" x14ac:dyDescent="0.2">
      <c r="A16738" s="6" t="str">
        <f>"FOXO1"</f>
        <v>FOXO1</v>
      </c>
      <c r="B16738" s="6">
        <v>0.88811188811188801</v>
      </c>
      <c r="C16738" s="6">
        <v>0.93305606981892997</v>
      </c>
    </row>
    <row r="16739" spans="1:3" s="8" customFormat="1" x14ac:dyDescent="0.2">
      <c r="A16739" s="6" t="str">
        <f>"AC008074.2"</f>
        <v>AC008074.2</v>
      </c>
      <c r="B16739" s="6">
        <v>0.88846880907372405</v>
      </c>
      <c r="C16739" s="6">
        <v>0.93337528610063103</v>
      </c>
    </row>
    <row r="16740" spans="1:3" s="8" customFormat="1" x14ac:dyDescent="0.2">
      <c r="A16740" s="6" t="str">
        <f>"NMNAT2"</f>
        <v>NMNAT2</v>
      </c>
      <c r="B16740" s="6">
        <v>0.88911088911088898</v>
      </c>
      <c r="C16740" s="6">
        <v>0.93371511431712095</v>
      </c>
    </row>
    <row r="16741" spans="1:3" s="8" customFormat="1" x14ac:dyDescent="0.2">
      <c r="A16741" s="6" t="str">
        <f>"CLIP3"</f>
        <v>CLIP3</v>
      </c>
      <c r="B16741" s="6">
        <v>0.88911088911088898</v>
      </c>
      <c r="C16741" s="6">
        <v>0.93371511431712095</v>
      </c>
    </row>
    <row r="16742" spans="1:3" s="8" customFormat="1" x14ac:dyDescent="0.2">
      <c r="A16742" s="6" t="str">
        <f>"CD1C"</f>
        <v>CD1C</v>
      </c>
      <c r="B16742" s="6">
        <v>0.88911088911088898</v>
      </c>
      <c r="C16742" s="6">
        <v>0.93371511431712095</v>
      </c>
    </row>
    <row r="16743" spans="1:3" s="8" customFormat="1" x14ac:dyDescent="0.2">
      <c r="A16743" s="6" t="str">
        <f>"NAIF1"</f>
        <v>NAIF1</v>
      </c>
      <c r="B16743" s="6">
        <v>0.88911088911088898</v>
      </c>
      <c r="C16743" s="6">
        <v>0.93371511431712095</v>
      </c>
    </row>
    <row r="16744" spans="1:3" s="8" customFormat="1" x14ac:dyDescent="0.2">
      <c r="A16744" s="6" t="str">
        <f>"ZNF143"</f>
        <v>ZNF143</v>
      </c>
      <c r="B16744" s="6">
        <v>0.88911088911088898</v>
      </c>
      <c r="C16744" s="6">
        <v>0.93371511431712095</v>
      </c>
    </row>
    <row r="16745" spans="1:3" s="8" customFormat="1" x14ac:dyDescent="0.2">
      <c r="A16745" s="6" t="str">
        <f>"SMG1"</f>
        <v>SMG1</v>
      </c>
      <c r="B16745" s="6">
        <v>0.88911088911088898</v>
      </c>
      <c r="C16745" s="6">
        <v>0.93371511431712095</v>
      </c>
    </row>
    <row r="16746" spans="1:3" s="8" customFormat="1" x14ac:dyDescent="0.2">
      <c r="A16746" s="6" t="str">
        <f>"AC012184.4"</f>
        <v>AC012184.4</v>
      </c>
      <c r="B16746" s="6">
        <v>0.88977955911823603</v>
      </c>
      <c r="C16746" s="6">
        <v>0.934361526875788</v>
      </c>
    </row>
    <row r="16747" spans="1:3" s="8" customFormat="1" x14ac:dyDescent="0.2">
      <c r="A16747" s="6" t="str">
        <f>"AC018809.3"</f>
        <v>AC018809.3</v>
      </c>
      <c r="B16747" s="6">
        <v>0.89</v>
      </c>
      <c r="C16747" s="6">
        <v>0.934373608005032</v>
      </c>
    </row>
    <row r="16748" spans="1:3" s="8" customFormat="1" x14ac:dyDescent="0.2">
      <c r="A16748" s="6" t="str">
        <f>"COL12A1"</f>
        <v>COL12A1</v>
      </c>
      <c r="B16748" s="6">
        <v>0.89010989010988995</v>
      </c>
      <c r="C16748" s="6">
        <v>0.934373608005032</v>
      </c>
    </row>
    <row r="16749" spans="1:3" s="8" customFormat="1" x14ac:dyDescent="0.2">
      <c r="A16749" s="6" t="str">
        <f>"GEMIN6"</f>
        <v>GEMIN6</v>
      </c>
      <c r="B16749" s="6">
        <v>0.89010989010988995</v>
      </c>
      <c r="C16749" s="6">
        <v>0.934373608005032</v>
      </c>
    </row>
    <row r="16750" spans="1:3" s="8" customFormat="1" x14ac:dyDescent="0.2">
      <c r="A16750" s="6" t="str">
        <f>"ZNF224"</f>
        <v>ZNF224</v>
      </c>
      <c r="B16750" s="6">
        <v>0.89010989010988995</v>
      </c>
      <c r="C16750" s="6">
        <v>0.934373608005032</v>
      </c>
    </row>
    <row r="16751" spans="1:3" s="8" customFormat="1" x14ac:dyDescent="0.2">
      <c r="A16751" s="6" t="str">
        <f>"ZNF317"</f>
        <v>ZNF317</v>
      </c>
      <c r="B16751" s="6">
        <v>0.89010989010988995</v>
      </c>
      <c r="C16751" s="6">
        <v>0.934373608005032</v>
      </c>
    </row>
    <row r="16752" spans="1:3" s="8" customFormat="1" x14ac:dyDescent="0.2">
      <c r="A16752" s="6" t="str">
        <f>"KIF3A"</f>
        <v>KIF3A</v>
      </c>
      <c r="B16752" s="6">
        <v>0.89010989010988995</v>
      </c>
      <c r="C16752" s="6">
        <v>0.934373608005032</v>
      </c>
    </row>
    <row r="16753" spans="1:3" s="8" customFormat="1" x14ac:dyDescent="0.2">
      <c r="A16753" s="6" t="str">
        <f>"AL590326.1"</f>
        <v>AL590326.1</v>
      </c>
      <c r="B16753" s="6">
        <v>0.89100000000000001</v>
      </c>
      <c r="C16753" s="6">
        <v>0.93514315715318297</v>
      </c>
    </row>
    <row r="16754" spans="1:3" s="8" customFormat="1" x14ac:dyDescent="0.2">
      <c r="A16754" s="6" t="str">
        <f>"AC006449.2"</f>
        <v>AC006449.2</v>
      </c>
      <c r="B16754" s="6">
        <v>0.89100000000000001</v>
      </c>
      <c r="C16754" s="6">
        <v>0.93514315715318297</v>
      </c>
    </row>
    <row r="16755" spans="1:3" s="8" customFormat="1" x14ac:dyDescent="0.2">
      <c r="A16755" s="6" t="str">
        <f>"ZPBP"</f>
        <v>ZPBP</v>
      </c>
      <c r="B16755" s="6">
        <v>0.89110889110889102</v>
      </c>
      <c r="C16755" s="6">
        <v>0.93514315715318297</v>
      </c>
    </row>
    <row r="16756" spans="1:3" s="8" customFormat="1" x14ac:dyDescent="0.2">
      <c r="A16756" s="6" t="str">
        <f>"VSTM4"</f>
        <v>VSTM4</v>
      </c>
      <c r="B16756" s="6">
        <v>0.89110889110889102</v>
      </c>
      <c r="C16756" s="6">
        <v>0.93514315715318297</v>
      </c>
    </row>
    <row r="16757" spans="1:3" s="8" customFormat="1" x14ac:dyDescent="0.2">
      <c r="A16757" s="6" t="str">
        <f>"PSAP"</f>
        <v>PSAP</v>
      </c>
      <c r="B16757" s="6">
        <v>0.89110889110889102</v>
      </c>
      <c r="C16757" s="6">
        <v>0.93514315715318297</v>
      </c>
    </row>
    <row r="16758" spans="1:3" s="8" customFormat="1" x14ac:dyDescent="0.2">
      <c r="A16758" s="6" t="str">
        <f>"AL157700.1"</f>
        <v>AL157700.1</v>
      </c>
      <c r="B16758" s="6">
        <v>0.89210789210789199</v>
      </c>
      <c r="C16758" s="6">
        <v>0.93585641181393397</v>
      </c>
    </row>
    <row r="16759" spans="1:3" s="8" customFormat="1" x14ac:dyDescent="0.2">
      <c r="A16759" s="6" t="str">
        <f>"DIPK1B"</f>
        <v>DIPK1B</v>
      </c>
      <c r="B16759" s="6">
        <v>0.89210789210789199</v>
      </c>
      <c r="C16759" s="6">
        <v>0.93585641181393397</v>
      </c>
    </row>
    <row r="16760" spans="1:3" s="8" customFormat="1" x14ac:dyDescent="0.2">
      <c r="A16760" s="6" t="str">
        <f>"AC012081.2"</f>
        <v>AC012081.2</v>
      </c>
      <c r="B16760" s="6">
        <v>0.89210789210789199</v>
      </c>
      <c r="C16760" s="6">
        <v>0.93585641181393397</v>
      </c>
    </row>
    <row r="16761" spans="1:3" s="8" customFormat="1" x14ac:dyDescent="0.2">
      <c r="A16761" s="6" t="str">
        <f>"C1orf216"</f>
        <v>C1orf216</v>
      </c>
      <c r="B16761" s="6">
        <v>0.89210789210789199</v>
      </c>
      <c r="C16761" s="6">
        <v>0.93585641181393397</v>
      </c>
    </row>
    <row r="16762" spans="1:3" s="8" customFormat="1" x14ac:dyDescent="0.2">
      <c r="A16762" s="6" t="str">
        <f>"GAS2L1"</f>
        <v>GAS2L1</v>
      </c>
      <c r="B16762" s="6">
        <v>0.89210789210789199</v>
      </c>
      <c r="C16762" s="6">
        <v>0.93585641181393397</v>
      </c>
    </row>
    <row r="16763" spans="1:3" s="8" customFormat="1" x14ac:dyDescent="0.2">
      <c r="A16763" s="6" t="str">
        <f>"ALAD"</f>
        <v>ALAD</v>
      </c>
      <c r="B16763" s="6">
        <v>0.89210789210789199</v>
      </c>
      <c r="C16763" s="6">
        <v>0.93585641181393397</v>
      </c>
    </row>
    <row r="16764" spans="1:3" s="8" customFormat="1" x14ac:dyDescent="0.2">
      <c r="A16764" s="6" t="str">
        <f>"VXN"</f>
        <v>VXN</v>
      </c>
      <c r="B16764" s="6">
        <v>0.89310689310689295</v>
      </c>
      <c r="C16764" s="6">
        <v>0.93668087846782799</v>
      </c>
    </row>
    <row r="16765" spans="1:3" s="8" customFormat="1" x14ac:dyDescent="0.2">
      <c r="A16765" s="6" t="str">
        <f>"AC127024.5"</f>
        <v>AC127024.5</v>
      </c>
      <c r="B16765" s="6">
        <v>0.89306029579067103</v>
      </c>
      <c r="C16765" s="6">
        <v>0.93668087846782799</v>
      </c>
    </row>
    <row r="16766" spans="1:3" s="8" customFormat="1" x14ac:dyDescent="0.2">
      <c r="A16766" s="6" t="str">
        <f>"AL590560.2"</f>
        <v>AL590560.2</v>
      </c>
      <c r="B16766" s="6">
        <v>0.89310689310689295</v>
      </c>
      <c r="C16766" s="6">
        <v>0.93668087846782799</v>
      </c>
    </row>
    <row r="16767" spans="1:3" s="8" customFormat="1" x14ac:dyDescent="0.2">
      <c r="A16767" s="6" t="str">
        <f>"LIN9"</f>
        <v>LIN9</v>
      </c>
      <c r="B16767" s="6">
        <v>0.89310689310689295</v>
      </c>
      <c r="C16767" s="6">
        <v>0.93668087846782799</v>
      </c>
    </row>
    <row r="16768" spans="1:3" s="8" customFormat="1" x14ac:dyDescent="0.2">
      <c r="A16768" s="6" t="str">
        <f>"SERTM1"</f>
        <v>SERTM1</v>
      </c>
      <c r="B16768" s="6">
        <v>0.89410589410589403</v>
      </c>
      <c r="C16768" s="6">
        <v>0.93722551665919696</v>
      </c>
    </row>
    <row r="16769" spans="1:3" s="8" customFormat="1" x14ac:dyDescent="0.2">
      <c r="A16769" s="6" t="str">
        <f>"FP236241.1"</f>
        <v>FP236241.1</v>
      </c>
      <c r="B16769" s="6">
        <v>0.89400000000000002</v>
      </c>
      <c r="C16769" s="6">
        <v>0.93722551665919696</v>
      </c>
    </row>
    <row r="16770" spans="1:3" s="8" customFormat="1" x14ac:dyDescent="0.2">
      <c r="A16770" s="6" t="str">
        <f>"AL158071.3"</f>
        <v>AL158071.3</v>
      </c>
      <c r="B16770" s="6">
        <v>0.89410589410589403</v>
      </c>
      <c r="C16770" s="6">
        <v>0.93722551665919696</v>
      </c>
    </row>
    <row r="16771" spans="1:3" s="8" customFormat="1" x14ac:dyDescent="0.2">
      <c r="A16771" s="6" t="str">
        <f>"CD160"</f>
        <v>CD160</v>
      </c>
      <c r="B16771" s="6">
        <v>0.89410589410589403</v>
      </c>
      <c r="C16771" s="6">
        <v>0.93722551665919696</v>
      </c>
    </row>
    <row r="16772" spans="1:3" s="8" customFormat="1" x14ac:dyDescent="0.2">
      <c r="A16772" s="6" t="str">
        <f>"BCL11B"</f>
        <v>BCL11B</v>
      </c>
      <c r="B16772" s="6">
        <v>0.89410589410589403</v>
      </c>
      <c r="C16772" s="6">
        <v>0.93722551665919696</v>
      </c>
    </row>
    <row r="16773" spans="1:3" s="8" customFormat="1" x14ac:dyDescent="0.2">
      <c r="A16773" s="6" t="str">
        <f>"RORB"</f>
        <v>RORB</v>
      </c>
      <c r="B16773" s="6">
        <v>0.89410589410589403</v>
      </c>
      <c r="C16773" s="6">
        <v>0.93722551665919696</v>
      </c>
    </row>
    <row r="16774" spans="1:3" s="8" customFormat="1" x14ac:dyDescent="0.2">
      <c r="A16774" s="6" t="str">
        <f>"CEP57L1"</f>
        <v>CEP57L1</v>
      </c>
      <c r="B16774" s="6">
        <v>0.89410589410589403</v>
      </c>
      <c r="C16774" s="6">
        <v>0.93722551665919696</v>
      </c>
    </row>
    <row r="16775" spans="1:3" s="8" customFormat="1" x14ac:dyDescent="0.2">
      <c r="A16775" s="6" t="str">
        <f>"NDRG3"</f>
        <v>NDRG3</v>
      </c>
      <c r="B16775" s="6">
        <v>0.89410589410589403</v>
      </c>
      <c r="C16775" s="6">
        <v>0.93722551665919696</v>
      </c>
    </row>
    <row r="16776" spans="1:3" s="8" customFormat="1" x14ac:dyDescent="0.2">
      <c r="A16776" s="6" t="str">
        <f>"HS3ST1"</f>
        <v>HS3ST1</v>
      </c>
      <c r="B16776" s="6">
        <v>0.89410589410589403</v>
      </c>
      <c r="C16776" s="6">
        <v>0.93722551665919696</v>
      </c>
    </row>
    <row r="16777" spans="1:3" s="8" customFormat="1" x14ac:dyDescent="0.2">
      <c r="A16777" s="6" t="str">
        <f>"LINC01474"</f>
        <v>LINC01474</v>
      </c>
      <c r="B16777" s="6">
        <v>0.89510489510489499</v>
      </c>
      <c r="C16777" s="6">
        <v>0.93776957075336398</v>
      </c>
    </row>
    <row r="16778" spans="1:3" s="8" customFormat="1" x14ac:dyDescent="0.2">
      <c r="A16778" s="6" t="str">
        <f>"SCYL2P1"</f>
        <v>SCYL2P1</v>
      </c>
      <c r="B16778" s="6">
        <v>0.89468405215646896</v>
      </c>
      <c r="C16778" s="6">
        <v>0.93776957075336398</v>
      </c>
    </row>
    <row r="16779" spans="1:3" s="8" customFormat="1" x14ac:dyDescent="0.2">
      <c r="A16779" s="6" t="str">
        <f>"LINC02547"</f>
        <v>LINC02547</v>
      </c>
      <c r="B16779" s="6">
        <v>0.89506820566631595</v>
      </c>
      <c r="C16779" s="6">
        <v>0.93776957075336398</v>
      </c>
    </row>
    <row r="16780" spans="1:3" s="8" customFormat="1" x14ac:dyDescent="0.2">
      <c r="A16780" s="6" t="str">
        <f>"AL512506.3"</f>
        <v>AL512506.3</v>
      </c>
      <c r="B16780" s="6">
        <v>0.89510489510489499</v>
      </c>
      <c r="C16780" s="6">
        <v>0.93776957075336398</v>
      </c>
    </row>
    <row r="16781" spans="1:3" s="8" customFormat="1" x14ac:dyDescent="0.2">
      <c r="A16781" s="6" t="str">
        <f>"AC005041.2"</f>
        <v>AC005041.2</v>
      </c>
      <c r="B16781" s="6">
        <v>0.89510489510489499</v>
      </c>
      <c r="C16781" s="6">
        <v>0.93776957075336398</v>
      </c>
    </row>
    <row r="16782" spans="1:3" s="8" customFormat="1" x14ac:dyDescent="0.2">
      <c r="A16782" s="6" t="str">
        <f>"SLC12A3"</f>
        <v>SLC12A3</v>
      </c>
      <c r="B16782" s="6">
        <v>0.89510489510489499</v>
      </c>
      <c r="C16782" s="6">
        <v>0.93776957075336398</v>
      </c>
    </row>
    <row r="16783" spans="1:3" s="8" customFormat="1" x14ac:dyDescent="0.2">
      <c r="A16783" s="6" t="str">
        <f>"GHET1"</f>
        <v>GHET1</v>
      </c>
      <c r="B16783" s="6">
        <v>0.89510489510489499</v>
      </c>
      <c r="C16783" s="6">
        <v>0.93776957075336398</v>
      </c>
    </row>
    <row r="16784" spans="1:3" s="8" customFormat="1" x14ac:dyDescent="0.2">
      <c r="A16784" s="6" t="str">
        <f>"SPTLC1"</f>
        <v>SPTLC1</v>
      </c>
      <c r="B16784" s="6">
        <v>0.89510489510489499</v>
      </c>
      <c r="C16784" s="6">
        <v>0.93776957075336398</v>
      </c>
    </row>
    <row r="16785" spans="1:3" s="8" customFormat="1" x14ac:dyDescent="0.2">
      <c r="A16785" s="6" t="str">
        <f>"SPG7"</f>
        <v>SPG7</v>
      </c>
      <c r="B16785" s="6">
        <v>0.89500000000000002</v>
      </c>
      <c r="C16785" s="6">
        <v>0.93776957075336398</v>
      </c>
    </row>
    <row r="16786" spans="1:3" s="8" customFormat="1" x14ac:dyDescent="0.2">
      <c r="A16786" s="6" t="str">
        <f>"PRAL"</f>
        <v>PRAL</v>
      </c>
      <c r="B16786" s="6">
        <v>0.89610389610389596</v>
      </c>
      <c r="C16786" s="6">
        <v>0.93831304168944796</v>
      </c>
    </row>
    <row r="16787" spans="1:3" s="8" customFormat="1" x14ac:dyDescent="0.2">
      <c r="A16787" s="6" t="str">
        <f>"AC069307.1"</f>
        <v>AC069307.1</v>
      </c>
      <c r="B16787" s="6">
        <v>0.89606458123107902</v>
      </c>
      <c r="C16787" s="6">
        <v>0.93831304168944796</v>
      </c>
    </row>
    <row r="16788" spans="1:3" s="8" customFormat="1" x14ac:dyDescent="0.2">
      <c r="A16788" s="6" t="str">
        <f>"AP000229.1"</f>
        <v>AP000229.1</v>
      </c>
      <c r="B16788" s="6">
        <v>0.89610389610389596</v>
      </c>
      <c r="C16788" s="6">
        <v>0.93831304168944796</v>
      </c>
    </row>
    <row r="16789" spans="1:3" s="8" customFormat="1" x14ac:dyDescent="0.2">
      <c r="A16789" s="6" t="str">
        <f>"AC007682.1"</f>
        <v>AC007682.1</v>
      </c>
      <c r="B16789" s="6">
        <v>0.89600000000000002</v>
      </c>
      <c r="C16789" s="6">
        <v>0.93831304168944796</v>
      </c>
    </row>
    <row r="16790" spans="1:3" s="8" customFormat="1" x14ac:dyDescent="0.2">
      <c r="A16790" s="6" t="str">
        <f>"AC015921.1"</f>
        <v>AC015921.1</v>
      </c>
      <c r="B16790" s="6">
        <v>0.89610389610389596</v>
      </c>
      <c r="C16790" s="6">
        <v>0.93831304168944796</v>
      </c>
    </row>
    <row r="16791" spans="1:3" s="8" customFormat="1" x14ac:dyDescent="0.2">
      <c r="A16791" s="6" t="str">
        <f>"AL161891.1"</f>
        <v>AL161891.1</v>
      </c>
      <c r="B16791" s="6">
        <v>0.89589589589589502</v>
      </c>
      <c r="C16791" s="6">
        <v>0.93831304168944796</v>
      </c>
    </row>
    <row r="16792" spans="1:3" s="8" customFormat="1" x14ac:dyDescent="0.2">
      <c r="A16792" s="6" t="str">
        <f>"ZNF18"</f>
        <v>ZNF18</v>
      </c>
      <c r="B16792" s="6">
        <v>0.89610389610389596</v>
      </c>
      <c r="C16792" s="6">
        <v>0.93831304168944796</v>
      </c>
    </row>
    <row r="16793" spans="1:3" s="8" customFormat="1" x14ac:dyDescent="0.2">
      <c r="A16793" s="6" t="str">
        <f>"LRP3"</f>
        <v>LRP3</v>
      </c>
      <c r="B16793" s="6">
        <v>0.89610389610389596</v>
      </c>
      <c r="C16793" s="6">
        <v>0.93831304168944796</v>
      </c>
    </row>
    <row r="16794" spans="1:3" s="8" customFormat="1" x14ac:dyDescent="0.2">
      <c r="A16794" s="6" t="str">
        <f>"CSNK2A1"</f>
        <v>CSNK2A1</v>
      </c>
      <c r="B16794" s="6">
        <v>0.89610389610389596</v>
      </c>
      <c r="C16794" s="6">
        <v>0.93831304168944796</v>
      </c>
    </row>
    <row r="16795" spans="1:3" s="8" customFormat="1" x14ac:dyDescent="0.2">
      <c r="A16795" s="6" t="str">
        <f>"RHEX"</f>
        <v>RHEX</v>
      </c>
      <c r="B16795" s="6">
        <v>0.89710289710289703</v>
      </c>
      <c r="C16795" s="6">
        <v>0.93896769896769805</v>
      </c>
    </row>
    <row r="16796" spans="1:3" s="8" customFormat="1" x14ac:dyDescent="0.2">
      <c r="A16796" s="6" t="str">
        <f>"TLL1"</f>
        <v>TLL1</v>
      </c>
      <c r="B16796" s="6">
        <v>0.89700000000000002</v>
      </c>
      <c r="C16796" s="6">
        <v>0.93896769896769805</v>
      </c>
    </row>
    <row r="16797" spans="1:3" s="8" customFormat="1" x14ac:dyDescent="0.2">
      <c r="A16797" s="6" t="str">
        <f>"AL161785.1"</f>
        <v>AL161785.1</v>
      </c>
      <c r="B16797" s="6">
        <v>0.89710289710289703</v>
      </c>
      <c r="C16797" s="6">
        <v>0.93896769896769805</v>
      </c>
    </row>
    <row r="16798" spans="1:3" s="8" customFormat="1" x14ac:dyDescent="0.2">
      <c r="A16798" s="6" t="str">
        <f>"CLTCL1"</f>
        <v>CLTCL1</v>
      </c>
      <c r="B16798" s="6">
        <v>0.89710289710289703</v>
      </c>
      <c r="C16798" s="6">
        <v>0.93896769896769805</v>
      </c>
    </row>
    <row r="16799" spans="1:3" s="8" customFormat="1" x14ac:dyDescent="0.2">
      <c r="A16799" s="6" t="str">
        <f>"SLC25A14"</f>
        <v>SLC25A14</v>
      </c>
      <c r="B16799" s="6">
        <v>0.89710289710289703</v>
      </c>
      <c r="C16799" s="6">
        <v>0.93896769896769805</v>
      </c>
    </row>
    <row r="16800" spans="1:3" s="8" customFormat="1" x14ac:dyDescent="0.2">
      <c r="A16800" s="6" t="str">
        <f>"TOP3A"</f>
        <v>TOP3A</v>
      </c>
      <c r="B16800" s="6">
        <v>0.89710289710289703</v>
      </c>
      <c r="C16800" s="6">
        <v>0.93896769896769805</v>
      </c>
    </row>
    <row r="16801" spans="1:3" s="8" customFormat="1" x14ac:dyDescent="0.2">
      <c r="A16801" s="6" t="str">
        <f>"AKR1C1"</f>
        <v>AKR1C1</v>
      </c>
      <c r="B16801" s="6">
        <v>0.89710289710289703</v>
      </c>
      <c r="C16801" s="6">
        <v>0.93896769896769805</v>
      </c>
    </row>
    <row r="16802" spans="1:3" s="8" customFormat="1" x14ac:dyDescent="0.2">
      <c r="A16802" s="6" t="str">
        <f>"MMP21"</f>
        <v>MMP21</v>
      </c>
      <c r="B16802" s="6">
        <v>0.89808917197452198</v>
      </c>
      <c r="C16802" s="6">
        <v>0.93956590767633097</v>
      </c>
    </row>
    <row r="16803" spans="1:3" s="8" customFormat="1" x14ac:dyDescent="0.2">
      <c r="A16803" s="6" t="str">
        <f>"AC113143.2"</f>
        <v>AC113143.2</v>
      </c>
      <c r="B16803" s="6">
        <v>0.89800000000000002</v>
      </c>
      <c r="C16803" s="6">
        <v>0.93956590767633097</v>
      </c>
    </row>
    <row r="16804" spans="1:3" s="8" customFormat="1" x14ac:dyDescent="0.2">
      <c r="A16804" s="6" t="str">
        <f>"AC018892.3"</f>
        <v>AC018892.3</v>
      </c>
      <c r="B16804" s="6">
        <v>0.89779559118236396</v>
      </c>
      <c r="C16804" s="6">
        <v>0.93956590767633097</v>
      </c>
    </row>
    <row r="16805" spans="1:3" s="8" customFormat="1" x14ac:dyDescent="0.2">
      <c r="A16805" s="6" t="str">
        <f>"AC027801.1"</f>
        <v>AC027801.1</v>
      </c>
      <c r="B16805" s="6">
        <v>0.898101898101898</v>
      </c>
      <c r="C16805" s="6">
        <v>0.93956590767633097</v>
      </c>
    </row>
    <row r="16806" spans="1:3" s="8" customFormat="1" x14ac:dyDescent="0.2">
      <c r="A16806" s="6" t="str">
        <f>"SIGLEC15"</f>
        <v>SIGLEC15</v>
      </c>
      <c r="B16806" s="6">
        <v>0.898101898101898</v>
      </c>
      <c r="C16806" s="6">
        <v>0.93956590767633097</v>
      </c>
    </row>
    <row r="16807" spans="1:3" s="8" customFormat="1" x14ac:dyDescent="0.2">
      <c r="A16807" s="6" t="str">
        <f>"SPRYD4"</f>
        <v>SPRYD4</v>
      </c>
      <c r="B16807" s="6">
        <v>0.898101898101898</v>
      </c>
      <c r="C16807" s="6">
        <v>0.93956590767633097</v>
      </c>
    </row>
    <row r="16808" spans="1:3" s="8" customFormat="1" x14ac:dyDescent="0.2">
      <c r="A16808" s="6" t="str">
        <f>"SPON2"</f>
        <v>SPON2</v>
      </c>
      <c r="B16808" s="6">
        <v>0.898101898101898</v>
      </c>
      <c r="C16808" s="6">
        <v>0.93956590767633097</v>
      </c>
    </row>
    <row r="16809" spans="1:3" s="8" customFormat="1" x14ac:dyDescent="0.2">
      <c r="A16809" s="6" t="str">
        <f>"TRIM41"</f>
        <v>TRIM41</v>
      </c>
      <c r="B16809" s="6">
        <v>0.898101898101898</v>
      </c>
      <c r="C16809" s="6">
        <v>0.93956590767633097</v>
      </c>
    </row>
    <row r="16810" spans="1:3" s="8" customFormat="1" x14ac:dyDescent="0.2">
      <c r="A16810" s="6" t="str">
        <f>"BX005040.4"</f>
        <v>BX005040.4</v>
      </c>
      <c r="B16810" s="6">
        <v>0.89869608826479397</v>
      </c>
      <c r="C16810" s="6">
        <v>0.93999585051371704</v>
      </c>
    </row>
    <row r="16811" spans="1:3" s="8" customFormat="1" x14ac:dyDescent="0.2">
      <c r="A16811" s="6" t="str">
        <f>"AC078927.1"</f>
        <v>AC078927.1</v>
      </c>
      <c r="B16811" s="6">
        <v>0.89900000000000002</v>
      </c>
      <c r="C16811" s="6">
        <v>0.93999585051371704</v>
      </c>
    </row>
    <row r="16812" spans="1:3" s="8" customFormat="1" x14ac:dyDescent="0.2">
      <c r="A16812" s="6" t="str">
        <f>"AL020997.5"</f>
        <v>AL020997.5</v>
      </c>
      <c r="B16812" s="6">
        <v>0.89910089910089896</v>
      </c>
      <c r="C16812" s="6">
        <v>0.93999585051371704</v>
      </c>
    </row>
    <row r="16813" spans="1:3" s="8" customFormat="1" x14ac:dyDescent="0.2">
      <c r="A16813" s="6" t="str">
        <f>"CEP170P1"</f>
        <v>CEP170P1</v>
      </c>
      <c r="B16813" s="6">
        <v>0.89910089910089896</v>
      </c>
      <c r="C16813" s="6">
        <v>0.93999585051371704</v>
      </c>
    </row>
    <row r="16814" spans="1:3" s="8" customFormat="1" x14ac:dyDescent="0.2">
      <c r="A16814" s="6" t="str">
        <f>"PKNOX2"</f>
        <v>PKNOX2</v>
      </c>
      <c r="B16814" s="6">
        <v>0.89910089910089896</v>
      </c>
      <c r="C16814" s="6">
        <v>0.93999585051371704</v>
      </c>
    </row>
    <row r="16815" spans="1:3" s="8" customFormat="1" x14ac:dyDescent="0.2">
      <c r="A16815" s="6" t="str">
        <f>"H2BC15"</f>
        <v>H2BC15</v>
      </c>
      <c r="B16815" s="6">
        <v>0.89910089910089896</v>
      </c>
      <c r="C16815" s="6">
        <v>0.93999585051371704</v>
      </c>
    </row>
    <row r="16816" spans="1:3" s="8" customFormat="1" x14ac:dyDescent="0.2">
      <c r="A16816" s="6" t="str">
        <f>"DMC1"</f>
        <v>DMC1</v>
      </c>
      <c r="B16816" s="6">
        <v>0.89910089910089896</v>
      </c>
      <c r="C16816" s="6">
        <v>0.93999585051371704</v>
      </c>
    </row>
    <row r="16817" spans="1:3" s="8" customFormat="1" x14ac:dyDescent="0.2">
      <c r="A16817" s="6" t="str">
        <f>"AURKC"</f>
        <v>AURKC</v>
      </c>
      <c r="B16817" s="6">
        <v>0.89910089910089896</v>
      </c>
      <c r="C16817" s="6">
        <v>0.93999585051371704</v>
      </c>
    </row>
    <row r="16818" spans="1:3" s="8" customFormat="1" x14ac:dyDescent="0.2">
      <c r="A16818" s="6" t="str">
        <f>"ZNF77"</f>
        <v>ZNF77</v>
      </c>
      <c r="B16818" s="6">
        <v>0.89910089910089896</v>
      </c>
      <c r="C16818" s="6">
        <v>0.93999585051371704</v>
      </c>
    </row>
    <row r="16819" spans="1:3" s="8" customFormat="1" x14ac:dyDescent="0.2">
      <c r="A16819" s="6" t="str">
        <f>"NPM3"</f>
        <v>NPM3</v>
      </c>
      <c r="B16819" s="6">
        <v>0.89910089910089896</v>
      </c>
      <c r="C16819" s="6">
        <v>0.93999585051371704</v>
      </c>
    </row>
    <row r="16820" spans="1:3" s="8" customFormat="1" x14ac:dyDescent="0.2">
      <c r="A16820" s="6" t="str">
        <f>"COX7B"</f>
        <v>COX7B</v>
      </c>
      <c r="B16820" s="6">
        <v>0.89910089910089896</v>
      </c>
      <c r="C16820" s="6">
        <v>0.93999585051371704</v>
      </c>
    </row>
    <row r="16821" spans="1:3" s="8" customFormat="1" x14ac:dyDescent="0.2">
      <c r="A16821" s="6" t="str">
        <f>"GOLGA6L22"</f>
        <v>GOLGA6L22</v>
      </c>
      <c r="B16821" s="6">
        <v>0.9</v>
      </c>
      <c r="C16821" s="6">
        <v>0.94059289495195997</v>
      </c>
    </row>
    <row r="16822" spans="1:3" s="8" customFormat="1" x14ac:dyDescent="0.2">
      <c r="A16822" s="6" t="str">
        <f>"SNORA7B"</f>
        <v>SNORA7B</v>
      </c>
      <c r="B16822" s="6">
        <v>0.90009990009990004</v>
      </c>
      <c r="C16822" s="6">
        <v>0.94059289495195997</v>
      </c>
    </row>
    <row r="16823" spans="1:3" s="8" customFormat="1" x14ac:dyDescent="0.2">
      <c r="A16823" s="6" t="str">
        <f>"XKR7"</f>
        <v>XKR7</v>
      </c>
      <c r="B16823" s="6">
        <v>0.90009990009990004</v>
      </c>
      <c r="C16823" s="6">
        <v>0.94059289495195997</v>
      </c>
    </row>
    <row r="16824" spans="1:3" s="8" customFormat="1" x14ac:dyDescent="0.2">
      <c r="A16824" s="6" t="str">
        <f>"AC021701.1"</f>
        <v>AC021701.1</v>
      </c>
      <c r="B16824" s="6">
        <v>0.9</v>
      </c>
      <c r="C16824" s="6">
        <v>0.94059289495195997</v>
      </c>
    </row>
    <row r="16825" spans="1:3" s="8" customFormat="1" x14ac:dyDescent="0.2">
      <c r="A16825" s="6" t="str">
        <f>"ZNF286B"</f>
        <v>ZNF286B</v>
      </c>
      <c r="B16825" s="6">
        <v>0.90009990009990004</v>
      </c>
      <c r="C16825" s="6">
        <v>0.94059289495195997</v>
      </c>
    </row>
    <row r="16826" spans="1:3" s="8" customFormat="1" x14ac:dyDescent="0.2">
      <c r="A16826" s="6" t="str">
        <f>"AC136475.1"</f>
        <v>AC136475.1</v>
      </c>
      <c r="B16826" s="6">
        <v>0.90009990009990004</v>
      </c>
      <c r="C16826" s="6">
        <v>0.94059289495195997</v>
      </c>
    </row>
    <row r="16827" spans="1:3" s="8" customFormat="1" x14ac:dyDescent="0.2">
      <c r="A16827" s="6" t="str">
        <f>"CDK13"</f>
        <v>CDK13</v>
      </c>
      <c r="B16827" s="6">
        <v>0.90009990009990004</v>
      </c>
      <c r="C16827" s="6">
        <v>0.94059289495195997</v>
      </c>
    </row>
    <row r="16828" spans="1:3" s="8" customFormat="1" x14ac:dyDescent="0.2">
      <c r="A16828" s="6" t="str">
        <f>"ANKRD17"</f>
        <v>ANKRD17</v>
      </c>
      <c r="B16828" s="6">
        <v>0.90009990009990004</v>
      </c>
      <c r="C16828" s="6">
        <v>0.94059289495195997</v>
      </c>
    </row>
    <row r="16829" spans="1:3" s="8" customFormat="1" x14ac:dyDescent="0.2">
      <c r="A16829" s="6" t="str">
        <f>"AL513320.1"</f>
        <v>AL513320.1</v>
      </c>
      <c r="B16829" s="6">
        <v>0.90050251256281399</v>
      </c>
      <c r="C16829" s="6">
        <v>0.94095770031521997</v>
      </c>
    </row>
    <row r="16830" spans="1:3" s="8" customFormat="1" x14ac:dyDescent="0.2">
      <c r="A16830" s="6" t="str">
        <f>"CCDC42"</f>
        <v>CCDC42</v>
      </c>
      <c r="B16830" s="6">
        <v>0.90109890109890101</v>
      </c>
      <c r="C16830" s="6">
        <v>0.94118937195860197</v>
      </c>
    </row>
    <row r="16831" spans="1:3" s="8" customFormat="1" x14ac:dyDescent="0.2">
      <c r="A16831" s="6" t="str">
        <f>"AL360169.3"</f>
        <v>AL360169.3</v>
      </c>
      <c r="B16831" s="6">
        <v>0.90100000000000002</v>
      </c>
      <c r="C16831" s="6">
        <v>0.94118937195860197</v>
      </c>
    </row>
    <row r="16832" spans="1:3" s="8" customFormat="1" x14ac:dyDescent="0.2">
      <c r="A16832" s="6" t="str">
        <f>"AC145285.2"</f>
        <v>AC145285.2</v>
      </c>
      <c r="B16832" s="6">
        <v>0.90109890109890101</v>
      </c>
      <c r="C16832" s="6">
        <v>0.94118937195860197</v>
      </c>
    </row>
    <row r="16833" spans="1:3" s="8" customFormat="1" x14ac:dyDescent="0.2">
      <c r="A16833" s="6" t="str">
        <f>"ZDHHC14"</f>
        <v>ZDHHC14</v>
      </c>
      <c r="B16833" s="6">
        <v>0.90109890109890101</v>
      </c>
      <c r="C16833" s="6">
        <v>0.94118937195860197</v>
      </c>
    </row>
    <row r="16834" spans="1:3" s="8" customFormat="1" x14ac:dyDescent="0.2">
      <c r="A16834" s="6" t="str">
        <f>"GVQW3"</f>
        <v>GVQW3</v>
      </c>
      <c r="B16834" s="6">
        <v>0.90109890109890101</v>
      </c>
      <c r="C16834" s="6">
        <v>0.94118937195860197</v>
      </c>
    </row>
    <row r="16835" spans="1:3" s="8" customFormat="1" x14ac:dyDescent="0.2">
      <c r="A16835" s="6" t="str">
        <f>"UBLCP1"</f>
        <v>UBLCP1</v>
      </c>
      <c r="B16835" s="6">
        <v>0.90109890109890101</v>
      </c>
      <c r="C16835" s="6">
        <v>0.94118937195860197</v>
      </c>
    </row>
    <row r="16836" spans="1:3" s="8" customFormat="1" x14ac:dyDescent="0.2">
      <c r="A16836" s="6" t="str">
        <f>"NMT1"</f>
        <v>NMT1</v>
      </c>
      <c r="B16836" s="6">
        <v>0.90109890109890101</v>
      </c>
      <c r="C16836" s="6">
        <v>0.94118937195860197</v>
      </c>
    </row>
    <row r="16837" spans="1:3" s="8" customFormat="1" x14ac:dyDescent="0.2">
      <c r="A16837" s="6" t="str">
        <f>"BMS1P7"</f>
        <v>BMS1P7</v>
      </c>
      <c r="B16837" s="6">
        <v>0.90209790209790197</v>
      </c>
      <c r="C16837" s="6">
        <v>0.94166221003288997</v>
      </c>
    </row>
    <row r="16838" spans="1:3" s="8" customFormat="1" x14ac:dyDescent="0.2">
      <c r="A16838" s="6" t="str">
        <f>"TOP1P1"</f>
        <v>TOP1P1</v>
      </c>
      <c r="B16838" s="6">
        <v>0.90214067278287402</v>
      </c>
      <c r="C16838" s="6">
        <v>0.94166221003288997</v>
      </c>
    </row>
    <row r="16839" spans="1:3" s="8" customFormat="1" x14ac:dyDescent="0.2">
      <c r="A16839" s="6" t="str">
        <f>"AC005954.2"</f>
        <v>AC005954.2</v>
      </c>
      <c r="B16839" s="6">
        <v>0.90209790209790197</v>
      </c>
      <c r="C16839" s="6">
        <v>0.94166221003288997</v>
      </c>
    </row>
    <row r="16840" spans="1:3" s="8" customFormat="1" x14ac:dyDescent="0.2">
      <c r="A16840" s="6" t="str">
        <f>"AP002847.1"</f>
        <v>AP002847.1</v>
      </c>
      <c r="B16840" s="6">
        <v>0.90209790209790197</v>
      </c>
      <c r="C16840" s="6">
        <v>0.94166221003288997</v>
      </c>
    </row>
    <row r="16841" spans="1:3" s="8" customFormat="1" x14ac:dyDescent="0.2">
      <c r="A16841" s="6" t="str">
        <f>"AC027288.3"</f>
        <v>AC027288.3</v>
      </c>
      <c r="B16841" s="6">
        <v>0.90160642570281102</v>
      </c>
      <c r="C16841" s="6">
        <v>0.94166221003288997</v>
      </c>
    </row>
    <row r="16842" spans="1:3" s="8" customFormat="1" x14ac:dyDescent="0.2">
      <c r="A16842" s="6" t="str">
        <f>"AC068870.2"</f>
        <v>AC068870.2</v>
      </c>
      <c r="B16842" s="6">
        <v>0.901901901901902</v>
      </c>
      <c r="C16842" s="6">
        <v>0.94166221003288997</v>
      </c>
    </row>
    <row r="16843" spans="1:3" s="8" customFormat="1" x14ac:dyDescent="0.2">
      <c r="A16843" s="6" t="str">
        <f>"RCAN1"</f>
        <v>RCAN1</v>
      </c>
      <c r="B16843" s="6">
        <v>0.90209790209790197</v>
      </c>
      <c r="C16843" s="6">
        <v>0.94166221003288997</v>
      </c>
    </row>
    <row r="16844" spans="1:3" s="8" customFormat="1" x14ac:dyDescent="0.2">
      <c r="A16844" s="6" t="str">
        <f>"FAM207A"</f>
        <v>FAM207A</v>
      </c>
      <c r="B16844" s="6">
        <v>0.90209790209790197</v>
      </c>
      <c r="C16844" s="6">
        <v>0.94166221003288997</v>
      </c>
    </row>
    <row r="16845" spans="1:3" s="8" customFormat="1" x14ac:dyDescent="0.2">
      <c r="A16845" s="6" t="str">
        <f>"PEF1"</f>
        <v>PEF1</v>
      </c>
      <c r="B16845" s="6">
        <v>0.90209790209790197</v>
      </c>
      <c r="C16845" s="6">
        <v>0.94166221003288997</v>
      </c>
    </row>
    <row r="16846" spans="1:3" s="8" customFormat="1" x14ac:dyDescent="0.2">
      <c r="A16846" s="6" t="str">
        <f>"WDR73"</f>
        <v>WDR73</v>
      </c>
      <c r="B16846" s="6">
        <v>0.90209790209790197</v>
      </c>
      <c r="C16846" s="6">
        <v>0.94166221003288997</v>
      </c>
    </row>
    <row r="16847" spans="1:3" s="8" customFormat="1" x14ac:dyDescent="0.2">
      <c r="A16847" s="6" t="str">
        <f>"KIF13A"</f>
        <v>KIF13A</v>
      </c>
      <c r="B16847" s="6">
        <v>0.90209790209790197</v>
      </c>
      <c r="C16847" s="6">
        <v>0.94166221003288997</v>
      </c>
    </row>
    <row r="16848" spans="1:3" s="8" customFormat="1" x14ac:dyDescent="0.2">
      <c r="A16848" s="6" t="str">
        <f>"AC074032.1"</f>
        <v>AC074032.1</v>
      </c>
      <c r="B16848" s="6">
        <v>0.90300000000000002</v>
      </c>
      <c r="C16848" s="6">
        <v>0.94232470591359696</v>
      </c>
    </row>
    <row r="16849" spans="1:3" s="8" customFormat="1" x14ac:dyDescent="0.2">
      <c r="A16849" s="6" t="str">
        <f>"ACKR4"</f>
        <v>ACKR4</v>
      </c>
      <c r="B16849" s="6">
        <v>0.90309690309690305</v>
      </c>
      <c r="C16849" s="6">
        <v>0.94232470591359696</v>
      </c>
    </row>
    <row r="16850" spans="1:3" s="8" customFormat="1" x14ac:dyDescent="0.2">
      <c r="A16850" s="6" t="str">
        <f>"DUSP7"</f>
        <v>DUSP7</v>
      </c>
      <c r="B16850" s="6">
        <v>0.90309690309690305</v>
      </c>
      <c r="C16850" s="6">
        <v>0.94232470591359696</v>
      </c>
    </row>
    <row r="16851" spans="1:3" s="8" customFormat="1" x14ac:dyDescent="0.2">
      <c r="A16851" s="6" t="str">
        <f>"RABEP2"</f>
        <v>RABEP2</v>
      </c>
      <c r="B16851" s="6">
        <v>0.90309690309690305</v>
      </c>
      <c r="C16851" s="6">
        <v>0.94232470591359696</v>
      </c>
    </row>
    <row r="16852" spans="1:3" s="8" customFormat="1" x14ac:dyDescent="0.2">
      <c r="A16852" s="6" t="str">
        <f>"KIAA1217"</f>
        <v>KIAA1217</v>
      </c>
      <c r="B16852" s="6">
        <v>0.90309690309690305</v>
      </c>
      <c r="C16852" s="6">
        <v>0.94232470591359696</v>
      </c>
    </row>
    <row r="16853" spans="1:3" s="8" customFormat="1" x14ac:dyDescent="0.2">
      <c r="A16853" s="6" t="str">
        <f>"RPS16"</f>
        <v>RPS16</v>
      </c>
      <c r="B16853" s="6">
        <v>0.90309690309690305</v>
      </c>
      <c r="C16853" s="6">
        <v>0.94232470591359696</v>
      </c>
    </row>
    <row r="16854" spans="1:3" s="8" customFormat="1" x14ac:dyDescent="0.2">
      <c r="A16854" s="6" t="str">
        <f>"NRXN2"</f>
        <v>NRXN2</v>
      </c>
      <c r="B16854" s="6">
        <v>0.90409590409590401</v>
      </c>
      <c r="C16854" s="6">
        <v>0.94314323550203905</v>
      </c>
    </row>
    <row r="16855" spans="1:3" s="8" customFormat="1" x14ac:dyDescent="0.2">
      <c r="A16855" s="6" t="str">
        <f>"AC068944.1"</f>
        <v>AC068944.1</v>
      </c>
      <c r="B16855" s="6">
        <v>0.90409590409590401</v>
      </c>
      <c r="C16855" s="6">
        <v>0.94314323550203905</v>
      </c>
    </row>
    <row r="16856" spans="1:3" s="8" customFormat="1" x14ac:dyDescent="0.2">
      <c r="A16856" s="6" t="str">
        <f>"ZNF768"</f>
        <v>ZNF768</v>
      </c>
      <c r="B16856" s="6">
        <v>0.90409590409590401</v>
      </c>
      <c r="C16856" s="6">
        <v>0.94314323550203905</v>
      </c>
    </row>
    <row r="16857" spans="1:3" s="8" customFormat="1" x14ac:dyDescent="0.2">
      <c r="A16857" s="6" t="str">
        <f>"RPL39"</f>
        <v>RPL39</v>
      </c>
      <c r="B16857" s="6">
        <v>0.90409590409590401</v>
      </c>
      <c r="C16857" s="6">
        <v>0.94314323550203905</v>
      </c>
    </row>
    <row r="16858" spans="1:3" s="8" customFormat="1" x14ac:dyDescent="0.2">
      <c r="A16858" s="6" t="str">
        <f>"AC021148.1"</f>
        <v>AC021148.1</v>
      </c>
      <c r="B16858" s="6">
        <v>0.90471414242728199</v>
      </c>
      <c r="C16858" s="6">
        <v>0.94373218724810604</v>
      </c>
    </row>
    <row r="16859" spans="1:3" s="8" customFormat="1" x14ac:dyDescent="0.2">
      <c r="A16859" s="6" t="str">
        <f>"RPL13AP20"</f>
        <v>RPL13AP20</v>
      </c>
      <c r="B16859" s="6">
        <v>0.90498261877172603</v>
      </c>
      <c r="C16859" s="6">
        <v>0.94379344192544701</v>
      </c>
    </row>
    <row r="16860" spans="1:3" s="8" customFormat="1" x14ac:dyDescent="0.2">
      <c r="A16860" s="6" t="str">
        <f>"ANKS4B"</f>
        <v>ANKS4B</v>
      </c>
      <c r="B16860" s="6">
        <v>0.90490490490490405</v>
      </c>
      <c r="C16860" s="6">
        <v>0.94379344192544701</v>
      </c>
    </row>
    <row r="16861" spans="1:3" s="8" customFormat="1" x14ac:dyDescent="0.2">
      <c r="A16861" s="6" t="str">
        <f>"ACVR1C"</f>
        <v>ACVR1C</v>
      </c>
      <c r="B16861" s="6">
        <v>0.90509490509490498</v>
      </c>
      <c r="C16861" s="6">
        <v>0.94379344192544701</v>
      </c>
    </row>
    <row r="16862" spans="1:3" s="8" customFormat="1" x14ac:dyDescent="0.2">
      <c r="A16862" s="6" t="str">
        <f>"LINC01703"</f>
        <v>LINC01703</v>
      </c>
      <c r="B16862" s="6">
        <v>0.90509490509490498</v>
      </c>
      <c r="C16862" s="6">
        <v>0.94379344192544701</v>
      </c>
    </row>
    <row r="16863" spans="1:3" s="8" customFormat="1" x14ac:dyDescent="0.2">
      <c r="A16863" s="6" t="str">
        <f>"GCNT2"</f>
        <v>GCNT2</v>
      </c>
      <c r="B16863" s="6">
        <v>0.90509490509490498</v>
      </c>
      <c r="C16863" s="6">
        <v>0.94379344192544701</v>
      </c>
    </row>
    <row r="16864" spans="1:3" s="8" customFormat="1" x14ac:dyDescent="0.2">
      <c r="A16864" s="6" t="str">
        <f>"RNF40"</f>
        <v>RNF40</v>
      </c>
      <c r="B16864" s="6">
        <v>0.90509490509490498</v>
      </c>
      <c r="C16864" s="6">
        <v>0.94379344192544701</v>
      </c>
    </row>
    <row r="16865" spans="1:3" s="8" customFormat="1" x14ac:dyDescent="0.2">
      <c r="A16865" s="6" t="str">
        <f>"COL2A1"</f>
        <v>COL2A1</v>
      </c>
      <c r="B16865" s="6">
        <v>0.90600000000000003</v>
      </c>
      <c r="C16865" s="6">
        <v>0.94444310875846105</v>
      </c>
    </row>
    <row r="16866" spans="1:3" s="8" customFormat="1" x14ac:dyDescent="0.2">
      <c r="A16866" s="6" t="str">
        <f>"AL592295.1"</f>
        <v>AL592295.1</v>
      </c>
      <c r="B16866" s="6">
        <v>0.90609390609390605</v>
      </c>
      <c r="C16866" s="6">
        <v>0.94444310875846105</v>
      </c>
    </row>
    <row r="16867" spans="1:3" s="8" customFormat="1" x14ac:dyDescent="0.2">
      <c r="A16867" s="6" t="str">
        <f>"AC138951.2"</f>
        <v>AC138951.2</v>
      </c>
      <c r="B16867" s="6">
        <v>0.90609390609390605</v>
      </c>
      <c r="C16867" s="6">
        <v>0.94444310875846105</v>
      </c>
    </row>
    <row r="16868" spans="1:3" s="8" customFormat="1" x14ac:dyDescent="0.2">
      <c r="A16868" s="6" t="str">
        <f>"AL031963.3"</f>
        <v>AL031963.3</v>
      </c>
      <c r="B16868" s="6">
        <v>0.90609390609390605</v>
      </c>
      <c r="C16868" s="6">
        <v>0.94444310875846105</v>
      </c>
    </row>
    <row r="16869" spans="1:3" s="8" customFormat="1" x14ac:dyDescent="0.2">
      <c r="A16869" s="6" t="str">
        <f>"USP32P1"</f>
        <v>USP32P1</v>
      </c>
      <c r="B16869" s="6">
        <v>0.90609390609390605</v>
      </c>
      <c r="C16869" s="6">
        <v>0.94444310875846105</v>
      </c>
    </row>
    <row r="16870" spans="1:3" s="8" customFormat="1" x14ac:dyDescent="0.2">
      <c r="A16870" s="6" t="str">
        <f>"FAM3A"</f>
        <v>FAM3A</v>
      </c>
      <c r="B16870" s="6">
        <v>0.90609390609390605</v>
      </c>
      <c r="C16870" s="6">
        <v>0.94444310875846105</v>
      </c>
    </row>
    <row r="16871" spans="1:3" s="8" customFormat="1" x14ac:dyDescent="0.2">
      <c r="A16871" s="6" t="str">
        <f>"PRRC2B"</f>
        <v>PRRC2B</v>
      </c>
      <c r="B16871" s="6">
        <v>0.90609390609390605</v>
      </c>
      <c r="C16871" s="6">
        <v>0.94444310875846105</v>
      </c>
    </row>
    <row r="16872" spans="1:3" s="8" customFormat="1" x14ac:dyDescent="0.2">
      <c r="A16872" s="6" t="str">
        <f>"AC025283.2"</f>
        <v>AC025283.2</v>
      </c>
      <c r="B16872" s="6">
        <v>0.90678824721377904</v>
      </c>
      <c r="C16872" s="6">
        <v>0.94503624116137397</v>
      </c>
    </row>
    <row r="16873" spans="1:3" s="8" customFormat="1" x14ac:dyDescent="0.2">
      <c r="A16873" s="6" t="str">
        <f>"RBFOX1"</f>
        <v>RBFOX1</v>
      </c>
      <c r="B16873" s="6">
        <v>0.90709290709290702</v>
      </c>
      <c r="C16873" s="6">
        <v>0.94503624116137397</v>
      </c>
    </row>
    <row r="16874" spans="1:3" s="8" customFormat="1" x14ac:dyDescent="0.2">
      <c r="A16874" s="6" t="str">
        <f>"AC010913.1"</f>
        <v>AC010913.1</v>
      </c>
      <c r="B16874" s="6">
        <v>0.90709290709290702</v>
      </c>
      <c r="C16874" s="6">
        <v>0.94503624116137397</v>
      </c>
    </row>
    <row r="16875" spans="1:3" s="8" customFormat="1" x14ac:dyDescent="0.2">
      <c r="A16875" s="6" t="str">
        <f>"GPR171"</f>
        <v>GPR171</v>
      </c>
      <c r="B16875" s="6">
        <v>0.90709290709290702</v>
      </c>
      <c r="C16875" s="6">
        <v>0.94503624116137397</v>
      </c>
    </row>
    <row r="16876" spans="1:3" s="8" customFormat="1" x14ac:dyDescent="0.2">
      <c r="A16876" s="6" t="str">
        <f>"TECTA"</f>
        <v>TECTA</v>
      </c>
      <c r="B16876" s="6">
        <v>0.90709290709290702</v>
      </c>
      <c r="C16876" s="6">
        <v>0.94503624116137397</v>
      </c>
    </row>
    <row r="16877" spans="1:3" s="8" customFormat="1" x14ac:dyDescent="0.2">
      <c r="A16877" s="6" t="str">
        <f>"EIF4EBP3"</f>
        <v>EIF4EBP3</v>
      </c>
      <c r="B16877" s="6">
        <v>0.90709290709290702</v>
      </c>
      <c r="C16877" s="6">
        <v>0.94503624116137397</v>
      </c>
    </row>
    <row r="16878" spans="1:3" s="8" customFormat="1" x14ac:dyDescent="0.2">
      <c r="A16878" s="6" t="str">
        <f>"MEGF8"</f>
        <v>MEGF8</v>
      </c>
      <c r="B16878" s="6">
        <v>0.90709290709290702</v>
      </c>
      <c r="C16878" s="6">
        <v>0.94503624116137397</v>
      </c>
    </row>
    <row r="16879" spans="1:3" s="8" customFormat="1" x14ac:dyDescent="0.2">
      <c r="A16879" s="6" t="str">
        <f>"COX5A"</f>
        <v>COX5A</v>
      </c>
      <c r="B16879" s="6">
        <v>0.90709290709290702</v>
      </c>
      <c r="C16879" s="6">
        <v>0.94503624116137397</v>
      </c>
    </row>
    <row r="16880" spans="1:3" s="8" customFormat="1" x14ac:dyDescent="0.2">
      <c r="A16880" s="6" t="str">
        <f>"STARD4-AS1"</f>
        <v>STARD4-AS1</v>
      </c>
      <c r="B16880" s="6">
        <v>0.90809190809190798</v>
      </c>
      <c r="C16880" s="6">
        <v>0.94574082633784096</v>
      </c>
    </row>
    <row r="16881" spans="1:3" s="8" customFormat="1" x14ac:dyDescent="0.2">
      <c r="A16881" s="6" t="str">
        <f>"PLA2G4C"</f>
        <v>PLA2G4C</v>
      </c>
      <c r="B16881" s="6">
        <v>0.90809190809190798</v>
      </c>
      <c r="C16881" s="6">
        <v>0.94574082633784096</v>
      </c>
    </row>
    <row r="16882" spans="1:3" s="8" customFormat="1" x14ac:dyDescent="0.2">
      <c r="A16882" s="6" t="str">
        <f>"ZNF431"</f>
        <v>ZNF431</v>
      </c>
      <c r="B16882" s="6">
        <v>0.90809190809190798</v>
      </c>
      <c r="C16882" s="6">
        <v>0.94574082633784096</v>
      </c>
    </row>
    <row r="16883" spans="1:3" s="8" customFormat="1" x14ac:dyDescent="0.2">
      <c r="A16883" s="6" t="str">
        <f>"PUM3"</f>
        <v>PUM3</v>
      </c>
      <c r="B16883" s="6">
        <v>0.90809190809190798</v>
      </c>
      <c r="C16883" s="6">
        <v>0.94574082633784096</v>
      </c>
    </row>
    <row r="16884" spans="1:3" s="8" customFormat="1" x14ac:dyDescent="0.2">
      <c r="A16884" s="6" t="str">
        <f>"KRI1"</f>
        <v>KRI1</v>
      </c>
      <c r="B16884" s="6">
        <v>0.90809190809190798</v>
      </c>
      <c r="C16884" s="6">
        <v>0.94574082633784096</v>
      </c>
    </row>
    <row r="16885" spans="1:3" s="8" customFormat="1" x14ac:dyDescent="0.2">
      <c r="A16885" s="6" t="str">
        <f>"SUZ12"</f>
        <v>SUZ12</v>
      </c>
      <c r="B16885" s="6">
        <v>0.90809190809190798</v>
      </c>
      <c r="C16885" s="6">
        <v>0.94574082633784096</v>
      </c>
    </row>
    <row r="16886" spans="1:3" s="8" customFormat="1" x14ac:dyDescent="0.2">
      <c r="A16886" s="6" t="str">
        <f>"PRB2"</f>
        <v>PRB2</v>
      </c>
      <c r="B16886" s="6">
        <v>0.90900000000000003</v>
      </c>
      <c r="C16886" s="6">
        <v>0.94627683333064205</v>
      </c>
    </row>
    <row r="16887" spans="1:3" s="8" customFormat="1" x14ac:dyDescent="0.2">
      <c r="A16887" s="6" t="str">
        <f>"AC005034.5"</f>
        <v>AC005034.5</v>
      </c>
      <c r="B16887" s="6">
        <v>0.90900000000000003</v>
      </c>
      <c r="C16887" s="6">
        <v>0.94627683333064205</v>
      </c>
    </row>
    <row r="16888" spans="1:3" s="8" customFormat="1" x14ac:dyDescent="0.2">
      <c r="A16888" s="6" t="str">
        <f>"AC090469.1"</f>
        <v>AC090469.1</v>
      </c>
      <c r="B16888" s="6">
        <v>0.90909090909090895</v>
      </c>
      <c r="C16888" s="6">
        <v>0.94627683333064205</v>
      </c>
    </row>
    <row r="16889" spans="1:3" s="8" customFormat="1" x14ac:dyDescent="0.2">
      <c r="A16889" s="6" t="str">
        <f>"AL365181.1"</f>
        <v>AL365181.1</v>
      </c>
      <c r="B16889" s="6">
        <v>0.90909090909090895</v>
      </c>
      <c r="C16889" s="6">
        <v>0.94627683333064205</v>
      </c>
    </row>
    <row r="16890" spans="1:3" s="8" customFormat="1" x14ac:dyDescent="0.2">
      <c r="A16890" s="6" t="str">
        <f>"AC018809.2"</f>
        <v>AC018809.2</v>
      </c>
      <c r="B16890" s="6">
        <v>0.90909090909090895</v>
      </c>
      <c r="C16890" s="6">
        <v>0.94627683333064205</v>
      </c>
    </row>
    <row r="16891" spans="1:3" s="8" customFormat="1" x14ac:dyDescent="0.2">
      <c r="A16891" s="6" t="str">
        <f>"PRSS53"</f>
        <v>PRSS53</v>
      </c>
      <c r="B16891" s="6">
        <v>0.90909090909090895</v>
      </c>
      <c r="C16891" s="6">
        <v>0.94627683333064205</v>
      </c>
    </row>
    <row r="16892" spans="1:3" s="8" customFormat="1" x14ac:dyDescent="0.2">
      <c r="A16892" s="6" t="str">
        <f>"SUV39H1"</f>
        <v>SUV39H1</v>
      </c>
      <c r="B16892" s="6">
        <v>0.90909090909090895</v>
      </c>
      <c r="C16892" s="6">
        <v>0.94627683333064205</v>
      </c>
    </row>
    <row r="16893" spans="1:3" s="8" customFormat="1" x14ac:dyDescent="0.2">
      <c r="A16893" s="6" t="str">
        <f>"SULT2B1"</f>
        <v>SULT2B1</v>
      </c>
      <c r="B16893" s="6">
        <v>0.90909090909090895</v>
      </c>
      <c r="C16893" s="6">
        <v>0.94627683333064205</v>
      </c>
    </row>
    <row r="16894" spans="1:3" s="8" customFormat="1" x14ac:dyDescent="0.2">
      <c r="A16894" s="6" t="str">
        <f>"GPATCH2L"</f>
        <v>GPATCH2L</v>
      </c>
      <c r="B16894" s="6">
        <v>0.90909090909090895</v>
      </c>
      <c r="C16894" s="6">
        <v>0.94627683333064205</v>
      </c>
    </row>
    <row r="16895" spans="1:3" s="8" customFormat="1" x14ac:dyDescent="0.2">
      <c r="A16895" s="6" t="str">
        <f>"AL139317.5"</f>
        <v>AL139317.5</v>
      </c>
      <c r="B16895" s="6">
        <v>0.90990990990991005</v>
      </c>
      <c r="C16895" s="6">
        <v>0.94707327192233004</v>
      </c>
    </row>
    <row r="16896" spans="1:3" s="8" customFormat="1" x14ac:dyDescent="0.2">
      <c r="A16896" s="6" t="str">
        <f>"TUBAP8"</f>
        <v>TUBAP8</v>
      </c>
      <c r="B16896" s="6">
        <v>0.91008991008991003</v>
      </c>
      <c r="C16896" s="6">
        <v>0.94714849544394997</v>
      </c>
    </row>
    <row r="16897" spans="1:3" s="8" customFormat="1" x14ac:dyDescent="0.2">
      <c r="A16897" s="6" t="str">
        <f>"EPB41L2"</f>
        <v>EPB41L2</v>
      </c>
      <c r="B16897" s="6">
        <v>0.91008991008991003</v>
      </c>
      <c r="C16897" s="6">
        <v>0.94714849544394997</v>
      </c>
    </row>
    <row r="16898" spans="1:3" s="8" customFormat="1" x14ac:dyDescent="0.2">
      <c r="A16898" s="6" t="str">
        <f>"AC138470.1"</f>
        <v>AC138470.1</v>
      </c>
      <c r="B16898" s="6">
        <v>0.91100000000000003</v>
      </c>
      <c r="C16898" s="6">
        <v>0.947963752224107</v>
      </c>
    </row>
    <row r="16899" spans="1:3" s="8" customFormat="1" x14ac:dyDescent="0.2">
      <c r="A16899" s="6" t="str">
        <f>"RAB19"</f>
        <v>RAB19</v>
      </c>
      <c r="B16899" s="6">
        <v>0.91108891108891099</v>
      </c>
      <c r="C16899" s="6">
        <v>0.947963752224107</v>
      </c>
    </row>
    <row r="16900" spans="1:3" s="8" customFormat="1" x14ac:dyDescent="0.2">
      <c r="A16900" s="6" t="str">
        <f>"BTRC"</f>
        <v>BTRC</v>
      </c>
      <c r="B16900" s="6">
        <v>0.91108891108891099</v>
      </c>
      <c r="C16900" s="6">
        <v>0.947963752224107</v>
      </c>
    </row>
    <row r="16901" spans="1:3" s="8" customFormat="1" x14ac:dyDescent="0.2">
      <c r="A16901" s="6" t="str">
        <f>"HELZ"</f>
        <v>HELZ</v>
      </c>
      <c r="B16901" s="6">
        <v>0.91108891108891099</v>
      </c>
      <c r="C16901" s="6">
        <v>0.947963752224107</v>
      </c>
    </row>
    <row r="16902" spans="1:3" s="8" customFormat="1" x14ac:dyDescent="0.2">
      <c r="A16902" s="6" t="str">
        <f>"MND1"</f>
        <v>MND1</v>
      </c>
      <c r="B16902" s="6">
        <v>0.91208791208791196</v>
      </c>
      <c r="C16902" s="6">
        <v>0.94855416643919099</v>
      </c>
    </row>
    <row r="16903" spans="1:3" s="8" customFormat="1" x14ac:dyDescent="0.2">
      <c r="A16903" s="6" t="str">
        <f>"SMG1P6"</f>
        <v>SMG1P6</v>
      </c>
      <c r="B16903" s="6">
        <v>0.91208791208791196</v>
      </c>
      <c r="C16903" s="6">
        <v>0.94855416643919099</v>
      </c>
    </row>
    <row r="16904" spans="1:3" s="8" customFormat="1" x14ac:dyDescent="0.2">
      <c r="A16904" s="6" t="str">
        <f>"SPRY4"</f>
        <v>SPRY4</v>
      </c>
      <c r="B16904" s="6">
        <v>0.91208791208791196</v>
      </c>
      <c r="C16904" s="6">
        <v>0.94855416643919099</v>
      </c>
    </row>
    <row r="16905" spans="1:3" s="8" customFormat="1" x14ac:dyDescent="0.2">
      <c r="A16905" s="6" t="str">
        <f>"LINC00680"</f>
        <v>LINC00680</v>
      </c>
      <c r="B16905" s="6">
        <v>0.91208791208791196</v>
      </c>
      <c r="C16905" s="6">
        <v>0.94855416643919099</v>
      </c>
    </row>
    <row r="16906" spans="1:3" s="8" customFormat="1" x14ac:dyDescent="0.2">
      <c r="A16906" s="6" t="str">
        <f>"AL162458.1"</f>
        <v>AL162458.1</v>
      </c>
      <c r="B16906" s="6">
        <v>0.91208791208791196</v>
      </c>
      <c r="C16906" s="6">
        <v>0.94855416643919099</v>
      </c>
    </row>
    <row r="16907" spans="1:3" s="8" customFormat="1" x14ac:dyDescent="0.2">
      <c r="A16907" s="6" t="str">
        <f>"LINC01873"</f>
        <v>LINC01873</v>
      </c>
      <c r="B16907" s="6">
        <v>0.91208791208791196</v>
      </c>
      <c r="C16907" s="6">
        <v>0.94855416643919099</v>
      </c>
    </row>
    <row r="16908" spans="1:3" s="8" customFormat="1" x14ac:dyDescent="0.2">
      <c r="A16908" s="6" t="str">
        <f>"ATG101"</f>
        <v>ATG101</v>
      </c>
      <c r="B16908" s="6">
        <v>0.91208791208791196</v>
      </c>
      <c r="C16908" s="6">
        <v>0.94855416643919099</v>
      </c>
    </row>
    <row r="16909" spans="1:3" s="8" customFormat="1" x14ac:dyDescent="0.2">
      <c r="A16909" s="6" t="str">
        <f>"UBE2Q1"</f>
        <v>UBE2Q1</v>
      </c>
      <c r="B16909" s="6">
        <v>0.91208791208791196</v>
      </c>
      <c r="C16909" s="6">
        <v>0.94855416643919099</v>
      </c>
    </row>
    <row r="16910" spans="1:3" s="8" customFormat="1" x14ac:dyDescent="0.2">
      <c r="A16910" s="6" t="str">
        <f>"SFR1"</f>
        <v>SFR1</v>
      </c>
      <c r="B16910" s="6">
        <v>0.91308691308691303</v>
      </c>
      <c r="C16910" s="6">
        <v>0.94948079714490097</v>
      </c>
    </row>
    <row r="16911" spans="1:3" s="8" customFormat="1" x14ac:dyDescent="0.2">
      <c r="A16911" s="6" t="str">
        <f>"MRPL10"</f>
        <v>MRPL10</v>
      </c>
      <c r="B16911" s="6">
        <v>0.91308691308691303</v>
      </c>
      <c r="C16911" s="6">
        <v>0.94948079714490097</v>
      </c>
    </row>
    <row r="16912" spans="1:3" s="8" customFormat="1" x14ac:dyDescent="0.2">
      <c r="A16912" s="6" t="str">
        <f>"LINC02572"</f>
        <v>LINC02572</v>
      </c>
      <c r="B16912" s="6">
        <v>0.914085914085914</v>
      </c>
      <c r="C16912" s="6">
        <v>0.95023864695753502</v>
      </c>
    </row>
    <row r="16913" spans="1:3" s="8" customFormat="1" x14ac:dyDescent="0.2">
      <c r="A16913" s="6" t="str">
        <f>"PTCHD4"</f>
        <v>PTCHD4</v>
      </c>
      <c r="B16913" s="6">
        <v>0.91400000000000003</v>
      </c>
      <c r="C16913" s="6">
        <v>0.95023864695753502</v>
      </c>
    </row>
    <row r="16914" spans="1:3" s="8" customFormat="1" x14ac:dyDescent="0.2">
      <c r="A16914" s="6" t="str">
        <f>"GOLGA8IP"</f>
        <v>GOLGA8IP</v>
      </c>
      <c r="B16914" s="6">
        <v>0.914085914085914</v>
      </c>
      <c r="C16914" s="6">
        <v>0.95023864695753502</v>
      </c>
    </row>
    <row r="16915" spans="1:3" s="8" customFormat="1" x14ac:dyDescent="0.2">
      <c r="A16915" s="6" t="str">
        <f>"AC021087.5"</f>
        <v>AC021087.5</v>
      </c>
      <c r="B16915" s="6">
        <v>0.914085914085914</v>
      </c>
      <c r="C16915" s="6">
        <v>0.95023864695753502</v>
      </c>
    </row>
    <row r="16916" spans="1:3" s="8" customFormat="1" x14ac:dyDescent="0.2">
      <c r="A16916" s="6" t="str">
        <f>"SLC4A7"</f>
        <v>SLC4A7</v>
      </c>
      <c r="B16916" s="6">
        <v>0.914085914085914</v>
      </c>
      <c r="C16916" s="6">
        <v>0.95023864695753502</v>
      </c>
    </row>
    <row r="16917" spans="1:3" s="8" customFormat="1" x14ac:dyDescent="0.2">
      <c r="A16917" s="6" t="str">
        <f>"PRELID3A"</f>
        <v>PRELID3A</v>
      </c>
      <c r="B16917" s="6">
        <v>0.91508491508491496</v>
      </c>
      <c r="C16917" s="6">
        <v>0.95077128024421798</v>
      </c>
    </row>
    <row r="16918" spans="1:3" s="8" customFormat="1" x14ac:dyDescent="0.2">
      <c r="A16918" s="6" t="str">
        <f>"AC008679.1"</f>
        <v>AC008679.1</v>
      </c>
      <c r="B16918" s="6">
        <v>0.91491491491491495</v>
      </c>
      <c r="C16918" s="6">
        <v>0.95077128024421798</v>
      </c>
    </row>
    <row r="16919" spans="1:3" s="8" customFormat="1" x14ac:dyDescent="0.2">
      <c r="A16919" s="6" t="str">
        <f>"TNS1-AS1"</f>
        <v>TNS1-AS1</v>
      </c>
      <c r="B16919" s="6">
        <v>0.91508491508491496</v>
      </c>
      <c r="C16919" s="6">
        <v>0.95077128024421798</v>
      </c>
    </row>
    <row r="16920" spans="1:3" s="8" customFormat="1" x14ac:dyDescent="0.2">
      <c r="A16920" s="6" t="str">
        <f>"CPEB1-AS1"</f>
        <v>CPEB1-AS1</v>
      </c>
      <c r="B16920" s="6">
        <v>0.91508491508491496</v>
      </c>
      <c r="C16920" s="6">
        <v>0.95077128024421798</v>
      </c>
    </row>
    <row r="16921" spans="1:3" s="8" customFormat="1" x14ac:dyDescent="0.2">
      <c r="A16921" s="6" t="str">
        <f>"AC018629.1"</f>
        <v>AC018629.1</v>
      </c>
      <c r="B16921" s="6">
        <v>0.91508491508491496</v>
      </c>
      <c r="C16921" s="6">
        <v>0.95077128024421798</v>
      </c>
    </row>
    <row r="16922" spans="1:3" s="8" customFormat="1" x14ac:dyDescent="0.2">
      <c r="A16922" s="6" t="str">
        <f>"MAPRE2"</f>
        <v>MAPRE2</v>
      </c>
      <c r="B16922" s="6">
        <v>0.91508491508491496</v>
      </c>
      <c r="C16922" s="6">
        <v>0.95077128024421798</v>
      </c>
    </row>
    <row r="16923" spans="1:3" s="8" customFormat="1" x14ac:dyDescent="0.2">
      <c r="A16923" s="6" t="str">
        <f>"PIP4K2A"</f>
        <v>PIP4K2A</v>
      </c>
      <c r="B16923" s="6">
        <v>0.91500000000000004</v>
      </c>
      <c r="C16923" s="6">
        <v>0.95077128024421798</v>
      </c>
    </row>
    <row r="16924" spans="1:3" s="8" customFormat="1" x14ac:dyDescent="0.2">
      <c r="A16924" s="6" t="str">
        <f>"RNMT"</f>
        <v>RNMT</v>
      </c>
      <c r="B16924" s="6">
        <v>0.91508491508491496</v>
      </c>
      <c r="C16924" s="6">
        <v>0.95077128024421798</v>
      </c>
    </row>
    <row r="16925" spans="1:3" s="8" customFormat="1" x14ac:dyDescent="0.2">
      <c r="A16925" s="6" t="str">
        <f>"SF3B1"</f>
        <v>SF3B1</v>
      </c>
      <c r="B16925" s="6">
        <v>0.91508491508491496</v>
      </c>
      <c r="C16925" s="6">
        <v>0.95077128024421798</v>
      </c>
    </row>
    <row r="16926" spans="1:3" s="8" customFormat="1" x14ac:dyDescent="0.2">
      <c r="A16926" s="6" t="str">
        <f>"AC095031.1"</f>
        <v>AC095031.1</v>
      </c>
      <c r="B16926" s="6">
        <v>0.91515151515151505</v>
      </c>
      <c r="C16926" s="6">
        <v>0.95078429792757702</v>
      </c>
    </row>
    <row r="16927" spans="1:3" s="8" customFormat="1" x14ac:dyDescent="0.2">
      <c r="A16927" s="6" t="str">
        <f>"AC069257.3"</f>
        <v>AC069257.3</v>
      </c>
      <c r="B16927" s="6">
        <v>0.91608391608391604</v>
      </c>
      <c r="C16927" s="6">
        <v>0.95135953109021798</v>
      </c>
    </row>
    <row r="16928" spans="1:3" s="8" customFormat="1" x14ac:dyDescent="0.2">
      <c r="A16928" s="6" t="str">
        <f>"AL391650.1"</f>
        <v>AL391650.1</v>
      </c>
      <c r="B16928" s="6">
        <v>0.91608391608391604</v>
      </c>
      <c r="C16928" s="6">
        <v>0.95135953109021798</v>
      </c>
    </row>
    <row r="16929" spans="1:3" s="8" customFormat="1" x14ac:dyDescent="0.2">
      <c r="A16929" s="6" t="str">
        <f>"AC008403.3"</f>
        <v>AC008403.3</v>
      </c>
      <c r="B16929" s="6">
        <v>0.91608391608391604</v>
      </c>
      <c r="C16929" s="6">
        <v>0.95135953109021798</v>
      </c>
    </row>
    <row r="16930" spans="1:3" s="8" customFormat="1" x14ac:dyDescent="0.2">
      <c r="A16930" s="6" t="str">
        <f>"CERNA2"</f>
        <v>CERNA2</v>
      </c>
      <c r="B16930" s="6">
        <v>0.91608391608391604</v>
      </c>
      <c r="C16930" s="6">
        <v>0.95135953109021798</v>
      </c>
    </row>
    <row r="16931" spans="1:3" s="8" customFormat="1" x14ac:dyDescent="0.2">
      <c r="A16931" s="6" t="str">
        <f>"ZNF155"</f>
        <v>ZNF155</v>
      </c>
      <c r="B16931" s="6">
        <v>0.91608391608391604</v>
      </c>
      <c r="C16931" s="6">
        <v>0.95135953109021798</v>
      </c>
    </row>
    <row r="16932" spans="1:3" s="8" customFormat="1" x14ac:dyDescent="0.2">
      <c r="A16932" s="6" t="str">
        <f>"AL358113.1"</f>
        <v>AL358113.1</v>
      </c>
      <c r="B16932" s="6">
        <v>0.91608391608391604</v>
      </c>
      <c r="C16932" s="6">
        <v>0.95135953109021798</v>
      </c>
    </row>
    <row r="16933" spans="1:3" s="8" customFormat="1" x14ac:dyDescent="0.2">
      <c r="A16933" s="6" t="str">
        <f>"TIMM44"</f>
        <v>TIMM44</v>
      </c>
      <c r="B16933" s="6">
        <v>0.91608391608391604</v>
      </c>
      <c r="C16933" s="6">
        <v>0.95135953109021798</v>
      </c>
    </row>
    <row r="16934" spans="1:3" s="8" customFormat="1" x14ac:dyDescent="0.2">
      <c r="A16934" s="6" t="str">
        <f>"AC008280.2"</f>
        <v>AC008280.2</v>
      </c>
      <c r="B16934" s="6">
        <v>0.917082917082917</v>
      </c>
      <c r="C16934" s="6">
        <v>0.95217206034400204</v>
      </c>
    </row>
    <row r="16935" spans="1:3" s="8" customFormat="1" x14ac:dyDescent="0.2">
      <c r="A16935" s="6" t="str">
        <f>"AC016747.4"</f>
        <v>AC016747.4</v>
      </c>
      <c r="B16935" s="6">
        <v>0.917082917082917</v>
      </c>
      <c r="C16935" s="6">
        <v>0.95217206034400204</v>
      </c>
    </row>
    <row r="16936" spans="1:3" s="8" customFormat="1" x14ac:dyDescent="0.2">
      <c r="A16936" s="6" t="str">
        <f>"TRPM3"</f>
        <v>TRPM3</v>
      </c>
      <c r="B16936" s="6">
        <v>0.917082917082917</v>
      </c>
      <c r="C16936" s="6">
        <v>0.95217206034400204</v>
      </c>
    </row>
    <row r="16937" spans="1:3" s="8" customFormat="1" x14ac:dyDescent="0.2">
      <c r="A16937" s="6" t="str">
        <f>"MARVELD2"</f>
        <v>MARVELD2</v>
      </c>
      <c r="B16937" s="6">
        <v>0.917082917082917</v>
      </c>
      <c r="C16937" s="6">
        <v>0.95217206034400204</v>
      </c>
    </row>
    <row r="16938" spans="1:3" s="8" customFormat="1" x14ac:dyDescent="0.2">
      <c r="A16938" s="6" t="str">
        <f>"CACNB2"</f>
        <v>CACNB2</v>
      </c>
      <c r="B16938" s="6">
        <v>0.917670682730923</v>
      </c>
      <c r="C16938" s="6">
        <v>0.95272606040860597</v>
      </c>
    </row>
    <row r="16939" spans="1:3" s="8" customFormat="1" x14ac:dyDescent="0.2">
      <c r="A16939" s="6" t="str">
        <f>"AP001885.2"</f>
        <v>AP001885.2</v>
      </c>
      <c r="B16939" s="6">
        <v>0.91791791791791799</v>
      </c>
      <c r="C16939" s="6">
        <v>0.952871706265638</v>
      </c>
    </row>
    <row r="16940" spans="1:3" s="8" customFormat="1" x14ac:dyDescent="0.2">
      <c r="A16940" s="6" t="str">
        <f>"OR7C1"</f>
        <v>OR7C1</v>
      </c>
      <c r="B16940" s="6">
        <v>0.91808191808191797</v>
      </c>
      <c r="C16940" s="6">
        <v>0.952871706265638</v>
      </c>
    </row>
    <row r="16941" spans="1:3" s="8" customFormat="1" x14ac:dyDescent="0.2">
      <c r="A16941" s="6" t="str">
        <f>"ARHGAP20"</f>
        <v>ARHGAP20</v>
      </c>
      <c r="B16941" s="6">
        <v>0.91808191808191797</v>
      </c>
      <c r="C16941" s="6">
        <v>0.952871706265638</v>
      </c>
    </row>
    <row r="16942" spans="1:3" s="8" customFormat="1" x14ac:dyDescent="0.2">
      <c r="A16942" s="6" t="str">
        <f>"MAPKAPK5-AS1"</f>
        <v>MAPKAPK5-AS1</v>
      </c>
      <c r="B16942" s="6">
        <v>0.91808191808191797</v>
      </c>
      <c r="C16942" s="6">
        <v>0.952871706265638</v>
      </c>
    </row>
    <row r="16943" spans="1:3" s="8" customFormat="1" x14ac:dyDescent="0.2">
      <c r="A16943" s="6" t="str">
        <f>"PDSS2"</f>
        <v>PDSS2</v>
      </c>
      <c r="B16943" s="6">
        <v>0.91808191808191797</v>
      </c>
      <c r="C16943" s="6">
        <v>0.952871706265638</v>
      </c>
    </row>
    <row r="16944" spans="1:3" s="8" customFormat="1" x14ac:dyDescent="0.2">
      <c r="A16944" s="6" t="str">
        <f>"IGHV1-69"</f>
        <v>IGHV1-69</v>
      </c>
      <c r="B16944" s="6">
        <v>0.91883767535070104</v>
      </c>
      <c r="C16944" s="6">
        <v>0.95340209315785895</v>
      </c>
    </row>
    <row r="16945" spans="1:3" s="8" customFormat="1" x14ac:dyDescent="0.2">
      <c r="A16945" s="6" t="str">
        <f>"AC104109.4"</f>
        <v>AC104109.4</v>
      </c>
      <c r="B16945" s="6">
        <v>0.91900000000000004</v>
      </c>
      <c r="C16945" s="6">
        <v>0.95340209315785895</v>
      </c>
    </row>
    <row r="16946" spans="1:3" s="8" customFormat="1" x14ac:dyDescent="0.2">
      <c r="A16946" s="6" t="str">
        <f>"AC233968.1"</f>
        <v>AC233968.1</v>
      </c>
      <c r="B16946" s="6">
        <v>0.91908091908091905</v>
      </c>
      <c r="C16946" s="6">
        <v>0.95340209315785895</v>
      </c>
    </row>
    <row r="16947" spans="1:3" s="8" customFormat="1" x14ac:dyDescent="0.2">
      <c r="A16947" s="6" t="str">
        <f>"MAP4K3-DT"</f>
        <v>MAP4K3-DT</v>
      </c>
      <c r="B16947" s="6">
        <v>0.91908091908091905</v>
      </c>
      <c r="C16947" s="6">
        <v>0.95340209315785895</v>
      </c>
    </row>
    <row r="16948" spans="1:3" s="8" customFormat="1" x14ac:dyDescent="0.2">
      <c r="A16948" s="6" t="str">
        <f>"LSM2"</f>
        <v>LSM2</v>
      </c>
      <c r="B16948" s="6">
        <v>0.91908091908091905</v>
      </c>
      <c r="C16948" s="6">
        <v>0.95340209315785895</v>
      </c>
    </row>
    <row r="16949" spans="1:3" s="8" customFormat="1" x14ac:dyDescent="0.2">
      <c r="A16949" s="6" t="str">
        <f>"ZNF211"</f>
        <v>ZNF211</v>
      </c>
      <c r="B16949" s="6">
        <v>0.91908091908091905</v>
      </c>
      <c r="C16949" s="6">
        <v>0.95340209315785895</v>
      </c>
    </row>
    <row r="16950" spans="1:3" s="8" customFormat="1" x14ac:dyDescent="0.2">
      <c r="A16950" s="6" t="str">
        <f>"CDIPT"</f>
        <v>CDIPT</v>
      </c>
      <c r="B16950" s="6">
        <v>0.91908091908091905</v>
      </c>
      <c r="C16950" s="6">
        <v>0.95340209315785895</v>
      </c>
    </row>
    <row r="16951" spans="1:3" s="8" customFormat="1" x14ac:dyDescent="0.2">
      <c r="A16951" s="6" t="str">
        <f>"TRRAP"</f>
        <v>TRRAP</v>
      </c>
      <c r="B16951" s="6">
        <v>0.91908091908091905</v>
      </c>
      <c r="C16951" s="6">
        <v>0.95340209315785895</v>
      </c>
    </row>
    <row r="16952" spans="1:3" s="8" customFormat="1" x14ac:dyDescent="0.2">
      <c r="A16952" s="6" t="str">
        <f>"TFF3"</f>
        <v>TFF3</v>
      </c>
      <c r="B16952" s="6">
        <v>0.91908091908091905</v>
      </c>
      <c r="C16952" s="6">
        <v>0.95340209315785895</v>
      </c>
    </row>
    <row r="16953" spans="1:3" s="8" customFormat="1" x14ac:dyDescent="0.2">
      <c r="A16953" s="6" t="str">
        <f>"AL121899.2"</f>
        <v>AL121899.2</v>
      </c>
      <c r="B16953" s="6">
        <v>0.92007992007992001</v>
      </c>
      <c r="C16953" s="6">
        <v>0.95404442237795195</v>
      </c>
    </row>
    <row r="16954" spans="1:3" s="8" customFormat="1" x14ac:dyDescent="0.2">
      <c r="A16954" s="6" t="str">
        <f>"AC006064.6"</f>
        <v>AC006064.6</v>
      </c>
      <c r="B16954" s="6">
        <v>0.91991991991991995</v>
      </c>
      <c r="C16954" s="6">
        <v>0.95404442237795195</v>
      </c>
    </row>
    <row r="16955" spans="1:3" s="8" customFormat="1" x14ac:dyDescent="0.2">
      <c r="A16955" s="6" t="str">
        <f>"ZNF565"</f>
        <v>ZNF565</v>
      </c>
      <c r="B16955" s="6">
        <v>0.92007992007992001</v>
      </c>
      <c r="C16955" s="6">
        <v>0.95404442237795195</v>
      </c>
    </row>
    <row r="16956" spans="1:3" s="8" customFormat="1" x14ac:dyDescent="0.2">
      <c r="A16956" s="6" t="str">
        <f>"AL022069.3"</f>
        <v>AL022069.3</v>
      </c>
      <c r="B16956" s="6">
        <v>0.92007992007992001</v>
      </c>
      <c r="C16956" s="6">
        <v>0.95404442237795195</v>
      </c>
    </row>
    <row r="16957" spans="1:3" s="8" customFormat="1" x14ac:dyDescent="0.2">
      <c r="A16957" s="6" t="str">
        <f>"FAM177B"</f>
        <v>FAM177B</v>
      </c>
      <c r="B16957" s="6">
        <v>0.92007992007992001</v>
      </c>
      <c r="C16957" s="6">
        <v>0.95404442237795195</v>
      </c>
    </row>
    <row r="16958" spans="1:3" s="8" customFormat="1" x14ac:dyDescent="0.2">
      <c r="A16958" s="6" t="str">
        <f>"PODXL2"</f>
        <v>PODXL2</v>
      </c>
      <c r="B16958" s="6">
        <v>0.92007992007992001</v>
      </c>
      <c r="C16958" s="6">
        <v>0.95404442237795195</v>
      </c>
    </row>
    <row r="16959" spans="1:3" s="8" customFormat="1" x14ac:dyDescent="0.2">
      <c r="A16959" s="6" t="str">
        <f>"UBQLN4"</f>
        <v>UBQLN4</v>
      </c>
      <c r="B16959" s="6">
        <v>0.92007992007992001</v>
      </c>
      <c r="C16959" s="6">
        <v>0.95404442237795195</v>
      </c>
    </row>
    <row r="16960" spans="1:3" s="8" customFormat="1" x14ac:dyDescent="0.2">
      <c r="A16960" s="6" t="str">
        <f>"AC124319.1"</f>
        <v>AC124319.1</v>
      </c>
      <c r="B16960" s="6">
        <v>0.92107892107892098</v>
      </c>
      <c r="C16960" s="6">
        <v>0.95457368705438495</v>
      </c>
    </row>
    <row r="16961" spans="1:3" s="8" customFormat="1" x14ac:dyDescent="0.2">
      <c r="A16961" s="6" t="str">
        <f>"LAMP5"</f>
        <v>LAMP5</v>
      </c>
      <c r="B16961" s="6">
        <v>0.92107892107892098</v>
      </c>
      <c r="C16961" s="6">
        <v>0.95457368705438495</v>
      </c>
    </row>
    <row r="16962" spans="1:3" s="8" customFormat="1" x14ac:dyDescent="0.2">
      <c r="A16962" s="6" t="str">
        <f>"CU633906.2"</f>
        <v>CU633906.2</v>
      </c>
      <c r="B16962" s="6">
        <v>0.92107892107892098</v>
      </c>
      <c r="C16962" s="6">
        <v>0.95457368705438495</v>
      </c>
    </row>
    <row r="16963" spans="1:3" s="8" customFormat="1" x14ac:dyDescent="0.2">
      <c r="A16963" s="6" t="str">
        <f>"BMS1P4-AGAP5"</f>
        <v>BMS1P4-AGAP5</v>
      </c>
      <c r="B16963" s="6">
        <v>0.92107892107892098</v>
      </c>
      <c r="C16963" s="6">
        <v>0.95457368705438495</v>
      </c>
    </row>
    <row r="16964" spans="1:3" s="8" customFormat="1" x14ac:dyDescent="0.2">
      <c r="A16964" s="6" t="str">
        <f>"ROCK1P1"</f>
        <v>ROCK1P1</v>
      </c>
      <c r="B16964" s="6">
        <v>0.92107892107892098</v>
      </c>
      <c r="C16964" s="6">
        <v>0.95457368705438495</v>
      </c>
    </row>
    <row r="16965" spans="1:3" s="8" customFormat="1" x14ac:dyDescent="0.2">
      <c r="A16965" s="6" t="str">
        <f>"GOLGA6L10"</f>
        <v>GOLGA6L10</v>
      </c>
      <c r="B16965" s="6">
        <v>0.92107892107892098</v>
      </c>
      <c r="C16965" s="6">
        <v>0.95457368705438495</v>
      </c>
    </row>
    <row r="16966" spans="1:3" s="8" customFormat="1" x14ac:dyDescent="0.2">
      <c r="A16966" s="6" t="str">
        <f>"AC024075.2"</f>
        <v>AC024075.2</v>
      </c>
      <c r="B16966" s="6">
        <v>0.92107892107892098</v>
      </c>
      <c r="C16966" s="6">
        <v>0.95457368705438495</v>
      </c>
    </row>
    <row r="16967" spans="1:3" s="8" customFormat="1" x14ac:dyDescent="0.2">
      <c r="A16967" s="6" t="str">
        <f>"ZDHHC16"</f>
        <v>ZDHHC16</v>
      </c>
      <c r="B16967" s="6">
        <v>0.92107892107892098</v>
      </c>
      <c r="C16967" s="6">
        <v>0.95457368705438495</v>
      </c>
    </row>
    <row r="16968" spans="1:3" s="8" customFormat="1" x14ac:dyDescent="0.2">
      <c r="A16968" s="6" t="str">
        <f>"UBE4B"</f>
        <v>UBE4B</v>
      </c>
      <c r="B16968" s="6">
        <v>0.92107892107892098</v>
      </c>
      <c r="C16968" s="6">
        <v>0.95457368705438495</v>
      </c>
    </row>
    <row r="16969" spans="1:3" s="8" customFormat="1" x14ac:dyDescent="0.2">
      <c r="A16969" s="6" t="str">
        <f>"AL590552.1"</f>
        <v>AL590552.1</v>
      </c>
      <c r="B16969" s="6">
        <v>0.92207792207792205</v>
      </c>
      <c r="C16969" s="6">
        <v>0.954708719414601</v>
      </c>
    </row>
    <row r="16970" spans="1:3" s="8" customFormat="1" x14ac:dyDescent="0.2">
      <c r="A16970" s="6" t="str">
        <f>"AC011997.1"</f>
        <v>AC011997.1</v>
      </c>
      <c r="B16970" s="6">
        <v>0.92207792207792205</v>
      </c>
      <c r="C16970" s="6">
        <v>0.954708719414601</v>
      </c>
    </row>
    <row r="16971" spans="1:3" s="8" customFormat="1" x14ac:dyDescent="0.2">
      <c r="A16971" s="6" t="str">
        <f>"GPER1"</f>
        <v>GPER1</v>
      </c>
      <c r="B16971" s="6">
        <v>0.92200000000000004</v>
      </c>
      <c r="C16971" s="6">
        <v>0.954708719414601</v>
      </c>
    </row>
    <row r="16972" spans="1:3" s="8" customFormat="1" x14ac:dyDescent="0.2">
      <c r="A16972" s="6" t="str">
        <f>"AL356512.1"</f>
        <v>AL356512.1</v>
      </c>
      <c r="B16972" s="6">
        <v>0.92207792207792205</v>
      </c>
      <c r="C16972" s="6">
        <v>0.954708719414601</v>
      </c>
    </row>
    <row r="16973" spans="1:3" s="8" customFormat="1" x14ac:dyDescent="0.2">
      <c r="A16973" s="6" t="str">
        <f>"AC006511.3"</f>
        <v>AC006511.3</v>
      </c>
      <c r="B16973" s="6">
        <v>0.92207792207792205</v>
      </c>
      <c r="C16973" s="6">
        <v>0.954708719414601</v>
      </c>
    </row>
    <row r="16974" spans="1:3" s="8" customFormat="1" x14ac:dyDescent="0.2">
      <c r="A16974" s="6" t="str">
        <f>"AC012349.1"</f>
        <v>AC012349.1</v>
      </c>
      <c r="B16974" s="6">
        <v>0.92207792207792205</v>
      </c>
      <c r="C16974" s="6">
        <v>0.954708719414601</v>
      </c>
    </row>
    <row r="16975" spans="1:3" s="8" customFormat="1" x14ac:dyDescent="0.2">
      <c r="A16975" s="6" t="str">
        <f>"SHOC1"</f>
        <v>SHOC1</v>
      </c>
      <c r="B16975" s="6">
        <v>0.92207792207792205</v>
      </c>
      <c r="C16975" s="6">
        <v>0.954708719414601</v>
      </c>
    </row>
    <row r="16976" spans="1:3" s="8" customFormat="1" x14ac:dyDescent="0.2">
      <c r="A16976" s="6" t="str">
        <f>"AP001033.1"</f>
        <v>AP001033.1</v>
      </c>
      <c r="B16976" s="6">
        <v>0.92207792207792205</v>
      </c>
      <c r="C16976" s="6">
        <v>0.954708719414601</v>
      </c>
    </row>
    <row r="16977" spans="1:3" s="8" customFormat="1" x14ac:dyDescent="0.2">
      <c r="A16977" s="6" t="str">
        <f>"CD200R1L-AS1"</f>
        <v>CD200R1L-AS1</v>
      </c>
      <c r="B16977" s="6">
        <v>0.92207792207792205</v>
      </c>
      <c r="C16977" s="6">
        <v>0.954708719414601</v>
      </c>
    </row>
    <row r="16978" spans="1:3" s="8" customFormat="1" x14ac:dyDescent="0.2">
      <c r="A16978" s="6" t="str">
        <f>"SCAMP1-AS1"</f>
        <v>SCAMP1-AS1</v>
      </c>
      <c r="B16978" s="6">
        <v>0.92207792207792205</v>
      </c>
      <c r="C16978" s="6">
        <v>0.954708719414601</v>
      </c>
    </row>
    <row r="16979" spans="1:3" s="8" customFormat="1" x14ac:dyDescent="0.2">
      <c r="A16979" s="6" t="str">
        <f>"C11orf68"</f>
        <v>C11orf68</v>
      </c>
      <c r="B16979" s="6">
        <v>0.92207792207792205</v>
      </c>
      <c r="C16979" s="6">
        <v>0.954708719414601</v>
      </c>
    </row>
    <row r="16980" spans="1:3" s="8" customFormat="1" x14ac:dyDescent="0.2">
      <c r="A16980" s="6" t="str">
        <f>"SIKE1"</f>
        <v>SIKE1</v>
      </c>
      <c r="B16980" s="6">
        <v>0.92207792207792205</v>
      </c>
      <c r="C16980" s="6">
        <v>0.954708719414601</v>
      </c>
    </row>
    <row r="16981" spans="1:3" s="8" customFormat="1" x14ac:dyDescent="0.2">
      <c r="A16981" s="6" t="str">
        <f>"ICA1"</f>
        <v>ICA1</v>
      </c>
      <c r="B16981" s="6">
        <v>0.92207792207792205</v>
      </c>
      <c r="C16981" s="6">
        <v>0.954708719414601</v>
      </c>
    </row>
    <row r="16982" spans="1:3" s="8" customFormat="1" x14ac:dyDescent="0.2">
      <c r="A16982" s="6" t="str">
        <f>"SNAPC3"</f>
        <v>SNAPC3</v>
      </c>
      <c r="B16982" s="6">
        <v>0.92207792207792205</v>
      </c>
      <c r="C16982" s="6">
        <v>0.954708719414601</v>
      </c>
    </row>
    <row r="16983" spans="1:3" s="8" customFormat="1" x14ac:dyDescent="0.2">
      <c r="A16983" s="6" t="str">
        <f>"EHD4"</f>
        <v>EHD4</v>
      </c>
      <c r="B16983" s="6">
        <v>0.92207792207792205</v>
      </c>
      <c r="C16983" s="6">
        <v>0.954708719414601</v>
      </c>
    </row>
    <row r="16984" spans="1:3" s="8" customFormat="1" x14ac:dyDescent="0.2">
      <c r="A16984" s="6" t="str">
        <f>"ACO2"</f>
        <v>ACO2</v>
      </c>
      <c r="B16984" s="6">
        <v>0.92200000000000004</v>
      </c>
      <c r="C16984" s="6">
        <v>0.954708719414601</v>
      </c>
    </row>
    <row r="16985" spans="1:3" s="8" customFormat="1" x14ac:dyDescent="0.2">
      <c r="A16985" s="6" t="str">
        <f>"SMIM41"</f>
        <v>SMIM41</v>
      </c>
      <c r="B16985" s="6">
        <v>0.92307692307692302</v>
      </c>
      <c r="C16985" s="6">
        <v>0.95529307370870498</v>
      </c>
    </row>
    <row r="16986" spans="1:3" s="8" customFormat="1" x14ac:dyDescent="0.2">
      <c r="A16986" s="6" t="str">
        <f>"RPS6P20"</f>
        <v>RPS6P20</v>
      </c>
      <c r="B16986" s="6">
        <v>0.92283950617283905</v>
      </c>
      <c r="C16986" s="6">
        <v>0.95529307370870498</v>
      </c>
    </row>
    <row r="16987" spans="1:3" s="8" customFormat="1" x14ac:dyDescent="0.2">
      <c r="A16987" s="6" t="str">
        <f>"DIRAS2"</f>
        <v>DIRAS2</v>
      </c>
      <c r="B16987" s="6">
        <v>0.92307692307692302</v>
      </c>
      <c r="C16987" s="6">
        <v>0.95529307370870498</v>
      </c>
    </row>
    <row r="16988" spans="1:3" s="8" customFormat="1" x14ac:dyDescent="0.2">
      <c r="A16988" s="6" t="str">
        <f>"AC025580.2"</f>
        <v>AC025580.2</v>
      </c>
      <c r="B16988" s="6">
        <v>0.92307692307692302</v>
      </c>
      <c r="C16988" s="6">
        <v>0.95529307370870498</v>
      </c>
    </row>
    <row r="16989" spans="1:3" s="8" customFormat="1" x14ac:dyDescent="0.2">
      <c r="A16989" s="6" t="str">
        <f>"PCDHB3"</f>
        <v>PCDHB3</v>
      </c>
      <c r="B16989" s="6">
        <v>0.92307692307692302</v>
      </c>
      <c r="C16989" s="6">
        <v>0.95529307370870498</v>
      </c>
    </row>
    <row r="16990" spans="1:3" s="8" customFormat="1" x14ac:dyDescent="0.2">
      <c r="A16990" s="6" t="str">
        <f>"SWI5"</f>
        <v>SWI5</v>
      </c>
      <c r="B16990" s="6">
        <v>0.92307692307692302</v>
      </c>
      <c r="C16990" s="6">
        <v>0.95529307370870498</v>
      </c>
    </row>
    <row r="16991" spans="1:3" s="8" customFormat="1" x14ac:dyDescent="0.2">
      <c r="A16991" s="6" t="str">
        <f>"CDK8"</f>
        <v>CDK8</v>
      </c>
      <c r="B16991" s="6">
        <v>0.92307692307692302</v>
      </c>
      <c r="C16991" s="6">
        <v>0.95529307370870498</v>
      </c>
    </row>
    <row r="16992" spans="1:3" s="8" customFormat="1" x14ac:dyDescent="0.2">
      <c r="A16992" s="6" t="str">
        <f>"SYNRG"</f>
        <v>SYNRG</v>
      </c>
      <c r="B16992" s="6">
        <v>0.92307692307692302</v>
      </c>
      <c r="C16992" s="6">
        <v>0.95529307370870498</v>
      </c>
    </row>
    <row r="16993" spans="1:3" s="8" customFormat="1" x14ac:dyDescent="0.2">
      <c r="A16993" s="6" t="str">
        <f>"TRBV19"</f>
        <v>TRBV19</v>
      </c>
      <c r="B16993" s="6">
        <v>0.92407592407592398</v>
      </c>
      <c r="C16993" s="6">
        <v>0.95598935394193296</v>
      </c>
    </row>
    <row r="16994" spans="1:3" s="8" customFormat="1" x14ac:dyDescent="0.2">
      <c r="A16994" s="6" t="str">
        <f>"TRPC6"</f>
        <v>TRPC6</v>
      </c>
      <c r="B16994" s="6">
        <v>0.92407592407592398</v>
      </c>
      <c r="C16994" s="6">
        <v>0.95598935394193296</v>
      </c>
    </row>
    <row r="16995" spans="1:3" s="8" customFormat="1" x14ac:dyDescent="0.2">
      <c r="A16995" s="6" t="str">
        <f>"AC008764.6"</f>
        <v>AC008764.6</v>
      </c>
      <c r="B16995" s="6">
        <v>0.92407592407592398</v>
      </c>
      <c r="C16995" s="6">
        <v>0.95598935394193296</v>
      </c>
    </row>
    <row r="16996" spans="1:3" s="8" customFormat="1" x14ac:dyDescent="0.2">
      <c r="A16996" s="6" t="str">
        <f>"TCEAL4"</f>
        <v>TCEAL4</v>
      </c>
      <c r="B16996" s="6">
        <v>0.92407592407592398</v>
      </c>
      <c r="C16996" s="6">
        <v>0.95598935394193296</v>
      </c>
    </row>
    <row r="16997" spans="1:3" s="8" customFormat="1" x14ac:dyDescent="0.2">
      <c r="A16997" s="6" t="str">
        <f>"HGSNAT"</f>
        <v>HGSNAT</v>
      </c>
      <c r="B16997" s="6">
        <v>0.92392392392392397</v>
      </c>
      <c r="C16997" s="6">
        <v>0.95598935394193296</v>
      </c>
    </row>
    <row r="16998" spans="1:3" s="8" customFormat="1" x14ac:dyDescent="0.2">
      <c r="A16998" s="6" t="str">
        <f>"SERBP1"</f>
        <v>SERBP1</v>
      </c>
      <c r="B16998" s="6">
        <v>0.92407592407592398</v>
      </c>
      <c r="C16998" s="6">
        <v>0.95598935394193296</v>
      </c>
    </row>
    <row r="16999" spans="1:3" s="8" customFormat="1" x14ac:dyDescent="0.2">
      <c r="A16999" s="6" t="str">
        <f>"MPPED2-AS1"</f>
        <v>MPPED2-AS1</v>
      </c>
      <c r="B16999" s="6">
        <v>0.92507492507492495</v>
      </c>
      <c r="C16999" s="6">
        <v>0.95662888041151894</v>
      </c>
    </row>
    <row r="17000" spans="1:3" s="8" customFormat="1" x14ac:dyDescent="0.2">
      <c r="A17000" s="6" t="str">
        <f>"TMPOP2"</f>
        <v>TMPOP2</v>
      </c>
      <c r="B17000" s="6">
        <v>0.92507492507492495</v>
      </c>
      <c r="C17000" s="6">
        <v>0.95662888041151894</v>
      </c>
    </row>
    <row r="17001" spans="1:3" s="8" customFormat="1" x14ac:dyDescent="0.2">
      <c r="A17001" s="6" t="str">
        <f>"AC011405.1"</f>
        <v>AC011405.1</v>
      </c>
      <c r="B17001" s="6">
        <v>0.92507492507492495</v>
      </c>
      <c r="C17001" s="6">
        <v>0.95662888041151894</v>
      </c>
    </row>
    <row r="17002" spans="1:3" s="8" customFormat="1" x14ac:dyDescent="0.2">
      <c r="A17002" s="6" t="str">
        <f>"C6orf141"</f>
        <v>C6orf141</v>
      </c>
      <c r="B17002" s="6">
        <v>0.92507492507492495</v>
      </c>
      <c r="C17002" s="6">
        <v>0.95662888041151894</v>
      </c>
    </row>
    <row r="17003" spans="1:3" s="8" customFormat="1" x14ac:dyDescent="0.2">
      <c r="A17003" s="6" t="str">
        <f>"STARD5"</f>
        <v>STARD5</v>
      </c>
      <c r="B17003" s="6">
        <v>0.92507492507492495</v>
      </c>
      <c r="C17003" s="6">
        <v>0.95662888041151894</v>
      </c>
    </row>
    <row r="17004" spans="1:3" s="8" customFormat="1" x14ac:dyDescent="0.2">
      <c r="A17004" s="6" t="str">
        <f>"GTF3C2"</f>
        <v>GTF3C2</v>
      </c>
      <c r="B17004" s="6">
        <v>0.92507492507492495</v>
      </c>
      <c r="C17004" s="6">
        <v>0.95662888041151894</v>
      </c>
    </row>
    <row r="17005" spans="1:3" s="8" customFormat="1" x14ac:dyDescent="0.2">
      <c r="A17005" s="6" t="str">
        <f>"EP400"</f>
        <v>EP400</v>
      </c>
      <c r="B17005" s="6">
        <v>0.92507492507492495</v>
      </c>
      <c r="C17005" s="6">
        <v>0.95662888041151894</v>
      </c>
    </row>
    <row r="17006" spans="1:3" s="8" customFormat="1" x14ac:dyDescent="0.2">
      <c r="A17006" s="6" t="str">
        <f>"AC051619.6"</f>
        <v>AC051619.6</v>
      </c>
      <c r="B17006" s="6">
        <v>0.92607392607392602</v>
      </c>
      <c r="C17006" s="6">
        <v>0.95732415732415699</v>
      </c>
    </row>
    <row r="17007" spans="1:3" s="8" customFormat="1" x14ac:dyDescent="0.2">
      <c r="A17007" s="6" t="str">
        <f>"GOLGA8T"</f>
        <v>GOLGA8T</v>
      </c>
      <c r="B17007" s="6">
        <v>0.92607392607392602</v>
      </c>
      <c r="C17007" s="6">
        <v>0.95732415732415699</v>
      </c>
    </row>
    <row r="17008" spans="1:3" s="8" customFormat="1" x14ac:dyDescent="0.2">
      <c r="A17008" s="6" t="str">
        <f>"LRRN4CL"</f>
        <v>LRRN4CL</v>
      </c>
      <c r="B17008" s="6">
        <v>0.92607392607392602</v>
      </c>
      <c r="C17008" s="6">
        <v>0.95732415732415699</v>
      </c>
    </row>
    <row r="17009" spans="1:3" s="8" customFormat="1" x14ac:dyDescent="0.2">
      <c r="A17009" s="6" t="str">
        <f>"CDIN1"</f>
        <v>CDIN1</v>
      </c>
      <c r="B17009" s="6">
        <v>0.92607392607392602</v>
      </c>
      <c r="C17009" s="6">
        <v>0.95732415732415699</v>
      </c>
    </row>
    <row r="17010" spans="1:3" s="8" customFormat="1" x14ac:dyDescent="0.2">
      <c r="A17010" s="6" t="str">
        <f>"SLC44A3"</f>
        <v>SLC44A3</v>
      </c>
      <c r="B17010" s="6">
        <v>0.92607392607392602</v>
      </c>
      <c r="C17010" s="6">
        <v>0.95732415732415699</v>
      </c>
    </row>
    <row r="17011" spans="1:3" s="8" customFormat="1" x14ac:dyDescent="0.2">
      <c r="A17011" s="6" t="str">
        <f>"MRPL33"</f>
        <v>MRPL33</v>
      </c>
      <c r="B17011" s="6">
        <v>0.92607392607392602</v>
      </c>
      <c r="C17011" s="6">
        <v>0.95732415732415699</v>
      </c>
    </row>
    <row r="17012" spans="1:3" s="8" customFormat="1" x14ac:dyDescent="0.2">
      <c r="A17012" s="6" t="str">
        <f>"AC008537.1"</f>
        <v>AC008537.1</v>
      </c>
      <c r="B17012" s="6">
        <v>0.92707292707292699</v>
      </c>
      <c r="C17012" s="6">
        <v>0.95785007048888604</v>
      </c>
    </row>
    <row r="17013" spans="1:3" s="8" customFormat="1" x14ac:dyDescent="0.2">
      <c r="A17013" s="6" t="str">
        <f>"AC011751.1"</f>
        <v>AC011751.1</v>
      </c>
      <c r="B17013" s="6">
        <v>0.92707292707292699</v>
      </c>
      <c r="C17013" s="6">
        <v>0.95785007048888604</v>
      </c>
    </row>
    <row r="17014" spans="1:3" s="8" customFormat="1" x14ac:dyDescent="0.2">
      <c r="A17014" s="6" t="str">
        <f>"AC026356.1"</f>
        <v>AC026356.1</v>
      </c>
      <c r="B17014" s="6">
        <v>0.92707292707292699</v>
      </c>
      <c r="C17014" s="6">
        <v>0.95785007048888604</v>
      </c>
    </row>
    <row r="17015" spans="1:3" s="8" customFormat="1" x14ac:dyDescent="0.2">
      <c r="A17015" s="6" t="str">
        <f>"SLC1A3"</f>
        <v>SLC1A3</v>
      </c>
      <c r="B17015" s="6">
        <v>0.92707292707292699</v>
      </c>
      <c r="C17015" s="6">
        <v>0.95785007048888604</v>
      </c>
    </row>
    <row r="17016" spans="1:3" s="8" customFormat="1" x14ac:dyDescent="0.2">
      <c r="A17016" s="6" t="str">
        <f>"SMG1P5"</f>
        <v>SMG1P5</v>
      </c>
      <c r="B17016" s="6">
        <v>0.92707292707292699</v>
      </c>
      <c r="C17016" s="6">
        <v>0.95785007048888604</v>
      </c>
    </row>
    <row r="17017" spans="1:3" s="8" customFormat="1" x14ac:dyDescent="0.2">
      <c r="A17017" s="6" t="str">
        <f>"SNUPN"</f>
        <v>SNUPN</v>
      </c>
      <c r="B17017" s="6">
        <v>0.92707292707292699</v>
      </c>
      <c r="C17017" s="6">
        <v>0.95785007048888604</v>
      </c>
    </row>
    <row r="17018" spans="1:3" s="8" customFormat="1" x14ac:dyDescent="0.2">
      <c r="A17018" s="6" t="str">
        <f>"TBCEL"</f>
        <v>TBCEL</v>
      </c>
      <c r="B17018" s="6">
        <v>0.92707292707292699</v>
      </c>
      <c r="C17018" s="6">
        <v>0.95785007048888604</v>
      </c>
    </row>
    <row r="17019" spans="1:3" s="8" customFormat="1" x14ac:dyDescent="0.2">
      <c r="A17019" s="6" t="str">
        <f>"CSNK1G1"</f>
        <v>CSNK1G1</v>
      </c>
      <c r="B17019" s="6">
        <v>0.92707292707292699</v>
      </c>
      <c r="C17019" s="6">
        <v>0.95785007048888604</v>
      </c>
    </row>
    <row r="17020" spans="1:3" s="8" customFormat="1" x14ac:dyDescent="0.2">
      <c r="A17020" s="6" t="str">
        <f>"DHRS3"</f>
        <v>DHRS3</v>
      </c>
      <c r="B17020" s="6">
        <v>0.92707292707292699</v>
      </c>
      <c r="C17020" s="6">
        <v>0.95785007048888604</v>
      </c>
    </row>
    <row r="17021" spans="1:3" s="8" customFormat="1" x14ac:dyDescent="0.2">
      <c r="A17021" s="6" t="str">
        <f>"KDM5D"</f>
        <v>KDM5D</v>
      </c>
      <c r="B17021" s="6">
        <v>0.92751981879954704</v>
      </c>
      <c r="C17021" s="6">
        <v>0.95825549317104697</v>
      </c>
    </row>
    <row r="17022" spans="1:3" s="8" customFormat="1" x14ac:dyDescent="0.2">
      <c r="A17022" s="6" t="str">
        <f>"AD001527.2"</f>
        <v>AD001527.2</v>
      </c>
      <c r="B17022" s="6">
        <v>0.92778335005015</v>
      </c>
      <c r="C17022" s="6">
        <v>0.95843171335037103</v>
      </c>
    </row>
    <row r="17023" spans="1:3" s="8" customFormat="1" x14ac:dyDescent="0.2">
      <c r="A17023" s="6" t="str">
        <f>"AC005020.2"</f>
        <v>AC005020.2</v>
      </c>
      <c r="B17023" s="6">
        <v>0.92807192807192795</v>
      </c>
      <c r="C17023" s="6">
        <v>0.95843171335037103</v>
      </c>
    </row>
    <row r="17024" spans="1:3" s="8" customFormat="1" x14ac:dyDescent="0.2">
      <c r="A17024" s="6" t="str">
        <f>"GUSBP2"</f>
        <v>GUSBP2</v>
      </c>
      <c r="B17024" s="6">
        <v>0.92807192807192795</v>
      </c>
      <c r="C17024" s="6">
        <v>0.95843171335037103</v>
      </c>
    </row>
    <row r="17025" spans="1:3" s="8" customFormat="1" x14ac:dyDescent="0.2">
      <c r="A17025" s="6" t="str">
        <f>"ZFYVE19"</f>
        <v>ZFYVE19</v>
      </c>
      <c r="B17025" s="6">
        <v>0.92807192807192795</v>
      </c>
      <c r="C17025" s="6">
        <v>0.95843171335037103</v>
      </c>
    </row>
    <row r="17026" spans="1:3" s="8" customFormat="1" x14ac:dyDescent="0.2">
      <c r="A17026" s="6" t="str">
        <f>"FBXO6"</f>
        <v>FBXO6</v>
      </c>
      <c r="B17026" s="6">
        <v>0.92807192807192795</v>
      </c>
      <c r="C17026" s="6">
        <v>0.95843171335037103</v>
      </c>
    </row>
    <row r="17027" spans="1:3" s="8" customFormat="1" x14ac:dyDescent="0.2">
      <c r="A17027" s="6" t="str">
        <f>"USP39"</f>
        <v>USP39</v>
      </c>
      <c r="B17027" s="6">
        <v>0.92807192807192795</v>
      </c>
      <c r="C17027" s="6">
        <v>0.95843171335037103</v>
      </c>
    </row>
    <row r="17028" spans="1:3" s="8" customFormat="1" x14ac:dyDescent="0.2">
      <c r="A17028" s="6" t="str">
        <f>"PLEKHA6"</f>
        <v>PLEKHA6</v>
      </c>
      <c r="B17028" s="6">
        <v>0.92807192807192795</v>
      </c>
      <c r="C17028" s="6">
        <v>0.95843171335037103</v>
      </c>
    </row>
    <row r="17029" spans="1:3" s="8" customFormat="1" x14ac:dyDescent="0.2">
      <c r="A17029" s="6" t="str">
        <f>"RNU6-33P"</f>
        <v>RNU6-33P</v>
      </c>
      <c r="B17029" s="6">
        <v>0.92907092907092903</v>
      </c>
      <c r="C17029" s="6">
        <v>0.95890022989864498</v>
      </c>
    </row>
    <row r="17030" spans="1:3" s="8" customFormat="1" x14ac:dyDescent="0.2">
      <c r="A17030" s="6" t="str">
        <f>"AP005329.2"</f>
        <v>AP005329.2</v>
      </c>
      <c r="B17030" s="6">
        <v>0.92907092907092903</v>
      </c>
      <c r="C17030" s="6">
        <v>0.95890022989864498</v>
      </c>
    </row>
    <row r="17031" spans="1:3" s="8" customFormat="1" x14ac:dyDescent="0.2">
      <c r="A17031" s="6" t="str">
        <f>"AC148476.1"</f>
        <v>AC148476.1</v>
      </c>
      <c r="B17031" s="6">
        <v>0.92900000000000005</v>
      </c>
      <c r="C17031" s="6">
        <v>0.95890022989864498</v>
      </c>
    </row>
    <row r="17032" spans="1:3" s="8" customFormat="1" x14ac:dyDescent="0.2">
      <c r="A17032" s="6" t="str">
        <f>"AC004687.2"</f>
        <v>AC004687.2</v>
      </c>
      <c r="B17032" s="6">
        <v>0.92907092907092903</v>
      </c>
      <c r="C17032" s="6">
        <v>0.95890022989864498</v>
      </c>
    </row>
    <row r="17033" spans="1:3" s="8" customFormat="1" x14ac:dyDescent="0.2">
      <c r="A17033" s="6" t="str">
        <f>"BX004807.1"</f>
        <v>BX004807.1</v>
      </c>
      <c r="B17033" s="6">
        <v>0.92907092907092903</v>
      </c>
      <c r="C17033" s="6">
        <v>0.95890022989864498</v>
      </c>
    </row>
    <row r="17034" spans="1:3" s="8" customFormat="1" x14ac:dyDescent="0.2">
      <c r="A17034" s="6" t="str">
        <f>"OR10G3"</f>
        <v>OR10G3</v>
      </c>
      <c r="B17034" s="6">
        <v>0.92878942014242105</v>
      </c>
      <c r="C17034" s="6">
        <v>0.95890022989864498</v>
      </c>
    </row>
    <row r="17035" spans="1:3" s="8" customFormat="1" x14ac:dyDescent="0.2">
      <c r="A17035" s="6" t="str">
        <f>"MMP17"</f>
        <v>MMP17</v>
      </c>
      <c r="B17035" s="6">
        <v>0.92907092907092903</v>
      </c>
      <c r="C17035" s="6">
        <v>0.95890022989864498</v>
      </c>
    </row>
    <row r="17036" spans="1:3" s="8" customFormat="1" x14ac:dyDescent="0.2">
      <c r="A17036" s="6" t="str">
        <f>"SLC16A1-AS1"</f>
        <v>SLC16A1-AS1</v>
      </c>
      <c r="B17036" s="6">
        <v>0.92907092907092903</v>
      </c>
      <c r="C17036" s="6">
        <v>0.95890022989864498</v>
      </c>
    </row>
    <row r="17037" spans="1:3" s="8" customFormat="1" x14ac:dyDescent="0.2">
      <c r="A17037" s="6" t="str">
        <f>"SNX16"</f>
        <v>SNX16</v>
      </c>
      <c r="B17037" s="6">
        <v>0.92907092907092903</v>
      </c>
      <c r="C17037" s="6">
        <v>0.95890022989864498</v>
      </c>
    </row>
    <row r="17038" spans="1:3" s="8" customFormat="1" x14ac:dyDescent="0.2">
      <c r="A17038" s="6" t="str">
        <f>"EIF2B5"</f>
        <v>EIF2B5</v>
      </c>
      <c r="B17038" s="6">
        <v>0.92907092907092903</v>
      </c>
      <c r="C17038" s="6">
        <v>0.95890022989864498</v>
      </c>
    </row>
    <row r="17039" spans="1:3" s="8" customFormat="1" x14ac:dyDescent="0.2">
      <c r="A17039" s="6" t="str">
        <f>"AL096870.1"</f>
        <v>AL096870.1</v>
      </c>
      <c r="B17039" s="6">
        <v>0.93</v>
      </c>
      <c r="C17039" s="6">
        <v>0.95942447790388596</v>
      </c>
    </row>
    <row r="17040" spans="1:3" s="8" customFormat="1" x14ac:dyDescent="0.2">
      <c r="A17040" s="6" t="str">
        <f>"LINC01271"</f>
        <v>LINC01271</v>
      </c>
      <c r="B17040" s="6">
        <v>0.93006993006993</v>
      </c>
      <c r="C17040" s="6">
        <v>0.95942447790388596</v>
      </c>
    </row>
    <row r="17041" spans="1:3" s="8" customFormat="1" x14ac:dyDescent="0.2">
      <c r="A17041" s="6" t="str">
        <f>"AC021097.1"</f>
        <v>AC021097.1</v>
      </c>
      <c r="B17041" s="6">
        <v>0.92992992992992995</v>
      </c>
      <c r="C17041" s="6">
        <v>0.95942447790388596</v>
      </c>
    </row>
    <row r="17042" spans="1:3" s="8" customFormat="1" x14ac:dyDescent="0.2">
      <c r="A17042" s="6" t="str">
        <f>"TIGD7"</f>
        <v>TIGD7</v>
      </c>
      <c r="B17042" s="6">
        <v>0.93006993006993</v>
      </c>
      <c r="C17042" s="6">
        <v>0.95942447790388596</v>
      </c>
    </row>
    <row r="17043" spans="1:3" s="8" customFormat="1" x14ac:dyDescent="0.2">
      <c r="A17043" s="6" t="str">
        <f>"DGKE"</f>
        <v>DGKE</v>
      </c>
      <c r="B17043" s="6">
        <v>0.93006993006993</v>
      </c>
      <c r="C17043" s="6">
        <v>0.95942447790388596</v>
      </c>
    </row>
    <row r="17044" spans="1:3" s="8" customFormat="1" x14ac:dyDescent="0.2">
      <c r="A17044" s="6" t="str">
        <f>"PUS3"</f>
        <v>PUS3</v>
      </c>
      <c r="B17044" s="6">
        <v>0.93006993006993</v>
      </c>
      <c r="C17044" s="6">
        <v>0.95942447790388596</v>
      </c>
    </row>
    <row r="17045" spans="1:3" s="8" customFormat="1" x14ac:dyDescent="0.2">
      <c r="A17045" s="6" t="str">
        <f>"ELL3"</f>
        <v>ELL3</v>
      </c>
      <c r="B17045" s="6">
        <v>0.93006993006993</v>
      </c>
      <c r="C17045" s="6">
        <v>0.95942447790388596</v>
      </c>
    </row>
    <row r="17046" spans="1:3" s="8" customFormat="1" x14ac:dyDescent="0.2">
      <c r="A17046" s="6" t="str">
        <f>"STK35"</f>
        <v>STK35</v>
      </c>
      <c r="B17046" s="6">
        <v>0.93006993006993</v>
      </c>
      <c r="C17046" s="6">
        <v>0.95942447790388596</v>
      </c>
    </row>
    <row r="17047" spans="1:3" s="8" customFormat="1" x14ac:dyDescent="0.2">
      <c r="A17047" s="6" t="str">
        <f>"PAK4"</f>
        <v>PAK4</v>
      </c>
      <c r="B17047" s="6">
        <v>0.93006993006993</v>
      </c>
      <c r="C17047" s="6">
        <v>0.95942447790388596</v>
      </c>
    </row>
    <row r="17048" spans="1:3" s="8" customFormat="1" x14ac:dyDescent="0.2">
      <c r="A17048" s="6" t="str">
        <f>"AC010487.1"</f>
        <v>AC010487.1</v>
      </c>
      <c r="B17048" s="6">
        <v>0.93032786885245899</v>
      </c>
      <c r="C17048" s="6">
        <v>0.959634260919906</v>
      </c>
    </row>
    <row r="17049" spans="1:3" s="8" customFormat="1" x14ac:dyDescent="0.2">
      <c r="A17049" s="6" t="str">
        <f>"AL356488.1"</f>
        <v>AL356488.1</v>
      </c>
      <c r="B17049" s="6">
        <v>0.93106893106893096</v>
      </c>
      <c r="C17049" s="6">
        <v>0.96006075669477997</v>
      </c>
    </row>
    <row r="17050" spans="1:3" s="8" customFormat="1" x14ac:dyDescent="0.2">
      <c r="A17050" s="6" t="str">
        <f>"ZFP41"</f>
        <v>ZFP41</v>
      </c>
      <c r="B17050" s="6">
        <v>0.93106893106893096</v>
      </c>
      <c r="C17050" s="6">
        <v>0.96006075669477997</v>
      </c>
    </row>
    <row r="17051" spans="1:3" s="8" customFormat="1" x14ac:dyDescent="0.2">
      <c r="A17051" s="6" t="str">
        <f>"LINC00667"</f>
        <v>LINC00667</v>
      </c>
      <c r="B17051" s="6">
        <v>0.93106893106893096</v>
      </c>
      <c r="C17051" s="6">
        <v>0.96006075669477997</v>
      </c>
    </row>
    <row r="17052" spans="1:3" s="8" customFormat="1" x14ac:dyDescent="0.2">
      <c r="A17052" s="6" t="str">
        <f>"UQCRQ"</f>
        <v>UQCRQ</v>
      </c>
      <c r="B17052" s="6">
        <v>0.93106893106893096</v>
      </c>
      <c r="C17052" s="6">
        <v>0.96006075669477997</v>
      </c>
    </row>
    <row r="17053" spans="1:3" s="8" customFormat="1" x14ac:dyDescent="0.2">
      <c r="A17053" s="6" t="str">
        <f>"ADGRG1"</f>
        <v>ADGRG1</v>
      </c>
      <c r="B17053" s="6">
        <v>0.93106893106893096</v>
      </c>
      <c r="C17053" s="6">
        <v>0.96006075669477997</v>
      </c>
    </row>
    <row r="17054" spans="1:3" s="8" customFormat="1" x14ac:dyDescent="0.2">
      <c r="A17054" s="6" t="str">
        <f>"DHRS9"</f>
        <v>DHRS9</v>
      </c>
      <c r="B17054" s="6">
        <v>0.93100000000000005</v>
      </c>
      <c r="C17054" s="6">
        <v>0.96006075669477997</v>
      </c>
    </row>
    <row r="17055" spans="1:3" s="8" customFormat="1" x14ac:dyDescent="0.2">
      <c r="A17055" s="6" t="str">
        <f>"DCST1"</f>
        <v>DCST1</v>
      </c>
      <c r="B17055" s="6">
        <v>0.93206793206793204</v>
      </c>
      <c r="C17055" s="6">
        <v>0.96064020382641802</v>
      </c>
    </row>
    <row r="17056" spans="1:3" s="8" customFormat="1" x14ac:dyDescent="0.2">
      <c r="A17056" s="6" t="str">
        <f>"AP003108.5"</f>
        <v>AP003108.5</v>
      </c>
      <c r="B17056" s="6">
        <v>0.93206793206793204</v>
      </c>
      <c r="C17056" s="6">
        <v>0.96064020382641802</v>
      </c>
    </row>
    <row r="17057" spans="1:3" s="8" customFormat="1" x14ac:dyDescent="0.2">
      <c r="A17057" s="6" t="str">
        <f>"HYAL4"</f>
        <v>HYAL4</v>
      </c>
      <c r="B17057" s="6">
        <v>0.93206793206793204</v>
      </c>
      <c r="C17057" s="6">
        <v>0.96064020382641802</v>
      </c>
    </row>
    <row r="17058" spans="1:3" s="8" customFormat="1" x14ac:dyDescent="0.2">
      <c r="A17058" s="6" t="str">
        <f>"PSPN"</f>
        <v>PSPN</v>
      </c>
      <c r="B17058" s="6">
        <v>0.93206793206793204</v>
      </c>
      <c r="C17058" s="6">
        <v>0.96064020382641802</v>
      </c>
    </row>
    <row r="17059" spans="1:3" s="8" customFormat="1" x14ac:dyDescent="0.2">
      <c r="A17059" s="6" t="str">
        <f>"DGUOK-AS1"</f>
        <v>DGUOK-AS1</v>
      </c>
      <c r="B17059" s="6">
        <v>0.93206793206793204</v>
      </c>
      <c r="C17059" s="6">
        <v>0.96064020382641802</v>
      </c>
    </row>
    <row r="17060" spans="1:3" s="8" customFormat="1" x14ac:dyDescent="0.2">
      <c r="A17060" s="6" t="str">
        <f>"SHMT2"</f>
        <v>SHMT2</v>
      </c>
      <c r="B17060" s="6">
        <v>0.93206793206793204</v>
      </c>
      <c r="C17060" s="6">
        <v>0.96064020382641802</v>
      </c>
    </row>
    <row r="17061" spans="1:3" s="8" customFormat="1" x14ac:dyDescent="0.2">
      <c r="A17061" s="6" t="str">
        <f>"GTPBP4"</f>
        <v>GTPBP4</v>
      </c>
      <c r="B17061" s="6">
        <v>0.93206793206793204</v>
      </c>
      <c r="C17061" s="6">
        <v>0.96064020382641802</v>
      </c>
    </row>
    <row r="17062" spans="1:3" s="8" customFormat="1" x14ac:dyDescent="0.2">
      <c r="A17062" s="6" t="str">
        <f>"TLE5"</f>
        <v>TLE5</v>
      </c>
      <c r="B17062" s="6">
        <v>0.93206793206793204</v>
      </c>
      <c r="C17062" s="6">
        <v>0.96064020382641802</v>
      </c>
    </row>
    <row r="17063" spans="1:3" s="8" customFormat="1" x14ac:dyDescent="0.2">
      <c r="A17063" s="6" t="str">
        <f>"AC006059.1"</f>
        <v>AC006059.1</v>
      </c>
      <c r="B17063" s="6">
        <v>0.933066933066933</v>
      </c>
      <c r="C17063" s="6">
        <v>0.96121910780063002</v>
      </c>
    </row>
    <row r="17064" spans="1:3" s="8" customFormat="1" x14ac:dyDescent="0.2">
      <c r="A17064" s="6" t="str">
        <f>"FRZB"</f>
        <v>FRZB</v>
      </c>
      <c r="B17064" s="6">
        <v>0.933066933066933</v>
      </c>
      <c r="C17064" s="6">
        <v>0.96121910780063002</v>
      </c>
    </row>
    <row r="17065" spans="1:3" s="8" customFormat="1" x14ac:dyDescent="0.2">
      <c r="A17065" s="6" t="str">
        <f>"SLC38A3"</f>
        <v>SLC38A3</v>
      </c>
      <c r="B17065" s="6">
        <v>0.933066933066933</v>
      </c>
      <c r="C17065" s="6">
        <v>0.96121910780063002</v>
      </c>
    </row>
    <row r="17066" spans="1:3" s="8" customFormat="1" x14ac:dyDescent="0.2">
      <c r="A17066" s="6" t="str">
        <f>"AL355312.5"</f>
        <v>AL355312.5</v>
      </c>
      <c r="B17066" s="6">
        <v>0.933066933066933</v>
      </c>
      <c r="C17066" s="6">
        <v>0.96121910780063002</v>
      </c>
    </row>
    <row r="17067" spans="1:3" s="8" customFormat="1" x14ac:dyDescent="0.2">
      <c r="A17067" s="6" t="str">
        <f>"ZNF90"</f>
        <v>ZNF90</v>
      </c>
      <c r="B17067" s="6">
        <v>0.933066933066933</v>
      </c>
      <c r="C17067" s="6">
        <v>0.96121910780063002</v>
      </c>
    </row>
    <row r="17068" spans="1:3" s="8" customFormat="1" x14ac:dyDescent="0.2">
      <c r="A17068" s="6" t="str">
        <f>"PNMA8A"</f>
        <v>PNMA8A</v>
      </c>
      <c r="B17068" s="6">
        <v>0.933066933066933</v>
      </c>
      <c r="C17068" s="6">
        <v>0.96121910780063002</v>
      </c>
    </row>
    <row r="17069" spans="1:3" s="8" customFormat="1" x14ac:dyDescent="0.2">
      <c r="A17069" s="6" t="str">
        <f>"PHF13"</f>
        <v>PHF13</v>
      </c>
      <c r="B17069" s="6">
        <v>0.933066933066933</v>
      </c>
      <c r="C17069" s="6">
        <v>0.96121910780063002</v>
      </c>
    </row>
    <row r="17070" spans="1:3" s="8" customFormat="1" x14ac:dyDescent="0.2">
      <c r="A17070" s="6" t="str">
        <f>"WDR7"</f>
        <v>WDR7</v>
      </c>
      <c r="B17070" s="6">
        <v>0.933066933066933</v>
      </c>
      <c r="C17070" s="6">
        <v>0.96121910780063002</v>
      </c>
    </row>
    <row r="17071" spans="1:3" s="8" customFormat="1" x14ac:dyDescent="0.2">
      <c r="A17071" s="6" t="str">
        <f>"RASL11B"</f>
        <v>RASL11B</v>
      </c>
      <c r="B17071" s="6">
        <v>0.93406593406593397</v>
      </c>
      <c r="C17071" s="6">
        <v>0.96191012501407802</v>
      </c>
    </row>
    <row r="17072" spans="1:3" s="8" customFormat="1" x14ac:dyDescent="0.2">
      <c r="A17072" s="6" t="str">
        <f>"ANKRD10-IT1"</f>
        <v>ANKRD10-IT1</v>
      </c>
      <c r="B17072" s="6">
        <v>0.93406593406593397</v>
      </c>
      <c r="C17072" s="6">
        <v>0.96191012501407802</v>
      </c>
    </row>
    <row r="17073" spans="1:3" s="8" customFormat="1" x14ac:dyDescent="0.2">
      <c r="A17073" s="6" t="str">
        <f>"AC024560.4"</f>
        <v>AC024560.4</v>
      </c>
      <c r="B17073" s="6">
        <v>0.93406593406593397</v>
      </c>
      <c r="C17073" s="6">
        <v>0.96191012501407802</v>
      </c>
    </row>
    <row r="17074" spans="1:3" s="8" customFormat="1" x14ac:dyDescent="0.2">
      <c r="A17074" s="6" t="str">
        <f>"ATP6AP1L"</f>
        <v>ATP6AP1L</v>
      </c>
      <c r="B17074" s="6">
        <v>0.93406593406593397</v>
      </c>
      <c r="C17074" s="6">
        <v>0.96191012501407802</v>
      </c>
    </row>
    <row r="17075" spans="1:3" s="8" customFormat="1" x14ac:dyDescent="0.2">
      <c r="A17075" s="6" t="str">
        <f>"PIGBOS1"</f>
        <v>PIGBOS1</v>
      </c>
      <c r="B17075" s="6">
        <v>0.93406593406593397</v>
      </c>
      <c r="C17075" s="6">
        <v>0.96191012501407802</v>
      </c>
    </row>
    <row r="17076" spans="1:3" s="8" customFormat="1" x14ac:dyDescent="0.2">
      <c r="A17076" s="6" t="str">
        <f>"CD38"</f>
        <v>CD38</v>
      </c>
      <c r="B17076" s="6">
        <v>0.93406593406593397</v>
      </c>
      <c r="C17076" s="6">
        <v>0.96191012501407802</v>
      </c>
    </row>
    <row r="17077" spans="1:3" s="8" customFormat="1" x14ac:dyDescent="0.2">
      <c r="A17077" s="6" t="str">
        <f>"GGTLC3"</f>
        <v>GGTLC3</v>
      </c>
      <c r="B17077" s="6">
        <v>0.93506493506493504</v>
      </c>
      <c r="C17077" s="6">
        <v>0.96220633299284897</v>
      </c>
    </row>
    <row r="17078" spans="1:3" s="8" customFormat="1" x14ac:dyDescent="0.2">
      <c r="A17078" s="6" t="str">
        <f>"AC135507.1"</f>
        <v>AC135507.1</v>
      </c>
      <c r="B17078" s="6">
        <v>0.93493493493493496</v>
      </c>
      <c r="C17078" s="6">
        <v>0.96220633299284897</v>
      </c>
    </row>
    <row r="17079" spans="1:3" s="8" customFormat="1" x14ac:dyDescent="0.2">
      <c r="A17079" s="6" t="str">
        <f>"OR6J1"</f>
        <v>OR6J1</v>
      </c>
      <c r="B17079" s="6">
        <v>0.93506493506493504</v>
      </c>
      <c r="C17079" s="6">
        <v>0.96220633299284897</v>
      </c>
    </row>
    <row r="17080" spans="1:3" s="8" customFormat="1" x14ac:dyDescent="0.2">
      <c r="A17080" s="6" t="str">
        <f>"AC124319.3"</f>
        <v>AC124319.3</v>
      </c>
      <c r="B17080" s="6">
        <v>0.93506493506493504</v>
      </c>
      <c r="C17080" s="6">
        <v>0.96220633299284897</v>
      </c>
    </row>
    <row r="17081" spans="1:3" s="8" customFormat="1" x14ac:dyDescent="0.2">
      <c r="A17081" s="6" t="str">
        <f>"AC073857.1"</f>
        <v>AC073857.1</v>
      </c>
      <c r="B17081" s="6">
        <v>0.93500000000000005</v>
      </c>
      <c r="C17081" s="6">
        <v>0.96220633299284897</v>
      </c>
    </row>
    <row r="17082" spans="1:3" s="8" customFormat="1" x14ac:dyDescent="0.2">
      <c r="A17082" s="6" t="str">
        <f>"CICP18"</f>
        <v>CICP18</v>
      </c>
      <c r="B17082" s="6">
        <v>0.93506493506493504</v>
      </c>
      <c r="C17082" s="6">
        <v>0.96220633299284897</v>
      </c>
    </row>
    <row r="17083" spans="1:3" s="8" customFormat="1" x14ac:dyDescent="0.2">
      <c r="A17083" s="6" t="str">
        <f>"SPESP1"</f>
        <v>SPESP1</v>
      </c>
      <c r="B17083" s="6">
        <v>0.93506493506493504</v>
      </c>
      <c r="C17083" s="6">
        <v>0.96220633299284897</v>
      </c>
    </row>
    <row r="17084" spans="1:3" s="8" customFormat="1" x14ac:dyDescent="0.2">
      <c r="A17084" s="6" t="str">
        <f>"AC119673.2"</f>
        <v>AC119673.2</v>
      </c>
      <c r="B17084" s="6">
        <v>0.93506493506493504</v>
      </c>
      <c r="C17084" s="6">
        <v>0.96220633299284897</v>
      </c>
    </row>
    <row r="17085" spans="1:3" s="8" customFormat="1" x14ac:dyDescent="0.2">
      <c r="A17085" s="6" t="str">
        <f>"RRS1"</f>
        <v>RRS1</v>
      </c>
      <c r="B17085" s="6">
        <v>0.93506493506493504</v>
      </c>
      <c r="C17085" s="6">
        <v>0.96220633299284897</v>
      </c>
    </row>
    <row r="17086" spans="1:3" s="8" customFormat="1" x14ac:dyDescent="0.2">
      <c r="A17086" s="6" t="str">
        <f>"LRRC47"</f>
        <v>LRRC47</v>
      </c>
      <c r="B17086" s="6">
        <v>0.93506493506493504</v>
      </c>
      <c r="C17086" s="6">
        <v>0.96220633299284897</v>
      </c>
    </row>
    <row r="17087" spans="1:3" s="8" customFormat="1" x14ac:dyDescent="0.2">
      <c r="A17087" s="6" t="str">
        <f>"LRRC41"</f>
        <v>LRRC41</v>
      </c>
      <c r="B17087" s="6">
        <v>0.93506493506493504</v>
      </c>
      <c r="C17087" s="6">
        <v>0.96220633299284897</v>
      </c>
    </row>
    <row r="17088" spans="1:3" s="8" customFormat="1" x14ac:dyDescent="0.2">
      <c r="A17088" s="6" t="str">
        <f>"MROH1"</f>
        <v>MROH1</v>
      </c>
      <c r="B17088" s="6">
        <v>0.93506493506493504</v>
      </c>
      <c r="C17088" s="6">
        <v>0.96220633299284897</v>
      </c>
    </row>
    <row r="17089" spans="1:3" s="8" customFormat="1" x14ac:dyDescent="0.2">
      <c r="A17089" s="6" t="str">
        <f>"IQGAP2"</f>
        <v>IQGAP2</v>
      </c>
      <c r="B17089" s="6">
        <v>0.93506493506493504</v>
      </c>
      <c r="C17089" s="6">
        <v>0.96220633299284897</v>
      </c>
    </row>
    <row r="17090" spans="1:3" s="8" customFormat="1" x14ac:dyDescent="0.2">
      <c r="A17090" s="6" t="str">
        <f>"LINC02591"</f>
        <v>LINC02591</v>
      </c>
      <c r="B17090" s="6">
        <v>0.93606393606393601</v>
      </c>
      <c r="C17090" s="6">
        <v>0.96261467055080696</v>
      </c>
    </row>
    <row r="17091" spans="1:3" s="8" customFormat="1" x14ac:dyDescent="0.2">
      <c r="A17091" s="6" t="str">
        <f>"RHEBP1"</f>
        <v>RHEBP1</v>
      </c>
      <c r="B17091" s="6">
        <v>0.93606393606393601</v>
      </c>
      <c r="C17091" s="6">
        <v>0.96261467055080696</v>
      </c>
    </row>
    <row r="17092" spans="1:3" s="8" customFormat="1" x14ac:dyDescent="0.2">
      <c r="A17092" s="6" t="str">
        <f>"AC239860.4"</f>
        <v>AC239860.4</v>
      </c>
      <c r="B17092" s="6">
        <v>0.93600000000000005</v>
      </c>
      <c r="C17092" s="6">
        <v>0.96261467055080696</v>
      </c>
    </row>
    <row r="17093" spans="1:3" s="8" customFormat="1" x14ac:dyDescent="0.2">
      <c r="A17093" s="6" t="str">
        <f>"AC110285.1"</f>
        <v>AC110285.1</v>
      </c>
      <c r="B17093" s="6">
        <v>0.93606393606393601</v>
      </c>
      <c r="C17093" s="6">
        <v>0.96261467055080696</v>
      </c>
    </row>
    <row r="17094" spans="1:3" s="8" customFormat="1" x14ac:dyDescent="0.2">
      <c r="A17094" s="6" t="str">
        <f>"AF241726.1"</f>
        <v>AF241726.1</v>
      </c>
      <c r="B17094" s="6">
        <v>0.93600000000000005</v>
      </c>
      <c r="C17094" s="6">
        <v>0.96261467055080696</v>
      </c>
    </row>
    <row r="17095" spans="1:3" s="8" customFormat="1" x14ac:dyDescent="0.2">
      <c r="A17095" s="6" t="str">
        <f>"PRDM16"</f>
        <v>PRDM16</v>
      </c>
      <c r="B17095" s="6">
        <v>0.93606393606393601</v>
      </c>
      <c r="C17095" s="6">
        <v>0.96261467055080696</v>
      </c>
    </row>
    <row r="17096" spans="1:3" s="8" customFormat="1" x14ac:dyDescent="0.2">
      <c r="A17096" s="6" t="str">
        <f>"AC096536.2"</f>
        <v>AC096536.2</v>
      </c>
      <c r="B17096" s="6">
        <v>0.93600000000000005</v>
      </c>
      <c r="C17096" s="6">
        <v>0.96261467055080696</v>
      </c>
    </row>
    <row r="17097" spans="1:3" s="8" customFormat="1" x14ac:dyDescent="0.2">
      <c r="A17097" s="6" t="str">
        <f>"KSR2"</f>
        <v>KSR2</v>
      </c>
      <c r="B17097" s="6">
        <v>0.93606393606393601</v>
      </c>
      <c r="C17097" s="6">
        <v>0.96261467055080696</v>
      </c>
    </row>
    <row r="17098" spans="1:3" s="8" customFormat="1" x14ac:dyDescent="0.2">
      <c r="A17098" s="6" t="str">
        <f>"C19orf73"</f>
        <v>C19orf73</v>
      </c>
      <c r="B17098" s="6">
        <v>0.93558282208588905</v>
      </c>
      <c r="C17098" s="6">
        <v>0.96261467055080696</v>
      </c>
    </row>
    <row r="17099" spans="1:3" s="8" customFormat="1" x14ac:dyDescent="0.2">
      <c r="A17099" s="6" t="str">
        <f>"LIME1"</f>
        <v>LIME1</v>
      </c>
      <c r="B17099" s="6">
        <v>0.93606393606393601</v>
      </c>
      <c r="C17099" s="6">
        <v>0.96261467055080696</v>
      </c>
    </row>
    <row r="17100" spans="1:3" s="8" customFormat="1" x14ac:dyDescent="0.2">
      <c r="A17100" s="6" t="str">
        <f>"DCAF1"</f>
        <v>DCAF1</v>
      </c>
      <c r="B17100" s="6">
        <v>0.93606393606393601</v>
      </c>
      <c r="C17100" s="6">
        <v>0.96261467055080696</v>
      </c>
    </row>
    <row r="17101" spans="1:3" s="8" customFormat="1" x14ac:dyDescent="0.2">
      <c r="A17101" s="6" t="str">
        <f>"ALOX15P1"</f>
        <v>ALOX15P1</v>
      </c>
      <c r="B17101" s="6">
        <v>0.93661971830985902</v>
      </c>
      <c r="C17101" s="6">
        <v>0.96312989045383401</v>
      </c>
    </row>
    <row r="17102" spans="1:3" s="8" customFormat="1" x14ac:dyDescent="0.2">
      <c r="A17102" s="6" t="str">
        <f>"REELD1"</f>
        <v>REELD1</v>
      </c>
      <c r="B17102" s="6">
        <v>0.93706293706293697</v>
      </c>
      <c r="C17102" s="6">
        <v>0.96313506460805898</v>
      </c>
    </row>
    <row r="17103" spans="1:3" s="8" customFormat="1" x14ac:dyDescent="0.2">
      <c r="A17103" s="6" t="str">
        <f>"UNC93B4"</f>
        <v>UNC93B4</v>
      </c>
      <c r="B17103" s="6">
        <v>0.93706293706293697</v>
      </c>
      <c r="C17103" s="6">
        <v>0.96313506460805898</v>
      </c>
    </row>
    <row r="17104" spans="1:3" s="8" customFormat="1" x14ac:dyDescent="0.2">
      <c r="A17104" s="6" t="str">
        <f>"SATB1-AS1"</f>
        <v>SATB1-AS1</v>
      </c>
      <c r="B17104" s="6">
        <v>0.936746987951807</v>
      </c>
      <c r="C17104" s="6">
        <v>0.96313506460805898</v>
      </c>
    </row>
    <row r="17105" spans="1:3" s="8" customFormat="1" x14ac:dyDescent="0.2">
      <c r="A17105" s="6" t="str">
        <f>"HGD"</f>
        <v>HGD</v>
      </c>
      <c r="B17105" s="6">
        <v>0.93706293706293697</v>
      </c>
      <c r="C17105" s="6">
        <v>0.96313506460805898</v>
      </c>
    </row>
    <row r="17106" spans="1:3" s="8" customFormat="1" x14ac:dyDescent="0.2">
      <c r="A17106" s="6" t="str">
        <f>"TAMM41"</f>
        <v>TAMM41</v>
      </c>
      <c r="B17106" s="6">
        <v>0.93706293706293697</v>
      </c>
      <c r="C17106" s="6">
        <v>0.96313506460805898</v>
      </c>
    </row>
    <row r="17107" spans="1:3" s="8" customFormat="1" x14ac:dyDescent="0.2">
      <c r="A17107" s="6" t="str">
        <f>"FAM156A"</f>
        <v>FAM156A</v>
      </c>
      <c r="B17107" s="6">
        <v>0.93706293706293697</v>
      </c>
      <c r="C17107" s="6">
        <v>0.96313506460805898</v>
      </c>
    </row>
    <row r="17108" spans="1:3" s="8" customFormat="1" x14ac:dyDescent="0.2">
      <c r="A17108" s="6" t="str">
        <f>"TIRAP"</f>
        <v>TIRAP</v>
      </c>
      <c r="B17108" s="6">
        <v>0.93706293706293697</v>
      </c>
      <c r="C17108" s="6">
        <v>0.96313506460805898</v>
      </c>
    </row>
    <row r="17109" spans="1:3" s="8" customFormat="1" x14ac:dyDescent="0.2">
      <c r="A17109" s="6" t="str">
        <f>"TOPORS"</f>
        <v>TOPORS</v>
      </c>
      <c r="B17109" s="6">
        <v>0.93706293706293697</v>
      </c>
      <c r="C17109" s="6">
        <v>0.96313506460805898</v>
      </c>
    </row>
    <row r="17110" spans="1:3" s="8" customFormat="1" x14ac:dyDescent="0.2">
      <c r="A17110" s="6" t="str">
        <f>"PCDHA10"</f>
        <v>PCDHA10</v>
      </c>
      <c r="B17110" s="6">
        <v>0.93806193806193805</v>
      </c>
      <c r="C17110" s="6">
        <v>0.96382383539097305</v>
      </c>
    </row>
    <row r="17111" spans="1:3" s="8" customFormat="1" x14ac:dyDescent="0.2">
      <c r="A17111" s="6" t="str">
        <f>"AC211429.1"</f>
        <v>AC211429.1</v>
      </c>
      <c r="B17111" s="6">
        <v>0.93799999999999994</v>
      </c>
      <c r="C17111" s="6">
        <v>0.96382383539097305</v>
      </c>
    </row>
    <row r="17112" spans="1:3" s="8" customFormat="1" x14ac:dyDescent="0.2">
      <c r="A17112" s="6" t="str">
        <f>"ERP27"</f>
        <v>ERP27</v>
      </c>
      <c r="B17112" s="6">
        <v>0.93806193806193805</v>
      </c>
      <c r="C17112" s="6">
        <v>0.96382383539097305</v>
      </c>
    </row>
    <row r="17113" spans="1:3" s="8" customFormat="1" x14ac:dyDescent="0.2">
      <c r="A17113" s="6" t="str">
        <f>"OPN3"</f>
        <v>OPN3</v>
      </c>
      <c r="B17113" s="6">
        <v>0.93806193806193805</v>
      </c>
      <c r="C17113" s="6">
        <v>0.96382383539097305</v>
      </c>
    </row>
    <row r="17114" spans="1:3" s="8" customFormat="1" x14ac:dyDescent="0.2">
      <c r="A17114" s="6" t="str">
        <f>"EIF2B1"</f>
        <v>EIF2B1</v>
      </c>
      <c r="B17114" s="6">
        <v>0.93806193806193805</v>
      </c>
      <c r="C17114" s="6">
        <v>0.96382383539097305</v>
      </c>
    </row>
    <row r="17115" spans="1:3" s="8" customFormat="1" x14ac:dyDescent="0.2">
      <c r="A17115" s="6" t="str">
        <f>"LXN"</f>
        <v>LXN</v>
      </c>
      <c r="B17115" s="6">
        <v>0.93806193806193805</v>
      </c>
      <c r="C17115" s="6">
        <v>0.96382383539097305</v>
      </c>
    </row>
    <row r="17116" spans="1:3" s="8" customFormat="1" x14ac:dyDescent="0.2">
      <c r="A17116" s="6" t="str">
        <f>"RGPD4-AS1"</f>
        <v>RGPD4-AS1</v>
      </c>
      <c r="B17116" s="6">
        <v>0.93820803295571498</v>
      </c>
      <c r="C17116" s="6">
        <v>0.96391761913486995</v>
      </c>
    </row>
    <row r="17117" spans="1:3" s="8" customFormat="1" x14ac:dyDescent="0.2">
      <c r="A17117" s="6" t="str">
        <f>"AFDN-DT"</f>
        <v>AFDN-DT</v>
      </c>
      <c r="B17117" s="6">
        <v>0.93906093906093902</v>
      </c>
      <c r="C17117" s="6">
        <v>0.96451212339062797</v>
      </c>
    </row>
    <row r="17118" spans="1:3" s="8" customFormat="1" x14ac:dyDescent="0.2">
      <c r="A17118" s="6" t="str">
        <f>"RAD51AP1"</f>
        <v>RAD51AP1</v>
      </c>
      <c r="B17118" s="6">
        <v>0.93906093906093902</v>
      </c>
      <c r="C17118" s="6">
        <v>0.96451212339062797</v>
      </c>
    </row>
    <row r="17119" spans="1:3" s="8" customFormat="1" x14ac:dyDescent="0.2">
      <c r="A17119" s="6" t="str">
        <f>"PDE9A"</f>
        <v>PDE9A</v>
      </c>
      <c r="B17119" s="6">
        <v>0.93906093906093902</v>
      </c>
      <c r="C17119" s="6">
        <v>0.96451212339062797</v>
      </c>
    </row>
    <row r="17120" spans="1:3" s="8" customFormat="1" x14ac:dyDescent="0.2">
      <c r="A17120" s="6" t="str">
        <f>"UBE2W"</f>
        <v>UBE2W</v>
      </c>
      <c r="B17120" s="6">
        <v>0.93906093906093902</v>
      </c>
      <c r="C17120" s="6">
        <v>0.96451212339062797</v>
      </c>
    </row>
    <row r="17121" spans="1:3" s="8" customFormat="1" x14ac:dyDescent="0.2">
      <c r="A17121" s="6" t="str">
        <f>"RAB36"</f>
        <v>RAB36</v>
      </c>
      <c r="B17121" s="6">
        <v>0.93893893893893898</v>
      </c>
      <c r="C17121" s="6">
        <v>0.96451212339062797</v>
      </c>
    </row>
    <row r="17122" spans="1:3" s="8" customFormat="1" x14ac:dyDescent="0.2">
      <c r="A17122" s="6" t="str">
        <f>"USH1G"</f>
        <v>USH1G</v>
      </c>
      <c r="B17122" s="6">
        <v>0.94</v>
      </c>
      <c r="C17122" s="6">
        <v>0.96514357365644698</v>
      </c>
    </row>
    <row r="17123" spans="1:3" s="8" customFormat="1" x14ac:dyDescent="0.2">
      <c r="A17123" s="6" t="str">
        <f>"ZNF852"</f>
        <v>ZNF852</v>
      </c>
      <c r="B17123" s="6">
        <v>0.94005994005993998</v>
      </c>
      <c r="C17123" s="6">
        <v>0.96514357365644698</v>
      </c>
    </row>
    <row r="17124" spans="1:3" s="8" customFormat="1" x14ac:dyDescent="0.2">
      <c r="A17124" s="6" t="str">
        <f>"AL390728.4"</f>
        <v>AL390728.4</v>
      </c>
      <c r="B17124" s="6">
        <v>0.94005994005993998</v>
      </c>
      <c r="C17124" s="6">
        <v>0.96514357365644698</v>
      </c>
    </row>
    <row r="17125" spans="1:3" s="8" customFormat="1" x14ac:dyDescent="0.2">
      <c r="A17125" s="6" t="str">
        <f>"PPP2R2D"</f>
        <v>PPP2R2D</v>
      </c>
      <c r="B17125" s="6">
        <v>0.94005994005993998</v>
      </c>
      <c r="C17125" s="6">
        <v>0.96514357365644698</v>
      </c>
    </row>
    <row r="17126" spans="1:3" s="8" customFormat="1" x14ac:dyDescent="0.2">
      <c r="A17126" s="6" t="str">
        <f>"THOP1"</f>
        <v>THOP1</v>
      </c>
      <c r="B17126" s="6">
        <v>0.94005994005993998</v>
      </c>
      <c r="C17126" s="6">
        <v>0.96514357365644698</v>
      </c>
    </row>
    <row r="17127" spans="1:3" s="8" customFormat="1" x14ac:dyDescent="0.2">
      <c r="A17127" s="6" t="str">
        <f>"SPPL3"</f>
        <v>SPPL3</v>
      </c>
      <c r="B17127" s="6">
        <v>0.94005994005993998</v>
      </c>
      <c r="C17127" s="6">
        <v>0.96514357365644698</v>
      </c>
    </row>
    <row r="17128" spans="1:3" s="8" customFormat="1" x14ac:dyDescent="0.2">
      <c r="A17128" s="6" t="str">
        <f>"TXNRD1"</f>
        <v>TXNRD1</v>
      </c>
      <c r="B17128" s="6">
        <v>0.93993993993993996</v>
      </c>
      <c r="C17128" s="6">
        <v>0.96514357365644698</v>
      </c>
    </row>
    <row r="17129" spans="1:3" s="8" customFormat="1" x14ac:dyDescent="0.2">
      <c r="A17129" s="6" t="str">
        <f>"AC024560.3"</f>
        <v>AC024560.3</v>
      </c>
      <c r="B17129" s="6">
        <v>0.94041170097508098</v>
      </c>
      <c r="C17129" s="6">
        <v>0.96540618560286495</v>
      </c>
    </row>
    <row r="17130" spans="1:3" s="8" customFormat="1" x14ac:dyDescent="0.2">
      <c r="A17130" s="6" t="str">
        <f>"NLGN4Y"</f>
        <v>NLGN4Y</v>
      </c>
      <c r="B17130" s="6">
        <v>0.94042553191489298</v>
      </c>
      <c r="C17130" s="6">
        <v>0.96540618560286495</v>
      </c>
    </row>
    <row r="17131" spans="1:3" s="8" customFormat="1" x14ac:dyDescent="0.2">
      <c r="A17131" s="6" t="str">
        <f>"AC023818.1"</f>
        <v>AC023818.1</v>
      </c>
      <c r="B17131" s="6">
        <v>0.94105894105894095</v>
      </c>
      <c r="C17131" s="6">
        <v>0.96560543966741097</v>
      </c>
    </row>
    <row r="17132" spans="1:3" s="8" customFormat="1" x14ac:dyDescent="0.2">
      <c r="A17132" s="6" t="str">
        <f>"LINC02671"</f>
        <v>LINC02671</v>
      </c>
      <c r="B17132" s="6">
        <v>0.94105894105894095</v>
      </c>
      <c r="C17132" s="6">
        <v>0.96560543966741097</v>
      </c>
    </row>
    <row r="17133" spans="1:3" s="8" customFormat="1" x14ac:dyDescent="0.2">
      <c r="A17133" s="6" t="str">
        <f>"AC120114.2"</f>
        <v>AC120114.2</v>
      </c>
      <c r="B17133" s="6">
        <v>0.94105894105894095</v>
      </c>
      <c r="C17133" s="6">
        <v>0.96560543966741097</v>
      </c>
    </row>
    <row r="17134" spans="1:3" s="8" customFormat="1" x14ac:dyDescent="0.2">
      <c r="A17134" s="6" t="str">
        <f>"AC106782.5"</f>
        <v>AC106782.5</v>
      </c>
      <c r="B17134" s="6">
        <v>0.94093686354378803</v>
      </c>
      <c r="C17134" s="6">
        <v>0.96560543966741097</v>
      </c>
    </row>
    <row r="17135" spans="1:3" s="8" customFormat="1" x14ac:dyDescent="0.2">
      <c r="A17135" s="6" t="str">
        <f>"SPDL1"</f>
        <v>SPDL1</v>
      </c>
      <c r="B17135" s="6">
        <v>0.94105894105894095</v>
      </c>
      <c r="C17135" s="6">
        <v>0.96560543966741097</v>
      </c>
    </row>
    <row r="17136" spans="1:3" s="8" customFormat="1" x14ac:dyDescent="0.2">
      <c r="A17136" s="6" t="str">
        <f>"HLA-DQB2"</f>
        <v>HLA-DQB2</v>
      </c>
      <c r="B17136" s="6">
        <v>0.94105894105894095</v>
      </c>
      <c r="C17136" s="6">
        <v>0.96560543966741097</v>
      </c>
    </row>
    <row r="17137" spans="1:3" s="8" customFormat="1" x14ac:dyDescent="0.2">
      <c r="A17137" s="6" t="str">
        <f>"TMEM109"</f>
        <v>TMEM109</v>
      </c>
      <c r="B17137" s="6">
        <v>0.94105894105894095</v>
      </c>
      <c r="C17137" s="6">
        <v>0.96560543966741097</v>
      </c>
    </row>
    <row r="17138" spans="1:3" s="8" customFormat="1" x14ac:dyDescent="0.2">
      <c r="A17138" s="6" t="str">
        <f>"CXADR"</f>
        <v>CXADR</v>
      </c>
      <c r="B17138" s="6">
        <v>0.94105894105894095</v>
      </c>
      <c r="C17138" s="6">
        <v>0.96560543966741097</v>
      </c>
    </row>
    <row r="17139" spans="1:3" s="8" customFormat="1" x14ac:dyDescent="0.2">
      <c r="A17139" s="6" t="str">
        <f>"GSTM1"</f>
        <v>GSTM1</v>
      </c>
      <c r="B17139" s="6">
        <v>0.94159836065573699</v>
      </c>
      <c r="C17139" s="6">
        <v>0.966102554193633</v>
      </c>
    </row>
    <row r="17140" spans="1:3" s="8" customFormat="1" x14ac:dyDescent="0.2">
      <c r="A17140" s="6" t="str">
        <f>"FGF7P8"</f>
        <v>FGF7P8</v>
      </c>
      <c r="B17140" s="6">
        <v>0.94194194194194203</v>
      </c>
      <c r="C17140" s="6">
        <v>0.96617946066764904</v>
      </c>
    </row>
    <row r="17141" spans="1:3" s="8" customFormat="1" x14ac:dyDescent="0.2">
      <c r="A17141" s="6" t="str">
        <f>"AC073896.4"</f>
        <v>AC073896.4</v>
      </c>
      <c r="B17141" s="6">
        <v>0.94199999999999995</v>
      </c>
      <c r="C17141" s="6">
        <v>0.96617946066764904</v>
      </c>
    </row>
    <row r="17142" spans="1:3" s="8" customFormat="1" x14ac:dyDescent="0.2">
      <c r="A17142" s="6" t="str">
        <f>"AC073648.5"</f>
        <v>AC073648.5</v>
      </c>
      <c r="B17142" s="6">
        <v>0.94205794205794202</v>
      </c>
      <c r="C17142" s="6">
        <v>0.96617946066764904</v>
      </c>
    </row>
    <row r="17143" spans="1:3" s="8" customFormat="1" x14ac:dyDescent="0.2">
      <c r="A17143" s="6" t="str">
        <f>"AKR7L"</f>
        <v>AKR7L</v>
      </c>
      <c r="B17143" s="6">
        <v>0.94205794205794202</v>
      </c>
      <c r="C17143" s="6">
        <v>0.96617946066764904</v>
      </c>
    </row>
    <row r="17144" spans="1:3" s="8" customFormat="1" x14ac:dyDescent="0.2">
      <c r="A17144" s="6" t="str">
        <f>"FBXO2"</f>
        <v>FBXO2</v>
      </c>
      <c r="B17144" s="6">
        <v>0.94205794205794202</v>
      </c>
      <c r="C17144" s="6">
        <v>0.96617946066764904</v>
      </c>
    </row>
    <row r="17145" spans="1:3" s="8" customFormat="1" x14ac:dyDescent="0.2">
      <c r="A17145" s="6" t="str">
        <f>"BICRAL"</f>
        <v>BICRAL</v>
      </c>
      <c r="B17145" s="6">
        <v>0.94205794205794202</v>
      </c>
      <c r="C17145" s="6">
        <v>0.96617946066764904</v>
      </c>
    </row>
    <row r="17146" spans="1:3" s="8" customFormat="1" x14ac:dyDescent="0.2">
      <c r="A17146" s="6" t="str">
        <f>"MFSD6"</f>
        <v>MFSD6</v>
      </c>
      <c r="B17146" s="6">
        <v>0.94205794205794202</v>
      </c>
      <c r="C17146" s="6">
        <v>0.96617946066764904</v>
      </c>
    </row>
    <row r="17147" spans="1:3" s="8" customFormat="1" x14ac:dyDescent="0.2">
      <c r="A17147" s="6" t="str">
        <f>"RN7SL4P"</f>
        <v>RN7SL4P</v>
      </c>
      <c r="B17147" s="6">
        <v>0.94305694305694299</v>
      </c>
      <c r="C17147" s="6">
        <v>0.96652755649083599</v>
      </c>
    </row>
    <row r="17148" spans="1:3" s="8" customFormat="1" x14ac:dyDescent="0.2">
      <c r="A17148" s="6" t="str">
        <f>"AC008883.3"</f>
        <v>AC008883.3</v>
      </c>
      <c r="B17148" s="6">
        <v>0.94305694305694299</v>
      </c>
      <c r="C17148" s="6">
        <v>0.96652755649083599</v>
      </c>
    </row>
    <row r="17149" spans="1:3" s="8" customFormat="1" x14ac:dyDescent="0.2">
      <c r="A17149" s="6" t="str">
        <f>"NRAD1"</f>
        <v>NRAD1</v>
      </c>
      <c r="B17149" s="6">
        <v>0.94305694305694299</v>
      </c>
      <c r="C17149" s="6">
        <v>0.96652755649083599</v>
      </c>
    </row>
    <row r="17150" spans="1:3" s="8" customFormat="1" x14ac:dyDescent="0.2">
      <c r="A17150" s="6" t="str">
        <f>"AC016747.1"</f>
        <v>AC016747.1</v>
      </c>
      <c r="B17150" s="6">
        <v>0.94305694305694299</v>
      </c>
      <c r="C17150" s="6">
        <v>0.96652755649083599</v>
      </c>
    </row>
    <row r="17151" spans="1:3" s="8" customFormat="1" x14ac:dyDescent="0.2">
      <c r="A17151" s="6" t="str">
        <f>"H2BC19P"</f>
        <v>H2BC19P</v>
      </c>
      <c r="B17151" s="6">
        <v>0.94305694305694299</v>
      </c>
      <c r="C17151" s="6">
        <v>0.96652755649083599</v>
      </c>
    </row>
    <row r="17152" spans="1:3" s="8" customFormat="1" x14ac:dyDescent="0.2">
      <c r="A17152" s="6" t="str">
        <f>"TOP1MT"</f>
        <v>TOP1MT</v>
      </c>
      <c r="B17152" s="6">
        <v>0.94305694305694299</v>
      </c>
      <c r="C17152" s="6">
        <v>0.96652755649083599</v>
      </c>
    </row>
    <row r="17153" spans="1:3" s="8" customFormat="1" x14ac:dyDescent="0.2">
      <c r="A17153" s="6" t="str">
        <f>"IL2RB"</f>
        <v>IL2RB</v>
      </c>
      <c r="B17153" s="6">
        <v>0.94305694305694299</v>
      </c>
      <c r="C17153" s="6">
        <v>0.96652755649083599</v>
      </c>
    </row>
    <row r="17154" spans="1:3" s="8" customFormat="1" x14ac:dyDescent="0.2">
      <c r="A17154" s="6" t="str">
        <f>"ZNF862"</f>
        <v>ZNF862</v>
      </c>
      <c r="B17154" s="6">
        <v>0.94305694305694299</v>
      </c>
      <c r="C17154" s="6">
        <v>0.96652755649083599</v>
      </c>
    </row>
    <row r="17155" spans="1:3" s="8" customFormat="1" x14ac:dyDescent="0.2">
      <c r="A17155" s="6" t="str">
        <f>"ADAP1"</f>
        <v>ADAP1</v>
      </c>
      <c r="B17155" s="6">
        <v>0.94305694305694299</v>
      </c>
      <c r="C17155" s="6">
        <v>0.96652755649083599</v>
      </c>
    </row>
    <row r="17156" spans="1:3" s="8" customFormat="1" x14ac:dyDescent="0.2">
      <c r="A17156" s="6" t="str">
        <f>"TXNDC9"</f>
        <v>TXNDC9</v>
      </c>
      <c r="B17156" s="6">
        <v>0.94305694305694299</v>
      </c>
      <c r="C17156" s="6">
        <v>0.96652755649083599</v>
      </c>
    </row>
    <row r="17157" spans="1:3" s="8" customFormat="1" x14ac:dyDescent="0.2">
      <c r="A17157" s="6" t="str">
        <f>"SLC37A4"</f>
        <v>SLC37A4</v>
      </c>
      <c r="B17157" s="6">
        <v>0.94305694305694299</v>
      </c>
      <c r="C17157" s="6">
        <v>0.96652755649083599</v>
      </c>
    </row>
    <row r="17158" spans="1:3" s="8" customFormat="1" x14ac:dyDescent="0.2">
      <c r="A17158" s="6" t="str">
        <f>"GNL1"</f>
        <v>GNL1</v>
      </c>
      <c r="B17158" s="6">
        <v>0.94305694305694299</v>
      </c>
      <c r="C17158" s="6">
        <v>0.96652755649083599</v>
      </c>
    </row>
    <row r="17159" spans="1:3" s="8" customFormat="1" x14ac:dyDescent="0.2">
      <c r="A17159" s="6" t="str">
        <f>"KRT1"</f>
        <v>KRT1</v>
      </c>
      <c r="B17159" s="6">
        <v>0.94405594405594395</v>
      </c>
      <c r="C17159" s="6">
        <v>0.96726953270479599</v>
      </c>
    </row>
    <row r="17160" spans="1:3" s="8" customFormat="1" x14ac:dyDescent="0.2">
      <c r="A17160" s="6" t="str">
        <f>"AC025754.1"</f>
        <v>AC025754.1</v>
      </c>
      <c r="B17160" s="6">
        <v>0.94405594405594395</v>
      </c>
      <c r="C17160" s="6">
        <v>0.96726953270479599</v>
      </c>
    </row>
    <row r="17161" spans="1:3" s="8" customFormat="1" x14ac:dyDescent="0.2">
      <c r="A17161" s="6" t="str">
        <f>"AC226119.1"</f>
        <v>AC226119.1</v>
      </c>
      <c r="B17161" s="6">
        <v>0.94405594405594395</v>
      </c>
      <c r="C17161" s="6">
        <v>0.96726953270479599</v>
      </c>
    </row>
    <row r="17162" spans="1:3" s="8" customFormat="1" x14ac:dyDescent="0.2">
      <c r="A17162" s="6" t="str">
        <f>"LINC02610"</f>
        <v>LINC02610</v>
      </c>
      <c r="B17162" s="6">
        <v>0.94405594405594395</v>
      </c>
      <c r="C17162" s="6">
        <v>0.96726953270479599</v>
      </c>
    </row>
    <row r="17163" spans="1:3" s="8" customFormat="1" x14ac:dyDescent="0.2">
      <c r="A17163" s="6" t="str">
        <f>"AC018730.1"</f>
        <v>AC018730.1</v>
      </c>
      <c r="B17163" s="6">
        <v>0.94394394394394399</v>
      </c>
      <c r="C17163" s="6">
        <v>0.96726953270479599</v>
      </c>
    </row>
    <row r="17164" spans="1:3" s="8" customFormat="1" x14ac:dyDescent="0.2">
      <c r="A17164" s="6" t="str">
        <f>"AP003306.2"</f>
        <v>AP003306.2</v>
      </c>
      <c r="B17164" s="6">
        <v>0.94505494505494503</v>
      </c>
      <c r="C17164" s="6">
        <v>0.96789831404543902</v>
      </c>
    </row>
    <row r="17165" spans="1:3" s="8" customFormat="1" x14ac:dyDescent="0.2">
      <c r="A17165" s="6" t="str">
        <f>"AC090607.2"</f>
        <v>AC090607.2</v>
      </c>
      <c r="B17165" s="6">
        <v>0.94505494505494503</v>
      </c>
      <c r="C17165" s="6">
        <v>0.96789831404543902</v>
      </c>
    </row>
    <row r="17166" spans="1:3" s="8" customFormat="1" x14ac:dyDescent="0.2">
      <c r="A17166" s="6" t="str">
        <f>"NTAN1"</f>
        <v>NTAN1</v>
      </c>
      <c r="B17166" s="6">
        <v>0.94505494505494503</v>
      </c>
      <c r="C17166" s="6">
        <v>0.96789831404543902</v>
      </c>
    </row>
    <row r="17167" spans="1:3" s="8" customFormat="1" x14ac:dyDescent="0.2">
      <c r="A17167" s="6" t="str">
        <f>"ABHD18"</f>
        <v>ABHD18</v>
      </c>
      <c r="B17167" s="6">
        <v>0.94505494505494503</v>
      </c>
      <c r="C17167" s="6">
        <v>0.96789831404543902</v>
      </c>
    </row>
    <row r="17168" spans="1:3" s="8" customFormat="1" x14ac:dyDescent="0.2">
      <c r="A17168" s="6" t="str">
        <f>"SERF1A"</f>
        <v>SERF1A</v>
      </c>
      <c r="B17168" s="6">
        <v>0.94505494505494503</v>
      </c>
      <c r="C17168" s="6">
        <v>0.96789831404543902</v>
      </c>
    </row>
    <row r="17169" spans="1:3" s="8" customFormat="1" x14ac:dyDescent="0.2">
      <c r="A17169" s="6" t="str">
        <f>"SURF6"</f>
        <v>SURF6</v>
      </c>
      <c r="B17169" s="6">
        <v>0.94505494505494503</v>
      </c>
      <c r="C17169" s="6">
        <v>0.96789831404543902</v>
      </c>
    </row>
    <row r="17170" spans="1:3" s="8" customFormat="1" x14ac:dyDescent="0.2">
      <c r="A17170" s="6" t="str">
        <f>"NCL"</f>
        <v>NCL</v>
      </c>
      <c r="B17170" s="6">
        <v>0.94505494505494503</v>
      </c>
      <c r="C17170" s="6">
        <v>0.96789831404543902</v>
      </c>
    </row>
    <row r="17171" spans="1:3" s="8" customFormat="1" x14ac:dyDescent="0.2">
      <c r="A17171" s="6" t="str">
        <f>"AC104561.4"</f>
        <v>AC104561.4</v>
      </c>
      <c r="B17171" s="6">
        <v>0.94605394605394599</v>
      </c>
      <c r="C17171" s="6">
        <v>0.96852658287218096</v>
      </c>
    </row>
    <row r="17172" spans="1:3" s="8" customFormat="1" x14ac:dyDescent="0.2">
      <c r="A17172" s="6" t="str">
        <f>"REEP2"</f>
        <v>REEP2</v>
      </c>
      <c r="B17172" s="6">
        <v>0.94605394605394599</v>
      </c>
      <c r="C17172" s="6">
        <v>0.96852658287218096</v>
      </c>
    </row>
    <row r="17173" spans="1:3" s="8" customFormat="1" x14ac:dyDescent="0.2">
      <c r="A17173" s="6" t="str">
        <f>"AFAP1L2"</f>
        <v>AFAP1L2</v>
      </c>
      <c r="B17173" s="6">
        <v>0.94605394605394599</v>
      </c>
      <c r="C17173" s="6">
        <v>0.96852658287218096</v>
      </c>
    </row>
    <row r="17174" spans="1:3" s="8" customFormat="1" x14ac:dyDescent="0.2">
      <c r="A17174" s="6" t="str">
        <f>"TSHZ3"</f>
        <v>TSHZ3</v>
      </c>
      <c r="B17174" s="6">
        <v>0.94605394605394599</v>
      </c>
      <c r="C17174" s="6">
        <v>0.96852658287218096</v>
      </c>
    </row>
    <row r="17175" spans="1:3" s="8" customFormat="1" x14ac:dyDescent="0.2">
      <c r="A17175" s="6" t="str">
        <f>"CMC1"</f>
        <v>CMC1</v>
      </c>
      <c r="B17175" s="6">
        <v>0.94605394605394599</v>
      </c>
      <c r="C17175" s="6">
        <v>0.96852658287218096</v>
      </c>
    </row>
    <row r="17176" spans="1:3" s="8" customFormat="1" x14ac:dyDescent="0.2">
      <c r="A17176" s="6" t="str">
        <f>"PSMG2"</f>
        <v>PSMG2</v>
      </c>
      <c r="B17176" s="6">
        <v>0.94605394605394599</v>
      </c>
      <c r="C17176" s="6">
        <v>0.96852658287218096</v>
      </c>
    </row>
    <row r="17177" spans="1:3" s="8" customFormat="1" x14ac:dyDescent="0.2">
      <c r="A17177" s="6" t="str">
        <f>"GTF2E2"</f>
        <v>GTF2E2</v>
      </c>
      <c r="B17177" s="6">
        <v>0.94605394605394599</v>
      </c>
      <c r="C17177" s="6">
        <v>0.96852658287218096</v>
      </c>
    </row>
    <row r="17178" spans="1:3" s="8" customFormat="1" x14ac:dyDescent="0.2">
      <c r="A17178" s="6" t="str">
        <f>"AL139424.2"</f>
        <v>AL139424.2</v>
      </c>
      <c r="B17178" s="6">
        <v>0.94705294705294696</v>
      </c>
      <c r="C17178" s="6">
        <v>0.96909794116498005</v>
      </c>
    </row>
    <row r="17179" spans="1:3" s="8" customFormat="1" x14ac:dyDescent="0.2">
      <c r="A17179" s="6" t="str">
        <f>"ZNF215"</f>
        <v>ZNF215</v>
      </c>
      <c r="B17179" s="6">
        <v>0.94705294705294696</v>
      </c>
      <c r="C17179" s="6">
        <v>0.96909794116498005</v>
      </c>
    </row>
    <row r="17180" spans="1:3" s="8" customFormat="1" x14ac:dyDescent="0.2">
      <c r="A17180" s="6" t="str">
        <f>"AC002310.4"</f>
        <v>AC002310.4</v>
      </c>
      <c r="B17180" s="6">
        <v>0.94699999999999995</v>
      </c>
      <c r="C17180" s="6">
        <v>0.96909794116498005</v>
      </c>
    </row>
    <row r="17181" spans="1:3" s="8" customFormat="1" x14ac:dyDescent="0.2">
      <c r="A17181" s="6" t="str">
        <f>"KDM4D"</f>
        <v>KDM4D</v>
      </c>
      <c r="B17181" s="6">
        <v>0.94705294705294696</v>
      </c>
      <c r="C17181" s="6">
        <v>0.96909794116498005</v>
      </c>
    </row>
    <row r="17182" spans="1:3" s="8" customFormat="1" x14ac:dyDescent="0.2">
      <c r="A17182" s="6" t="str">
        <f>"ITFG2"</f>
        <v>ITFG2</v>
      </c>
      <c r="B17182" s="6">
        <v>0.94705294705294696</v>
      </c>
      <c r="C17182" s="6">
        <v>0.96909794116498005</v>
      </c>
    </row>
    <row r="17183" spans="1:3" s="8" customFormat="1" x14ac:dyDescent="0.2">
      <c r="A17183" s="6" t="str">
        <f>"PRKAG2"</f>
        <v>PRKAG2</v>
      </c>
      <c r="B17183" s="6">
        <v>0.94705294705294696</v>
      </c>
      <c r="C17183" s="6">
        <v>0.96909794116498005</v>
      </c>
    </row>
    <row r="17184" spans="1:3" s="8" customFormat="1" x14ac:dyDescent="0.2">
      <c r="A17184" s="6" t="str">
        <f>"FUCA1"</f>
        <v>FUCA1</v>
      </c>
      <c r="B17184" s="6">
        <v>0.94705294705294696</v>
      </c>
      <c r="C17184" s="6">
        <v>0.96909794116498005</v>
      </c>
    </row>
    <row r="17185" spans="1:3" s="8" customFormat="1" x14ac:dyDescent="0.2">
      <c r="A17185" s="6" t="str">
        <f>"KDM5C"</f>
        <v>KDM5C</v>
      </c>
      <c r="B17185" s="6">
        <v>0.94705294705294696</v>
      </c>
      <c r="C17185" s="6">
        <v>0.96909794116498005</v>
      </c>
    </row>
    <row r="17186" spans="1:3" s="8" customFormat="1" x14ac:dyDescent="0.2">
      <c r="A17186" s="6" t="str">
        <f>"OR5A1"</f>
        <v>OR5A1</v>
      </c>
      <c r="B17186" s="6">
        <v>0.94805194805194803</v>
      </c>
      <c r="C17186" s="6">
        <v>0.96995086138042996</v>
      </c>
    </row>
    <row r="17187" spans="1:3" s="8" customFormat="1" x14ac:dyDescent="0.2">
      <c r="A17187" s="6" t="str">
        <f>"AFF3"</f>
        <v>AFF3</v>
      </c>
      <c r="B17187" s="6">
        <v>0.94805194805194803</v>
      </c>
      <c r="C17187" s="6">
        <v>0.96995086138042996</v>
      </c>
    </row>
    <row r="17188" spans="1:3" s="8" customFormat="1" x14ac:dyDescent="0.2">
      <c r="A17188" s="6" t="str">
        <f>"LINC01572"</f>
        <v>LINC01572</v>
      </c>
      <c r="B17188" s="6">
        <v>0.94805194805194803</v>
      </c>
      <c r="C17188" s="6">
        <v>0.96995086138042996</v>
      </c>
    </row>
    <row r="17189" spans="1:3" s="8" customFormat="1" x14ac:dyDescent="0.2">
      <c r="A17189" s="6" t="str">
        <f>"AC068587.5"</f>
        <v>AC068587.5</v>
      </c>
      <c r="B17189" s="6">
        <v>0.949050949050949</v>
      </c>
      <c r="C17189" s="6">
        <v>0.970351894878002</v>
      </c>
    </row>
    <row r="17190" spans="1:3" s="8" customFormat="1" x14ac:dyDescent="0.2">
      <c r="A17190" s="6" t="str">
        <f>"COL6A4P1"</f>
        <v>COL6A4P1</v>
      </c>
      <c r="B17190" s="6">
        <v>0.949050949050949</v>
      </c>
      <c r="C17190" s="6">
        <v>0.970351894878002</v>
      </c>
    </row>
    <row r="17191" spans="1:3" s="8" customFormat="1" x14ac:dyDescent="0.2">
      <c r="A17191" s="6" t="str">
        <f>"ADAMTS2"</f>
        <v>ADAMTS2</v>
      </c>
      <c r="B17191" s="6">
        <v>0.949050949050949</v>
      </c>
      <c r="C17191" s="6">
        <v>0.970351894878002</v>
      </c>
    </row>
    <row r="17192" spans="1:3" s="8" customFormat="1" x14ac:dyDescent="0.2">
      <c r="A17192" s="6" t="str">
        <f>"AC018630.4"</f>
        <v>AC018630.4</v>
      </c>
      <c r="B17192" s="6">
        <v>0.949050949050949</v>
      </c>
      <c r="C17192" s="6">
        <v>0.970351894878002</v>
      </c>
    </row>
    <row r="17193" spans="1:3" s="8" customFormat="1" x14ac:dyDescent="0.2">
      <c r="A17193" s="6" t="str">
        <f>"RBFADN"</f>
        <v>RBFADN</v>
      </c>
      <c r="B17193" s="6">
        <v>0.949050949050949</v>
      </c>
      <c r="C17193" s="6">
        <v>0.970351894878002</v>
      </c>
    </row>
    <row r="17194" spans="1:3" s="8" customFormat="1" x14ac:dyDescent="0.2">
      <c r="A17194" s="6" t="str">
        <f>"NCK1-DT"</f>
        <v>NCK1-DT</v>
      </c>
      <c r="B17194" s="6">
        <v>0.949050949050949</v>
      </c>
      <c r="C17194" s="6">
        <v>0.970351894878002</v>
      </c>
    </row>
    <row r="17195" spans="1:3" s="8" customFormat="1" x14ac:dyDescent="0.2">
      <c r="A17195" s="6" t="str">
        <f>"ZNF182"</f>
        <v>ZNF182</v>
      </c>
      <c r="B17195" s="6">
        <v>0.949050949050949</v>
      </c>
      <c r="C17195" s="6">
        <v>0.970351894878002</v>
      </c>
    </row>
    <row r="17196" spans="1:3" s="8" customFormat="1" x14ac:dyDescent="0.2">
      <c r="A17196" s="6" t="str">
        <f>"ZNHIT3"</f>
        <v>ZNHIT3</v>
      </c>
      <c r="B17196" s="6">
        <v>0.949050949050949</v>
      </c>
      <c r="C17196" s="6">
        <v>0.970351894878002</v>
      </c>
    </row>
    <row r="17197" spans="1:3" s="8" customFormat="1" x14ac:dyDescent="0.2">
      <c r="A17197" s="6" t="str">
        <f>"GNPDA1"</f>
        <v>GNPDA1</v>
      </c>
      <c r="B17197" s="6">
        <v>0.949050949050949</v>
      </c>
      <c r="C17197" s="6">
        <v>0.970351894878002</v>
      </c>
    </row>
    <row r="17198" spans="1:3" s="8" customFormat="1" x14ac:dyDescent="0.2">
      <c r="A17198" s="6" t="str">
        <f>"FTSJ3"</f>
        <v>FTSJ3</v>
      </c>
      <c r="B17198" s="6">
        <v>0.949050949050949</v>
      </c>
      <c r="C17198" s="6">
        <v>0.970351894878002</v>
      </c>
    </row>
    <row r="17199" spans="1:3" s="8" customFormat="1" x14ac:dyDescent="0.2">
      <c r="A17199" s="6" t="str">
        <f>"HP1BP3"</f>
        <v>HP1BP3</v>
      </c>
      <c r="B17199" s="6">
        <v>0.949050949050949</v>
      </c>
      <c r="C17199" s="6">
        <v>0.970351894878002</v>
      </c>
    </row>
    <row r="17200" spans="1:3" s="8" customFormat="1" x14ac:dyDescent="0.2">
      <c r="A17200" s="6" t="str">
        <f>"AC113382.1"</f>
        <v>AC113382.1</v>
      </c>
      <c r="B17200" s="6">
        <v>0.94964753272910296</v>
      </c>
      <c r="C17200" s="6">
        <v>0.97090541400712504</v>
      </c>
    </row>
    <row r="17201" spans="1:3" s="8" customFormat="1" x14ac:dyDescent="0.2">
      <c r="A17201" s="6" t="str">
        <f>"AL390726.2"</f>
        <v>AL390726.2</v>
      </c>
      <c r="B17201" s="6">
        <v>0.95004995004994996</v>
      </c>
      <c r="C17201" s="6">
        <v>0.97114744341810899</v>
      </c>
    </row>
    <row r="17202" spans="1:3" s="8" customFormat="1" x14ac:dyDescent="0.2">
      <c r="A17202" s="6" t="str">
        <f>"UBE2J2"</f>
        <v>UBE2J2</v>
      </c>
      <c r="B17202" s="6">
        <v>0.95004995004994996</v>
      </c>
      <c r="C17202" s="6">
        <v>0.97114744341810899</v>
      </c>
    </row>
    <row r="17203" spans="1:3" s="8" customFormat="1" x14ac:dyDescent="0.2">
      <c r="A17203" s="6" t="str">
        <f>"PHF2"</f>
        <v>PHF2</v>
      </c>
      <c r="B17203" s="6">
        <v>0.95004995004994996</v>
      </c>
      <c r="C17203" s="6">
        <v>0.97114744341810899</v>
      </c>
    </row>
    <row r="17204" spans="1:3" s="8" customFormat="1" x14ac:dyDescent="0.2">
      <c r="A17204" s="6" t="str">
        <f>"AOC4P"</f>
        <v>AOC4P</v>
      </c>
      <c r="B17204" s="6">
        <v>0.95104895104895104</v>
      </c>
      <c r="C17204" s="6">
        <v>0.97171672023502298</v>
      </c>
    </row>
    <row r="17205" spans="1:3" s="8" customFormat="1" x14ac:dyDescent="0.2">
      <c r="A17205" s="6" t="str">
        <f>"SLC2A3P1"</f>
        <v>SLC2A3P1</v>
      </c>
      <c r="B17205" s="6">
        <v>0.95099999999999996</v>
      </c>
      <c r="C17205" s="6">
        <v>0.97171672023502298</v>
      </c>
    </row>
    <row r="17206" spans="1:3" s="8" customFormat="1" x14ac:dyDescent="0.2">
      <c r="A17206" s="6" t="str">
        <f>"XXYLT1-AS2"</f>
        <v>XXYLT1-AS2</v>
      </c>
      <c r="B17206" s="6">
        <v>0.95104895104895104</v>
      </c>
      <c r="C17206" s="6">
        <v>0.97171672023502298</v>
      </c>
    </row>
    <row r="17207" spans="1:3" s="8" customFormat="1" x14ac:dyDescent="0.2">
      <c r="A17207" s="6" t="str">
        <f>"TMSB4Y"</f>
        <v>TMSB4Y</v>
      </c>
      <c r="B17207" s="6">
        <v>0.95089285714285698</v>
      </c>
      <c r="C17207" s="6">
        <v>0.97171672023502298</v>
      </c>
    </row>
    <row r="17208" spans="1:3" s="8" customFormat="1" x14ac:dyDescent="0.2">
      <c r="A17208" s="6" t="str">
        <f>"LINC02361"</f>
        <v>LINC02361</v>
      </c>
      <c r="B17208" s="6">
        <v>0.95104895104895104</v>
      </c>
      <c r="C17208" s="6">
        <v>0.97171672023502298</v>
      </c>
    </row>
    <row r="17209" spans="1:3" s="8" customFormat="1" x14ac:dyDescent="0.2">
      <c r="A17209" s="6" t="str">
        <f>"TMCO5A"</f>
        <v>TMCO5A</v>
      </c>
      <c r="B17209" s="6">
        <v>0.95104895104895104</v>
      </c>
      <c r="C17209" s="6">
        <v>0.97171672023502298</v>
      </c>
    </row>
    <row r="17210" spans="1:3" s="8" customFormat="1" x14ac:dyDescent="0.2">
      <c r="A17210" s="6" t="str">
        <f>"VPS45"</f>
        <v>VPS45</v>
      </c>
      <c r="B17210" s="6">
        <v>0.95104895104895104</v>
      </c>
      <c r="C17210" s="6">
        <v>0.97171672023502298</v>
      </c>
    </row>
    <row r="17211" spans="1:3" s="8" customFormat="1" x14ac:dyDescent="0.2">
      <c r="A17211" s="6" t="str">
        <f>"RAB22A"</f>
        <v>RAB22A</v>
      </c>
      <c r="B17211" s="6">
        <v>0.95104895104895104</v>
      </c>
      <c r="C17211" s="6">
        <v>0.97171672023502298</v>
      </c>
    </row>
    <row r="17212" spans="1:3" s="8" customFormat="1" x14ac:dyDescent="0.2">
      <c r="A17212" s="6" t="str">
        <f>"AC004492.1"</f>
        <v>AC004492.1</v>
      </c>
      <c r="B17212" s="6">
        <v>0.95204795204795201</v>
      </c>
      <c r="C17212" s="6">
        <v>0.97217254290425004</v>
      </c>
    </row>
    <row r="17213" spans="1:3" s="8" customFormat="1" x14ac:dyDescent="0.2">
      <c r="A17213" s="6" t="str">
        <f>"NID2"</f>
        <v>NID2</v>
      </c>
      <c r="B17213" s="6">
        <v>0.95204795204795201</v>
      </c>
      <c r="C17213" s="6">
        <v>0.97217254290425004</v>
      </c>
    </row>
    <row r="17214" spans="1:3" s="8" customFormat="1" x14ac:dyDescent="0.2">
      <c r="A17214" s="6" t="str">
        <f>"EFCAB6-AS1"</f>
        <v>EFCAB6-AS1</v>
      </c>
      <c r="B17214" s="6">
        <v>0.95171026156941596</v>
      </c>
      <c r="C17214" s="6">
        <v>0.97217254290425004</v>
      </c>
    </row>
    <row r="17215" spans="1:3" s="8" customFormat="1" x14ac:dyDescent="0.2">
      <c r="A17215" s="6" t="str">
        <f>"AC012063.1"</f>
        <v>AC012063.1</v>
      </c>
      <c r="B17215" s="6">
        <v>0.95204795204795201</v>
      </c>
      <c r="C17215" s="6">
        <v>0.97217254290425004</v>
      </c>
    </row>
    <row r="17216" spans="1:3" s="8" customFormat="1" x14ac:dyDescent="0.2">
      <c r="A17216" s="6" t="str">
        <f>"TRMU"</f>
        <v>TRMU</v>
      </c>
      <c r="B17216" s="6">
        <v>0.95204795204795201</v>
      </c>
      <c r="C17216" s="6">
        <v>0.97217254290425004</v>
      </c>
    </row>
    <row r="17217" spans="1:3" s="8" customFormat="1" x14ac:dyDescent="0.2">
      <c r="A17217" s="6" t="str">
        <f>"TRMT61B"</f>
        <v>TRMT61B</v>
      </c>
      <c r="B17217" s="6">
        <v>0.95204795204795201</v>
      </c>
      <c r="C17217" s="6">
        <v>0.97217254290425004</v>
      </c>
    </row>
    <row r="17218" spans="1:3" s="8" customFormat="1" x14ac:dyDescent="0.2">
      <c r="A17218" s="6" t="str">
        <f>"LRSAM1"</f>
        <v>LRSAM1</v>
      </c>
      <c r="B17218" s="6">
        <v>0.95204795204795201</v>
      </c>
      <c r="C17218" s="6">
        <v>0.97217254290425004</v>
      </c>
    </row>
    <row r="17219" spans="1:3" s="8" customFormat="1" x14ac:dyDescent="0.2">
      <c r="A17219" s="6" t="str">
        <f>"CTCF"</f>
        <v>CTCF</v>
      </c>
      <c r="B17219" s="6">
        <v>0.95204795204795201</v>
      </c>
      <c r="C17219" s="6">
        <v>0.97217254290425004</v>
      </c>
    </row>
    <row r="17220" spans="1:3" s="8" customFormat="1" x14ac:dyDescent="0.2">
      <c r="A17220" s="6" t="str">
        <f>"PRRC1"</f>
        <v>PRRC1</v>
      </c>
      <c r="B17220" s="6">
        <v>0.95204795204795201</v>
      </c>
      <c r="C17220" s="6">
        <v>0.97217254290425004</v>
      </c>
    </row>
    <row r="17221" spans="1:3" s="8" customFormat="1" x14ac:dyDescent="0.2">
      <c r="A17221" s="6" t="str">
        <f>"TNKS2"</f>
        <v>TNKS2</v>
      </c>
      <c r="B17221" s="6">
        <v>0.95204795204795201</v>
      </c>
      <c r="C17221" s="6">
        <v>0.97217254290425004</v>
      </c>
    </row>
    <row r="17222" spans="1:3" s="8" customFormat="1" x14ac:dyDescent="0.2">
      <c r="A17222" s="6" t="str">
        <f>"AC069209.2"</f>
        <v>AC069209.2</v>
      </c>
      <c r="B17222" s="6">
        <v>0.95304695304695297</v>
      </c>
      <c r="C17222" s="6">
        <v>0.97268428941770402</v>
      </c>
    </row>
    <row r="17223" spans="1:3" s="8" customFormat="1" x14ac:dyDescent="0.2">
      <c r="A17223" s="6" t="str">
        <f>"AL139383.1"</f>
        <v>AL139383.1</v>
      </c>
      <c r="B17223" s="6">
        <v>0.95304695304695297</v>
      </c>
      <c r="C17223" s="6">
        <v>0.97268428941770402</v>
      </c>
    </row>
    <row r="17224" spans="1:3" s="8" customFormat="1" x14ac:dyDescent="0.2">
      <c r="A17224" s="6" t="str">
        <f>"STBD1"</f>
        <v>STBD1</v>
      </c>
      <c r="B17224" s="6">
        <v>0.95304695304695297</v>
      </c>
      <c r="C17224" s="6">
        <v>0.97268428941770402</v>
      </c>
    </row>
    <row r="17225" spans="1:3" s="8" customFormat="1" x14ac:dyDescent="0.2">
      <c r="A17225" s="6" t="str">
        <f>"ZNF500"</f>
        <v>ZNF500</v>
      </c>
      <c r="B17225" s="6">
        <v>0.95304695304695297</v>
      </c>
      <c r="C17225" s="6">
        <v>0.97268428941770402</v>
      </c>
    </row>
    <row r="17226" spans="1:3" s="8" customFormat="1" x14ac:dyDescent="0.2">
      <c r="A17226" s="6" t="str">
        <f>"SCYL3"</f>
        <v>SCYL3</v>
      </c>
      <c r="B17226" s="6">
        <v>0.95304695304695297</v>
      </c>
      <c r="C17226" s="6">
        <v>0.97268428941770402</v>
      </c>
    </row>
    <row r="17227" spans="1:3" s="8" customFormat="1" x14ac:dyDescent="0.2">
      <c r="A17227" s="6" t="str">
        <f>"SENP5"</f>
        <v>SENP5</v>
      </c>
      <c r="B17227" s="6">
        <v>0.95304695304695297</v>
      </c>
      <c r="C17227" s="6">
        <v>0.97268428941770402</v>
      </c>
    </row>
    <row r="17228" spans="1:3" s="8" customFormat="1" x14ac:dyDescent="0.2">
      <c r="A17228" s="6" t="str">
        <f>"NAAA"</f>
        <v>NAAA</v>
      </c>
      <c r="B17228" s="6">
        <v>0.95304695304695297</v>
      </c>
      <c r="C17228" s="6">
        <v>0.97268428941770402</v>
      </c>
    </row>
    <row r="17229" spans="1:3" s="8" customFormat="1" x14ac:dyDescent="0.2">
      <c r="A17229" s="6" t="str">
        <f>"DVL2"</f>
        <v>DVL2</v>
      </c>
      <c r="B17229" s="6">
        <v>0.95304695304695297</v>
      </c>
      <c r="C17229" s="6">
        <v>0.97268428941770402</v>
      </c>
    </row>
    <row r="17230" spans="1:3" s="8" customFormat="1" x14ac:dyDescent="0.2">
      <c r="A17230" s="6" t="str">
        <f>"TC2N"</f>
        <v>TC2N</v>
      </c>
      <c r="B17230" s="6">
        <v>0.95304695304695297</v>
      </c>
      <c r="C17230" s="6">
        <v>0.97268428941770402</v>
      </c>
    </row>
    <row r="17231" spans="1:3" s="8" customFormat="1" x14ac:dyDescent="0.2">
      <c r="A17231" s="6" t="str">
        <f>"OR7E125P"</f>
        <v>OR7E125P</v>
      </c>
      <c r="B17231" s="6">
        <v>0.95404595404595405</v>
      </c>
      <c r="C17231" s="6">
        <v>0.97342137959522201</v>
      </c>
    </row>
    <row r="17232" spans="1:3" s="8" customFormat="1" x14ac:dyDescent="0.2">
      <c r="A17232" s="6" t="str">
        <f>"AC011379.2"</f>
        <v>AC011379.2</v>
      </c>
      <c r="B17232" s="6">
        <v>0.95404595404595405</v>
      </c>
      <c r="C17232" s="6">
        <v>0.97342137959522201</v>
      </c>
    </row>
    <row r="17233" spans="1:3" s="8" customFormat="1" x14ac:dyDescent="0.2">
      <c r="A17233" s="6" t="str">
        <f>"ZNRD2-AS1"</f>
        <v>ZNRD2-AS1</v>
      </c>
      <c r="B17233" s="6">
        <v>0.95404595404595405</v>
      </c>
      <c r="C17233" s="6">
        <v>0.97342137959522201</v>
      </c>
    </row>
    <row r="17234" spans="1:3" s="8" customFormat="1" x14ac:dyDescent="0.2">
      <c r="A17234" s="6" t="str">
        <f>"AC106795.1"</f>
        <v>AC106795.1</v>
      </c>
      <c r="B17234" s="6">
        <v>0.95404595404595405</v>
      </c>
      <c r="C17234" s="6">
        <v>0.97342137959522201</v>
      </c>
    </row>
    <row r="17235" spans="1:3" s="8" customFormat="1" x14ac:dyDescent="0.2">
      <c r="A17235" s="6" t="str">
        <f>"TAF9"</f>
        <v>TAF9</v>
      </c>
      <c r="B17235" s="6">
        <v>0.95404595404595405</v>
      </c>
      <c r="C17235" s="6">
        <v>0.97342137959522201</v>
      </c>
    </row>
    <row r="17236" spans="1:3" s="8" customFormat="1" x14ac:dyDescent="0.2">
      <c r="A17236" s="6" t="str">
        <f>"AC138207.3"</f>
        <v>AC138207.3</v>
      </c>
      <c r="B17236" s="6">
        <v>0.95504495504495501</v>
      </c>
      <c r="C17236" s="6">
        <v>0.97381910637926805</v>
      </c>
    </row>
    <row r="17237" spans="1:3" s="8" customFormat="1" x14ac:dyDescent="0.2">
      <c r="A17237" s="6" t="str">
        <f>"AL009179.1"</f>
        <v>AL009179.1</v>
      </c>
      <c r="B17237" s="6">
        <v>0.95504495504495501</v>
      </c>
      <c r="C17237" s="6">
        <v>0.97381910637926805</v>
      </c>
    </row>
    <row r="17238" spans="1:3" s="8" customFormat="1" x14ac:dyDescent="0.2">
      <c r="A17238" s="6" t="str">
        <f>"AC010680.2"</f>
        <v>AC010680.2</v>
      </c>
      <c r="B17238" s="6">
        <v>0.95504495504495501</v>
      </c>
      <c r="C17238" s="6">
        <v>0.97381910637926805</v>
      </c>
    </row>
    <row r="17239" spans="1:3" s="8" customFormat="1" x14ac:dyDescent="0.2">
      <c r="A17239" s="6" t="str">
        <f>"AC012317.1"</f>
        <v>AC012317.1</v>
      </c>
      <c r="B17239" s="6">
        <v>0.95504495504495501</v>
      </c>
      <c r="C17239" s="6">
        <v>0.97381910637926805</v>
      </c>
    </row>
    <row r="17240" spans="1:3" s="8" customFormat="1" x14ac:dyDescent="0.2">
      <c r="A17240" s="6" t="str">
        <f>"NPTN-IT1"</f>
        <v>NPTN-IT1</v>
      </c>
      <c r="B17240" s="6">
        <v>0.95504495504495501</v>
      </c>
      <c r="C17240" s="6">
        <v>0.97381910637926805</v>
      </c>
    </row>
    <row r="17241" spans="1:3" s="8" customFormat="1" x14ac:dyDescent="0.2">
      <c r="A17241" s="6" t="str">
        <f>"SEMA6A"</f>
        <v>SEMA6A</v>
      </c>
      <c r="B17241" s="6">
        <v>0.95504495504495501</v>
      </c>
      <c r="C17241" s="6">
        <v>0.97381910637926805</v>
      </c>
    </row>
    <row r="17242" spans="1:3" s="8" customFormat="1" x14ac:dyDescent="0.2">
      <c r="A17242" s="6" t="str">
        <f>"CCDC136"</f>
        <v>CCDC136</v>
      </c>
      <c r="B17242" s="6">
        <v>0.95504495504495501</v>
      </c>
      <c r="C17242" s="6">
        <v>0.97381910637926805</v>
      </c>
    </row>
    <row r="17243" spans="1:3" s="8" customFormat="1" x14ac:dyDescent="0.2">
      <c r="A17243" s="6" t="str">
        <f>"ARHGEF35-AS1"</f>
        <v>ARHGEF35-AS1</v>
      </c>
      <c r="B17243" s="6">
        <v>0.95504495504495501</v>
      </c>
      <c r="C17243" s="6">
        <v>0.97381910637926805</v>
      </c>
    </row>
    <row r="17244" spans="1:3" s="8" customFormat="1" x14ac:dyDescent="0.2">
      <c r="A17244" s="6" t="str">
        <f>"SLC12A4"</f>
        <v>SLC12A4</v>
      </c>
      <c r="B17244" s="6">
        <v>0.95504495504495501</v>
      </c>
      <c r="C17244" s="6">
        <v>0.97381910637926805</v>
      </c>
    </row>
    <row r="17245" spans="1:3" s="8" customFormat="1" x14ac:dyDescent="0.2">
      <c r="A17245" s="6" t="str">
        <f>"ZNF532"</f>
        <v>ZNF532</v>
      </c>
      <c r="B17245" s="6">
        <v>0.95504495504495501</v>
      </c>
      <c r="C17245" s="6">
        <v>0.97381910637926805</v>
      </c>
    </row>
    <row r="17246" spans="1:3" s="8" customFormat="1" x14ac:dyDescent="0.2">
      <c r="A17246" s="6" t="str">
        <f>"TMEM115"</f>
        <v>TMEM115</v>
      </c>
      <c r="B17246" s="6">
        <v>0.95504495504495501</v>
      </c>
      <c r="C17246" s="6">
        <v>0.97381910637926805</v>
      </c>
    </row>
    <row r="17247" spans="1:3" s="8" customFormat="1" x14ac:dyDescent="0.2">
      <c r="A17247" s="6" t="str">
        <f>"AC116351.1"</f>
        <v>AC116351.1</v>
      </c>
      <c r="B17247" s="6">
        <v>0.95604395604395598</v>
      </c>
      <c r="C17247" s="6">
        <v>0.97432925252561198</v>
      </c>
    </row>
    <row r="17248" spans="1:3" s="8" customFormat="1" x14ac:dyDescent="0.2">
      <c r="A17248" s="6" t="str">
        <f>"CIAPIN1P"</f>
        <v>CIAPIN1P</v>
      </c>
      <c r="B17248" s="6">
        <v>0.95604395604395598</v>
      </c>
      <c r="C17248" s="6">
        <v>0.97432925252561198</v>
      </c>
    </row>
    <row r="17249" spans="1:3" s="8" customFormat="1" x14ac:dyDescent="0.2">
      <c r="A17249" s="6" t="str">
        <f>"HPCA"</f>
        <v>HPCA</v>
      </c>
      <c r="B17249" s="6">
        <v>0.95604395604395598</v>
      </c>
      <c r="C17249" s="6">
        <v>0.97432925252561198</v>
      </c>
    </row>
    <row r="17250" spans="1:3" s="8" customFormat="1" x14ac:dyDescent="0.2">
      <c r="A17250" s="6" t="str">
        <f>"AC073349.5"</f>
        <v>AC073349.5</v>
      </c>
      <c r="B17250" s="6">
        <v>0.95604395604395598</v>
      </c>
      <c r="C17250" s="6">
        <v>0.97432925252561198</v>
      </c>
    </row>
    <row r="17251" spans="1:3" s="8" customFormat="1" x14ac:dyDescent="0.2">
      <c r="A17251" s="6" t="str">
        <f>"DDR1-DT"</f>
        <v>DDR1-DT</v>
      </c>
      <c r="B17251" s="6">
        <v>0.95599999999999996</v>
      </c>
      <c r="C17251" s="6">
        <v>0.97432925252561198</v>
      </c>
    </row>
    <row r="17252" spans="1:3" s="8" customFormat="1" x14ac:dyDescent="0.2">
      <c r="A17252" s="6" t="str">
        <f>"DGKB"</f>
        <v>DGKB</v>
      </c>
      <c r="B17252" s="6">
        <v>0.95604395604395598</v>
      </c>
      <c r="C17252" s="6">
        <v>0.97432925252561198</v>
      </c>
    </row>
    <row r="17253" spans="1:3" s="8" customFormat="1" x14ac:dyDescent="0.2">
      <c r="A17253" s="6" t="str">
        <f>"PSTK"</f>
        <v>PSTK</v>
      </c>
      <c r="B17253" s="6">
        <v>0.95604395604395598</v>
      </c>
      <c r="C17253" s="6">
        <v>0.97432925252561198</v>
      </c>
    </row>
    <row r="17254" spans="1:3" s="8" customFormat="1" x14ac:dyDescent="0.2">
      <c r="A17254" s="6" t="str">
        <f>"C1orf115"</f>
        <v>C1orf115</v>
      </c>
      <c r="B17254" s="6">
        <v>0.95604395604395598</v>
      </c>
      <c r="C17254" s="6">
        <v>0.97432925252561198</v>
      </c>
    </row>
    <row r="17255" spans="1:3" s="8" customFormat="1" x14ac:dyDescent="0.2">
      <c r="A17255" s="6" t="str">
        <f>"GCNT1"</f>
        <v>GCNT1</v>
      </c>
      <c r="B17255" s="6">
        <v>0.95604395604395598</v>
      </c>
      <c r="C17255" s="6">
        <v>0.97432925252561198</v>
      </c>
    </row>
    <row r="17256" spans="1:3" s="8" customFormat="1" x14ac:dyDescent="0.2">
      <c r="A17256" s="6" t="str">
        <f>"AL672310.1"</f>
        <v>AL672310.1</v>
      </c>
      <c r="B17256" s="6">
        <v>0.95699999999999996</v>
      </c>
      <c r="C17256" s="6">
        <v>0.97506479846128702</v>
      </c>
    </row>
    <row r="17257" spans="1:3" s="8" customFormat="1" x14ac:dyDescent="0.2">
      <c r="A17257" s="6" t="str">
        <f>"USP32P3"</f>
        <v>USP32P3</v>
      </c>
      <c r="B17257" s="6">
        <v>0.95704295704295705</v>
      </c>
      <c r="C17257" s="6">
        <v>0.97506479846128702</v>
      </c>
    </row>
    <row r="17258" spans="1:3" s="8" customFormat="1" x14ac:dyDescent="0.2">
      <c r="A17258" s="6" t="str">
        <f>"WDR44"</f>
        <v>WDR44</v>
      </c>
      <c r="B17258" s="6">
        <v>0.95704295704295705</v>
      </c>
      <c r="C17258" s="6">
        <v>0.97506479846128702</v>
      </c>
    </row>
    <row r="17259" spans="1:3" s="8" customFormat="1" x14ac:dyDescent="0.2">
      <c r="A17259" s="6" t="str">
        <f>"SPAST"</f>
        <v>SPAST</v>
      </c>
      <c r="B17259" s="6">
        <v>0.95704295704295705</v>
      </c>
      <c r="C17259" s="6">
        <v>0.97506479846128702</v>
      </c>
    </row>
    <row r="17260" spans="1:3" s="8" customFormat="1" x14ac:dyDescent="0.2">
      <c r="A17260" s="6" t="str">
        <f>"TMC4"</f>
        <v>TMC4</v>
      </c>
      <c r="B17260" s="6">
        <v>0.95704295704295705</v>
      </c>
      <c r="C17260" s="6">
        <v>0.97506479846128702</v>
      </c>
    </row>
    <row r="17261" spans="1:3" s="8" customFormat="1" x14ac:dyDescent="0.2">
      <c r="A17261" s="6" t="str">
        <f>"SPATA45"</f>
        <v>SPATA45</v>
      </c>
      <c r="B17261" s="6">
        <v>0.95804195804195802</v>
      </c>
      <c r="C17261" s="6">
        <v>0.97574339937502397</v>
      </c>
    </row>
    <row r="17262" spans="1:3" s="8" customFormat="1" x14ac:dyDescent="0.2">
      <c r="A17262" s="6" t="str">
        <f>"AC016745.2"</f>
        <v>AC016745.2</v>
      </c>
      <c r="B17262" s="6">
        <v>0.95804195804195802</v>
      </c>
      <c r="C17262" s="6">
        <v>0.97574339937502397</v>
      </c>
    </row>
    <row r="17263" spans="1:3" s="8" customFormat="1" x14ac:dyDescent="0.2">
      <c r="A17263" s="6" t="str">
        <f>"AC003002.3"</f>
        <v>AC003002.3</v>
      </c>
      <c r="B17263" s="6">
        <v>0.95804195804195802</v>
      </c>
      <c r="C17263" s="6">
        <v>0.97574339937502397</v>
      </c>
    </row>
    <row r="17264" spans="1:3" s="8" customFormat="1" x14ac:dyDescent="0.2">
      <c r="A17264" s="6" t="str">
        <f>"AL691447.2"</f>
        <v>AL691447.2</v>
      </c>
      <c r="B17264" s="6">
        <v>0.95804195804195802</v>
      </c>
      <c r="C17264" s="6">
        <v>0.97574339937502397</v>
      </c>
    </row>
    <row r="17265" spans="1:3" s="8" customFormat="1" x14ac:dyDescent="0.2">
      <c r="A17265" s="6" t="str">
        <f>"MEF2A"</f>
        <v>MEF2A</v>
      </c>
      <c r="B17265" s="6">
        <v>0.95804195804195802</v>
      </c>
      <c r="C17265" s="6">
        <v>0.97574339937502397</v>
      </c>
    </row>
    <row r="17266" spans="1:3" s="8" customFormat="1" x14ac:dyDescent="0.2">
      <c r="A17266" s="6" t="str">
        <f>"APEX1"</f>
        <v>APEX1</v>
      </c>
      <c r="B17266" s="6">
        <v>0.95804195804195802</v>
      </c>
      <c r="C17266" s="6">
        <v>0.97574339937502397</v>
      </c>
    </row>
    <row r="17267" spans="1:3" s="8" customFormat="1" x14ac:dyDescent="0.2">
      <c r="A17267" s="6" t="str">
        <f>"LRRTM2"</f>
        <v>LRRTM2</v>
      </c>
      <c r="B17267" s="6">
        <v>0.95904095904095898</v>
      </c>
      <c r="C17267" s="6">
        <v>0.976195439871272</v>
      </c>
    </row>
    <row r="17268" spans="1:3" s="8" customFormat="1" x14ac:dyDescent="0.2">
      <c r="A17268" s="6" t="str">
        <f>"AC025754.2"</f>
        <v>AC025754.2</v>
      </c>
      <c r="B17268" s="6">
        <v>0.95899999999999996</v>
      </c>
      <c r="C17268" s="6">
        <v>0.976195439871272</v>
      </c>
    </row>
    <row r="17269" spans="1:3" s="8" customFormat="1" x14ac:dyDescent="0.2">
      <c r="A17269" s="6" t="str">
        <f>"AC008758.1"</f>
        <v>AC008758.1</v>
      </c>
      <c r="B17269" s="6">
        <v>0.958958958958959</v>
      </c>
      <c r="C17269" s="6">
        <v>0.976195439871272</v>
      </c>
    </row>
    <row r="17270" spans="1:3" s="8" customFormat="1" x14ac:dyDescent="0.2">
      <c r="A17270" s="6" t="str">
        <f>"AC105339.2"</f>
        <v>AC105339.2</v>
      </c>
      <c r="B17270" s="6">
        <v>0.95879396984924603</v>
      </c>
      <c r="C17270" s="6">
        <v>0.976195439871272</v>
      </c>
    </row>
    <row r="17271" spans="1:3" s="8" customFormat="1" x14ac:dyDescent="0.2">
      <c r="A17271" s="6" t="str">
        <f>"RIC1"</f>
        <v>RIC1</v>
      </c>
      <c r="B17271" s="6">
        <v>0.95904095904095898</v>
      </c>
      <c r="C17271" s="6">
        <v>0.976195439871272</v>
      </c>
    </row>
    <row r="17272" spans="1:3" s="8" customFormat="1" x14ac:dyDescent="0.2">
      <c r="A17272" s="6" t="str">
        <f>"SPRTN"</f>
        <v>SPRTN</v>
      </c>
      <c r="B17272" s="6">
        <v>0.95904095904095898</v>
      </c>
      <c r="C17272" s="6">
        <v>0.976195439871272</v>
      </c>
    </row>
    <row r="17273" spans="1:3" s="8" customFormat="1" x14ac:dyDescent="0.2">
      <c r="A17273" s="6" t="str">
        <f>"AL109976.1"</f>
        <v>AL109976.1</v>
      </c>
      <c r="B17273" s="6">
        <v>0.95904095904095898</v>
      </c>
      <c r="C17273" s="6">
        <v>0.976195439871272</v>
      </c>
    </row>
    <row r="17274" spans="1:3" s="8" customFormat="1" x14ac:dyDescent="0.2">
      <c r="A17274" s="6" t="str">
        <f>"PTDSS2"</f>
        <v>PTDSS2</v>
      </c>
      <c r="B17274" s="6">
        <v>0.95904095904095898</v>
      </c>
      <c r="C17274" s="6">
        <v>0.976195439871272</v>
      </c>
    </row>
    <row r="17275" spans="1:3" s="8" customFormat="1" x14ac:dyDescent="0.2">
      <c r="A17275" s="6" t="str">
        <f>"PLOD1"</f>
        <v>PLOD1</v>
      </c>
      <c r="B17275" s="6">
        <v>0.95904095904095898</v>
      </c>
      <c r="C17275" s="6">
        <v>0.976195439871272</v>
      </c>
    </row>
    <row r="17276" spans="1:3" s="8" customFormat="1" x14ac:dyDescent="0.2">
      <c r="A17276" s="6" t="str">
        <f>"PSENEN"</f>
        <v>PSENEN</v>
      </c>
      <c r="B17276" s="6">
        <v>0.95904095904095898</v>
      </c>
      <c r="C17276" s="6">
        <v>0.976195439871272</v>
      </c>
    </row>
    <row r="17277" spans="1:3" s="8" customFormat="1" x14ac:dyDescent="0.2">
      <c r="A17277" s="6" t="str">
        <f>"SLC14A2"</f>
        <v>SLC14A2</v>
      </c>
      <c r="B17277" s="6">
        <v>0.95924764890282099</v>
      </c>
      <c r="C17277" s="6">
        <v>0.97634930876980797</v>
      </c>
    </row>
    <row r="17278" spans="1:3" s="8" customFormat="1" x14ac:dyDescent="0.2">
      <c r="A17278" s="6" t="str">
        <f>"TMEM246-AS1"</f>
        <v>TMEM246-AS1</v>
      </c>
      <c r="B17278" s="6">
        <v>0.96003996003995995</v>
      </c>
      <c r="C17278" s="6">
        <v>0.97659045802051603</v>
      </c>
    </row>
    <row r="17279" spans="1:3" s="8" customFormat="1" x14ac:dyDescent="0.2">
      <c r="A17279" s="6" t="str">
        <f>"LINC01356"</f>
        <v>LINC01356</v>
      </c>
      <c r="B17279" s="6">
        <v>0.96003996003995995</v>
      </c>
      <c r="C17279" s="6">
        <v>0.97659045802051603</v>
      </c>
    </row>
    <row r="17280" spans="1:3" s="8" customFormat="1" x14ac:dyDescent="0.2">
      <c r="A17280" s="6" t="str">
        <f>"AVPR2"</f>
        <v>AVPR2</v>
      </c>
      <c r="B17280" s="6">
        <v>0.96003996003995995</v>
      </c>
      <c r="C17280" s="6">
        <v>0.97659045802051603</v>
      </c>
    </row>
    <row r="17281" spans="1:3" s="8" customFormat="1" x14ac:dyDescent="0.2">
      <c r="A17281" s="6" t="str">
        <f>"PDGFB"</f>
        <v>PDGFB</v>
      </c>
      <c r="B17281" s="6">
        <v>0.96003996003995995</v>
      </c>
      <c r="C17281" s="6">
        <v>0.97659045802051603</v>
      </c>
    </row>
    <row r="17282" spans="1:3" s="8" customFormat="1" x14ac:dyDescent="0.2">
      <c r="A17282" s="6" t="str">
        <f>"ZNF783"</f>
        <v>ZNF783</v>
      </c>
      <c r="B17282" s="6">
        <v>0.96003996003995995</v>
      </c>
      <c r="C17282" s="6">
        <v>0.97659045802051603</v>
      </c>
    </row>
    <row r="17283" spans="1:3" s="8" customFormat="1" x14ac:dyDescent="0.2">
      <c r="A17283" s="6" t="str">
        <f>"RFNG"</f>
        <v>RFNG</v>
      </c>
      <c r="B17283" s="6">
        <v>0.96003996003995995</v>
      </c>
      <c r="C17283" s="6">
        <v>0.97659045802051603</v>
      </c>
    </row>
    <row r="17284" spans="1:3" s="8" customFormat="1" x14ac:dyDescent="0.2">
      <c r="A17284" s="6" t="str">
        <f>"PARP3"</f>
        <v>PARP3</v>
      </c>
      <c r="B17284" s="6">
        <v>0.96003996003995995</v>
      </c>
      <c r="C17284" s="6">
        <v>0.97659045802051603</v>
      </c>
    </row>
    <row r="17285" spans="1:3" s="8" customFormat="1" x14ac:dyDescent="0.2">
      <c r="A17285" s="6" t="str">
        <f>"TNPO3"</f>
        <v>TNPO3</v>
      </c>
      <c r="B17285" s="6">
        <v>0.96003996003995995</v>
      </c>
      <c r="C17285" s="6">
        <v>0.97659045802051603</v>
      </c>
    </row>
    <row r="17286" spans="1:3" s="8" customFormat="1" x14ac:dyDescent="0.2">
      <c r="A17286" s="6" t="str">
        <f>"SKI"</f>
        <v>SKI</v>
      </c>
      <c r="B17286" s="6">
        <v>0.96003996003995995</v>
      </c>
      <c r="C17286" s="6">
        <v>0.97659045802051603</v>
      </c>
    </row>
    <row r="17287" spans="1:3" s="8" customFormat="1" x14ac:dyDescent="0.2">
      <c r="A17287" s="6" t="str">
        <f>"PSMD7"</f>
        <v>PSMD7</v>
      </c>
      <c r="B17287" s="6">
        <v>0.96003996003995995</v>
      </c>
      <c r="C17287" s="6">
        <v>0.97659045802051603</v>
      </c>
    </row>
    <row r="17288" spans="1:3" s="8" customFormat="1" x14ac:dyDescent="0.2">
      <c r="A17288" s="6" t="str">
        <f>"LINC02827"</f>
        <v>LINC02827</v>
      </c>
      <c r="B17288" s="6">
        <v>0.96103896103896103</v>
      </c>
      <c r="C17288" s="6">
        <v>0.97709795264001598</v>
      </c>
    </row>
    <row r="17289" spans="1:3" s="8" customFormat="1" x14ac:dyDescent="0.2">
      <c r="A17289" s="6" t="str">
        <f>"LINC01869"</f>
        <v>LINC01869</v>
      </c>
      <c r="B17289" s="6">
        <v>0.96103896103896103</v>
      </c>
      <c r="C17289" s="6">
        <v>0.97709795264001598</v>
      </c>
    </row>
    <row r="17290" spans="1:3" s="8" customFormat="1" x14ac:dyDescent="0.2">
      <c r="A17290" s="6" t="str">
        <f>"PTGER1"</f>
        <v>PTGER1</v>
      </c>
      <c r="B17290" s="6">
        <v>0.96103896103896103</v>
      </c>
      <c r="C17290" s="6">
        <v>0.97709795264001598</v>
      </c>
    </row>
    <row r="17291" spans="1:3" s="8" customFormat="1" x14ac:dyDescent="0.2">
      <c r="A17291" s="6" t="str">
        <f>"AL390726.4"</f>
        <v>AL390726.4</v>
      </c>
      <c r="B17291" s="6">
        <v>0.96103896103896103</v>
      </c>
      <c r="C17291" s="6">
        <v>0.97709795264001598</v>
      </c>
    </row>
    <row r="17292" spans="1:3" s="8" customFormat="1" x14ac:dyDescent="0.2">
      <c r="A17292" s="6" t="str">
        <f>"ATP6V0E2-AS1"</f>
        <v>ATP6V0E2-AS1</v>
      </c>
      <c r="B17292" s="6">
        <v>0.96103896103896103</v>
      </c>
      <c r="C17292" s="6">
        <v>0.97709795264001598</v>
      </c>
    </row>
    <row r="17293" spans="1:3" s="8" customFormat="1" x14ac:dyDescent="0.2">
      <c r="A17293" s="6" t="str">
        <f>"TRIM45"</f>
        <v>TRIM45</v>
      </c>
      <c r="B17293" s="6">
        <v>0.96103896103896103</v>
      </c>
      <c r="C17293" s="6">
        <v>0.97709795264001598</v>
      </c>
    </row>
    <row r="17294" spans="1:3" s="8" customFormat="1" x14ac:dyDescent="0.2">
      <c r="A17294" s="6" t="str">
        <f>"ICOSLG"</f>
        <v>ICOSLG</v>
      </c>
      <c r="B17294" s="6">
        <v>0.96103896103896103</v>
      </c>
      <c r="C17294" s="6">
        <v>0.97709795264001598</v>
      </c>
    </row>
    <row r="17295" spans="1:3" s="8" customFormat="1" x14ac:dyDescent="0.2">
      <c r="A17295" s="6" t="str">
        <f>"ZNF767P"</f>
        <v>ZNF767P</v>
      </c>
      <c r="B17295" s="6">
        <v>0.96103896103896103</v>
      </c>
      <c r="C17295" s="6">
        <v>0.97709795264001598</v>
      </c>
    </row>
    <row r="17296" spans="1:3" s="8" customFormat="1" x14ac:dyDescent="0.2">
      <c r="A17296" s="6" t="str">
        <f>"ZFYVE16"</f>
        <v>ZFYVE16</v>
      </c>
      <c r="B17296" s="6">
        <v>0.96103896103896103</v>
      </c>
      <c r="C17296" s="6">
        <v>0.97709795264001598</v>
      </c>
    </row>
    <row r="17297" spans="1:3" s="8" customFormat="1" x14ac:dyDescent="0.2">
      <c r="A17297" s="6" t="str">
        <f>"AC140479.2"</f>
        <v>AC140479.2</v>
      </c>
      <c r="B17297" s="6">
        <v>0.96203796203796199</v>
      </c>
      <c r="C17297" s="6">
        <v>0.97777443641844497</v>
      </c>
    </row>
    <row r="17298" spans="1:3" s="8" customFormat="1" x14ac:dyDescent="0.2">
      <c r="A17298" s="6" t="str">
        <f>"CNGB1"</f>
        <v>CNGB1</v>
      </c>
      <c r="B17298" s="6">
        <v>0.96203796203796199</v>
      </c>
      <c r="C17298" s="6">
        <v>0.97777443641844497</v>
      </c>
    </row>
    <row r="17299" spans="1:3" s="8" customFormat="1" x14ac:dyDescent="0.2">
      <c r="A17299" s="6" t="str">
        <f>"AP001042.1"</f>
        <v>AP001042.1</v>
      </c>
      <c r="B17299" s="6">
        <v>0.96199999999999997</v>
      </c>
      <c r="C17299" s="6">
        <v>0.97777443641844497</v>
      </c>
    </row>
    <row r="17300" spans="1:3" s="8" customFormat="1" x14ac:dyDescent="0.2">
      <c r="A17300" s="6" t="str">
        <f>"NAV3"</f>
        <v>NAV3</v>
      </c>
      <c r="B17300" s="6">
        <v>0.96203796203796199</v>
      </c>
      <c r="C17300" s="6">
        <v>0.97777443641844497</v>
      </c>
    </row>
    <row r="17301" spans="1:3" s="8" customFormat="1" x14ac:dyDescent="0.2">
      <c r="A17301" s="6" t="str">
        <f>"HS6ST2"</f>
        <v>HS6ST2</v>
      </c>
      <c r="B17301" s="6">
        <v>0.96203796203796199</v>
      </c>
      <c r="C17301" s="6">
        <v>0.97777443641844497</v>
      </c>
    </row>
    <row r="17302" spans="1:3" s="8" customFormat="1" x14ac:dyDescent="0.2">
      <c r="A17302" s="6" t="str">
        <f>"NPIPP1"</f>
        <v>NPIPP1</v>
      </c>
      <c r="B17302" s="6">
        <v>0.96203796203796199</v>
      </c>
      <c r="C17302" s="6">
        <v>0.97777443641844497</v>
      </c>
    </row>
    <row r="17303" spans="1:3" s="8" customFormat="1" x14ac:dyDescent="0.2">
      <c r="A17303" s="6" t="str">
        <f>"LINC02833"</f>
        <v>LINC02833</v>
      </c>
      <c r="B17303" s="6">
        <v>0.96303696303696296</v>
      </c>
      <c r="C17303" s="6">
        <v>0.978337394305965</v>
      </c>
    </row>
    <row r="17304" spans="1:3" s="8" customFormat="1" x14ac:dyDescent="0.2">
      <c r="A17304" s="6" t="str">
        <f>"OR7E154P"</f>
        <v>OR7E154P</v>
      </c>
      <c r="B17304" s="6">
        <v>0.96303696303696296</v>
      </c>
      <c r="C17304" s="6">
        <v>0.978337394305965</v>
      </c>
    </row>
    <row r="17305" spans="1:3" s="8" customFormat="1" x14ac:dyDescent="0.2">
      <c r="A17305" s="6" t="str">
        <f>"AL162615.1"</f>
        <v>AL162615.1</v>
      </c>
      <c r="B17305" s="6">
        <v>0.96303696303696296</v>
      </c>
      <c r="C17305" s="6">
        <v>0.978337394305965</v>
      </c>
    </row>
    <row r="17306" spans="1:3" s="8" customFormat="1" x14ac:dyDescent="0.2">
      <c r="A17306" s="6" t="str">
        <f>"AGAP11"</f>
        <v>AGAP11</v>
      </c>
      <c r="B17306" s="6">
        <v>0.96303696303696296</v>
      </c>
      <c r="C17306" s="6">
        <v>0.978337394305965</v>
      </c>
    </row>
    <row r="17307" spans="1:3" s="8" customFormat="1" x14ac:dyDescent="0.2">
      <c r="A17307" s="6" t="str">
        <f>"DLGAP1"</f>
        <v>DLGAP1</v>
      </c>
      <c r="B17307" s="6">
        <v>0.96303696303696296</v>
      </c>
      <c r="C17307" s="6">
        <v>0.978337394305965</v>
      </c>
    </row>
    <row r="17308" spans="1:3" s="8" customFormat="1" x14ac:dyDescent="0.2">
      <c r="A17308" s="6" t="str">
        <f>"TFAP2C"</f>
        <v>TFAP2C</v>
      </c>
      <c r="B17308" s="6">
        <v>0.96303696303696296</v>
      </c>
      <c r="C17308" s="6">
        <v>0.978337394305965</v>
      </c>
    </row>
    <row r="17309" spans="1:3" s="8" customFormat="1" x14ac:dyDescent="0.2">
      <c r="A17309" s="6" t="str">
        <f>"RNF26"</f>
        <v>RNF26</v>
      </c>
      <c r="B17309" s="6">
        <v>0.96303696303696296</v>
      </c>
      <c r="C17309" s="6">
        <v>0.978337394305965</v>
      </c>
    </row>
    <row r="17310" spans="1:3" s="8" customFormat="1" x14ac:dyDescent="0.2">
      <c r="A17310" s="6" t="str">
        <f>"TM7SF2"</f>
        <v>TM7SF2</v>
      </c>
      <c r="B17310" s="6">
        <v>0.96303696303696296</v>
      </c>
      <c r="C17310" s="6">
        <v>0.978337394305965</v>
      </c>
    </row>
    <row r="17311" spans="1:3" s="8" customFormat="1" x14ac:dyDescent="0.2">
      <c r="A17311" s="6" t="str">
        <f>"AC002310.5"</f>
        <v>AC002310.5</v>
      </c>
      <c r="B17311" s="6">
        <v>0.96311475409836</v>
      </c>
      <c r="C17311" s="6">
        <v>0.978359898097375</v>
      </c>
    </row>
    <row r="17312" spans="1:3" s="8" customFormat="1" x14ac:dyDescent="0.2">
      <c r="A17312" s="6" t="str">
        <f>"AL158167.1"</f>
        <v>AL158167.1</v>
      </c>
      <c r="B17312" s="6">
        <v>0.96403596403596403</v>
      </c>
      <c r="C17312" s="6">
        <v>0.97878678859104895</v>
      </c>
    </row>
    <row r="17313" spans="1:3" s="8" customFormat="1" x14ac:dyDescent="0.2">
      <c r="A17313" s="6" t="str">
        <f>"AL050343.2"</f>
        <v>AL050343.2</v>
      </c>
      <c r="B17313" s="6">
        <v>0.96403596403596403</v>
      </c>
      <c r="C17313" s="6">
        <v>0.97878678859104895</v>
      </c>
    </row>
    <row r="17314" spans="1:3" s="8" customFormat="1" x14ac:dyDescent="0.2">
      <c r="A17314" s="6" t="str">
        <f>"ARMC12"</f>
        <v>ARMC12</v>
      </c>
      <c r="B17314" s="6">
        <v>0.96403596403596403</v>
      </c>
      <c r="C17314" s="6">
        <v>0.97878678859104895</v>
      </c>
    </row>
    <row r="17315" spans="1:3" s="8" customFormat="1" x14ac:dyDescent="0.2">
      <c r="A17315" s="6" t="str">
        <f>"LINC00578"</f>
        <v>LINC00578</v>
      </c>
      <c r="B17315" s="6">
        <v>0.96403596403596403</v>
      </c>
      <c r="C17315" s="6">
        <v>0.97878678859104895</v>
      </c>
    </row>
    <row r="17316" spans="1:3" s="8" customFormat="1" x14ac:dyDescent="0.2">
      <c r="A17316" s="6" t="str">
        <f>"IGSF5"</f>
        <v>IGSF5</v>
      </c>
      <c r="B17316" s="6">
        <v>0.96403596403596403</v>
      </c>
      <c r="C17316" s="6">
        <v>0.97878678859104895</v>
      </c>
    </row>
    <row r="17317" spans="1:3" s="8" customFormat="1" x14ac:dyDescent="0.2">
      <c r="A17317" s="6" t="str">
        <f>"MAST1"</f>
        <v>MAST1</v>
      </c>
      <c r="B17317" s="6">
        <v>0.96403596403596403</v>
      </c>
      <c r="C17317" s="6">
        <v>0.97878678859104895</v>
      </c>
    </row>
    <row r="17318" spans="1:3" s="8" customFormat="1" x14ac:dyDescent="0.2">
      <c r="A17318" s="6" t="str">
        <f>"AL512785.2"</f>
        <v>AL512785.2</v>
      </c>
      <c r="B17318" s="6">
        <v>0.96403596403596403</v>
      </c>
      <c r="C17318" s="6">
        <v>0.97878678859104895</v>
      </c>
    </row>
    <row r="17319" spans="1:3" s="8" customFormat="1" x14ac:dyDescent="0.2">
      <c r="A17319" s="6" t="str">
        <f>"LINC01551"</f>
        <v>LINC01551</v>
      </c>
      <c r="B17319" s="6">
        <v>0.96403596403596403</v>
      </c>
      <c r="C17319" s="6">
        <v>0.97878678859104895</v>
      </c>
    </row>
    <row r="17320" spans="1:3" s="8" customFormat="1" x14ac:dyDescent="0.2">
      <c r="A17320" s="6" t="str">
        <f>"DHX32"</f>
        <v>DHX32</v>
      </c>
      <c r="B17320" s="6">
        <v>0.96403596403596403</v>
      </c>
      <c r="C17320" s="6">
        <v>0.97878678859104895</v>
      </c>
    </row>
    <row r="17321" spans="1:3" s="8" customFormat="1" x14ac:dyDescent="0.2">
      <c r="A17321" s="6" t="str">
        <f>"AC007666.2"</f>
        <v>AC007666.2</v>
      </c>
      <c r="B17321" s="6">
        <v>0.96409714889123499</v>
      </c>
      <c r="C17321" s="6">
        <v>0.97879239411682895</v>
      </c>
    </row>
    <row r="17322" spans="1:3" s="8" customFormat="1" x14ac:dyDescent="0.2">
      <c r="A17322" s="6" t="str">
        <f>"CDK15"</f>
        <v>CDK15</v>
      </c>
      <c r="B17322" s="6">
        <v>0.965034965034965</v>
      </c>
      <c r="C17322" s="6">
        <v>0.97906616808070701</v>
      </c>
    </row>
    <row r="17323" spans="1:3" s="8" customFormat="1" x14ac:dyDescent="0.2">
      <c r="A17323" s="6" t="str">
        <f>"AP002748.5"</f>
        <v>AP002748.5</v>
      </c>
      <c r="B17323" s="6">
        <v>0.965034965034965</v>
      </c>
      <c r="C17323" s="6">
        <v>0.97906616808070701</v>
      </c>
    </row>
    <row r="17324" spans="1:3" s="8" customFormat="1" x14ac:dyDescent="0.2">
      <c r="A17324" s="6" t="str">
        <f>"GOLGA8Q"</f>
        <v>GOLGA8Q</v>
      </c>
      <c r="B17324" s="6">
        <v>0.965034965034965</v>
      </c>
      <c r="C17324" s="6">
        <v>0.97906616808070701</v>
      </c>
    </row>
    <row r="17325" spans="1:3" s="8" customFormat="1" x14ac:dyDescent="0.2">
      <c r="A17325" s="6" t="str">
        <f>"ROBO3"</f>
        <v>ROBO3</v>
      </c>
      <c r="B17325" s="6">
        <v>0.965034965034965</v>
      </c>
      <c r="C17325" s="6">
        <v>0.97906616808070701</v>
      </c>
    </row>
    <row r="17326" spans="1:3" s="8" customFormat="1" x14ac:dyDescent="0.2">
      <c r="A17326" s="6" t="str">
        <f>"C6orf163"</f>
        <v>C6orf163</v>
      </c>
      <c r="B17326" s="6">
        <v>0.965034965034965</v>
      </c>
      <c r="C17326" s="6">
        <v>0.97906616808070701</v>
      </c>
    </row>
    <row r="17327" spans="1:3" s="8" customFormat="1" x14ac:dyDescent="0.2">
      <c r="A17327" s="6" t="str">
        <f>"TEX21P"</f>
        <v>TEX21P</v>
      </c>
      <c r="B17327" s="6">
        <v>0.965034965034965</v>
      </c>
      <c r="C17327" s="6">
        <v>0.97906616808070701</v>
      </c>
    </row>
    <row r="17328" spans="1:3" s="8" customFormat="1" x14ac:dyDescent="0.2">
      <c r="A17328" s="6" t="str">
        <f>"FGF7P6"</f>
        <v>FGF7P6</v>
      </c>
      <c r="B17328" s="6">
        <v>0.965034965034965</v>
      </c>
      <c r="C17328" s="6">
        <v>0.97906616808070701</v>
      </c>
    </row>
    <row r="17329" spans="1:3" s="8" customFormat="1" x14ac:dyDescent="0.2">
      <c r="A17329" s="6" t="str">
        <f>"TM2D2"</f>
        <v>TM2D2</v>
      </c>
      <c r="B17329" s="6">
        <v>0.965034965034965</v>
      </c>
      <c r="C17329" s="6">
        <v>0.97906616808070701</v>
      </c>
    </row>
    <row r="17330" spans="1:3" s="8" customFormat="1" x14ac:dyDescent="0.2">
      <c r="A17330" s="6" t="str">
        <f>"SERPINH1"</f>
        <v>SERPINH1</v>
      </c>
      <c r="B17330" s="6">
        <v>0.965034965034965</v>
      </c>
      <c r="C17330" s="6">
        <v>0.97906616808070701</v>
      </c>
    </row>
    <row r="17331" spans="1:3" s="8" customFormat="1" x14ac:dyDescent="0.2">
      <c r="A17331" s="6" t="str">
        <f>"ERAL1"</f>
        <v>ERAL1</v>
      </c>
      <c r="B17331" s="6">
        <v>0.965034965034965</v>
      </c>
      <c r="C17331" s="6">
        <v>0.97906616808070701</v>
      </c>
    </row>
    <row r="17332" spans="1:3" s="8" customFormat="1" x14ac:dyDescent="0.2">
      <c r="A17332" s="6" t="str">
        <f>"KIAA1549"</f>
        <v>KIAA1549</v>
      </c>
      <c r="B17332" s="6">
        <v>0.965034965034965</v>
      </c>
      <c r="C17332" s="6">
        <v>0.97906616808070701</v>
      </c>
    </row>
    <row r="17333" spans="1:3" s="8" customFormat="1" x14ac:dyDescent="0.2">
      <c r="A17333" s="6" t="str">
        <f>"CPTP"</f>
        <v>CPTP</v>
      </c>
      <c r="B17333" s="6">
        <v>0.965034965034965</v>
      </c>
      <c r="C17333" s="6">
        <v>0.97906616808070701</v>
      </c>
    </row>
    <row r="17334" spans="1:3" s="8" customFormat="1" x14ac:dyDescent="0.2">
      <c r="A17334" s="6" t="str">
        <f>"AC073073.2"</f>
        <v>AC073073.2</v>
      </c>
      <c r="B17334" s="6">
        <v>0.96548223350253803</v>
      </c>
      <c r="C17334" s="6">
        <v>0.97946342779141604</v>
      </c>
    </row>
    <row r="17335" spans="1:3" s="8" customFormat="1" x14ac:dyDescent="0.2">
      <c r="A17335" s="6" t="str">
        <f>"LINC01750"</f>
        <v>LINC01750</v>
      </c>
      <c r="B17335" s="6">
        <v>0.96603396603396596</v>
      </c>
      <c r="C17335" s="6">
        <v>0.97958666430303898</v>
      </c>
    </row>
    <row r="17336" spans="1:3" s="8" customFormat="1" x14ac:dyDescent="0.2">
      <c r="A17336" s="6" t="str">
        <f>"SUMO2P21"</f>
        <v>SUMO2P21</v>
      </c>
      <c r="B17336" s="6">
        <v>0.96603396603396596</v>
      </c>
      <c r="C17336" s="6">
        <v>0.97958666430303898</v>
      </c>
    </row>
    <row r="17337" spans="1:3" s="8" customFormat="1" x14ac:dyDescent="0.2">
      <c r="A17337" s="6" t="str">
        <f>"FAM215A"</f>
        <v>FAM215A</v>
      </c>
      <c r="B17337" s="6">
        <v>0.96603396603396596</v>
      </c>
      <c r="C17337" s="6">
        <v>0.97958666430303898</v>
      </c>
    </row>
    <row r="17338" spans="1:3" s="8" customFormat="1" x14ac:dyDescent="0.2">
      <c r="A17338" s="6" t="str">
        <f>"AP005482.2"</f>
        <v>AP005482.2</v>
      </c>
      <c r="B17338" s="6">
        <v>0.96604938271604901</v>
      </c>
      <c r="C17338" s="6">
        <v>0.97958666430303898</v>
      </c>
    </row>
    <row r="17339" spans="1:3" s="8" customFormat="1" x14ac:dyDescent="0.2">
      <c r="A17339" s="6" t="str">
        <f>"SLFN12L"</f>
        <v>SLFN12L</v>
      </c>
      <c r="B17339" s="6">
        <v>0.96603396603396596</v>
      </c>
      <c r="C17339" s="6">
        <v>0.97958666430303898</v>
      </c>
    </row>
    <row r="17340" spans="1:3" s="8" customFormat="1" x14ac:dyDescent="0.2">
      <c r="A17340" s="6" t="str">
        <f>"KNCN"</f>
        <v>KNCN</v>
      </c>
      <c r="B17340" s="6">
        <v>0.96603396603396596</v>
      </c>
      <c r="C17340" s="6">
        <v>0.97958666430303898</v>
      </c>
    </row>
    <row r="17341" spans="1:3" s="8" customFormat="1" x14ac:dyDescent="0.2">
      <c r="A17341" s="6" t="str">
        <f>"KCTD21-AS1"</f>
        <v>KCTD21-AS1</v>
      </c>
      <c r="B17341" s="6">
        <v>0.96603396603396596</v>
      </c>
      <c r="C17341" s="6">
        <v>0.97958666430303898</v>
      </c>
    </row>
    <row r="17342" spans="1:3" s="8" customFormat="1" x14ac:dyDescent="0.2">
      <c r="A17342" s="6" t="str">
        <f>"YDJC"</f>
        <v>YDJC</v>
      </c>
      <c r="B17342" s="6">
        <v>0.96603396603396596</v>
      </c>
      <c r="C17342" s="6">
        <v>0.97958666430303898</v>
      </c>
    </row>
    <row r="17343" spans="1:3" s="8" customFormat="1" x14ac:dyDescent="0.2">
      <c r="A17343" s="6" t="str">
        <f>"TRIM63"</f>
        <v>TRIM63</v>
      </c>
      <c r="B17343" s="6">
        <v>0.96703296703296704</v>
      </c>
      <c r="C17343" s="6">
        <v>0.97996240734829898</v>
      </c>
    </row>
    <row r="17344" spans="1:3" s="8" customFormat="1" x14ac:dyDescent="0.2">
      <c r="A17344" s="6" t="str">
        <f>"AL645941.2"</f>
        <v>AL645941.2</v>
      </c>
      <c r="B17344" s="6">
        <v>0.96703296703296704</v>
      </c>
      <c r="C17344" s="6">
        <v>0.97996240734829898</v>
      </c>
    </row>
    <row r="17345" spans="1:3" s="8" customFormat="1" x14ac:dyDescent="0.2">
      <c r="A17345" s="6" t="str">
        <f>"AC112229.4"</f>
        <v>AC112229.4</v>
      </c>
      <c r="B17345" s="6">
        <v>0.96703296703296704</v>
      </c>
      <c r="C17345" s="6">
        <v>0.97996240734829898</v>
      </c>
    </row>
    <row r="17346" spans="1:3" s="8" customFormat="1" x14ac:dyDescent="0.2">
      <c r="A17346" s="6" t="str">
        <f>"AC073349.1"</f>
        <v>AC073349.1</v>
      </c>
      <c r="B17346" s="6">
        <v>0.96703296703296704</v>
      </c>
      <c r="C17346" s="6">
        <v>0.97996240734829898</v>
      </c>
    </row>
    <row r="17347" spans="1:3" s="8" customFormat="1" x14ac:dyDescent="0.2">
      <c r="A17347" s="6" t="str">
        <f>"FAM172BP"</f>
        <v>FAM172BP</v>
      </c>
      <c r="B17347" s="6">
        <v>0.96703296703296704</v>
      </c>
      <c r="C17347" s="6">
        <v>0.97996240734829898</v>
      </c>
    </row>
    <row r="17348" spans="1:3" s="8" customFormat="1" x14ac:dyDescent="0.2">
      <c r="A17348" s="6" t="str">
        <f>"TMOD4"</f>
        <v>TMOD4</v>
      </c>
      <c r="B17348" s="6">
        <v>0.96703296703296704</v>
      </c>
      <c r="C17348" s="6">
        <v>0.97996240734829898</v>
      </c>
    </row>
    <row r="17349" spans="1:3" s="8" customFormat="1" x14ac:dyDescent="0.2">
      <c r="A17349" s="6" t="str">
        <f>"AL033523.1"</f>
        <v>AL033523.1</v>
      </c>
      <c r="B17349" s="6">
        <v>0.96703296703296704</v>
      </c>
      <c r="C17349" s="6">
        <v>0.97996240734829898</v>
      </c>
    </row>
    <row r="17350" spans="1:3" s="8" customFormat="1" x14ac:dyDescent="0.2">
      <c r="A17350" s="6" t="str">
        <f>"AC005696.4"</f>
        <v>AC005696.4</v>
      </c>
      <c r="B17350" s="6">
        <v>0.96703296703296704</v>
      </c>
      <c r="C17350" s="6">
        <v>0.97996240734829898</v>
      </c>
    </row>
    <row r="17351" spans="1:3" s="8" customFormat="1" x14ac:dyDescent="0.2">
      <c r="A17351" s="6" t="str">
        <f>"ULBP3"</f>
        <v>ULBP3</v>
      </c>
      <c r="B17351" s="6">
        <v>0.96703296703296704</v>
      </c>
      <c r="C17351" s="6">
        <v>0.97996240734829898</v>
      </c>
    </row>
    <row r="17352" spans="1:3" s="8" customFormat="1" x14ac:dyDescent="0.2">
      <c r="A17352" s="6" t="str">
        <f>"AP1M1"</f>
        <v>AP1M1</v>
      </c>
      <c r="B17352" s="6">
        <v>0.96699999999999997</v>
      </c>
      <c r="C17352" s="6">
        <v>0.97996240734829898</v>
      </c>
    </row>
    <row r="17353" spans="1:3" s="8" customFormat="1" x14ac:dyDescent="0.2">
      <c r="A17353" s="6" t="str">
        <f>"GOLGA2"</f>
        <v>GOLGA2</v>
      </c>
      <c r="B17353" s="6">
        <v>0.96703296703296704</v>
      </c>
      <c r="C17353" s="6">
        <v>0.97996240734829898</v>
      </c>
    </row>
    <row r="17354" spans="1:3" s="8" customFormat="1" x14ac:dyDescent="0.2">
      <c r="A17354" s="6" t="str">
        <f>"SEC22B3P"</f>
        <v>SEC22B3P</v>
      </c>
      <c r="B17354" s="6">
        <v>0.96717948717948699</v>
      </c>
      <c r="C17354" s="6">
        <v>0.98005440572604696</v>
      </c>
    </row>
    <row r="17355" spans="1:3" s="8" customFormat="1" x14ac:dyDescent="0.2">
      <c r="A17355" s="6" t="str">
        <f>"AC083880.1"</f>
        <v>AC083880.1</v>
      </c>
      <c r="B17355" s="6">
        <v>0.96728016359918201</v>
      </c>
      <c r="C17355" s="6">
        <v>0.98009994218785301</v>
      </c>
    </row>
    <row r="17356" spans="1:3" s="8" customFormat="1" x14ac:dyDescent="0.2">
      <c r="A17356" s="6" t="str">
        <f>"AP006545.1"</f>
        <v>AP006545.1</v>
      </c>
      <c r="B17356" s="6">
        <v>0.96742671009771997</v>
      </c>
      <c r="C17356" s="6">
        <v>0.98019194873859405</v>
      </c>
    </row>
    <row r="17357" spans="1:3" s="8" customFormat="1" x14ac:dyDescent="0.2">
      <c r="A17357" s="6" t="str">
        <f>"ESPNP"</f>
        <v>ESPNP</v>
      </c>
      <c r="B17357" s="6">
        <v>0.968031968031968</v>
      </c>
      <c r="C17357" s="6">
        <v>0.98069217755799498</v>
      </c>
    </row>
    <row r="17358" spans="1:3" s="8" customFormat="1" x14ac:dyDescent="0.2">
      <c r="A17358" s="6" t="str">
        <f>"FTX"</f>
        <v>FTX</v>
      </c>
      <c r="B17358" s="6">
        <v>0.968031968031968</v>
      </c>
      <c r="C17358" s="6">
        <v>0.98069217755799498</v>
      </c>
    </row>
    <row r="17359" spans="1:3" s="8" customFormat="1" x14ac:dyDescent="0.2">
      <c r="A17359" s="6" t="str">
        <f>"LINC01579"</f>
        <v>LINC01579</v>
      </c>
      <c r="B17359" s="6">
        <v>0.96899999999999997</v>
      </c>
      <c r="C17359" s="6">
        <v>0.98113897388383398</v>
      </c>
    </row>
    <row r="17360" spans="1:3" s="8" customFormat="1" x14ac:dyDescent="0.2">
      <c r="A17360" s="6" t="str">
        <f>"AC105036.3"</f>
        <v>AC105036.3</v>
      </c>
      <c r="B17360" s="6">
        <v>0.96903096903096897</v>
      </c>
      <c r="C17360" s="6">
        <v>0.98113897388383398</v>
      </c>
    </row>
    <row r="17361" spans="1:3" s="8" customFormat="1" x14ac:dyDescent="0.2">
      <c r="A17361" s="6" t="str">
        <f>"AC017028.2"</f>
        <v>AC017028.2</v>
      </c>
      <c r="B17361" s="6">
        <v>0.96903096903096897</v>
      </c>
      <c r="C17361" s="6">
        <v>0.98113897388383398</v>
      </c>
    </row>
    <row r="17362" spans="1:3" s="8" customFormat="1" x14ac:dyDescent="0.2">
      <c r="A17362" s="6" t="str">
        <f>"AC016074.2"</f>
        <v>AC016074.2</v>
      </c>
      <c r="B17362" s="6">
        <v>0.96903096903096897</v>
      </c>
      <c r="C17362" s="6">
        <v>0.98113897388383398</v>
      </c>
    </row>
    <row r="17363" spans="1:3" s="8" customFormat="1" x14ac:dyDescent="0.2">
      <c r="A17363" s="6" t="str">
        <f>"AC096677.1"</f>
        <v>AC096677.1</v>
      </c>
      <c r="B17363" s="6">
        <v>0.96903096903096897</v>
      </c>
      <c r="C17363" s="6">
        <v>0.98113897388383398</v>
      </c>
    </row>
    <row r="17364" spans="1:3" s="8" customFormat="1" x14ac:dyDescent="0.2">
      <c r="A17364" s="6" t="str">
        <f>"SNRNP48"</f>
        <v>SNRNP48</v>
      </c>
      <c r="B17364" s="6">
        <v>0.96903096903096897</v>
      </c>
      <c r="C17364" s="6">
        <v>0.98113897388383398</v>
      </c>
    </row>
    <row r="17365" spans="1:3" s="8" customFormat="1" x14ac:dyDescent="0.2">
      <c r="A17365" s="6" t="str">
        <f>"HIVEP3"</f>
        <v>HIVEP3</v>
      </c>
      <c r="B17365" s="6">
        <v>0.96903096903096897</v>
      </c>
      <c r="C17365" s="6">
        <v>0.98113897388383398</v>
      </c>
    </row>
    <row r="17366" spans="1:3" s="8" customFormat="1" x14ac:dyDescent="0.2">
      <c r="A17366" s="6" t="str">
        <f>"MAP3K10"</f>
        <v>MAP3K10</v>
      </c>
      <c r="B17366" s="6">
        <v>0.96903096903096897</v>
      </c>
      <c r="C17366" s="6">
        <v>0.98113897388383398</v>
      </c>
    </row>
    <row r="17367" spans="1:3" s="8" customFormat="1" x14ac:dyDescent="0.2">
      <c r="A17367" s="6" t="str">
        <f>"AGO3"</f>
        <v>AGO3</v>
      </c>
      <c r="B17367" s="6">
        <v>0.96903096903096897</v>
      </c>
      <c r="C17367" s="6">
        <v>0.98113897388383398</v>
      </c>
    </row>
    <row r="17368" spans="1:3" s="8" customFormat="1" x14ac:dyDescent="0.2">
      <c r="A17368" s="6" t="str">
        <f>"POLR2H"</f>
        <v>POLR2H</v>
      </c>
      <c r="B17368" s="6">
        <v>0.96903096903096897</v>
      </c>
      <c r="C17368" s="6">
        <v>0.98113897388383398</v>
      </c>
    </row>
    <row r="17369" spans="1:3" s="8" customFormat="1" x14ac:dyDescent="0.2">
      <c r="A17369" s="6" t="str">
        <f>"LINC01933"</f>
        <v>LINC01933</v>
      </c>
      <c r="B17369" s="6">
        <v>0.97</v>
      </c>
      <c r="C17369" s="6">
        <v>0.98175474807223395</v>
      </c>
    </row>
    <row r="17370" spans="1:3" s="8" customFormat="1" x14ac:dyDescent="0.2">
      <c r="A17370" s="6" t="str">
        <f>"AC092755.2"</f>
        <v>AC092755.2</v>
      </c>
      <c r="B17370" s="6">
        <v>0.96996996996996998</v>
      </c>
      <c r="C17370" s="6">
        <v>0.98175474807223395</v>
      </c>
    </row>
    <row r="17371" spans="1:3" s="8" customFormat="1" x14ac:dyDescent="0.2">
      <c r="A17371" s="6" t="str">
        <f>"CPZ"</f>
        <v>CPZ</v>
      </c>
      <c r="B17371" s="6">
        <v>0.97002997002997005</v>
      </c>
      <c r="C17371" s="6">
        <v>0.98175474807223395</v>
      </c>
    </row>
    <row r="17372" spans="1:3" s="8" customFormat="1" x14ac:dyDescent="0.2">
      <c r="A17372" s="6" t="str">
        <f>"SLC25A18"</f>
        <v>SLC25A18</v>
      </c>
      <c r="B17372" s="6">
        <v>0.97002997002997005</v>
      </c>
      <c r="C17372" s="6">
        <v>0.98175474807223395</v>
      </c>
    </row>
    <row r="17373" spans="1:3" s="8" customFormat="1" x14ac:dyDescent="0.2">
      <c r="A17373" s="6" t="str">
        <f>"MSTO2P"</f>
        <v>MSTO2P</v>
      </c>
      <c r="B17373" s="6">
        <v>0.97002997002997005</v>
      </c>
      <c r="C17373" s="6">
        <v>0.98175474807223395</v>
      </c>
    </row>
    <row r="17374" spans="1:3" s="8" customFormat="1" x14ac:dyDescent="0.2">
      <c r="A17374" s="6" t="str">
        <f>"SPRED1"</f>
        <v>SPRED1</v>
      </c>
      <c r="B17374" s="6">
        <v>0.97002997002997005</v>
      </c>
      <c r="C17374" s="6">
        <v>0.98175474807223395</v>
      </c>
    </row>
    <row r="17375" spans="1:3" s="8" customFormat="1" x14ac:dyDescent="0.2">
      <c r="A17375" s="6" t="str">
        <f>"NHSL1"</f>
        <v>NHSL1</v>
      </c>
      <c r="B17375" s="6">
        <v>0.97002997002997005</v>
      </c>
      <c r="C17375" s="6">
        <v>0.98175474807223395</v>
      </c>
    </row>
    <row r="17376" spans="1:3" s="8" customFormat="1" x14ac:dyDescent="0.2">
      <c r="A17376" s="6" t="str">
        <f>"AL603962.1"</f>
        <v>AL603962.1</v>
      </c>
      <c r="B17376" s="6">
        <v>0.97091273821464397</v>
      </c>
      <c r="C17376" s="6">
        <v>0.982087508718131</v>
      </c>
    </row>
    <row r="17377" spans="1:3" s="8" customFormat="1" x14ac:dyDescent="0.2">
      <c r="A17377" s="6" t="str">
        <f>"AC117457.1"</f>
        <v>AC117457.1</v>
      </c>
      <c r="B17377" s="6">
        <v>0.97094188376753499</v>
      </c>
      <c r="C17377" s="6">
        <v>0.982087508718131</v>
      </c>
    </row>
    <row r="17378" spans="1:3" s="8" customFormat="1" x14ac:dyDescent="0.2">
      <c r="A17378" s="6" t="str">
        <f>"U52111.1"</f>
        <v>U52111.1</v>
      </c>
      <c r="B17378" s="6">
        <v>0.97102897102897101</v>
      </c>
      <c r="C17378" s="6">
        <v>0.982087508718131</v>
      </c>
    </row>
    <row r="17379" spans="1:3" s="8" customFormat="1" x14ac:dyDescent="0.2">
      <c r="A17379" s="6" t="str">
        <f>"AL356966.1"</f>
        <v>AL356966.1</v>
      </c>
      <c r="B17379" s="6">
        <v>0.97102897102897101</v>
      </c>
      <c r="C17379" s="6">
        <v>0.982087508718131</v>
      </c>
    </row>
    <row r="17380" spans="1:3" s="8" customFormat="1" x14ac:dyDescent="0.2">
      <c r="A17380" s="6" t="str">
        <f>"SPIN2A"</f>
        <v>SPIN2A</v>
      </c>
      <c r="B17380" s="6">
        <v>0.97099999999999997</v>
      </c>
      <c r="C17380" s="6">
        <v>0.982087508718131</v>
      </c>
    </row>
    <row r="17381" spans="1:3" s="8" customFormat="1" x14ac:dyDescent="0.2">
      <c r="A17381" s="6" t="str">
        <f>"AC109642.1"</f>
        <v>AC109642.1</v>
      </c>
      <c r="B17381" s="6">
        <v>0.97102897102897101</v>
      </c>
      <c r="C17381" s="6">
        <v>0.982087508718131</v>
      </c>
    </row>
    <row r="17382" spans="1:3" s="8" customFormat="1" x14ac:dyDescent="0.2">
      <c r="A17382" s="6" t="str">
        <f>"AC092490.1"</f>
        <v>AC092490.1</v>
      </c>
      <c r="B17382" s="6">
        <v>0.97102897102897101</v>
      </c>
      <c r="C17382" s="6">
        <v>0.982087508718131</v>
      </c>
    </row>
    <row r="17383" spans="1:3" s="8" customFormat="1" x14ac:dyDescent="0.2">
      <c r="A17383" s="6" t="str">
        <f>"ZNF22-AS1"</f>
        <v>ZNF22-AS1</v>
      </c>
      <c r="B17383" s="6">
        <v>0.97102897102897101</v>
      </c>
      <c r="C17383" s="6">
        <v>0.982087508718131</v>
      </c>
    </row>
    <row r="17384" spans="1:3" s="8" customFormat="1" x14ac:dyDescent="0.2">
      <c r="A17384" s="6" t="str">
        <f>"LINC00639"</f>
        <v>LINC00639</v>
      </c>
      <c r="B17384" s="6">
        <v>0.97102897102897101</v>
      </c>
      <c r="C17384" s="6">
        <v>0.982087508718131</v>
      </c>
    </row>
    <row r="17385" spans="1:3" s="8" customFormat="1" x14ac:dyDescent="0.2">
      <c r="A17385" s="6" t="str">
        <f>"TBCE"</f>
        <v>TBCE</v>
      </c>
      <c r="B17385" s="6">
        <v>0.97102897102897101</v>
      </c>
      <c r="C17385" s="6">
        <v>0.982087508718131</v>
      </c>
    </row>
    <row r="17386" spans="1:3" s="8" customFormat="1" x14ac:dyDescent="0.2">
      <c r="A17386" s="6" t="str">
        <f>"RPL21P16"</f>
        <v>RPL21P16</v>
      </c>
      <c r="B17386" s="6">
        <v>0.97102897102897101</v>
      </c>
      <c r="C17386" s="6">
        <v>0.982087508718131</v>
      </c>
    </row>
    <row r="17387" spans="1:3" s="8" customFormat="1" x14ac:dyDescent="0.2">
      <c r="A17387" s="6" t="str">
        <f>"HSPA1A"</f>
        <v>HSPA1A</v>
      </c>
      <c r="B17387" s="6">
        <v>0.97102897102897101</v>
      </c>
      <c r="C17387" s="6">
        <v>0.982087508718131</v>
      </c>
    </row>
    <row r="17388" spans="1:3" s="8" customFormat="1" x14ac:dyDescent="0.2">
      <c r="A17388" s="6" t="str">
        <f>"AC018638.6"</f>
        <v>AC018638.6</v>
      </c>
      <c r="B17388" s="6">
        <v>0.97202797202797198</v>
      </c>
      <c r="C17388" s="6">
        <v>0.98270222849076405</v>
      </c>
    </row>
    <row r="17389" spans="1:3" s="8" customFormat="1" x14ac:dyDescent="0.2">
      <c r="A17389" s="6" t="str">
        <f>"RPL23P2"</f>
        <v>RPL23P2</v>
      </c>
      <c r="B17389" s="6">
        <v>0.97202797202797198</v>
      </c>
      <c r="C17389" s="6">
        <v>0.98270222849076405</v>
      </c>
    </row>
    <row r="17390" spans="1:3" s="8" customFormat="1" x14ac:dyDescent="0.2">
      <c r="A17390" s="6" t="str">
        <f>"AC008875.3"</f>
        <v>AC008875.3</v>
      </c>
      <c r="B17390" s="6">
        <v>0.97202797202797198</v>
      </c>
      <c r="C17390" s="6">
        <v>0.98270222849076405</v>
      </c>
    </row>
    <row r="17391" spans="1:3" s="8" customFormat="1" x14ac:dyDescent="0.2">
      <c r="A17391" s="6" t="str">
        <f>"CLP1"</f>
        <v>CLP1</v>
      </c>
      <c r="B17391" s="6">
        <v>0.97202797202797198</v>
      </c>
      <c r="C17391" s="6">
        <v>0.98270222849076405</v>
      </c>
    </row>
    <row r="17392" spans="1:3" s="8" customFormat="1" x14ac:dyDescent="0.2">
      <c r="A17392" s="6" t="str">
        <f>"ABHD6"</f>
        <v>ABHD6</v>
      </c>
      <c r="B17392" s="6">
        <v>0.97202797202797198</v>
      </c>
      <c r="C17392" s="6">
        <v>0.98270222849076405</v>
      </c>
    </row>
    <row r="17393" spans="1:3" s="8" customFormat="1" x14ac:dyDescent="0.2">
      <c r="A17393" s="6" t="str">
        <f>"APEH"</f>
        <v>APEH</v>
      </c>
      <c r="B17393" s="6">
        <v>0.97202797202797198</v>
      </c>
      <c r="C17393" s="6">
        <v>0.98270222849076405</v>
      </c>
    </row>
    <row r="17394" spans="1:3" s="8" customFormat="1" x14ac:dyDescent="0.2">
      <c r="A17394" s="6" t="str">
        <f>"PUF60"</f>
        <v>PUF60</v>
      </c>
      <c r="B17394" s="6">
        <v>0.97202797202797198</v>
      </c>
      <c r="C17394" s="6">
        <v>0.98270222849076405</v>
      </c>
    </row>
    <row r="17395" spans="1:3" s="8" customFormat="1" x14ac:dyDescent="0.2">
      <c r="A17395" s="6" t="str">
        <f>"CCDC169-SOHLH2"</f>
        <v>CCDC169-SOHLH2</v>
      </c>
      <c r="B17395" s="6">
        <v>0.97302697302697305</v>
      </c>
      <c r="C17395" s="6">
        <v>0.98325994446906995</v>
      </c>
    </row>
    <row r="17396" spans="1:3" s="8" customFormat="1" x14ac:dyDescent="0.2">
      <c r="A17396" s="6" t="str">
        <f>"LINC00869"</f>
        <v>LINC00869</v>
      </c>
      <c r="B17396" s="6">
        <v>0.97302697302697305</v>
      </c>
      <c r="C17396" s="6">
        <v>0.98325994446906995</v>
      </c>
    </row>
    <row r="17397" spans="1:3" s="8" customFormat="1" x14ac:dyDescent="0.2">
      <c r="A17397" s="6" t="str">
        <f>"DTYMK"</f>
        <v>DTYMK</v>
      </c>
      <c r="B17397" s="6">
        <v>0.97302697302697305</v>
      </c>
      <c r="C17397" s="6">
        <v>0.98325994446906995</v>
      </c>
    </row>
    <row r="17398" spans="1:3" s="8" customFormat="1" x14ac:dyDescent="0.2">
      <c r="A17398" s="6" t="str">
        <f>"SLFN11"</f>
        <v>SLFN11</v>
      </c>
      <c r="B17398" s="6">
        <v>0.97302697302697305</v>
      </c>
      <c r="C17398" s="6">
        <v>0.98325994446906995</v>
      </c>
    </row>
    <row r="17399" spans="1:3" s="8" customFormat="1" x14ac:dyDescent="0.2">
      <c r="A17399" s="6" t="str">
        <f>"TCHP"</f>
        <v>TCHP</v>
      </c>
      <c r="B17399" s="6">
        <v>0.97302697302697305</v>
      </c>
      <c r="C17399" s="6">
        <v>0.98325994446906995</v>
      </c>
    </row>
    <row r="17400" spans="1:3" s="8" customFormat="1" x14ac:dyDescent="0.2">
      <c r="A17400" s="6" t="str">
        <f>"MUC20-OT1"</f>
        <v>MUC20-OT1</v>
      </c>
      <c r="B17400" s="6">
        <v>0.97302697302697305</v>
      </c>
      <c r="C17400" s="6">
        <v>0.98325994446906995</v>
      </c>
    </row>
    <row r="17401" spans="1:3" s="8" customFormat="1" x14ac:dyDescent="0.2">
      <c r="A17401" s="6" t="str">
        <f>"PSMD14"</f>
        <v>PSMD14</v>
      </c>
      <c r="B17401" s="6">
        <v>0.97302697302697305</v>
      </c>
      <c r="C17401" s="6">
        <v>0.98325994446906995</v>
      </c>
    </row>
    <row r="17402" spans="1:3" s="8" customFormat="1" x14ac:dyDescent="0.2">
      <c r="A17402" s="6" t="str">
        <f>"GOSR1"</f>
        <v>GOSR1</v>
      </c>
      <c r="B17402" s="6">
        <v>0.97302697302697305</v>
      </c>
      <c r="C17402" s="6">
        <v>0.98325994446906995</v>
      </c>
    </row>
    <row r="17403" spans="1:3" s="8" customFormat="1" x14ac:dyDescent="0.2">
      <c r="A17403" s="6" t="str">
        <f>"AC006197.2"</f>
        <v>AC006197.2</v>
      </c>
      <c r="B17403" s="6">
        <v>0.97354497354497305</v>
      </c>
      <c r="C17403" s="6">
        <v>0.98372685983305397</v>
      </c>
    </row>
    <row r="17404" spans="1:3" s="8" customFormat="1" x14ac:dyDescent="0.2">
      <c r="A17404" s="6" t="str">
        <f>"AC112172.2"</f>
        <v>AC112172.2</v>
      </c>
      <c r="B17404" s="6">
        <v>0.97397397397397401</v>
      </c>
      <c r="C17404" s="6">
        <v>0.98398671304565799</v>
      </c>
    </row>
    <row r="17405" spans="1:3" s="8" customFormat="1" x14ac:dyDescent="0.2">
      <c r="A17405" s="6" t="str">
        <f>"AL713866.1"</f>
        <v>AL713866.1</v>
      </c>
      <c r="B17405" s="6">
        <v>0.97386934673366798</v>
      </c>
      <c r="C17405" s="6">
        <v>0.98398671304565799</v>
      </c>
    </row>
    <row r="17406" spans="1:3" s="8" customFormat="1" x14ac:dyDescent="0.2">
      <c r="A17406" s="6" t="str">
        <f>"RPL26L1"</f>
        <v>RPL26L1</v>
      </c>
      <c r="B17406" s="6">
        <v>0.97402597402597402</v>
      </c>
      <c r="C17406" s="6">
        <v>0.98398671304565799</v>
      </c>
    </row>
    <row r="17407" spans="1:3" s="8" customFormat="1" x14ac:dyDescent="0.2">
      <c r="A17407" s="6" t="str">
        <f>"ATP2A3"</f>
        <v>ATP2A3</v>
      </c>
      <c r="B17407" s="6">
        <v>0.97402597402597402</v>
      </c>
      <c r="C17407" s="6">
        <v>0.98398671304565799</v>
      </c>
    </row>
    <row r="17408" spans="1:3" s="8" customFormat="1" x14ac:dyDescent="0.2">
      <c r="A17408" s="6" t="str">
        <f>"AC021134.1"</f>
        <v>AC021134.1</v>
      </c>
      <c r="B17408" s="6">
        <v>0.97494989979959901</v>
      </c>
      <c r="C17408" s="6">
        <v>0.98465651050075498</v>
      </c>
    </row>
    <row r="17409" spans="1:3" s="8" customFormat="1" x14ac:dyDescent="0.2">
      <c r="A17409" s="6" t="str">
        <f>"AC006059.4"</f>
        <v>AC006059.4</v>
      </c>
      <c r="B17409" s="6">
        <v>0.97494989979959901</v>
      </c>
      <c r="C17409" s="6">
        <v>0.98465651050075498</v>
      </c>
    </row>
    <row r="17410" spans="1:3" s="8" customFormat="1" x14ac:dyDescent="0.2">
      <c r="A17410" s="6" t="str">
        <f>"AC005034.3"</f>
        <v>AC005034.3</v>
      </c>
      <c r="B17410" s="6">
        <v>0.97502497502497498</v>
      </c>
      <c r="C17410" s="6">
        <v>0.98465651050075498</v>
      </c>
    </row>
    <row r="17411" spans="1:3" s="8" customFormat="1" x14ac:dyDescent="0.2">
      <c r="A17411" s="6" t="str">
        <f>"AL022328.2"</f>
        <v>AL022328.2</v>
      </c>
      <c r="B17411" s="6">
        <v>0.97499999999999998</v>
      </c>
      <c r="C17411" s="6">
        <v>0.98465651050075498</v>
      </c>
    </row>
    <row r="17412" spans="1:3" s="8" customFormat="1" x14ac:dyDescent="0.2">
      <c r="A17412" s="6" t="str">
        <f>"AC002467.1"</f>
        <v>AC002467.1</v>
      </c>
      <c r="B17412" s="6">
        <v>0.97502497502497498</v>
      </c>
      <c r="C17412" s="6">
        <v>0.98465651050075498</v>
      </c>
    </row>
    <row r="17413" spans="1:3" s="8" customFormat="1" x14ac:dyDescent="0.2">
      <c r="A17413" s="6" t="str">
        <f>"MAP3K4"</f>
        <v>MAP3K4</v>
      </c>
      <c r="B17413" s="6">
        <v>0.97502497502497498</v>
      </c>
      <c r="C17413" s="6">
        <v>0.98465651050075498</v>
      </c>
    </row>
    <row r="17414" spans="1:3" s="8" customFormat="1" x14ac:dyDescent="0.2">
      <c r="A17414" s="6" t="str">
        <f>"DMRT1"</f>
        <v>DMRT1</v>
      </c>
      <c r="B17414" s="6">
        <v>0.97602397602397595</v>
      </c>
      <c r="C17414" s="6">
        <v>0.98538241915402103</v>
      </c>
    </row>
    <row r="17415" spans="1:3" s="8" customFormat="1" x14ac:dyDescent="0.2">
      <c r="A17415" s="6" t="str">
        <f>"AP001273.1"</f>
        <v>AP001273.1</v>
      </c>
      <c r="B17415" s="6">
        <v>0.97602397602397595</v>
      </c>
      <c r="C17415" s="6">
        <v>0.98538241915402103</v>
      </c>
    </row>
    <row r="17416" spans="1:3" s="8" customFormat="1" x14ac:dyDescent="0.2">
      <c r="A17416" s="6" t="str">
        <f>"POLM"</f>
        <v>POLM</v>
      </c>
      <c r="B17416" s="6">
        <v>0.97602397602397595</v>
      </c>
      <c r="C17416" s="6">
        <v>0.98538241915402103</v>
      </c>
    </row>
    <row r="17417" spans="1:3" s="8" customFormat="1" x14ac:dyDescent="0.2">
      <c r="A17417" s="6" t="str">
        <f>"ZMYM2"</f>
        <v>ZMYM2</v>
      </c>
      <c r="B17417" s="6">
        <v>0.97602397602397595</v>
      </c>
      <c r="C17417" s="6">
        <v>0.98538241915402103</v>
      </c>
    </row>
    <row r="17418" spans="1:3" s="8" customFormat="1" x14ac:dyDescent="0.2">
      <c r="A17418" s="6" t="str">
        <f>"CCDC47"</f>
        <v>CCDC47</v>
      </c>
      <c r="B17418" s="6">
        <v>0.97602397602397595</v>
      </c>
      <c r="C17418" s="6">
        <v>0.98538241915402103</v>
      </c>
    </row>
    <row r="17419" spans="1:3" s="8" customFormat="1" x14ac:dyDescent="0.2">
      <c r="A17419" s="6" t="str">
        <f>"TCP10L2"</f>
        <v>TCP10L2</v>
      </c>
      <c r="B17419" s="6">
        <v>0.97683786505538694</v>
      </c>
      <c r="C17419" s="6">
        <v>0.98588155790038001</v>
      </c>
    </row>
    <row r="17420" spans="1:3" s="8" customFormat="1" x14ac:dyDescent="0.2">
      <c r="A17420" s="6" t="str">
        <f>"AC011468.1"</f>
        <v>AC011468.1</v>
      </c>
      <c r="B17420" s="6">
        <v>0.97697697697697605</v>
      </c>
      <c r="C17420" s="6">
        <v>0.98588155790038001</v>
      </c>
    </row>
    <row r="17421" spans="1:3" s="8" customFormat="1" x14ac:dyDescent="0.2">
      <c r="A17421" s="6" t="str">
        <f>"PTGDR"</f>
        <v>PTGDR</v>
      </c>
      <c r="B17421" s="6">
        <v>0.97702297702297702</v>
      </c>
      <c r="C17421" s="6">
        <v>0.98588155790038001</v>
      </c>
    </row>
    <row r="17422" spans="1:3" s="8" customFormat="1" x14ac:dyDescent="0.2">
      <c r="A17422" s="6" t="str">
        <f>"AL645939.5"</f>
        <v>AL645939.5</v>
      </c>
      <c r="B17422" s="6">
        <v>0.97702297702297702</v>
      </c>
      <c r="C17422" s="6">
        <v>0.98588155790038001</v>
      </c>
    </row>
    <row r="17423" spans="1:3" s="8" customFormat="1" x14ac:dyDescent="0.2">
      <c r="A17423" s="6" t="str">
        <f>"AC137695.3"</f>
        <v>AC137695.3</v>
      </c>
      <c r="B17423" s="6">
        <v>0.97702297702297702</v>
      </c>
      <c r="C17423" s="6">
        <v>0.98588155790038001</v>
      </c>
    </row>
    <row r="17424" spans="1:3" s="8" customFormat="1" x14ac:dyDescent="0.2">
      <c r="A17424" s="6" t="str">
        <f>"ISM1"</f>
        <v>ISM1</v>
      </c>
      <c r="B17424" s="6">
        <v>0.97702297702297702</v>
      </c>
      <c r="C17424" s="6">
        <v>0.98588155790038001</v>
      </c>
    </row>
    <row r="17425" spans="1:3" s="8" customFormat="1" x14ac:dyDescent="0.2">
      <c r="A17425" s="6" t="str">
        <f>"ARTN"</f>
        <v>ARTN</v>
      </c>
      <c r="B17425" s="6">
        <v>0.97702297702297702</v>
      </c>
      <c r="C17425" s="6">
        <v>0.98588155790038001</v>
      </c>
    </row>
    <row r="17426" spans="1:3" s="8" customFormat="1" x14ac:dyDescent="0.2">
      <c r="A17426" s="6" t="str">
        <f>"CATSPER2"</f>
        <v>CATSPER2</v>
      </c>
      <c r="B17426" s="6">
        <v>0.97702297702297702</v>
      </c>
      <c r="C17426" s="6">
        <v>0.98588155790038001</v>
      </c>
    </row>
    <row r="17427" spans="1:3" s="8" customFormat="1" x14ac:dyDescent="0.2">
      <c r="A17427" s="6" t="str">
        <f>"STIM1"</f>
        <v>STIM1</v>
      </c>
      <c r="B17427" s="6">
        <v>0.97702297702297702</v>
      </c>
      <c r="C17427" s="6">
        <v>0.98588155790038001</v>
      </c>
    </row>
    <row r="17428" spans="1:3" s="8" customFormat="1" x14ac:dyDescent="0.2">
      <c r="A17428" s="6" t="str">
        <f>"AL109933.5"</f>
        <v>AL109933.5</v>
      </c>
      <c r="B17428" s="6">
        <v>0.97799999999999998</v>
      </c>
      <c r="C17428" s="6">
        <v>0.98643675929439301</v>
      </c>
    </row>
    <row r="17429" spans="1:3" s="8" customFormat="1" x14ac:dyDescent="0.2">
      <c r="A17429" s="6" t="str">
        <f>"IGSF1"</f>
        <v>IGSF1</v>
      </c>
      <c r="B17429" s="6">
        <v>0.97802197802197799</v>
      </c>
      <c r="C17429" s="6">
        <v>0.98643675929439301</v>
      </c>
    </row>
    <row r="17430" spans="1:3" s="8" customFormat="1" x14ac:dyDescent="0.2">
      <c r="A17430" s="6" t="str">
        <f>"FAM241B"</f>
        <v>FAM241B</v>
      </c>
      <c r="B17430" s="6">
        <v>0.97799999999999998</v>
      </c>
      <c r="C17430" s="6">
        <v>0.98643675929439301</v>
      </c>
    </row>
    <row r="17431" spans="1:3" s="8" customFormat="1" x14ac:dyDescent="0.2">
      <c r="A17431" s="6" t="str">
        <f>"CD207"</f>
        <v>CD207</v>
      </c>
      <c r="B17431" s="6">
        <v>0.97802197802197799</v>
      </c>
      <c r="C17431" s="6">
        <v>0.98643675929439301</v>
      </c>
    </row>
    <row r="17432" spans="1:3" s="8" customFormat="1" x14ac:dyDescent="0.2">
      <c r="A17432" s="6" t="str">
        <f>"MTERF4"</f>
        <v>MTERF4</v>
      </c>
      <c r="B17432" s="6">
        <v>0.97802197802197799</v>
      </c>
      <c r="C17432" s="6">
        <v>0.98643675929439301</v>
      </c>
    </row>
    <row r="17433" spans="1:3" s="8" customFormat="1" x14ac:dyDescent="0.2">
      <c r="A17433" s="6" t="str">
        <f>"POLRMT"</f>
        <v>POLRMT</v>
      </c>
      <c r="B17433" s="6">
        <v>0.97802197802197799</v>
      </c>
      <c r="C17433" s="6">
        <v>0.98643675929439301</v>
      </c>
    </row>
    <row r="17434" spans="1:3" s="8" customFormat="1" x14ac:dyDescent="0.2">
      <c r="A17434" s="6" t="str">
        <f>"NCBP2"</f>
        <v>NCBP2</v>
      </c>
      <c r="B17434" s="6">
        <v>0.97802197802197799</v>
      </c>
      <c r="C17434" s="6">
        <v>0.98643675929439301</v>
      </c>
    </row>
    <row r="17435" spans="1:3" s="8" customFormat="1" x14ac:dyDescent="0.2">
      <c r="A17435" s="6" t="str">
        <f>"JAG1"</f>
        <v>JAG1</v>
      </c>
      <c r="B17435" s="6">
        <v>0.97802197802197799</v>
      </c>
      <c r="C17435" s="6">
        <v>0.98643675929439301</v>
      </c>
    </row>
    <row r="17436" spans="1:3" s="8" customFormat="1" x14ac:dyDescent="0.2">
      <c r="A17436" s="6" t="str">
        <f>"LRRC75B"</f>
        <v>LRRC75B</v>
      </c>
      <c r="B17436" s="6">
        <v>0.97902097902097895</v>
      </c>
      <c r="C17436" s="6">
        <v>0.98721785153715402</v>
      </c>
    </row>
    <row r="17437" spans="1:3" s="8" customFormat="1" x14ac:dyDescent="0.2">
      <c r="A17437" s="6" t="str">
        <f>"FDX2"</f>
        <v>FDX2</v>
      </c>
      <c r="B17437" s="6">
        <v>0.97902097902097895</v>
      </c>
      <c r="C17437" s="6">
        <v>0.98721785153715402</v>
      </c>
    </row>
    <row r="17438" spans="1:3" s="8" customFormat="1" x14ac:dyDescent="0.2">
      <c r="A17438" s="6" t="str">
        <f>"SPATS2"</f>
        <v>SPATS2</v>
      </c>
      <c r="B17438" s="6">
        <v>0.97902097902097895</v>
      </c>
      <c r="C17438" s="6">
        <v>0.98721785153715402</v>
      </c>
    </row>
    <row r="17439" spans="1:3" s="8" customFormat="1" x14ac:dyDescent="0.2">
      <c r="A17439" s="6" t="str">
        <f>"SMN1"</f>
        <v>SMN1</v>
      </c>
      <c r="B17439" s="6">
        <v>0.97902097902097895</v>
      </c>
      <c r="C17439" s="6">
        <v>0.98721785153715402</v>
      </c>
    </row>
    <row r="17440" spans="1:3" s="8" customFormat="1" x14ac:dyDescent="0.2">
      <c r="A17440" s="6" t="str">
        <f>"ACTRT3"</f>
        <v>ACTRT3</v>
      </c>
      <c r="B17440" s="6">
        <v>0.97916666666666596</v>
      </c>
      <c r="C17440" s="6">
        <v>0.987308140757306</v>
      </c>
    </row>
    <row r="17441" spans="1:3" s="8" customFormat="1" x14ac:dyDescent="0.2">
      <c r="A17441" s="6" t="str">
        <f>"CKS1BP3"</f>
        <v>CKS1BP3</v>
      </c>
      <c r="B17441" s="6">
        <v>0.97991967871485897</v>
      </c>
      <c r="C17441" s="6">
        <v>0.98754563488087799</v>
      </c>
    </row>
    <row r="17442" spans="1:3" s="8" customFormat="1" x14ac:dyDescent="0.2">
      <c r="A17442" s="6" t="str">
        <f>"ADAMTSL1"</f>
        <v>ADAMTSL1</v>
      </c>
      <c r="B17442" s="6">
        <v>0.98001998001998003</v>
      </c>
      <c r="C17442" s="6">
        <v>0.98754563488087799</v>
      </c>
    </row>
    <row r="17443" spans="1:3" s="8" customFormat="1" x14ac:dyDescent="0.2">
      <c r="A17443" s="6" t="str">
        <f>"AL583810.1"</f>
        <v>AL583810.1</v>
      </c>
      <c r="B17443" s="6">
        <v>0.98</v>
      </c>
      <c r="C17443" s="6">
        <v>0.98754563488087799</v>
      </c>
    </row>
    <row r="17444" spans="1:3" s="8" customFormat="1" x14ac:dyDescent="0.2">
      <c r="A17444" s="6" t="str">
        <f>"ZNF969P"</f>
        <v>ZNF969P</v>
      </c>
      <c r="B17444" s="6">
        <v>0.97987927565392297</v>
      </c>
      <c r="C17444" s="6">
        <v>0.98754563488087799</v>
      </c>
    </row>
    <row r="17445" spans="1:3" s="8" customFormat="1" x14ac:dyDescent="0.2">
      <c r="A17445" s="6" t="str">
        <f>"TMEM256-PLSCR3"</f>
        <v>TMEM256-PLSCR3</v>
      </c>
      <c r="B17445" s="6">
        <v>0.98001998001998003</v>
      </c>
      <c r="C17445" s="6">
        <v>0.98754563488087799</v>
      </c>
    </row>
    <row r="17446" spans="1:3" s="8" customFormat="1" x14ac:dyDescent="0.2">
      <c r="A17446" s="6" t="str">
        <f>"AC138356.1"</f>
        <v>AC138356.1</v>
      </c>
      <c r="B17446" s="6">
        <v>0.98</v>
      </c>
      <c r="C17446" s="6">
        <v>0.98754563488087799</v>
      </c>
    </row>
    <row r="17447" spans="1:3" s="8" customFormat="1" x14ac:dyDescent="0.2">
      <c r="A17447" s="6" t="str">
        <f>"AP003108.3"</f>
        <v>AP003108.3</v>
      </c>
      <c r="B17447" s="6">
        <v>0.98001998001998003</v>
      </c>
      <c r="C17447" s="6">
        <v>0.98754563488087799</v>
      </c>
    </row>
    <row r="17448" spans="1:3" s="8" customFormat="1" x14ac:dyDescent="0.2">
      <c r="A17448" s="6" t="str">
        <f>"LINC02846"</f>
        <v>LINC02846</v>
      </c>
      <c r="B17448" s="6">
        <v>0.98001998001998003</v>
      </c>
      <c r="C17448" s="6">
        <v>0.98754563488087799</v>
      </c>
    </row>
    <row r="17449" spans="1:3" s="8" customFormat="1" x14ac:dyDescent="0.2">
      <c r="A17449" s="6" t="str">
        <f>"PIGM"</f>
        <v>PIGM</v>
      </c>
      <c r="B17449" s="6">
        <v>0.98001998001998003</v>
      </c>
      <c r="C17449" s="6">
        <v>0.98754563488087799</v>
      </c>
    </row>
    <row r="17450" spans="1:3" s="8" customFormat="1" x14ac:dyDescent="0.2">
      <c r="A17450" s="6" t="str">
        <f>"CDC40"</f>
        <v>CDC40</v>
      </c>
      <c r="B17450" s="6">
        <v>0.98001998001998003</v>
      </c>
      <c r="C17450" s="6">
        <v>0.98754563488087799</v>
      </c>
    </row>
    <row r="17451" spans="1:3" s="8" customFormat="1" x14ac:dyDescent="0.2">
      <c r="A17451" s="6" t="str">
        <f>"CCDC180"</f>
        <v>CCDC180</v>
      </c>
      <c r="B17451" s="6">
        <v>0.98001998001998003</v>
      </c>
      <c r="C17451" s="6">
        <v>0.98754563488087799</v>
      </c>
    </row>
    <row r="17452" spans="1:3" s="8" customFormat="1" x14ac:dyDescent="0.2">
      <c r="A17452" s="6" t="str">
        <f>"ZNF30-AS1"</f>
        <v>ZNF30-AS1</v>
      </c>
      <c r="B17452" s="6">
        <v>0.98098098098098097</v>
      </c>
      <c r="C17452" s="6">
        <v>0.98809931047300703</v>
      </c>
    </row>
    <row r="17453" spans="1:3" s="8" customFormat="1" x14ac:dyDescent="0.2">
      <c r="A17453" s="6" t="str">
        <f>"AC073063.1"</f>
        <v>AC073063.1</v>
      </c>
      <c r="B17453" s="6">
        <v>0.981018981018981</v>
      </c>
      <c r="C17453" s="6">
        <v>0.98809931047300703</v>
      </c>
    </row>
    <row r="17454" spans="1:3" s="8" customFormat="1" x14ac:dyDescent="0.2">
      <c r="A17454" s="6" t="str">
        <f>"AC083809.1"</f>
        <v>AC083809.1</v>
      </c>
      <c r="B17454" s="6">
        <v>0.981018981018981</v>
      </c>
      <c r="C17454" s="6">
        <v>0.98809931047300703</v>
      </c>
    </row>
    <row r="17455" spans="1:3" s="8" customFormat="1" x14ac:dyDescent="0.2">
      <c r="A17455" s="6" t="str">
        <f>"AC055840.1"</f>
        <v>AC055840.1</v>
      </c>
      <c r="B17455" s="6">
        <v>0.98098098098098097</v>
      </c>
      <c r="C17455" s="6">
        <v>0.98809931047300703</v>
      </c>
    </row>
    <row r="17456" spans="1:3" s="8" customFormat="1" x14ac:dyDescent="0.2">
      <c r="A17456" s="6" t="str">
        <f>"AC105001.1"</f>
        <v>AC105001.1</v>
      </c>
      <c r="B17456" s="6">
        <v>0.981018981018981</v>
      </c>
      <c r="C17456" s="6">
        <v>0.98809931047300703</v>
      </c>
    </row>
    <row r="17457" spans="1:3" s="8" customFormat="1" x14ac:dyDescent="0.2">
      <c r="A17457" s="6" t="str">
        <f>"AC211476.1"</f>
        <v>AC211476.1</v>
      </c>
      <c r="B17457" s="6">
        <v>0.981018981018981</v>
      </c>
      <c r="C17457" s="6">
        <v>0.98809931047300703</v>
      </c>
    </row>
    <row r="17458" spans="1:3" s="8" customFormat="1" x14ac:dyDescent="0.2">
      <c r="A17458" s="6" t="str">
        <f>"PARP10"</f>
        <v>PARP10</v>
      </c>
      <c r="B17458" s="6">
        <v>0.981018981018981</v>
      </c>
      <c r="C17458" s="6">
        <v>0.98809931047300703</v>
      </c>
    </row>
    <row r="17459" spans="1:3" s="8" customFormat="1" x14ac:dyDescent="0.2">
      <c r="A17459" s="6" t="str">
        <f>"TXLNA"</f>
        <v>TXLNA</v>
      </c>
      <c r="B17459" s="6">
        <v>0.981018981018981</v>
      </c>
      <c r="C17459" s="6">
        <v>0.98809931047300703</v>
      </c>
    </row>
    <row r="17460" spans="1:3" s="8" customFormat="1" x14ac:dyDescent="0.2">
      <c r="A17460" s="6" t="str">
        <f>"AC004241.5"</f>
        <v>AC004241.5</v>
      </c>
      <c r="B17460" s="6">
        <v>0.98201798201798196</v>
      </c>
      <c r="C17460" s="6">
        <v>0.98865247886202801</v>
      </c>
    </row>
    <row r="17461" spans="1:3" s="8" customFormat="1" x14ac:dyDescent="0.2">
      <c r="A17461" s="6" t="str">
        <f>"CAP2P1"</f>
        <v>CAP2P1</v>
      </c>
      <c r="B17461" s="6">
        <v>0.98201798201798196</v>
      </c>
      <c r="C17461" s="6">
        <v>0.98865247886202801</v>
      </c>
    </row>
    <row r="17462" spans="1:3" s="8" customFormat="1" x14ac:dyDescent="0.2">
      <c r="A17462" s="6" t="str">
        <f>"NTNG1"</f>
        <v>NTNG1</v>
      </c>
      <c r="B17462" s="6">
        <v>0.98201798201798196</v>
      </c>
      <c r="C17462" s="6">
        <v>0.98865247886202801</v>
      </c>
    </row>
    <row r="17463" spans="1:3" s="8" customFormat="1" x14ac:dyDescent="0.2">
      <c r="A17463" s="6" t="str">
        <f>"AC000123.3"</f>
        <v>AC000123.3</v>
      </c>
      <c r="B17463" s="6">
        <v>0.98201798201798196</v>
      </c>
      <c r="C17463" s="6">
        <v>0.98865247886202801</v>
      </c>
    </row>
    <row r="17464" spans="1:3" s="8" customFormat="1" x14ac:dyDescent="0.2">
      <c r="A17464" s="6" t="str">
        <f>"AL137058.2"</f>
        <v>AL137058.2</v>
      </c>
      <c r="B17464" s="6">
        <v>0.98201798201798196</v>
      </c>
      <c r="C17464" s="6">
        <v>0.98865247886202801</v>
      </c>
    </row>
    <row r="17465" spans="1:3" s="8" customFormat="1" x14ac:dyDescent="0.2">
      <c r="A17465" s="6" t="str">
        <f>"ZNF324B"</f>
        <v>ZNF324B</v>
      </c>
      <c r="B17465" s="6">
        <v>0.98201798201798196</v>
      </c>
      <c r="C17465" s="6">
        <v>0.98865247886202801</v>
      </c>
    </row>
    <row r="17466" spans="1:3" s="8" customFormat="1" x14ac:dyDescent="0.2">
      <c r="A17466" s="6" t="str">
        <f>"ZNF778"</f>
        <v>ZNF778</v>
      </c>
      <c r="B17466" s="6">
        <v>0.98201798201798196</v>
      </c>
      <c r="C17466" s="6">
        <v>0.98865247886202801</v>
      </c>
    </row>
    <row r="17467" spans="1:3" s="8" customFormat="1" x14ac:dyDescent="0.2">
      <c r="A17467" s="6" t="str">
        <f>"FRG1CP"</f>
        <v>FRG1CP</v>
      </c>
      <c r="B17467" s="6">
        <v>0.98201798201798196</v>
      </c>
      <c r="C17467" s="6">
        <v>0.98865247886202801</v>
      </c>
    </row>
    <row r="17468" spans="1:3" s="8" customFormat="1" x14ac:dyDescent="0.2">
      <c r="A17468" s="6" t="str">
        <f>"AC018553.3"</f>
        <v>AC018553.3</v>
      </c>
      <c r="B17468" s="6">
        <v>0.98299999999999998</v>
      </c>
      <c r="C17468" s="6">
        <v>0.98920514074457</v>
      </c>
    </row>
    <row r="17469" spans="1:3" s="8" customFormat="1" x14ac:dyDescent="0.2">
      <c r="A17469" s="6" t="str">
        <f>"AC016995.1"</f>
        <v>AC016995.1</v>
      </c>
      <c r="B17469" s="6">
        <v>0.982948846539618</v>
      </c>
      <c r="C17469" s="6">
        <v>0.98920514074457</v>
      </c>
    </row>
    <row r="17470" spans="1:3" s="8" customFormat="1" x14ac:dyDescent="0.2">
      <c r="A17470" s="6" t="str">
        <f>"KDM4A-AS1"</f>
        <v>KDM4A-AS1</v>
      </c>
      <c r="B17470" s="6">
        <v>0.98301698301698304</v>
      </c>
      <c r="C17470" s="6">
        <v>0.98920514074457</v>
      </c>
    </row>
    <row r="17471" spans="1:3" s="8" customFormat="1" x14ac:dyDescent="0.2">
      <c r="A17471" s="6" t="str">
        <f>"AC073332.1"</f>
        <v>AC073332.1</v>
      </c>
      <c r="B17471" s="6">
        <v>0.98301698301698304</v>
      </c>
      <c r="C17471" s="6">
        <v>0.98920514074457</v>
      </c>
    </row>
    <row r="17472" spans="1:3" s="8" customFormat="1" x14ac:dyDescent="0.2">
      <c r="A17472" s="6" t="str">
        <f>"TNNC1"</f>
        <v>TNNC1</v>
      </c>
      <c r="B17472" s="6">
        <v>0.98299999999999998</v>
      </c>
      <c r="C17472" s="6">
        <v>0.98920514074457</v>
      </c>
    </row>
    <row r="17473" spans="1:3" s="8" customFormat="1" x14ac:dyDescent="0.2">
      <c r="A17473" s="6" t="str">
        <f>"TRNT1"</f>
        <v>TRNT1</v>
      </c>
      <c r="B17473" s="6">
        <v>0.98301698301698304</v>
      </c>
      <c r="C17473" s="6">
        <v>0.98920514074457</v>
      </c>
    </row>
    <row r="17474" spans="1:3" s="8" customFormat="1" x14ac:dyDescent="0.2">
      <c r="A17474" s="6" t="str">
        <f>"EFEMP2"</f>
        <v>EFEMP2</v>
      </c>
      <c r="B17474" s="6">
        <v>0.98301698301698304</v>
      </c>
      <c r="C17474" s="6">
        <v>0.98920514074457</v>
      </c>
    </row>
    <row r="17475" spans="1:3" s="8" customFormat="1" x14ac:dyDescent="0.2">
      <c r="A17475" s="6" t="str">
        <f>"AP3S1"</f>
        <v>AP3S1</v>
      </c>
      <c r="B17475" s="6">
        <v>0.98301698301698304</v>
      </c>
      <c r="C17475" s="6">
        <v>0.98920514074457</v>
      </c>
    </row>
    <row r="17476" spans="1:3" s="8" customFormat="1" x14ac:dyDescent="0.2">
      <c r="A17476" s="6" t="str">
        <f>"PKDCC"</f>
        <v>PKDCC</v>
      </c>
      <c r="B17476" s="6">
        <v>0.984015984015984</v>
      </c>
      <c r="C17476" s="6">
        <v>0.98992717334727698</v>
      </c>
    </row>
    <row r="17477" spans="1:3" s="8" customFormat="1" x14ac:dyDescent="0.2">
      <c r="A17477" s="6" t="str">
        <f>"TMEM270"</f>
        <v>TMEM270</v>
      </c>
      <c r="B17477" s="6">
        <v>0.984015984015984</v>
      </c>
      <c r="C17477" s="6">
        <v>0.98992717334727698</v>
      </c>
    </row>
    <row r="17478" spans="1:3" s="8" customFormat="1" x14ac:dyDescent="0.2">
      <c r="A17478" s="6" t="str">
        <f>"MAN1B1-DT"</f>
        <v>MAN1B1-DT</v>
      </c>
      <c r="B17478" s="6">
        <v>0.984015984015984</v>
      </c>
      <c r="C17478" s="6">
        <v>0.98992717334727698</v>
      </c>
    </row>
    <row r="17479" spans="1:3" s="8" customFormat="1" x14ac:dyDescent="0.2">
      <c r="A17479" s="6" t="str">
        <f>"SNX15"</f>
        <v>SNX15</v>
      </c>
      <c r="B17479" s="6">
        <v>0.984015984015984</v>
      </c>
      <c r="C17479" s="6">
        <v>0.98992717334727698</v>
      </c>
    </row>
    <row r="17480" spans="1:3" s="8" customFormat="1" x14ac:dyDescent="0.2">
      <c r="A17480" s="6" t="str">
        <f>"MRPL12"</f>
        <v>MRPL12</v>
      </c>
      <c r="B17480" s="6">
        <v>0.984015984015984</v>
      </c>
      <c r="C17480" s="6">
        <v>0.98992717334727698</v>
      </c>
    </row>
    <row r="17481" spans="1:3" s="8" customFormat="1" x14ac:dyDescent="0.2">
      <c r="A17481" s="6" t="str">
        <f>"AC006946.2"</f>
        <v>AC006946.2</v>
      </c>
      <c r="B17481" s="6">
        <v>0.98498498498498499</v>
      </c>
      <c r="C17481" s="6">
        <v>0.99064879298235498</v>
      </c>
    </row>
    <row r="17482" spans="1:3" s="8" customFormat="1" x14ac:dyDescent="0.2">
      <c r="A17482" s="6" t="str">
        <f>"LINC01301"</f>
        <v>LINC01301</v>
      </c>
      <c r="B17482" s="6">
        <v>0.98501498501498497</v>
      </c>
      <c r="C17482" s="6">
        <v>0.99064879298235498</v>
      </c>
    </row>
    <row r="17483" spans="1:3" s="8" customFormat="1" x14ac:dyDescent="0.2">
      <c r="A17483" s="6" t="str">
        <f>"NEU3"</f>
        <v>NEU3</v>
      </c>
      <c r="B17483" s="6">
        <v>0.98501498501498497</v>
      </c>
      <c r="C17483" s="6">
        <v>0.99064879298235498</v>
      </c>
    </row>
    <row r="17484" spans="1:3" s="8" customFormat="1" x14ac:dyDescent="0.2">
      <c r="A17484" s="6" t="str">
        <f>"CISD3"</f>
        <v>CISD3</v>
      </c>
      <c r="B17484" s="6">
        <v>0.98501498501498497</v>
      </c>
      <c r="C17484" s="6">
        <v>0.99064879298235498</v>
      </c>
    </row>
    <row r="17485" spans="1:3" s="8" customFormat="1" x14ac:dyDescent="0.2">
      <c r="A17485" s="6" t="str">
        <f>"COQ9"</f>
        <v>COQ9</v>
      </c>
      <c r="B17485" s="6">
        <v>0.98501498501498497</v>
      </c>
      <c r="C17485" s="6">
        <v>0.99064879298235498</v>
      </c>
    </row>
    <row r="17486" spans="1:3" s="8" customFormat="1" x14ac:dyDescent="0.2">
      <c r="A17486" s="6" t="str">
        <f>"CD226"</f>
        <v>CD226</v>
      </c>
      <c r="B17486" s="6">
        <v>0.98601398601398604</v>
      </c>
      <c r="C17486" s="6">
        <v>0.99148338366042899</v>
      </c>
    </row>
    <row r="17487" spans="1:3" s="8" customFormat="1" x14ac:dyDescent="0.2">
      <c r="A17487" s="6" t="str">
        <f>"FRRS1"</f>
        <v>FRRS1</v>
      </c>
      <c r="B17487" s="6">
        <v>0.98601398601398604</v>
      </c>
      <c r="C17487" s="6">
        <v>0.99148338366042899</v>
      </c>
    </row>
    <row r="17488" spans="1:3" s="8" customFormat="1" x14ac:dyDescent="0.2">
      <c r="A17488" s="6" t="str">
        <f>"KIF22"</f>
        <v>KIF22</v>
      </c>
      <c r="B17488" s="6">
        <v>0.98601398601398604</v>
      </c>
      <c r="C17488" s="6">
        <v>0.99148338366042899</v>
      </c>
    </row>
    <row r="17489" spans="1:3" s="8" customFormat="1" x14ac:dyDescent="0.2">
      <c r="A17489" s="6" t="str">
        <f>"AP001437.1"</f>
        <v>AP001437.1</v>
      </c>
      <c r="B17489" s="6">
        <v>0.98690835850956604</v>
      </c>
      <c r="C17489" s="6">
        <v>0.99203408766140899</v>
      </c>
    </row>
    <row r="17490" spans="1:3" s="8" customFormat="1" x14ac:dyDescent="0.2">
      <c r="A17490" s="6" t="str">
        <f>"PMS2P5"</f>
        <v>PMS2P5</v>
      </c>
      <c r="B17490" s="6">
        <v>0.98698698698698695</v>
      </c>
      <c r="C17490" s="6">
        <v>0.99203408766140899</v>
      </c>
    </row>
    <row r="17491" spans="1:3" s="8" customFormat="1" x14ac:dyDescent="0.2">
      <c r="A17491" s="6" t="str">
        <f>"AL731563.3"</f>
        <v>AL731563.3</v>
      </c>
      <c r="B17491" s="6">
        <v>0.98692152917505005</v>
      </c>
      <c r="C17491" s="6">
        <v>0.99203408766140899</v>
      </c>
    </row>
    <row r="17492" spans="1:3" s="8" customFormat="1" x14ac:dyDescent="0.2">
      <c r="A17492" s="6" t="str">
        <f>"POPDC2"</f>
        <v>POPDC2</v>
      </c>
      <c r="B17492" s="6">
        <v>0.98701298701298701</v>
      </c>
      <c r="C17492" s="6">
        <v>0.99203408766140899</v>
      </c>
    </row>
    <row r="17493" spans="1:3" s="8" customFormat="1" x14ac:dyDescent="0.2">
      <c r="A17493" s="6" t="str">
        <f>"CDK3"</f>
        <v>CDK3</v>
      </c>
      <c r="B17493" s="6">
        <v>0.98699999999999999</v>
      </c>
      <c r="C17493" s="6">
        <v>0.99203408766140899</v>
      </c>
    </row>
    <row r="17494" spans="1:3" s="8" customFormat="1" x14ac:dyDescent="0.2">
      <c r="A17494" s="6" t="str">
        <f>"AL021368.2"</f>
        <v>AL021368.2</v>
      </c>
      <c r="B17494" s="6">
        <v>0.98701298701298701</v>
      </c>
      <c r="C17494" s="6">
        <v>0.99203408766140899</v>
      </c>
    </row>
    <row r="17495" spans="1:3" s="8" customFormat="1" x14ac:dyDescent="0.2">
      <c r="A17495" s="6" t="str">
        <f>"ZNF821"</f>
        <v>ZNF821</v>
      </c>
      <c r="B17495" s="6">
        <v>0.98701298701298701</v>
      </c>
      <c r="C17495" s="6">
        <v>0.99203408766140899</v>
      </c>
    </row>
    <row r="17496" spans="1:3" s="8" customFormat="1" x14ac:dyDescent="0.2">
      <c r="A17496" s="6" t="str">
        <f>"TBCK"</f>
        <v>TBCK</v>
      </c>
      <c r="B17496" s="6">
        <v>0.98701298701298701</v>
      </c>
      <c r="C17496" s="6">
        <v>0.99203408766140899</v>
      </c>
    </row>
    <row r="17497" spans="1:3" s="8" customFormat="1" x14ac:dyDescent="0.2">
      <c r="A17497" s="6" t="str">
        <f>"AC097369.4"</f>
        <v>AC097369.4</v>
      </c>
      <c r="B17497" s="6">
        <v>0.98799999999999999</v>
      </c>
      <c r="C17497" s="6">
        <v>0.99291261359090099</v>
      </c>
    </row>
    <row r="17498" spans="1:3" s="8" customFormat="1" x14ac:dyDescent="0.2">
      <c r="A17498" s="6" t="str">
        <f>"AC017083.2"</f>
        <v>AC017083.2</v>
      </c>
      <c r="B17498" s="6">
        <v>0.98798798798798804</v>
      </c>
      <c r="C17498" s="6">
        <v>0.99291261359090099</v>
      </c>
    </row>
    <row r="17499" spans="1:3" s="8" customFormat="1" x14ac:dyDescent="0.2">
      <c r="A17499" s="6" t="str">
        <f>"AC018754.1"</f>
        <v>AC018754.1</v>
      </c>
      <c r="B17499" s="6">
        <v>0.98901098901098905</v>
      </c>
      <c r="C17499" s="6">
        <v>0.99336089739928202</v>
      </c>
    </row>
    <row r="17500" spans="1:3" s="8" customFormat="1" x14ac:dyDescent="0.2">
      <c r="A17500" s="6" t="str">
        <f>"AL359922.1"</f>
        <v>AL359922.1</v>
      </c>
      <c r="B17500" s="6">
        <v>0.98901098901098905</v>
      </c>
      <c r="C17500" s="6">
        <v>0.99336089739928202</v>
      </c>
    </row>
    <row r="17501" spans="1:3" s="8" customFormat="1" x14ac:dyDescent="0.2">
      <c r="A17501" s="6" t="str">
        <f>"FAM201B"</f>
        <v>FAM201B</v>
      </c>
      <c r="B17501" s="6">
        <v>0.98901098901098905</v>
      </c>
      <c r="C17501" s="6">
        <v>0.99336089739928202</v>
      </c>
    </row>
    <row r="17502" spans="1:3" s="8" customFormat="1" x14ac:dyDescent="0.2">
      <c r="A17502" s="6" t="str">
        <f>"AC007611.1"</f>
        <v>AC007611.1</v>
      </c>
      <c r="B17502" s="6">
        <v>0.98898898898898902</v>
      </c>
      <c r="C17502" s="6">
        <v>0.99336089739928202</v>
      </c>
    </row>
    <row r="17503" spans="1:3" s="8" customFormat="1" x14ac:dyDescent="0.2">
      <c r="A17503" s="6" t="str">
        <f>"PALM3"</f>
        <v>PALM3</v>
      </c>
      <c r="B17503" s="6">
        <v>0.98901098901098905</v>
      </c>
      <c r="C17503" s="6">
        <v>0.99336089739928202</v>
      </c>
    </row>
    <row r="17504" spans="1:3" s="8" customFormat="1" x14ac:dyDescent="0.2">
      <c r="A17504" s="6" t="str">
        <f>"MHENCR"</f>
        <v>MHENCR</v>
      </c>
      <c r="B17504" s="6">
        <v>0.98901098901098905</v>
      </c>
      <c r="C17504" s="6">
        <v>0.99336089739928202</v>
      </c>
    </row>
    <row r="17505" spans="1:3" s="8" customFormat="1" x14ac:dyDescent="0.2">
      <c r="A17505" s="6" t="str">
        <f>"AC097376.3"</f>
        <v>AC097376.3</v>
      </c>
      <c r="B17505" s="6">
        <v>0.98901098901098905</v>
      </c>
      <c r="C17505" s="6">
        <v>0.99336089739928202</v>
      </c>
    </row>
    <row r="17506" spans="1:3" s="8" customFormat="1" x14ac:dyDescent="0.2">
      <c r="A17506" s="6" t="str">
        <f>"FBXL7"</f>
        <v>FBXL7</v>
      </c>
      <c r="B17506" s="6">
        <v>0.98901098901098905</v>
      </c>
      <c r="C17506" s="6">
        <v>0.99336089739928202</v>
      </c>
    </row>
    <row r="17507" spans="1:3" s="8" customFormat="1" x14ac:dyDescent="0.2">
      <c r="A17507" s="6" t="str">
        <f>"RARB"</f>
        <v>RARB</v>
      </c>
      <c r="B17507" s="6">
        <v>0.98901098901098905</v>
      </c>
      <c r="C17507" s="6">
        <v>0.99336089739928202</v>
      </c>
    </row>
    <row r="17508" spans="1:3" s="8" customFormat="1" x14ac:dyDescent="0.2">
      <c r="A17508" s="6" t="str">
        <f>"MARCHF8"</f>
        <v>MARCHF8</v>
      </c>
      <c r="B17508" s="6">
        <v>0.98901098901098905</v>
      </c>
      <c r="C17508" s="6">
        <v>0.99336089739928202</v>
      </c>
    </row>
    <row r="17509" spans="1:3" s="8" customFormat="1" x14ac:dyDescent="0.2">
      <c r="A17509" s="6" t="str">
        <f>"AC104435.2"</f>
        <v>AC104435.2</v>
      </c>
      <c r="B17509" s="6">
        <v>0.99000999000999002</v>
      </c>
      <c r="C17509" s="6">
        <v>0.99396686447046101</v>
      </c>
    </row>
    <row r="17510" spans="1:3" s="8" customFormat="1" x14ac:dyDescent="0.2">
      <c r="A17510" s="6" t="str">
        <f>"AC140479.3"</f>
        <v>AC140479.3</v>
      </c>
      <c r="B17510" s="6">
        <v>0.99000999000999002</v>
      </c>
      <c r="C17510" s="6">
        <v>0.99396686447046101</v>
      </c>
    </row>
    <row r="17511" spans="1:3" s="8" customFormat="1" x14ac:dyDescent="0.2">
      <c r="A17511" s="6" t="str">
        <f>"LINC00607"</f>
        <v>LINC00607</v>
      </c>
      <c r="B17511" s="6">
        <v>0.99000999000999002</v>
      </c>
      <c r="C17511" s="6">
        <v>0.99396686447046101</v>
      </c>
    </row>
    <row r="17512" spans="1:3" s="8" customFormat="1" x14ac:dyDescent="0.2">
      <c r="A17512" s="6" t="str">
        <f>"LINC00623"</f>
        <v>LINC00623</v>
      </c>
      <c r="B17512" s="6">
        <v>0.99000999000999002</v>
      </c>
      <c r="C17512" s="6">
        <v>0.99396686447046101</v>
      </c>
    </row>
    <row r="17513" spans="1:3" s="8" customFormat="1" x14ac:dyDescent="0.2">
      <c r="A17513" s="6" t="str">
        <f>"FRAS1"</f>
        <v>FRAS1</v>
      </c>
      <c r="B17513" s="6">
        <v>0.99000999000999002</v>
      </c>
      <c r="C17513" s="6">
        <v>0.99396686447046101</v>
      </c>
    </row>
    <row r="17514" spans="1:3" s="8" customFormat="1" x14ac:dyDescent="0.2">
      <c r="A17514" s="6" t="str">
        <f>"GSE1"</f>
        <v>GSE1</v>
      </c>
      <c r="B17514" s="6">
        <v>0.99000999000999002</v>
      </c>
      <c r="C17514" s="6">
        <v>0.99396686447046101</v>
      </c>
    </row>
    <row r="17515" spans="1:3" s="8" customFormat="1" x14ac:dyDescent="0.2">
      <c r="A17515" s="6" t="str">
        <f>"ELOA"</f>
        <v>ELOA</v>
      </c>
      <c r="B17515" s="6">
        <v>0.99000999000999002</v>
      </c>
      <c r="C17515" s="6">
        <v>0.99396686447046101</v>
      </c>
    </row>
    <row r="17516" spans="1:3" s="8" customFormat="1" x14ac:dyDescent="0.2">
      <c r="A17516" s="6" t="str">
        <f>"OR2AT4"</f>
        <v>OR2AT4</v>
      </c>
      <c r="B17516" s="6">
        <v>0.99085365853658502</v>
      </c>
      <c r="C17516" s="6">
        <v>0.99457234734901501</v>
      </c>
    </row>
    <row r="17517" spans="1:3" s="8" customFormat="1" x14ac:dyDescent="0.2">
      <c r="A17517" s="6" t="str">
        <f>"AC092338.2"</f>
        <v>AC092338.2</v>
      </c>
      <c r="B17517" s="6">
        <v>0.99073120494335698</v>
      </c>
      <c r="C17517" s="6">
        <v>0.99457234734901501</v>
      </c>
    </row>
    <row r="17518" spans="1:3" s="8" customFormat="1" x14ac:dyDescent="0.2">
      <c r="A17518" s="6" t="str">
        <f>"CLDN2"</f>
        <v>CLDN2</v>
      </c>
      <c r="B17518" s="6">
        <v>0.99100899100899098</v>
      </c>
      <c r="C17518" s="6">
        <v>0.99457234734901501</v>
      </c>
    </row>
    <row r="17519" spans="1:3" s="8" customFormat="1" x14ac:dyDescent="0.2">
      <c r="A17519" s="6" t="str">
        <f>"CAMKMT"</f>
        <v>CAMKMT</v>
      </c>
      <c r="B17519" s="6">
        <v>0.99100899100899098</v>
      </c>
      <c r="C17519" s="6">
        <v>0.99457234734901501</v>
      </c>
    </row>
    <row r="17520" spans="1:3" s="8" customFormat="1" x14ac:dyDescent="0.2">
      <c r="A17520" s="6" t="str">
        <f>"LRRC28"</f>
        <v>LRRC28</v>
      </c>
      <c r="B17520" s="6">
        <v>0.99100899100899098</v>
      </c>
      <c r="C17520" s="6">
        <v>0.99457234734901501</v>
      </c>
    </row>
    <row r="17521" spans="1:3" s="8" customFormat="1" x14ac:dyDescent="0.2">
      <c r="A17521" s="6" t="str">
        <f>"C1orf122"</f>
        <v>C1orf122</v>
      </c>
      <c r="B17521" s="6">
        <v>0.99100899100899098</v>
      </c>
      <c r="C17521" s="6">
        <v>0.99457234734901501</v>
      </c>
    </row>
    <row r="17522" spans="1:3" s="8" customFormat="1" x14ac:dyDescent="0.2">
      <c r="A17522" s="6" t="str">
        <f>"ABO"</f>
        <v>ABO</v>
      </c>
      <c r="B17522" s="6">
        <v>0.99100899100899098</v>
      </c>
      <c r="C17522" s="6">
        <v>0.99457234734901501</v>
      </c>
    </row>
    <row r="17523" spans="1:3" s="8" customFormat="1" x14ac:dyDescent="0.2">
      <c r="A17523" s="6" t="str">
        <f>"FAM66E"</f>
        <v>FAM66E</v>
      </c>
      <c r="B17523" s="6">
        <v>0.99200799200799195</v>
      </c>
      <c r="C17523" s="6">
        <v>0.99529091244257195</v>
      </c>
    </row>
    <row r="17524" spans="1:3" s="8" customFormat="1" x14ac:dyDescent="0.2">
      <c r="A17524" s="6" t="str">
        <f>"ZNF696"</f>
        <v>ZNF696</v>
      </c>
      <c r="B17524" s="6">
        <v>0.99199999999999999</v>
      </c>
      <c r="C17524" s="6">
        <v>0.99529091244257195</v>
      </c>
    </row>
    <row r="17525" spans="1:3" s="8" customFormat="1" x14ac:dyDescent="0.2">
      <c r="A17525" s="6" t="str">
        <f>"PIKFYVE"</f>
        <v>PIKFYVE</v>
      </c>
      <c r="B17525" s="6">
        <v>0.99200799200799195</v>
      </c>
      <c r="C17525" s="6">
        <v>0.99529091244257195</v>
      </c>
    </row>
    <row r="17526" spans="1:3" s="8" customFormat="1" x14ac:dyDescent="0.2">
      <c r="A17526" s="6" t="str">
        <f>"TLK1"</f>
        <v>TLK1</v>
      </c>
      <c r="B17526" s="6">
        <v>0.99200799200799195</v>
      </c>
      <c r="C17526" s="6">
        <v>0.99529091244257195</v>
      </c>
    </row>
    <row r="17527" spans="1:3" s="8" customFormat="1" x14ac:dyDescent="0.2">
      <c r="A17527" s="6" t="str">
        <f>"EIF4A1"</f>
        <v>EIF4A1</v>
      </c>
      <c r="B17527" s="6">
        <v>0.99200799200799195</v>
      </c>
      <c r="C17527" s="6">
        <v>0.99529091244257195</v>
      </c>
    </row>
    <row r="17528" spans="1:3" s="8" customFormat="1" x14ac:dyDescent="0.2">
      <c r="A17528" s="6" t="str">
        <f>"AP003059.2"</f>
        <v>AP003059.2</v>
      </c>
      <c r="B17528" s="6">
        <v>0.99300699300699302</v>
      </c>
      <c r="C17528" s="6">
        <v>0.99572507784186604</v>
      </c>
    </row>
    <row r="17529" spans="1:3" s="8" customFormat="1" x14ac:dyDescent="0.2">
      <c r="A17529" s="6" t="str">
        <f>"AF127577.4"</f>
        <v>AF127577.4</v>
      </c>
      <c r="B17529" s="6">
        <v>0.99300699300699302</v>
      </c>
      <c r="C17529" s="6">
        <v>0.99572507784186604</v>
      </c>
    </row>
    <row r="17530" spans="1:3" s="8" customFormat="1" x14ac:dyDescent="0.2">
      <c r="A17530" s="6" t="str">
        <f>"AP001425.1"</f>
        <v>AP001425.1</v>
      </c>
      <c r="B17530" s="6">
        <v>0.99300699300699302</v>
      </c>
      <c r="C17530" s="6">
        <v>0.99572507784186604</v>
      </c>
    </row>
    <row r="17531" spans="1:3" s="8" customFormat="1" x14ac:dyDescent="0.2">
      <c r="A17531" s="6" t="str">
        <f>"AL161630.1"</f>
        <v>AL161630.1</v>
      </c>
      <c r="B17531" s="6">
        <v>0.99296482412060305</v>
      </c>
      <c r="C17531" s="6">
        <v>0.99572507784186604</v>
      </c>
    </row>
    <row r="17532" spans="1:3" s="8" customFormat="1" x14ac:dyDescent="0.2">
      <c r="A17532" s="6" t="str">
        <f>"A1BG"</f>
        <v>A1BG</v>
      </c>
      <c r="B17532" s="6">
        <v>0.99300699300699302</v>
      </c>
      <c r="C17532" s="6">
        <v>0.99572507784186604</v>
      </c>
    </row>
    <row r="17533" spans="1:3" s="8" customFormat="1" x14ac:dyDescent="0.2">
      <c r="A17533" s="6" t="str">
        <f>"TLL2"</f>
        <v>TLL2</v>
      </c>
      <c r="B17533" s="6">
        <v>0.99300699300699302</v>
      </c>
      <c r="C17533" s="6">
        <v>0.99572507784186604</v>
      </c>
    </row>
    <row r="17534" spans="1:3" s="8" customFormat="1" x14ac:dyDescent="0.2">
      <c r="A17534" s="6" t="str">
        <f>"HSD17B7P2"</f>
        <v>HSD17B7P2</v>
      </c>
      <c r="B17534" s="6">
        <v>0.99300699300699302</v>
      </c>
      <c r="C17534" s="6">
        <v>0.99572507784186604</v>
      </c>
    </row>
    <row r="17535" spans="1:3" s="8" customFormat="1" x14ac:dyDescent="0.2">
      <c r="A17535" s="6" t="str">
        <f>"BICD1"</f>
        <v>BICD1</v>
      </c>
      <c r="B17535" s="6">
        <v>0.99300699300699302</v>
      </c>
      <c r="C17535" s="6">
        <v>0.99572507784186604</v>
      </c>
    </row>
    <row r="17536" spans="1:3" s="8" customFormat="1" x14ac:dyDescent="0.2">
      <c r="A17536" s="6" t="str">
        <f>"AL160006.1"</f>
        <v>AL160006.1</v>
      </c>
      <c r="B17536" s="6">
        <v>0.99300699300699302</v>
      </c>
      <c r="C17536" s="6">
        <v>0.99572507784186604</v>
      </c>
    </row>
    <row r="17537" spans="1:3" s="8" customFormat="1" x14ac:dyDescent="0.2">
      <c r="A17537" s="6" t="str">
        <f>"UBP1"</f>
        <v>UBP1</v>
      </c>
      <c r="B17537" s="6">
        <v>0.99300699300699302</v>
      </c>
      <c r="C17537" s="6">
        <v>0.99572507784186604</v>
      </c>
    </row>
    <row r="17538" spans="1:3" s="8" customFormat="1" x14ac:dyDescent="0.2">
      <c r="A17538" s="6" t="str">
        <f>"FAM224B"</f>
        <v>FAM224B</v>
      </c>
      <c r="B17538" s="6">
        <v>0.99396135265700403</v>
      </c>
      <c r="C17538" s="6">
        <v>0.99644269988036005</v>
      </c>
    </row>
    <row r="17539" spans="1:3" s="8" customFormat="1" x14ac:dyDescent="0.2">
      <c r="A17539" s="6" t="str">
        <f>"AL645922.1"</f>
        <v>AL645922.1</v>
      </c>
      <c r="B17539" s="6">
        <v>0.99399999999999999</v>
      </c>
      <c r="C17539" s="6">
        <v>0.99644269988036005</v>
      </c>
    </row>
    <row r="17540" spans="1:3" s="8" customFormat="1" x14ac:dyDescent="0.2">
      <c r="A17540" s="6" t="str">
        <f>"AC138904.1"</f>
        <v>AC138904.1</v>
      </c>
      <c r="B17540" s="6">
        <v>0.99398797595190302</v>
      </c>
      <c r="C17540" s="6">
        <v>0.99644269988036005</v>
      </c>
    </row>
    <row r="17541" spans="1:3" s="8" customFormat="1" x14ac:dyDescent="0.2">
      <c r="A17541" s="6" t="str">
        <f>"AC116535.1"</f>
        <v>AC116535.1</v>
      </c>
      <c r="B17541" s="6">
        <v>0.99399999999999999</v>
      </c>
      <c r="C17541" s="6">
        <v>0.99644269988036005</v>
      </c>
    </row>
    <row r="17542" spans="1:3" s="8" customFormat="1" x14ac:dyDescent="0.2">
      <c r="A17542" s="6" t="str">
        <f>"DTNA"</f>
        <v>DTNA</v>
      </c>
      <c r="B17542" s="6">
        <v>0.99400599400599399</v>
      </c>
      <c r="C17542" s="6">
        <v>0.99644269988036005</v>
      </c>
    </row>
    <row r="17543" spans="1:3" s="8" customFormat="1" x14ac:dyDescent="0.2">
      <c r="A17543" s="6" t="str">
        <f>"AC024580.1"</f>
        <v>AC024580.1</v>
      </c>
      <c r="B17543" s="6">
        <v>0.995</v>
      </c>
      <c r="C17543" s="6">
        <v>0.99698944852514804</v>
      </c>
    </row>
    <row r="17544" spans="1:3" s="8" customFormat="1" x14ac:dyDescent="0.2">
      <c r="A17544" s="6" t="str">
        <f>"LINC01562"</f>
        <v>LINC01562</v>
      </c>
      <c r="B17544" s="6">
        <v>0.99498997995992</v>
      </c>
      <c r="C17544" s="6">
        <v>0.99698944852514804</v>
      </c>
    </row>
    <row r="17545" spans="1:3" s="8" customFormat="1" x14ac:dyDescent="0.2">
      <c r="A17545" s="6" t="str">
        <f>"AC108751.4"</f>
        <v>AC108751.4</v>
      </c>
      <c r="B17545" s="6">
        <v>0.99500499500499495</v>
      </c>
      <c r="C17545" s="6">
        <v>0.99698944852514804</v>
      </c>
    </row>
    <row r="17546" spans="1:3" s="8" customFormat="1" x14ac:dyDescent="0.2">
      <c r="A17546" s="6" t="str">
        <f>"CDH15"</f>
        <v>CDH15</v>
      </c>
      <c r="B17546" s="6">
        <v>0.99500499500499495</v>
      </c>
      <c r="C17546" s="6">
        <v>0.99698944852514804</v>
      </c>
    </row>
    <row r="17547" spans="1:3" s="8" customFormat="1" x14ac:dyDescent="0.2">
      <c r="A17547" s="6" t="str">
        <f>"SMIM2-AS1"</f>
        <v>SMIM2-AS1</v>
      </c>
      <c r="B17547" s="6">
        <v>0.99500499500499495</v>
      </c>
      <c r="C17547" s="6">
        <v>0.99698944852514804</v>
      </c>
    </row>
    <row r="17548" spans="1:3" s="8" customFormat="1" x14ac:dyDescent="0.2">
      <c r="A17548" s="6" t="str">
        <f>"CBFA2T2"</f>
        <v>CBFA2T2</v>
      </c>
      <c r="B17548" s="6">
        <v>0.99500499500499495</v>
      </c>
      <c r="C17548" s="6">
        <v>0.99698944852514804</v>
      </c>
    </row>
    <row r="17549" spans="1:3" s="8" customFormat="1" x14ac:dyDescent="0.2">
      <c r="A17549" s="6" t="str">
        <f>"ANKRD42"</f>
        <v>ANKRD42</v>
      </c>
      <c r="B17549" s="6">
        <v>0.99500499500499495</v>
      </c>
      <c r="C17549" s="6">
        <v>0.99698944852514804</v>
      </c>
    </row>
    <row r="17550" spans="1:3" s="8" customFormat="1" x14ac:dyDescent="0.2">
      <c r="A17550" s="6" t="str">
        <f>"PARD3"</f>
        <v>PARD3</v>
      </c>
      <c r="B17550" s="6">
        <v>0.995</v>
      </c>
      <c r="C17550" s="6">
        <v>0.99698944852514804</v>
      </c>
    </row>
    <row r="17551" spans="1:3" s="8" customFormat="1" x14ac:dyDescent="0.2">
      <c r="A17551" s="6" t="str">
        <f>"AC079200.1"</f>
        <v>AC079200.1</v>
      </c>
      <c r="B17551" s="6">
        <v>0.99600399600399603</v>
      </c>
      <c r="C17551" s="6">
        <v>0.99747888516540895</v>
      </c>
    </row>
    <row r="17552" spans="1:3" s="8" customFormat="1" x14ac:dyDescent="0.2">
      <c r="A17552" s="6" t="str">
        <f>"SFTA1P"</f>
        <v>SFTA1P</v>
      </c>
      <c r="B17552" s="6">
        <v>0.99600399600399603</v>
      </c>
      <c r="C17552" s="6">
        <v>0.99747888516540895</v>
      </c>
    </row>
    <row r="17553" spans="1:3" s="8" customFormat="1" x14ac:dyDescent="0.2">
      <c r="A17553" s="6" t="str">
        <f>"AC011632.1"</f>
        <v>AC011632.1</v>
      </c>
      <c r="B17553" s="6">
        <v>0.99600399600399603</v>
      </c>
      <c r="C17553" s="6">
        <v>0.99747888516540895</v>
      </c>
    </row>
    <row r="17554" spans="1:3" s="8" customFormat="1" x14ac:dyDescent="0.2">
      <c r="A17554" s="6" t="str">
        <f>"KRT86"</f>
        <v>KRT86</v>
      </c>
      <c r="B17554" s="6">
        <v>0.99600399600399603</v>
      </c>
      <c r="C17554" s="6">
        <v>0.99747888516540895</v>
      </c>
    </row>
    <row r="17555" spans="1:3" s="8" customFormat="1" x14ac:dyDescent="0.2">
      <c r="A17555" s="6" t="str">
        <f>"AC138150.1"</f>
        <v>AC138150.1</v>
      </c>
      <c r="B17555" s="6">
        <v>0.99596774193548399</v>
      </c>
      <c r="C17555" s="6">
        <v>0.99747888516540895</v>
      </c>
    </row>
    <row r="17556" spans="1:3" s="8" customFormat="1" x14ac:dyDescent="0.2">
      <c r="A17556" s="6" t="str">
        <f>"SERPINB10"</f>
        <v>SERPINB10</v>
      </c>
      <c r="B17556" s="6">
        <v>0.99600399600399603</v>
      </c>
      <c r="C17556" s="6">
        <v>0.99747888516540895</v>
      </c>
    </row>
    <row r="17557" spans="1:3" s="8" customFormat="1" x14ac:dyDescent="0.2">
      <c r="A17557" s="6" t="str">
        <f>"CEP170B"</f>
        <v>CEP170B</v>
      </c>
      <c r="B17557" s="6">
        <v>0.99600399600399603</v>
      </c>
      <c r="C17557" s="6">
        <v>0.99747888516540895</v>
      </c>
    </row>
    <row r="17558" spans="1:3" s="8" customFormat="1" x14ac:dyDescent="0.2">
      <c r="A17558" s="6" t="str">
        <f>"PRPF8"</f>
        <v>PRPF8</v>
      </c>
      <c r="B17558" s="6">
        <v>0.99600399600399603</v>
      </c>
      <c r="C17558" s="6">
        <v>0.99747888516540895</v>
      </c>
    </row>
    <row r="17559" spans="1:3" s="8" customFormat="1" x14ac:dyDescent="0.2">
      <c r="A17559" s="6" t="str">
        <f>"AGR2"</f>
        <v>AGR2</v>
      </c>
      <c r="B17559" s="6">
        <v>0.99600399600399603</v>
      </c>
      <c r="C17559" s="6">
        <v>0.99747888516540895</v>
      </c>
    </row>
    <row r="17560" spans="1:3" s="8" customFormat="1" x14ac:dyDescent="0.2">
      <c r="A17560" s="6" t="str">
        <f>"ZNF890P"</f>
        <v>ZNF890P</v>
      </c>
      <c r="B17560" s="6">
        <v>0.99700299700299699</v>
      </c>
      <c r="C17560" s="6">
        <v>0.99836564346814904</v>
      </c>
    </row>
    <row r="17561" spans="1:3" s="8" customFormat="1" x14ac:dyDescent="0.2">
      <c r="A17561" s="6" t="str">
        <f>"C1orf220"</f>
        <v>C1orf220</v>
      </c>
      <c r="B17561" s="6">
        <v>0.99700299700299699</v>
      </c>
      <c r="C17561" s="6">
        <v>0.99836564346814904</v>
      </c>
    </row>
    <row r="17562" spans="1:3" s="8" customFormat="1" x14ac:dyDescent="0.2">
      <c r="A17562" s="6" t="str">
        <f>"AC015961.2"</f>
        <v>AC015961.2</v>
      </c>
      <c r="B17562" s="6">
        <v>0.99800199800199796</v>
      </c>
      <c r="C17562" s="6">
        <v>0.998910925140433</v>
      </c>
    </row>
    <row r="17563" spans="1:3" s="8" customFormat="1" x14ac:dyDescent="0.2">
      <c r="A17563" s="6" t="str">
        <f>"AC008895.1"</f>
        <v>AC008895.1</v>
      </c>
      <c r="B17563" s="6">
        <v>0.998</v>
      </c>
      <c r="C17563" s="6">
        <v>0.998910925140433</v>
      </c>
    </row>
    <row r="17564" spans="1:3" s="8" customFormat="1" x14ac:dyDescent="0.2">
      <c r="A17564" s="6" t="str">
        <f>"AL390198.1"</f>
        <v>AL390198.1</v>
      </c>
      <c r="B17564" s="6">
        <v>0.99800199800199796</v>
      </c>
      <c r="C17564" s="6">
        <v>0.998910925140433</v>
      </c>
    </row>
    <row r="17565" spans="1:3" s="8" customFormat="1" x14ac:dyDescent="0.2">
      <c r="A17565" s="6" t="str">
        <f>"PDGFRB"</f>
        <v>PDGFRB</v>
      </c>
      <c r="B17565" s="6">
        <v>0.99800199800199796</v>
      </c>
      <c r="C17565" s="6">
        <v>0.998910925140433</v>
      </c>
    </row>
    <row r="17566" spans="1:3" s="8" customFormat="1" x14ac:dyDescent="0.2">
      <c r="A17566" s="6" t="str">
        <f>"AC092821.3"</f>
        <v>AC092821.3</v>
      </c>
      <c r="B17566" s="6">
        <v>0.99800199800199796</v>
      </c>
      <c r="C17566" s="6">
        <v>0.998910925140433</v>
      </c>
    </row>
    <row r="17567" spans="1:3" s="8" customFormat="1" x14ac:dyDescent="0.2">
      <c r="A17567" s="6" t="str">
        <f>"AC012325.1"</f>
        <v>AC012325.1</v>
      </c>
      <c r="B17567" s="6">
        <v>0.99800199800199796</v>
      </c>
      <c r="C17567" s="6">
        <v>0.998910925140433</v>
      </c>
    </row>
    <row r="17568" spans="1:3" s="8" customFormat="1" x14ac:dyDescent="0.2">
      <c r="A17568" s="6" t="str">
        <f>"FAM187A"</f>
        <v>FAM187A</v>
      </c>
      <c r="B17568" s="6">
        <v>0.99800199800199796</v>
      </c>
      <c r="C17568" s="6">
        <v>0.998910925140433</v>
      </c>
    </row>
    <row r="17569" spans="1:3" s="8" customFormat="1" x14ac:dyDescent="0.2">
      <c r="A17569" s="6" t="str">
        <f>"CD2BP2"</f>
        <v>CD2BP2</v>
      </c>
      <c r="B17569" s="6">
        <v>0.99800199800199796</v>
      </c>
      <c r="C17569" s="6">
        <v>0.998910925140433</v>
      </c>
    </row>
    <row r="17570" spans="1:3" s="8" customFormat="1" x14ac:dyDescent="0.2">
      <c r="A17570" s="6" t="str">
        <f>"AC006262.1"</f>
        <v>AC006262.1</v>
      </c>
      <c r="B17570" s="6">
        <v>0.99900099900099903</v>
      </c>
      <c r="C17570" s="6">
        <v>0.99945571042521397</v>
      </c>
    </row>
    <row r="17571" spans="1:3" s="8" customFormat="1" x14ac:dyDescent="0.2">
      <c r="A17571" s="6" t="str">
        <f>"CU633904.1"</f>
        <v>CU633904.1</v>
      </c>
      <c r="B17571" s="6">
        <v>0.99900099900099903</v>
      </c>
      <c r="C17571" s="6">
        <v>0.99945571042521397</v>
      </c>
    </row>
    <row r="17572" spans="1:3" s="8" customFormat="1" x14ac:dyDescent="0.2">
      <c r="A17572" s="6" t="str">
        <f>"PHETA1"</f>
        <v>PHETA1</v>
      </c>
      <c r="B17572" s="6">
        <v>0.99900099900099903</v>
      </c>
      <c r="C17572" s="6">
        <v>0.99945571042521397</v>
      </c>
    </row>
    <row r="17573" spans="1:3" s="8" customFormat="1" x14ac:dyDescent="0.2">
      <c r="A17573" s="6" t="str">
        <f>"L3MBTL2"</f>
        <v>L3MBTL2</v>
      </c>
      <c r="B17573" s="6">
        <v>0.99900099900099903</v>
      </c>
      <c r="C17573" s="6">
        <v>0.99945571042521397</v>
      </c>
    </row>
    <row r="17574" spans="1:3" s="8" customFormat="1" x14ac:dyDescent="0.2">
      <c r="A17574" s="6" t="str">
        <f>"NACC2"</f>
        <v>NACC2</v>
      </c>
      <c r="B17574" s="6">
        <v>0.99900099900099903</v>
      </c>
      <c r="C17574" s="6">
        <v>0.99945571042521397</v>
      </c>
    </row>
    <row r="17575" spans="1:3" s="8" customFormat="1" x14ac:dyDescent="0.2">
      <c r="A17575" s="6" t="str">
        <f>"PTPRZ1"</f>
        <v>PTPRZ1</v>
      </c>
      <c r="B17575" s="6">
        <v>0.99900099900099903</v>
      </c>
      <c r="C17575" s="6">
        <v>0.99945571042521397</v>
      </c>
    </row>
    <row r="17576" spans="1:3" s="8" customFormat="1" x14ac:dyDescent="0.2">
      <c r="A17576" s="6" t="str">
        <f>"EFTUD2"</f>
        <v>EFTUD2</v>
      </c>
      <c r="B17576" s="6">
        <v>0.99900099900099903</v>
      </c>
      <c r="C17576" s="6">
        <v>0.99945571042521397</v>
      </c>
    </row>
    <row r="17577" spans="1:3" s="8" customFormat="1" x14ac:dyDescent="0.2">
      <c r="A17577" s="6" t="str">
        <f>"RPL11"</f>
        <v>RPL11</v>
      </c>
      <c r="B17577" s="6">
        <v>0.99900099900099903</v>
      </c>
      <c r="C17577" s="6">
        <v>0.99945571042521397</v>
      </c>
    </row>
    <row r="17578" spans="1:3" s="8" customFormat="1" x14ac:dyDescent="0.2">
      <c r="A17578" s="6" t="str">
        <f>"AC139792.1"</f>
        <v>AC139792.1</v>
      </c>
      <c r="B17578" s="6">
        <v>1</v>
      </c>
      <c r="C17578" s="6">
        <v>1</v>
      </c>
    </row>
    <row r="17579" spans="1:3" s="8" customFormat="1" x14ac:dyDescent="0.2">
      <c r="A17579" s="6" t="str">
        <f>"LINC00443"</f>
        <v>LINC00443</v>
      </c>
      <c r="B17579" s="6">
        <v>1</v>
      </c>
      <c r="C17579" s="6">
        <v>1</v>
      </c>
    </row>
    <row r="17580" spans="1:3" s="8" customFormat="1" x14ac:dyDescent="0.2">
      <c r="A17580" s="6" t="str">
        <f>"ZNF32-AS2"</f>
        <v>ZNF32-AS2</v>
      </c>
      <c r="B17580" s="6">
        <v>1</v>
      </c>
      <c r="C17580" s="6">
        <v>1</v>
      </c>
    </row>
    <row r="17581" spans="1:3" s="8" customFormat="1" x14ac:dyDescent="0.2">
      <c r="A17581" s="6" t="str">
        <f>"AC005400.1"</f>
        <v>AC005400.1</v>
      </c>
      <c r="B17581" s="6">
        <v>1</v>
      </c>
      <c r="C17581" s="6">
        <v>1</v>
      </c>
    </row>
    <row r="17582" spans="1:3" s="8" customFormat="1" x14ac:dyDescent="0.2">
      <c r="A17582" s="6" t="str">
        <f>"AP006623.1"</f>
        <v>AP006623.1</v>
      </c>
      <c r="B17582" s="6">
        <v>1</v>
      </c>
      <c r="C17582" s="6">
        <v>1</v>
      </c>
    </row>
    <row r="17583" spans="1:3" s="8" customFormat="1" x14ac:dyDescent="0.2">
      <c r="A17583" s="6" t="str">
        <f>"LRRC37A6P"</f>
        <v>LRRC37A6P</v>
      </c>
      <c r="B17583" s="6">
        <v>1</v>
      </c>
      <c r="C17583" s="6">
        <v>1</v>
      </c>
    </row>
    <row r="17584" spans="1:3" s="8" customFormat="1" x14ac:dyDescent="0.2">
      <c r="A17584" s="6" t="str">
        <f>"RPS10P7"</f>
        <v>RPS10P7</v>
      </c>
      <c r="B17584" s="6">
        <v>1</v>
      </c>
      <c r="C17584" s="6">
        <v>1</v>
      </c>
    </row>
    <row r="17585" spans="1:3" s="8" customFormat="1" x14ac:dyDescent="0.2">
      <c r="A17585" s="6" t="str">
        <f>"GORASP1"</f>
        <v>GORASP1</v>
      </c>
      <c r="B17585" s="6">
        <v>1</v>
      </c>
      <c r="C17585" s="6">
        <v>1</v>
      </c>
    </row>
    <row r="17586" spans="1:3" s="8" customFormat="1" x14ac:dyDescent="0.2">
      <c r="A17586" s="6" t="str">
        <f>"SEPTIN7P3"</f>
        <v>SEPTIN7P3</v>
      </c>
      <c r="B17586" s="6" t="s">
        <v>1</v>
      </c>
      <c r="C17586" s="6" t="s">
        <v>1</v>
      </c>
    </row>
    <row r="17587" spans="1:3" s="8" customFormat="1" x14ac:dyDescent="0.2">
      <c r="A17587" s="6" t="str">
        <f>"AL031681.2"</f>
        <v>AL031681.2</v>
      </c>
      <c r="B17587" s="6" t="s">
        <v>1</v>
      </c>
      <c r="C17587" s="6" t="s">
        <v>1</v>
      </c>
    </row>
    <row r="17588" spans="1:3" s="8" customFormat="1" x14ac:dyDescent="0.2">
      <c r="A17588" s="6" t="str">
        <f>"AL445685.3"</f>
        <v>AL445685.3</v>
      </c>
      <c r="B17588" s="6" t="s">
        <v>1</v>
      </c>
      <c r="C17588" s="6" t="s">
        <v>1</v>
      </c>
    </row>
    <row r="17589" spans="1:3" s="8" customFormat="1" x14ac:dyDescent="0.2">
      <c r="A17589" s="6" t="str">
        <f>"GRIA3"</f>
        <v>GRIA3</v>
      </c>
      <c r="B17589" s="6" t="s">
        <v>1</v>
      </c>
      <c r="C17589" s="6" t="s">
        <v>1</v>
      </c>
    </row>
    <row r="17590" spans="1:3" s="8" customFormat="1" x14ac:dyDescent="0.2">
      <c r="A17590" s="6" t="str">
        <f>"AC000041.1"</f>
        <v>AC000041.1</v>
      </c>
      <c r="B17590" s="6" t="s">
        <v>1</v>
      </c>
      <c r="C17590" s="6" t="s">
        <v>1</v>
      </c>
    </row>
    <row r="17591" spans="1:3" s="8" customFormat="1" x14ac:dyDescent="0.2">
      <c r="A17591" s="6" t="str">
        <f>"AC007368.1"</f>
        <v>AC007368.1</v>
      </c>
      <c r="B17591" s="6" t="s">
        <v>1</v>
      </c>
      <c r="C17591" s="6" t="s">
        <v>1</v>
      </c>
    </row>
    <row r="17592" spans="1:3" s="8" customFormat="1" x14ac:dyDescent="0.2">
      <c r="A17592" s="6" t="str">
        <f>"AL451136.1"</f>
        <v>AL451136.1</v>
      </c>
      <c r="B17592" s="6" t="s">
        <v>1</v>
      </c>
      <c r="C17592" s="6" t="s">
        <v>1</v>
      </c>
    </row>
    <row r="17593" spans="1:3" s="8" customFormat="1" x14ac:dyDescent="0.2">
      <c r="A17593" s="6" t="str">
        <f>"MALRD1"</f>
        <v>MALRD1</v>
      </c>
      <c r="B17593" s="6" t="s">
        <v>1</v>
      </c>
      <c r="C17593" s="6" t="s">
        <v>1</v>
      </c>
    </row>
    <row r="17594" spans="1:3" s="8" customFormat="1" x14ac:dyDescent="0.2">
      <c r="A17594" s="6" t="str">
        <f>"GPR61"</f>
        <v>GPR61</v>
      </c>
      <c r="B17594" s="6" t="s">
        <v>1</v>
      </c>
      <c r="C17594" s="6" t="s">
        <v>1</v>
      </c>
    </row>
    <row r="17595" spans="1:3" s="8" customFormat="1" x14ac:dyDescent="0.2">
      <c r="A17595" s="6" t="str">
        <f>"GRIK3"</f>
        <v>GRIK3</v>
      </c>
      <c r="B17595" s="6" t="s">
        <v>1</v>
      </c>
      <c r="C17595" s="6" t="s">
        <v>1</v>
      </c>
    </row>
    <row r="17596" spans="1:3" s="8" customFormat="1" x14ac:dyDescent="0.2">
      <c r="A17596" s="6" t="str">
        <f>"RALGAPA1P1"</f>
        <v>RALGAPA1P1</v>
      </c>
      <c r="B17596" s="6" t="s">
        <v>1</v>
      </c>
      <c r="C17596" s="6" t="s">
        <v>1</v>
      </c>
    </row>
    <row r="17597" spans="1:3" s="8" customFormat="1" x14ac:dyDescent="0.2">
      <c r="A17597" s="6" t="str">
        <f>"PHKA1P1"</f>
        <v>PHKA1P1</v>
      </c>
      <c r="B17597" s="6" t="s">
        <v>1</v>
      </c>
      <c r="C17597" s="6" t="s">
        <v>1</v>
      </c>
    </row>
    <row r="17598" spans="1:3" s="8" customFormat="1" x14ac:dyDescent="0.2">
      <c r="A17598" s="6" t="str">
        <f>"AP001005.3"</f>
        <v>AP001005.3</v>
      </c>
      <c r="B17598" s="6" t="s">
        <v>1</v>
      </c>
      <c r="C17598" s="6" t="s">
        <v>1</v>
      </c>
    </row>
    <row r="17599" spans="1:3" s="8" customFormat="1" x14ac:dyDescent="0.2">
      <c r="A17599" s="6" t="str">
        <f>"AL031710.1"</f>
        <v>AL031710.1</v>
      </c>
      <c r="B17599" s="6" t="s">
        <v>1</v>
      </c>
      <c r="C17599" s="6" t="s">
        <v>1</v>
      </c>
    </row>
    <row r="17600" spans="1:3" s="8" customFormat="1" x14ac:dyDescent="0.2">
      <c r="A17600" s="6" t="str">
        <f>"FAM8A4P"</f>
        <v>FAM8A4P</v>
      </c>
      <c r="B17600" s="6" t="s">
        <v>1</v>
      </c>
      <c r="C17600" s="6" t="s">
        <v>1</v>
      </c>
    </row>
    <row r="17601" spans="1:3" s="8" customFormat="1" x14ac:dyDescent="0.2">
      <c r="A17601" s="6" t="str">
        <f>"PCSK2"</f>
        <v>PCSK2</v>
      </c>
      <c r="B17601" s="6" t="s">
        <v>1</v>
      </c>
      <c r="C17601" s="6" t="s">
        <v>1</v>
      </c>
    </row>
    <row r="17602" spans="1:3" s="8" customFormat="1" x14ac:dyDescent="0.2">
      <c r="A17602" s="6" t="str">
        <f>"MIR17HG"</f>
        <v>MIR17HG</v>
      </c>
      <c r="B17602" s="6" t="s">
        <v>1</v>
      </c>
      <c r="C17602" s="6" t="s">
        <v>1</v>
      </c>
    </row>
    <row r="17603" spans="1:3" s="8" customFormat="1" x14ac:dyDescent="0.2">
      <c r="A17603" s="6" t="str">
        <f>"EMILIN3"</f>
        <v>EMILIN3</v>
      </c>
      <c r="B17603" s="6" t="s">
        <v>1</v>
      </c>
      <c r="C17603" s="6" t="s">
        <v>1</v>
      </c>
    </row>
    <row r="17604" spans="1:3" s="8" customFormat="1" x14ac:dyDescent="0.2">
      <c r="A17604" s="6" t="str">
        <f>"FAR2P3"</f>
        <v>FAR2P3</v>
      </c>
      <c r="B17604" s="6" t="s">
        <v>1</v>
      </c>
      <c r="C17604" s="6" t="s">
        <v>1</v>
      </c>
    </row>
    <row r="17605" spans="1:3" s="8" customFormat="1" x14ac:dyDescent="0.2">
      <c r="A17605" s="6" t="str">
        <f>"AC015818.3"</f>
        <v>AC015818.3</v>
      </c>
      <c r="B17605" s="6" t="s">
        <v>1</v>
      </c>
      <c r="C17605" s="6" t="s">
        <v>1</v>
      </c>
    </row>
    <row r="17606" spans="1:3" s="8" customFormat="1" x14ac:dyDescent="0.2">
      <c r="A17606" s="6" t="str">
        <f>"MAEL"</f>
        <v>MAEL</v>
      </c>
      <c r="B17606" s="6" t="s">
        <v>1</v>
      </c>
      <c r="C17606" s="6" t="s">
        <v>1</v>
      </c>
    </row>
    <row r="17607" spans="1:3" s="8" customFormat="1" x14ac:dyDescent="0.2">
      <c r="A17607" s="6" t="str">
        <f>"RPL9P25"</f>
        <v>RPL9P25</v>
      </c>
      <c r="B17607" s="6" t="s">
        <v>1</v>
      </c>
      <c r="C17607" s="6" t="s">
        <v>1</v>
      </c>
    </row>
    <row r="17608" spans="1:3" s="8" customFormat="1" x14ac:dyDescent="0.2">
      <c r="A17608" s="6" t="str">
        <f>"CNTNAP5"</f>
        <v>CNTNAP5</v>
      </c>
      <c r="B17608" s="6" t="s">
        <v>1</v>
      </c>
      <c r="C17608" s="6" t="s">
        <v>1</v>
      </c>
    </row>
    <row r="17609" spans="1:3" s="8" customFormat="1" x14ac:dyDescent="0.2">
      <c r="A17609" s="6" t="str">
        <f>"AC093726.1"</f>
        <v>AC093726.1</v>
      </c>
      <c r="B17609" s="6" t="s">
        <v>1</v>
      </c>
      <c r="C17609" s="6" t="s">
        <v>1</v>
      </c>
    </row>
    <row r="17610" spans="1:3" s="8" customFormat="1" x14ac:dyDescent="0.2">
      <c r="A17610" s="6" t="str">
        <f>"AL031281.1"</f>
        <v>AL031281.1</v>
      </c>
      <c r="B17610" s="6" t="s">
        <v>1</v>
      </c>
      <c r="C17610" s="6" t="s">
        <v>1</v>
      </c>
    </row>
    <row r="17611" spans="1:3" s="8" customFormat="1" x14ac:dyDescent="0.2">
      <c r="A17611" s="6" t="str">
        <f>"AL392089.1"</f>
        <v>AL392089.1</v>
      </c>
      <c r="B17611" s="6" t="s">
        <v>1</v>
      </c>
      <c r="C17611" s="6" t="s">
        <v>1</v>
      </c>
    </row>
    <row r="17612" spans="1:3" s="8" customFormat="1" x14ac:dyDescent="0.2">
      <c r="A17612" s="6" t="str">
        <f>"MC5R"</f>
        <v>MC5R</v>
      </c>
      <c r="B17612" s="6" t="s">
        <v>1</v>
      </c>
      <c r="C17612" s="6" t="s">
        <v>1</v>
      </c>
    </row>
    <row r="17613" spans="1:3" s="8" customFormat="1" x14ac:dyDescent="0.2">
      <c r="A17613" s="6" t="str">
        <f>"FLRT1"</f>
        <v>FLRT1</v>
      </c>
      <c r="B17613" s="6" t="s">
        <v>1</v>
      </c>
      <c r="C17613" s="6" t="s">
        <v>1</v>
      </c>
    </row>
    <row r="17614" spans="1:3" s="8" customFormat="1" x14ac:dyDescent="0.2">
      <c r="A17614" s="6" t="str">
        <f>"AC087284.1"</f>
        <v>AC087284.1</v>
      </c>
      <c r="B17614" s="6" t="s">
        <v>1</v>
      </c>
      <c r="C17614" s="6" t="s">
        <v>1</v>
      </c>
    </row>
    <row r="17615" spans="1:3" s="8" customFormat="1" x14ac:dyDescent="0.2">
      <c r="A17615" s="6" t="str">
        <f>"CELF4"</f>
        <v>CELF4</v>
      </c>
      <c r="B17615" s="6" t="s">
        <v>1</v>
      </c>
      <c r="C17615" s="6" t="s">
        <v>1</v>
      </c>
    </row>
    <row r="17616" spans="1:3" s="8" customFormat="1" x14ac:dyDescent="0.2">
      <c r="A17616" s="6" t="str">
        <f>"TRBV7-6"</f>
        <v>TRBV7-6</v>
      </c>
      <c r="B17616" s="6" t="s">
        <v>1</v>
      </c>
      <c r="C17616" s="6" t="s">
        <v>1</v>
      </c>
    </row>
    <row r="17617" spans="1:3" s="8" customFormat="1" x14ac:dyDescent="0.2">
      <c r="A17617" s="6" t="str">
        <f>"AC012588.1"</f>
        <v>AC012588.1</v>
      </c>
      <c r="B17617" s="6" t="s">
        <v>1</v>
      </c>
      <c r="C17617" s="6" t="s">
        <v>1</v>
      </c>
    </row>
    <row r="17618" spans="1:3" s="8" customFormat="1" x14ac:dyDescent="0.2">
      <c r="A17618" s="6" t="str">
        <f>"GRB14"</f>
        <v>GRB14</v>
      </c>
      <c r="B17618" s="6" t="s">
        <v>1</v>
      </c>
      <c r="C17618" s="6" t="s">
        <v>1</v>
      </c>
    </row>
    <row r="17619" spans="1:3" s="8" customFormat="1" x14ac:dyDescent="0.2">
      <c r="A17619" s="6" t="str">
        <f>"AC093278.2"</f>
        <v>AC093278.2</v>
      </c>
      <c r="B17619" s="6" t="s">
        <v>1</v>
      </c>
      <c r="C17619" s="6" t="s">
        <v>1</v>
      </c>
    </row>
    <row r="17620" spans="1:3" s="8" customFormat="1" x14ac:dyDescent="0.2">
      <c r="A17620" s="6" t="str">
        <f>"DNM1P51"</f>
        <v>DNM1P51</v>
      </c>
      <c r="B17620" s="6" t="s">
        <v>1</v>
      </c>
      <c r="C17620" s="6" t="s">
        <v>1</v>
      </c>
    </row>
    <row r="17621" spans="1:3" s="8" customFormat="1" x14ac:dyDescent="0.2">
      <c r="A17621" s="6" t="str">
        <f>"AL353770.3"</f>
        <v>AL353770.3</v>
      </c>
      <c r="B17621" s="6" t="s">
        <v>1</v>
      </c>
      <c r="C17621" s="6" t="s">
        <v>1</v>
      </c>
    </row>
    <row r="17622" spans="1:3" s="8" customFormat="1" x14ac:dyDescent="0.2">
      <c r="A17622" s="6" t="str">
        <f>"LINC02240"</f>
        <v>LINC02240</v>
      </c>
      <c r="B17622" s="6" t="s">
        <v>1</v>
      </c>
      <c r="C17622" s="6" t="s">
        <v>1</v>
      </c>
    </row>
    <row r="17623" spans="1:3" s="8" customFormat="1" x14ac:dyDescent="0.2">
      <c r="A17623" s="6" t="str">
        <f>"AP000892.4"</f>
        <v>AP000892.4</v>
      </c>
      <c r="B17623" s="6" t="s">
        <v>1</v>
      </c>
      <c r="C17623" s="6" t="s">
        <v>1</v>
      </c>
    </row>
    <row r="17624" spans="1:3" s="8" customFormat="1" x14ac:dyDescent="0.2">
      <c r="A17624" s="6" t="str">
        <f>"AC004899.2"</f>
        <v>AC004899.2</v>
      </c>
      <c r="B17624" s="6" t="s">
        <v>1</v>
      </c>
      <c r="C17624" s="6" t="s">
        <v>1</v>
      </c>
    </row>
    <row r="17625" spans="1:3" s="8" customFormat="1" x14ac:dyDescent="0.2">
      <c r="A17625" s="6" t="str">
        <f>"AL353608.3"</f>
        <v>AL353608.3</v>
      </c>
      <c r="B17625" s="6" t="s">
        <v>1</v>
      </c>
      <c r="C17625" s="6" t="s">
        <v>1</v>
      </c>
    </row>
    <row r="17626" spans="1:3" s="8" customFormat="1" x14ac:dyDescent="0.2">
      <c r="A17626" s="6" t="str">
        <f>"AC013271.1"</f>
        <v>AC013271.1</v>
      </c>
      <c r="B17626" s="6" t="s">
        <v>1</v>
      </c>
      <c r="C17626" s="6" t="s">
        <v>1</v>
      </c>
    </row>
    <row r="17627" spans="1:3" s="8" customFormat="1" x14ac:dyDescent="0.2">
      <c r="A17627" s="6" t="str">
        <f>"TRGV2"</f>
        <v>TRGV2</v>
      </c>
      <c r="B17627" s="6" t="s">
        <v>1</v>
      </c>
      <c r="C17627" s="6" t="s">
        <v>1</v>
      </c>
    </row>
    <row r="17628" spans="1:3" s="8" customFormat="1" x14ac:dyDescent="0.2">
      <c r="A17628" s="6" t="str">
        <f>"LINC01165"</f>
        <v>LINC01165</v>
      </c>
      <c r="B17628" s="6" t="s">
        <v>1</v>
      </c>
      <c r="C17628" s="6" t="s">
        <v>1</v>
      </c>
    </row>
    <row r="17629" spans="1:3" s="8" customFormat="1" x14ac:dyDescent="0.2">
      <c r="A17629" s="6" t="str">
        <f>"TNFRSF13B"</f>
        <v>TNFRSF13B</v>
      </c>
      <c r="B17629" s="6" t="s">
        <v>1</v>
      </c>
      <c r="C17629" s="6" t="s">
        <v>1</v>
      </c>
    </row>
    <row r="17630" spans="1:3" s="8" customFormat="1" x14ac:dyDescent="0.2">
      <c r="A17630" s="6" t="str">
        <f>"AC022167.4"</f>
        <v>AC022167.4</v>
      </c>
      <c r="B17630" s="6" t="s">
        <v>1</v>
      </c>
      <c r="C17630" s="6" t="s">
        <v>1</v>
      </c>
    </row>
    <row r="17631" spans="1:3" s="8" customFormat="1" x14ac:dyDescent="0.2">
      <c r="A17631" s="6" t="str">
        <f>"LINC02128"</f>
        <v>LINC02128</v>
      </c>
      <c r="B17631" s="6" t="s">
        <v>1</v>
      </c>
      <c r="C17631" s="6" t="s">
        <v>1</v>
      </c>
    </row>
    <row r="17632" spans="1:3" s="8" customFormat="1" x14ac:dyDescent="0.2">
      <c r="A17632" s="6" t="str">
        <f>"AC084375.1"</f>
        <v>AC084375.1</v>
      </c>
      <c r="B17632" s="6" t="s">
        <v>1</v>
      </c>
      <c r="C17632" s="6" t="s">
        <v>1</v>
      </c>
    </row>
    <row r="17633" spans="1:3" s="8" customFormat="1" x14ac:dyDescent="0.2">
      <c r="A17633" s="6" t="str">
        <f>"AC013470.1"</f>
        <v>AC013470.1</v>
      </c>
      <c r="B17633" s="6" t="s">
        <v>1</v>
      </c>
      <c r="C17633" s="6" t="s">
        <v>1</v>
      </c>
    </row>
    <row r="17634" spans="1:3" s="8" customFormat="1" x14ac:dyDescent="0.2">
      <c r="A17634" s="6" t="str">
        <f>"AC007333.2"</f>
        <v>AC007333.2</v>
      </c>
      <c r="B17634" s="6" t="s">
        <v>1</v>
      </c>
      <c r="C17634" s="6" t="s">
        <v>1</v>
      </c>
    </row>
    <row r="17635" spans="1:3" s="8" customFormat="1" x14ac:dyDescent="0.2">
      <c r="A17635" s="6" t="str">
        <f>"NDUFB4P11"</f>
        <v>NDUFB4P11</v>
      </c>
      <c r="B17635" s="6" t="s">
        <v>1</v>
      </c>
      <c r="C17635" s="6" t="s">
        <v>1</v>
      </c>
    </row>
    <row r="17636" spans="1:3" s="8" customFormat="1" x14ac:dyDescent="0.2">
      <c r="A17636" s="6" t="str">
        <f>"TBC1D27P"</f>
        <v>TBC1D27P</v>
      </c>
      <c r="B17636" s="6" t="s">
        <v>1</v>
      </c>
      <c r="C17636" s="6" t="s">
        <v>1</v>
      </c>
    </row>
    <row r="17637" spans="1:3" s="8" customFormat="1" x14ac:dyDescent="0.2">
      <c r="A17637" s="6" t="str">
        <f>"AC067956.1"</f>
        <v>AC067956.1</v>
      </c>
      <c r="B17637" s="6" t="s">
        <v>1</v>
      </c>
      <c r="C17637" s="6" t="s">
        <v>1</v>
      </c>
    </row>
    <row r="17638" spans="1:3" s="8" customFormat="1" x14ac:dyDescent="0.2">
      <c r="A17638" s="6" t="str">
        <f>"AC087392.1"</f>
        <v>AC087392.1</v>
      </c>
      <c r="B17638" s="6" t="s">
        <v>1</v>
      </c>
      <c r="C17638" s="6" t="s">
        <v>1</v>
      </c>
    </row>
    <row r="17639" spans="1:3" s="8" customFormat="1" x14ac:dyDescent="0.2">
      <c r="A17639" s="6" t="str">
        <f>"SNX29P1"</f>
        <v>SNX29P1</v>
      </c>
      <c r="B17639" s="6" t="s">
        <v>1</v>
      </c>
      <c r="C17639" s="6" t="s">
        <v>1</v>
      </c>
    </row>
    <row r="17640" spans="1:3" s="8" customFormat="1" x14ac:dyDescent="0.2">
      <c r="A17640" s="6" t="str">
        <f>"AL354733.1"</f>
        <v>AL354733.1</v>
      </c>
      <c r="B17640" s="6" t="s">
        <v>1</v>
      </c>
      <c r="C17640" s="6" t="s">
        <v>1</v>
      </c>
    </row>
    <row r="17641" spans="1:3" s="8" customFormat="1" x14ac:dyDescent="0.2">
      <c r="A17641" s="6" t="str">
        <f>"AC093809.1"</f>
        <v>AC093809.1</v>
      </c>
      <c r="B17641" s="6" t="s">
        <v>1</v>
      </c>
      <c r="C17641" s="6" t="s">
        <v>1</v>
      </c>
    </row>
    <row r="17642" spans="1:3" s="8" customFormat="1" x14ac:dyDescent="0.2">
      <c r="A17642" s="6" t="str">
        <f>"AC119427.2"</f>
        <v>AC119427.2</v>
      </c>
      <c r="B17642" s="6" t="s">
        <v>1</v>
      </c>
      <c r="C17642" s="6" t="s">
        <v>1</v>
      </c>
    </row>
    <row r="17643" spans="1:3" s="8" customFormat="1" x14ac:dyDescent="0.2">
      <c r="A17643" s="6" t="str">
        <f>"MIP"</f>
        <v>MIP</v>
      </c>
      <c r="B17643" s="6" t="s">
        <v>1</v>
      </c>
      <c r="C17643" s="6" t="s">
        <v>1</v>
      </c>
    </row>
    <row r="17644" spans="1:3" s="8" customFormat="1" x14ac:dyDescent="0.2">
      <c r="A17644" s="6" t="str">
        <f>"APOC4-APOC2"</f>
        <v>APOC4-APOC2</v>
      </c>
      <c r="B17644" s="6" t="s">
        <v>1</v>
      </c>
      <c r="C17644" s="6" t="s">
        <v>1</v>
      </c>
    </row>
    <row r="17645" spans="1:3" s="8" customFormat="1" x14ac:dyDescent="0.2">
      <c r="A17645" s="6" t="str">
        <f>"AC244453.3"</f>
        <v>AC244453.3</v>
      </c>
      <c r="B17645" s="6" t="s">
        <v>1</v>
      </c>
      <c r="C17645" s="6" t="s">
        <v>1</v>
      </c>
    </row>
    <row r="17646" spans="1:3" s="8" customFormat="1" x14ac:dyDescent="0.2">
      <c r="A17646" s="6" t="str">
        <f>"AL451007.3"</f>
        <v>AL451007.3</v>
      </c>
      <c r="B17646" s="6" t="s">
        <v>1</v>
      </c>
      <c r="C17646" s="6" t="s">
        <v>1</v>
      </c>
    </row>
    <row r="17647" spans="1:3" s="8" customFormat="1" x14ac:dyDescent="0.2">
      <c r="A17647" s="6" t="str">
        <f>"GLUD1P2"</f>
        <v>GLUD1P2</v>
      </c>
      <c r="B17647" s="6" t="s">
        <v>1</v>
      </c>
      <c r="C17647" s="6" t="s">
        <v>1</v>
      </c>
    </row>
    <row r="17648" spans="1:3" s="8" customFormat="1" x14ac:dyDescent="0.2">
      <c r="A17648" s="6" t="str">
        <f>"AC127502.3"</f>
        <v>AC127502.3</v>
      </c>
      <c r="B17648" s="6" t="s">
        <v>1</v>
      </c>
      <c r="C17648" s="6" t="s">
        <v>1</v>
      </c>
    </row>
    <row r="17649" spans="1:3" s="8" customFormat="1" x14ac:dyDescent="0.2">
      <c r="A17649" s="6" t="str">
        <f>"AC087045.2"</f>
        <v>AC087045.2</v>
      </c>
      <c r="B17649" s="6" t="s">
        <v>1</v>
      </c>
      <c r="C17649" s="6" t="s">
        <v>1</v>
      </c>
    </row>
    <row r="17650" spans="1:3" s="8" customFormat="1" x14ac:dyDescent="0.2">
      <c r="A17650" s="6" t="str">
        <f>"VN1R108P"</f>
        <v>VN1R108P</v>
      </c>
      <c r="B17650" s="6" t="s">
        <v>1</v>
      </c>
      <c r="C17650" s="6" t="s">
        <v>1</v>
      </c>
    </row>
    <row r="17651" spans="1:3" s="8" customFormat="1" x14ac:dyDescent="0.2">
      <c r="A17651" s="6" t="str">
        <f>"SLC25A5P5"</f>
        <v>SLC25A5P5</v>
      </c>
      <c r="B17651" s="6" t="s">
        <v>1</v>
      </c>
      <c r="C17651" s="6" t="s">
        <v>1</v>
      </c>
    </row>
    <row r="17652" spans="1:3" s="8" customFormat="1" x14ac:dyDescent="0.2">
      <c r="A17652" s="6" t="str">
        <f>"IGFL4"</f>
        <v>IGFL4</v>
      </c>
      <c r="B17652" s="6" t="s">
        <v>1</v>
      </c>
      <c r="C17652" s="6" t="s">
        <v>1</v>
      </c>
    </row>
    <row r="17653" spans="1:3" s="8" customFormat="1" x14ac:dyDescent="0.2">
      <c r="A17653" s="6" t="str">
        <f>"AC244669.2"</f>
        <v>AC244669.2</v>
      </c>
      <c r="B17653" s="6" t="s">
        <v>1</v>
      </c>
      <c r="C17653" s="6" t="s">
        <v>1</v>
      </c>
    </row>
    <row r="17654" spans="1:3" s="8" customFormat="1" x14ac:dyDescent="0.2">
      <c r="A17654" s="6" t="str">
        <f>"GPR3"</f>
        <v>GPR3</v>
      </c>
      <c r="B17654" s="6" t="s">
        <v>1</v>
      </c>
      <c r="C17654" s="6" t="s">
        <v>1</v>
      </c>
    </row>
    <row r="17655" spans="1:3" s="8" customFormat="1" x14ac:dyDescent="0.2">
      <c r="A17655" s="6" t="str">
        <f>"ADRA1D"</f>
        <v>ADRA1D</v>
      </c>
      <c r="B17655" s="6" t="s">
        <v>1</v>
      </c>
      <c r="C17655" s="6" t="s">
        <v>1</v>
      </c>
    </row>
    <row r="17656" spans="1:3" s="8" customFormat="1" x14ac:dyDescent="0.2">
      <c r="A17656" s="6" t="str">
        <f>"CHURC1-FNTB"</f>
        <v>CHURC1-FNTB</v>
      </c>
      <c r="B17656" s="6" t="s">
        <v>1</v>
      </c>
      <c r="C17656" s="6" t="s">
        <v>1</v>
      </c>
    </row>
    <row r="17657" spans="1:3" s="8" customFormat="1" x14ac:dyDescent="0.2">
      <c r="A17657" s="6" t="str">
        <f>"GPR78"</f>
        <v>GPR78</v>
      </c>
      <c r="B17657" s="6" t="s">
        <v>1</v>
      </c>
      <c r="C17657" s="6" t="s">
        <v>1</v>
      </c>
    </row>
    <row r="17658" spans="1:3" s="8" customFormat="1" x14ac:dyDescent="0.2">
      <c r="A17658" s="6" t="str">
        <f>"AL445928.2"</f>
        <v>AL445928.2</v>
      </c>
      <c r="B17658" s="6" t="s">
        <v>1</v>
      </c>
      <c r="C17658" s="6" t="s">
        <v>1</v>
      </c>
    </row>
    <row r="17659" spans="1:3" s="8" customFormat="1" x14ac:dyDescent="0.2">
      <c r="A17659" s="6" t="str">
        <f>"EXOC5P1"</f>
        <v>EXOC5P1</v>
      </c>
      <c r="B17659" s="6" t="s">
        <v>1</v>
      </c>
      <c r="C17659" s="6" t="s">
        <v>1</v>
      </c>
    </row>
    <row r="17660" spans="1:3" s="8" customFormat="1" x14ac:dyDescent="0.2">
      <c r="A17660" s="6" t="str">
        <f>"PDE11A-AS1"</f>
        <v>PDE11A-AS1</v>
      </c>
      <c r="B17660" s="6" t="s">
        <v>1</v>
      </c>
      <c r="C17660" s="6" t="s">
        <v>1</v>
      </c>
    </row>
    <row r="17661" spans="1:3" s="8" customFormat="1" x14ac:dyDescent="0.2">
      <c r="A17661" s="6" t="str">
        <f>"GLRA3"</f>
        <v>GLRA3</v>
      </c>
      <c r="B17661" s="6" t="s">
        <v>1</v>
      </c>
      <c r="C17661" s="6" t="s">
        <v>1</v>
      </c>
    </row>
    <row r="17662" spans="1:3" s="8" customFormat="1" x14ac:dyDescent="0.2">
      <c r="A17662" s="6" t="str">
        <f>"MIXL1"</f>
        <v>MIXL1</v>
      </c>
      <c r="B17662" s="6" t="s">
        <v>1</v>
      </c>
      <c r="C17662" s="6" t="s">
        <v>1</v>
      </c>
    </row>
    <row r="17663" spans="1:3" s="8" customFormat="1" x14ac:dyDescent="0.2">
      <c r="A17663" s="6" t="str">
        <f>"AL133410.3"</f>
        <v>AL133410.3</v>
      </c>
      <c r="B17663" s="6" t="s">
        <v>1</v>
      </c>
      <c r="C17663" s="6" t="s">
        <v>1</v>
      </c>
    </row>
    <row r="17664" spans="1:3" s="8" customFormat="1" x14ac:dyDescent="0.2">
      <c r="A17664" s="6" t="str">
        <f>"TNFSF12-TNFSF13"</f>
        <v>TNFSF12-TNFSF13</v>
      </c>
      <c r="B17664" s="6" t="s">
        <v>1</v>
      </c>
      <c r="C17664" s="6" t="s">
        <v>1</v>
      </c>
    </row>
    <row r="17665" spans="1:3" s="8" customFormat="1" x14ac:dyDescent="0.2">
      <c r="A17665" s="6" t="str">
        <f>"ASMT"</f>
        <v>ASMT</v>
      </c>
      <c r="B17665" s="6" t="s">
        <v>1</v>
      </c>
      <c r="C17665" s="6" t="s">
        <v>1</v>
      </c>
    </row>
    <row r="17666" spans="1:3" s="8" customFormat="1" x14ac:dyDescent="0.2">
      <c r="A17666" s="6" t="str">
        <f>"AC084809.2"</f>
        <v>AC084809.2</v>
      </c>
      <c r="B17666" s="6" t="s">
        <v>1</v>
      </c>
      <c r="C17666" s="6" t="s">
        <v>1</v>
      </c>
    </row>
    <row r="17667" spans="1:3" s="8" customFormat="1" x14ac:dyDescent="0.2">
      <c r="A17667" s="6" t="str">
        <f>"IGFBP7-AS1"</f>
        <v>IGFBP7-AS1</v>
      </c>
      <c r="B17667" s="6" t="s">
        <v>1</v>
      </c>
      <c r="C17667" s="6" t="s">
        <v>1</v>
      </c>
    </row>
    <row r="17668" spans="1:3" s="8" customFormat="1" x14ac:dyDescent="0.2">
      <c r="A17668" s="6" t="str">
        <f>"MIR4290HG"</f>
        <v>MIR4290HG</v>
      </c>
      <c r="B17668" s="6" t="s">
        <v>1</v>
      </c>
      <c r="C17668" s="6" t="s">
        <v>1</v>
      </c>
    </row>
    <row r="17669" spans="1:3" s="8" customFormat="1" x14ac:dyDescent="0.2">
      <c r="A17669" s="6" t="str">
        <f>"GRID1"</f>
        <v>GRID1</v>
      </c>
      <c r="B17669" s="6" t="s">
        <v>1</v>
      </c>
      <c r="C17669" s="6" t="s">
        <v>1</v>
      </c>
    </row>
    <row r="17670" spans="1:3" s="8" customFormat="1" x14ac:dyDescent="0.2">
      <c r="A17670" s="6" t="str">
        <f>"GPR4"</f>
        <v>GPR4</v>
      </c>
      <c r="B17670" s="6" t="s">
        <v>1</v>
      </c>
      <c r="C17670" s="6" t="s">
        <v>1</v>
      </c>
    </row>
    <row r="17671" spans="1:3" s="8" customFormat="1" x14ac:dyDescent="0.2">
      <c r="A17671" s="6" t="str">
        <f>"GRAPL"</f>
        <v>GRAPL</v>
      </c>
      <c r="B17671" s="6" t="s">
        <v>1</v>
      </c>
      <c r="C17671" s="6" t="s">
        <v>1</v>
      </c>
    </row>
    <row r="17672" spans="1:3" s="8" customFormat="1" x14ac:dyDescent="0.2">
      <c r="A17672" s="6" t="str">
        <f>"KLHL2P1"</f>
        <v>KLHL2P1</v>
      </c>
      <c r="B17672" s="6" t="s">
        <v>1</v>
      </c>
      <c r="C17672" s="6" t="s">
        <v>1</v>
      </c>
    </row>
    <row r="17673" spans="1:3" s="8" customFormat="1" x14ac:dyDescent="0.2">
      <c r="A17673" s="6" t="str">
        <f>"AC244517.5"</f>
        <v>AC244517.5</v>
      </c>
      <c r="B17673" s="6" t="s">
        <v>1</v>
      </c>
      <c r="C17673" s="6" t="s">
        <v>1</v>
      </c>
    </row>
    <row r="17674" spans="1:3" s="8" customFormat="1" x14ac:dyDescent="0.2">
      <c r="A17674" s="6" t="str">
        <f>"SOHLH2"</f>
        <v>SOHLH2</v>
      </c>
      <c r="B17674" s="6" t="s">
        <v>1</v>
      </c>
      <c r="C17674" s="6" t="s">
        <v>1</v>
      </c>
    </row>
    <row r="17675" spans="1:3" s="8" customFormat="1" x14ac:dyDescent="0.2">
      <c r="A17675" s="6" t="str">
        <f>"HMGA2-AS1"</f>
        <v>HMGA2-AS1</v>
      </c>
      <c r="B17675" s="6" t="s">
        <v>1</v>
      </c>
      <c r="C17675" s="6" t="s">
        <v>1</v>
      </c>
    </row>
    <row r="17676" spans="1:3" s="8" customFormat="1" x14ac:dyDescent="0.2">
      <c r="A17676" s="6" t="str">
        <f>"PTPN20CP"</f>
        <v>PTPN20CP</v>
      </c>
      <c r="B17676" s="6" t="s">
        <v>1</v>
      </c>
      <c r="C17676" s="6" t="s">
        <v>1</v>
      </c>
    </row>
    <row r="17677" spans="1:3" s="8" customFormat="1" x14ac:dyDescent="0.2">
      <c r="A17677" s="6" t="str">
        <f>"AC012488.2"</f>
        <v>AC012488.2</v>
      </c>
      <c r="B17677" s="6" t="s">
        <v>1</v>
      </c>
      <c r="C17677" s="6" t="s">
        <v>1</v>
      </c>
    </row>
    <row r="17678" spans="1:3" s="8" customFormat="1" x14ac:dyDescent="0.2">
      <c r="A17678" s="6" t="str">
        <f>"FAR2P1"</f>
        <v>FAR2P1</v>
      </c>
      <c r="B17678" s="6" t="s">
        <v>1</v>
      </c>
      <c r="C17678" s="6" t="s">
        <v>1</v>
      </c>
    </row>
    <row r="17679" spans="1:3" s="8" customFormat="1" x14ac:dyDescent="0.2">
      <c r="A17679" s="6" t="str">
        <f>"AC127526.1"</f>
        <v>AC127526.1</v>
      </c>
      <c r="B17679" s="6" t="s">
        <v>1</v>
      </c>
      <c r="C17679" s="6" t="s">
        <v>1</v>
      </c>
    </row>
    <row r="17680" spans="1:3" s="8" customFormat="1" x14ac:dyDescent="0.2">
      <c r="A17680" s="6" t="str">
        <f>"AC023043.2"</f>
        <v>AC023043.2</v>
      </c>
      <c r="B17680" s="6" t="s">
        <v>1</v>
      </c>
      <c r="C17680" s="6" t="s">
        <v>1</v>
      </c>
    </row>
    <row r="17681" spans="1:3" s="8" customFormat="1" x14ac:dyDescent="0.2">
      <c r="A17681" s="6" t="str">
        <f>"AC087499.2"</f>
        <v>AC087499.2</v>
      </c>
      <c r="B17681" s="6" t="s">
        <v>1</v>
      </c>
      <c r="C17681" s="6" t="s">
        <v>1</v>
      </c>
    </row>
    <row r="17682" spans="1:3" s="8" customFormat="1" x14ac:dyDescent="0.2">
      <c r="A17682" s="6" t="str">
        <f>"AL499604.1"</f>
        <v>AL499604.1</v>
      </c>
      <c r="B17682" s="6" t="s">
        <v>1</v>
      </c>
      <c r="C17682" s="6" t="s">
        <v>1</v>
      </c>
    </row>
    <row r="17683" spans="1:3" s="8" customFormat="1" x14ac:dyDescent="0.2">
      <c r="A17683" s="6" t="str">
        <f>"CASC18"</f>
        <v>CASC18</v>
      </c>
      <c r="B17683" s="6" t="s">
        <v>1</v>
      </c>
      <c r="C17683" s="6" t="s">
        <v>1</v>
      </c>
    </row>
    <row r="17684" spans="1:3" s="8" customFormat="1" x14ac:dyDescent="0.2">
      <c r="A17684" s="6" t="str">
        <f>"FAM71E2"</f>
        <v>FAM71E2</v>
      </c>
      <c r="B17684" s="6" t="s">
        <v>1</v>
      </c>
      <c r="C17684" s="6" t="s">
        <v>1</v>
      </c>
    </row>
    <row r="17685" spans="1:3" s="8" customFormat="1" x14ac:dyDescent="0.2">
      <c r="A17685" s="6" t="str">
        <f>"AC004980.3"</f>
        <v>AC004980.3</v>
      </c>
      <c r="B17685" s="6" t="s">
        <v>1</v>
      </c>
      <c r="C17685" s="6" t="s">
        <v>1</v>
      </c>
    </row>
    <row r="17686" spans="1:3" s="8" customFormat="1" x14ac:dyDescent="0.2">
      <c r="A17686" s="6" t="str">
        <f>"UGT1A3"</f>
        <v>UGT1A3</v>
      </c>
      <c r="B17686" s="6" t="s">
        <v>1</v>
      </c>
      <c r="C17686" s="6" t="s">
        <v>1</v>
      </c>
    </row>
    <row r="17687" spans="1:3" s="8" customFormat="1" x14ac:dyDescent="0.2">
      <c r="A17687" s="6" t="str">
        <f>"AC087280.2"</f>
        <v>AC087280.2</v>
      </c>
      <c r="B17687" s="6" t="s">
        <v>1</v>
      </c>
      <c r="C17687" s="6" t="s">
        <v>1</v>
      </c>
    </row>
    <row r="17688" spans="1:3" s="8" customFormat="1" x14ac:dyDescent="0.2">
      <c r="A17688" s="6" t="str">
        <f>"AC067852.1"</f>
        <v>AC067852.1</v>
      </c>
      <c r="B17688" s="6" t="s">
        <v>1</v>
      </c>
      <c r="C17688" s="6" t="s">
        <v>1</v>
      </c>
    </row>
    <row r="17689" spans="1:3" s="8" customFormat="1" x14ac:dyDescent="0.2">
      <c r="A17689" s="6" t="str">
        <f>"HNRNPA1P52"</f>
        <v>HNRNPA1P52</v>
      </c>
      <c r="B17689" s="6" t="s">
        <v>1</v>
      </c>
      <c r="C17689" s="6" t="s">
        <v>1</v>
      </c>
    </row>
    <row r="17690" spans="1:3" s="8" customFormat="1" x14ac:dyDescent="0.2">
      <c r="A17690" s="6" t="str">
        <f>"TRGV10"</f>
        <v>TRGV10</v>
      </c>
      <c r="B17690" s="6" t="s">
        <v>1</v>
      </c>
      <c r="C17690" s="6" t="s">
        <v>1</v>
      </c>
    </row>
    <row r="17691" spans="1:3" s="8" customFormat="1" x14ac:dyDescent="0.2">
      <c r="A17691" s="6" t="str">
        <f>"AL450998.1"</f>
        <v>AL450998.1</v>
      </c>
      <c r="B17691" s="6" t="s">
        <v>1</v>
      </c>
      <c r="C17691" s="6" t="s">
        <v>1</v>
      </c>
    </row>
    <row r="17692" spans="1:3" s="8" customFormat="1" x14ac:dyDescent="0.2">
      <c r="A17692" s="6" t="str">
        <f>"HNRNPA1P7"</f>
        <v>HNRNPA1P7</v>
      </c>
      <c r="B17692" s="6" t="s">
        <v>1</v>
      </c>
      <c r="C17692" s="6" t="s">
        <v>1</v>
      </c>
    </row>
    <row r="17693" spans="1:3" s="8" customFormat="1" x14ac:dyDescent="0.2">
      <c r="A17693" s="6" t="str">
        <f>"AL133353.2"</f>
        <v>AL133353.2</v>
      </c>
      <c r="B17693" s="6" t="s">
        <v>1</v>
      </c>
      <c r="C17693" s="6" t="s">
        <v>1</v>
      </c>
    </row>
    <row r="17694" spans="1:3" s="8" customFormat="1" x14ac:dyDescent="0.2">
      <c r="A17694" s="6" t="str">
        <f>"ABHD17AP3"</f>
        <v>ABHD17AP3</v>
      </c>
      <c r="B17694" s="6" t="s">
        <v>1</v>
      </c>
      <c r="C17694" s="6" t="s">
        <v>1</v>
      </c>
    </row>
    <row r="17695" spans="1:3" s="8" customFormat="1" x14ac:dyDescent="0.2">
      <c r="A17695" s="6" t="str">
        <f>"CHRNA3"</f>
        <v>CHRNA3</v>
      </c>
      <c r="B17695" s="6" t="s">
        <v>1</v>
      </c>
      <c r="C17695" s="6" t="s">
        <v>1</v>
      </c>
    </row>
    <row r="17696" spans="1:3" s="8" customFormat="1" x14ac:dyDescent="0.2">
      <c r="A17696" s="6" t="str">
        <f>"AL136164.3"</f>
        <v>AL136164.3</v>
      </c>
      <c r="B17696" s="6" t="s">
        <v>1</v>
      </c>
      <c r="C17696" s="6" t="s">
        <v>1</v>
      </c>
    </row>
    <row r="17697" spans="1:3" s="8" customFormat="1" x14ac:dyDescent="0.2">
      <c r="A17697" s="6" t="str">
        <f>"AL353579.1"</f>
        <v>AL353579.1</v>
      </c>
      <c r="B17697" s="6" t="s">
        <v>1</v>
      </c>
      <c r="C17697" s="6" t="s">
        <v>1</v>
      </c>
    </row>
    <row r="17698" spans="1:3" s="8" customFormat="1" x14ac:dyDescent="0.2">
      <c r="A17698" s="6" t="str">
        <f>"AC084757.3"</f>
        <v>AC084757.3</v>
      </c>
      <c r="B17698" s="6" t="s">
        <v>1</v>
      </c>
      <c r="C17698" s="6" t="s">
        <v>1</v>
      </c>
    </row>
    <row r="17699" spans="1:3" s="8" customFormat="1" x14ac:dyDescent="0.2">
      <c r="A17699" s="6" t="str">
        <f>"AC060234.3"</f>
        <v>AC060234.3</v>
      </c>
      <c r="B17699" s="6" t="s">
        <v>1</v>
      </c>
      <c r="C17699" s="6" t="s">
        <v>1</v>
      </c>
    </row>
    <row r="17700" spans="1:3" s="8" customFormat="1" x14ac:dyDescent="0.2">
      <c r="A17700" s="6" t="str">
        <f>"EBF1"</f>
        <v>EBF1</v>
      </c>
      <c r="B17700" s="6" t="s">
        <v>1</v>
      </c>
      <c r="C17700" s="6" t="s">
        <v>1</v>
      </c>
    </row>
    <row r="17701" spans="1:3" s="8" customFormat="1" x14ac:dyDescent="0.2">
      <c r="A17701" s="6" t="str">
        <f>"CYP19A1"</f>
        <v>CYP19A1</v>
      </c>
      <c r="B17701" s="6" t="s">
        <v>1</v>
      </c>
      <c r="C17701" s="6" t="s">
        <v>1</v>
      </c>
    </row>
    <row r="17702" spans="1:3" s="8" customFormat="1" x14ac:dyDescent="0.2">
      <c r="A17702" s="6" t="str">
        <f>"AL353746.1"</f>
        <v>AL353746.1</v>
      </c>
      <c r="B17702" s="6" t="s">
        <v>1</v>
      </c>
      <c r="C17702" s="6" t="s">
        <v>1</v>
      </c>
    </row>
    <row r="17703" spans="1:3" s="8" customFormat="1" x14ac:dyDescent="0.2">
      <c r="A17703" s="6" t="str">
        <f>"DDX50P1"</f>
        <v>DDX50P1</v>
      </c>
      <c r="B17703" s="6" t="s">
        <v>1</v>
      </c>
      <c r="C17703" s="6" t="s">
        <v>1</v>
      </c>
    </row>
    <row r="17704" spans="1:3" s="8" customFormat="1" x14ac:dyDescent="0.2">
      <c r="A17704" s="6" t="str">
        <f>"GREB1L"</f>
        <v>GREB1L</v>
      </c>
      <c r="B17704" s="6" t="s">
        <v>1</v>
      </c>
      <c r="C17704" s="6" t="s">
        <v>1</v>
      </c>
    </row>
    <row r="17705" spans="1:3" s="8" customFormat="1" x14ac:dyDescent="0.2">
      <c r="A17705" s="6" t="str">
        <f>"AC093388.1"</f>
        <v>AC093388.1</v>
      </c>
      <c r="B17705" s="6" t="s">
        <v>1</v>
      </c>
      <c r="C17705" s="6" t="s">
        <v>1</v>
      </c>
    </row>
    <row r="17706" spans="1:3" s="8" customFormat="1" x14ac:dyDescent="0.2">
      <c r="A17706" s="6" t="str">
        <f>"LINC01980"</f>
        <v>LINC01980</v>
      </c>
      <c r="B17706" s="6" t="s">
        <v>1</v>
      </c>
      <c r="C17706" s="6" t="s">
        <v>1</v>
      </c>
    </row>
    <row r="17707" spans="1:3" s="8" customFormat="1" x14ac:dyDescent="0.2">
      <c r="A17707" s="6" t="str">
        <f>"MIR548I1"</f>
        <v>MIR548I1</v>
      </c>
      <c r="B17707" s="6" t="s">
        <v>1</v>
      </c>
      <c r="C17707" s="6" t="s">
        <v>1</v>
      </c>
    </row>
    <row r="17708" spans="1:3" s="8" customFormat="1" x14ac:dyDescent="0.2">
      <c r="A17708" s="6" t="str">
        <f>"AC093525.9"</f>
        <v>AC093525.9</v>
      </c>
      <c r="B17708" s="6" t="s">
        <v>1</v>
      </c>
      <c r="C17708" s="6" t="s">
        <v>1</v>
      </c>
    </row>
    <row r="17709" spans="1:3" s="8" customFormat="1" x14ac:dyDescent="0.2">
      <c r="A17709" s="6" t="str">
        <f>"HNRNPH1P1"</f>
        <v>HNRNPH1P1</v>
      </c>
      <c r="B17709" s="6" t="s">
        <v>1</v>
      </c>
      <c r="C17709" s="6" t="s">
        <v>1</v>
      </c>
    </row>
    <row r="17710" spans="1:3" s="8" customFormat="1" x14ac:dyDescent="0.2">
      <c r="A17710" s="6" t="str">
        <f>"AC067930.3"</f>
        <v>AC067930.3</v>
      </c>
      <c r="B17710" s="6" t="s">
        <v>1</v>
      </c>
      <c r="C17710" s="6" t="s">
        <v>1</v>
      </c>
    </row>
    <row r="17711" spans="1:3" s="8" customFormat="1" x14ac:dyDescent="0.2">
      <c r="A17711" s="6" t="str">
        <f>"AC063950.1"</f>
        <v>AC063950.1</v>
      </c>
      <c r="B17711" s="6" t="s">
        <v>1</v>
      </c>
      <c r="C17711" s="6" t="s">
        <v>1</v>
      </c>
    </row>
    <row r="17712" spans="1:3" s="8" customFormat="1" x14ac:dyDescent="0.2">
      <c r="A17712" s="6" t="str">
        <f>"AC007461.1"</f>
        <v>AC007461.1</v>
      </c>
      <c r="B17712" s="6" t="s">
        <v>1</v>
      </c>
      <c r="C17712" s="6" t="s">
        <v>1</v>
      </c>
    </row>
    <row r="17713" spans="1:3" s="8" customFormat="1" x14ac:dyDescent="0.2">
      <c r="A17713" s="6" t="str">
        <f>"LINC01119"</f>
        <v>LINC01119</v>
      </c>
      <c r="B17713" s="6" t="s">
        <v>1</v>
      </c>
      <c r="C17713" s="6" t="s">
        <v>1</v>
      </c>
    </row>
    <row r="17714" spans="1:3" s="8" customFormat="1" x14ac:dyDescent="0.2">
      <c r="A17714" s="6" t="str">
        <f>"AC243772.3"</f>
        <v>AC243772.3</v>
      </c>
      <c r="B17714" s="6" t="s">
        <v>1</v>
      </c>
      <c r="C17714" s="6" t="s">
        <v>1</v>
      </c>
    </row>
    <row r="17715" spans="1:3" s="8" customFormat="1" x14ac:dyDescent="0.2">
      <c r="A17715" s="6" t="str">
        <f>"AC013731.1"</f>
        <v>AC013731.1</v>
      </c>
      <c r="B17715" s="6" t="s">
        <v>1</v>
      </c>
      <c r="C17715" s="6" t="s">
        <v>1</v>
      </c>
    </row>
    <row r="17716" spans="1:3" s="8" customFormat="1" x14ac:dyDescent="0.2">
      <c r="A17716" s="6" t="str">
        <f>"TRBV7-3"</f>
        <v>TRBV7-3</v>
      </c>
      <c r="B17716" s="6" t="s">
        <v>1</v>
      </c>
      <c r="C17716" s="6" t="s">
        <v>1</v>
      </c>
    </row>
    <row r="17717" spans="1:3" s="8" customFormat="1" x14ac:dyDescent="0.2">
      <c r="A17717" s="6" t="str">
        <f>"IGF2BP1"</f>
        <v>IGF2BP1</v>
      </c>
      <c r="B17717" s="6" t="s">
        <v>1</v>
      </c>
      <c r="C17717" s="6" t="s">
        <v>1</v>
      </c>
    </row>
    <row r="17718" spans="1:3" s="8" customFormat="1" x14ac:dyDescent="0.2">
      <c r="A17718" s="6" t="str">
        <f>"PCP4"</f>
        <v>PCP4</v>
      </c>
      <c r="B17718" s="6" t="s">
        <v>1</v>
      </c>
      <c r="C17718" s="6" t="s">
        <v>1</v>
      </c>
    </row>
    <row r="17719" spans="1:3" s="8" customFormat="1" x14ac:dyDescent="0.2">
      <c r="A17719" s="6" t="str">
        <f>"AC087289.2"</f>
        <v>AC087289.2</v>
      </c>
      <c r="B17719" s="6" t="s">
        <v>1</v>
      </c>
      <c r="C17719" s="6" t="s">
        <v>1</v>
      </c>
    </row>
    <row r="17720" spans="1:3" s="8" customFormat="1" x14ac:dyDescent="0.2">
      <c r="A17720" s="6" t="str">
        <f>"AC084082.1"</f>
        <v>AC084082.1</v>
      </c>
      <c r="B17720" s="6" t="s">
        <v>1</v>
      </c>
      <c r="C17720" s="6" t="s">
        <v>1</v>
      </c>
    </row>
    <row r="17721" spans="1:3" s="8" customFormat="1" x14ac:dyDescent="0.2">
      <c r="A17721" s="6" t="str">
        <f>"KCNC1"</f>
        <v>KCNC1</v>
      </c>
      <c r="B17721" s="6" t="s">
        <v>1</v>
      </c>
      <c r="C17721" s="6" t="s">
        <v>1</v>
      </c>
    </row>
    <row r="17722" spans="1:3" s="8" customFormat="1" x14ac:dyDescent="0.2">
      <c r="A17722" s="6" t="str">
        <f>"LHFPL3-AS1"</f>
        <v>LHFPL3-AS1</v>
      </c>
      <c r="B17722" s="6" t="s">
        <v>1</v>
      </c>
      <c r="C17722" s="6" t="s">
        <v>1</v>
      </c>
    </row>
    <row r="17723" spans="1:3" s="8" customFormat="1" x14ac:dyDescent="0.2">
      <c r="A17723" s="6" t="str">
        <f>"MIR3659HG"</f>
        <v>MIR3659HG</v>
      </c>
      <c r="B17723" s="6" t="s">
        <v>1</v>
      </c>
      <c r="C17723" s="6" t="s">
        <v>1</v>
      </c>
    </row>
    <row r="17724" spans="1:3" s="8" customFormat="1" x14ac:dyDescent="0.2">
      <c r="A17724" s="6" t="str">
        <f>"CHRDL1"</f>
        <v>CHRDL1</v>
      </c>
      <c r="B17724" s="6" t="s">
        <v>1</v>
      </c>
      <c r="C17724" s="6" t="s">
        <v>1</v>
      </c>
    </row>
    <row r="17725" spans="1:3" s="8" customFormat="1" x14ac:dyDescent="0.2">
      <c r="A17725" s="6" t="str">
        <f>"EEF1A1P22"</f>
        <v>EEF1A1P22</v>
      </c>
      <c r="B17725" s="6" t="s">
        <v>1</v>
      </c>
      <c r="C17725" s="6" t="s">
        <v>1</v>
      </c>
    </row>
    <row r="17726" spans="1:3" s="8" customFormat="1" x14ac:dyDescent="0.2">
      <c r="A17726" s="6" t="str">
        <f>"DEFA3"</f>
        <v>DEFA3</v>
      </c>
      <c r="B17726" s="6" t="s">
        <v>1</v>
      </c>
      <c r="C17726" s="6" t="s">
        <v>1</v>
      </c>
    </row>
    <row r="17727" spans="1:3" s="8" customFormat="1" x14ac:dyDescent="0.2">
      <c r="A17727" s="6" t="str">
        <f>"AC093732.2"</f>
        <v>AC093732.2</v>
      </c>
      <c r="B17727" s="6" t="s">
        <v>1</v>
      </c>
      <c r="C17727" s="6" t="s">
        <v>1</v>
      </c>
    </row>
    <row r="17728" spans="1:3" s="8" customFormat="1" x14ac:dyDescent="0.2">
      <c r="A17728" s="6" t="str">
        <f>"AC009435.1"</f>
        <v>AC009435.1</v>
      </c>
      <c r="B17728" s="6" t="s">
        <v>1</v>
      </c>
      <c r="C17728" s="6" t="s">
        <v>1</v>
      </c>
    </row>
    <row r="17729" spans="1:3" s="8" customFormat="1" x14ac:dyDescent="0.2">
      <c r="A17729" s="6" t="str">
        <f>"LINC01990"</f>
        <v>LINC01990</v>
      </c>
      <c r="B17729" s="6" t="s">
        <v>1</v>
      </c>
      <c r="C17729" s="6" t="s">
        <v>1</v>
      </c>
    </row>
    <row r="17730" spans="1:3" s="8" customFormat="1" x14ac:dyDescent="0.2">
      <c r="A17730" s="6" t="str">
        <f>"FXYD4"</f>
        <v>FXYD4</v>
      </c>
      <c r="B17730" s="6" t="s">
        <v>1</v>
      </c>
      <c r="C17730" s="6" t="s">
        <v>1</v>
      </c>
    </row>
    <row r="17731" spans="1:3" s="8" customFormat="1" x14ac:dyDescent="0.2">
      <c r="A17731" s="6" t="str">
        <f>"AP000867.5"</f>
        <v>AP000867.5</v>
      </c>
      <c r="B17731" s="6" t="s">
        <v>1</v>
      </c>
      <c r="C17731" s="6" t="s">
        <v>1</v>
      </c>
    </row>
    <row r="17732" spans="1:3" s="8" customFormat="1" x14ac:dyDescent="0.2">
      <c r="A17732" s="6" t="str">
        <f>"NOS1"</f>
        <v>NOS1</v>
      </c>
      <c r="B17732" s="6" t="s">
        <v>1</v>
      </c>
      <c r="C17732" s="6" t="s">
        <v>1</v>
      </c>
    </row>
    <row r="17733" spans="1:3" s="8" customFormat="1" x14ac:dyDescent="0.2">
      <c r="A17733" s="6" t="str">
        <f>"ENPEP"</f>
        <v>ENPEP</v>
      </c>
      <c r="B17733" s="6" t="s">
        <v>1</v>
      </c>
      <c r="C17733" s="6" t="s">
        <v>1</v>
      </c>
    </row>
    <row r="17734" spans="1:3" s="8" customFormat="1" x14ac:dyDescent="0.2">
      <c r="A17734" s="6" t="str">
        <f>"OVCH2"</f>
        <v>OVCH2</v>
      </c>
      <c r="B17734" s="6" t="s">
        <v>1</v>
      </c>
      <c r="C17734" s="6" t="s">
        <v>1</v>
      </c>
    </row>
    <row r="17735" spans="1:3" s="8" customFormat="1" x14ac:dyDescent="0.2">
      <c r="A17735" s="6" t="str">
        <f>"CRYBB2"</f>
        <v>CRYBB2</v>
      </c>
      <c r="B17735" s="6" t="s">
        <v>1</v>
      </c>
      <c r="C17735" s="6" t="s">
        <v>1</v>
      </c>
    </row>
    <row r="17736" spans="1:3" s="8" customFormat="1" x14ac:dyDescent="0.2">
      <c r="A17736" s="6" t="str">
        <f>"AC108477.1"</f>
        <v>AC108477.1</v>
      </c>
      <c r="B17736" s="6" t="s">
        <v>1</v>
      </c>
      <c r="C17736" s="6" t="s">
        <v>1</v>
      </c>
    </row>
    <row r="17737" spans="1:3" s="8" customFormat="1" x14ac:dyDescent="0.2">
      <c r="A17737" s="6" t="str">
        <f>"LINC02218"</f>
        <v>LINC02218</v>
      </c>
      <c r="B17737" s="6" t="s">
        <v>1</v>
      </c>
      <c r="C17737" s="6" t="s">
        <v>1</v>
      </c>
    </row>
    <row r="17738" spans="1:3" s="8" customFormat="1" x14ac:dyDescent="0.2">
      <c r="A17738" s="6" t="str">
        <f>"CCN5"</f>
        <v>CCN5</v>
      </c>
      <c r="B17738" s="6" t="s">
        <v>1</v>
      </c>
      <c r="C17738" s="6" t="s">
        <v>1</v>
      </c>
    </row>
    <row r="17739" spans="1:3" s="8" customFormat="1" x14ac:dyDescent="0.2">
      <c r="A17739" s="6" t="str">
        <f>"KCNF1"</f>
        <v>KCNF1</v>
      </c>
      <c r="B17739" s="6" t="s">
        <v>1</v>
      </c>
      <c r="C17739" s="6" t="s">
        <v>1</v>
      </c>
    </row>
    <row r="17740" spans="1:3" s="8" customFormat="1" x14ac:dyDescent="0.2">
      <c r="A17740" s="6" t="str">
        <f>"LINC00930"</f>
        <v>LINC00930</v>
      </c>
      <c r="B17740" s="6" t="s">
        <v>1</v>
      </c>
      <c r="C17740" s="6" t="s">
        <v>1</v>
      </c>
    </row>
    <row r="17741" spans="1:3" s="8" customFormat="1" x14ac:dyDescent="0.2">
      <c r="A17741" s="6" t="str">
        <f>"AL133338.2"</f>
        <v>AL133338.2</v>
      </c>
      <c r="B17741" s="6" t="s">
        <v>1</v>
      </c>
      <c r="C17741" s="6" t="s">
        <v>1</v>
      </c>
    </row>
    <row r="17742" spans="1:3" s="8" customFormat="1" x14ac:dyDescent="0.2">
      <c r="A17742" s="6" t="str">
        <f>"AC023302.1"</f>
        <v>AC023302.1</v>
      </c>
      <c r="B17742" s="6" t="s">
        <v>1</v>
      </c>
      <c r="C17742" s="6" t="s">
        <v>1</v>
      </c>
    </row>
    <row r="17743" spans="1:3" s="8" customFormat="1" x14ac:dyDescent="0.2">
      <c r="A17743" s="6" t="str">
        <f>"CYP4F2"</f>
        <v>CYP4F2</v>
      </c>
      <c r="B17743" s="6" t="s">
        <v>1</v>
      </c>
      <c r="C17743" s="6" t="s">
        <v>1</v>
      </c>
    </row>
    <row r="17744" spans="1:3" s="8" customFormat="1" x14ac:dyDescent="0.2">
      <c r="A17744" s="6" t="str">
        <f>"AL353699.1"</f>
        <v>AL353699.1</v>
      </c>
      <c r="B17744" s="6" t="s">
        <v>1</v>
      </c>
      <c r="C17744" s="6" t="s">
        <v>1</v>
      </c>
    </row>
    <row r="17745" spans="1:3" s="8" customFormat="1" x14ac:dyDescent="0.2">
      <c r="A17745" s="6" t="str">
        <f>"FAM74A3"</f>
        <v>FAM74A3</v>
      </c>
      <c r="B17745" s="6" t="s">
        <v>1</v>
      </c>
      <c r="C17745" s="6" t="s">
        <v>1</v>
      </c>
    </row>
    <row r="17746" spans="1:3" s="8" customFormat="1" x14ac:dyDescent="0.2">
      <c r="A17746" s="6" t="str">
        <f>"GK-IT1"</f>
        <v>GK-IT1</v>
      </c>
      <c r="B17746" s="6" t="s">
        <v>1</v>
      </c>
      <c r="C17746" s="6" t="s">
        <v>1</v>
      </c>
    </row>
    <row r="17747" spans="1:3" s="8" customFormat="1" x14ac:dyDescent="0.2">
      <c r="A17747" s="6" t="str">
        <f>"APOB"</f>
        <v>APOB</v>
      </c>
      <c r="B17747" s="6" t="s">
        <v>1</v>
      </c>
      <c r="C17747" s="6" t="s">
        <v>1</v>
      </c>
    </row>
    <row r="17748" spans="1:3" s="8" customFormat="1" x14ac:dyDescent="0.2">
      <c r="A17748" s="6" t="str">
        <f>"HMGN1P3"</f>
        <v>HMGN1P3</v>
      </c>
      <c r="B17748" s="6" t="s">
        <v>1</v>
      </c>
      <c r="C17748" s="6" t="s">
        <v>1</v>
      </c>
    </row>
    <row r="17749" spans="1:3" s="8" customFormat="1" x14ac:dyDescent="0.2">
      <c r="A17749" s="6" t="str">
        <f>"CDRT15P9"</f>
        <v>CDRT15P9</v>
      </c>
      <c r="B17749" s="6" t="s">
        <v>1</v>
      </c>
      <c r="C17749" s="6" t="s">
        <v>1</v>
      </c>
    </row>
    <row r="17750" spans="1:3" s="8" customFormat="1" x14ac:dyDescent="0.2">
      <c r="A17750" s="6" t="str">
        <f>"AL353572.4"</f>
        <v>AL353572.4</v>
      </c>
      <c r="B17750" s="6" t="s">
        <v>1</v>
      </c>
      <c r="C17750" s="6" t="s">
        <v>1</v>
      </c>
    </row>
    <row r="17751" spans="1:3" s="8" customFormat="1" x14ac:dyDescent="0.2">
      <c r="A17751" s="6" t="str">
        <f>"VDAC2P5"</f>
        <v>VDAC2P5</v>
      </c>
      <c r="B17751" s="6" t="s">
        <v>1</v>
      </c>
      <c r="C17751" s="6" t="s">
        <v>1</v>
      </c>
    </row>
    <row r="17752" spans="1:3" s="8" customFormat="1" x14ac:dyDescent="0.2">
      <c r="A17752" s="6" t="str">
        <f>"AC007278.2"</f>
        <v>AC007278.2</v>
      </c>
      <c r="B17752" s="6" t="s">
        <v>1</v>
      </c>
      <c r="C17752" s="6" t="s">
        <v>1</v>
      </c>
    </row>
    <row r="17753" spans="1:3" s="8" customFormat="1" x14ac:dyDescent="0.2">
      <c r="A17753" s="6" t="str">
        <f>"HMGN1P1"</f>
        <v>HMGN1P1</v>
      </c>
      <c r="B17753" s="6" t="s">
        <v>1</v>
      </c>
      <c r="C17753" s="6" t="s">
        <v>1</v>
      </c>
    </row>
    <row r="17754" spans="1:3" s="8" customFormat="1" x14ac:dyDescent="0.2">
      <c r="A17754" s="6" t="str">
        <f>"LINC02056"</f>
        <v>LINC02056</v>
      </c>
      <c r="B17754" s="6" t="s">
        <v>1</v>
      </c>
      <c r="C17754" s="6" t="s">
        <v>1</v>
      </c>
    </row>
    <row r="17755" spans="1:3" s="8" customFormat="1" x14ac:dyDescent="0.2">
      <c r="A17755" s="6" t="str">
        <f>"AC013403.2"</f>
        <v>AC013403.2</v>
      </c>
      <c r="B17755" s="6" t="s">
        <v>1</v>
      </c>
      <c r="C17755" s="6" t="s">
        <v>1</v>
      </c>
    </row>
    <row r="17756" spans="1:3" s="8" customFormat="1" x14ac:dyDescent="0.2">
      <c r="A17756" s="6" t="str">
        <f>"NUTM2G"</f>
        <v>NUTM2G</v>
      </c>
      <c r="B17756" s="6" t="s">
        <v>1</v>
      </c>
      <c r="C17756" s="6" t="s">
        <v>1</v>
      </c>
    </row>
    <row r="17757" spans="1:3" s="8" customFormat="1" x14ac:dyDescent="0.2">
      <c r="A17757" s="6" t="str">
        <f>"AC004817.3"</f>
        <v>AC004817.3</v>
      </c>
      <c r="B17757" s="6" t="s">
        <v>1</v>
      </c>
      <c r="C17757" s="6" t="s">
        <v>1</v>
      </c>
    </row>
    <row r="17758" spans="1:3" s="8" customFormat="1" x14ac:dyDescent="0.2">
      <c r="A17758" s="6" t="str">
        <f>"NXPE2"</f>
        <v>NXPE2</v>
      </c>
      <c r="B17758" s="6" t="s">
        <v>1</v>
      </c>
      <c r="C17758" s="6" t="s">
        <v>1</v>
      </c>
    </row>
    <row r="17759" spans="1:3" s="8" customFormat="1" x14ac:dyDescent="0.2">
      <c r="A17759" s="6" t="str">
        <f>"C1QTNF9B"</f>
        <v>C1QTNF9B</v>
      </c>
      <c r="B17759" s="6" t="s">
        <v>1</v>
      </c>
      <c r="C17759" s="6" t="s">
        <v>1</v>
      </c>
    </row>
    <row r="17760" spans="1:3" s="8" customFormat="1" x14ac:dyDescent="0.2">
      <c r="A17760" s="6" t="str">
        <f>"IGHD"</f>
        <v>IGHD</v>
      </c>
      <c r="B17760" s="6" t="s">
        <v>1</v>
      </c>
      <c r="C17760" s="6" t="s">
        <v>1</v>
      </c>
    </row>
    <row r="17761" spans="1:3" s="8" customFormat="1" x14ac:dyDescent="0.2">
      <c r="A17761" s="6" t="str">
        <f>"GAL3ST1"</f>
        <v>GAL3ST1</v>
      </c>
      <c r="B17761" s="6" t="s">
        <v>1</v>
      </c>
      <c r="C17761" s="6" t="s">
        <v>1</v>
      </c>
    </row>
    <row r="17762" spans="1:3" s="8" customFormat="1" x14ac:dyDescent="0.2">
      <c r="A17762" s="6" t="str">
        <f>"PPIAP43"</f>
        <v>PPIAP43</v>
      </c>
      <c r="B17762" s="6" t="s">
        <v>1</v>
      </c>
      <c r="C17762" s="6" t="s">
        <v>1</v>
      </c>
    </row>
    <row r="17763" spans="1:3" s="8" customFormat="1" x14ac:dyDescent="0.2">
      <c r="A17763" s="6" t="str">
        <f>"AC012501.2"</f>
        <v>AC012501.2</v>
      </c>
      <c r="B17763" s="6" t="s">
        <v>1</v>
      </c>
      <c r="C17763" s="6" t="s">
        <v>1</v>
      </c>
    </row>
    <row r="17764" spans="1:3" s="8" customFormat="1" x14ac:dyDescent="0.2">
      <c r="A17764" s="6" t="str">
        <f>"LINC02082"</f>
        <v>LINC02082</v>
      </c>
      <c r="B17764" s="6" t="s">
        <v>1</v>
      </c>
      <c r="C17764" s="6" t="s">
        <v>1</v>
      </c>
    </row>
    <row r="17765" spans="1:3" s="8" customFormat="1" x14ac:dyDescent="0.2">
      <c r="A17765" s="6" t="str">
        <f>"SOCS5P4"</f>
        <v>SOCS5P4</v>
      </c>
      <c r="B17765" s="6" t="s">
        <v>1</v>
      </c>
      <c r="C17765" s="6" t="s">
        <v>1</v>
      </c>
    </row>
    <row r="17766" spans="1:3" s="8" customFormat="1" x14ac:dyDescent="0.2">
      <c r="A17766" s="6" t="str">
        <f>"WNT6"</f>
        <v>WNT6</v>
      </c>
      <c r="B17766" s="6" t="s">
        <v>1</v>
      </c>
      <c r="C17766" s="6" t="s">
        <v>1</v>
      </c>
    </row>
    <row r="17767" spans="1:3" s="8" customFormat="1" x14ac:dyDescent="0.2">
      <c r="A17767" s="6" t="str">
        <f>"H4C4"</f>
        <v>H4C4</v>
      </c>
      <c r="B17767" s="6" t="s">
        <v>1</v>
      </c>
      <c r="C17767" s="6" t="s">
        <v>1</v>
      </c>
    </row>
    <row r="17768" spans="1:3" s="8" customFormat="1" x14ac:dyDescent="0.2">
      <c r="A17768" s="6" t="str">
        <f>"FAM86KP"</f>
        <v>FAM86KP</v>
      </c>
      <c r="B17768" s="6" t="s">
        <v>1</v>
      </c>
      <c r="C17768" s="6" t="s">
        <v>1</v>
      </c>
    </row>
    <row r="17769" spans="1:3" s="8" customFormat="1" x14ac:dyDescent="0.2">
      <c r="A17769" s="6" t="str">
        <f>"AC009495.2"</f>
        <v>AC009495.2</v>
      </c>
      <c r="B17769" s="6" t="s">
        <v>1</v>
      </c>
      <c r="C17769" s="6" t="s">
        <v>1</v>
      </c>
    </row>
    <row r="17770" spans="1:3" s="8" customFormat="1" x14ac:dyDescent="0.2">
      <c r="A17770" s="6" t="str">
        <f>"CYP2C19"</f>
        <v>CYP2C19</v>
      </c>
      <c r="B17770" s="6" t="s">
        <v>1</v>
      </c>
      <c r="C17770" s="6" t="s">
        <v>1</v>
      </c>
    </row>
    <row r="17771" spans="1:3" s="8" customFormat="1" x14ac:dyDescent="0.2">
      <c r="A17771" s="6" t="str">
        <f>"LINC01994"</f>
        <v>LINC01994</v>
      </c>
      <c r="B17771" s="6" t="s">
        <v>1</v>
      </c>
      <c r="C17771" s="6" t="s">
        <v>1</v>
      </c>
    </row>
    <row r="17772" spans="1:3" s="8" customFormat="1" x14ac:dyDescent="0.2">
      <c r="A17772" s="6" t="str">
        <f>"AL353689.3"</f>
        <v>AL353689.3</v>
      </c>
      <c r="B17772" s="6" t="s">
        <v>1</v>
      </c>
      <c r="C17772" s="6" t="s">
        <v>1</v>
      </c>
    </row>
    <row r="17773" spans="1:3" s="8" customFormat="1" x14ac:dyDescent="0.2">
      <c r="A17773" s="6" t="str">
        <f>"AL031432.2"</f>
        <v>AL031432.2</v>
      </c>
      <c r="B17773" s="6" t="s">
        <v>1</v>
      </c>
      <c r="C17773" s="6" t="s">
        <v>1</v>
      </c>
    </row>
    <row r="17774" spans="1:3" s="8" customFormat="1" x14ac:dyDescent="0.2">
      <c r="A17774" s="6" t="str">
        <f>"AC007279.1"</f>
        <v>AC007279.1</v>
      </c>
      <c r="B17774" s="6" t="s">
        <v>1</v>
      </c>
      <c r="C17774" s="6" t="s">
        <v>1</v>
      </c>
    </row>
    <row r="17775" spans="1:3" s="8" customFormat="1" x14ac:dyDescent="0.2">
      <c r="A17775" s="6" t="str">
        <f>"AC007277.1"</f>
        <v>AC007277.1</v>
      </c>
      <c r="B17775" s="6" t="s">
        <v>1</v>
      </c>
      <c r="C17775" s="6" t="s">
        <v>1</v>
      </c>
    </row>
    <row r="17776" spans="1:3" s="8" customFormat="1" x14ac:dyDescent="0.2">
      <c r="A17776" s="6" t="str">
        <f>"AL353804.3"</f>
        <v>AL353804.3</v>
      </c>
      <c r="B17776" s="6" t="s">
        <v>1</v>
      </c>
      <c r="C17776" s="6" t="s">
        <v>1</v>
      </c>
    </row>
    <row r="17777" spans="1:3" s="8" customFormat="1" x14ac:dyDescent="0.2">
      <c r="A17777" s="6" t="str">
        <f>"LINC02253"</f>
        <v>LINC02253</v>
      </c>
      <c r="B17777" s="6" t="s">
        <v>1</v>
      </c>
      <c r="C17777" s="6" t="s">
        <v>1</v>
      </c>
    </row>
    <row r="17778" spans="1:3" s="8" customFormat="1" x14ac:dyDescent="0.2">
      <c r="A17778" s="6" t="str">
        <f>"LINC01016"</f>
        <v>LINC01016</v>
      </c>
      <c r="B17778" s="6" t="s">
        <v>1</v>
      </c>
      <c r="C17778" s="6" t="s">
        <v>1</v>
      </c>
    </row>
    <row r="17779" spans="1:3" s="8" customFormat="1" x14ac:dyDescent="0.2">
      <c r="A17779" s="6" t="str">
        <f>"AL445623.2"</f>
        <v>AL445623.2</v>
      </c>
      <c r="B17779" s="6" t="s">
        <v>1</v>
      </c>
      <c r="C17779" s="6" t="s">
        <v>1</v>
      </c>
    </row>
    <row r="17780" spans="1:3" s="8" customFormat="1" x14ac:dyDescent="0.2">
      <c r="A17780" s="6" t="str">
        <f>"VN1R20P"</f>
        <v>VN1R20P</v>
      </c>
      <c r="B17780" s="6" t="s">
        <v>1</v>
      </c>
      <c r="C17780" s="6" t="s">
        <v>1</v>
      </c>
    </row>
    <row r="17781" spans="1:3" s="8" customFormat="1" x14ac:dyDescent="0.2">
      <c r="A17781" s="6" t="str">
        <f>"RPL5P30"</f>
        <v>RPL5P30</v>
      </c>
      <c r="B17781" s="6" t="s">
        <v>1</v>
      </c>
      <c r="C17781" s="6" t="s">
        <v>1</v>
      </c>
    </row>
    <row r="17782" spans="1:3" s="8" customFormat="1" x14ac:dyDescent="0.2">
      <c r="A17782" s="6" t="str">
        <f>"S100Z"</f>
        <v>S100Z</v>
      </c>
      <c r="B17782" s="6" t="s">
        <v>1</v>
      </c>
      <c r="C17782" s="6" t="s">
        <v>1</v>
      </c>
    </row>
    <row r="17783" spans="1:3" s="8" customFormat="1" x14ac:dyDescent="0.2">
      <c r="A17783" s="6" t="str">
        <f>"AP000350.5"</f>
        <v>AP000350.5</v>
      </c>
      <c r="B17783" s="6" t="s">
        <v>1</v>
      </c>
      <c r="C17783" s="6" t="s">
        <v>1</v>
      </c>
    </row>
    <row r="17784" spans="1:3" s="8" customFormat="1" x14ac:dyDescent="0.2">
      <c r="A17784" s="6" t="str">
        <f>"AC007569.1"</f>
        <v>AC007569.1</v>
      </c>
      <c r="B17784" s="6" t="s">
        <v>1</v>
      </c>
      <c r="C17784" s="6" t="s">
        <v>1</v>
      </c>
    </row>
    <row r="17785" spans="1:3" s="8" customFormat="1" x14ac:dyDescent="0.2">
      <c r="A17785" s="6" t="str">
        <f>"DELEC1"</f>
        <v>DELEC1</v>
      </c>
      <c r="B17785" s="6" t="s">
        <v>1</v>
      </c>
      <c r="C17785" s="6" t="s">
        <v>1</v>
      </c>
    </row>
    <row r="17786" spans="1:3" s="8" customFormat="1" x14ac:dyDescent="0.2">
      <c r="A17786" s="6" t="str">
        <f>"GJA3"</f>
        <v>GJA3</v>
      </c>
      <c r="B17786" s="6" t="s">
        <v>1</v>
      </c>
      <c r="C17786" s="6" t="s">
        <v>1</v>
      </c>
    </row>
    <row r="17787" spans="1:3" s="8" customFormat="1" x14ac:dyDescent="0.2">
      <c r="A17787" s="6" t="str">
        <f>"NPAP1"</f>
        <v>NPAP1</v>
      </c>
      <c r="B17787" s="6" t="s">
        <v>1</v>
      </c>
      <c r="C17787" s="6" t="s">
        <v>1</v>
      </c>
    </row>
    <row r="17788" spans="1:3" s="8" customFormat="1" x14ac:dyDescent="0.2">
      <c r="A17788" s="6" t="str">
        <f>"PCF11-AS1"</f>
        <v>PCF11-AS1</v>
      </c>
      <c r="B17788" s="6" t="s">
        <v>1</v>
      </c>
      <c r="C17788" s="6" t="s">
        <v>1</v>
      </c>
    </row>
    <row r="17789" spans="1:3" s="8" customFormat="1" x14ac:dyDescent="0.2">
      <c r="A17789" s="6" t="str">
        <f>"MIR548XHG"</f>
        <v>MIR548XHG</v>
      </c>
      <c r="B17789" s="6" t="s">
        <v>1</v>
      </c>
      <c r="C17789" s="6" t="s">
        <v>1</v>
      </c>
    </row>
    <row r="17790" spans="1:3" s="8" customFormat="1" x14ac:dyDescent="0.2">
      <c r="A17790" s="6" t="str">
        <f>"AC093525.2"</f>
        <v>AC093525.2</v>
      </c>
      <c r="B17790" s="6" t="s">
        <v>1</v>
      </c>
      <c r="C17790" s="6" t="s">
        <v>1</v>
      </c>
    </row>
    <row r="17791" spans="1:3" s="8" customFormat="1" x14ac:dyDescent="0.2">
      <c r="A17791" s="6" t="str">
        <f>"AC245884.2"</f>
        <v>AC245884.2</v>
      </c>
      <c r="B17791" s="6" t="s">
        <v>1</v>
      </c>
      <c r="C17791" s="6" t="s">
        <v>1</v>
      </c>
    </row>
    <row r="17792" spans="1:3" s="8" customFormat="1" x14ac:dyDescent="0.2">
      <c r="A17792" s="6" t="str">
        <f>"AC087222.1"</f>
        <v>AC087222.1</v>
      </c>
      <c r="B17792" s="6" t="s">
        <v>1</v>
      </c>
      <c r="C17792" s="6" t="s">
        <v>1</v>
      </c>
    </row>
    <row r="17793" spans="1:3" s="8" customFormat="1" x14ac:dyDescent="0.2">
      <c r="A17793" s="6" t="str">
        <f>"KCNE5"</f>
        <v>KCNE5</v>
      </c>
      <c r="B17793" s="6" t="s">
        <v>1</v>
      </c>
      <c r="C17793" s="6" t="s">
        <v>1</v>
      </c>
    </row>
    <row r="17794" spans="1:3" s="8" customFormat="1" x14ac:dyDescent="0.2">
      <c r="A17794" s="6" t="str">
        <f>"KCNJ10"</f>
        <v>KCNJ10</v>
      </c>
      <c r="B17794" s="6" t="s">
        <v>1</v>
      </c>
      <c r="C17794" s="6" t="s">
        <v>1</v>
      </c>
    </row>
    <row r="17795" spans="1:3" s="8" customFormat="1" x14ac:dyDescent="0.2">
      <c r="A17795" s="6" t="str">
        <f>"KCNH8"</f>
        <v>KCNH8</v>
      </c>
      <c r="B17795" s="6" t="s">
        <v>1</v>
      </c>
      <c r="C17795" s="6" t="s">
        <v>1</v>
      </c>
    </row>
    <row r="17796" spans="1:3" s="8" customFormat="1" x14ac:dyDescent="0.2">
      <c r="A17796" s="6" t="str">
        <f>"DEFA1B"</f>
        <v>DEFA1B</v>
      </c>
      <c r="B17796" s="6" t="s">
        <v>1</v>
      </c>
      <c r="C17796" s="6" t="s">
        <v>1</v>
      </c>
    </row>
    <row r="17797" spans="1:3" s="8" customFormat="1" x14ac:dyDescent="0.2">
      <c r="A17797" s="6" t="str">
        <f>"HMSD"</f>
        <v>HMSD</v>
      </c>
      <c r="B17797" s="6" t="s">
        <v>1</v>
      </c>
      <c r="C17797" s="6" t="s">
        <v>1</v>
      </c>
    </row>
    <row r="17798" spans="1:3" s="8" customFormat="1" x14ac:dyDescent="0.2">
      <c r="A17798" s="6" t="str">
        <f>"FLJ46284"</f>
        <v>FLJ46284</v>
      </c>
      <c r="B17798" s="6" t="s">
        <v>1</v>
      </c>
      <c r="C17798" s="6" t="s">
        <v>1</v>
      </c>
    </row>
    <row r="17799" spans="1:3" s="8" customFormat="1" x14ac:dyDescent="0.2">
      <c r="A17799" s="6" t="str">
        <f>"AL353693.1"</f>
        <v>AL353693.1</v>
      </c>
      <c r="B17799" s="6" t="s">
        <v>1</v>
      </c>
      <c r="C17799" s="6" t="s">
        <v>1</v>
      </c>
    </row>
    <row r="17800" spans="1:3" s="8" customFormat="1" x14ac:dyDescent="0.2">
      <c r="A17800" s="6" t="str">
        <f>"KCNA1"</f>
        <v>KCNA1</v>
      </c>
      <c r="B17800" s="6" t="s">
        <v>1</v>
      </c>
      <c r="C17800" s="6" t="s">
        <v>1</v>
      </c>
    </row>
    <row r="17801" spans="1:3" s="8" customFormat="1" x14ac:dyDescent="0.2">
      <c r="A17801" s="6" t="str">
        <f>"P2RX3"</f>
        <v>P2RX3</v>
      </c>
      <c r="B17801" s="6" t="s">
        <v>1</v>
      </c>
      <c r="C17801" s="6" t="s">
        <v>1</v>
      </c>
    </row>
    <row r="17802" spans="1:3" s="8" customFormat="1" x14ac:dyDescent="0.2">
      <c r="A17802" s="6" t="str">
        <f>"AC022098.4"</f>
        <v>AC022098.4</v>
      </c>
      <c r="B17802" s="6" t="s">
        <v>1</v>
      </c>
      <c r="C17802" s="6" t="s">
        <v>1</v>
      </c>
    </row>
    <row r="17803" spans="1:3" s="8" customFormat="1" x14ac:dyDescent="0.2">
      <c r="A17803" s="6" t="str">
        <f>"ASB11"</f>
        <v>ASB11</v>
      </c>
      <c r="B17803" s="6" t="s">
        <v>1</v>
      </c>
      <c r="C17803" s="6" t="s">
        <v>1</v>
      </c>
    </row>
    <row r="17804" spans="1:3" s="8" customFormat="1" x14ac:dyDescent="0.2">
      <c r="A17804" s="6" t="str">
        <f>"AL133485.3"</f>
        <v>AL133485.3</v>
      </c>
      <c r="B17804" s="6" t="s">
        <v>1</v>
      </c>
      <c r="C17804" s="6" t="s">
        <v>1</v>
      </c>
    </row>
    <row r="17805" spans="1:3" s="8" customFormat="1" x14ac:dyDescent="0.2">
      <c r="A17805" s="6" t="str">
        <f>"AL445430.2"</f>
        <v>AL445430.2</v>
      </c>
      <c r="B17805" s="6" t="s">
        <v>1</v>
      </c>
      <c r="C17805" s="6" t="s">
        <v>1</v>
      </c>
    </row>
    <row r="17806" spans="1:3" s="8" customFormat="1" x14ac:dyDescent="0.2">
      <c r="A17806" s="6" t="str">
        <f>"OXT"</f>
        <v>OXT</v>
      </c>
      <c r="B17806" s="6" t="s">
        <v>1</v>
      </c>
      <c r="C17806" s="6" t="s">
        <v>1</v>
      </c>
    </row>
    <row r="17807" spans="1:3" s="8" customFormat="1" x14ac:dyDescent="0.2">
      <c r="A17807" s="6" t="str">
        <f>"LINC02275"</f>
        <v>LINC02275</v>
      </c>
      <c r="B17807" s="6" t="s">
        <v>1</v>
      </c>
      <c r="C17807" s="6" t="s">
        <v>1</v>
      </c>
    </row>
    <row r="17808" spans="1:3" s="8" customFormat="1" x14ac:dyDescent="0.2">
      <c r="A17808" s="6" t="str">
        <f>"AC130686.1"</f>
        <v>AC130686.1</v>
      </c>
      <c r="B17808" s="6" t="s">
        <v>1</v>
      </c>
      <c r="C17808" s="6" t="s">
        <v>1</v>
      </c>
    </row>
    <row r="17809" spans="1:3" s="8" customFormat="1" x14ac:dyDescent="0.2">
      <c r="A17809" s="6" t="str">
        <f>"AC063944.1"</f>
        <v>AC063944.1</v>
      </c>
      <c r="B17809" s="6" t="s">
        <v>1</v>
      </c>
      <c r="C17809" s="6" t="s">
        <v>1</v>
      </c>
    </row>
    <row r="17810" spans="1:3" s="8" customFormat="1" x14ac:dyDescent="0.2">
      <c r="A17810" s="6" t="str">
        <f>"PROK1"</f>
        <v>PROK1</v>
      </c>
      <c r="B17810" s="6" t="s">
        <v>1</v>
      </c>
      <c r="C17810" s="6" t="s">
        <v>1</v>
      </c>
    </row>
    <row r="17811" spans="1:3" s="8" customFormat="1" x14ac:dyDescent="0.2">
      <c r="A17811" s="6" t="str">
        <f>"AC106820.4"</f>
        <v>AC106820.4</v>
      </c>
      <c r="B17811" s="6" t="s">
        <v>1</v>
      </c>
      <c r="C17811" s="6" t="s">
        <v>1</v>
      </c>
    </row>
    <row r="17812" spans="1:3" s="8" customFormat="1" x14ac:dyDescent="0.2">
      <c r="A17812" s="6" t="str">
        <f>"AL133370.1"</f>
        <v>AL133370.1</v>
      </c>
      <c r="B17812" s="6" t="s">
        <v>1</v>
      </c>
      <c r="C17812" s="6" t="s">
        <v>1</v>
      </c>
    </row>
    <row r="17813" spans="1:3" s="8" customFormat="1" x14ac:dyDescent="0.2">
      <c r="A17813" s="6" t="str">
        <f>"AL354892.2"</f>
        <v>AL354892.2</v>
      </c>
      <c r="B17813" s="6" t="s">
        <v>1</v>
      </c>
      <c r="C17813" s="6" t="s">
        <v>1</v>
      </c>
    </row>
    <row r="17814" spans="1:3" s="8" customFormat="1" x14ac:dyDescent="0.2">
      <c r="A17814" s="6" t="str">
        <f>"DNAJB6P1"</f>
        <v>DNAJB6P1</v>
      </c>
      <c r="B17814" s="6" t="s">
        <v>1</v>
      </c>
      <c r="C17814" s="6" t="s">
        <v>1</v>
      </c>
    </row>
    <row r="17815" spans="1:3" s="8" customFormat="1" x14ac:dyDescent="0.2">
      <c r="A17815" s="6" t="str">
        <f>"AL445250.1"</f>
        <v>AL445250.1</v>
      </c>
      <c r="B17815" s="6" t="s">
        <v>1</v>
      </c>
      <c r="C17815" s="6" t="s">
        <v>1</v>
      </c>
    </row>
    <row r="17816" spans="1:3" s="8" customFormat="1" x14ac:dyDescent="0.2">
      <c r="A17816" s="6" t="str">
        <f>"SLC25A48"</f>
        <v>SLC25A48</v>
      </c>
      <c r="B17816" s="6" t="s">
        <v>1</v>
      </c>
      <c r="C17816" s="6" t="s">
        <v>1</v>
      </c>
    </row>
    <row r="17817" spans="1:3" s="8" customFormat="1" x14ac:dyDescent="0.2">
      <c r="A17817" s="6" t="str">
        <f>"SELENOKP1"</f>
        <v>SELENOKP1</v>
      </c>
      <c r="B17817" s="6" t="s">
        <v>1</v>
      </c>
      <c r="C17817" s="6" t="s">
        <v>1</v>
      </c>
    </row>
    <row r="17818" spans="1:3" s="8" customFormat="1" x14ac:dyDescent="0.2">
      <c r="A17818" s="6" t="str">
        <f>"AL133523.1"</f>
        <v>AL133523.1</v>
      </c>
      <c r="B17818" s="6" t="s">
        <v>1</v>
      </c>
      <c r="C17818" s="6" t="s">
        <v>1</v>
      </c>
    </row>
    <row r="17819" spans="1:3" s="8" customFormat="1" x14ac:dyDescent="0.2">
      <c r="A17819" s="6" t="str">
        <f>"UGT2B17"</f>
        <v>UGT2B17</v>
      </c>
      <c r="B17819" s="6" t="s">
        <v>1</v>
      </c>
      <c r="C17819" s="6" t="s">
        <v>1</v>
      </c>
    </row>
    <row r="17820" spans="1:3" s="8" customFormat="1" x14ac:dyDescent="0.2">
      <c r="A17820" s="6" t="str">
        <f>"ENO1P1"</f>
        <v>ENO1P1</v>
      </c>
      <c r="B17820" s="6" t="s">
        <v>1</v>
      </c>
      <c r="C17820" s="6" t="s">
        <v>1</v>
      </c>
    </row>
    <row r="17821" spans="1:3" s="8" customFormat="1" x14ac:dyDescent="0.2">
      <c r="A17821" s="6" t="str">
        <f>"LINC02199"</f>
        <v>LINC02199</v>
      </c>
      <c r="B17821" s="6" t="s">
        <v>1</v>
      </c>
      <c r="C17821" s="6" t="s">
        <v>1</v>
      </c>
    </row>
    <row r="17822" spans="1:3" s="8" customFormat="1" x14ac:dyDescent="0.2">
      <c r="A17822" s="6" t="str">
        <f>"AL022328.3"</f>
        <v>AL022328.3</v>
      </c>
      <c r="B17822" s="6" t="s">
        <v>1</v>
      </c>
      <c r="C17822" s="6" t="s">
        <v>1</v>
      </c>
    </row>
    <row r="17823" spans="1:3" s="8" customFormat="1" x14ac:dyDescent="0.2">
      <c r="A17823" s="6" t="str">
        <f>"AC004974.1"</f>
        <v>AC004974.1</v>
      </c>
      <c r="B17823" s="6" t="s">
        <v>1</v>
      </c>
      <c r="C17823" s="6" t="s">
        <v>1</v>
      </c>
    </row>
    <row r="17824" spans="1:3" s="8" customFormat="1" x14ac:dyDescent="0.2">
      <c r="A17824" s="6" t="str">
        <f>"APOBEC2"</f>
        <v>APOBEC2</v>
      </c>
      <c r="B17824" s="6" t="s">
        <v>1</v>
      </c>
      <c r="C17824" s="6" t="s">
        <v>1</v>
      </c>
    </row>
    <row r="17825" spans="1:3" s="8" customFormat="1" x14ac:dyDescent="0.2">
      <c r="A17825" s="6" t="str">
        <f>"SUDS3P1"</f>
        <v>SUDS3P1</v>
      </c>
      <c r="B17825" s="6" t="s">
        <v>1</v>
      </c>
      <c r="C17825" s="6" t="s">
        <v>1</v>
      </c>
    </row>
    <row r="17826" spans="1:3" s="8" customFormat="1" x14ac:dyDescent="0.2">
      <c r="A17826" s="6" t="str">
        <f>"ASAP1-IT2"</f>
        <v>ASAP1-IT2</v>
      </c>
      <c r="B17826" s="6" t="s">
        <v>1</v>
      </c>
      <c r="C17826" s="6" t="s">
        <v>1</v>
      </c>
    </row>
    <row r="17827" spans="1:3" s="8" customFormat="1" x14ac:dyDescent="0.2">
      <c r="A17827" s="6" t="str">
        <f>"AC242842.3"</f>
        <v>AC242842.3</v>
      </c>
      <c r="B17827" s="6" t="s">
        <v>1</v>
      </c>
      <c r="C17827" s="6" t="s">
        <v>1</v>
      </c>
    </row>
    <row r="17828" spans="1:3" s="8" customFormat="1" x14ac:dyDescent="0.2">
      <c r="A17828" s="6" t="str">
        <f>"AL353732.2"</f>
        <v>AL353732.2</v>
      </c>
      <c r="B17828" s="6" t="s">
        <v>1</v>
      </c>
      <c r="C17828" s="6" t="s">
        <v>1</v>
      </c>
    </row>
    <row r="17829" spans="1:3" s="8" customFormat="1" x14ac:dyDescent="0.2">
      <c r="A17829" s="6" t="str">
        <f>"PAIP1P1"</f>
        <v>PAIP1P1</v>
      </c>
      <c r="B17829" s="6" t="s">
        <v>1</v>
      </c>
      <c r="C17829" s="6" t="s">
        <v>1</v>
      </c>
    </row>
    <row r="17830" spans="1:3" s="8" customFormat="1" x14ac:dyDescent="0.2">
      <c r="A17830" s="6" t="str">
        <f>"MAGI1-IT1"</f>
        <v>MAGI1-IT1</v>
      </c>
      <c r="B17830" s="6" t="s">
        <v>1</v>
      </c>
      <c r="C17830" s="6" t="s">
        <v>1</v>
      </c>
    </row>
    <row r="17831" spans="1:3" s="8" customFormat="1" x14ac:dyDescent="0.2">
      <c r="A17831" s="6" t="str">
        <f>"MDS2"</f>
        <v>MDS2</v>
      </c>
      <c r="B17831" s="6" t="s">
        <v>1</v>
      </c>
      <c r="C17831" s="6" t="s">
        <v>1</v>
      </c>
    </row>
    <row r="17832" spans="1:3" s="8" customFormat="1" x14ac:dyDescent="0.2">
      <c r="A17832" s="6" t="str">
        <f>"AC068446.1"</f>
        <v>AC068446.1</v>
      </c>
      <c r="B17832" s="6" t="s">
        <v>1</v>
      </c>
      <c r="C17832" s="6" t="s">
        <v>1</v>
      </c>
    </row>
    <row r="17833" spans="1:3" s="8" customFormat="1" x14ac:dyDescent="0.2">
      <c r="A17833" s="6" t="str">
        <f>"DNM1P41"</f>
        <v>DNM1P41</v>
      </c>
      <c r="B17833" s="6" t="s">
        <v>1</v>
      </c>
      <c r="C17833" s="6" t="s">
        <v>1</v>
      </c>
    </row>
    <row r="17834" spans="1:3" s="8" customFormat="1" x14ac:dyDescent="0.2">
      <c r="A17834" s="6" t="str">
        <f>"PTPRD-AS1"</f>
        <v>PTPRD-AS1</v>
      </c>
      <c r="B17834" s="6" t="s">
        <v>1</v>
      </c>
      <c r="C17834" s="6" t="s">
        <v>1</v>
      </c>
    </row>
    <row r="17835" spans="1:3" s="8" customFormat="1" x14ac:dyDescent="0.2">
      <c r="A17835" s="6" t="str">
        <f>"AC015802.3"</f>
        <v>AC015802.3</v>
      </c>
      <c r="B17835" s="6" t="s">
        <v>1</v>
      </c>
      <c r="C17835" s="6" t="s">
        <v>1</v>
      </c>
    </row>
    <row r="17836" spans="1:3" s="8" customFormat="1" x14ac:dyDescent="0.2">
      <c r="A17836" s="6" t="str">
        <f>"TGIF2-RAB5IF"</f>
        <v>TGIF2-RAB5IF</v>
      </c>
      <c r="B17836" s="6" t="s">
        <v>1</v>
      </c>
      <c r="C17836" s="6" t="s">
        <v>1</v>
      </c>
    </row>
    <row r="17837" spans="1:3" s="8" customFormat="1" x14ac:dyDescent="0.2">
      <c r="A17837" s="6" t="str">
        <f>"AC009407.1"</f>
        <v>AC009407.1</v>
      </c>
      <c r="B17837" s="6" t="s">
        <v>1</v>
      </c>
      <c r="C17837" s="6" t="s">
        <v>1</v>
      </c>
    </row>
    <row r="17838" spans="1:3" s="8" customFormat="1" x14ac:dyDescent="0.2">
      <c r="A17838" s="6" t="str">
        <f>"AC061958.1"</f>
        <v>AC061958.1</v>
      </c>
      <c r="B17838" s="6" t="s">
        <v>1</v>
      </c>
      <c r="C17838" s="6" t="s">
        <v>1</v>
      </c>
    </row>
    <row r="17839" spans="1:3" s="8" customFormat="1" x14ac:dyDescent="0.2">
      <c r="A17839" s="6" t="str">
        <f>"AC093157.2"</f>
        <v>AC093157.2</v>
      </c>
      <c r="B17839" s="6" t="s">
        <v>1</v>
      </c>
      <c r="C17839" s="6" t="s">
        <v>1</v>
      </c>
    </row>
    <row r="17840" spans="1:3" s="8" customFormat="1" x14ac:dyDescent="0.2">
      <c r="A17840" s="6" t="str">
        <f>"AC093865.1"</f>
        <v>AC093865.1</v>
      </c>
      <c r="B17840" s="6" t="s">
        <v>1</v>
      </c>
      <c r="C17840" s="6" t="s">
        <v>1</v>
      </c>
    </row>
    <row r="17841" spans="1:3" s="8" customFormat="1" x14ac:dyDescent="0.2">
      <c r="A17841" s="6" t="str">
        <f>"AC242376.1"</f>
        <v>AC242376.1</v>
      </c>
      <c r="B17841" s="6" t="s">
        <v>1</v>
      </c>
      <c r="C17841" s="6" t="s">
        <v>1</v>
      </c>
    </row>
    <row r="17842" spans="1:3" s="8" customFormat="1" x14ac:dyDescent="0.2">
      <c r="A17842" s="6" t="str">
        <f>"KLK4"</f>
        <v>KLK4</v>
      </c>
      <c r="B17842" s="6" t="s">
        <v>1</v>
      </c>
      <c r="C17842" s="6" t="s">
        <v>1</v>
      </c>
    </row>
    <row r="17843" spans="1:3" s="8" customFormat="1" x14ac:dyDescent="0.2">
      <c r="A17843" s="6" t="str">
        <f>"AL133163.3"</f>
        <v>AL133163.3</v>
      </c>
      <c r="B17843" s="6" t="s">
        <v>1</v>
      </c>
      <c r="C17843" s="6" t="s">
        <v>1</v>
      </c>
    </row>
    <row r="17844" spans="1:3" s="8" customFormat="1" x14ac:dyDescent="0.2">
      <c r="A17844" s="6" t="str">
        <f>"VIPR2"</f>
        <v>VIPR2</v>
      </c>
      <c r="B17844" s="6" t="s">
        <v>1</v>
      </c>
      <c r="C17844" s="6" t="s">
        <v>1</v>
      </c>
    </row>
    <row r="17845" spans="1:3" s="8" customFormat="1" x14ac:dyDescent="0.2">
      <c r="A17845" s="6" t="str">
        <f>"LINC02197"</f>
        <v>LINC02197</v>
      </c>
      <c r="B17845" s="6" t="s">
        <v>1</v>
      </c>
      <c r="C17845" s="6" t="s">
        <v>1</v>
      </c>
    </row>
    <row r="17846" spans="1:3" s="8" customFormat="1" x14ac:dyDescent="0.2">
      <c r="A17846" s="6" t="str">
        <f>"AC243830.2"</f>
        <v>AC243830.2</v>
      </c>
      <c r="B17846" s="6" t="s">
        <v>1</v>
      </c>
      <c r="C17846" s="6" t="s">
        <v>1</v>
      </c>
    </row>
    <row r="17847" spans="1:3" s="8" customFormat="1" x14ac:dyDescent="0.2">
      <c r="A17847" s="6" t="str">
        <f>"H3C13"</f>
        <v>H3C13</v>
      </c>
      <c r="B17847" s="6" t="s">
        <v>1</v>
      </c>
      <c r="C17847" s="6" t="s">
        <v>1</v>
      </c>
    </row>
    <row r="17848" spans="1:3" s="8" customFormat="1" x14ac:dyDescent="0.2">
      <c r="A17848" s="6" t="str">
        <f>"AC254629.1"</f>
        <v>AC254629.1</v>
      </c>
      <c r="B17848" s="6" t="s">
        <v>1</v>
      </c>
      <c r="C17848" s="6" t="s">
        <v>1</v>
      </c>
    </row>
    <row r="17849" spans="1:3" s="8" customFormat="1" x14ac:dyDescent="0.2">
      <c r="A17849" s="6" t="str">
        <f>"SHISA3"</f>
        <v>SHISA3</v>
      </c>
      <c r="B17849" s="6" t="s">
        <v>1</v>
      </c>
      <c r="C17849" s="6" t="s">
        <v>1</v>
      </c>
    </row>
    <row r="17850" spans="1:3" s="8" customFormat="1" x14ac:dyDescent="0.2">
      <c r="A17850" s="6" t="str">
        <f>"AC007128.2"</f>
        <v>AC007128.2</v>
      </c>
      <c r="B17850" s="6" t="s">
        <v>1</v>
      </c>
      <c r="C17850" s="6" t="s">
        <v>1</v>
      </c>
    </row>
    <row r="17851" spans="1:3" s="8" customFormat="1" x14ac:dyDescent="0.2">
      <c r="A17851" s="6" t="str">
        <f>"NXPH2"</f>
        <v>NXPH2</v>
      </c>
      <c r="B17851" s="6" t="s">
        <v>1</v>
      </c>
      <c r="C17851" s="6" t="s">
        <v>1</v>
      </c>
    </row>
    <row r="17852" spans="1:3" s="8" customFormat="1" x14ac:dyDescent="0.2">
      <c r="A17852" s="6" t="str">
        <f>"MIR497HG"</f>
        <v>MIR497HG</v>
      </c>
      <c r="B17852" s="6" t="s">
        <v>1</v>
      </c>
      <c r="C17852" s="6" t="s">
        <v>1</v>
      </c>
    </row>
    <row r="17853" spans="1:3" s="8" customFormat="1" x14ac:dyDescent="0.2">
      <c r="A17853" s="6" t="str">
        <f>"AL450426.1"</f>
        <v>AL450426.1</v>
      </c>
      <c r="B17853" s="6" t="s">
        <v>1</v>
      </c>
      <c r="C17853" s="6" t="s">
        <v>1</v>
      </c>
    </row>
    <row r="17854" spans="1:3" s="8" customFormat="1" x14ac:dyDescent="0.2">
      <c r="A17854" s="6" t="str">
        <f>"AC245008.1"</f>
        <v>AC245008.1</v>
      </c>
      <c r="B17854" s="6" t="s">
        <v>1</v>
      </c>
      <c r="C17854" s="6" t="s">
        <v>1</v>
      </c>
    </row>
    <row r="17855" spans="1:3" s="8" customFormat="1" x14ac:dyDescent="0.2">
      <c r="A17855" s="6" t="str">
        <f>"KCNB2"</f>
        <v>KCNB2</v>
      </c>
      <c r="B17855" s="6" t="s">
        <v>1</v>
      </c>
      <c r="C17855" s="6" t="s">
        <v>1</v>
      </c>
    </row>
    <row r="17856" spans="1:3" s="8" customFormat="1" x14ac:dyDescent="0.2">
      <c r="A17856" s="6" t="str">
        <f>"F7"</f>
        <v>F7</v>
      </c>
      <c r="B17856" s="6" t="s">
        <v>1</v>
      </c>
      <c r="C17856" s="6" t="s">
        <v>1</v>
      </c>
    </row>
    <row r="17857" spans="1:3" s="8" customFormat="1" x14ac:dyDescent="0.2">
      <c r="A17857" s="6" t="str">
        <f>"GABBR2"</f>
        <v>GABBR2</v>
      </c>
      <c r="B17857" s="6" t="s">
        <v>1</v>
      </c>
      <c r="C17857" s="6" t="s">
        <v>1</v>
      </c>
    </row>
    <row r="17858" spans="1:3" s="8" customFormat="1" x14ac:dyDescent="0.2">
      <c r="A17858" s="6" t="str">
        <f>"AC131235.2"</f>
        <v>AC131235.2</v>
      </c>
      <c r="B17858" s="6" t="s">
        <v>1</v>
      </c>
      <c r="C17858" s="6" t="s">
        <v>1</v>
      </c>
    </row>
    <row r="17859" spans="1:3" s="8" customFormat="1" x14ac:dyDescent="0.2">
      <c r="A17859" s="6" t="str">
        <f>"KLRC4"</f>
        <v>KLRC4</v>
      </c>
      <c r="B17859" s="6" t="s">
        <v>1</v>
      </c>
      <c r="C17859" s="6" t="s">
        <v>1</v>
      </c>
    </row>
    <row r="17860" spans="1:3" s="8" customFormat="1" x14ac:dyDescent="0.2">
      <c r="A17860" s="6" t="str">
        <f>"AL031729.1"</f>
        <v>AL031729.1</v>
      </c>
      <c r="B17860" s="6" t="s">
        <v>1</v>
      </c>
      <c r="C17860" s="6" t="s">
        <v>1</v>
      </c>
    </row>
    <row r="17861" spans="1:3" s="8" customFormat="1" x14ac:dyDescent="0.2">
      <c r="A17861" s="6" t="str">
        <f>"AP000654.1"</f>
        <v>AP000654.1</v>
      </c>
      <c r="B17861" s="6" t="s">
        <v>1</v>
      </c>
      <c r="C17861" s="6" t="s">
        <v>1</v>
      </c>
    </row>
    <row r="17862" spans="1:3" s="8" customFormat="1" x14ac:dyDescent="0.2">
      <c r="A17862" s="6" t="str">
        <f>"FBLL1"</f>
        <v>FBLL1</v>
      </c>
      <c r="B17862" s="6" t="s">
        <v>1</v>
      </c>
      <c r="C17862" s="6" t="s">
        <v>1</v>
      </c>
    </row>
    <row r="17863" spans="1:3" s="8" customFormat="1" x14ac:dyDescent="0.2">
      <c r="A17863" s="6" t="str">
        <f>"AC007546.1"</f>
        <v>AC007546.1</v>
      </c>
      <c r="B17863" s="6" t="s">
        <v>1</v>
      </c>
      <c r="C17863" s="6" t="s">
        <v>1</v>
      </c>
    </row>
    <row r="17864" spans="1:3" s="8" customFormat="1" x14ac:dyDescent="0.2">
      <c r="A17864" s="6" t="str">
        <f>"MYOM3"</f>
        <v>MYOM3</v>
      </c>
      <c r="B17864" s="6" t="s">
        <v>1</v>
      </c>
      <c r="C17864" s="6" t="s">
        <v>1</v>
      </c>
    </row>
    <row r="17865" spans="1:3" s="8" customFormat="1" x14ac:dyDescent="0.2">
      <c r="A17865" s="6" t="str">
        <f>"MALLP2"</f>
        <v>MALLP2</v>
      </c>
      <c r="B17865" s="6" t="s">
        <v>1</v>
      </c>
      <c r="C17865" s="6" t="s">
        <v>1</v>
      </c>
    </row>
    <row r="17866" spans="1:3" s="8" customFormat="1" x14ac:dyDescent="0.2">
      <c r="A17866" s="6" t="str">
        <f>"LDHAP3"</f>
        <v>LDHAP3</v>
      </c>
      <c r="B17866" s="6" t="s">
        <v>1</v>
      </c>
      <c r="C17866" s="6" t="s">
        <v>1</v>
      </c>
    </row>
    <row r="17867" spans="1:3" s="8" customFormat="1" x14ac:dyDescent="0.2">
      <c r="A17867" s="6" t="str">
        <f>"AL022318.4"</f>
        <v>AL022318.4</v>
      </c>
      <c r="B17867" s="6" t="s">
        <v>1</v>
      </c>
      <c r="C17867" s="6" t="s">
        <v>1</v>
      </c>
    </row>
    <row r="17868" spans="1:3" s="8" customFormat="1" x14ac:dyDescent="0.2">
      <c r="A17868" s="6" t="str">
        <f>"EAF1-AS1"</f>
        <v>EAF1-AS1</v>
      </c>
      <c r="B17868" s="6" t="s">
        <v>1</v>
      </c>
      <c r="C17868" s="6" t="s">
        <v>1</v>
      </c>
    </row>
    <row r="17869" spans="1:3" s="8" customFormat="1" x14ac:dyDescent="0.2">
      <c r="A17869" s="6" t="str">
        <f>"AC131159.2"</f>
        <v>AC131159.2</v>
      </c>
      <c r="B17869" s="6" t="s">
        <v>1</v>
      </c>
      <c r="C17869" s="6" t="s">
        <v>1</v>
      </c>
    </row>
    <row r="17870" spans="1:3" s="8" customFormat="1" x14ac:dyDescent="0.2">
      <c r="A17870" s="6" t="str">
        <f>"MYOZ3"</f>
        <v>MYOZ3</v>
      </c>
      <c r="B17870" s="6" t="s">
        <v>1</v>
      </c>
      <c r="C17870" s="6" t="s">
        <v>1</v>
      </c>
    </row>
    <row r="17871" spans="1:3" s="8" customFormat="1" x14ac:dyDescent="0.2">
      <c r="A17871" s="6" t="str">
        <f>"AL353807.3"</f>
        <v>AL353807.3</v>
      </c>
      <c r="B17871" s="6" t="s">
        <v>1</v>
      </c>
      <c r="C17871" s="6" t="s">
        <v>1</v>
      </c>
    </row>
    <row r="17872" spans="1:3" s="8" customFormat="1" x14ac:dyDescent="0.2">
      <c r="A17872" s="6" t="str">
        <f>"AC244100.4"</f>
        <v>AC244100.4</v>
      </c>
      <c r="B17872" s="6" t="s">
        <v>1</v>
      </c>
      <c r="C17872" s="6" t="s">
        <v>1</v>
      </c>
    </row>
    <row r="17873" spans="1:3" s="8" customFormat="1" x14ac:dyDescent="0.2">
      <c r="A17873" s="6" t="str">
        <f>"LINC02042"</f>
        <v>LINC02042</v>
      </c>
      <c r="B17873" s="6" t="s">
        <v>1</v>
      </c>
      <c r="C17873" s="6" t="s">
        <v>1</v>
      </c>
    </row>
    <row r="17874" spans="1:3" s="8" customFormat="1" x14ac:dyDescent="0.2">
      <c r="A17874" s="6" t="str">
        <f>"AC004908.2"</f>
        <v>AC004908.2</v>
      </c>
      <c r="B17874" s="6" t="s">
        <v>1</v>
      </c>
      <c r="C17874" s="6" t="s">
        <v>1</v>
      </c>
    </row>
    <row r="17875" spans="1:3" s="8" customFormat="1" x14ac:dyDescent="0.2">
      <c r="A17875" s="6" t="str">
        <f>"AL133243.4"</f>
        <v>AL133243.4</v>
      </c>
      <c r="B17875" s="6" t="s">
        <v>1</v>
      </c>
      <c r="C17875" s="6" t="s">
        <v>1</v>
      </c>
    </row>
    <row r="17876" spans="1:3" s="8" customFormat="1" x14ac:dyDescent="0.2">
      <c r="A17876" s="6" t="str">
        <f>"AP000560.1"</f>
        <v>AP000560.1</v>
      </c>
      <c r="B17876" s="6" t="s">
        <v>1</v>
      </c>
      <c r="C17876" s="6" t="s">
        <v>1</v>
      </c>
    </row>
    <row r="17877" spans="1:3" s="8" customFormat="1" x14ac:dyDescent="0.2">
      <c r="A17877" s="6" t="str">
        <f>"LINC01118"</f>
        <v>LINC01118</v>
      </c>
      <c r="B17877" s="6" t="s">
        <v>1</v>
      </c>
      <c r="C17877" s="6" t="s">
        <v>1</v>
      </c>
    </row>
    <row r="17878" spans="1:3" s="8" customFormat="1" x14ac:dyDescent="0.2">
      <c r="A17878" s="6" t="str">
        <f>"AC007128.1"</f>
        <v>AC007128.1</v>
      </c>
      <c r="B17878" s="6" t="s">
        <v>1</v>
      </c>
      <c r="C17878" s="6" t="s">
        <v>1</v>
      </c>
    </row>
    <row r="17879" spans="1:3" s="8" customFormat="1" x14ac:dyDescent="0.2">
      <c r="A17879" s="6" t="str">
        <f>"GPR179"</f>
        <v>GPR179</v>
      </c>
      <c r="B17879" s="6" t="s">
        <v>1</v>
      </c>
      <c r="C17879" s="6" t="s">
        <v>1</v>
      </c>
    </row>
    <row r="17880" spans="1:3" s="8" customFormat="1" x14ac:dyDescent="0.2">
      <c r="A17880" s="6" t="str">
        <f>"ADRA1A"</f>
        <v>ADRA1A</v>
      </c>
      <c r="B17880" s="6" t="s">
        <v>1</v>
      </c>
      <c r="C17880" s="6" t="s">
        <v>1</v>
      </c>
    </row>
    <row r="17881" spans="1:3" s="8" customFormat="1" x14ac:dyDescent="0.2">
      <c r="A17881" s="6" t="str">
        <f>"LINC01968"</f>
        <v>LINC01968</v>
      </c>
      <c r="B17881" s="6" t="s">
        <v>1</v>
      </c>
      <c r="C17881" s="6" t="s">
        <v>1</v>
      </c>
    </row>
    <row r="17882" spans="1:3" s="8" customFormat="1" x14ac:dyDescent="0.2">
      <c r="A17882" s="6" t="str">
        <f>"TMEM139-AS1"</f>
        <v>TMEM139-AS1</v>
      </c>
      <c r="B17882" s="6" t="s">
        <v>1</v>
      </c>
      <c r="C17882" s="6" t="s">
        <v>1</v>
      </c>
    </row>
    <row r="17883" spans="1:3" s="8" customFormat="1" x14ac:dyDescent="0.2">
      <c r="A17883" s="6" t="str">
        <f>"AC243547.1"</f>
        <v>AC243547.1</v>
      </c>
      <c r="B17883" s="6" t="s">
        <v>1</v>
      </c>
      <c r="C17883" s="6" t="s">
        <v>1</v>
      </c>
    </row>
    <row r="17884" spans="1:3" s="8" customFormat="1" x14ac:dyDescent="0.2">
      <c r="A17884" s="6" t="str">
        <f>"P2RX6P"</f>
        <v>P2RX6P</v>
      </c>
      <c r="B17884" s="6" t="s">
        <v>1</v>
      </c>
      <c r="C17884" s="6" t="s">
        <v>1</v>
      </c>
    </row>
    <row r="17885" spans="1:3" s="8" customFormat="1" x14ac:dyDescent="0.2">
      <c r="A17885" s="6" t="str">
        <f>"PACERR"</f>
        <v>PACERR</v>
      </c>
      <c r="B17885" s="6" t="s">
        <v>1</v>
      </c>
      <c r="C17885" s="6" t="s">
        <v>1</v>
      </c>
    </row>
    <row r="17886" spans="1:3" s="8" customFormat="1" x14ac:dyDescent="0.2">
      <c r="A17886" s="6" t="str">
        <f>"CRYBB3"</f>
        <v>CRYBB3</v>
      </c>
      <c r="B17886" s="6" t="s">
        <v>1</v>
      </c>
      <c r="C17886" s="6" t="s">
        <v>1</v>
      </c>
    </row>
    <row r="17887" spans="1:3" s="8" customFormat="1" x14ac:dyDescent="0.2">
      <c r="A17887" s="6" t="str">
        <f>"RPL4P6"</f>
        <v>RPL4P6</v>
      </c>
      <c r="B17887" s="6" t="s">
        <v>1</v>
      </c>
      <c r="C17887" s="6" t="s">
        <v>1</v>
      </c>
    </row>
    <row r="17888" spans="1:3" s="8" customFormat="1" x14ac:dyDescent="0.2">
      <c r="A17888" s="6" t="str">
        <f>"NECTIN3-AS1"</f>
        <v>NECTIN3-AS1</v>
      </c>
      <c r="B17888" s="6" t="s">
        <v>1</v>
      </c>
      <c r="C17888" s="6" t="s">
        <v>1</v>
      </c>
    </row>
    <row r="17889" spans="1:3" s="8" customFormat="1" x14ac:dyDescent="0.2">
      <c r="A17889" s="6" t="str">
        <f>"AC106886.3"</f>
        <v>AC106886.3</v>
      </c>
      <c r="B17889" s="6" t="s">
        <v>1</v>
      </c>
      <c r="C17889" s="6" t="s">
        <v>1</v>
      </c>
    </row>
    <row r="17890" spans="1:3" s="8" customFormat="1" x14ac:dyDescent="0.2">
      <c r="A17890" s="6" t="str">
        <f>"AC084337.1"</f>
        <v>AC084337.1</v>
      </c>
      <c r="B17890" s="6" t="s">
        <v>1</v>
      </c>
      <c r="C17890" s="6" t="s">
        <v>1</v>
      </c>
    </row>
    <row r="17891" spans="1:3" s="8" customFormat="1" x14ac:dyDescent="0.2">
      <c r="A17891" s="6" t="str">
        <f>"ADRA1B"</f>
        <v>ADRA1B</v>
      </c>
      <c r="B17891" s="6" t="s">
        <v>1</v>
      </c>
      <c r="C17891" s="6" t="s">
        <v>1</v>
      </c>
    </row>
    <row r="17892" spans="1:3" s="8" customFormat="1" x14ac:dyDescent="0.2">
      <c r="A17892" s="6" t="str">
        <f>"AC009299.2"</f>
        <v>AC009299.2</v>
      </c>
      <c r="B17892" s="6" t="s">
        <v>1</v>
      </c>
      <c r="C17892" s="6" t="s">
        <v>1</v>
      </c>
    </row>
    <row r="17893" spans="1:3" s="8" customFormat="1" x14ac:dyDescent="0.2">
      <c r="A17893" s="6" t="str">
        <f>"TMEM151A"</f>
        <v>TMEM151A</v>
      </c>
      <c r="B17893" s="6" t="s">
        <v>1</v>
      </c>
      <c r="C17893" s="6" t="s">
        <v>1</v>
      </c>
    </row>
    <row r="17894" spans="1:3" s="8" customFormat="1" x14ac:dyDescent="0.2">
      <c r="A17894" s="6" t="str">
        <f>"AC007216.3"</f>
        <v>AC007216.3</v>
      </c>
      <c r="B17894" s="6" t="s">
        <v>1</v>
      </c>
      <c r="C17894" s="6" t="s">
        <v>1</v>
      </c>
    </row>
    <row r="17895" spans="1:3" s="8" customFormat="1" x14ac:dyDescent="0.2">
      <c r="A17895" s="6" t="str">
        <f>"IFNG"</f>
        <v>IFNG</v>
      </c>
      <c r="B17895" s="6" t="s">
        <v>1</v>
      </c>
      <c r="C17895" s="6" t="s">
        <v>1</v>
      </c>
    </row>
    <row r="17896" spans="1:3" s="8" customFormat="1" x14ac:dyDescent="0.2">
      <c r="A17896" s="6" t="str">
        <f>"OXCT2P1"</f>
        <v>OXCT2P1</v>
      </c>
      <c r="B17896" s="6" t="s">
        <v>1</v>
      </c>
      <c r="C17896" s="6" t="s">
        <v>1</v>
      </c>
    </row>
    <row r="17897" spans="1:3" s="8" customFormat="1" x14ac:dyDescent="0.2">
      <c r="A17897" s="6" t="str">
        <f>"CYP2C9"</f>
        <v>CYP2C9</v>
      </c>
      <c r="B17897" s="6" t="s">
        <v>1</v>
      </c>
      <c r="C17897" s="6" t="s">
        <v>1</v>
      </c>
    </row>
    <row r="17898" spans="1:3" s="8" customFormat="1" x14ac:dyDescent="0.2">
      <c r="A17898" s="6" t="str">
        <f>"AC009509.1"</f>
        <v>AC009509.1</v>
      </c>
      <c r="B17898" s="6" t="s">
        <v>1</v>
      </c>
      <c r="C17898" s="6" t="s">
        <v>1</v>
      </c>
    </row>
    <row r="17899" spans="1:3" s="8" customFormat="1" x14ac:dyDescent="0.2">
      <c r="A17899" s="6" t="str">
        <f>"ADORA1"</f>
        <v>ADORA1</v>
      </c>
      <c r="B17899" s="6" t="s">
        <v>1</v>
      </c>
      <c r="C17899" s="6" t="s">
        <v>1</v>
      </c>
    </row>
    <row r="17900" spans="1:3" s="8" customFormat="1" x14ac:dyDescent="0.2">
      <c r="A17900" s="6" t="str">
        <f>"UGT2B15"</f>
        <v>UGT2B15</v>
      </c>
      <c r="B17900" s="6" t="s">
        <v>1</v>
      </c>
      <c r="C17900" s="6" t="s">
        <v>1</v>
      </c>
    </row>
    <row r="17901" spans="1:3" s="8" customFormat="1" x14ac:dyDescent="0.2">
      <c r="A17901" s="6" t="str">
        <f>"AC243829.4"</f>
        <v>AC243829.4</v>
      </c>
      <c r="B17901" s="6" t="s">
        <v>1</v>
      </c>
      <c r="C17901" s="6" t="s">
        <v>1</v>
      </c>
    </row>
    <row r="17902" spans="1:3" s="8" customFormat="1" x14ac:dyDescent="0.2">
      <c r="A17902" s="6" t="str">
        <f>"LYVE1"</f>
        <v>LYVE1</v>
      </c>
      <c r="B17902" s="6" t="s">
        <v>1</v>
      </c>
      <c r="C17902" s="6" t="s">
        <v>1</v>
      </c>
    </row>
    <row r="17903" spans="1:3" s="8" customFormat="1" x14ac:dyDescent="0.2">
      <c r="A17903" s="6" t="str">
        <f>"AL133245.1"</f>
        <v>AL133245.1</v>
      </c>
      <c r="B17903" s="6" t="s">
        <v>1</v>
      </c>
      <c r="C17903" s="6" t="s">
        <v>1</v>
      </c>
    </row>
    <row r="17904" spans="1:3" s="8" customFormat="1" x14ac:dyDescent="0.2">
      <c r="A17904" s="6" t="str">
        <f>"AC004801.2"</f>
        <v>AC004801.2</v>
      </c>
      <c r="B17904" s="6" t="s">
        <v>1</v>
      </c>
      <c r="C17904" s="6" t="s">
        <v>1</v>
      </c>
    </row>
    <row r="17905" spans="1:3" s="8" customFormat="1" x14ac:dyDescent="0.2">
      <c r="A17905" s="6" t="str">
        <f>"MS4A10"</f>
        <v>MS4A10</v>
      </c>
      <c r="B17905" s="6" t="s">
        <v>1</v>
      </c>
      <c r="C17905" s="6" t="s">
        <v>1</v>
      </c>
    </row>
    <row r="17906" spans="1:3" s="8" customFormat="1" x14ac:dyDescent="0.2">
      <c r="A17906" s="6" t="str">
        <f>"LINC01093"</f>
        <v>LINC01093</v>
      </c>
      <c r="B17906" s="6" t="s">
        <v>1</v>
      </c>
      <c r="C17906" s="6" t="s">
        <v>1</v>
      </c>
    </row>
    <row r="17907" spans="1:3" s="8" customFormat="1" x14ac:dyDescent="0.2">
      <c r="A17907" s="6" t="str">
        <f>"AL451166.1"</f>
        <v>AL451166.1</v>
      </c>
      <c r="B17907" s="6" t="s">
        <v>1</v>
      </c>
      <c r="C17907" s="6" t="s">
        <v>1</v>
      </c>
    </row>
    <row r="17908" spans="1:3" s="8" customFormat="1" x14ac:dyDescent="0.2">
      <c r="A17908" s="6" t="str">
        <f>"HSP90AB2P"</f>
        <v>HSP90AB2P</v>
      </c>
      <c r="B17908" s="6" t="s">
        <v>1</v>
      </c>
      <c r="C17908" s="6" t="s">
        <v>1</v>
      </c>
    </row>
    <row r="17909" spans="1:3" s="8" customFormat="1" x14ac:dyDescent="0.2">
      <c r="A17909" s="6" t="str">
        <f>"AC064807.4"</f>
        <v>AC064807.4</v>
      </c>
      <c r="B17909" s="6" t="s">
        <v>1</v>
      </c>
      <c r="C17909" s="6" t="s">
        <v>1</v>
      </c>
    </row>
    <row r="17910" spans="1:3" s="8" customFormat="1" x14ac:dyDescent="0.2">
      <c r="A17910" s="6" t="str">
        <f>"ELOCP33"</f>
        <v>ELOCP33</v>
      </c>
      <c r="B17910" s="6" t="s">
        <v>1</v>
      </c>
      <c r="C17910" s="6" t="s">
        <v>1</v>
      </c>
    </row>
    <row r="17911" spans="1:3" s="8" customFormat="1" x14ac:dyDescent="0.2">
      <c r="A17911" s="6" t="str">
        <f>"UGT1A7"</f>
        <v>UGT1A7</v>
      </c>
      <c r="B17911" s="6" t="s">
        <v>1</v>
      </c>
      <c r="C17911" s="6" t="s">
        <v>1</v>
      </c>
    </row>
    <row r="17912" spans="1:3" s="8" customFormat="1" x14ac:dyDescent="0.2">
      <c r="A17912" s="6" t="str">
        <f>"MAB21L2"</f>
        <v>MAB21L2</v>
      </c>
      <c r="B17912" s="6" t="s">
        <v>1</v>
      </c>
      <c r="C17912" s="6" t="s">
        <v>1</v>
      </c>
    </row>
    <row r="17913" spans="1:3" s="8" customFormat="1" x14ac:dyDescent="0.2">
      <c r="A17913" s="6" t="str">
        <f>"P2RY12"</f>
        <v>P2RY12</v>
      </c>
      <c r="B17913" s="6" t="s">
        <v>1</v>
      </c>
      <c r="C17913" s="6" t="s">
        <v>1</v>
      </c>
    </row>
    <row r="17914" spans="1:3" s="8" customFormat="1" x14ac:dyDescent="0.2">
      <c r="A17914" s="6" t="str">
        <f>"AC022079.2"</f>
        <v>AC022079.2</v>
      </c>
      <c r="B17914" s="6" t="s">
        <v>1</v>
      </c>
      <c r="C17914" s="6" t="s">
        <v>1</v>
      </c>
    </row>
    <row r="17915" spans="1:3" s="8" customFormat="1" x14ac:dyDescent="0.2">
      <c r="A17915" s="6" t="str">
        <f>"KLRC3"</f>
        <v>KLRC3</v>
      </c>
      <c r="B17915" s="6" t="s">
        <v>1</v>
      </c>
      <c r="C17915" s="6" t="s">
        <v>1</v>
      </c>
    </row>
    <row r="17916" spans="1:3" s="8" customFormat="1" x14ac:dyDescent="0.2">
      <c r="A17916" s="6" t="str">
        <f>"AL445531.1"</f>
        <v>AL445531.1</v>
      </c>
      <c r="B17916" s="6" t="s">
        <v>1</v>
      </c>
      <c r="C17916" s="6" t="s">
        <v>1</v>
      </c>
    </row>
    <row r="17917" spans="1:3" s="8" customFormat="1" x14ac:dyDescent="0.2">
      <c r="A17917" s="6" t="str">
        <f>"RNF112"</f>
        <v>RNF112</v>
      </c>
      <c r="B17917" s="6" t="s">
        <v>1</v>
      </c>
      <c r="C17917" s="6" t="s">
        <v>1</v>
      </c>
    </row>
    <row r="17918" spans="1:3" s="8" customFormat="1" x14ac:dyDescent="0.2">
      <c r="A17918" s="6" t="str">
        <f>"AL451064.2"</f>
        <v>AL451064.2</v>
      </c>
      <c r="B17918" s="6" t="s">
        <v>1</v>
      </c>
      <c r="C17918" s="6" t="s">
        <v>1</v>
      </c>
    </row>
    <row r="17919" spans="1:3" s="8" customFormat="1" x14ac:dyDescent="0.2">
      <c r="A17919" s="6" t="str">
        <f>"LINC01058"</f>
        <v>LINC01058</v>
      </c>
      <c r="B17919" s="6" t="s">
        <v>1</v>
      </c>
      <c r="C17919" s="6" t="s">
        <v>1</v>
      </c>
    </row>
    <row r="17920" spans="1:3" s="8" customFormat="1" x14ac:dyDescent="0.2">
      <c r="A17920" s="6" t="str">
        <f>"AC108451.1"</f>
        <v>AC108451.1</v>
      </c>
      <c r="B17920" s="6" t="s">
        <v>1</v>
      </c>
      <c r="C17920" s="6" t="s">
        <v>1</v>
      </c>
    </row>
    <row r="17921" spans="1:3" s="8" customFormat="1" x14ac:dyDescent="0.2">
      <c r="A17921" s="6" t="str">
        <f>"AC022306.2"</f>
        <v>AC022306.2</v>
      </c>
      <c r="B17921" s="6" t="s">
        <v>1</v>
      </c>
      <c r="C17921" s="6" t="s">
        <v>1</v>
      </c>
    </row>
    <row r="17922" spans="1:3" s="8" customFormat="1" x14ac:dyDescent="0.2">
      <c r="A17922" s="6" t="str">
        <f>"LINC01185"</f>
        <v>LINC01185</v>
      </c>
      <c r="B17922" s="6" t="s">
        <v>1</v>
      </c>
      <c r="C17922" s="6" t="s">
        <v>1</v>
      </c>
    </row>
    <row r="17923" spans="1:3" s="8" customFormat="1" x14ac:dyDescent="0.2">
      <c r="A17923" s="6" t="str">
        <f>"TBC1D3H"</f>
        <v>TBC1D3H</v>
      </c>
      <c r="B17923" s="6" t="s">
        <v>1</v>
      </c>
      <c r="C17923" s="6" t="s">
        <v>1</v>
      </c>
    </row>
    <row r="17924" spans="1:3" s="8" customFormat="1" x14ac:dyDescent="0.2">
      <c r="A17924" s="6" t="str">
        <f>"GLDC"</f>
        <v>GLDC</v>
      </c>
      <c r="B17924" s="6" t="s">
        <v>1</v>
      </c>
      <c r="C17924" s="6" t="s">
        <v>1</v>
      </c>
    </row>
    <row r="17925" spans="1:3" s="8" customFormat="1" x14ac:dyDescent="0.2">
      <c r="A17925" s="6" t="str">
        <f>"MIR4432HG"</f>
        <v>MIR4432HG</v>
      </c>
      <c r="B17925" s="6" t="s">
        <v>1</v>
      </c>
      <c r="C17925" s="6" t="s">
        <v>1</v>
      </c>
    </row>
    <row r="17926" spans="1:3" s="8" customFormat="1" x14ac:dyDescent="0.2">
      <c r="A17926" s="6" t="str">
        <f>"ASCL4"</f>
        <v>ASCL4</v>
      </c>
      <c r="B17926" s="6" t="s">
        <v>1</v>
      </c>
      <c r="C17926" s="6" t="s">
        <v>1</v>
      </c>
    </row>
    <row r="17927" spans="1:3" s="8" customFormat="1" x14ac:dyDescent="0.2">
      <c r="A17927" s="6" t="str">
        <f>"NOTUM"</f>
        <v>NOTUM</v>
      </c>
      <c r="B17927" s="6" t="s">
        <v>1</v>
      </c>
      <c r="C17927" s="6" t="s">
        <v>1</v>
      </c>
    </row>
    <row r="17928" spans="1:3" s="8" customFormat="1" x14ac:dyDescent="0.2">
      <c r="A17928" s="6" t="str">
        <f>"AL022724.3"</f>
        <v>AL022724.3</v>
      </c>
      <c r="B17928" s="6" t="s">
        <v>1</v>
      </c>
      <c r="C17928" s="6" t="s">
        <v>1</v>
      </c>
    </row>
    <row r="17929" spans="1:3" s="8" customFormat="1" x14ac:dyDescent="0.2">
      <c r="A17929" s="6" t="str">
        <f>"GLIS2-AS1"</f>
        <v>GLIS2-AS1</v>
      </c>
      <c r="B17929" s="6" t="s">
        <v>1</v>
      </c>
      <c r="C17929" s="6" t="s">
        <v>1</v>
      </c>
    </row>
    <row r="17930" spans="1:3" s="8" customFormat="1" x14ac:dyDescent="0.2">
      <c r="A17930" s="6" t="str">
        <f>"TBC1D3I"</f>
        <v>TBC1D3I</v>
      </c>
      <c r="B17930" s="6" t="s">
        <v>1</v>
      </c>
      <c r="C17930" s="6" t="s">
        <v>1</v>
      </c>
    </row>
    <row r="17931" spans="1:3" s="8" customFormat="1" x14ac:dyDescent="0.2">
      <c r="A17931" s="6" t="str">
        <f>"AC068025.1"</f>
        <v>AC068025.1</v>
      </c>
      <c r="B17931" s="6" t="s">
        <v>1</v>
      </c>
      <c r="C17931" s="6" t="s">
        <v>1</v>
      </c>
    </row>
    <row r="17932" spans="1:3" s="8" customFormat="1" x14ac:dyDescent="0.2">
      <c r="A17932" s="6" t="str">
        <f>"LEAP2"</f>
        <v>LEAP2</v>
      </c>
      <c r="B17932" s="6" t="s">
        <v>1</v>
      </c>
      <c r="C17932" s="6" t="s">
        <v>1</v>
      </c>
    </row>
    <row r="17933" spans="1:3" s="8" customFormat="1" x14ac:dyDescent="0.2">
      <c r="A17933" s="6" t="str">
        <f>"TTC9B"</f>
        <v>TTC9B</v>
      </c>
      <c r="B17933" s="6" t="s">
        <v>1</v>
      </c>
      <c r="C17933" s="6" t="s">
        <v>1</v>
      </c>
    </row>
    <row r="17934" spans="1:3" s="8" customFormat="1" x14ac:dyDescent="0.2">
      <c r="A17934" s="6" t="str">
        <f>"AC107031.1"</f>
        <v>AC107031.1</v>
      </c>
      <c r="B17934" s="6" t="s">
        <v>1</v>
      </c>
      <c r="C17934" s="6" t="s">
        <v>1</v>
      </c>
    </row>
    <row r="17935" spans="1:3" s="8" customFormat="1" x14ac:dyDescent="0.2">
      <c r="A17935" s="6" t="str">
        <f>"APOA1"</f>
        <v>APOA1</v>
      </c>
      <c r="B17935" s="6" t="s">
        <v>1</v>
      </c>
      <c r="C17935" s="6" t="s">
        <v>1</v>
      </c>
    </row>
    <row r="17936" spans="1:3" s="8" customFormat="1" x14ac:dyDescent="0.2">
      <c r="A17936" s="6" t="str">
        <f>"AC007271.1"</f>
        <v>AC007271.1</v>
      </c>
      <c r="B17936" s="6" t="s">
        <v>1</v>
      </c>
      <c r="C17936" s="6" t="s">
        <v>1</v>
      </c>
    </row>
    <row r="17937" spans="1:3" s="8" customFormat="1" x14ac:dyDescent="0.2">
      <c r="A17937" s="6" t="str">
        <f>"AP000357.2"</f>
        <v>AP000357.2</v>
      </c>
      <c r="B17937" s="6" t="s">
        <v>1</v>
      </c>
      <c r="C17937" s="6" t="s">
        <v>1</v>
      </c>
    </row>
    <row r="17938" spans="1:3" s="8" customFormat="1" x14ac:dyDescent="0.2">
      <c r="A17938" s="6" t="str">
        <f>"RPL7AP11"</f>
        <v>RPL7AP11</v>
      </c>
      <c r="B17938" s="6" t="s">
        <v>1</v>
      </c>
      <c r="C17938" s="6" t="s">
        <v>1</v>
      </c>
    </row>
    <row r="17939" spans="1:3" s="8" customFormat="1" x14ac:dyDescent="0.2">
      <c r="A17939" s="6" t="str">
        <f>"AC253572.1"</f>
        <v>AC253572.1</v>
      </c>
      <c r="B17939" s="6" t="s">
        <v>1</v>
      </c>
      <c r="C17939" s="6" t="s">
        <v>1</v>
      </c>
    </row>
    <row r="17940" spans="1:3" s="8" customFormat="1" x14ac:dyDescent="0.2">
      <c r="A17940" s="6" t="str">
        <f>"CYP2D8P"</f>
        <v>CYP2D8P</v>
      </c>
      <c r="B17940" s="6" t="s">
        <v>1</v>
      </c>
      <c r="C17940" s="6" t="s">
        <v>1</v>
      </c>
    </row>
    <row r="17941" spans="1:3" s="8" customFormat="1" x14ac:dyDescent="0.2">
      <c r="A17941" s="6" t="str">
        <f>"FALEC"</f>
        <v>FALEC</v>
      </c>
      <c r="B17941" s="6" t="s">
        <v>1</v>
      </c>
      <c r="C17941" s="6" t="s">
        <v>1</v>
      </c>
    </row>
    <row r="17942" spans="1:3" s="8" customFormat="1" x14ac:dyDescent="0.2">
      <c r="A17942" s="6" t="str">
        <f>"AC062037.3"</f>
        <v>AC062037.3</v>
      </c>
      <c r="B17942" s="6" t="s">
        <v>1</v>
      </c>
      <c r="C17942" s="6" t="s">
        <v>1</v>
      </c>
    </row>
    <row r="17943" spans="1:3" s="8" customFormat="1" x14ac:dyDescent="0.2">
      <c r="A17943" s="6" t="str">
        <f>"KCNG4"</f>
        <v>KCNG4</v>
      </c>
      <c r="B17943" s="6" t="s">
        <v>1</v>
      </c>
      <c r="C17943" s="6" t="s">
        <v>1</v>
      </c>
    </row>
    <row r="17944" spans="1:3" s="8" customFormat="1" x14ac:dyDescent="0.2">
      <c r="A17944" s="6" t="str">
        <f>"AC130448.1"</f>
        <v>AC130448.1</v>
      </c>
      <c r="B17944" s="6" t="s">
        <v>1</v>
      </c>
      <c r="C17944" s="6" t="s">
        <v>1</v>
      </c>
    </row>
    <row r="17945" spans="1:3" s="8" customFormat="1" x14ac:dyDescent="0.2">
      <c r="A17945" s="6" t="str">
        <f>"AC023282.1"</f>
        <v>AC023282.1</v>
      </c>
      <c r="B17945" s="6" t="s">
        <v>1</v>
      </c>
      <c r="C17945" s="6" t="s">
        <v>1</v>
      </c>
    </row>
    <row r="17946" spans="1:3" s="8" customFormat="1" x14ac:dyDescent="0.2">
      <c r="A17946" s="6" t="str">
        <f>"HAR1A"</f>
        <v>HAR1A</v>
      </c>
      <c r="B17946" s="6" t="s">
        <v>1</v>
      </c>
      <c r="C17946" s="6" t="s">
        <v>1</v>
      </c>
    </row>
    <row r="17947" spans="1:3" s="8" customFormat="1" x14ac:dyDescent="0.2">
      <c r="A17947" s="6" t="str">
        <f>"RPL7AP30"</f>
        <v>RPL7AP30</v>
      </c>
      <c r="B17947" s="6" t="s">
        <v>1</v>
      </c>
      <c r="C17947" s="6" t="s">
        <v>1</v>
      </c>
    </row>
    <row r="17948" spans="1:3" s="8" customFormat="1" x14ac:dyDescent="0.2">
      <c r="A17948" s="6" t="str">
        <f>"AC068408.1"</f>
        <v>AC068408.1</v>
      </c>
      <c r="B17948" s="6" t="s">
        <v>1</v>
      </c>
      <c r="C17948" s="6" t="s">
        <v>1</v>
      </c>
    </row>
    <row r="17949" spans="1:3" s="8" customFormat="1" x14ac:dyDescent="0.2">
      <c r="A17949" s="6" t="str">
        <f>"AC009271.2"</f>
        <v>AC009271.2</v>
      </c>
      <c r="B17949" s="6" t="s">
        <v>1</v>
      </c>
      <c r="C17949" s="6" t="s">
        <v>1</v>
      </c>
    </row>
    <row r="17950" spans="1:3" s="8" customFormat="1" x14ac:dyDescent="0.2">
      <c r="A17950" s="6" t="str">
        <f>"AC084824.3"</f>
        <v>AC084824.3</v>
      </c>
      <c r="B17950" s="6" t="s">
        <v>1</v>
      </c>
      <c r="C17950" s="6" t="s">
        <v>1</v>
      </c>
    </row>
    <row r="17951" spans="1:3" s="8" customFormat="1" x14ac:dyDescent="0.2">
      <c r="A17951" s="6" t="str">
        <f>"FLJ40194"</f>
        <v>FLJ40194</v>
      </c>
      <c r="B17951" s="6" t="s">
        <v>1</v>
      </c>
      <c r="C17951" s="6" t="s">
        <v>1</v>
      </c>
    </row>
    <row r="17952" spans="1:3" s="8" customFormat="1" x14ac:dyDescent="0.2">
      <c r="A17952" s="6" t="str">
        <f>"AC108125.1"</f>
        <v>AC108125.1</v>
      </c>
      <c r="B17952" s="6" t="s">
        <v>1</v>
      </c>
      <c r="C17952" s="6" t="s">
        <v>1</v>
      </c>
    </row>
    <row r="17953" spans="1:3" s="8" customFormat="1" x14ac:dyDescent="0.2">
      <c r="A17953" s="6" t="str">
        <f>"NONOP2"</f>
        <v>NONOP2</v>
      </c>
      <c r="B17953" s="6" t="s">
        <v>1</v>
      </c>
      <c r="C17953" s="6" t="s">
        <v>1</v>
      </c>
    </row>
    <row r="17954" spans="1:3" s="8" customFormat="1" x14ac:dyDescent="0.2">
      <c r="A17954" s="6" t="str">
        <f>"AC004882.3"</f>
        <v>AC004882.3</v>
      </c>
      <c r="B17954" s="6" t="s">
        <v>1</v>
      </c>
      <c r="C17954" s="6" t="s">
        <v>1</v>
      </c>
    </row>
    <row r="17955" spans="1:3" s="8" customFormat="1" x14ac:dyDescent="0.2">
      <c r="A17955" s="6" t="str">
        <f>"PPIAP22"</f>
        <v>PPIAP22</v>
      </c>
      <c r="B17955" s="6" t="s">
        <v>1</v>
      </c>
      <c r="C17955" s="6" t="s">
        <v>1</v>
      </c>
    </row>
    <row r="17956" spans="1:3" s="8" customFormat="1" x14ac:dyDescent="0.2">
      <c r="A17956" s="6" t="str">
        <f>"AC013643.2"</f>
        <v>AC013643.2</v>
      </c>
      <c r="B17956" s="6" t="s">
        <v>1</v>
      </c>
      <c r="C17956" s="6" t="s">
        <v>1</v>
      </c>
    </row>
    <row r="17957" spans="1:3" s="8" customFormat="1" x14ac:dyDescent="0.2">
      <c r="A17957" s="6" t="str">
        <f>"PDCL3P5"</f>
        <v>PDCL3P5</v>
      </c>
      <c r="B17957" s="6" t="s">
        <v>1</v>
      </c>
      <c r="C17957" s="6" t="s">
        <v>1</v>
      </c>
    </row>
    <row r="17958" spans="1:3" s="8" customFormat="1" x14ac:dyDescent="0.2">
      <c r="A17958" s="6" t="str">
        <f>"AP000786.1"</f>
        <v>AP000786.1</v>
      </c>
      <c r="B17958" s="6" t="s">
        <v>1</v>
      </c>
      <c r="C17958" s="6" t="s">
        <v>1</v>
      </c>
    </row>
    <row r="17959" spans="1:3" s="8" customFormat="1" x14ac:dyDescent="0.2">
      <c r="A17959" s="6" t="str">
        <f>"SELE"</f>
        <v>SELE</v>
      </c>
      <c r="B17959" s="6" t="s">
        <v>1</v>
      </c>
      <c r="C17959" s="6" t="s">
        <v>1</v>
      </c>
    </row>
    <row r="17960" spans="1:3" s="8" customFormat="1" x14ac:dyDescent="0.2">
      <c r="A17960" s="6" t="str">
        <f>"AC131235.3"</f>
        <v>AC131235.3</v>
      </c>
      <c r="B17960" s="6" t="s">
        <v>1</v>
      </c>
      <c r="C17960" s="6" t="s">
        <v>1</v>
      </c>
    </row>
    <row r="17961" spans="1:3" s="8" customFormat="1" x14ac:dyDescent="0.2">
      <c r="A17961" s="6" t="str">
        <f>"NXPH3"</f>
        <v>NXPH3</v>
      </c>
      <c r="B17961" s="6" t="s">
        <v>1</v>
      </c>
      <c r="C17961" s="6" t="s">
        <v>1</v>
      </c>
    </row>
    <row r="17962" spans="1:3" s="8" customFormat="1" x14ac:dyDescent="0.2">
      <c r="A17962" s="6" t="str">
        <f>"MYG1-AS1"</f>
        <v>MYG1-AS1</v>
      </c>
      <c r="B17962" s="6" t="s">
        <v>1</v>
      </c>
      <c r="C17962" s="6" t="s">
        <v>1</v>
      </c>
    </row>
    <row r="17963" spans="1:3" s="8" customFormat="1" x14ac:dyDescent="0.2">
      <c r="A17963" s="6" t="str">
        <f>"AC084782.2"</f>
        <v>AC084782.2</v>
      </c>
      <c r="B17963" s="6" t="s">
        <v>1</v>
      </c>
      <c r="C17963" s="6" t="s">
        <v>1</v>
      </c>
    </row>
    <row r="17964" spans="1:3" s="8" customFormat="1" x14ac:dyDescent="0.2">
      <c r="A17964" s="6" t="str">
        <f>"AC012508.1"</f>
        <v>AC012508.1</v>
      </c>
      <c r="B17964" s="6" t="s">
        <v>1</v>
      </c>
      <c r="C17964" s="6" t="s">
        <v>1</v>
      </c>
    </row>
    <row r="17965" spans="1:3" s="8" customFormat="1" x14ac:dyDescent="0.2">
      <c r="A17965" s="6" t="str">
        <f>"AL031667.3"</f>
        <v>AL031667.3</v>
      </c>
      <c r="B17965" s="6" t="s">
        <v>1</v>
      </c>
      <c r="C17965" s="6" t="s">
        <v>1</v>
      </c>
    </row>
    <row r="17966" spans="1:3" s="8" customFormat="1" x14ac:dyDescent="0.2">
      <c r="A17966" s="6" t="str">
        <f>"BRD7P2"</f>
        <v>BRD7P2</v>
      </c>
      <c r="B17966" s="6" t="s">
        <v>1</v>
      </c>
      <c r="C17966" s="6" t="s">
        <v>1</v>
      </c>
    </row>
    <row r="17967" spans="1:3" s="8" customFormat="1" x14ac:dyDescent="0.2">
      <c r="A17967" s="6" t="str">
        <f>"AL449423.1"</f>
        <v>AL449423.1</v>
      </c>
      <c r="B17967" s="6" t="s">
        <v>1</v>
      </c>
      <c r="C17967" s="6" t="s">
        <v>1</v>
      </c>
    </row>
    <row r="17968" spans="1:3" s="8" customFormat="1" x14ac:dyDescent="0.2">
      <c r="A17968" s="6" t="str">
        <f>"AC009275.1"</f>
        <v>AC009275.1</v>
      </c>
      <c r="B17968" s="6" t="s">
        <v>1</v>
      </c>
      <c r="C17968" s="6" t="s">
        <v>1</v>
      </c>
    </row>
    <row r="17969" spans="1:3" s="8" customFormat="1" x14ac:dyDescent="0.2">
      <c r="A17969" s="6" t="str">
        <f>"KLK1"</f>
        <v>KLK1</v>
      </c>
      <c r="B17969" s="6" t="s">
        <v>1</v>
      </c>
      <c r="C17969" s="6" t="s">
        <v>1</v>
      </c>
    </row>
    <row r="17970" spans="1:3" s="8" customFormat="1" x14ac:dyDescent="0.2">
      <c r="A17970" s="6" t="str">
        <f>"AC007317.1"</f>
        <v>AC007317.1</v>
      </c>
      <c r="B17970" s="6" t="s">
        <v>1</v>
      </c>
      <c r="C17970" s="6" t="s">
        <v>1</v>
      </c>
    </row>
    <row r="17971" spans="1:3" s="8" customFormat="1" x14ac:dyDescent="0.2">
      <c r="A17971" s="6" t="str">
        <f>"CHRNB2"</f>
        <v>CHRNB2</v>
      </c>
      <c r="B17971" s="6" t="s">
        <v>1</v>
      </c>
      <c r="C17971" s="6" t="s">
        <v>1</v>
      </c>
    </row>
    <row r="17972" spans="1:3" s="8" customFormat="1" x14ac:dyDescent="0.2">
      <c r="A17972" s="6" t="str">
        <f>"VGF"</f>
        <v>VGF</v>
      </c>
      <c r="B17972" s="6" t="s">
        <v>1</v>
      </c>
      <c r="C17972" s="6" t="s">
        <v>1</v>
      </c>
    </row>
    <row r="17973" spans="1:3" s="8" customFormat="1" x14ac:dyDescent="0.2">
      <c r="A17973" s="6" t="str">
        <f>"AC243967.2"</f>
        <v>AC243967.2</v>
      </c>
      <c r="B17973" s="6" t="s">
        <v>1</v>
      </c>
      <c r="C17973" s="6" t="s">
        <v>1</v>
      </c>
    </row>
    <row r="17974" spans="1:3" s="8" customFormat="1" x14ac:dyDescent="0.2">
      <c r="A17974" s="6" t="str">
        <f>"TBC1D3P5"</f>
        <v>TBC1D3P5</v>
      </c>
      <c r="B17974" s="6" t="s">
        <v>1</v>
      </c>
      <c r="C17974" s="6" t="s">
        <v>1</v>
      </c>
    </row>
    <row r="17975" spans="1:3" s="8" customFormat="1" x14ac:dyDescent="0.2">
      <c r="A17975" s="6" t="str">
        <f>"GLYATL1"</f>
        <v>GLYATL1</v>
      </c>
      <c r="B17975" s="6" t="s">
        <v>1</v>
      </c>
      <c r="C17975" s="6" t="s">
        <v>1</v>
      </c>
    </row>
    <row r="17976" spans="1:3" s="8" customFormat="1" x14ac:dyDescent="0.2">
      <c r="A17976" s="6" t="str">
        <f>"AC005838.2"</f>
        <v>AC005838.2</v>
      </c>
      <c r="B17976" s="6" t="s">
        <v>1</v>
      </c>
      <c r="C17976" s="6" t="s">
        <v>1</v>
      </c>
    </row>
    <row r="17977" spans="1:3" s="8" customFormat="1" x14ac:dyDescent="0.2">
      <c r="A17977" s="6" t="str">
        <f>"HAR1B"</f>
        <v>HAR1B</v>
      </c>
      <c r="B17977" s="6" t="s">
        <v>1</v>
      </c>
      <c r="C17977" s="6" t="s">
        <v>1</v>
      </c>
    </row>
    <row r="17978" spans="1:3" s="8" customFormat="1" x14ac:dyDescent="0.2">
      <c r="A17978" s="6" t="str">
        <f>"LINC02036"</f>
        <v>LINC02036</v>
      </c>
      <c r="B17978" s="6" t="s">
        <v>1</v>
      </c>
      <c r="C17978" s="6" t="s">
        <v>1</v>
      </c>
    </row>
    <row r="17979" spans="1:3" s="8" customFormat="1" x14ac:dyDescent="0.2">
      <c r="A17979" s="6" t="str">
        <f>"INSL3"</f>
        <v>INSL3</v>
      </c>
      <c r="B17979" s="6" t="s">
        <v>1</v>
      </c>
      <c r="C17979" s="6" t="s">
        <v>1</v>
      </c>
    </row>
    <row r="17980" spans="1:3" s="8" customFormat="1" x14ac:dyDescent="0.2">
      <c r="A17980" s="6" t="str">
        <f>"REPIN1-AS1"</f>
        <v>REPIN1-AS1</v>
      </c>
      <c r="B17980" s="6" t="s">
        <v>1</v>
      </c>
      <c r="C17980" s="6" t="s">
        <v>1</v>
      </c>
    </row>
    <row r="17981" spans="1:3" s="8" customFormat="1" x14ac:dyDescent="0.2">
      <c r="A17981" s="6" t="str">
        <f>"AC087392.3"</f>
        <v>AC087392.3</v>
      </c>
      <c r="B17981" s="6" t="s">
        <v>1</v>
      </c>
      <c r="C17981" s="6" t="s">
        <v>1</v>
      </c>
    </row>
    <row r="17982" spans="1:3" s="8" customFormat="1" x14ac:dyDescent="0.2">
      <c r="A17982" s="6" t="str">
        <f>"LINC01122"</f>
        <v>LINC01122</v>
      </c>
      <c r="B17982" s="6" t="s">
        <v>1</v>
      </c>
      <c r="C17982" s="6" t="s">
        <v>1</v>
      </c>
    </row>
    <row r="17983" spans="1:3" s="8" customFormat="1" x14ac:dyDescent="0.2">
      <c r="A17983" s="6" t="str">
        <f>"MYOCD"</f>
        <v>MYOCD</v>
      </c>
      <c r="B17983" s="6" t="s">
        <v>1</v>
      </c>
      <c r="C17983" s="6" t="s">
        <v>1</v>
      </c>
    </row>
    <row r="17984" spans="1:3" s="8" customFormat="1" x14ac:dyDescent="0.2">
      <c r="A17984" s="6" t="str">
        <f>"AP000879.1"</f>
        <v>AP000879.1</v>
      </c>
      <c r="B17984" s="6" t="s">
        <v>1</v>
      </c>
      <c r="C17984" s="6" t="s">
        <v>1</v>
      </c>
    </row>
    <row r="17985" spans="1:3" s="8" customFormat="1" x14ac:dyDescent="0.2">
      <c r="A17985" s="6" t="str">
        <f>"ZC3H12B"</f>
        <v>ZC3H12B</v>
      </c>
      <c r="B17985" s="6" t="s">
        <v>1</v>
      </c>
      <c r="C17985" s="6" t="s">
        <v>1</v>
      </c>
    </row>
    <row r="17986" spans="1:3" s="8" customFormat="1" x14ac:dyDescent="0.2">
      <c r="A17986" s="6" t="str">
        <f>"CHRNG"</f>
        <v>CHRNG</v>
      </c>
      <c r="B17986" s="6" t="s">
        <v>1</v>
      </c>
      <c r="C17986" s="6" t="s">
        <v>1</v>
      </c>
    </row>
    <row r="17987" spans="1:3" s="8" customFormat="1" x14ac:dyDescent="0.2">
      <c r="A17987" s="6" t="str">
        <f>"G6PC2"</f>
        <v>G6PC2</v>
      </c>
      <c r="B17987" s="6" t="s">
        <v>1</v>
      </c>
      <c r="C17987" s="6" t="s">
        <v>1</v>
      </c>
    </row>
    <row r="17988" spans="1:3" s="8" customFormat="1" x14ac:dyDescent="0.2">
      <c r="A17988" s="6" t="str">
        <f>"AL135744.1"</f>
        <v>AL135744.1</v>
      </c>
      <c r="B17988" s="6" t="s">
        <v>1</v>
      </c>
      <c r="C17988" s="6" t="s">
        <v>1</v>
      </c>
    </row>
    <row r="17989" spans="1:3" s="8" customFormat="1" x14ac:dyDescent="0.2">
      <c r="A17989" s="6" t="str">
        <f>"AC131934.1"</f>
        <v>AC131934.1</v>
      </c>
      <c r="B17989" s="6" t="s">
        <v>1</v>
      </c>
      <c r="C17989" s="6" t="s">
        <v>1</v>
      </c>
    </row>
    <row r="17990" spans="1:3" s="8" customFormat="1" x14ac:dyDescent="0.2">
      <c r="A17990" s="6" t="str">
        <f>"AC022182.1"</f>
        <v>AC022182.1</v>
      </c>
      <c r="B17990" s="6" t="s">
        <v>1</v>
      </c>
      <c r="C17990" s="6" t="s">
        <v>1</v>
      </c>
    </row>
    <row r="17991" spans="1:3" s="8" customFormat="1" x14ac:dyDescent="0.2">
      <c r="A17991" s="6" t="str">
        <f>"LINC02235"</f>
        <v>LINC02235</v>
      </c>
      <c r="B17991" s="6" t="s">
        <v>1</v>
      </c>
      <c r="C17991" s="6" t="s">
        <v>1</v>
      </c>
    </row>
    <row r="17992" spans="1:3" s="8" customFormat="1" x14ac:dyDescent="0.2">
      <c r="A17992" s="6" t="str">
        <f>"AC084017.1"</f>
        <v>AC084017.1</v>
      </c>
      <c r="B17992" s="6" t="s">
        <v>1</v>
      </c>
      <c r="C17992" s="6" t="s">
        <v>1</v>
      </c>
    </row>
    <row r="17993" spans="1:3" s="8" customFormat="1" x14ac:dyDescent="0.2">
      <c r="A17993" s="6" t="str">
        <f>"SORCS1"</f>
        <v>SORCS1</v>
      </c>
      <c r="B17993" s="6" t="s">
        <v>1</v>
      </c>
      <c r="C17993" s="6" t="s">
        <v>1</v>
      </c>
    </row>
    <row r="17994" spans="1:3" s="8" customFormat="1" x14ac:dyDescent="0.2">
      <c r="A17994" s="6" t="str">
        <f>"KCNH4"</f>
        <v>KCNH4</v>
      </c>
      <c r="B17994" s="6" t="s">
        <v>1</v>
      </c>
      <c r="C17994" s="6" t="s">
        <v>1</v>
      </c>
    </row>
    <row r="17995" spans="1:3" s="8" customFormat="1" x14ac:dyDescent="0.2">
      <c r="A17995" s="6" t="str">
        <f>"AL353795.2"</f>
        <v>AL353795.2</v>
      </c>
      <c r="B17995" s="6" t="s">
        <v>1</v>
      </c>
      <c r="C17995" s="6" t="s">
        <v>1</v>
      </c>
    </row>
    <row r="17996" spans="1:3" s="8" customFormat="1" x14ac:dyDescent="0.2">
      <c r="A17996" s="6" t="str">
        <f>"ALDH8A1"</f>
        <v>ALDH8A1</v>
      </c>
      <c r="B17996" s="6" t="s">
        <v>1</v>
      </c>
      <c r="C17996" s="6" t="s">
        <v>1</v>
      </c>
    </row>
    <row r="17997" spans="1:3" s="8" customFormat="1" x14ac:dyDescent="0.2">
      <c r="A17997" s="6" t="str">
        <f>"NYAP2"</f>
        <v>NYAP2</v>
      </c>
      <c r="B17997" s="6" t="s">
        <v>1</v>
      </c>
      <c r="C17997" s="6" t="s">
        <v>1</v>
      </c>
    </row>
    <row r="17998" spans="1:3" s="8" customFormat="1" x14ac:dyDescent="0.2">
      <c r="A17998" s="6" t="str">
        <f>"AP000695.2"</f>
        <v>AP000695.2</v>
      </c>
      <c r="B17998" s="6" t="s">
        <v>1</v>
      </c>
      <c r="C17998" s="6" t="s">
        <v>1</v>
      </c>
    </row>
    <row r="17999" spans="1:3" s="8" customFormat="1" x14ac:dyDescent="0.2">
      <c r="A17999" s="6" t="str">
        <f>"AL031768.1"</f>
        <v>AL031768.1</v>
      </c>
      <c r="B17999" s="6" t="s">
        <v>1</v>
      </c>
      <c r="C17999" s="6" t="s">
        <v>1</v>
      </c>
    </row>
    <row r="18000" spans="1:3" s="8" customFormat="1" x14ac:dyDescent="0.2">
      <c r="A18000" s="6" t="str">
        <f>"C22orf42"</f>
        <v>C22orf42</v>
      </c>
      <c r="B18000" s="6" t="s">
        <v>1</v>
      </c>
      <c r="C18000" s="6" t="s">
        <v>1</v>
      </c>
    </row>
    <row r="18001" spans="1:3" s="8" customFormat="1" x14ac:dyDescent="0.2">
      <c r="A18001" s="6" t="str">
        <f>"AC063926.3"</f>
        <v>AC063926.3</v>
      </c>
      <c r="B18001" s="6" t="s">
        <v>1</v>
      </c>
      <c r="C18001" s="6" t="s">
        <v>1</v>
      </c>
    </row>
    <row r="18002" spans="1:3" s="8" customFormat="1" x14ac:dyDescent="0.2">
      <c r="A18002" s="6" t="str">
        <f>"DNM1P35"</f>
        <v>DNM1P35</v>
      </c>
      <c r="B18002" s="6" t="s">
        <v>1</v>
      </c>
      <c r="C18002" s="6" t="s">
        <v>1</v>
      </c>
    </row>
    <row r="18003" spans="1:3" s="8" customFormat="1" x14ac:dyDescent="0.2">
      <c r="A18003" s="6" t="str">
        <f>"AC093817.1"</f>
        <v>AC093817.1</v>
      </c>
      <c r="B18003" s="6" t="s">
        <v>1</v>
      </c>
      <c r="C18003" s="6" t="s">
        <v>1</v>
      </c>
    </row>
    <row r="18004" spans="1:3" s="8" customFormat="1" x14ac:dyDescent="0.2">
      <c r="A18004" s="6" t="str">
        <f>"AP000695.1"</f>
        <v>AP000695.1</v>
      </c>
      <c r="B18004" s="6" t="s">
        <v>1</v>
      </c>
      <c r="C18004" s="6" t="s">
        <v>1</v>
      </c>
    </row>
    <row r="18005" spans="1:3" s="8" customFormat="1" x14ac:dyDescent="0.2">
      <c r="A18005" s="6" t="str">
        <f>"AC010173.1"</f>
        <v>AC010173.1</v>
      </c>
      <c r="B18005" s="6" t="s">
        <v>1</v>
      </c>
      <c r="C18005" s="6" t="s">
        <v>1</v>
      </c>
    </row>
    <row r="18006" spans="1:3" s="8" customFormat="1" x14ac:dyDescent="0.2">
      <c r="A18006" s="6" t="str">
        <f>"AC130324.1"</f>
        <v>AC130324.1</v>
      </c>
      <c r="B18006" s="6" t="s">
        <v>1</v>
      </c>
      <c r="C18006" s="6" t="s">
        <v>1</v>
      </c>
    </row>
    <row r="18007" spans="1:3" s="8" customFormat="1" x14ac:dyDescent="0.2">
      <c r="A18007" s="6" t="str">
        <f>"DNM1P34"</f>
        <v>DNM1P34</v>
      </c>
      <c r="B18007" s="6" t="s">
        <v>1</v>
      </c>
      <c r="C18007" s="6" t="s">
        <v>1</v>
      </c>
    </row>
    <row r="18008" spans="1:3" s="8" customFormat="1" x14ac:dyDescent="0.2">
      <c r="A18008" s="6" t="str">
        <f>"AC107027.1"</f>
        <v>AC107027.1</v>
      </c>
      <c r="B18008" s="6" t="s">
        <v>1</v>
      </c>
      <c r="C18008" s="6" t="s">
        <v>1</v>
      </c>
    </row>
    <row r="18009" spans="1:3" s="8" customFormat="1" x14ac:dyDescent="0.2">
      <c r="A18009" s="6" t="str">
        <f>"GPRC5D"</f>
        <v>GPRC5D</v>
      </c>
      <c r="B18009" s="6" t="s">
        <v>1</v>
      </c>
      <c r="C18009" s="6" t="s">
        <v>1</v>
      </c>
    </row>
    <row r="18010" spans="1:3" s="8" customFormat="1" x14ac:dyDescent="0.2">
      <c r="A18010" s="6" t="str">
        <f>"AP000845.1"</f>
        <v>AP000845.1</v>
      </c>
      <c r="B18010" s="6" t="s">
        <v>1</v>
      </c>
      <c r="C18010" s="6" t="s">
        <v>1</v>
      </c>
    </row>
    <row r="18011" spans="1:3" s="8" customFormat="1" x14ac:dyDescent="0.2">
      <c r="A18011" s="6" t="str">
        <f>"MSANTD3-TMEFF1"</f>
        <v>MSANTD3-TMEFF1</v>
      </c>
      <c r="B18011" s="6" t="s">
        <v>1</v>
      </c>
      <c r="C18011" s="6" t="s">
        <v>1</v>
      </c>
    </row>
    <row r="18012" spans="1:3" s="8" customFormat="1" x14ac:dyDescent="0.2">
      <c r="A18012" s="6" t="str">
        <f>"FIRRE"</f>
        <v>FIRRE</v>
      </c>
      <c r="B18012" s="6" t="s">
        <v>1</v>
      </c>
      <c r="C18012" s="6" t="s">
        <v>1</v>
      </c>
    </row>
    <row r="18013" spans="1:3" s="8" customFormat="1" x14ac:dyDescent="0.2">
      <c r="A18013" s="6" t="str">
        <f>"LINC02137"</f>
        <v>LINC02137</v>
      </c>
      <c r="B18013" s="6" t="s">
        <v>1</v>
      </c>
      <c r="C18013" s="6" t="s">
        <v>1</v>
      </c>
    </row>
    <row r="18014" spans="1:3" s="8" customFormat="1" x14ac:dyDescent="0.2">
      <c r="A18014" s="6" t="str">
        <f>"GPR19"</f>
        <v>GPR19</v>
      </c>
      <c r="B18014" s="6" t="s">
        <v>1</v>
      </c>
      <c r="C18014" s="6" t="s">
        <v>1</v>
      </c>
    </row>
    <row r="18015" spans="1:3" s="8" customFormat="1" x14ac:dyDescent="0.2">
      <c r="A18015" s="6" t="str">
        <f>"WNT5A-AS1"</f>
        <v>WNT5A-AS1</v>
      </c>
      <c r="B18015" s="6" t="s">
        <v>1</v>
      </c>
      <c r="C18015" s="6" t="s">
        <v>1</v>
      </c>
    </row>
    <row r="18016" spans="1:3" s="8" customFormat="1" x14ac:dyDescent="0.2">
      <c r="A18016" s="6" t="str">
        <f>"AC108052.1"</f>
        <v>AC108052.1</v>
      </c>
      <c r="B18016" s="6" t="s">
        <v>1</v>
      </c>
      <c r="C18016" s="6" t="s">
        <v>1</v>
      </c>
    </row>
    <row r="18017" spans="1:3" s="8" customFormat="1" x14ac:dyDescent="0.2">
      <c r="A18017" s="6" t="str">
        <f>"AC022532.1"</f>
        <v>AC022532.1</v>
      </c>
      <c r="B18017" s="6" t="s">
        <v>1</v>
      </c>
      <c r="C18017" s="6" t="s">
        <v>1</v>
      </c>
    </row>
    <row r="18018" spans="1:3" s="8" customFormat="1" x14ac:dyDescent="0.2">
      <c r="A18018" s="6" t="str">
        <f>"LMOD3"</f>
        <v>LMOD3</v>
      </c>
      <c r="B18018" s="6" t="s">
        <v>1</v>
      </c>
      <c r="C18018" s="6" t="s">
        <v>1</v>
      </c>
    </row>
    <row r="18019" spans="1:3" s="8" customFormat="1" x14ac:dyDescent="0.2">
      <c r="A18019" s="6" t="str">
        <f>"AL133342.1"</f>
        <v>AL133342.1</v>
      </c>
      <c r="B18019" s="6" t="s">
        <v>1</v>
      </c>
      <c r="C18019" s="6" t="s">
        <v>1</v>
      </c>
    </row>
    <row r="18020" spans="1:3" s="8" customFormat="1" x14ac:dyDescent="0.2">
      <c r="A18020" s="6" t="str">
        <f>"AL136295.2"</f>
        <v>AL136295.2</v>
      </c>
      <c r="B18020" s="6" t="s">
        <v>1</v>
      </c>
      <c r="C18020" s="6" t="s">
        <v>1</v>
      </c>
    </row>
    <row r="18021" spans="1:3" s="8" customFormat="1" x14ac:dyDescent="0.2">
      <c r="A18021" s="6" t="str">
        <f>"SHANK2-AS1"</f>
        <v>SHANK2-AS1</v>
      </c>
      <c r="B18021" s="6" t="s">
        <v>1</v>
      </c>
      <c r="C18021" s="6" t="s">
        <v>1</v>
      </c>
    </row>
    <row r="18022" spans="1:3" s="8" customFormat="1" x14ac:dyDescent="0.2">
      <c r="A18022" s="6" t="str">
        <f>"LEMD1-DT"</f>
        <v>LEMD1-DT</v>
      </c>
      <c r="B18022" s="6" t="s">
        <v>1</v>
      </c>
      <c r="C18022" s="6" t="s">
        <v>1</v>
      </c>
    </row>
    <row r="18023" spans="1:3" s="8" customFormat="1" x14ac:dyDescent="0.2">
      <c r="A18023" s="6" t="str">
        <f>"POU6F2"</f>
        <v>POU6F2</v>
      </c>
      <c r="B18023" s="6" t="s">
        <v>1</v>
      </c>
      <c r="C18023" s="6" t="s">
        <v>1</v>
      </c>
    </row>
    <row r="18024" spans="1:3" s="8" customFormat="1" x14ac:dyDescent="0.2">
      <c r="A18024" s="6" t="str">
        <f>"LINC02223"</f>
        <v>LINC02223</v>
      </c>
      <c r="B18024" s="6" t="s">
        <v>1</v>
      </c>
      <c r="C18024" s="6" t="s">
        <v>1</v>
      </c>
    </row>
    <row r="18025" spans="1:3" s="8" customFormat="1" x14ac:dyDescent="0.2">
      <c r="A18025" s="6" t="str">
        <f>"LMX1B"</f>
        <v>LMX1B</v>
      </c>
      <c r="B18025" s="6" t="s">
        <v>1</v>
      </c>
      <c r="C18025" s="6" t="s">
        <v>1</v>
      </c>
    </row>
    <row r="18026" spans="1:3" s="8" customFormat="1" x14ac:dyDescent="0.2">
      <c r="A18026" s="6" t="str">
        <f>"PPIAP8"</f>
        <v>PPIAP8</v>
      </c>
      <c r="B18026" s="6" t="s">
        <v>1</v>
      </c>
      <c r="C18026" s="6" t="s">
        <v>1</v>
      </c>
    </row>
    <row r="18027" spans="1:3" s="8" customFormat="1" x14ac:dyDescent="0.2">
      <c r="A18027" s="6" t="str">
        <f>"AC129492.6"</f>
        <v>AC129492.6</v>
      </c>
      <c r="B18027" s="6" t="s">
        <v>1</v>
      </c>
      <c r="C18027" s="6" t="s">
        <v>1</v>
      </c>
    </row>
    <row r="18028" spans="1:3" s="8" customFormat="1" x14ac:dyDescent="0.2">
      <c r="A18028" s="6" t="str">
        <f>"KANK4"</f>
        <v>KANK4</v>
      </c>
      <c r="B18028" s="6" t="s">
        <v>1</v>
      </c>
      <c r="C18028" s="6" t="s">
        <v>1</v>
      </c>
    </row>
    <row r="18029" spans="1:3" s="8" customFormat="1" x14ac:dyDescent="0.2">
      <c r="A18029" s="6" t="str">
        <f>"MAGEL2"</f>
        <v>MAGEL2</v>
      </c>
      <c r="B18029" s="6" t="s">
        <v>1</v>
      </c>
      <c r="C18029" s="6" t="s">
        <v>1</v>
      </c>
    </row>
    <row r="18030" spans="1:3" s="8" customFormat="1" x14ac:dyDescent="0.2">
      <c r="A18030" s="6" t="str">
        <f>"RAD51AP2"</f>
        <v>RAD51AP2</v>
      </c>
      <c r="B18030" s="6" t="s">
        <v>1</v>
      </c>
      <c r="C18030" s="6" t="s">
        <v>1</v>
      </c>
    </row>
    <row r="18031" spans="1:3" s="8" customFormat="1" x14ac:dyDescent="0.2">
      <c r="A18031" s="6" t="str">
        <f>"AC093159.1"</f>
        <v>AC093159.1</v>
      </c>
      <c r="B18031" s="6" t="s">
        <v>1</v>
      </c>
      <c r="C18031" s="6" t="s">
        <v>1</v>
      </c>
    </row>
    <row r="18032" spans="1:3" s="8" customFormat="1" x14ac:dyDescent="0.2">
      <c r="A18032" s="6" t="str">
        <f>"H3C1"</f>
        <v>H3C1</v>
      </c>
      <c r="B18032" s="6" t="s">
        <v>1</v>
      </c>
      <c r="C18032" s="6" t="s">
        <v>1</v>
      </c>
    </row>
    <row r="18033" spans="1:3" s="8" customFormat="1" x14ac:dyDescent="0.2">
      <c r="A18033" s="6" t="str">
        <f>"MIR1302-9HG"</f>
        <v>MIR1302-9HG</v>
      </c>
      <c r="B18033" s="6" t="s">
        <v>1</v>
      </c>
      <c r="C18033" s="6" t="s">
        <v>1</v>
      </c>
    </row>
    <row r="18034" spans="1:3" s="8" customFormat="1" x14ac:dyDescent="0.2">
      <c r="A18034" s="6" t="str">
        <f>"AC107071.1"</f>
        <v>AC107071.1</v>
      </c>
      <c r="B18034" s="6" t="s">
        <v>1</v>
      </c>
      <c r="C18034" s="6" t="s">
        <v>1</v>
      </c>
    </row>
    <row r="18035" spans="1:3" s="8" customFormat="1" x14ac:dyDescent="0.2">
      <c r="A18035" s="6" t="str">
        <f>"ASB5"</f>
        <v>ASB5</v>
      </c>
      <c r="B18035" s="6" t="s">
        <v>1</v>
      </c>
      <c r="C18035" s="6" t="s">
        <v>1</v>
      </c>
    </row>
    <row r="18036" spans="1:3" s="8" customFormat="1" x14ac:dyDescent="0.2">
      <c r="A18036" s="6" t="str">
        <f>"LINC01116"</f>
        <v>LINC01116</v>
      </c>
      <c r="B18036" s="6" t="s">
        <v>1</v>
      </c>
      <c r="C18036" s="6" t="s">
        <v>1</v>
      </c>
    </row>
    <row r="18037" spans="1:3" s="8" customFormat="1" x14ac:dyDescent="0.2">
      <c r="A18037" s="6" t="str">
        <f>"AC128688.1"</f>
        <v>AC128688.1</v>
      </c>
      <c r="B18037" s="6" t="s">
        <v>1</v>
      </c>
      <c r="C18037" s="6" t="s">
        <v>1</v>
      </c>
    </row>
    <row r="18038" spans="1:3" s="8" customFormat="1" x14ac:dyDescent="0.2">
      <c r="A18038" s="6" t="str">
        <f>"GLI1"</f>
        <v>GLI1</v>
      </c>
      <c r="B18038" s="6" t="s">
        <v>1</v>
      </c>
      <c r="C18038" s="6" t="s">
        <v>1</v>
      </c>
    </row>
    <row r="18039" spans="1:3" s="8" customFormat="1" x14ac:dyDescent="0.2">
      <c r="A18039" s="6" t="str">
        <f>"AL442128.2"</f>
        <v>AL442128.2</v>
      </c>
      <c r="B18039" s="6" t="s">
        <v>1</v>
      </c>
      <c r="C18039" s="6" t="s">
        <v>1</v>
      </c>
    </row>
    <row r="18040" spans="1:3" s="8" customFormat="1" x14ac:dyDescent="0.2">
      <c r="A18040" s="6" t="str">
        <f>"ADORA2A-AS1"</f>
        <v>ADORA2A-AS1</v>
      </c>
      <c r="B18040" s="6" t="s">
        <v>1</v>
      </c>
      <c r="C18040" s="6" t="s">
        <v>1</v>
      </c>
    </row>
    <row r="18041" spans="1:3" s="8" customFormat="1" x14ac:dyDescent="0.2">
      <c r="A18041" s="6" t="str">
        <f>"FLJ30679"</f>
        <v>FLJ30679</v>
      </c>
      <c r="B18041" s="6" t="s">
        <v>1</v>
      </c>
      <c r="C18041" s="6" t="s">
        <v>1</v>
      </c>
    </row>
    <row r="18042" spans="1:3" s="8" customFormat="1" x14ac:dyDescent="0.2">
      <c r="A18042" s="6" t="str">
        <f>"AL353719.1"</f>
        <v>AL353719.1</v>
      </c>
      <c r="B18042" s="6" t="s">
        <v>1</v>
      </c>
      <c r="C18042" s="6" t="s">
        <v>1</v>
      </c>
    </row>
    <row r="18043" spans="1:3" s="8" customFormat="1" x14ac:dyDescent="0.2">
      <c r="A18043" s="6" t="str">
        <f>"AL031595.2"</f>
        <v>AL031595.2</v>
      </c>
      <c r="B18043" s="6" t="s">
        <v>1</v>
      </c>
      <c r="C18043" s="6" t="s">
        <v>1</v>
      </c>
    </row>
    <row r="18044" spans="1:3" s="8" customFormat="1" x14ac:dyDescent="0.2">
      <c r="A18044" s="6" t="str">
        <f>"NUP210L"</f>
        <v>NUP210L</v>
      </c>
      <c r="B18044" s="6" t="s">
        <v>1</v>
      </c>
      <c r="C18044" s="6" t="s">
        <v>1</v>
      </c>
    </row>
    <row r="18045" spans="1:3" s="8" customFormat="1" x14ac:dyDescent="0.2">
      <c r="A18045" s="6" t="str">
        <f>"AC093843.1"</f>
        <v>AC093843.1</v>
      </c>
      <c r="B18045" s="6" t="s">
        <v>1</v>
      </c>
      <c r="C18045" s="6" t="s">
        <v>1</v>
      </c>
    </row>
    <row r="18046" spans="1:3" s="8" customFormat="1" x14ac:dyDescent="0.2">
      <c r="A18046" s="6" t="str">
        <f>"AC007106.1"</f>
        <v>AC007106.1</v>
      </c>
      <c r="B18046" s="6" t="s">
        <v>1</v>
      </c>
      <c r="C18046" s="6" t="s">
        <v>1</v>
      </c>
    </row>
    <row r="18047" spans="1:3" s="8" customFormat="1" x14ac:dyDescent="0.2">
      <c r="A18047" s="6" t="str">
        <f>"AL136090.2"</f>
        <v>AL136090.2</v>
      </c>
      <c r="B18047" s="6" t="s">
        <v>1</v>
      </c>
      <c r="C18047" s="6" t="s">
        <v>1</v>
      </c>
    </row>
    <row r="18048" spans="1:3" s="8" customFormat="1" x14ac:dyDescent="0.2">
      <c r="A18048" s="6" t="str">
        <f>"BRSK1"</f>
        <v>BRSK1</v>
      </c>
      <c r="B18048" s="6" t="s">
        <v>1</v>
      </c>
      <c r="C18048" s="6" t="s">
        <v>1</v>
      </c>
    </row>
    <row r="18049" spans="1:3" s="8" customFormat="1" x14ac:dyDescent="0.2">
      <c r="A18049" s="6" t="str">
        <f>"AL353588.1"</f>
        <v>AL353588.1</v>
      </c>
      <c r="B18049" s="6" t="s">
        <v>1</v>
      </c>
      <c r="C18049" s="6" t="s">
        <v>1</v>
      </c>
    </row>
    <row r="18050" spans="1:3" s="8" customFormat="1" x14ac:dyDescent="0.2">
      <c r="A18050" s="6" t="str">
        <f>"ECEL1"</f>
        <v>ECEL1</v>
      </c>
      <c r="B18050" s="6" t="s">
        <v>1</v>
      </c>
      <c r="C18050" s="6" t="s">
        <v>1</v>
      </c>
    </row>
    <row r="18051" spans="1:3" s="8" customFormat="1" x14ac:dyDescent="0.2">
      <c r="A18051" s="6" t="str">
        <f>"AC131009.3"</f>
        <v>AC131009.3</v>
      </c>
      <c r="B18051" s="6" t="s">
        <v>1</v>
      </c>
      <c r="C18051" s="6" t="s">
        <v>1</v>
      </c>
    </row>
    <row r="18052" spans="1:3" s="8" customFormat="1" x14ac:dyDescent="0.2">
      <c r="A18052" s="6" t="str">
        <f>"AC067852.3"</f>
        <v>AC067852.3</v>
      </c>
      <c r="B18052" s="6" t="s">
        <v>1</v>
      </c>
      <c r="C18052" s="6" t="s">
        <v>1</v>
      </c>
    </row>
    <row r="18053" spans="1:3" s="8" customFormat="1" x14ac:dyDescent="0.2">
      <c r="A18053" s="6" t="str">
        <f>"AL133477.1"</f>
        <v>AL133477.1</v>
      </c>
      <c r="B18053" s="6" t="s">
        <v>1</v>
      </c>
      <c r="C18053" s="6" t="s">
        <v>1</v>
      </c>
    </row>
    <row r="18054" spans="1:3" s="8" customFormat="1" x14ac:dyDescent="0.2">
      <c r="A18054" s="6" t="str">
        <f>"LINC02099"</f>
        <v>LINC02099</v>
      </c>
      <c r="B18054" s="6" t="s">
        <v>1</v>
      </c>
      <c r="C18054" s="6" t="s">
        <v>1</v>
      </c>
    </row>
    <row r="18055" spans="1:3" s="8" customFormat="1" x14ac:dyDescent="0.2">
      <c r="A18055" s="6" t="str">
        <f>"GPR62"</f>
        <v>GPR62</v>
      </c>
      <c r="B18055" s="6" t="s">
        <v>1</v>
      </c>
      <c r="C18055" s="6" t="s">
        <v>1</v>
      </c>
    </row>
    <row r="18056" spans="1:3" s="8" customFormat="1" x14ac:dyDescent="0.2">
      <c r="A18056" s="6" t="str">
        <f>"AC064801.1"</f>
        <v>AC064801.1</v>
      </c>
      <c r="B18056" s="6" t="s">
        <v>1</v>
      </c>
      <c r="C18056" s="6" t="s">
        <v>1</v>
      </c>
    </row>
    <row r="18057" spans="1:3" s="8" customFormat="1" x14ac:dyDescent="0.2">
      <c r="A18057" s="6" t="str">
        <f>"AL353152.2"</f>
        <v>AL353152.2</v>
      </c>
      <c r="B18057" s="6" t="s">
        <v>1</v>
      </c>
      <c r="C18057" s="6" t="s">
        <v>1</v>
      </c>
    </row>
    <row r="18058" spans="1:3" s="8" customFormat="1" x14ac:dyDescent="0.2">
      <c r="A18058" s="6" t="str">
        <f>"IFNE"</f>
        <v>IFNE</v>
      </c>
      <c r="B18058" s="6" t="s">
        <v>1</v>
      </c>
      <c r="C18058" s="6" t="s">
        <v>1</v>
      </c>
    </row>
    <row r="18059" spans="1:3" s="8" customFormat="1" x14ac:dyDescent="0.2">
      <c r="A18059" s="6" t="str">
        <f>"KIZ-AS1"</f>
        <v>KIZ-AS1</v>
      </c>
      <c r="B18059" s="6" t="s">
        <v>1</v>
      </c>
      <c r="C18059" s="6" t="s">
        <v>1</v>
      </c>
    </row>
    <row r="18060" spans="1:3" s="8" customFormat="1" x14ac:dyDescent="0.2">
      <c r="A18060" s="6" t="str">
        <f>"AL133410.2"</f>
        <v>AL133410.2</v>
      </c>
      <c r="B18060" s="6" t="s">
        <v>1</v>
      </c>
      <c r="C18060" s="6" t="s">
        <v>1</v>
      </c>
    </row>
    <row r="18061" spans="1:3" s="8" customFormat="1" x14ac:dyDescent="0.2">
      <c r="A18061" s="6" t="str">
        <f>"KCNIP2"</f>
        <v>KCNIP2</v>
      </c>
      <c r="B18061" s="6" t="s">
        <v>1</v>
      </c>
      <c r="C18061" s="6" t="s">
        <v>1</v>
      </c>
    </row>
    <row r="18062" spans="1:3" s="8" customFormat="1" x14ac:dyDescent="0.2">
      <c r="A18062" s="6" t="str">
        <f>"CCR5AS"</f>
        <v>CCR5AS</v>
      </c>
      <c r="B18062" s="6" t="s">
        <v>1</v>
      </c>
      <c r="C18062" s="6" t="s">
        <v>1</v>
      </c>
    </row>
    <row r="18063" spans="1:3" s="8" customFormat="1" x14ac:dyDescent="0.2">
      <c r="A18063" s="6" t="str">
        <f>"IDO2"</f>
        <v>IDO2</v>
      </c>
      <c r="B18063" s="6" t="s">
        <v>1</v>
      </c>
      <c r="C18063" s="6" t="s">
        <v>1</v>
      </c>
    </row>
    <row r="18064" spans="1:3" s="8" customFormat="1" x14ac:dyDescent="0.2">
      <c r="A18064" s="6" t="str">
        <f>"SHH"</f>
        <v>SHH</v>
      </c>
      <c r="B18064" s="6" t="s">
        <v>1</v>
      </c>
      <c r="C18064" s="6" t="s">
        <v>1</v>
      </c>
    </row>
    <row r="18065" spans="1:3" s="8" customFormat="1" x14ac:dyDescent="0.2">
      <c r="A18065" s="6" t="str">
        <f>"ASB12"</f>
        <v>ASB12</v>
      </c>
      <c r="B18065" s="6" t="s">
        <v>1</v>
      </c>
      <c r="C18065" s="6" t="s">
        <v>1</v>
      </c>
    </row>
    <row r="18066" spans="1:3" s="8" customFormat="1" x14ac:dyDescent="0.2">
      <c r="A18066" s="6" t="str">
        <f>"ZSWIM8-AS1"</f>
        <v>ZSWIM8-AS1</v>
      </c>
      <c r="B18066" s="6" t="s">
        <v>1</v>
      </c>
      <c r="C18066" s="6" t="s">
        <v>1</v>
      </c>
    </row>
    <row r="18067" spans="1:3" s="8" customFormat="1" x14ac:dyDescent="0.2">
      <c r="A18067" s="6" t="str">
        <f>"F2RL2"</f>
        <v>F2RL2</v>
      </c>
      <c r="B18067" s="6" t="s">
        <v>1</v>
      </c>
      <c r="C18067" s="6" t="s">
        <v>1</v>
      </c>
    </row>
    <row r="18068" spans="1:3" s="8" customFormat="1" x14ac:dyDescent="0.2">
      <c r="A18068" s="6" t="str">
        <f>"GADL1"</f>
        <v>GADL1</v>
      </c>
      <c r="B18068" s="6" t="s">
        <v>1</v>
      </c>
      <c r="C18068" s="6" t="s">
        <v>1</v>
      </c>
    </row>
    <row r="18069" spans="1:3" s="8" customFormat="1" x14ac:dyDescent="0.2">
      <c r="A18069" s="6" t="str">
        <f>"AC009974.1"</f>
        <v>AC009974.1</v>
      </c>
      <c r="B18069" s="6" t="s">
        <v>1</v>
      </c>
      <c r="C18069" s="6" t="s">
        <v>1</v>
      </c>
    </row>
    <row r="18070" spans="1:3" s="8" customFormat="1" x14ac:dyDescent="0.2">
      <c r="A18070" s="6" t="str">
        <f>"AL133243.2"</f>
        <v>AL133243.2</v>
      </c>
      <c r="B18070" s="6" t="s">
        <v>1</v>
      </c>
      <c r="C18070" s="6" t="s">
        <v>1</v>
      </c>
    </row>
    <row r="18071" spans="1:3" s="8" customFormat="1" x14ac:dyDescent="0.2">
      <c r="A18071" s="6" t="str">
        <f>"LINC01198"</f>
        <v>LINC01198</v>
      </c>
      <c r="B18071" s="6" t="s">
        <v>1</v>
      </c>
      <c r="C18071" s="6" t="s">
        <v>1</v>
      </c>
    </row>
    <row r="18072" spans="1:3" s="8" customFormat="1" x14ac:dyDescent="0.2">
      <c r="A18072" s="6" t="str">
        <f>"CYP4A22"</f>
        <v>CYP4A22</v>
      </c>
      <c r="B18072" s="6" t="s">
        <v>1</v>
      </c>
      <c r="C18072" s="6" t="s">
        <v>1</v>
      </c>
    </row>
    <row r="18073" spans="1:3" s="8" customFormat="1" x14ac:dyDescent="0.2">
      <c r="A18073" s="6" t="str">
        <f>"PHKA2-AS1"</f>
        <v>PHKA2-AS1</v>
      </c>
      <c r="B18073" s="6" t="s">
        <v>1</v>
      </c>
      <c r="C18073" s="6" t="s">
        <v>1</v>
      </c>
    </row>
    <row r="18074" spans="1:3" s="8" customFormat="1" x14ac:dyDescent="0.2">
      <c r="A18074" s="6" t="str">
        <f>"NUDT9P1"</f>
        <v>NUDT9P1</v>
      </c>
      <c r="B18074" s="6" t="s">
        <v>1</v>
      </c>
      <c r="C18074" s="6" t="s">
        <v>1</v>
      </c>
    </row>
    <row r="18075" spans="1:3" s="8" customFormat="1" x14ac:dyDescent="0.2">
      <c r="A18075" s="6" t="str">
        <f>"AC004825.3"</f>
        <v>AC004825.3</v>
      </c>
      <c r="B18075" s="6" t="s">
        <v>1</v>
      </c>
      <c r="C18075" s="6" t="s">
        <v>1</v>
      </c>
    </row>
    <row r="18076" spans="1:3" s="8" customFormat="1" x14ac:dyDescent="0.2">
      <c r="A18076" s="6" t="str">
        <f>"AC010168.1"</f>
        <v>AC010168.1</v>
      </c>
      <c r="B18076" s="6" t="s">
        <v>1</v>
      </c>
      <c r="C18076" s="6" t="s">
        <v>1</v>
      </c>
    </row>
    <row r="18077" spans="1:3" s="8" customFormat="1" x14ac:dyDescent="0.2">
      <c r="A18077" s="6" t="str">
        <f>"AP000356.2"</f>
        <v>AP000356.2</v>
      </c>
      <c r="B18077" s="6" t="s">
        <v>1</v>
      </c>
      <c r="C18077" s="6" t="s">
        <v>1</v>
      </c>
    </row>
    <row r="18078" spans="1:3" s="8" customFormat="1" x14ac:dyDescent="0.2">
      <c r="A18078" s="6" t="str">
        <f>"AL031602.1"</f>
        <v>AL031602.1</v>
      </c>
      <c r="B18078" s="6" t="s">
        <v>1</v>
      </c>
      <c r="C18078" s="6" t="s">
        <v>1</v>
      </c>
    </row>
    <row r="18079" spans="1:3" s="8" customFormat="1" x14ac:dyDescent="0.2">
      <c r="A18079" s="6" t="str">
        <f>"AL512343.2"</f>
        <v>AL512343.2</v>
      </c>
      <c r="B18079" s="6" t="s">
        <v>1</v>
      </c>
      <c r="C18079" s="6" t="s">
        <v>1</v>
      </c>
    </row>
    <row r="18080" spans="1:3" s="8" customFormat="1" x14ac:dyDescent="0.2">
      <c r="A18080" s="6" t="str">
        <f>"PRNCR1"</f>
        <v>PRNCR1</v>
      </c>
      <c r="B18080" s="6" t="s">
        <v>1</v>
      </c>
      <c r="C18080" s="6" t="s">
        <v>1</v>
      </c>
    </row>
    <row r="18081" spans="1:3" s="8" customFormat="1" x14ac:dyDescent="0.2">
      <c r="A18081" s="6" t="str">
        <f>"MIR155HG"</f>
        <v>MIR155HG</v>
      </c>
      <c r="B18081" s="6" t="s">
        <v>1</v>
      </c>
      <c r="C18081" s="6" t="s">
        <v>1</v>
      </c>
    </row>
    <row r="18082" spans="1:3" s="8" customFormat="1" x14ac:dyDescent="0.2">
      <c r="A18082" s="6" t="str">
        <f>"AL023806.4"</f>
        <v>AL023806.4</v>
      </c>
      <c r="B18082" s="6" t="s">
        <v>1</v>
      </c>
      <c r="C18082" s="6" t="s">
        <v>1</v>
      </c>
    </row>
    <row r="18083" spans="1:3" s="8" customFormat="1" x14ac:dyDescent="0.2">
      <c r="A18083" s="6" t="str">
        <f>"AC243960.1"</f>
        <v>AC243960.1</v>
      </c>
      <c r="B18083" s="6" t="s">
        <v>1</v>
      </c>
      <c r="C18083" s="6" t="s">
        <v>1</v>
      </c>
    </row>
    <row r="18084" spans="1:3" s="8" customFormat="1" x14ac:dyDescent="0.2">
      <c r="A18084" s="6" t="str">
        <f>"HNRNPCP1"</f>
        <v>HNRNPCP1</v>
      </c>
      <c r="B18084" s="6" t="s">
        <v>1</v>
      </c>
      <c r="C18084" s="6" t="s">
        <v>1</v>
      </c>
    </row>
    <row r="18085" spans="1:3" s="8" customFormat="1" x14ac:dyDescent="0.2">
      <c r="A18085" s="6" t="str">
        <f>"LINC01124"</f>
        <v>LINC01124</v>
      </c>
      <c r="B18085" s="6" t="s">
        <v>1</v>
      </c>
      <c r="C18085" s="6" t="s">
        <v>1</v>
      </c>
    </row>
    <row r="18086" spans="1:3" s="8" customFormat="1" x14ac:dyDescent="0.2">
      <c r="A18086" s="6" t="str">
        <f>"AP000679.1"</f>
        <v>AP000679.1</v>
      </c>
      <c r="B18086" s="6" t="s">
        <v>1</v>
      </c>
      <c r="C18086" s="6" t="s">
        <v>1</v>
      </c>
    </row>
    <row r="18087" spans="1:3" s="8" customFormat="1" x14ac:dyDescent="0.2">
      <c r="A18087" s="6" t="str">
        <f>"AC060234.2"</f>
        <v>AC060234.2</v>
      </c>
      <c r="B18087" s="6" t="s">
        <v>1</v>
      </c>
      <c r="C18087" s="6" t="s">
        <v>1</v>
      </c>
    </row>
    <row r="18088" spans="1:3" s="8" customFormat="1" x14ac:dyDescent="0.2">
      <c r="A18088" s="6" t="str">
        <f>"C22orf34"</f>
        <v>C22orf34</v>
      </c>
      <c r="B18088" s="6" t="s">
        <v>1</v>
      </c>
      <c r="C18088" s="6" t="s">
        <v>1</v>
      </c>
    </row>
    <row r="18089" spans="1:3" s="8" customFormat="1" x14ac:dyDescent="0.2">
      <c r="A18089" s="6" t="str">
        <f>"CASQ2"</f>
        <v>CASQ2</v>
      </c>
      <c r="B18089" s="6" t="s">
        <v>1</v>
      </c>
      <c r="C18089" s="6" t="s">
        <v>1</v>
      </c>
    </row>
    <row r="18090" spans="1:3" s="8" customFormat="1" x14ac:dyDescent="0.2">
      <c r="A18090" s="6" t="str">
        <f>"KCNK13"</f>
        <v>KCNK13</v>
      </c>
      <c r="B18090" s="6" t="s">
        <v>1</v>
      </c>
      <c r="C18090" s="6" t="s">
        <v>1</v>
      </c>
    </row>
    <row r="18091" spans="1:3" s="8" customFormat="1" x14ac:dyDescent="0.2">
      <c r="A18091" s="6" t="str">
        <f>"WNT1"</f>
        <v>WNT1</v>
      </c>
      <c r="B18091" s="6" t="s">
        <v>1</v>
      </c>
      <c r="C18091" s="6" t="s">
        <v>1</v>
      </c>
    </row>
    <row r="18092" spans="1:3" s="8" customFormat="1" x14ac:dyDescent="0.2">
      <c r="A18092" s="6" t="str">
        <f>"CYP2A7P2"</f>
        <v>CYP2A7P2</v>
      </c>
      <c r="B18092" s="6" t="s">
        <v>1</v>
      </c>
      <c r="C18092" s="6" t="s">
        <v>1</v>
      </c>
    </row>
    <row r="18093" spans="1:3" s="8" customFormat="1" x14ac:dyDescent="0.2">
      <c r="A18093" s="6" t="str">
        <f>"KANSL1L-AS1"</f>
        <v>KANSL1L-AS1</v>
      </c>
      <c r="B18093" s="6" t="s">
        <v>1</v>
      </c>
      <c r="C18093" s="6" t="s">
        <v>1</v>
      </c>
    </row>
    <row r="18094" spans="1:3" s="8" customFormat="1" x14ac:dyDescent="0.2">
      <c r="A18094" s="6" t="str">
        <f>"H3P16"</f>
        <v>H3P16</v>
      </c>
      <c r="B18094" s="6" t="s">
        <v>1</v>
      </c>
      <c r="C18094" s="6" t="s">
        <v>1</v>
      </c>
    </row>
    <row r="18095" spans="1:3" s="8" customFormat="1" x14ac:dyDescent="0.2">
      <c r="A18095" s="6" t="str">
        <f>"CRIM1-DT"</f>
        <v>CRIM1-DT</v>
      </c>
      <c r="B18095" s="6" t="s">
        <v>1</v>
      </c>
      <c r="C18095" s="6" t="s">
        <v>1</v>
      </c>
    </row>
    <row r="18096" spans="1:3" s="8" customFormat="1" x14ac:dyDescent="0.2">
      <c r="A18096" s="6" t="str">
        <f>"AL133482.1"</f>
        <v>AL133482.1</v>
      </c>
      <c r="B18096" s="6" t="s">
        <v>1</v>
      </c>
      <c r="C18096" s="6" t="s">
        <v>1</v>
      </c>
    </row>
    <row r="18097" spans="1:3" s="8" customFormat="1" x14ac:dyDescent="0.2">
      <c r="A18097" s="6" t="str">
        <f>"LGI3"</f>
        <v>LGI3</v>
      </c>
      <c r="B18097" s="6" t="s">
        <v>1</v>
      </c>
      <c r="C18097" s="6" t="s">
        <v>1</v>
      </c>
    </row>
    <row r="18098" spans="1:3" s="8" customFormat="1" x14ac:dyDescent="0.2">
      <c r="A18098" s="6" t="str">
        <f>"AC093884.1"</f>
        <v>AC093884.1</v>
      </c>
      <c r="B18098" s="6" t="s">
        <v>1</v>
      </c>
      <c r="C18098" s="6" t="s">
        <v>1</v>
      </c>
    </row>
    <row r="18099" spans="1:3" s="8" customFormat="1" x14ac:dyDescent="0.2">
      <c r="A18099" s="6" t="str">
        <f>"AP000866.5"</f>
        <v>AP000866.5</v>
      </c>
      <c r="B18099" s="6" t="s">
        <v>1</v>
      </c>
      <c r="C18099" s="6" t="s">
        <v>1</v>
      </c>
    </row>
    <row r="18100" spans="1:3" s="8" customFormat="1" x14ac:dyDescent="0.2">
      <c r="A18100" s="6" t="str">
        <f>"LINC02259"</f>
        <v>LINC02259</v>
      </c>
      <c r="B18100" s="6" t="s">
        <v>1</v>
      </c>
      <c r="C18100" s="6" t="s">
        <v>1</v>
      </c>
    </row>
    <row r="18101" spans="1:3" s="8" customFormat="1" x14ac:dyDescent="0.2">
      <c r="A18101" s="6" t="str">
        <f>"MKRN7P"</f>
        <v>MKRN7P</v>
      </c>
      <c r="B18101" s="6" t="s">
        <v>1</v>
      </c>
      <c r="C18101" s="6" t="s">
        <v>1</v>
      </c>
    </row>
    <row r="18102" spans="1:3" s="8" customFormat="1" x14ac:dyDescent="0.2">
      <c r="A18102" s="6" t="str">
        <f>"AC062028.1"</f>
        <v>AC062028.1</v>
      </c>
      <c r="B18102" s="6" t="s">
        <v>1</v>
      </c>
      <c r="C18102" s="6" t="s">
        <v>1</v>
      </c>
    </row>
    <row r="18103" spans="1:3" s="8" customFormat="1" x14ac:dyDescent="0.2">
      <c r="A18103" s="6" t="str">
        <f>"LINC02029"</f>
        <v>LINC02029</v>
      </c>
      <c r="B18103" s="6" t="s">
        <v>1</v>
      </c>
      <c r="C18103" s="6" t="s">
        <v>1</v>
      </c>
    </row>
    <row r="18104" spans="1:3" s="8" customFormat="1" x14ac:dyDescent="0.2">
      <c r="A18104" s="6" t="str">
        <f>"AC084335.1"</f>
        <v>AC084335.1</v>
      </c>
      <c r="B18104" s="6" t="s">
        <v>1</v>
      </c>
      <c r="C18104" s="6" t="s">
        <v>1</v>
      </c>
    </row>
    <row r="18105" spans="1:3" s="8" customFormat="1" x14ac:dyDescent="0.2">
      <c r="A18105" s="6" t="str">
        <f>"AC012414.4"</f>
        <v>AC012414.4</v>
      </c>
      <c r="B18105" s="6" t="s">
        <v>1</v>
      </c>
      <c r="C18105" s="6" t="s">
        <v>1</v>
      </c>
    </row>
    <row r="18106" spans="1:3" s="8" customFormat="1" x14ac:dyDescent="0.2">
      <c r="A18106" s="6" t="str">
        <f>"AC012443.2"</f>
        <v>AC012443.2</v>
      </c>
      <c r="B18106" s="6" t="s">
        <v>1</v>
      </c>
      <c r="C18106" s="6" t="s">
        <v>1</v>
      </c>
    </row>
    <row r="18107" spans="1:3" s="8" customFormat="1" x14ac:dyDescent="0.2">
      <c r="A18107" s="6" t="str">
        <f>"OXCT2"</f>
        <v>OXCT2</v>
      </c>
      <c r="B18107" s="6" t="s">
        <v>1</v>
      </c>
      <c r="C18107" s="6" t="s">
        <v>1</v>
      </c>
    </row>
    <row r="18108" spans="1:3" s="8" customFormat="1" x14ac:dyDescent="0.2">
      <c r="A18108" s="6" t="str">
        <f>"AC093829.1"</f>
        <v>AC093829.1</v>
      </c>
      <c r="B18108" s="6" t="s">
        <v>1</v>
      </c>
      <c r="C18108" s="6" t="s">
        <v>1</v>
      </c>
    </row>
    <row r="18109" spans="1:3" s="8" customFormat="1" x14ac:dyDescent="0.2">
      <c r="A18109" s="6" t="str">
        <f>"KCND2"</f>
        <v>KCND2</v>
      </c>
      <c r="B18109" s="6" t="s">
        <v>1</v>
      </c>
      <c r="C18109" s="6" t="s">
        <v>1</v>
      </c>
    </row>
    <row r="18110" spans="1:3" s="8" customFormat="1" x14ac:dyDescent="0.2">
      <c r="A18110" s="6" t="str">
        <f>"AC093908.1"</f>
        <v>AC093908.1</v>
      </c>
      <c r="B18110" s="6" t="s">
        <v>1</v>
      </c>
      <c r="C18110" s="6" t="s">
        <v>1</v>
      </c>
    </row>
    <row r="18111" spans="1:3" s="8" customFormat="1" x14ac:dyDescent="0.2">
      <c r="A18111" s="6" t="str">
        <f>"CRYM-AS1"</f>
        <v>CRYM-AS1</v>
      </c>
      <c r="B18111" s="6" t="s">
        <v>1</v>
      </c>
      <c r="C18111" s="6" t="s">
        <v>1</v>
      </c>
    </row>
    <row r="18112" spans="1:3" s="8" customFormat="1" x14ac:dyDescent="0.2">
      <c r="A18112" s="6" t="str">
        <f>"AL352979.4"</f>
        <v>AL352979.4</v>
      </c>
      <c r="B18112" s="6" t="s">
        <v>1</v>
      </c>
      <c r="C18112" s="6" t="s">
        <v>1</v>
      </c>
    </row>
    <row r="18113" spans="1:3" s="8" customFormat="1" x14ac:dyDescent="0.2">
      <c r="A18113" s="6" t="str">
        <f>"SEC61G-DT"</f>
        <v>SEC61G-DT</v>
      </c>
      <c r="B18113" s="6" t="s">
        <v>1</v>
      </c>
      <c r="C18113" s="6" t="s">
        <v>1</v>
      </c>
    </row>
    <row r="18114" spans="1:3" s="8" customFormat="1" x14ac:dyDescent="0.2">
      <c r="A18114" s="6" t="str">
        <f>"AC022154.1"</f>
        <v>AC022154.1</v>
      </c>
      <c r="B18114" s="6" t="s">
        <v>1</v>
      </c>
      <c r="C18114" s="6" t="s">
        <v>1</v>
      </c>
    </row>
    <row r="18115" spans="1:3" s="8" customFormat="1" x14ac:dyDescent="0.2">
      <c r="A18115" s="6" t="str">
        <f>"AL445437.1"</f>
        <v>AL445437.1</v>
      </c>
      <c r="B18115" s="6" t="s">
        <v>1</v>
      </c>
      <c r="C18115" s="6" t="s">
        <v>1</v>
      </c>
    </row>
    <row r="18116" spans="1:3" s="8" customFormat="1" x14ac:dyDescent="0.2">
      <c r="A18116" s="6" t="str">
        <f>"BAALC-AS2"</f>
        <v>BAALC-AS2</v>
      </c>
      <c r="B18116" s="6" t="s">
        <v>1</v>
      </c>
      <c r="C18116" s="6" t="s">
        <v>1</v>
      </c>
    </row>
    <row r="18117" spans="1:3" s="8" customFormat="1" x14ac:dyDescent="0.2">
      <c r="A18117" s="6" t="str">
        <f>"KLHL30"</f>
        <v>KLHL30</v>
      </c>
      <c r="B18117" s="6" t="s">
        <v>1</v>
      </c>
      <c r="C18117" s="6" t="s">
        <v>1</v>
      </c>
    </row>
    <row r="18118" spans="1:3" s="8" customFormat="1" x14ac:dyDescent="0.2">
      <c r="A18118" s="6" t="str">
        <f>"LINC02231"</f>
        <v>LINC02231</v>
      </c>
      <c r="B18118" s="6" t="s">
        <v>1</v>
      </c>
      <c r="C18118" s="6" t="s">
        <v>1</v>
      </c>
    </row>
    <row r="18119" spans="1:3" s="8" customFormat="1" x14ac:dyDescent="0.2">
      <c r="A18119" s="6" t="str">
        <f>"MIR7-3HG"</f>
        <v>MIR7-3HG</v>
      </c>
      <c r="B18119" s="6" t="s">
        <v>1</v>
      </c>
      <c r="C18119" s="6" t="s">
        <v>1</v>
      </c>
    </row>
    <row r="18120" spans="1:3" s="8" customFormat="1" x14ac:dyDescent="0.2">
      <c r="A18120" s="6" t="str">
        <f>"H3P4"</f>
        <v>H3P4</v>
      </c>
      <c r="B18120" s="6" t="s">
        <v>1</v>
      </c>
      <c r="C18120" s="6" t="s">
        <v>1</v>
      </c>
    </row>
    <row r="18121" spans="1:3" s="8" customFormat="1" x14ac:dyDescent="0.2">
      <c r="A18121" s="6" t="str">
        <f>"CEACAM8"</f>
        <v>CEACAM8</v>
      </c>
      <c r="B18121" s="6" t="s">
        <v>1</v>
      </c>
      <c r="C18121" s="6" t="s">
        <v>1</v>
      </c>
    </row>
    <row r="18122" spans="1:3" s="8" customFormat="1" x14ac:dyDescent="0.2">
      <c r="A18122" s="6" t="str">
        <f>"INKA2-AS1"</f>
        <v>INKA2-AS1</v>
      </c>
      <c r="B18122" s="6" t="s">
        <v>1</v>
      </c>
      <c r="C18122" s="6" t="s">
        <v>1</v>
      </c>
    </row>
    <row r="18123" spans="1:3" s="8" customFormat="1" x14ac:dyDescent="0.2">
      <c r="A18123" s="6" t="str">
        <f>"LINC00943"</f>
        <v>LINC00943</v>
      </c>
      <c r="B18123" s="6" t="s">
        <v>1</v>
      </c>
      <c r="C18123" s="6" t="s">
        <v>1</v>
      </c>
    </row>
    <row r="18124" spans="1:3" s="8" customFormat="1" x14ac:dyDescent="0.2">
      <c r="A18124" s="6" t="str">
        <f>"AC064805.1"</f>
        <v>AC064805.1</v>
      </c>
      <c r="B18124" s="6" t="s">
        <v>1</v>
      </c>
      <c r="C18124" s="6" t="s">
        <v>1</v>
      </c>
    </row>
    <row r="18125" spans="1:3" s="8" customFormat="1" x14ac:dyDescent="0.2">
      <c r="A18125" s="6" t="str">
        <f>"PPIAP89"</f>
        <v>PPIAP89</v>
      </c>
      <c r="B18125" s="6" t="s">
        <v>1</v>
      </c>
      <c r="C18125" s="6" t="s">
        <v>1</v>
      </c>
    </row>
    <row r="18126" spans="1:3" s="8" customFormat="1" x14ac:dyDescent="0.2">
      <c r="A18126" s="6" t="str">
        <f>"EXOC1L"</f>
        <v>EXOC1L</v>
      </c>
      <c r="B18126" s="6" t="s">
        <v>1</v>
      </c>
      <c r="C18126" s="6" t="s">
        <v>1</v>
      </c>
    </row>
    <row r="18127" spans="1:3" s="8" customFormat="1" x14ac:dyDescent="0.2">
      <c r="A18127" s="6" t="str">
        <f>"AC245884.8"</f>
        <v>AC245884.8</v>
      </c>
      <c r="B18127" s="6" t="s">
        <v>1</v>
      </c>
      <c r="C18127" s="6" t="s">
        <v>1</v>
      </c>
    </row>
    <row r="18128" spans="1:3" s="8" customFormat="1" x14ac:dyDescent="0.2">
      <c r="A18128" s="6" t="str">
        <f>"AC128687.2"</f>
        <v>AC128687.2</v>
      </c>
      <c r="B18128" s="6" t="s">
        <v>1</v>
      </c>
      <c r="C18128" s="6" t="s">
        <v>1</v>
      </c>
    </row>
    <row r="18129" spans="1:3" s="8" customFormat="1" x14ac:dyDescent="0.2">
      <c r="A18129" s="6" t="str">
        <f>"AL353804.1"</f>
        <v>AL353804.1</v>
      </c>
      <c r="B18129" s="6" t="s">
        <v>1</v>
      </c>
      <c r="C18129" s="6" t="s">
        <v>1</v>
      </c>
    </row>
    <row r="18130" spans="1:3" s="8" customFormat="1" x14ac:dyDescent="0.2">
      <c r="A18130" s="6" t="str">
        <f>"AC093799.1"</f>
        <v>AC093799.1</v>
      </c>
      <c r="B18130" s="6" t="s">
        <v>1</v>
      </c>
      <c r="C18130" s="6" t="s">
        <v>1</v>
      </c>
    </row>
    <row r="18131" spans="1:3" s="8" customFormat="1" x14ac:dyDescent="0.2">
      <c r="A18131" s="6" t="str">
        <f>"AC127520.1"</f>
        <v>AC127520.1</v>
      </c>
      <c r="B18131" s="6" t="s">
        <v>1</v>
      </c>
      <c r="C18131" s="6" t="s">
        <v>1</v>
      </c>
    </row>
    <row r="18132" spans="1:3" s="8" customFormat="1" x14ac:dyDescent="0.2">
      <c r="A18132" s="6" t="str">
        <f>"FAR2P2"</f>
        <v>FAR2P2</v>
      </c>
      <c r="B18132" s="6" t="s">
        <v>1</v>
      </c>
      <c r="C18132" s="6" t="s">
        <v>1</v>
      </c>
    </row>
    <row r="18133" spans="1:3" s="8" customFormat="1" x14ac:dyDescent="0.2">
      <c r="A18133" s="6" t="str">
        <f>"PRMT5-AS1"</f>
        <v>PRMT5-AS1</v>
      </c>
      <c r="B18133" s="6" t="s">
        <v>1</v>
      </c>
      <c r="C18133" s="6" t="s">
        <v>1</v>
      </c>
    </row>
    <row r="18134" spans="1:3" s="8" customFormat="1" x14ac:dyDescent="0.2">
      <c r="A18134" s="6" t="str">
        <f>"ODAPH"</f>
        <v>ODAPH</v>
      </c>
      <c r="B18134" s="6" t="s">
        <v>1</v>
      </c>
      <c r="C18134" s="6" t="s">
        <v>1</v>
      </c>
    </row>
    <row r="18135" spans="1:3" s="8" customFormat="1" x14ac:dyDescent="0.2">
      <c r="A18135" s="6" t="str">
        <f>"LINC02078"</f>
        <v>LINC02078</v>
      </c>
      <c r="B18135" s="6" t="s">
        <v>1</v>
      </c>
      <c r="C18135" s="6" t="s">
        <v>1</v>
      </c>
    </row>
    <row r="18136" spans="1:3" s="8" customFormat="1" x14ac:dyDescent="0.2">
      <c r="A18136" s="6" t="str">
        <f>"AC093523.1"</f>
        <v>AC093523.1</v>
      </c>
      <c r="B18136" s="6" t="s">
        <v>1</v>
      </c>
      <c r="C18136" s="6" t="s">
        <v>1</v>
      </c>
    </row>
    <row r="18137" spans="1:3" s="8" customFormat="1" x14ac:dyDescent="0.2">
      <c r="A18137" s="6" t="str">
        <f>"AP000553.5"</f>
        <v>AP000553.5</v>
      </c>
      <c r="B18137" s="6" t="s">
        <v>1</v>
      </c>
      <c r="C18137" s="6" t="s">
        <v>1</v>
      </c>
    </row>
    <row r="18138" spans="1:3" s="8" customFormat="1" x14ac:dyDescent="0.2">
      <c r="A18138" s="6" t="str">
        <f>"CARD17"</f>
        <v>CARD17</v>
      </c>
      <c r="B18138" s="6" t="s">
        <v>1</v>
      </c>
      <c r="C18138" s="6" t="s">
        <v>1</v>
      </c>
    </row>
    <row r="18139" spans="1:3" s="8" customFormat="1" x14ac:dyDescent="0.2">
      <c r="A18139" s="6" t="str">
        <f>"MAFA"</f>
        <v>MAFA</v>
      </c>
      <c r="B18139" s="6" t="s">
        <v>1</v>
      </c>
      <c r="C18139" s="6" t="s">
        <v>1</v>
      </c>
    </row>
    <row r="18140" spans="1:3" s="8" customFormat="1" x14ac:dyDescent="0.2">
      <c r="A18140" s="6" t="str">
        <f>"ECI2-DT"</f>
        <v>ECI2-DT</v>
      </c>
      <c r="B18140" s="6" t="s">
        <v>1</v>
      </c>
      <c r="C18140" s="6" t="s">
        <v>1</v>
      </c>
    </row>
    <row r="18141" spans="1:3" s="8" customFormat="1" x14ac:dyDescent="0.2">
      <c r="A18141" s="6" t="str">
        <f>"CARMN"</f>
        <v>CARMN</v>
      </c>
      <c r="B18141" s="6" t="s">
        <v>1</v>
      </c>
      <c r="C18141" s="6" t="s">
        <v>1</v>
      </c>
    </row>
    <row r="18142" spans="1:3" s="8" customFormat="1" x14ac:dyDescent="0.2">
      <c r="A18142" s="6" t="str">
        <f>"AL353596.1"</f>
        <v>AL353596.1</v>
      </c>
      <c r="B18142" s="6" t="s">
        <v>1</v>
      </c>
      <c r="C18142" s="6" t="s">
        <v>1</v>
      </c>
    </row>
    <row r="18143" spans="1:3" s="8" customFormat="1" x14ac:dyDescent="0.2">
      <c r="A18143" s="6" t="str">
        <f>"AC007448.4"</f>
        <v>AC007448.4</v>
      </c>
      <c r="B18143" s="6" t="s">
        <v>1</v>
      </c>
      <c r="C18143" s="6" t="s">
        <v>1</v>
      </c>
    </row>
    <row r="18144" spans="1:3" s="8" customFormat="1" x14ac:dyDescent="0.2">
      <c r="A18144" s="6" t="str">
        <f>"AL022329.1"</f>
        <v>AL022329.1</v>
      </c>
      <c r="B18144" s="6" t="s">
        <v>1</v>
      </c>
      <c r="C18144" s="6" t="s">
        <v>1</v>
      </c>
    </row>
    <row r="18145" spans="1:3" s="8" customFormat="1" x14ac:dyDescent="0.2">
      <c r="A18145" s="6" t="str">
        <f>"INO80B-WBP1"</f>
        <v>INO80B-WBP1</v>
      </c>
      <c r="B18145" s="6" t="s">
        <v>1</v>
      </c>
      <c r="C18145" s="6" t="s">
        <v>1</v>
      </c>
    </row>
    <row r="18146" spans="1:3" s="8" customFormat="1" x14ac:dyDescent="0.2">
      <c r="A18146" s="6" t="str">
        <f>"EEF1A1P4"</f>
        <v>EEF1A1P4</v>
      </c>
      <c r="B18146" s="6" t="s">
        <v>1</v>
      </c>
      <c r="C18146" s="6" t="s">
        <v>1</v>
      </c>
    </row>
    <row r="18147" spans="1:3" s="8" customFormat="1" x14ac:dyDescent="0.2">
      <c r="A18147" s="6" t="str">
        <f>"MYCN"</f>
        <v>MYCN</v>
      </c>
      <c r="B18147" s="6" t="s">
        <v>1</v>
      </c>
      <c r="C18147" s="6" t="s">
        <v>1</v>
      </c>
    </row>
    <row r="18148" spans="1:3" s="8" customFormat="1" x14ac:dyDescent="0.2">
      <c r="A18148" s="6" t="str">
        <f>"MSANTD1"</f>
        <v>MSANTD1</v>
      </c>
      <c r="B18148" s="6" t="s">
        <v>1</v>
      </c>
      <c r="C18148" s="6" t="s">
        <v>1</v>
      </c>
    </row>
    <row r="18149" spans="1:3" s="8" customFormat="1" x14ac:dyDescent="0.2">
      <c r="A18149" s="6" t="str">
        <f>"AC067930.2"</f>
        <v>AC067930.2</v>
      </c>
      <c r="B18149" s="6" t="s">
        <v>1</v>
      </c>
      <c r="C18149" s="6" t="s">
        <v>1</v>
      </c>
    </row>
    <row r="18150" spans="1:3" s="8" customFormat="1" x14ac:dyDescent="0.2">
      <c r="A18150" s="6" t="str">
        <f>"AL023581.2"</f>
        <v>AL023581.2</v>
      </c>
      <c r="B18150" s="6" t="s">
        <v>1</v>
      </c>
      <c r="C18150" s="6" t="s">
        <v>1</v>
      </c>
    </row>
    <row r="18151" spans="1:3" s="8" customFormat="1" x14ac:dyDescent="0.2">
      <c r="A18151" s="6" t="str">
        <f>"BAAT"</f>
        <v>BAAT</v>
      </c>
      <c r="B18151" s="6" t="s">
        <v>1</v>
      </c>
      <c r="C18151" s="6" t="s">
        <v>1</v>
      </c>
    </row>
    <row r="18152" spans="1:3" s="8" customFormat="1" x14ac:dyDescent="0.2">
      <c r="A18152" s="6" t="str">
        <f>"MED15P9"</f>
        <v>MED15P9</v>
      </c>
      <c r="B18152" s="6" t="s">
        <v>1</v>
      </c>
      <c r="C18152" s="6" t="s">
        <v>1</v>
      </c>
    </row>
    <row r="18153" spans="1:3" s="8" customFormat="1" x14ac:dyDescent="0.2">
      <c r="A18153" s="6" t="str">
        <f>"LINC01977"</f>
        <v>LINC01977</v>
      </c>
      <c r="B18153" s="6" t="s">
        <v>1</v>
      </c>
      <c r="C18153" s="6" t="s">
        <v>1</v>
      </c>
    </row>
    <row r="18154" spans="1:3" s="8" customFormat="1" x14ac:dyDescent="0.2">
      <c r="A18154" s="6" t="str">
        <f>"AC087639.2"</f>
        <v>AC087639.2</v>
      </c>
      <c r="B18154" s="6" t="s">
        <v>1</v>
      </c>
      <c r="C18154" s="6" t="s">
        <v>1</v>
      </c>
    </row>
    <row r="18155" spans="1:3" s="8" customFormat="1" x14ac:dyDescent="0.2">
      <c r="A18155" s="6" t="str">
        <f>"AC007608.3"</f>
        <v>AC007608.3</v>
      </c>
      <c r="B18155" s="6" t="s">
        <v>1</v>
      </c>
      <c r="C18155" s="6" t="s">
        <v>1</v>
      </c>
    </row>
    <row r="18156" spans="1:3" s="8" customFormat="1" x14ac:dyDescent="0.2">
      <c r="A18156" s="6" t="str">
        <f>"AL445670.1"</f>
        <v>AL445670.1</v>
      </c>
      <c r="B18156" s="6" t="s">
        <v>1</v>
      </c>
      <c r="C18156" s="6" t="s">
        <v>1</v>
      </c>
    </row>
    <row r="18157" spans="1:3" s="8" customFormat="1" x14ac:dyDescent="0.2">
      <c r="A18157" s="6" t="str">
        <f>"AC093642.2"</f>
        <v>AC093642.2</v>
      </c>
      <c r="B18157" s="6" t="s">
        <v>1</v>
      </c>
      <c r="C18157" s="6" t="s">
        <v>1</v>
      </c>
    </row>
    <row r="18158" spans="1:3" s="8" customFormat="1" x14ac:dyDescent="0.2">
      <c r="A18158" s="6" t="str">
        <f>"F2RL3"</f>
        <v>F2RL3</v>
      </c>
      <c r="B18158" s="6" t="s">
        <v>1</v>
      </c>
      <c r="C18158" s="6" t="s">
        <v>1</v>
      </c>
    </row>
    <row r="18159" spans="1:3" s="8" customFormat="1" x14ac:dyDescent="0.2">
      <c r="A18159" s="6" t="str">
        <f>"MSC-AS1"</f>
        <v>MSC-AS1</v>
      </c>
      <c r="B18159" s="6" t="s">
        <v>1</v>
      </c>
      <c r="C18159" s="6" t="s">
        <v>1</v>
      </c>
    </row>
    <row r="18160" spans="1:3" s="8" customFormat="1" x14ac:dyDescent="0.2">
      <c r="A18160" s="6" t="str">
        <f>"AC084125.4"</f>
        <v>AC084125.4</v>
      </c>
      <c r="B18160" s="6" t="s">
        <v>1</v>
      </c>
      <c r="C18160" s="6" t="s">
        <v>1</v>
      </c>
    </row>
    <row r="18161" spans="1:3" s="8" customFormat="1" x14ac:dyDescent="0.2">
      <c r="A18161" s="6" t="str">
        <f>"WSCD1"</f>
        <v>WSCD1</v>
      </c>
      <c r="B18161" s="6" t="s">
        <v>1</v>
      </c>
      <c r="C18161" s="6" t="s">
        <v>1</v>
      </c>
    </row>
    <row r="18162" spans="1:3" s="8" customFormat="1" x14ac:dyDescent="0.2">
      <c r="A18162" s="6" t="str">
        <f>"AC127537.1"</f>
        <v>AC127537.1</v>
      </c>
      <c r="B18162" s="6" t="s">
        <v>1</v>
      </c>
      <c r="C18162" s="6" t="s">
        <v>1</v>
      </c>
    </row>
    <row r="18163" spans="1:3" s="8" customFormat="1" x14ac:dyDescent="0.2">
      <c r="A18163" s="6" t="str">
        <f>"LINC01012"</f>
        <v>LINC01012</v>
      </c>
      <c r="B18163" s="6" t="s">
        <v>1</v>
      </c>
      <c r="C18163" s="6" t="s">
        <v>1</v>
      </c>
    </row>
    <row r="18164" spans="1:3" s="8" customFormat="1" x14ac:dyDescent="0.2">
      <c r="A18164" s="6" t="str">
        <f>"ASPA"</f>
        <v>ASPA</v>
      </c>
      <c r="B18164" s="6" t="s">
        <v>1</v>
      </c>
      <c r="C18164" s="6" t="s">
        <v>1</v>
      </c>
    </row>
    <row r="18165" spans="1:3" s="8" customFormat="1" x14ac:dyDescent="0.2">
      <c r="A18165" s="6" t="str">
        <f>"AC131212.2"</f>
        <v>AC131212.2</v>
      </c>
      <c r="B18165" s="6" t="s">
        <v>1</v>
      </c>
      <c r="C18165" s="6" t="s">
        <v>1</v>
      </c>
    </row>
    <row r="18166" spans="1:3" s="8" customFormat="1" x14ac:dyDescent="0.2">
      <c r="A18166" s="6" t="str">
        <f>"AC022148.1"</f>
        <v>AC022148.1</v>
      </c>
      <c r="B18166" s="6" t="s">
        <v>1</v>
      </c>
      <c r="C18166" s="6" t="s">
        <v>1</v>
      </c>
    </row>
    <row r="18167" spans="1:3" s="8" customFormat="1" x14ac:dyDescent="0.2">
      <c r="A18167" s="6" t="str">
        <f>"AC067838.1"</f>
        <v>AC067838.1</v>
      </c>
      <c r="B18167" s="6" t="s">
        <v>1</v>
      </c>
      <c r="C18167" s="6" t="s">
        <v>1</v>
      </c>
    </row>
    <row r="18168" spans="1:3" s="8" customFormat="1" x14ac:dyDescent="0.2">
      <c r="A18168" s="6" t="str">
        <f>"AC083967.1"</f>
        <v>AC083967.1</v>
      </c>
      <c r="B18168" s="6" t="s">
        <v>1</v>
      </c>
      <c r="C18168" s="6" t="s">
        <v>1</v>
      </c>
    </row>
    <row r="18169" spans="1:3" s="8" customFormat="1" x14ac:dyDescent="0.2">
      <c r="A18169" s="6" t="str">
        <f>"PABPC4L"</f>
        <v>PABPC4L</v>
      </c>
      <c r="B18169" s="6" t="s">
        <v>1</v>
      </c>
      <c r="C18169" s="6" t="s">
        <v>1</v>
      </c>
    </row>
    <row r="18170" spans="1:3" s="8" customFormat="1" x14ac:dyDescent="0.2">
      <c r="A18170" s="6" t="str">
        <f>"GABRD"</f>
        <v>GABRD</v>
      </c>
      <c r="B18170" s="6" t="s">
        <v>1</v>
      </c>
      <c r="C18170" s="6" t="s">
        <v>1</v>
      </c>
    </row>
    <row r="18171" spans="1:3" s="8" customFormat="1" x14ac:dyDescent="0.2">
      <c r="A18171" s="6" t="str">
        <f>"HMGB1P31"</f>
        <v>HMGB1P31</v>
      </c>
      <c r="B18171" s="6" t="s">
        <v>1</v>
      </c>
      <c r="C18171" s="6" t="s">
        <v>1</v>
      </c>
    </row>
    <row r="18172" spans="1:3" s="8" customFormat="1" x14ac:dyDescent="0.2">
      <c r="A18172" s="6" t="str">
        <f>"H4C5"</f>
        <v>H4C5</v>
      </c>
      <c r="B18172" s="6" t="s">
        <v>1</v>
      </c>
      <c r="C18172" s="6" t="s">
        <v>1</v>
      </c>
    </row>
    <row r="18173" spans="1:3" s="8" customFormat="1" x14ac:dyDescent="0.2">
      <c r="A18173" s="6" t="str">
        <f>"AC106820.2"</f>
        <v>AC106820.2</v>
      </c>
      <c r="B18173" s="6" t="s">
        <v>1</v>
      </c>
      <c r="C18173" s="6" t="s">
        <v>1</v>
      </c>
    </row>
    <row r="18174" spans="1:3" s="8" customFormat="1" x14ac:dyDescent="0.2">
      <c r="A18174" s="6" t="str">
        <f>"UCN"</f>
        <v>UCN</v>
      </c>
      <c r="B18174" s="6" t="s">
        <v>1</v>
      </c>
      <c r="C18174" s="6" t="s">
        <v>1</v>
      </c>
    </row>
    <row r="18175" spans="1:3" s="8" customFormat="1" x14ac:dyDescent="0.2">
      <c r="A18175" s="6" t="str">
        <f>"WWC2-AS2"</f>
        <v>WWC2-AS2</v>
      </c>
      <c r="B18175" s="6" t="s">
        <v>1</v>
      </c>
      <c r="C18175" s="6" t="s">
        <v>1</v>
      </c>
    </row>
    <row r="18176" spans="1:3" s="8" customFormat="1" x14ac:dyDescent="0.2">
      <c r="A18176" s="6" t="str">
        <f>"AC243654.3"</f>
        <v>AC243654.3</v>
      </c>
      <c r="B18176" s="6" t="s">
        <v>1</v>
      </c>
      <c r="C18176" s="6" t="s">
        <v>1</v>
      </c>
    </row>
    <row r="18177" spans="1:3" s="8" customFormat="1" x14ac:dyDescent="0.2">
      <c r="A18177" s="6" t="str">
        <f>"AL133551.1"</f>
        <v>AL133551.1</v>
      </c>
      <c r="B18177" s="6" t="s">
        <v>1</v>
      </c>
      <c r="C18177" s="6" t="s">
        <v>1</v>
      </c>
    </row>
    <row r="18178" spans="1:3" s="8" customFormat="1" x14ac:dyDescent="0.2">
      <c r="A18178" s="6" t="str">
        <f>"LINC02242"</f>
        <v>LINC02242</v>
      </c>
      <c r="B18178" s="6" t="s">
        <v>1</v>
      </c>
      <c r="C18178" s="6" t="s">
        <v>1</v>
      </c>
    </row>
    <row r="18179" spans="1:3" s="8" customFormat="1" x14ac:dyDescent="0.2">
      <c r="A18179" s="6" t="str">
        <f>"NPHS1"</f>
        <v>NPHS1</v>
      </c>
      <c r="B18179" s="6" t="s">
        <v>1</v>
      </c>
      <c r="C18179" s="6" t="s">
        <v>1</v>
      </c>
    </row>
    <row r="18180" spans="1:3" s="8" customFormat="1" x14ac:dyDescent="0.2">
      <c r="A18180" s="6" t="str">
        <f>"LINC02106"</f>
        <v>LINC02106</v>
      </c>
      <c r="B18180" s="6" t="s">
        <v>1</v>
      </c>
      <c r="C18180" s="6" t="s">
        <v>1</v>
      </c>
    </row>
    <row r="18181" spans="1:3" s="8" customFormat="1" x14ac:dyDescent="0.2">
      <c r="A18181" s="6" t="str">
        <f>"RNF148"</f>
        <v>RNF148</v>
      </c>
      <c r="B18181" s="6" t="s">
        <v>1</v>
      </c>
      <c r="C18181" s="6" t="s">
        <v>1</v>
      </c>
    </row>
    <row r="18182" spans="1:3" s="8" customFormat="1" x14ac:dyDescent="0.2">
      <c r="A18182" s="6" t="str">
        <f>"LINC02301"</f>
        <v>LINC02301</v>
      </c>
      <c r="B18182" s="6" t="s">
        <v>1</v>
      </c>
      <c r="C18182" s="6" t="s">
        <v>1</v>
      </c>
    </row>
    <row r="18183" spans="1:3" s="8" customFormat="1" x14ac:dyDescent="0.2">
      <c r="A18183" s="6" t="str">
        <f>"HNF1A"</f>
        <v>HNF1A</v>
      </c>
      <c r="B18183" s="6" t="s">
        <v>1</v>
      </c>
      <c r="C18183" s="6" t="s">
        <v>1</v>
      </c>
    </row>
    <row r="18184" spans="1:3" s="8" customFormat="1" x14ac:dyDescent="0.2">
      <c r="A18184" s="6" t="str">
        <f>"FAM90A25P"</f>
        <v>FAM90A25P</v>
      </c>
      <c r="B18184" s="6" t="s">
        <v>1</v>
      </c>
      <c r="C18184" s="6" t="s">
        <v>1</v>
      </c>
    </row>
    <row r="18185" spans="1:3" s="8" customFormat="1" x14ac:dyDescent="0.2">
      <c r="A18185" s="6" t="str">
        <f>"RPL7AP28"</f>
        <v>RPL7AP28</v>
      </c>
      <c r="B18185" s="6" t="s">
        <v>1</v>
      </c>
      <c r="C18185" s="6" t="s">
        <v>1</v>
      </c>
    </row>
    <row r="18186" spans="1:3" s="8" customFormat="1" x14ac:dyDescent="0.2">
      <c r="A18186" s="6" t="str">
        <f>"LORICRIN"</f>
        <v>LORICRIN</v>
      </c>
      <c r="B18186" s="6" t="s">
        <v>1</v>
      </c>
      <c r="C18186" s="6" t="s">
        <v>1</v>
      </c>
    </row>
    <row r="18187" spans="1:3" s="8" customFormat="1" x14ac:dyDescent="0.2">
      <c r="A18187" s="6" t="str">
        <f>"AL031587.3"</f>
        <v>AL031587.3</v>
      </c>
      <c r="B18187" s="6" t="s">
        <v>1</v>
      </c>
      <c r="C18187" s="6" t="s">
        <v>1</v>
      </c>
    </row>
    <row r="18188" spans="1:3" s="8" customFormat="1" x14ac:dyDescent="0.2">
      <c r="A18188" s="6" t="str">
        <f>"KLRC2"</f>
        <v>KLRC2</v>
      </c>
      <c r="B18188" s="6" t="s">
        <v>1</v>
      </c>
      <c r="C18188" s="6" t="s">
        <v>1</v>
      </c>
    </row>
    <row r="18189" spans="1:3" s="8" customFormat="1" x14ac:dyDescent="0.2">
      <c r="A18189" s="6" t="str">
        <f>"LINC02076"</f>
        <v>LINC02076</v>
      </c>
      <c r="B18189" s="6" t="s">
        <v>1</v>
      </c>
      <c r="C18189" s="6" t="s">
        <v>1</v>
      </c>
    </row>
    <row r="18190" spans="1:3" s="8" customFormat="1" x14ac:dyDescent="0.2">
      <c r="A18190" s="6" t="str">
        <f>"AC015819.1"</f>
        <v>AC015819.1</v>
      </c>
      <c r="B18190" s="6" t="s">
        <v>1</v>
      </c>
      <c r="C18190" s="6" t="s">
        <v>1</v>
      </c>
    </row>
    <row r="18191" spans="1:3" s="8" customFormat="1" x14ac:dyDescent="0.2">
      <c r="A18191" s="6" t="str">
        <f>"LINC02282"</f>
        <v>LINC02282</v>
      </c>
      <c r="B18191" s="6" t="s">
        <v>1</v>
      </c>
      <c r="C18191" s="6" t="s">
        <v>1</v>
      </c>
    </row>
    <row r="18192" spans="1:3" s="8" customFormat="1" x14ac:dyDescent="0.2">
      <c r="A18192" s="6" t="str">
        <f>"GABRR1"</f>
        <v>GABRR1</v>
      </c>
      <c r="B18192" s="6" t="s">
        <v>1</v>
      </c>
      <c r="C18192" s="6" t="s">
        <v>1</v>
      </c>
    </row>
    <row r="18193" spans="1:3" s="8" customFormat="1" x14ac:dyDescent="0.2">
      <c r="A18193" s="6" t="str">
        <f>"TGFBR3L"</f>
        <v>TGFBR3L</v>
      </c>
      <c r="B18193" s="6" t="s">
        <v>1</v>
      </c>
      <c r="C18193" s="6" t="s">
        <v>1</v>
      </c>
    </row>
    <row r="18194" spans="1:3" s="8" customFormat="1" x14ac:dyDescent="0.2">
      <c r="A18194" s="6" t="str">
        <f>"IFITM3P2"</f>
        <v>IFITM3P2</v>
      </c>
      <c r="B18194" s="6" t="s">
        <v>1</v>
      </c>
      <c r="C18194" s="6" t="s">
        <v>1</v>
      </c>
    </row>
    <row r="18195" spans="1:3" s="8" customFormat="1" x14ac:dyDescent="0.2">
      <c r="A18195" s="6" t="str">
        <f>"UGT2B4"</f>
        <v>UGT2B4</v>
      </c>
      <c r="B18195" s="6" t="s">
        <v>1</v>
      </c>
      <c r="C18195" s="6" t="s">
        <v>1</v>
      </c>
    </row>
    <row r="18196" spans="1:3" s="8" customFormat="1" x14ac:dyDescent="0.2">
      <c r="A18196" s="6" t="str">
        <f>"DFFBP1"</f>
        <v>DFFBP1</v>
      </c>
      <c r="B18196" s="6" t="s">
        <v>1</v>
      </c>
      <c r="C18196" s="6" t="s">
        <v>1</v>
      </c>
    </row>
    <row r="18197" spans="1:3" s="8" customFormat="1" x14ac:dyDescent="0.2">
      <c r="A18197" s="6" t="str">
        <f>"SMAD5-AS1"</f>
        <v>SMAD5-AS1</v>
      </c>
      <c r="B18197" s="6" t="s">
        <v>1</v>
      </c>
      <c r="C18197" s="6" t="s">
        <v>1</v>
      </c>
    </row>
    <row r="18198" spans="1:3" s="8" customFormat="1" x14ac:dyDescent="0.2">
      <c r="A18198" s="6" t="str">
        <f>"AC107419.1"</f>
        <v>AC107419.1</v>
      </c>
      <c r="B18198" s="6" t="s">
        <v>1</v>
      </c>
      <c r="C18198" s="6" t="s">
        <v>1</v>
      </c>
    </row>
    <row r="18199" spans="1:3" s="8" customFormat="1" x14ac:dyDescent="0.2">
      <c r="A18199" s="6" t="str">
        <f>"LINC02178"</f>
        <v>LINC02178</v>
      </c>
      <c r="B18199" s="6" t="s">
        <v>1</v>
      </c>
      <c r="C18199" s="6" t="s">
        <v>1</v>
      </c>
    </row>
    <row r="18200" spans="1:3" s="8" customFormat="1" x14ac:dyDescent="0.2">
      <c r="A18200" s="6" t="str">
        <f>"AL442636.1"</f>
        <v>AL442636.1</v>
      </c>
      <c r="B18200" s="6" t="s">
        <v>1</v>
      </c>
      <c r="C18200" s="6" t="s">
        <v>1</v>
      </c>
    </row>
    <row r="18201" spans="1:3" s="8" customFormat="1" x14ac:dyDescent="0.2">
      <c r="A18201" s="6" t="str">
        <f>"LINC00970"</f>
        <v>LINC00970</v>
      </c>
      <c r="B18201" s="6" t="s">
        <v>1</v>
      </c>
      <c r="C18201" s="6" t="s">
        <v>1</v>
      </c>
    </row>
    <row r="18202" spans="1:3" s="8" customFormat="1" x14ac:dyDescent="0.2">
      <c r="A18202" s="6" t="str">
        <f>"LINC02145"</f>
        <v>LINC02145</v>
      </c>
      <c r="B18202" s="6" t="s">
        <v>1</v>
      </c>
      <c r="C18202" s="6" t="s">
        <v>1</v>
      </c>
    </row>
    <row r="18203" spans="1:3" s="8" customFormat="1" x14ac:dyDescent="0.2">
      <c r="A18203" s="6" t="str">
        <f>"AL445228.2"</f>
        <v>AL445228.2</v>
      </c>
      <c r="B18203" s="6" t="s">
        <v>1</v>
      </c>
      <c r="C18203" s="6" t="s">
        <v>1</v>
      </c>
    </row>
    <row r="18204" spans="1:3" s="8" customFormat="1" x14ac:dyDescent="0.2">
      <c r="A18204" s="6" t="str">
        <f>"HNRNPA1P40"</f>
        <v>HNRNPA1P40</v>
      </c>
      <c r="B18204" s="6" t="s">
        <v>1</v>
      </c>
      <c r="C18204" s="6" t="s">
        <v>1</v>
      </c>
    </row>
    <row r="18205" spans="1:3" s="8" customFormat="1" x14ac:dyDescent="0.2">
      <c r="A18205" s="6" t="str">
        <f>"TRBV7-9"</f>
        <v>TRBV7-9</v>
      </c>
      <c r="B18205" s="6" t="s">
        <v>1</v>
      </c>
      <c r="C18205" s="6" t="s">
        <v>1</v>
      </c>
    </row>
    <row r="18206" spans="1:3" s="8" customFormat="1" x14ac:dyDescent="0.2">
      <c r="A18206" s="6" t="str">
        <f>"CDRT15P14"</f>
        <v>CDRT15P14</v>
      </c>
      <c r="B18206" s="6" t="s">
        <v>1</v>
      </c>
      <c r="C18206" s="6" t="s">
        <v>1</v>
      </c>
    </row>
    <row r="18207" spans="1:3" s="8" customFormat="1" x14ac:dyDescent="0.2">
      <c r="A18207" s="6" t="str">
        <f>"OTUD6A"</f>
        <v>OTUD6A</v>
      </c>
      <c r="B18207" s="6" t="s">
        <v>1</v>
      </c>
      <c r="C18207" s="6" t="s">
        <v>1</v>
      </c>
    </row>
    <row r="18208" spans="1:3" s="8" customFormat="1" x14ac:dyDescent="0.2">
      <c r="A18208" s="6" t="str">
        <f>"MIR4713HG"</f>
        <v>MIR4713HG</v>
      </c>
      <c r="B18208" s="6" t="s">
        <v>1</v>
      </c>
      <c r="C18208" s="6" t="s">
        <v>1</v>
      </c>
    </row>
    <row r="18209" spans="1:3" s="8" customFormat="1" x14ac:dyDescent="0.2">
      <c r="A18209" s="6" t="str">
        <f>"MSGN1"</f>
        <v>MSGN1</v>
      </c>
      <c r="B18209" s="6" t="s">
        <v>1</v>
      </c>
      <c r="C18209" s="6" t="s">
        <v>1</v>
      </c>
    </row>
    <row r="18210" spans="1:3" s="8" customFormat="1" x14ac:dyDescent="0.2">
      <c r="A18210" s="6" t="str">
        <f>"AC108667.2"</f>
        <v>AC108667.2</v>
      </c>
      <c r="B18210" s="6" t="s">
        <v>1</v>
      </c>
      <c r="C18210" s="6" t="s">
        <v>1</v>
      </c>
    </row>
    <row r="18211" spans="1:3" s="8" customFormat="1" x14ac:dyDescent="0.2">
      <c r="A18211" s="6" t="str">
        <f>"AL031663.1"</f>
        <v>AL031663.1</v>
      </c>
      <c r="B18211" s="6" t="s">
        <v>1</v>
      </c>
      <c r="C18211" s="6" t="s">
        <v>1</v>
      </c>
    </row>
    <row r="18212" spans="1:3" s="8" customFormat="1" x14ac:dyDescent="0.2">
      <c r="A18212" s="6" t="str">
        <f>"AC243965.2"</f>
        <v>AC243965.2</v>
      </c>
      <c r="B18212" s="6" t="s">
        <v>1</v>
      </c>
      <c r="C18212" s="6" t="s">
        <v>1</v>
      </c>
    </row>
    <row r="18213" spans="1:3" s="8" customFormat="1" x14ac:dyDescent="0.2">
      <c r="A18213" s="6" t="str">
        <f>"AC022126.1"</f>
        <v>AC022126.1</v>
      </c>
      <c r="B18213" s="6" t="s">
        <v>1</v>
      </c>
      <c r="C18213" s="6" t="s">
        <v>1</v>
      </c>
    </row>
    <row r="18214" spans="1:3" s="8" customFormat="1" x14ac:dyDescent="0.2">
      <c r="A18214" s="6" t="str">
        <f>"EEF1B2P3"</f>
        <v>EEF1B2P3</v>
      </c>
      <c r="B18214" s="6" t="s">
        <v>1</v>
      </c>
      <c r="C18214" s="6" t="s">
        <v>1</v>
      </c>
    </row>
    <row r="18215" spans="1:3" s="8" customFormat="1" x14ac:dyDescent="0.2">
      <c r="A18215" s="6" t="str">
        <f>"AP000640.1"</f>
        <v>AP000640.1</v>
      </c>
      <c r="B18215" s="6" t="s">
        <v>1</v>
      </c>
      <c r="C18215" s="6" t="s">
        <v>1</v>
      </c>
    </row>
    <row r="18216" spans="1:3" s="8" customFormat="1" x14ac:dyDescent="0.2">
      <c r="A18216" s="6" t="str">
        <f>"AL353150.1"</f>
        <v>AL353150.1</v>
      </c>
      <c r="B18216" s="6" t="s">
        <v>1</v>
      </c>
      <c r="C18216" s="6" t="s">
        <v>1</v>
      </c>
    </row>
    <row r="18217" spans="1:3" s="8" customFormat="1" x14ac:dyDescent="0.2">
      <c r="A18217" s="6" t="str">
        <f>"LNX1-AS2"</f>
        <v>LNX1-AS2</v>
      </c>
      <c r="B18217" s="6" t="s">
        <v>1</v>
      </c>
      <c r="C18217" s="6" t="s">
        <v>1</v>
      </c>
    </row>
    <row r="18218" spans="1:3" s="8" customFormat="1" x14ac:dyDescent="0.2">
      <c r="A18218" s="6" t="str">
        <f>"AC245100.6"</f>
        <v>AC245100.6</v>
      </c>
      <c r="B18218" s="6" t="s">
        <v>1</v>
      </c>
      <c r="C18218" s="6" t="s">
        <v>1</v>
      </c>
    </row>
    <row r="18219" spans="1:3" s="8" customFormat="1" x14ac:dyDescent="0.2">
      <c r="A18219" s="6" t="str">
        <f>"RPL6P27"</f>
        <v>RPL6P27</v>
      </c>
      <c r="B18219" s="6" t="s">
        <v>1</v>
      </c>
      <c r="C18219" s="6" t="s">
        <v>1</v>
      </c>
    </row>
    <row r="18220" spans="1:3" s="8" customFormat="1" x14ac:dyDescent="0.2">
      <c r="A18220" s="6" t="str">
        <f>"ALG1L2"</f>
        <v>ALG1L2</v>
      </c>
      <c r="B18220" s="6" t="s">
        <v>1</v>
      </c>
      <c r="C18220" s="6" t="s">
        <v>1</v>
      </c>
    </row>
    <row r="18221" spans="1:3" s="8" customFormat="1" x14ac:dyDescent="0.2">
      <c r="A18221" s="6" t="str">
        <f>"LINC02071"</f>
        <v>LINC02071</v>
      </c>
      <c r="B18221" s="6" t="s">
        <v>1</v>
      </c>
      <c r="C18221" s="6" t="s">
        <v>1</v>
      </c>
    </row>
    <row r="18222" spans="1:3" s="8" customFormat="1" x14ac:dyDescent="0.2">
      <c r="A18222" s="6" t="str">
        <f>"PPEF1"</f>
        <v>PPEF1</v>
      </c>
      <c r="B18222" s="6" t="s">
        <v>1</v>
      </c>
      <c r="C18222" s="6" t="s">
        <v>1</v>
      </c>
    </row>
    <row r="18223" spans="1:3" s="8" customFormat="1" x14ac:dyDescent="0.2">
      <c r="A18223" s="6" t="str">
        <f>"AC087386.1"</f>
        <v>AC087386.1</v>
      </c>
      <c r="B18223" s="6" t="s">
        <v>1</v>
      </c>
      <c r="C18223" s="6" t="s">
        <v>1</v>
      </c>
    </row>
    <row r="18224" spans="1:3" s="8" customFormat="1" x14ac:dyDescent="0.2">
      <c r="A18224" s="6" t="str">
        <f>"AC106818.2"</f>
        <v>AC106818.2</v>
      </c>
      <c r="B18224" s="6" t="s">
        <v>1</v>
      </c>
      <c r="C18224" s="6" t="s">
        <v>1</v>
      </c>
    </row>
    <row r="18225" spans="1:3" s="8" customFormat="1" x14ac:dyDescent="0.2">
      <c r="A18225" s="6" t="str">
        <f>"POU5F2"</f>
        <v>POU5F2</v>
      </c>
      <c r="B18225" s="6" t="s">
        <v>1</v>
      </c>
      <c r="C18225" s="6" t="s">
        <v>1</v>
      </c>
    </row>
    <row r="18226" spans="1:3" s="8" customFormat="1" x14ac:dyDescent="0.2">
      <c r="A18226" s="6" t="str">
        <f>"NOC2LP1"</f>
        <v>NOC2LP1</v>
      </c>
      <c r="B18226" s="6" t="s">
        <v>1</v>
      </c>
      <c r="C18226" s="6" t="s">
        <v>1</v>
      </c>
    </row>
    <row r="18227" spans="1:3" s="8" customFormat="1" x14ac:dyDescent="0.2">
      <c r="A18227" s="6" t="str">
        <f>"HAND2-AS1"</f>
        <v>HAND2-AS1</v>
      </c>
      <c r="B18227" s="6" t="s">
        <v>1</v>
      </c>
      <c r="C18227" s="6" t="s">
        <v>1</v>
      </c>
    </row>
    <row r="18228" spans="1:3" s="8" customFormat="1" x14ac:dyDescent="0.2">
      <c r="A18228" s="6" t="str">
        <f>"AL450306.1"</f>
        <v>AL450306.1</v>
      </c>
      <c r="B18228" s="6" t="s">
        <v>1</v>
      </c>
      <c r="C18228" s="6" t="s">
        <v>1</v>
      </c>
    </row>
    <row r="18229" spans="1:3" s="8" customFormat="1" x14ac:dyDescent="0.2">
      <c r="A18229" s="6" t="str">
        <f>"INHA"</f>
        <v>INHA</v>
      </c>
      <c r="B18229" s="6" t="s">
        <v>1</v>
      </c>
      <c r="C18229" s="6" t="s">
        <v>1</v>
      </c>
    </row>
    <row r="18230" spans="1:3" s="8" customFormat="1" x14ac:dyDescent="0.2">
      <c r="A18230" s="6" t="str">
        <f>"AL031600.3"</f>
        <v>AL031600.3</v>
      </c>
      <c r="B18230" s="6" t="s">
        <v>1</v>
      </c>
      <c r="C18230" s="6" t="s">
        <v>1</v>
      </c>
    </row>
    <row r="18231" spans="1:3" s="8" customFormat="1" x14ac:dyDescent="0.2">
      <c r="A18231" s="6" t="str">
        <f>"PRKXP1"</f>
        <v>PRKXP1</v>
      </c>
      <c r="B18231" s="6" t="s">
        <v>1</v>
      </c>
      <c r="C18231" s="6" t="s">
        <v>1</v>
      </c>
    </row>
    <row r="18232" spans="1:3" s="8" customFormat="1" x14ac:dyDescent="0.2">
      <c r="A18232" s="6" t="str">
        <f>"GRASLND"</f>
        <v>GRASLND</v>
      </c>
      <c r="B18232" s="6" t="s">
        <v>1</v>
      </c>
      <c r="C18232" s="6" t="s">
        <v>1</v>
      </c>
    </row>
    <row r="18233" spans="1:3" s="8" customFormat="1" x14ac:dyDescent="0.2">
      <c r="A18233" s="6" t="str">
        <f>"AC131206.1"</f>
        <v>AC131206.1</v>
      </c>
      <c r="B18233" s="6" t="s">
        <v>1</v>
      </c>
      <c r="C18233" s="6" t="s">
        <v>1</v>
      </c>
    </row>
    <row r="18234" spans="1:3" s="8" customFormat="1" x14ac:dyDescent="0.2">
      <c r="A18234" s="6" t="str">
        <f>"RPL7AP6"</f>
        <v>RPL7AP6</v>
      </c>
      <c r="B18234" s="6" t="s">
        <v>1</v>
      </c>
      <c r="C18234" s="6" t="s">
        <v>1</v>
      </c>
    </row>
    <row r="18235" spans="1:3" s="8" customFormat="1" x14ac:dyDescent="0.2">
      <c r="A18235" s="6" t="str">
        <f>"CHST1"</f>
        <v>CHST1</v>
      </c>
      <c r="B18235" s="6" t="s">
        <v>1</v>
      </c>
      <c r="C18235" s="6" t="s">
        <v>1</v>
      </c>
    </row>
    <row r="18236" spans="1:3" s="8" customFormat="1" x14ac:dyDescent="0.2">
      <c r="A18236" s="6" t="str">
        <f>"LINC01067"</f>
        <v>LINC01067</v>
      </c>
      <c r="B18236" s="6" t="s">
        <v>1</v>
      </c>
      <c r="C18236" s="6" t="s">
        <v>1</v>
      </c>
    </row>
    <row r="18237" spans="1:3" s="8" customFormat="1" x14ac:dyDescent="0.2">
      <c r="A18237" s="6" t="str">
        <f>"GRIK4"</f>
        <v>GRIK4</v>
      </c>
      <c r="B18237" s="6" t="s">
        <v>1</v>
      </c>
      <c r="C18237" s="6" t="s">
        <v>1</v>
      </c>
    </row>
    <row r="18238" spans="1:3" s="8" customFormat="1" x14ac:dyDescent="0.2">
      <c r="A18238" s="6" t="str">
        <f>"AC009403.2"</f>
        <v>AC009403.2</v>
      </c>
      <c r="B18238" s="6" t="s">
        <v>1</v>
      </c>
      <c r="C18238" s="6" t="s">
        <v>1</v>
      </c>
    </row>
    <row r="18239" spans="1:3" s="8" customFormat="1" x14ac:dyDescent="0.2">
      <c r="A18239" s="6" t="str">
        <f>"NOXRED1"</f>
        <v>NOXRED1</v>
      </c>
      <c r="B18239" s="6" t="s">
        <v>1</v>
      </c>
      <c r="C18239" s="6" t="s">
        <v>1</v>
      </c>
    </row>
    <row r="18240" spans="1:3" s="8" customFormat="1" x14ac:dyDescent="0.2">
      <c r="A18240" s="6" t="str">
        <f>"AC022217.3"</f>
        <v>AC022217.3</v>
      </c>
      <c r="B18240" s="6" t="s">
        <v>1</v>
      </c>
      <c r="C18240" s="6" t="s">
        <v>1</v>
      </c>
    </row>
    <row r="18241" spans="1:3" s="8" customFormat="1" x14ac:dyDescent="0.2">
      <c r="A18241" s="6" t="str">
        <f>"LINC01978"</f>
        <v>LINC01978</v>
      </c>
      <c r="B18241" s="6" t="s">
        <v>1</v>
      </c>
      <c r="C18241" s="6" t="s">
        <v>1</v>
      </c>
    </row>
    <row r="18242" spans="1:3" s="8" customFormat="1" x14ac:dyDescent="0.2">
      <c r="A18242" s="6" t="str">
        <f>"AC131009.4"</f>
        <v>AC131009.4</v>
      </c>
      <c r="B18242" s="6" t="s">
        <v>1</v>
      </c>
      <c r="C18242" s="6" t="s">
        <v>1</v>
      </c>
    </row>
    <row r="18243" spans="1:3" s="8" customFormat="1" x14ac:dyDescent="0.2">
      <c r="A18243" s="6" t="str">
        <f>"ENDOU"</f>
        <v>ENDOU</v>
      </c>
      <c r="B18243" s="6" t="s">
        <v>1</v>
      </c>
      <c r="C18243" s="6" t="s">
        <v>1</v>
      </c>
    </row>
    <row r="18244" spans="1:3" s="8" customFormat="1" x14ac:dyDescent="0.2">
      <c r="A18244" s="6" t="str">
        <f>"LINC02163"</f>
        <v>LINC02163</v>
      </c>
      <c r="B18244" s="6" t="s">
        <v>1</v>
      </c>
      <c r="C18244" s="6" t="s">
        <v>1</v>
      </c>
    </row>
    <row r="18245" spans="1:3" s="8" customFormat="1" x14ac:dyDescent="0.2">
      <c r="A18245" s="6" t="str">
        <f>"LHX4"</f>
        <v>LHX4</v>
      </c>
      <c r="B18245" s="6" t="s">
        <v>1</v>
      </c>
      <c r="C18245" s="6" t="s">
        <v>1</v>
      </c>
    </row>
    <row r="18246" spans="1:3" s="8" customFormat="1" x14ac:dyDescent="0.2">
      <c r="A18246" s="6" t="str">
        <f>"RPL9P7"</f>
        <v>RPL9P7</v>
      </c>
      <c r="B18246" s="6" t="s">
        <v>1</v>
      </c>
      <c r="C18246" s="6" t="s">
        <v>1</v>
      </c>
    </row>
    <row r="18247" spans="1:3" s="8" customFormat="1" x14ac:dyDescent="0.2">
      <c r="A18247" s="6" t="str">
        <f>"C20orf144"</f>
        <v>C20orf144</v>
      </c>
      <c r="B18247" s="6" t="s">
        <v>1</v>
      </c>
      <c r="C18247" s="6" t="s">
        <v>1</v>
      </c>
    </row>
    <row r="18248" spans="1:3" s="8" customFormat="1" x14ac:dyDescent="0.2">
      <c r="A18248" s="6" t="str">
        <f>"AC128709.3"</f>
        <v>AC128709.3</v>
      </c>
      <c r="B18248" s="6" t="s">
        <v>1</v>
      </c>
      <c r="C18248" s="6" t="s">
        <v>1</v>
      </c>
    </row>
    <row r="18249" spans="1:3" s="8" customFormat="1" x14ac:dyDescent="0.2">
      <c r="A18249" s="6" t="str">
        <f>"AC093866.1"</f>
        <v>AC093866.1</v>
      </c>
      <c r="B18249" s="6" t="s">
        <v>1</v>
      </c>
      <c r="C18249" s="6" t="s">
        <v>1</v>
      </c>
    </row>
    <row r="18250" spans="1:3" s="8" customFormat="1" x14ac:dyDescent="0.2">
      <c r="A18250" s="6" t="str">
        <f>"HMGB3P22"</f>
        <v>HMGB3P22</v>
      </c>
      <c r="B18250" s="6" t="s">
        <v>1</v>
      </c>
      <c r="C18250" s="6" t="s">
        <v>1</v>
      </c>
    </row>
    <row r="18251" spans="1:3" s="8" customFormat="1" x14ac:dyDescent="0.2">
      <c r="A18251" s="6" t="str">
        <f>"GRIK5"</f>
        <v>GRIK5</v>
      </c>
      <c r="B18251" s="6" t="s">
        <v>1</v>
      </c>
      <c r="C18251" s="6" t="s">
        <v>1</v>
      </c>
    </row>
    <row r="18252" spans="1:3" s="8" customFormat="1" x14ac:dyDescent="0.2">
      <c r="A18252" s="6" t="str">
        <f>"WNT8B"</f>
        <v>WNT8B</v>
      </c>
      <c r="B18252" s="6" t="s">
        <v>1</v>
      </c>
      <c r="C18252" s="6" t="s">
        <v>1</v>
      </c>
    </row>
    <row r="18253" spans="1:3" s="8" customFormat="1" x14ac:dyDescent="0.2">
      <c r="A18253" s="6" t="str">
        <f>"AC063960.2"</f>
        <v>AC063960.2</v>
      </c>
      <c r="B18253" s="6" t="s">
        <v>1</v>
      </c>
      <c r="C18253" s="6" t="s">
        <v>1</v>
      </c>
    </row>
    <row r="18254" spans="1:3" s="8" customFormat="1" x14ac:dyDescent="0.2">
      <c r="A18254" s="6" t="str">
        <f>"AL031719.2"</f>
        <v>AL031719.2</v>
      </c>
      <c r="B18254" s="6" t="s">
        <v>1</v>
      </c>
      <c r="C18254" s="6" t="s">
        <v>1</v>
      </c>
    </row>
    <row r="18255" spans="1:3" s="8" customFormat="1" x14ac:dyDescent="0.2">
      <c r="A18255" s="6" t="str">
        <f>"AL133500.1"</f>
        <v>AL133500.1</v>
      </c>
      <c r="B18255" s="6" t="s">
        <v>1</v>
      </c>
      <c r="C18255" s="6" t="s">
        <v>1</v>
      </c>
    </row>
    <row r="18256" spans="1:3" s="8" customFormat="1" x14ac:dyDescent="0.2">
      <c r="A18256" s="6" t="str">
        <f>"AL031846.2"</f>
        <v>AL031846.2</v>
      </c>
      <c r="B18256" s="6" t="s">
        <v>1</v>
      </c>
      <c r="C18256" s="6" t="s">
        <v>1</v>
      </c>
    </row>
    <row r="18257" spans="1:3" s="8" customFormat="1" x14ac:dyDescent="0.2">
      <c r="A18257" s="6" t="str">
        <f>"MAMDC2-AS1"</f>
        <v>MAMDC2-AS1</v>
      </c>
      <c r="B18257" s="6" t="s">
        <v>1</v>
      </c>
      <c r="C18257" s="6" t="s">
        <v>1</v>
      </c>
    </row>
    <row r="18258" spans="1:3" s="8" customFormat="1" x14ac:dyDescent="0.2">
      <c r="A18258" s="6" t="str">
        <f>"PCOLCE2"</f>
        <v>PCOLCE2</v>
      </c>
      <c r="B18258" s="6" t="s">
        <v>1</v>
      </c>
      <c r="C18258" s="6" t="s">
        <v>1</v>
      </c>
    </row>
    <row r="18259" spans="1:3" s="8" customFormat="1" x14ac:dyDescent="0.2">
      <c r="A18259" s="6" t="str">
        <f>"FZD10-AS1"</f>
        <v>FZD10-AS1</v>
      </c>
      <c r="B18259" s="6" t="s">
        <v>1</v>
      </c>
      <c r="C18259" s="6" t="s">
        <v>1</v>
      </c>
    </row>
    <row r="18260" spans="1:3" s="8" customFormat="1" x14ac:dyDescent="0.2">
      <c r="A18260" s="6" t="str">
        <f>"AC093227.1"</f>
        <v>AC093227.1</v>
      </c>
      <c r="B18260" s="6" t="s">
        <v>1</v>
      </c>
      <c r="C18260" s="6" t="s">
        <v>1</v>
      </c>
    </row>
    <row r="18261" spans="1:3" s="8" customFormat="1" x14ac:dyDescent="0.2">
      <c r="A18261" s="6" t="str">
        <f>"CECR2"</f>
        <v>CECR2</v>
      </c>
      <c r="B18261" s="6" t="s">
        <v>1</v>
      </c>
      <c r="C18261" s="6" t="s">
        <v>1</v>
      </c>
    </row>
    <row r="18262" spans="1:3" s="8" customFormat="1" x14ac:dyDescent="0.2">
      <c r="A18262" s="6" t="str">
        <f>"TBC1D3P1-DHX40P1"</f>
        <v>TBC1D3P1-DHX40P1</v>
      </c>
      <c r="B18262" s="6" t="s">
        <v>1</v>
      </c>
      <c r="C18262" s="6" t="s">
        <v>1</v>
      </c>
    </row>
    <row r="18263" spans="1:3" s="8" customFormat="1" x14ac:dyDescent="0.2">
      <c r="A18263" s="6" t="str">
        <f>"LINC00924"</f>
        <v>LINC00924</v>
      </c>
      <c r="B18263" s="6" t="s">
        <v>1</v>
      </c>
      <c r="C18263" s="6" t="s">
        <v>1</v>
      </c>
    </row>
    <row r="18264" spans="1:3" s="8" customFormat="1" x14ac:dyDescent="0.2">
      <c r="A18264" s="6" t="str">
        <f>"AC087071.1"</f>
        <v>AC087071.1</v>
      </c>
      <c r="B18264" s="6" t="s">
        <v>1</v>
      </c>
      <c r="C18264" s="6" t="s">
        <v>1</v>
      </c>
    </row>
    <row r="18265" spans="1:3" s="8" customFormat="1" x14ac:dyDescent="0.2">
      <c r="A18265" s="6" t="str">
        <f>"AL135999.3"</f>
        <v>AL135999.3</v>
      </c>
      <c r="B18265" s="6" t="s">
        <v>1</v>
      </c>
      <c r="C18265" s="6" t="s">
        <v>1</v>
      </c>
    </row>
    <row r="18266" spans="1:3" s="8" customFormat="1" x14ac:dyDescent="0.2">
      <c r="A18266" s="6" t="str">
        <f>"PCDHGC5"</f>
        <v>PCDHGC5</v>
      </c>
      <c r="B18266" s="6" t="s">
        <v>1</v>
      </c>
      <c r="C18266" s="6" t="s">
        <v>1</v>
      </c>
    </row>
    <row r="18267" spans="1:3" s="8" customFormat="1" x14ac:dyDescent="0.2">
      <c r="A18267" s="6" t="str">
        <f>"TMEM130"</f>
        <v>TMEM130</v>
      </c>
      <c r="B18267" s="6" t="s">
        <v>1</v>
      </c>
      <c r="C18267" s="6" t="s">
        <v>1</v>
      </c>
    </row>
    <row r="18268" spans="1:3" s="8" customFormat="1" x14ac:dyDescent="0.2">
      <c r="A18268" s="6" t="str">
        <f>"ZCCHC18"</f>
        <v>ZCCHC18</v>
      </c>
      <c r="B18268" s="6" t="s">
        <v>1</v>
      </c>
      <c r="C18268" s="6" t="s">
        <v>1</v>
      </c>
    </row>
    <row r="18269" spans="1:3" s="8" customFormat="1" x14ac:dyDescent="0.2">
      <c r="A18269" s="6" t="str">
        <f>"FABP5P14"</f>
        <v>FABP5P14</v>
      </c>
      <c r="B18269" s="6" t="s">
        <v>1</v>
      </c>
      <c r="C18269" s="6" t="s">
        <v>1</v>
      </c>
    </row>
    <row r="18270" spans="1:3" s="8" customFormat="1" x14ac:dyDescent="0.2">
      <c r="A18270" s="6" t="str">
        <f>"AC004921.2"</f>
        <v>AC004921.2</v>
      </c>
      <c r="B18270" s="6" t="s">
        <v>1</v>
      </c>
      <c r="C18270" s="6" t="s">
        <v>1</v>
      </c>
    </row>
    <row r="18271" spans="1:3" s="8" customFormat="1" x14ac:dyDescent="0.2">
      <c r="A18271" s="6" t="str">
        <f>"AC130343.3"</f>
        <v>AC130343.3</v>
      </c>
      <c r="B18271" s="6" t="s">
        <v>1</v>
      </c>
      <c r="C18271" s="6" t="s">
        <v>1</v>
      </c>
    </row>
    <row r="18272" spans="1:3" s="8" customFormat="1" x14ac:dyDescent="0.2">
      <c r="A18272" s="6" t="str">
        <f>"NXNL2"</f>
        <v>NXNL2</v>
      </c>
      <c r="B18272" s="6" t="s">
        <v>1</v>
      </c>
      <c r="C18272" s="6" t="s">
        <v>1</v>
      </c>
    </row>
    <row r="18273" spans="1:3" s="8" customFormat="1" x14ac:dyDescent="0.2">
      <c r="A18273" s="6" t="str">
        <f>"AC009686.2"</f>
        <v>AC009686.2</v>
      </c>
      <c r="B18273" s="6" t="s">
        <v>1</v>
      </c>
      <c r="C18273" s="6" t="s">
        <v>1</v>
      </c>
    </row>
    <row r="18274" spans="1:3" s="8" customFormat="1" x14ac:dyDescent="0.2">
      <c r="A18274" s="6" t="str">
        <f>"AC093787.2"</f>
        <v>AC093787.2</v>
      </c>
      <c r="B18274" s="6" t="s">
        <v>1</v>
      </c>
      <c r="C18274" s="6" t="s">
        <v>1</v>
      </c>
    </row>
    <row r="18275" spans="1:3" s="8" customFormat="1" x14ac:dyDescent="0.2">
      <c r="A18275" s="6" t="str">
        <f>"AF064860.2"</f>
        <v>AF064860.2</v>
      </c>
      <c r="B18275" s="6" t="s">
        <v>1</v>
      </c>
      <c r="C18275" s="6" t="s">
        <v>1</v>
      </c>
    </row>
    <row r="18276" spans="1:3" s="8" customFormat="1" x14ac:dyDescent="0.2">
      <c r="A18276" s="6" t="str">
        <f>"AC007342.8"</f>
        <v>AC007342.8</v>
      </c>
      <c r="B18276" s="6" t="s">
        <v>1</v>
      </c>
      <c r="C18276" s="6" t="s">
        <v>1</v>
      </c>
    </row>
    <row r="18277" spans="1:3" s="8" customFormat="1" x14ac:dyDescent="0.2">
      <c r="A18277" s="6" t="str">
        <f>"LINC01973"</f>
        <v>LINC01973</v>
      </c>
      <c r="B18277" s="6" t="s">
        <v>1</v>
      </c>
      <c r="C18277" s="6" t="s">
        <v>1</v>
      </c>
    </row>
    <row r="18278" spans="1:3" s="8" customFormat="1" x14ac:dyDescent="0.2">
      <c r="A18278" s="6" t="str">
        <f>"PPIAP21"</f>
        <v>PPIAP21</v>
      </c>
      <c r="B18278" s="6" t="s">
        <v>1</v>
      </c>
      <c r="C18278" s="6" t="s">
        <v>1</v>
      </c>
    </row>
    <row r="18279" spans="1:3" s="8" customFormat="1" x14ac:dyDescent="0.2">
      <c r="A18279" s="6" t="str">
        <f>"AP001020.2"</f>
        <v>AP001020.2</v>
      </c>
      <c r="B18279" s="6" t="s">
        <v>1</v>
      </c>
      <c r="C18279" s="6" t="s">
        <v>1</v>
      </c>
    </row>
    <row r="18280" spans="1:3" s="8" customFormat="1" x14ac:dyDescent="0.2">
      <c r="A18280" s="6" t="str">
        <f>"AC022893.1"</f>
        <v>AC022893.1</v>
      </c>
      <c r="B18280" s="6" t="s">
        <v>1</v>
      </c>
      <c r="C18280" s="6" t="s">
        <v>1</v>
      </c>
    </row>
    <row r="18281" spans="1:3" s="8" customFormat="1" x14ac:dyDescent="0.2">
      <c r="A18281" s="6" t="str">
        <f>"MRPS17P1"</f>
        <v>MRPS17P1</v>
      </c>
      <c r="B18281" s="6" t="s">
        <v>1</v>
      </c>
      <c r="C18281" s="6" t="s">
        <v>1</v>
      </c>
    </row>
    <row r="18282" spans="1:3" s="8" customFormat="1" x14ac:dyDescent="0.2">
      <c r="A18282" s="6" t="str">
        <f>"AC004707.1"</f>
        <v>AC004707.1</v>
      </c>
      <c r="B18282" s="6" t="s">
        <v>1</v>
      </c>
      <c r="C18282" s="6" t="s">
        <v>1</v>
      </c>
    </row>
    <row r="18283" spans="1:3" s="8" customFormat="1" x14ac:dyDescent="0.2">
      <c r="A18283" s="6" t="str">
        <f>"KLRC4-KLRK1"</f>
        <v>KLRC4-KLRK1</v>
      </c>
      <c r="B18283" s="6" t="s">
        <v>1</v>
      </c>
      <c r="C18283" s="6" t="s">
        <v>1</v>
      </c>
    </row>
    <row r="18284" spans="1:3" s="8" customFormat="1" x14ac:dyDescent="0.2">
      <c r="A18284" s="6" t="str">
        <f>"AL445645.1"</f>
        <v>AL445645.1</v>
      </c>
      <c r="B18284" s="6" t="s">
        <v>1</v>
      </c>
      <c r="C18284" s="6" t="s">
        <v>1</v>
      </c>
    </row>
    <row r="18285" spans="1:3" s="8" customFormat="1" x14ac:dyDescent="0.2">
      <c r="A18285" s="6" t="str">
        <f>"CRTC3-AS1"</f>
        <v>CRTC3-AS1</v>
      </c>
      <c r="B18285" s="6" t="s">
        <v>1</v>
      </c>
      <c r="C18285" s="6" t="s">
        <v>1</v>
      </c>
    </row>
    <row r="18286" spans="1:3" s="8" customFormat="1" x14ac:dyDescent="0.2">
      <c r="A18286" s="6" t="str">
        <f>"AC007319.1"</f>
        <v>AC007319.1</v>
      </c>
      <c r="B18286" s="6" t="s">
        <v>1</v>
      </c>
      <c r="C18286" s="6" t="s">
        <v>1</v>
      </c>
    </row>
    <row r="18287" spans="1:3" s="8" customFormat="1" x14ac:dyDescent="0.2">
      <c r="A18287" s="6" t="str">
        <f>"SAMD11"</f>
        <v>SAMD11</v>
      </c>
      <c r="B18287" s="6" t="s">
        <v>1</v>
      </c>
      <c r="C18287" s="6" t="s">
        <v>1</v>
      </c>
    </row>
    <row r="18288" spans="1:3" s="8" customFormat="1" x14ac:dyDescent="0.2">
      <c r="A18288" s="6" t="str">
        <f>"AC013448.1"</f>
        <v>AC013448.1</v>
      </c>
      <c r="B18288" s="6" t="s">
        <v>1</v>
      </c>
      <c r="C18288" s="6" t="s">
        <v>1</v>
      </c>
    </row>
    <row r="18289" spans="1:3" s="8" customFormat="1" x14ac:dyDescent="0.2">
      <c r="A18289" s="6" t="str">
        <f>"RPL7P23"</f>
        <v>RPL7P23</v>
      </c>
      <c r="B18289" s="6" t="s">
        <v>1</v>
      </c>
      <c r="C18289" s="6" t="s">
        <v>1</v>
      </c>
    </row>
    <row r="18290" spans="1:3" s="8" customFormat="1" x14ac:dyDescent="0.2">
      <c r="A18290" s="6" t="str">
        <f>"DEFB103B"</f>
        <v>DEFB103B</v>
      </c>
      <c r="B18290" s="6" t="s">
        <v>1</v>
      </c>
      <c r="C18290" s="6" t="s">
        <v>1</v>
      </c>
    </row>
    <row r="18291" spans="1:3" s="8" customFormat="1" x14ac:dyDescent="0.2">
      <c r="A18291" s="6" t="str">
        <f>"AL031282.1"</f>
        <v>AL031282.1</v>
      </c>
      <c r="B18291" s="6" t="s">
        <v>1</v>
      </c>
      <c r="C18291" s="6" t="s">
        <v>1</v>
      </c>
    </row>
    <row r="18292" spans="1:3" s="8" customFormat="1" x14ac:dyDescent="0.2">
      <c r="A18292" s="6" t="str">
        <f>"PPIAP11"</f>
        <v>PPIAP11</v>
      </c>
      <c r="B18292" s="6" t="s">
        <v>1</v>
      </c>
      <c r="C18292" s="6" t="s">
        <v>1</v>
      </c>
    </row>
    <row r="18293" spans="1:3" s="8" customFormat="1" x14ac:dyDescent="0.2">
      <c r="A18293" s="6" t="str">
        <f>"AC084782.3"</f>
        <v>AC084782.3</v>
      </c>
      <c r="B18293" s="6" t="s">
        <v>1</v>
      </c>
      <c r="C18293" s="6" t="s">
        <v>1</v>
      </c>
    </row>
    <row r="18294" spans="1:3" s="8" customFormat="1" x14ac:dyDescent="0.2">
      <c r="A18294" s="6" t="str">
        <f>"AC004877.2"</f>
        <v>AC004877.2</v>
      </c>
      <c r="B18294" s="6" t="s">
        <v>1</v>
      </c>
      <c r="C18294" s="6" t="s">
        <v>1</v>
      </c>
    </row>
    <row r="18295" spans="1:3" s="8" customFormat="1" x14ac:dyDescent="0.2">
      <c r="A18295" s="6" t="str">
        <f>"AC012645.2"</f>
        <v>AC012645.2</v>
      </c>
      <c r="B18295" s="6" t="s">
        <v>1</v>
      </c>
      <c r="C18295" s="6" t="s">
        <v>1</v>
      </c>
    </row>
    <row r="18296" spans="1:3" s="8" customFormat="1" x14ac:dyDescent="0.2">
      <c r="A18296" s="6" t="str">
        <f>"AC068189.1"</f>
        <v>AC068189.1</v>
      </c>
      <c r="B18296" s="6" t="s">
        <v>1</v>
      </c>
      <c r="C18296" s="6" t="s">
        <v>1</v>
      </c>
    </row>
    <row r="18297" spans="1:3" s="8" customFormat="1" x14ac:dyDescent="0.2">
      <c r="A18297" s="6" t="str">
        <f>"TMEM145"</f>
        <v>TMEM145</v>
      </c>
      <c r="B18297" s="6" t="s">
        <v>1</v>
      </c>
      <c r="C18297" s="6" t="s">
        <v>1</v>
      </c>
    </row>
    <row r="18298" spans="1:3" s="8" customFormat="1" x14ac:dyDescent="0.2">
      <c r="A18298" s="6" t="str">
        <f>"AL353135.2"</f>
        <v>AL353135.2</v>
      </c>
      <c r="B18298" s="6" t="s">
        <v>1</v>
      </c>
      <c r="C18298" s="6" t="s">
        <v>1</v>
      </c>
    </row>
    <row r="18299" spans="1:3" s="8" customFormat="1" x14ac:dyDescent="0.2">
      <c r="A18299" s="6" t="str">
        <f>"ALG1L5P"</f>
        <v>ALG1L5P</v>
      </c>
      <c r="B18299" s="6" t="s">
        <v>1</v>
      </c>
      <c r="C18299" s="6" t="s">
        <v>1</v>
      </c>
    </row>
    <row r="18300" spans="1:3" s="8" customFormat="1" x14ac:dyDescent="0.2">
      <c r="A18300" s="6" t="str">
        <f>"LINC01179"</f>
        <v>LINC01179</v>
      </c>
      <c r="B18300" s="6" t="s">
        <v>1</v>
      </c>
      <c r="C18300" s="6" t="s">
        <v>1</v>
      </c>
    </row>
    <row r="18301" spans="1:3" s="8" customFormat="1" x14ac:dyDescent="0.2">
      <c r="A18301" s="6" t="str">
        <f>"AC093639.3"</f>
        <v>AC093639.3</v>
      </c>
      <c r="B18301" s="6" t="s">
        <v>1</v>
      </c>
      <c r="C18301" s="6" t="s">
        <v>1</v>
      </c>
    </row>
    <row r="18302" spans="1:3" s="8" customFormat="1" x14ac:dyDescent="0.2">
      <c r="A18302" s="6" t="str">
        <f>"DOC2GP"</f>
        <v>DOC2GP</v>
      </c>
      <c r="B18302" s="6" t="s">
        <v>1</v>
      </c>
      <c r="C18302" s="6" t="s">
        <v>1</v>
      </c>
    </row>
    <row r="18303" spans="1:3" s="8" customFormat="1" x14ac:dyDescent="0.2">
      <c r="A18303" s="6" t="str">
        <f>"AC012645.4"</f>
        <v>AC012645.4</v>
      </c>
      <c r="B18303" s="6" t="s">
        <v>1</v>
      </c>
      <c r="C18303" s="6" t="s">
        <v>1</v>
      </c>
    </row>
    <row r="18304" spans="1:3" s="8" customFormat="1" x14ac:dyDescent="0.2">
      <c r="A18304" s="6" t="str">
        <f>"AL136295.22"</f>
        <v>AL136295.22</v>
      </c>
      <c r="B18304" s="6" t="s">
        <v>1</v>
      </c>
      <c r="C18304" s="6" t="s">
        <v>1</v>
      </c>
    </row>
    <row r="18305" spans="1:3" s="8" customFormat="1" x14ac:dyDescent="0.2">
      <c r="A18305" s="6" t="str">
        <f>"MYL3"</f>
        <v>MYL3</v>
      </c>
      <c r="B18305" s="6" t="s">
        <v>1</v>
      </c>
      <c r="C18305" s="6" t="s">
        <v>1</v>
      </c>
    </row>
    <row r="18306" spans="1:3" s="8" customFormat="1" x14ac:dyDescent="0.2">
      <c r="A18306" s="6" t="str">
        <f>"IER3-AS1"</f>
        <v>IER3-AS1</v>
      </c>
      <c r="B18306" s="6" t="s">
        <v>1</v>
      </c>
      <c r="C18306" s="6" t="s">
        <v>1</v>
      </c>
    </row>
    <row r="18307" spans="1:3" s="8" customFormat="1" x14ac:dyDescent="0.2">
      <c r="A18307" s="6" t="str">
        <f>"ODF1"</f>
        <v>ODF1</v>
      </c>
      <c r="B18307" s="6" t="s">
        <v>1</v>
      </c>
      <c r="C18307" s="6" t="s">
        <v>1</v>
      </c>
    </row>
    <row r="18308" spans="1:3" s="8" customFormat="1" x14ac:dyDescent="0.2">
      <c r="A18308" s="6" t="str">
        <f>"ALMS1-IT1"</f>
        <v>ALMS1-IT1</v>
      </c>
      <c r="B18308" s="6" t="s">
        <v>1</v>
      </c>
      <c r="C18308" s="6" t="s">
        <v>1</v>
      </c>
    </row>
    <row r="18309" spans="1:3" s="8" customFormat="1" x14ac:dyDescent="0.2">
      <c r="A18309" s="6" t="str">
        <f>"AC061992.2"</f>
        <v>AC061992.2</v>
      </c>
      <c r="B18309" s="6" t="s">
        <v>1</v>
      </c>
      <c r="C18309" s="6" t="s">
        <v>1</v>
      </c>
    </row>
    <row r="18310" spans="1:3" s="8" customFormat="1" x14ac:dyDescent="0.2">
      <c r="A18310" s="6" t="str">
        <f>"AC007497.1"</f>
        <v>AC007497.1</v>
      </c>
      <c r="B18310" s="6" t="s">
        <v>1</v>
      </c>
      <c r="C18310" s="6" t="s">
        <v>1</v>
      </c>
    </row>
    <row r="18311" spans="1:3" s="8" customFormat="1" x14ac:dyDescent="0.2">
      <c r="A18311" s="6" t="str">
        <f>"CRTAC1"</f>
        <v>CRTAC1</v>
      </c>
      <c r="B18311" s="6" t="s">
        <v>1</v>
      </c>
      <c r="C18311" s="6" t="s">
        <v>1</v>
      </c>
    </row>
    <row r="18312" spans="1:3" s="8" customFormat="1" x14ac:dyDescent="0.2">
      <c r="A18312" s="6" t="str">
        <f>"CNTN4-AS1"</f>
        <v>CNTN4-AS1</v>
      </c>
      <c r="B18312" s="6" t="s">
        <v>1</v>
      </c>
      <c r="C18312" s="6" t="s">
        <v>1</v>
      </c>
    </row>
    <row r="18313" spans="1:3" s="8" customFormat="1" x14ac:dyDescent="0.2">
      <c r="A18313" s="6" t="str">
        <f>"CHRM3-AS2"</f>
        <v>CHRM3-AS2</v>
      </c>
      <c r="B18313" s="6" t="s">
        <v>1</v>
      </c>
      <c r="C18313" s="6" t="s">
        <v>1</v>
      </c>
    </row>
    <row r="18314" spans="1:3" s="8" customFormat="1" x14ac:dyDescent="0.2">
      <c r="A18314" s="6" t="str">
        <f>"AC063923.2"</f>
        <v>AC063923.2</v>
      </c>
      <c r="B18314" s="6" t="s">
        <v>1</v>
      </c>
      <c r="C18314" s="6" t="s">
        <v>1</v>
      </c>
    </row>
    <row r="18315" spans="1:3" s="8" customFormat="1" x14ac:dyDescent="0.2">
      <c r="A18315" s="6" t="str">
        <f>"AC245052.4"</f>
        <v>AC245052.4</v>
      </c>
      <c r="B18315" s="6" t="s">
        <v>1</v>
      </c>
      <c r="C18315" s="6" t="s">
        <v>1</v>
      </c>
    </row>
    <row r="18316" spans="1:3" s="8" customFormat="1" x14ac:dyDescent="0.2">
      <c r="A18316" s="6" t="str">
        <f>"AC130650.2"</f>
        <v>AC130650.2</v>
      </c>
      <c r="B18316" s="6" t="s">
        <v>1</v>
      </c>
      <c r="C18316" s="6" t="s">
        <v>1</v>
      </c>
    </row>
    <row r="18317" spans="1:3" s="8" customFormat="1" x14ac:dyDescent="0.2">
      <c r="A18317" s="6" t="str">
        <f>"AC130352.1"</f>
        <v>AC130352.1</v>
      </c>
      <c r="B18317" s="6" t="s">
        <v>1</v>
      </c>
      <c r="C18317" s="6" t="s">
        <v>1</v>
      </c>
    </row>
    <row r="18318" spans="1:3" s="8" customFormat="1" x14ac:dyDescent="0.2">
      <c r="A18318" s="6" t="str">
        <f>"AC093567.1"</f>
        <v>AC093567.1</v>
      </c>
      <c r="B18318" s="6" t="s">
        <v>1</v>
      </c>
      <c r="C18318" s="6" t="s">
        <v>1</v>
      </c>
    </row>
    <row r="18319" spans="1:3" s="8" customFormat="1" x14ac:dyDescent="0.2">
      <c r="A18319" s="6" t="str">
        <f>"AC132872.3"</f>
        <v>AC132872.3</v>
      </c>
      <c r="B18319" s="6" t="s">
        <v>1</v>
      </c>
      <c r="C18319" s="6" t="s">
        <v>1</v>
      </c>
    </row>
    <row r="18320" spans="1:3" s="8" customFormat="1" x14ac:dyDescent="0.2">
      <c r="A18320" s="6" t="str">
        <f>"AC008760.1"</f>
        <v>AC008760.1</v>
      </c>
      <c r="B18320" s="6" t="s">
        <v>1</v>
      </c>
      <c r="C18320" s="6" t="s">
        <v>1</v>
      </c>
    </row>
    <row r="18321" spans="1:3" s="8" customFormat="1" x14ac:dyDescent="0.2">
      <c r="A18321" s="6" t="str">
        <f>"AC107959.3"</f>
        <v>AC107959.3</v>
      </c>
      <c r="B18321" s="6" t="s">
        <v>1</v>
      </c>
      <c r="C18321" s="6" t="s">
        <v>1</v>
      </c>
    </row>
    <row r="18322" spans="1:3" s="8" customFormat="1" x14ac:dyDescent="0.2">
      <c r="A18322" s="6" t="str">
        <f>"DNM1P47"</f>
        <v>DNM1P47</v>
      </c>
      <c r="B18322" s="6" t="s">
        <v>1</v>
      </c>
      <c r="C18322" s="6" t="s">
        <v>1</v>
      </c>
    </row>
    <row r="18323" spans="1:3" s="8" customFormat="1" x14ac:dyDescent="0.2">
      <c r="A18323" s="6" t="str">
        <f>"AC068305.2"</f>
        <v>AC068305.2</v>
      </c>
      <c r="B18323" s="6" t="s">
        <v>1</v>
      </c>
      <c r="C18323" s="6" t="s">
        <v>1</v>
      </c>
    </row>
    <row r="18324" spans="1:3" s="8" customFormat="1" x14ac:dyDescent="0.2">
      <c r="A18324" s="6" t="str">
        <f>"AC107926.1"</f>
        <v>AC107926.1</v>
      </c>
      <c r="B18324" s="6" t="s">
        <v>1</v>
      </c>
      <c r="C18324" s="6" t="s">
        <v>1</v>
      </c>
    </row>
    <row r="18325" spans="1:3" s="8" customFormat="1" x14ac:dyDescent="0.2">
      <c r="A18325" s="6" t="str">
        <f>"AC009902.3"</f>
        <v>AC009902.3</v>
      </c>
      <c r="B18325" s="6" t="s">
        <v>1</v>
      </c>
      <c r="C18325" s="6" t="s">
        <v>1</v>
      </c>
    </row>
    <row r="18326" spans="1:3" s="8" customFormat="1" x14ac:dyDescent="0.2">
      <c r="A18326" s="6" t="str">
        <f>"AC022762.2"</f>
        <v>AC022762.2</v>
      </c>
      <c r="B18326" s="6" t="s">
        <v>1</v>
      </c>
      <c r="C18326" s="6" t="s">
        <v>1</v>
      </c>
    </row>
    <row r="18327" spans="1:3" s="8" customFormat="1" x14ac:dyDescent="0.2">
      <c r="A18327" s="6" t="str">
        <f>"AC009318.4"</f>
        <v>AC009318.4</v>
      </c>
      <c r="B18327" s="6" t="s">
        <v>1</v>
      </c>
      <c r="C18327" s="6" t="s">
        <v>1</v>
      </c>
    </row>
    <row r="18328" spans="1:3" s="8" customFormat="1" x14ac:dyDescent="0.2">
      <c r="A18328" s="6" t="str">
        <f>"AC093535.1"</f>
        <v>AC093535.1</v>
      </c>
      <c r="B18328" s="6" t="s">
        <v>1</v>
      </c>
      <c r="C18328" s="6" t="s">
        <v>1</v>
      </c>
    </row>
    <row r="18329" spans="1:3" s="8" customFormat="1" x14ac:dyDescent="0.2">
      <c r="A18329" s="6" t="str">
        <f>"AC127070.4"</f>
        <v>AC127070.4</v>
      </c>
      <c r="B18329" s="6" t="s">
        <v>1</v>
      </c>
      <c r="C18329" s="6" t="s">
        <v>1</v>
      </c>
    </row>
    <row r="18330" spans="1:3" s="8" customFormat="1" x14ac:dyDescent="0.2">
      <c r="A18330" s="6" t="str">
        <f>"AL031315.1"</f>
        <v>AL031315.1</v>
      </c>
      <c r="B18330" s="6" t="s">
        <v>1</v>
      </c>
      <c r="C18330" s="6" t="s">
        <v>1</v>
      </c>
    </row>
    <row r="18331" spans="1:3" s="8" customFormat="1" x14ac:dyDescent="0.2">
      <c r="A18331" s="6" t="str">
        <f>"RNF17"</f>
        <v>RNF17</v>
      </c>
      <c r="B18331" s="6" t="s">
        <v>1</v>
      </c>
      <c r="C18331" s="6" t="s">
        <v>1</v>
      </c>
    </row>
    <row r="18332" spans="1:3" s="8" customFormat="1" x14ac:dyDescent="0.2">
      <c r="A18332" s="6" t="str">
        <f>"INSYN2B"</f>
        <v>INSYN2B</v>
      </c>
      <c r="B18332" s="6" t="s">
        <v>1</v>
      </c>
      <c r="C18332" s="6" t="s">
        <v>1</v>
      </c>
    </row>
    <row r="18333" spans="1:3" s="8" customFormat="1" x14ac:dyDescent="0.2">
      <c r="A18333" s="6" t="str">
        <f>"AC243829.1"</f>
        <v>AC243829.1</v>
      </c>
      <c r="B18333" s="6" t="s">
        <v>1</v>
      </c>
      <c r="C18333" s="6" t="s">
        <v>1</v>
      </c>
    </row>
    <row r="18334" spans="1:3" s="8" customFormat="1" x14ac:dyDescent="0.2">
      <c r="A18334" s="6" t="str">
        <f>"AC004808.2"</f>
        <v>AC004808.2</v>
      </c>
      <c r="B18334" s="6" t="s">
        <v>1</v>
      </c>
      <c r="C18334" s="6" t="s">
        <v>1</v>
      </c>
    </row>
    <row r="18335" spans="1:3" s="8" customFormat="1" x14ac:dyDescent="0.2">
      <c r="A18335" s="6" t="str">
        <f>"FLT4"</f>
        <v>FLT4</v>
      </c>
      <c r="B18335" s="6" t="s">
        <v>1</v>
      </c>
      <c r="C18335" s="6" t="s">
        <v>1</v>
      </c>
    </row>
    <row r="18336" spans="1:3" s="8" customFormat="1" x14ac:dyDescent="0.2">
      <c r="A18336" s="6" t="str">
        <f>"AC007106.2"</f>
        <v>AC007106.2</v>
      </c>
      <c r="B18336" s="6" t="s">
        <v>1</v>
      </c>
      <c r="C18336" s="6" t="s">
        <v>1</v>
      </c>
    </row>
    <row r="18337" spans="1:3" s="8" customFormat="1" x14ac:dyDescent="0.2">
      <c r="A18337" s="6" t="str">
        <f>"AC022211.4"</f>
        <v>AC022211.4</v>
      </c>
      <c r="B18337" s="6" t="s">
        <v>1</v>
      </c>
      <c r="C18337" s="6" t="s">
        <v>1</v>
      </c>
    </row>
    <row r="18338" spans="1:3" s="8" customFormat="1" x14ac:dyDescent="0.2">
      <c r="A18338" s="6" t="str">
        <f>"AC087163.1"</f>
        <v>AC087163.1</v>
      </c>
      <c r="B18338" s="6" t="s">
        <v>1</v>
      </c>
      <c r="C18338" s="6" t="s">
        <v>1</v>
      </c>
    </row>
    <row r="18339" spans="1:3" s="8" customFormat="1" x14ac:dyDescent="0.2">
      <c r="A18339" s="6" t="str">
        <f>"AC084876.2"</f>
        <v>AC084876.2</v>
      </c>
      <c r="B18339" s="6" t="s">
        <v>1</v>
      </c>
      <c r="C18339" s="6" t="s">
        <v>1</v>
      </c>
    </row>
    <row r="18340" spans="1:3" s="8" customFormat="1" x14ac:dyDescent="0.2">
      <c r="A18340" s="6" t="str">
        <f>"AC009396.1"</f>
        <v>AC009396.1</v>
      </c>
      <c r="B18340" s="6" t="s">
        <v>1</v>
      </c>
      <c r="C18340" s="6" t="s">
        <v>1</v>
      </c>
    </row>
    <row r="18341" spans="1:3" s="8" customFormat="1" x14ac:dyDescent="0.2">
      <c r="A18341" s="6" t="str">
        <f>"LINC01152"</f>
        <v>LINC01152</v>
      </c>
      <c r="B18341" s="6" t="s">
        <v>1</v>
      </c>
      <c r="C18341" s="6" t="s">
        <v>1</v>
      </c>
    </row>
    <row r="18342" spans="1:3" s="8" customFormat="1" x14ac:dyDescent="0.2">
      <c r="A18342" s="6" t="str">
        <f>"AL136162.1"</f>
        <v>AL136162.1</v>
      </c>
      <c r="B18342" s="6" t="s">
        <v>1</v>
      </c>
      <c r="C18342" s="6" t="s">
        <v>1</v>
      </c>
    </row>
    <row r="18343" spans="1:3" s="8" customFormat="1" x14ac:dyDescent="0.2">
      <c r="A18343" s="6" t="str">
        <f>"BTBD7P1"</f>
        <v>BTBD7P1</v>
      </c>
      <c r="B18343" s="6" t="s">
        <v>1</v>
      </c>
      <c r="C18343" s="6" t="s">
        <v>1</v>
      </c>
    </row>
    <row r="18344" spans="1:3" s="8" customFormat="1" x14ac:dyDescent="0.2">
      <c r="A18344" s="6" t="str">
        <f>"SMARCA5-AS1"</f>
        <v>SMARCA5-AS1</v>
      </c>
      <c r="B18344" s="6" t="s">
        <v>1</v>
      </c>
      <c r="C18344" s="6" t="s">
        <v>1</v>
      </c>
    </row>
    <row r="18345" spans="1:3" s="8" customFormat="1" x14ac:dyDescent="0.2">
      <c r="A18345" s="6" t="str">
        <f>"CASC19"</f>
        <v>CASC19</v>
      </c>
      <c r="B18345" s="6" t="s">
        <v>1</v>
      </c>
      <c r="C18345" s="6" t="s">
        <v>1</v>
      </c>
    </row>
    <row r="18346" spans="1:3" s="8" customFormat="1" x14ac:dyDescent="0.2">
      <c r="A18346" s="6" t="str">
        <f>"ENHO"</f>
        <v>ENHO</v>
      </c>
      <c r="B18346" s="6" t="s">
        <v>1</v>
      </c>
      <c r="C18346" s="6" t="s">
        <v>1</v>
      </c>
    </row>
    <row r="18347" spans="1:3" s="8" customFormat="1" x14ac:dyDescent="0.2">
      <c r="A18347" s="6" t="str">
        <f>"LINC01979"</f>
        <v>LINC01979</v>
      </c>
      <c r="B18347" s="6" t="s">
        <v>1</v>
      </c>
      <c r="C18347" s="6" t="s">
        <v>1</v>
      </c>
    </row>
    <row r="18348" spans="1:3" s="8" customFormat="1" x14ac:dyDescent="0.2">
      <c r="A18348" s="6" t="str">
        <f>"AC007161.3"</f>
        <v>AC007161.3</v>
      </c>
      <c r="B18348" s="6" t="s">
        <v>1</v>
      </c>
      <c r="C18348" s="6" t="s">
        <v>1</v>
      </c>
    </row>
    <row r="18349" spans="1:3" s="8" customFormat="1" x14ac:dyDescent="0.2">
      <c r="A18349" s="6" t="str">
        <f>"CYP3A4"</f>
        <v>CYP3A4</v>
      </c>
      <c r="B18349" s="6" t="s">
        <v>1</v>
      </c>
      <c r="C18349" s="6" t="s">
        <v>1</v>
      </c>
    </row>
    <row r="18350" spans="1:3" s="8" customFormat="1" x14ac:dyDescent="0.2">
      <c r="A18350" s="6" t="str">
        <f>"AL353898.3"</f>
        <v>AL353898.3</v>
      </c>
      <c r="B18350" s="6" t="s">
        <v>1</v>
      </c>
      <c r="C18350" s="6" t="s">
        <v>1</v>
      </c>
    </row>
    <row r="18351" spans="1:3" s="8" customFormat="1" x14ac:dyDescent="0.2">
      <c r="A18351" s="6" t="str">
        <f>"AC068279.1"</f>
        <v>AC068279.1</v>
      </c>
      <c r="B18351" s="6" t="s">
        <v>1</v>
      </c>
      <c r="C18351" s="6" t="s">
        <v>1</v>
      </c>
    </row>
    <row r="18352" spans="1:3" s="8" customFormat="1" x14ac:dyDescent="0.2">
      <c r="A18352" s="6" t="str">
        <f>"VEGFD"</f>
        <v>VEGFD</v>
      </c>
      <c r="B18352" s="6" t="s">
        <v>1</v>
      </c>
      <c r="C18352" s="6" t="s">
        <v>1</v>
      </c>
    </row>
    <row r="18353" spans="1:3" s="8" customFormat="1" x14ac:dyDescent="0.2">
      <c r="A18353" s="6" t="str">
        <f>"AC093525.10"</f>
        <v>AC093525.10</v>
      </c>
      <c r="B18353" s="6" t="s">
        <v>1</v>
      </c>
      <c r="C18353" s="6" t="s">
        <v>1</v>
      </c>
    </row>
    <row r="18354" spans="1:3" s="8" customFormat="1" x14ac:dyDescent="0.2">
      <c r="A18354" s="6" t="str">
        <f>"C2CD6"</f>
        <v>C2CD6</v>
      </c>
      <c r="B18354" s="6" t="s">
        <v>1</v>
      </c>
      <c r="C18354" s="6" t="s">
        <v>1</v>
      </c>
    </row>
    <row r="18355" spans="1:3" s="8" customFormat="1" x14ac:dyDescent="0.2">
      <c r="A18355" s="6" t="str">
        <f>"AC244213.1"</f>
        <v>AC244213.1</v>
      </c>
      <c r="B18355" s="6" t="s">
        <v>1</v>
      </c>
      <c r="C18355" s="6" t="s">
        <v>1</v>
      </c>
    </row>
    <row r="18356" spans="1:3" s="8" customFormat="1" x14ac:dyDescent="0.2">
      <c r="A18356" s="6" t="str">
        <f>"AC068389.1"</f>
        <v>AC068389.1</v>
      </c>
      <c r="B18356" s="6" t="s">
        <v>1</v>
      </c>
      <c r="C18356" s="6" t="s">
        <v>1</v>
      </c>
    </row>
    <row r="18357" spans="1:3" s="8" customFormat="1" x14ac:dyDescent="0.2">
      <c r="A18357" s="6" t="str">
        <f>"LMO3"</f>
        <v>LMO3</v>
      </c>
      <c r="B18357" s="6" t="s">
        <v>1</v>
      </c>
      <c r="C18357" s="6" t="s">
        <v>1</v>
      </c>
    </row>
    <row r="18358" spans="1:3" s="8" customFormat="1" x14ac:dyDescent="0.2">
      <c r="A18358" s="6" t="str">
        <f>"LINC02246"</f>
        <v>LINC02246</v>
      </c>
      <c r="B18358" s="6" t="s">
        <v>1</v>
      </c>
      <c r="C18358" s="6" t="s">
        <v>1</v>
      </c>
    </row>
    <row r="18359" spans="1:3" s="8" customFormat="1" x14ac:dyDescent="0.2">
      <c r="A18359" s="6" t="str">
        <f>"HNF4A"</f>
        <v>HNF4A</v>
      </c>
      <c r="B18359" s="6" t="s">
        <v>1</v>
      </c>
      <c r="C18359" s="6" t="s">
        <v>1</v>
      </c>
    </row>
    <row r="18360" spans="1:3" s="8" customFormat="1" x14ac:dyDescent="0.2">
      <c r="A18360" s="6" t="str">
        <f>"DEFA1"</f>
        <v>DEFA1</v>
      </c>
      <c r="B18360" s="6" t="s">
        <v>1</v>
      </c>
      <c r="C18360" s="6" t="s">
        <v>1</v>
      </c>
    </row>
    <row r="18361" spans="1:3" s="8" customFormat="1" x14ac:dyDescent="0.2">
      <c r="A18361" s="6" t="str">
        <f>"AC093827.3"</f>
        <v>AC093827.3</v>
      </c>
      <c r="B18361" s="6" t="s">
        <v>1</v>
      </c>
      <c r="C18361" s="6" t="s">
        <v>1</v>
      </c>
    </row>
    <row r="18362" spans="1:3" s="8" customFormat="1" x14ac:dyDescent="0.2">
      <c r="A18362" s="6" t="str">
        <f>"AC009630.4"</f>
        <v>AC009630.4</v>
      </c>
      <c r="B18362" s="6" t="s">
        <v>1</v>
      </c>
      <c r="C18362" s="6" t="s">
        <v>1</v>
      </c>
    </row>
    <row r="18363" spans="1:3" s="8" customFormat="1" x14ac:dyDescent="0.2">
      <c r="A18363" s="6" t="str">
        <f>"LINC01115"</f>
        <v>LINC01115</v>
      </c>
      <c r="B18363" s="6" t="s">
        <v>1</v>
      </c>
      <c r="C18363" s="6" t="s">
        <v>1</v>
      </c>
    </row>
    <row r="18364" spans="1:3" s="8" customFormat="1" x14ac:dyDescent="0.2">
      <c r="A18364" s="6" t="str">
        <f>"NOSTRIN"</f>
        <v>NOSTRIN</v>
      </c>
      <c r="B18364" s="6" t="s">
        <v>1</v>
      </c>
      <c r="C18364" s="6" t="s">
        <v>1</v>
      </c>
    </row>
    <row r="18365" spans="1:3" s="8" customFormat="1" x14ac:dyDescent="0.2">
      <c r="A18365" s="6" t="str">
        <f>"AC022966.2"</f>
        <v>AC022966.2</v>
      </c>
      <c r="B18365" s="6" t="s">
        <v>1</v>
      </c>
      <c r="C18365" s="6" t="s">
        <v>1</v>
      </c>
    </row>
    <row r="18366" spans="1:3" s="8" customFormat="1" x14ac:dyDescent="0.2">
      <c r="A18366" s="6" t="str">
        <f>"AC004846.1"</f>
        <v>AC004846.1</v>
      </c>
      <c r="B18366" s="6" t="s">
        <v>1</v>
      </c>
      <c r="C18366" s="6" t="s">
        <v>1</v>
      </c>
    </row>
    <row r="18367" spans="1:3" s="8" customFormat="1" x14ac:dyDescent="0.2">
      <c r="A18367" s="6" t="str">
        <f>"PPFIA4"</f>
        <v>PPFIA4</v>
      </c>
      <c r="B18367" s="6" t="s">
        <v>1</v>
      </c>
      <c r="C18367" s="6" t="s">
        <v>1</v>
      </c>
    </row>
    <row r="18368" spans="1:3" s="8" customFormat="1" x14ac:dyDescent="0.2">
      <c r="A18368" s="6" t="str">
        <f>"PDC-AS1"</f>
        <v>PDC-AS1</v>
      </c>
      <c r="B18368" s="6" t="s">
        <v>1</v>
      </c>
      <c r="C18368" s="6" t="s">
        <v>1</v>
      </c>
    </row>
    <row r="18369" spans="1:3" s="8" customFormat="1" x14ac:dyDescent="0.2">
      <c r="A18369" s="6" t="str">
        <f>"EEF1DP2"</f>
        <v>EEF1DP2</v>
      </c>
      <c r="B18369" s="6" t="s">
        <v>1</v>
      </c>
      <c r="C18369" s="6" t="s">
        <v>1</v>
      </c>
    </row>
    <row r="18370" spans="1:3" s="8" customFormat="1" x14ac:dyDescent="0.2">
      <c r="A18370" s="6" t="str">
        <f>"AC127164.1"</f>
        <v>AC127164.1</v>
      </c>
      <c r="B18370" s="6" t="s">
        <v>1</v>
      </c>
      <c r="C18370" s="6" t="s">
        <v>1</v>
      </c>
    </row>
    <row r="18371" spans="1:3" s="8" customFormat="1" x14ac:dyDescent="0.2">
      <c r="A18371" s="6" t="str">
        <f>"CDPF1P1"</f>
        <v>CDPF1P1</v>
      </c>
      <c r="B18371" s="6" t="s">
        <v>1</v>
      </c>
      <c r="C18371" s="6" t="s">
        <v>1</v>
      </c>
    </row>
    <row r="18372" spans="1:3" s="8" customFormat="1" x14ac:dyDescent="0.2">
      <c r="A18372" s="6" t="str">
        <f>"AC108025.1"</f>
        <v>AC108025.1</v>
      </c>
      <c r="B18372" s="6" t="s">
        <v>1</v>
      </c>
      <c r="C18372" s="6" t="s">
        <v>1</v>
      </c>
    </row>
    <row r="18373" spans="1:3" s="8" customFormat="1" x14ac:dyDescent="0.2">
      <c r="A18373" s="6" t="str">
        <f>"AL031772.1"</f>
        <v>AL031772.1</v>
      </c>
      <c r="B18373" s="6" t="s">
        <v>1</v>
      </c>
      <c r="C18373" s="6" t="s">
        <v>1</v>
      </c>
    </row>
    <row r="18374" spans="1:3" s="8" customFormat="1" x14ac:dyDescent="0.2">
      <c r="A18374" s="6" t="str">
        <f>"AL031055.1"</f>
        <v>AL031055.1</v>
      </c>
      <c r="B18374" s="6" t="s">
        <v>1</v>
      </c>
      <c r="C18374" s="6" t="s">
        <v>1</v>
      </c>
    </row>
    <row r="18375" spans="1:3" s="8" customFormat="1" x14ac:dyDescent="0.2">
      <c r="A18375" s="6" t="str">
        <f>"AL133343.2"</f>
        <v>AL133343.2</v>
      </c>
      <c r="B18375" s="6" t="s">
        <v>1</v>
      </c>
      <c r="C18375" s="6" t="s">
        <v>1</v>
      </c>
    </row>
    <row r="18376" spans="1:3" s="8" customFormat="1" x14ac:dyDescent="0.2">
      <c r="A18376" s="6" t="str">
        <f>"AL353747.2"</f>
        <v>AL353747.2</v>
      </c>
      <c r="B18376" s="6" t="s">
        <v>1</v>
      </c>
      <c r="C18376" s="6" t="s">
        <v>1</v>
      </c>
    </row>
    <row r="18377" spans="1:3" s="8" customFormat="1" x14ac:dyDescent="0.2">
      <c r="A18377" s="6" t="str">
        <f>"AC009522.1"</f>
        <v>AC009522.1</v>
      </c>
      <c r="B18377" s="6" t="s">
        <v>1</v>
      </c>
      <c r="C18377" s="6" t="s">
        <v>1</v>
      </c>
    </row>
    <row r="18378" spans="1:3" s="8" customFormat="1" x14ac:dyDescent="0.2">
      <c r="A18378" s="6" t="str">
        <f>"AC009948.1"</f>
        <v>AC009948.1</v>
      </c>
      <c r="B18378" s="6" t="s">
        <v>1</v>
      </c>
      <c r="C18378" s="6" t="s">
        <v>1</v>
      </c>
    </row>
    <row r="18379" spans="1:3" s="8" customFormat="1" x14ac:dyDescent="0.2">
      <c r="A18379" s="6" t="str">
        <f>"AC009812.4"</f>
        <v>AC009812.4</v>
      </c>
      <c r="B18379" s="6" t="s">
        <v>1</v>
      </c>
      <c r="C18379" s="6" t="s">
        <v>1</v>
      </c>
    </row>
    <row r="18380" spans="1:3" s="8" customFormat="1" x14ac:dyDescent="0.2">
      <c r="A18380" s="6" t="str">
        <f>"AC093323.3"</f>
        <v>AC093323.3</v>
      </c>
      <c r="B18380" s="6" t="s">
        <v>1</v>
      </c>
      <c r="C18380" s="6" t="s">
        <v>1</v>
      </c>
    </row>
    <row r="18381" spans="1:3" s="8" customFormat="1" x14ac:dyDescent="0.2">
      <c r="A18381" s="6" t="str">
        <f>"WNT16"</f>
        <v>WNT16</v>
      </c>
      <c r="B18381" s="6" t="s">
        <v>1</v>
      </c>
      <c r="C18381" s="6" t="s">
        <v>1</v>
      </c>
    </row>
    <row r="18382" spans="1:3" s="8" customFormat="1" x14ac:dyDescent="0.2">
      <c r="A18382" s="6" t="str">
        <f>"CNR1"</f>
        <v>CNR1</v>
      </c>
      <c r="B18382" s="6" t="s">
        <v>1</v>
      </c>
      <c r="C18382" s="6" t="s">
        <v>1</v>
      </c>
    </row>
    <row r="18383" spans="1:3" s="8" customFormat="1" x14ac:dyDescent="0.2">
      <c r="A18383" s="6" t="str">
        <f>"SHISAL2A"</f>
        <v>SHISAL2A</v>
      </c>
      <c r="B18383" s="6" t="s">
        <v>1</v>
      </c>
      <c r="C18383" s="6" t="s">
        <v>1</v>
      </c>
    </row>
    <row r="18384" spans="1:3" s="8" customFormat="1" x14ac:dyDescent="0.2">
      <c r="A18384" s="6" t="str">
        <f>"MYH11"</f>
        <v>MYH11</v>
      </c>
      <c r="B18384" s="6" t="s">
        <v>1</v>
      </c>
      <c r="C18384" s="6" t="s">
        <v>1</v>
      </c>
    </row>
    <row r="18385" spans="1:3" s="8" customFormat="1" x14ac:dyDescent="0.2">
      <c r="A18385" s="6" t="str">
        <f>"FIBCD1"</f>
        <v>FIBCD1</v>
      </c>
      <c r="B18385" s="6" t="s">
        <v>1</v>
      </c>
      <c r="C18385" s="6" t="s">
        <v>1</v>
      </c>
    </row>
    <row r="18386" spans="1:3" s="8" customFormat="1" x14ac:dyDescent="0.2">
      <c r="A18386" s="6" t="str">
        <f>"AC009570.1"</f>
        <v>AC009570.1</v>
      </c>
      <c r="B18386" s="6" t="s">
        <v>1</v>
      </c>
      <c r="C18386" s="6" t="s">
        <v>1</v>
      </c>
    </row>
    <row r="18387" spans="1:3" s="8" customFormat="1" x14ac:dyDescent="0.2">
      <c r="A18387" s="6" t="str">
        <f>"AL031009.1"</f>
        <v>AL031009.1</v>
      </c>
      <c r="B18387" s="6" t="s">
        <v>1</v>
      </c>
      <c r="C18387" s="6" t="s">
        <v>1</v>
      </c>
    </row>
    <row r="18388" spans="1:3" s="8" customFormat="1" x14ac:dyDescent="0.2">
      <c r="A18388" s="6" t="str">
        <f>"AP000692.1"</f>
        <v>AP000692.1</v>
      </c>
      <c r="B18388" s="6" t="s">
        <v>1</v>
      </c>
      <c r="C18388" s="6" t="s">
        <v>1</v>
      </c>
    </row>
    <row r="18389" spans="1:3" s="8" customFormat="1" x14ac:dyDescent="0.2">
      <c r="A18389" s="6" t="str">
        <f>"P2RX5"</f>
        <v>P2RX5</v>
      </c>
      <c r="B18389" s="6" t="s">
        <v>1</v>
      </c>
      <c r="C18389" s="6" t="s">
        <v>1</v>
      </c>
    </row>
    <row r="18390" spans="1:3" s="8" customFormat="1" x14ac:dyDescent="0.2">
      <c r="A18390" s="6" t="str">
        <f>"AC007342.7"</f>
        <v>AC007342.7</v>
      </c>
      <c r="B18390" s="6" t="s">
        <v>1</v>
      </c>
      <c r="C18390" s="6" t="s">
        <v>1</v>
      </c>
    </row>
    <row r="18391" spans="1:3" s="8" customFormat="1" x14ac:dyDescent="0.2">
      <c r="A18391" s="6" t="str">
        <f>"AC004877.1"</f>
        <v>AC004877.1</v>
      </c>
      <c r="B18391" s="6" t="s">
        <v>1</v>
      </c>
      <c r="C18391" s="6" t="s">
        <v>1</v>
      </c>
    </row>
    <row r="18392" spans="1:3" s="8" customFormat="1" x14ac:dyDescent="0.2">
      <c r="A18392" s="6" t="str">
        <f>"AC007225.1"</f>
        <v>AC007225.1</v>
      </c>
      <c r="B18392" s="6" t="s">
        <v>1</v>
      </c>
      <c r="C18392" s="6" t="s">
        <v>1</v>
      </c>
    </row>
    <row r="18393" spans="1:3" s="8" customFormat="1" x14ac:dyDescent="0.2">
      <c r="A18393" s="6" t="str">
        <f>"PCP2"</f>
        <v>PCP2</v>
      </c>
      <c r="B18393" s="6" t="s">
        <v>1</v>
      </c>
      <c r="C18393" s="6" t="s">
        <v>1</v>
      </c>
    </row>
    <row r="18394" spans="1:3" s="8" customFormat="1" x14ac:dyDescent="0.2">
      <c r="A18394" s="6" t="str">
        <f>"FHAD1-AS1"</f>
        <v>FHAD1-AS1</v>
      </c>
      <c r="B18394" s="6" t="s">
        <v>1</v>
      </c>
      <c r="C18394" s="6" t="s">
        <v>1</v>
      </c>
    </row>
    <row r="18395" spans="1:3" s="8" customFormat="1" x14ac:dyDescent="0.2">
      <c r="A18395" s="6" t="str">
        <f>"SLC26A5"</f>
        <v>SLC26A5</v>
      </c>
      <c r="B18395" s="6" t="s">
        <v>1</v>
      </c>
      <c r="C18395" s="6" t="s">
        <v>1</v>
      </c>
    </row>
    <row r="18396" spans="1:3" s="8" customFormat="1" x14ac:dyDescent="0.2">
      <c r="A18396" s="6" t="str">
        <f>"AL445985.2"</f>
        <v>AL445985.2</v>
      </c>
      <c r="B18396" s="6" t="s">
        <v>1</v>
      </c>
      <c r="C18396" s="6" t="s">
        <v>1</v>
      </c>
    </row>
    <row r="18397" spans="1:3" s="8" customFormat="1" x14ac:dyDescent="0.2">
      <c r="A18397" s="6" t="str">
        <f>"RPL15P5"</f>
        <v>RPL15P5</v>
      </c>
      <c r="B18397" s="6" t="s">
        <v>1</v>
      </c>
      <c r="C18397" s="6" t="s">
        <v>1</v>
      </c>
    </row>
    <row r="18398" spans="1:3" s="8" customFormat="1" x14ac:dyDescent="0.2">
      <c r="A18398" s="6" t="str">
        <f>"ZNF252P-AS1"</f>
        <v>ZNF252P-AS1</v>
      </c>
      <c r="B18398" s="6" t="s">
        <v>1</v>
      </c>
      <c r="C18398" s="6" t="s">
        <v>1</v>
      </c>
    </row>
    <row r="18399" spans="1:3" s="8" customFormat="1" x14ac:dyDescent="0.2">
      <c r="A18399" s="6" t="str">
        <f>"AC060766.5"</f>
        <v>AC060766.5</v>
      </c>
      <c r="B18399" s="6" t="s">
        <v>1</v>
      </c>
      <c r="C18399" s="6" t="s">
        <v>1</v>
      </c>
    </row>
    <row r="18400" spans="1:3" s="8" customFormat="1" x14ac:dyDescent="0.2">
      <c r="A18400" s="6" t="str">
        <f>"EEF1A1P19"</f>
        <v>EEF1A1P19</v>
      </c>
      <c r="B18400" s="6" t="s">
        <v>1</v>
      </c>
      <c r="C18400" s="6" t="s">
        <v>1</v>
      </c>
    </row>
    <row r="18401" spans="1:3" s="8" customFormat="1" x14ac:dyDescent="0.2">
      <c r="A18401" s="6" t="str">
        <f>"LINC01126"</f>
        <v>LINC01126</v>
      </c>
      <c r="B18401" s="6" t="s">
        <v>1</v>
      </c>
      <c r="C18401" s="6" t="s">
        <v>1</v>
      </c>
    </row>
    <row r="18402" spans="1:3" s="8" customFormat="1" x14ac:dyDescent="0.2">
      <c r="A18402" s="6" t="str">
        <f>"LHX2"</f>
        <v>LHX2</v>
      </c>
      <c r="B18402" s="6" t="s">
        <v>1</v>
      </c>
      <c r="C18402" s="6" t="s">
        <v>1</v>
      </c>
    </row>
    <row r="18403" spans="1:3" s="8" customFormat="1" x14ac:dyDescent="0.2">
      <c r="A18403" s="6" t="str">
        <f>"PPIC-AS1"</f>
        <v>PPIC-AS1</v>
      </c>
      <c r="B18403" s="6" t="s">
        <v>1</v>
      </c>
      <c r="C18403" s="6" t="s">
        <v>1</v>
      </c>
    </row>
    <row r="18404" spans="1:3" s="8" customFormat="1" x14ac:dyDescent="0.2">
      <c r="A18404" s="6" t="str">
        <f>"MYPN"</f>
        <v>MYPN</v>
      </c>
      <c r="B18404" s="6" t="s">
        <v>1</v>
      </c>
      <c r="C18404" s="6" t="s">
        <v>1</v>
      </c>
    </row>
    <row r="18405" spans="1:3" s="8" customFormat="1" x14ac:dyDescent="0.2">
      <c r="A18405" s="6" t="str">
        <f>"ZSCAN23"</f>
        <v>ZSCAN23</v>
      </c>
      <c r="B18405" s="6" t="s">
        <v>1</v>
      </c>
      <c r="C18405" s="6" t="s">
        <v>1</v>
      </c>
    </row>
    <row r="18406" spans="1:3" s="8" customFormat="1" x14ac:dyDescent="0.2">
      <c r="A18406" s="6" t="str">
        <f>"AC022414.1"</f>
        <v>AC022414.1</v>
      </c>
      <c r="B18406" s="6" t="s">
        <v>1</v>
      </c>
      <c r="C18406" s="6" t="s">
        <v>1</v>
      </c>
    </row>
    <row r="18407" spans="1:3" s="8" customFormat="1" x14ac:dyDescent="0.2">
      <c r="A18407" s="6" t="str">
        <f>"AL031777.1"</f>
        <v>AL031777.1</v>
      </c>
      <c r="B18407" s="6" t="s">
        <v>1</v>
      </c>
      <c r="C18407" s="6" t="s">
        <v>1</v>
      </c>
    </row>
    <row r="18408" spans="1:3" s="8" customFormat="1" x14ac:dyDescent="0.2">
      <c r="A18408" s="6" t="str">
        <f>"LDHBP1"</f>
        <v>LDHBP1</v>
      </c>
      <c r="B18408" s="6" t="s">
        <v>1</v>
      </c>
      <c r="C18408" s="6" t="s">
        <v>1</v>
      </c>
    </row>
    <row r="18409" spans="1:3" s="8" customFormat="1" x14ac:dyDescent="0.2">
      <c r="A18409" s="6" t="str">
        <f>"CEMP1"</f>
        <v>CEMP1</v>
      </c>
      <c r="B18409" s="6" t="s">
        <v>1</v>
      </c>
      <c r="C18409" s="6" t="s">
        <v>1</v>
      </c>
    </row>
    <row r="18410" spans="1:3" s="8" customFormat="1" x14ac:dyDescent="0.2">
      <c r="A18410" s="6" t="str">
        <f>"AC130456.4"</f>
        <v>AC130456.4</v>
      </c>
      <c r="B18410" s="6" t="s">
        <v>1</v>
      </c>
      <c r="C18410" s="6" t="s">
        <v>1</v>
      </c>
    </row>
    <row r="18411" spans="1:3" s="8" customFormat="1" x14ac:dyDescent="0.2">
      <c r="A18411" s="6" t="str">
        <f>"MYO3B"</f>
        <v>MYO3B</v>
      </c>
      <c r="B18411" s="6" t="s">
        <v>1</v>
      </c>
      <c r="C18411" s="6" t="s">
        <v>1</v>
      </c>
    </row>
    <row r="18412" spans="1:3" s="8" customFormat="1" x14ac:dyDescent="0.2">
      <c r="A18412" s="6" t="str">
        <f>"AC015849.5"</f>
        <v>AC015849.5</v>
      </c>
      <c r="B18412" s="6" t="s">
        <v>1</v>
      </c>
      <c r="C18412" s="6" t="s">
        <v>1</v>
      </c>
    </row>
    <row r="18413" spans="1:3" s="8" customFormat="1" x14ac:dyDescent="0.2">
      <c r="A18413" s="6" t="str">
        <f>"PHF24"</f>
        <v>PHF24</v>
      </c>
      <c r="B18413" s="6" t="s">
        <v>1</v>
      </c>
      <c r="C18413" s="6" t="s">
        <v>1</v>
      </c>
    </row>
    <row r="18414" spans="1:3" s="8" customFormat="1" x14ac:dyDescent="0.2">
      <c r="A18414" s="6" t="str">
        <f>"F11-AS1"</f>
        <v>F11-AS1</v>
      </c>
      <c r="B18414" s="6" t="s">
        <v>1</v>
      </c>
      <c r="C18414" s="6" t="s">
        <v>1</v>
      </c>
    </row>
    <row r="18415" spans="1:3" s="8" customFormat="1" x14ac:dyDescent="0.2">
      <c r="A18415" s="6" t="str">
        <f>"AC022217.1"</f>
        <v>AC022217.1</v>
      </c>
      <c r="B18415" s="6" t="s">
        <v>1</v>
      </c>
      <c r="C18415" s="6" t="s">
        <v>1</v>
      </c>
    </row>
    <row r="18416" spans="1:3" s="8" customFormat="1" x14ac:dyDescent="0.2">
      <c r="A18416" s="6" t="str">
        <f>"AL031658.1"</f>
        <v>AL031658.1</v>
      </c>
      <c r="B18416" s="6" t="s">
        <v>1</v>
      </c>
      <c r="C18416" s="6" t="s">
        <v>1</v>
      </c>
    </row>
    <row r="18417" spans="1:3" s="8" customFormat="1" x14ac:dyDescent="0.2">
      <c r="A18417" s="6" t="str">
        <f>"AC009501.2"</f>
        <v>AC009501.2</v>
      </c>
      <c r="B18417" s="6" t="s">
        <v>1</v>
      </c>
      <c r="C18417" s="6" t="s">
        <v>1</v>
      </c>
    </row>
    <row r="18418" spans="1:3" s="8" customFormat="1" x14ac:dyDescent="0.2">
      <c r="A18418" s="6" t="str">
        <f>"APOBEC3H"</f>
        <v>APOBEC3H</v>
      </c>
      <c r="B18418" s="6" t="s">
        <v>1</v>
      </c>
      <c r="C18418" s="6" t="s">
        <v>1</v>
      </c>
    </row>
    <row r="18419" spans="1:3" s="8" customFormat="1" x14ac:dyDescent="0.2">
      <c r="A18419" s="6" t="str">
        <f>"P3R3URF-PIK3R3"</f>
        <v>P3R3URF-PIK3R3</v>
      </c>
      <c r="B18419" s="6" t="s">
        <v>1</v>
      </c>
      <c r="C18419" s="6" t="s">
        <v>1</v>
      </c>
    </row>
    <row r="18420" spans="1:3" s="8" customFormat="1" x14ac:dyDescent="0.2">
      <c r="A18420" s="6" t="str">
        <f>"PTMAP2"</f>
        <v>PTMAP2</v>
      </c>
      <c r="B18420" s="6" t="s">
        <v>1</v>
      </c>
      <c r="C18420" s="6" t="s">
        <v>1</v>
      </c>
    </row>
    <row r="18421" spans="1:3" s="8" customFormat="1" x14ac:dyDescent="0.2">
      <c r="A18421" s="6" t="str">
        <f>"AC131888.1"</f>
        <v>AC131888.1</v>
      </c>
      <c r="B18421" s="6" t="s">
        <v>1</v>
      </c>
      <c r="C18421" s="6" t="s">
        <v>1</v>
      </c>
    </row>
    <row r="18422" spans="1:3" s="8" customFormat="1" x14ac:dyDescent="0.2">
      <c r="A18422" s="6" t="str">
        <f>"RPL7P9"</f>
        <v>RPL7P9</v>
      </c>
      <c r="B18422" s="6" t="s">
        <v>1</v>
      </c>
      <c r="C18422" s="6" t="s">
        <v>1</v>
      </c>
    </row>
    <row r="18423" spans="1:3" s="8" customFormat="1" x14ac:dyDescent="0.2">
      <c r="A18423" s="6" t="str">
        <f>"AC132938.2"</f>
        <v>AC132938.2</v>
      </c>
      <c r="B18423" s="6" t="s">
        <v>1</v>
      </c>
      <c r="C18423" s="6" t="s">
        <v>1</v>
      </c>
    </row>
    <row r="18424" spans="1:3" s="8" customFormat="1" x14ac:dyDescent="0.2">
      <c r="A18424" s="6" t="str">
        <f>"ALG1L8P"</f>
        <v>ALG1L8P</v>
      </c>
      <c r="B18424" s="6" t="s">
        <v>1</v>
      </c>
      <c r="C18424" s="6" t="s">
        <v>1</v>
      </c>
    </row>
    <row r="18425" spans="1:3" s="8" customFormat="1" x14ac:dyDescent="0.2">
      <c r="A18425" s="6" t="str">
        <f>"PHYHIPL"</f>
        <v>PHYHIPL</v>
      </c>
      <c r="B18425" s="6" t="s">
        <v>1</v>
      </c>
      <c r="C18425" s="6" t="s">
        <v>1</v>
      </c>
    </row>
    <row r="18426" spans="1:3" s="8" customFormat="1" x14ac:dyDescent="0.2">
      <c r="A18426" s="6" t="str">
        <f>"GJA9"</f>
        <v>GJA9</v>
      </c>
      <c r="B18426" s="6" t="s">
        <v>1</v>
      </c>
      <c r="C18426" s="6" t="s">
        <v>1</v>
      </c>
    </row>
    <row r="18427" spans="1:3" s="8" customFormat="1" x14ac:dyDescent="0.2">
      <c r="A18427" s="6" t="str">
        <f>"PPBP"</f>
        <v>PPBP</v>
      </c>
      <c r="B18427" s="6" t="s">
        <v>1</v>
      </c>
      <c r="C18427" s="6" t="s">
        <v>1</v>
      </c>
    </row>
    <row r="18428" spans="1:3" s="8" customFormat="1" x14ac:dyDescent="0.2">
      <c r="A18428" s="6" t="str">
        <f>"TREML1"</f>
        <v>TREML1</v>
      </c>
      <c r="B18428" s="6" t="s">
        <v>1</v>
      </c>
      <c r="C18428" s="6" t="s">
        <v>1</v>
      </c>
    </row>
    <row r="18429" spans="1:3" s="8" customFormat="1" x14ac:dyDescent="0.2">
      <c r="A18429" s="6" t="str">
        <f>"PI16"</f>
        <v>PI16</v>
      </c>
      <c r="B18429" s="6" t="s">
        <v>1</v>
      </c>
      <c r="C18429" s="6" t="s">
        <v>1</v>
      </c>
    </row>
    <row r="18430" spans="1:3" s="8" customFormat="1" x14ac:dyDescent="0.2">
      <c r="A18430" s="6" t="str">
        <f>"AL353759.1"</f>
        <v>AL353759.1</v>
      </c>
      <c r="B18430" s="6" t="s">
        <v>1</v>
      </c>
      <c r="C18430" s="6" t="s">
        <v>1</v>
      </c>
    </row>
    <row r="18431" spans="1:3" s="8" customFormat="1" x14ac:dyDescent="0.2">
      <c r="A18431" s="6" t="str">
        <f>"TTTY2B"</f>
        <v>TTTY2B</v>
      </c>
      <c r="B18431" s="6" t="s">
        <v>1</v>
      </c>
      <c r="C18431" s="6" t="s">
        <v>1</v>
      </c>
    </row>
    <row r="18432" spans="1:3" s="8" customFormat="1" x14ac:dyDescent="0.2">
      <c r="A18432" s="6" t="str">
        <f>"AC242022.2"</f>
        <v>AC242022.2</v>
      </c>
      <c r="B18432" s="6" t="s">
        <v>1</v>
      </c>
      <c r="C18432" s="6" t="s">
        <v>1</v>
      </c>
    </row>
    <row r="18433" spans="1:3" s="8" customFormat="1" x14ac:dyDescent="0.2">
      <c r="A18433" s="6" t="str">
        <f>"PCSEAT"</f>
        <v>PCSEAT</v>
      </c>
      <c r="B18433" s="6" t="s">
        <v>1</v>
      </c>
      <c r="C18433" s="6" t="s">
        <v>1</v>
      </c>
    </row>
    <row r="18434" spans="1:3" s="8" customFormat="1" x14ac:dyDescent="0.2">
      <c r="A18434" s="6" t="str">
        <f>"AC008781.1"</f>
        <v>AC008781.1</v>
      </c>
      <c r="B18434" s="6" t="s">
        <v>1</v>
      </c>
      <c r="C18434" s="6" t="s">
        <v>1</v>
      </c>
    </row>
    <row r="18435" spans="1:3" s="8" customFormat="1" x14ac:dyDescent="0.2">
      <c r="A18435" s="6" t="str">
        <f>"AC004706.1"</f>
        <v>AC004706.1</v>
      </c>
      <c r="B18435" s="6" t="s">
        <v>1</v>
      </c>
      <c r="C18435" s="6" t="s">
        <v>1</v>
      </c>
    </row>
    <row r="18436" spans="1:3" s="8" customFormat="1" x14ac:dyDescent="0.2">
      <c r="A18436" s="6" t="str">
        <f>"AL451069.2"</f>
        <v>AL451069.2</v>
      </c>
      <c r="B18436" s="6" t="s">
        <v>1</v>
      </c>
      <c r="C18436" s="6" t="s">
        <v>1</v>
      </c>
    </row>
    <row r="18437" spans="1:3" s="8" customFormat="1" x14ac:dyDescent="0.2">
      <c r="A18437" s="6" t="str">
        <f>"ASTN1"</f>
        <v>ASTN1</v>
      </c>
      <c r="B18437" s="6" t="s">
        <v>1</v>
      </c>
      <c r="C18437" s="6" t="s">
        <v>1</v>
      </c>
    </row>
    <row r="18438" spans="1:3" s="8" customFormat="1" x14ac:dyDescent="0.2">
      <c r="A18438" s="6" t="str">
        <f>"AP000866.6"</f>
        <v>AP000866.6</v>
      </c>
      <c r="B18438" s="6" t="s">
        <v>1</v>
      </c>
      <c r="C18438" s="6" t="s">
        <v>1</v>
      </c>
    </row>
    <row r="18439" spans="1:3" s="8" customFormat="1" x14ac:dyDescent="0.2">
      <c r="A18439" s="6" t="str">
        <f>"ELOCP19"</f>
        <v>ELOCP19</v>
      </c>
      <c r="B18439" s="6" t="s">
        <v>1</v>
      </c>
      <c r="C18439" s="6" t="s">
        <v>1</v>
      </c>
    </row>
    <row r="18440" spans="1:3" s="8" customFormat="1" x14ac:dyDescent="0.2">
      <c r="A18440" s="6" t="str">
        <f>"SOD3"</f>
        <v>SOD3</v>
      </c>
      <c r="B18440" s="6" t="s">
        <v>1</v>
      </c>
      <c r="C18440" s="6" t="s">
        <v>1</v>
      </c>
    </row>
    <row r="18441" spans="1:3" s="8" customFormat="1" x14ac:dyDescent="0.2">
      <c r="A18441" s="6" t="str">
        <f>"AC068282.2"</f>
        <v>AC068282.2</v>
      </c>
      <c r="B18441" s="6" t="s">
        <v>1</v>
      </c>
      <c r="C18441" s="6" t="s">
        <v>1</v>
      </c>
    </row>
    <row r="18442" spans="1:3" s="8" customFormat="1" x14ac:dyDescent="0.2">
      <c r="A18442" s="6" t="str">
        <f>"MYMX"</f>
        <v>MYMX</v>
      </c>
      <c r="B18442" s="6" t="s">
        <v>1</v>
      </c>
      <c r="C18442" s="6" t="s">
        <v>1</v>
      </c>
    </row>
    <row r="18443" spans="1:3" s="8" customFormat="1" x14ac:dyDescent="0.2">
      <c r="A18443" s="6" t="str">
        <f>"AC023024.2"</f>
        <v>AC023024.2</v>
      </c>
      <c r="B18443" s="6" t="s">
        <v>1</v>
      </c>
      <c r="C18443" s="6" t="s">
        <v>1</v>
      </c>
    </row>
    <row r="18444" spans="1:3" s="8" customFormat="1" x14ac:dyDescent="0.2">
      <c r="A18444" s="6" t="str">
        <f>"AC107223.1"</f>
        <v>AC107223.1</v>
      </c>
      <c r="B18444" s="6" t="s">
        <v>1</v>
      </c>
      <c r="C18444" s="6" t="s">
        <v>1</v>
      </c>
    </row>
    <row r="18445" spans="1:3" s="8" customFormat="1" x14ac:dyDescent="0.2">
      <c r="A18445" s="6" t="str">
        <f>"AC093627.7"</f>
        <v>AC093627.7</v>
      </c>
      <c r="B18445" s="6" t="s">
        <v>1</v>
      </c>
      <c r="C18445" s="6" t="s">
        <v>1</v>
      </c>
    </row>
    <row r="18446" spans="1:3" s="8" customFormat="1" x14ac:dyDescent="0.2">
      <c r="A18446" s="6" t="str">
        <f>"AL354696.1"</f>
        <v>AL354696.1</v>
      </c>
      <c r="B18446" s="6" t="s">
        <v>1</v>
      </c>
      <c r="C18446" s="6" t="s">
        <v>1</v>
      </c>
    </row>
    <row r="18447" spans="1:3" s="8" customFormat="1" x14ac:dyDescent="0.2">
      <c r="A18447" s="6" t="str">
        <f>"LCN12"</f>
        <v>LCN12</v>
      </c>
      <c r="B18447" s="6" t="s">
        <v>1</v>
      </c>
      <c r="C18447" s="6" t="s">
        <v>1</v>
      </c>
    </row>
    <row r="18448" spans="1:3" s="8" customFormat="1" x14ac:dyDescent="0.2">
      <c r="A18448" s="6" t="str">
        <f>"FIBIN"</f>
        <v>FIBIN</v>
      </c>
      <c r="B18448" s="6" t="s">
        <v>1</v>
      </c>
      <c r="C18448" s="6" t="s">
        <v>1</v>
      </c>
    </row>
    <row r="18449" spans="1:3" s="8" customFormat="1" x14ac:dyDescent="0.2">
      <c r="A18449" s="6" t="str">
        <f>"PPIAP59"</f>
        <v>PPIAP59</v>
      </c>
      <c r="B18449" s="6" t="s">
        <v>1</v>
      </c>
      <c r="C18449" s="6" t="s">
        <v>1</v>
      </c>
    </row>
    <row r="18450" spans="1:3" s="8" customFormat="1" x14ac:dyDescent="0.2">
      <c r="A18450" s="6" t="str">
        <f>"AC022417.1"</f>
        <v>AC022417.1</v>
      </c>
      <c r="B18450" s="6" t="s">
        <v>1</v>
      </c>
      <c r="C18450" s="6" t="s">
        <v>1</v>
      </c>
    </row>
    <row r="18451" spans="1:3" s="8" customFormat="1" x14ac:dyDescent="0.2">
      <c r="A18451" s="6" t="str">
        <f>"LINC01139"</f>
        <v>LINC01139</v>
      </c>
      <c r="B18451" s="6" t="s">
        <v>1</v>
      </c>
      <c r="C18451" s="6" t="s">
        <v>1</v>
      </c>
    </row>
    <row r="18452" spans="1:3" s="8" customFormat="1" x14ac:dyDescent="0.2">
      <c r="A18452" s="6" t="str">
        <f>"DNASE1L2"</f>
        <v>DNASE1L2</v>
      </c>
      <c r="B18452" s="6" t="s">
        <v>1</v>
      </c>
      <c r="C18452" s="6" t="s">
        <v>1</v>
      </c>
    </row>
    <row r="18453" spans="1:3" s="8" customFormat="1" x14ac:dyDescent="0.2">
      <c r="A18453" s="6" t="str">
        <f>"AC004943.1"</f>
        <v>AC004943.1</v>
      </c>
      <c r="B18453" s="6" t="s">
        <v>1</v>
      </c>
      <c r="C18453" s="6" t="s">
        <v>1</v>
      </c>
    </row>
    <row r="18454" spans="1:3" s="8" customFormat="1" x14ac:dyDescent="0.2">
      <c r="A18454" s="6" t="str">
        <f>"LYPLAL1-DT"</f>
        <v>LYPLAL1-DT</v>
      </c>
      <c r="B18454" s="6" t="s">
        <v>1</v>
      </c>
      <c r="C18454" s="6" t="s">
        <v>1</v>
      </c>
    </row>
    <row r="18455" spans="1:3" s="8" customFormat="1" x14ac:dyDescent="0.2">
      <c r="A18455" s="6" t="str">
        <f>"AC087468.2"</f>
        <v>AC087468.2</v>
      </c>
      <c r="B18455" s="6" t="s">
        <v>1</v>
      </c>
      <c r="C18455" s="6" t="s">
        <v>1</v>
      </c>
    </row>
    <row r="18456" spans="1:3" s="8" customFormat="1" x14ac:dyDescent="0.2">
      <c r="A18456" s="6" t="str">
        <f>"MED14OS"</f>
        <v>MED14OS</v>
      </c>
      <c r="B18456" s="6" t="s">
        <v>1</v>
      </c>
      <c r="C18456" s="6" t="s">
        <v>1</v>
      </c>
    </row>
    <row r="18457" spans="1:3" s="8" customFormat="1" x14ac:dyDescent="0.2">
      <c r="A18457" s="6" t="str">
        <f>"TREH"</f>
        <v>TREH</v>
      </c>
      <c r="B18457" s="6" t="s">
        <v>1</v>
      </c>
      <c r="C18457" s="6" t="s">
        <v>1</v>
      </c>
    </row>
    <row r="18458" spans="1:3" s="8" customFormat="1" x14ac:dyDescent="0.2">
      <c r="A18458" s="6" t="str">
        <f>"NXF2B"</f>
        <v>NXF2B</v>
      </c>
      <c r="B18458" s="6" t="s">
        <v>1</v>
      </c>
      <c r="C18458" s="6" t="s">
        <v>1</v>
      </c>
    </row>
    <row r="18459" spans="1:3" s="8" customFormat="1" x14ac:dyDescent="0.2">
      <c r="A18459" s="6" t="str">
        <f>"HAS2-AS1"</f>
        <v>HAS2-AS1</v>
      </c>
      <c r="B18459" s="6" t="s">
        <v>1</v>
      </c>
      <c r="C18459" s="6" t="s">
        <v>1</v>
      </c>
    </row>
    <row r="18460" spans="1:3" s="8" customFormat="1" x14ac:dyDescent="0.2">
      <c r="A18460" s="6" t="str">
        <f>"AC004847.1"</f>
        <v>AC004847.1</v>
      </c>
      <c r="B18460" s="6" t="s">
        <v>1</v>
      </c>
      <c r="C18460" s="6" t="s">
        <v>1</v>
      </c>
    </row>
    <row r="18461" spans="1:3" s="8" customFormat="1" x14ac:dyDescent="0.2">
      <c r="A18461" s="6" t="str">
        <f>"AL031005.1"</f>
        <v>AL031005.1</v>
      </c>
      <c r="B18461" s="6" t="s">
        <v>1</v>
      </c>
      <c r="C18461" s="6" t="s">
        <v>1</v>
      </c>
    </row>
    <row r="18462" spans="1:3" s="8" customFormat="1" x14ac:dyDescent="0.2">
      <c r="A18462" s="6" t="str">
        <f>"ECEL1P1"</f>
        <v>ECEL1P1</v>
      </c>
      <c r="B18462" s="6" t="s">
        <v>1</v>
      </c>
      <c r="C18462" s="6" t="s">
        <v>1</v>
      </c>
    </row>
    <row r="18463" spans="1:3" s="8" customFormat="1" x14ac:dyDescent="0.2">
      <c r="A18463" s="6" t="str">
        <f>"RNF182"</f>
        <v>RNF182</v>
      </c>
      <c r="B18463" s="6" t="s">
        <v>1</v>
      </c>
      <c r="C18463" s="6" t="s">
        <v>1</v>
      </c>
    </row>
    <row r="18464" spans="1:3" s="8" customFormat="1" x14ac:dyDescent="0.2">
      <c r="A18464" s="6" t="str">
        <f>"AC022730.4"</f>
        <v>AC022730.4</v>
      </c>
      <c r="B18464" s="6" t="s">
        <v>1</v>
      </c>
      <c r="C18464" s="6" t="s">
        <v>1</v>
      </c>
    </row>
    <row r="18465" spans="1:3" s="8" customFormat="1" x14ac:dyDescent="0.2">
      <c r="A18465" s="6" t="str">
        <f>"SRGAP3-AS4"</f>
        <v>SRGAP3-AS4</v>
      </c>
      <c r="B18465" s="6" t="s">
        <v>1</v>
      </c>
      <c r="C18465" s="6" t="s">
        <v>1</v>
      </c>
    </row>
    <row r="18466" spans="1:3" s="8" customFormat="1" x14ac:dyDescent="0.2">
      <c r="A18466" s="6" t="str">
        <f>"STXBP5L"</f>
        <v>STXBP5L</v>
      </c>
      <c r="B18466" s="6" t="s">
        <v>1</v>
      </c>
      <c r="C18466" s="6" t="s">
        <v>1</v>
      </c>
    </row>
    <row r="18467" spans="1:3" s="8" customFormat="1" x14ac:dyDescent="0.2">
      <c r="A18467" s="6" t="str">
        <f>"CRIP3"</f>
        <v>CRIP3</v>
      </c>
      <c r="B18467" s="6" t="s">
        <v>1</v>
      </c>
      <c r="C18467" s="6" t="s">
        <v>1</v>
      </c>
    </row>
    <row r="18468" spans="1:3" s="8" customFormat="1" x14ac:dyDescent="0.2">
      <c r="A18468" s="6" t="str">
        <f>"GLT8D2"</f>
        <v>GLT8D2</v>
      </c>
      <c r="B18468" s="6" t="s">
        <v>1</v>
      </c>
      <c r="C18468" s="6" t="s">
        <v>1</v>
      </c>
    </row>
    <row r="18469" spans="1:3" s="8" customFormat="1" x14ac:dyDescent="0.2">
      <c r="A18469" s="6" t="str">
        <f>"AC023043.4"</f>
        <v>AC023043.4</v>
      </c>
      <c r="B18469" s="6" t="s">
        <v>1</v>
      </c>
      <c r="C18469" s="6" t="s">
        <v>1</v>
      </c>
    </row>
    <row r="18470" spans="1:3" s="8" customFormat="1" x14ac:dyDescent="0.2">
      <c r="A18470" s="6" t="str">
        <f>"AP000356.3"</f>
        <v>AP000356.3</v>
      </c>
      <c r="B18470" s="6" t="s">
        <v>1</v>
      </c>
      <c r="C18470" s="6" t="s">
        <v>1</v>
      </c>
    </row>
    <row r="18471" spans="1:3" s="8" customFormat="1" x14ac:dyDescent="0.2">
      <c r="A18471" s="6" t="str">
        <f>"BSN-DT"</f>
        <v>BSN-DT</v>
      </c>
      <c r="B18471" s="6" t="s">
        <v>1</v>
      </c>
      <c r="C18471" s="6" t="s">
        <v>1</v>
      </c>
    </row>
    <row r="18472" spans="1:3" s="8" customFormat="1" x14ac:dyDescent="0.2">
      <c r="A18472" s="6" t="str">
        <f>"EMX2OS"</f>
        <v>EMX2OS</v>
      </c>
      <c r="B18472" s="6" t="s">
        <v>1</v>
      </c>
      <c r="C18472" s="6" t="s">
        <v>1</v>
      </c>
    </row>
    <row r="18473" spans="1:3" s="8" customFormat="1" x14ac:dyDescent="0.2">
      <c r="A18473" s="6" t="str">
        <f>"NEIL3"</f>
        <v>NEIL3</v>
      </c>
      <c r="B18473" s="6" t="s">
        <v>1</v>
      </c>
      <c r="C18473" s="6" t="s">
        <v>1</v>
      </c>
    </row>
    <row r="18474" spans="1:3" s="8" customFormat="1" x14ac:dyDescent="0.2">
      <c r="A18474" s="6" t="str">
        <f>"AC060766.4"</f>
        <v>AC060766.4</v>
      </c>
      <c r="B18474" s="6" t="s">
        <v>1</v>
      </c>
      <c r="C18474" s="6" t="s">
        <v>1</v>
      </c>
    </row>
    <row r="18475" spans="1:3" s="8" customFormat="1" x14ac:dyDescent="0.2">
      <c r="A18475" s="6" t="str">
        <f>"AC007389.1"</f>
        <v>AC007389.1</v>
      </c>
      <c r="B18475" s="6" t="s">
        <v>1</v>
      </c>
      <c r="C18475" s="6" t="s">
        <v>1</v>
      </c>
    </row>
    <row r="18476" spans="1:3" s="8" customFormat="1" x14ac:dyDescent="0.2">
      <c r="A18476" s="6" t="str">
        <f>"AC068205.2"</f>
        <v>AC068205.2</v>
      </c>
      <c r="B18476" s="6" t="s">
        <v>1</v>
      </c>
      <c r="C18476" s="6" t="s">
        <v>1</v>
      </c>
    </row>
    <row r="18477" spans="1:3" s="8" customFormat="1" x14ac:dyDescent="0.2">
      <c r="A18477" s="6" t="str">
        <f>"AL512306.2"</f>
        <v>AL512306.2</v>
      </c>
      <c r="B18477" s="6" t="s">
        <v>1</v>
      </c>
      <c r="C18477" s="6" t="s">
        <v>1</v>
      </c>
    </row>
    <row r="18478" spans="1:3" s="8" customFormat="1" x14ac:dyDescent="0.2">
      <c r="A18478" s="6" t="str">
        <f>"FLJ38576"</f>
        <v>FLJ38576</v>
      </c>
      <c r="B18478" s="6" t="s">
        <v>1</v>
      </c>
      <c r="C18478" s="6" t="s">
        <v>1</v>
      </c>
    </row>
    <row r="18479" spans="1:3" s="8" customFormat="1" x14ac:dyDescent="0.2">
      <c r="A18479" s="6" t="str">
        <f>"LINC02028"</f>
        <v>LINC02028</v>
      </c>
      <c r="B18479" s="6" t="s">
        <v>1</v>
      </c>
      <c r="C18479" s="6" t="s">
        <v>1</v>
      </c>
    </row>
    <row r="18480" spans="1:3" s="8" customFormat="1" x14ac:dyDescent="0.2">
      <c r="A18480" s="6" t="str">
        <f>"S1PR1"</f>
        <v>S1PR1</v>
      </c>
      <c r="B18480" s="6" t="s">
        <v>1</v>
      </c>
      <c r="C18480" s="6" t="s">
        <v>1</v>
      </c>
    </row>
    <row r="18481" spans="1:3" s="8" customFormat="1" x14ac:dyDescent="0.2">
      <c r="A18481" s="6" t="str">
        <f>"APLNR"</f>
        <v>APLNR</v>
      </c>
      <c r="B18481" s="6" t="s">
        <v>1</v>
      </c>
      <c r="C18481" s="6" t="s">
        <v>1</v>
      </c>
    </row>
    <row r="18482" spans="1:3" s="8" customFormat="1" x14ac:dyDescent="0.2">
      <c r="A18482" s="6" t="str">
        <f>"AC009902.2"</f>
        <v>AC009902.2</v>
      </c>
      <c r="B18482" s="6" t="s">
        <v>1</v>
      </c>
      <c r="C18482" s="6" t="s">
        <v>1</v>
      </c>
    </row>
    <row r="18483" spans="1:3" s="8" customFormat="1" x14ac:dyDescent="0.2">
      <c r="A18483" s="6" t="str">
        <f>"SUCNR1"</f>
        <v>SUCNR1</v>
      </c>
      <c r="B18483" s="6" t="s">
        <v>1</v>
      </c>
      <c r="C18483" s="6" t="s">
        <v>1</v>
      </c>
    </row>
    <row r="18484" spans="1:3" s="8" customFormat="1" x14ac:dyDescent="0.2">
      <c r="A18484" s="6" t="str">
        <f>"KCNA3"</f>
        <v>KCNA3</v>
      </c>
      <c r="B18484" s="6" t="s">
        <v>1</v>
      </c>
      <c r="C18484" s="6" t="s">
        <v>1</v>
      </c>
    </row>
    <row r="18485" spans="1:3" s="8" customFormat="1" x14ac:dyDescent="0.2">
      <c r="A18485" s="6" t="str">
        <f>"AC087482.1"</f>
        <v>AC087482.1</v>
      </c>
      <c r="B18485" s="6" t="s">
        <v>1</v>
      </c>
      <c r="C18485" s="6" t="s">
        <v>1</v>
      </c>
    </row>
    <row r="18486" spans="1:3" s="8" customFormat="1" x14ac:dyDescent="0.2">
      <c r="A18486" s="6" t="str">
        <f>"ADPGK-AS1"</f>
        <v>ADPGK-AS1</v>
      </c>
      <c r="B18486" s="6" t="s">
        <v>1</v>
      </c>
      <c r="C18486" s="6" t="s">
        <v>1</v>
      </c>
    </row>
    <row r="18487" spans="1:3" s="8" customFormat="1" x14ac:dyDescent="0.2">
      <c r="A18487" s="6" t="str">
        <f>"AC004834.1"</f>
        <v>AC004834.1</v>
      </c>
      <c r="B18487" s="6" t="s">
        <v>1</v>
      </c>
      <c r="C18487" s="6" t="s">
        <v>1</v>
      </c>
    </row>
    <row r="18488" spans="1:3" s="8" customFormat="1" x14ac:dyDescent="0.2">
      <c r="A18488" s="6" t="str">
        <f>"CHRD"</f>
        <v>CHRD</v>
      </c>
      <c r="B18488" s="6" t="s">
        <v>1</v>
      </c>
      <c r="C18488" s="6" t="s">
        <v>1</v>
      </c>
    </row>
    <row r="18489" spans="1:3" s="8" customFormat="1" x14ac:dyDescent="0.2">
      <c r="A18489" s="6" t="str">
        <f>"KCNA2"</f>
        <v>KCNA2</v>
      </c>
      <c r="B18489" s="6" t="s">
        <v>1</v>
      </c>
      <c r="C18489" s="6" t="s">
        <v>1</v>
      </c>
    </row>
    <row r="18490" spans="1:3" s="8" customFormat="1" x14ac:dyDescent="0.2">
      <c r="A18490" s="6" t="str">
        <f>"EEF1A1P9"</f>
        <v>EEF1A1P9</v>
      </c>
      <c r="B18490" s="6" t="s">
        <v>1</v>
      </c>
      <c r="C18490" s="6" t="s">
        <v>1</v>
      </c>
    </row>
    <row r="18491" spans="1:3" s="8" customFormat="1" x14ac:dyDescent="0.2">
      <c r="A18491" s="6" t="str">
        <f>"AC009318.2"</f>
        <v>AC009318.2</v>
      </c>
      <c r="B18491" s="6" t="s">
        <v>1</v>
      </c>
      <c r="C18491" s="6" t="s">
        <v>1</v>
      </c>
    </row>
    <row r="18492" spans="1:3" s="8" customFormat="1" x14ac:dyDescent="0.2">
      <c r="A18492" s="6" t="str">
        <f>"AC127526.2"</f>
        <v>AC127526.2</v>
      </c>
      <c r="B18492" s="6" t="s">
        <v>1</v>
      </c>
      <c r="C18492" s="6" t="s">
        <v>1</v>
      </c>
    </row>
    <row r="18493" spans="1:3" s="8" customFormat="1" x14ac:dyDescent="0.2">
      <c r="A18493" s="6" t="str">
        <f>"CYP3A7"</f>
        <v>CYP3A7</v>
      </c>
      <c r="B18493" s="6" t="s">
        <v>1</v>
      </c>
      <c r="C18493" s="6" t="s">
        <v>1</v>
      </c>
    </row>
    <row r="18494" spans="1:3" s="8" customFormat="1" x14ac:dyDescent="0.2">
      <c r="A18494" s="6" t="str">
        <f>"MIOX"</f>
        <v>MIOX</v>
      </c>
      <c r="B18494" s="6" t="s">
        <v>1</v>
      </c>
      <c r="C18494" s="6" t="s">
        <v>1</v>
      </c>
    </row>
    <row r="18495" spans="1:3" s="8" customFormat="1" x14ac:dyDescent="0.2">
      <c r="A18495" s="6" t="str">
        <f>"MAGED4"</f>
        <v>MAGED4</v>
      </c>
      <c r="B18495" s="6" t="s">
        <v>1</v>
      </c>
      <c r="C18495" s="6" t="s">
        <v>1</v>
      </c>
    </row>
    <row r="18496" spans="1:3" s="8" customFormat="1" x14ac:dyDescent="0.2">
      <c r="A18496" s="6" t="str">
        <f>"AC107982.3"</f>
        <v>AC107982.3</v>
      </c>
      <c r="B18496" s="6" t="s">
        <v>1</v>
      </c>
      <c r="C18496" s="6" t="s">
        <v>1</v>
      </c>
    </row>
    <row r="18497" spans="1:3" s="8" customFormat="1" x14ac:dyDescent="0.2">
      <c r="A18497" s="6" t="str">
        <f>"AC009318.3"</f>
        <v>AC009318.3</v>
      </c>
      <c r="B18497" s="6" t="s">
        <v>1</v>
      </c>
      <c r="C18497" s="6" t="s">
        <v>1</v>
      </c>
    </row>
    <row r="18498" spans="1:3" s="8" customFormat="1" x14ac:dyDescent="0.2">
      <c r="A18498" s="6" t="str">
        <f>"VIT"</f>
        <v>VIT</v>
      </c>
      <c r="B18498" s="6" t="s">
        <v>1</v>
      </c>
      <c r="C18498" s="6" t="s">
        <v>1</v>
      </c>
    </row>
    <row r="18499" spans="1:3" s="8" customFormat="1" x14ac:dyDescent="0.2">
      <c r="A18499" s="6" t="str">
        <f>"AC068446.2"</f>
        <v>AC068446.2</v>
      </c>
      <c r="B18499" s="6" t="s">
        <v>1</v>
      </c>
      <c r="C18499" s="6" t="s">
        <v>1</v>
      </c>
    </row>
    <row r="18500" spans="1:3" s="8" customFormat="1" x14ac:dyDescent="0.2">
      <c r="A18500" s="6" t="str">
        <f>"PROSER2-AS1"</f>
        <v>PROSER2-AS1</v>
      </c>
      <c r="B18500" s="6" t="s">
        <v>1</v>
      </c>
      <c r="C18500" s="6" t="s">
        <v>1</v>
      </c>
    </row>
    <row r="18501" spans="1:3" s="8" customFormat="1" x14ac:dyDescent="0.2">
      <c r="A18501" s="6" t="str">
        <f>"AL133373.3"</f>
        <v>AL133373.3</v>
      </c>
      <c r="B18501" s="6" t="s">
        <v>1</v>
      </c>
      <c r="C18501" s="6" t="s">
        <v>1</v>
      </c>
    </row>
    <row r="18502" spans="1:3" s="8" customFormat="1" x14ac:dyDescent="0.2">
      <c r="A18502" s="6" t="str">
        <f>"AP000437.1"</f>
        <v>AP000437.1</v>
      </c>
      <c r="B18502" s="6" t="s">
        <v>1</v>
      </c>
      <c r="C18502" s="6" t="s">
        <v>1</v>
      </c>
    </row>
    <row r="18503" spans="1:3" s="8" customFormat="1" x14ac:dyDescent="0.2">
      <c r="A18503" s="6" t="str">
        <f>"HMGB1P3"</f>
        <v>HMGB1P3</v>
      </c>
      <c r="B18503" s="6" t="s">
        <v>1</v>
      </c>
      <c r="C18503" s="6" t="s">
        <v>1</v>
      </c>
    </row>
    <row r="18504" spans="1:3" s="8" customFormat="1" x14ac:dyDescent="0.2">
      <c r="A18504" s="6" t="str">
        <f>"AL023802.1"</f>
        <v>AL023802.1</v>
      </c>
      <c r="B18504" s="6" t="s">
        <v>1</v>
      </c>
      <c r="C18504" s="6" t="s">
        <v>1</v>
      </c>
    </row>
    <row r="18505" spans="1:3" s="8" customFormat="1" x14ac:dyDescent="0.2">
      <c r="A18505" s="6" t="str">
        <f>"GABRR2"</f>
        <v>GABRR2</v>
      </c>
      <c r="B18505" s="6" t="s">
        <v>1</v>
      </c>
      <c r="C18505" s="6" t="s">
        <v>1</v>
      </c>
    </row>
    <row r="18506" spans="1:3" s="8" customFormat="1" x14ac:dyDescent="0.2">
      <c r="A18506" s="6" t="str">
        <f>"CRLF2"</f>
        <v>CRLF2</v>
      </c>
      <c r="B18506" s="6" t="s">
        <v>1</v>
      </c>
      <c r="C18506" s="6" t="s">
        <v>1</v>
      </c>
    </row>
    <row r="18507" spans="1:3" s="8" customFormat="1" x14ac:dyDescent="0.2">
      <c r="A18507" s="6" t="str">
        <f>"HNF1A-AS1"</f>
        <v>HNF1A-AS1</v>
      </c>
      <c r="B18507" s="6" t="s">
        <v>1</v>
      </c>
      <c r="C18507" s="6" t="s">
        <v>1</v>
      </c>
    </row>
    <row r="18508" spans="1:3" s="8" customFormat="1" x14ac:dyDescent="0.2">
      <c r="A18508" s="6" t="str">
        <f>"AC131025.3"</f>
        <v>AC131025.3</v>
      </c>
      <c r="B18508" s="6" t="s">
        <v>1</v>
      </c>
      <c r="C18508" s="6" t="s">
        <v>1</v>
      </c>
    </row>
    <row r="18509" spans="1:3" s="8" customFormat="1" x14ac:dyDescent="0.2">
      <c r="A18509" s="6" t="str">
        <f>"AC245884.11"</f>
        <v>AC245884.11</v>
      </c>
      <c r="B18509" s="6" t="s">
        <v>1</v>
      </c>
      <c r="C18509" s="6" t="s">
        <v>1</v>
      </c>
    </row>
    <row r="18510" spans="1:3" s="8" customFormat="1" x14ac:dyDescent="0.2">
      <c r="A18510" s="6" t="str">
        <f>"MIR194-2HG"</f>
        <v>MIR194-2HG</v>
      </c>
      <c r="B18510" s="6" t="s">
        <v>1</v>
      </c>
      <c r="C18510" s="6" t="s">
        <v>1</v>
      </c>
    </row>
    <row r="18511" spans="1:3" s="8" customFormat="1" x14ac:dyDescent="0.2">
      <c r="A18511" s="6" t="str">
        <f>"AC012447.1"</f>
        <v>AC012447.1</v>
      </c>
      <c r="B18511" s="6" t="s">
        <v>1</v>
      </c>
      <c r="C18511" s="6" t="s">
        <v>1</v>
      </c>
    </row>
    <row r="18512" spans="1:3" s="8" customFormat="1" x14ac:dyDescent="0.2">
      <c r="A18512" s="6" t="str">
        <f>"AC087239.1"</f>
        <v>AC087239.1</v>
      </c>
      <c r="B18512" s="6" t="s">
        <v>1</v>
      </c>
      <c r="C18512" s="6" t="s">
        <v>1</v>
      </c>
    </row>
    <row r="18513" spans="1:3" s="8" customFormat="1" x14ac:dyDescent="0.2">
      <c r="A18513" s="6" t="str">
        <f>"HNRNPA1P10"</f>
        <v>HNRNPA1P10</v>
      </c>
      <c r="B18513" s="6" t="s">
        <v>1</v>
      </c>
      <c r="C18513" s="6" t="s">
        <v>1</v>
      </c>
    </row>
    <row r="18514" spans="1:3" s="8" customFormat="1" x14ac:dyDescent="0.2">
      <c r="A18514" s="6" t="str">
        <f>"OVCH1-AS1"</f>
        <v>OVCH1-AS1</v>
      </c>
      <c r="B18514" s="6" t="s">
        <v>1</v>
      </c>
      <c r="C18514" s="6" t="s">
        <v>1</v>
      </c>
    </row>
    <row r="18515" spans="1:3" s="8" customFormat="1" x14ac:dyDescent="0.2">
      <c r="A18515" s="6" t="str">
        <f>"LINC01014"</f>
        <v>LINC01014</v>
      </c>
      <c r="B18515" s="6" t="s">
        <v>1</v>
      </c>
      <c r="C18515" s="6" t="s">
        <v>1</v>
      </c>
    </row>
    <row r="18516" spans="1:3" s="8" customFormat="1" x14ac:dyDescent="0.2">
      <c r="A18516" s="6" t="str">
        <f>"LINC01215"</f>
        <v>LINC01215</v>
      </c>
      <c r="B18516" s="6" t="s">
        <v>1</v>
      </c>
      <c r="C18516" s="6" t="s">
        <v>1</v>
      </c>
    </row>
    <row r="18517" spans="1:3" s="8" customFormat="1" x14ac:dyDescent="0.2">
      <c r="A18517" s="6" t="str">
        <f>"AL359921.2"</f>
        <v>AL359921.2</v>
      </c>
      <c r="B18517" s="6" t="s">
        <v>1</v>
      </c>
      <c r="C18517" s="6" t="s">
        <v>1</v>
      </c>
    </row>
    <row r="18518" spans="1:3" s="8" customFormat="1" x14ac:dyDescent="0.2">
      <c r="A18518" s="6" t="str">
        <f>"AL450345.2"</f>
        <v>AL450345.2</v>
      </c>
      <c r="B18518" s="6" t="s">
        <v>1</v>
      </c>
      <c r="C18518" s="6" t="s">
        <v>1</v>
      </c>
    </row>
    <row r="18519" spans="1:3" s="8" customFormat="1" x14ac:dyDescent="0.2">
      <c r="A18519" s="6" t="str">
        <f>"AL133318.1"</f>
        <v>AL133318.1</v>
      </c>
      <c r="B18519" s="6" t="s">
        <v>1</v>
      </c>
      <c r="C18519" s="6" t="s">
        <v>1</v>
      </c>
    </row>
    <row r="18520" spans="1:3" s="8" customFormat="1" x14ac:dyDescent="0.2">
      <c r="A18520" s="6" t="str">
        <f>"AC009948.2"</f>
        <v>AC009948.2</v>
      </c>
      <c r="B18520" s="6" t="s">
        <v>1</v>
      </c>
      <c r="C18520" s="6" t="s">
        <v>1</v>
      </c>
    </row>
    <row r="18521" spans="1:3" s="8" customFormat="1" x14ac:dyDescent="0.2">
      <c r="A18521" s="6" t="str">
        <f>"LHX6"</f>
        <v>LHX6</v>
      </c>
      <c r="B18521" s="6" t="s">
        <v>1</v>
      </c>
      <c r="C18521" s="6" t="s">
        <v>1</v>
      </c>
    </row>
    <row r="18522" spans="1:3" s="8" customFormat="1" x14ac:dyDescent="0.2">
      <c r="A18522" s="6" t="str">
        <f>"SRP54-AS1"</f>
        <v>SRP54-AS1</v>
      </c>
      <c r="B18522" s="6" t="s">
        <v>1</v>
      </c>
      <c r="C18522" s="6" t="s">
        <v>1</v>
      </c>
    </row>
    <row r="18523" spans="1:3" s="8" customFormat="1" x14ac:dyDescent="0.2">
      <c r="A18523" s="6" t="str">
        <f>"AC064799.1"</f>
        <v>AC064799.1</v>
      </c>
      <c r="B18523" s="6" t="s">
        <v>1</v>
      </c>
      <c r="C18523" s="6" t="s">
        <v>1</v>
      </c>
    </row>
    <row r="18524" spans="1:3" s="8" customFormat="1" x14ac:dyDescent="0.2">
      <c r="A18524" s="6" t="str">
        <f>"AP000580.1"</f>
        <v>AP000580.1</v>
      </c>
      <c r="B18524" s="6" t="s">
        <v>1</v>
      </c>
      <c r="C18524" s="6" t="s">
        <v>1</v>
      </c>
    </row>
    <row r="18525" spans="1:3" s="8" customFormat="1" x14ac:dyDescent="0.2">
      <c r="A18525" s="6" t="str">
        <f>"TNFRSF4"</f>
        <v>TNFRSF4</v>
      </c>
      <c r="B18525" s="6" t="s">
        <v>1</v>
      </c>
      <c r="C18525" s="6" t="s">
        <v>1</v>
      </c>
    </row>
    <row r="18526" spans="1:3" s="8" customFormat="1" x14ac:dyDescent="0.2">
      <c r="A18526" s="6" t="str">
        <f>"AP000894.4"</f>
        <v>AP000894.4</v>
      </c>
      <c r="B18526" s="6" t="s">
        <v>1</v>
      </c>
      <c r="C18526" s="6" t="s">
        <v>1</v>
      </c>
    </row>
    <row r="18527" spans="1:3" s="8" customFormat="1" x14ac:dyDescent="0.2">
      <c r="A18527" s="6" t="str">
        <f>"SRPX"</f>
        <v>SRPX</v>
      </c>
      <c r="B18527" s="6" t="s">
        <v>1</v>
      </c>
      <c r="C18527" s="6" t="s">
        <v>1</v>
      </c>
    </row>
    <row r="18528" spans="1:3" s="8" customFormat="1" x14ac:dyDescent="0.2">
      <c r="A18528" s="6" t="str">
        <f>"MYLKP1"</f>
        <v>MYLKP1</v>
      </c>
      <c r="B18528" s="6" t="s">
        <v>1</v>
      </c>
      <c r="C18528" s="6" t="s">
        <v>1</v>
      </c>
    </row>
    <row r="18529" spans="1:3" s="8" customFormat="1" x14ac:dyDescent="0.2">
      <c r="A18529" s="6" t="str">
        <f>"AC129926.1"</f>
        <v>AC129926.1</v>
      </c>
      <c r="B18529" s="6" t="s">
        <v>1</v>
      </c>
      <c r="C18529" s="6" t="s">
        <v>1</v>
      </c>
    </row>
    <row r="18530" spans="1:3" s="8" customFormat="1" x14ac:dyDescent="0.2">
      <c r="A18530" s="6" t="str">
        <f>"AC093535.2"</f>
        <v>AC093535.2</v>
      </c>
      <c r="B18530" s="6" t="s">
        <v>1</v>
      </c>
      <c r="C18530" s="6" t="s">
        <v>1</v>
      </c>
    </row>
    <row r="18531" spans="1:3" s="8" customFormat="1" x14ac:dyDescent="0.2">
      <c r="A18531" s="6" t="str">
        <f>"CYP4F22"</f>
        <v>CYP4F22</v>
      </c>
      <c r="B18531" s="6" t="s">
        <v>1</v>
      </c>
      <c r="C18531" s="6" t="s">
        <v>1</v>
      </c>
    </row>
    <row r="18532" spans="1:3" s="8" customFormat="1" x14ac:dyDescent="0.2">
      <c r="A18532" s="6" t="str">
        <f>"TMEM151B"</f>
        <v>TMEM151B</v>
      </c>
      <c r="B18532" s="6" t="s">
        <v>1</v>
      </c>
      <c r="C18532" s="6" t="s">
        <v>1</v>
      </c>
    </row>
    <row r="18533" spans="1:3" s="8" customFormat="1" x14ac:dyDescent="0.2">
      <c r="A18533" s="6" t="str">
        <f>"AC063979.1"</f>
        <v>AC063979.1</v>
      </c>
      <c r="B18533" s="6" t="s">
        <v>1</v>
      </c>
      <c r="C18533" s="6" t="s">
        <v>1</v>
      </c>
    </row>
    <row r="18534" spans="1:3" s="8" customFormat="1" x14ac:dyDescent="0.2">
      <c r="A18534" s="6" t="str">
        <f>"AC084262.2"</f>
        <v>AC084262.2</v>
      </c>
      <c r="B18534" s="6" t="s">
        <v>1</v>
      </c>
      <c r="C18534" s="6" t="s">
        <v>1</v>
      </c>
    </row>
    <row r="18535" spans="1:3" s="8" customFormat="1" x14ac:dyDescent="0.2">
      <c r="A18535" s="6" t="str">
        <f>"AC012459.1"</f>
        <v>AC012459.1</v>
      </c>
      <c r="B18535" s="6" t="s">
        <v>1</v>
      </c>
      <c r="C18535" s="6" t="s">
        <v>1</v>
      </c>
    </row>
    <row r="18536" spans="1:3" s="8" customFormat="1" x14ac:dyDescent="0.2">
      <c r="A18536" s="6" t="str">
        <f>"MCTS2P"</f>
        <v>MCTS2P</v>
      </c>
      <c r="B18536" s="6" t="s">
        <v>1</v>
      </c>
      <c r="C18536" s="6" t="s">
        <v>1</v>
      </c>
    </row>
    <row r="18537" spans="1:3" s="8" customFormat="1" x14ac:dyDescent="0.2">
      <c r="A18537" s="6" t="str">
        <f>"AL445248.1"</f>
        <v>AL445248.1</v>
      </c>
      <c r="B18537" s="6" t="s">
        <v>1</v>
      </c>
      <c r="C18537" s="6" t="s">
        <v>1</v>
      </c>
    </row>
    <row r="18538" spans="1:3" s="8" customFormat="1" x14ac:dyDescent="0.2">
      <c r="A18538" s="6" t="str">
        <f>"NEFM"</f>
        <v>NEFM</v>
      </c>
      <c r="B18538" s="6" t="s">
        <v>1</v>
      </c>
      <c r="C18538" s="6" t="s">
        <v>1</v>
      </c>
    </row>
    <row r="18539" spans="1:3" s="8" customFormat="1" x14ac:dyDescent="0.2">
      <c r="A18539" s="6" t="str">
        <f>"AL031123.5"</f>
        <v>AL031123.5</v>
      </c>
      <c r="B18539" s="6" t="s">
        <v>1</v>
      </c>
      <c r="C18539" s="6" t="s">
        <v>1</v>
      </c>
    </row>
    <row r="18540" spans="1:3" s="8" customFormat="1" x14ac:dyDescent="0.2">
      <c r="A18540" s="6" t="str">
        <f>"LGALS17A"</f>
        <v>LGALS17A</v>
      </c>
      <c r="B18540" s="6" t="s">
        <v>1</v>
      </c>
      <c r="C18540" s="6" t="s">
        <v>1</v>
      </c>
    </row>
    <row r="18541" spans="1:3" s="8" customFormat="1" x14ac:dyDescent="0.2">
      <c r="A18541" s="6" t="str">
        <f>"MIR924HG"</f>
        <v>MIR924HG</v>
      </c>
      <c r="B18541" s="6" t="s">
        <v>1</v>
      </c>
      <c r="C18541" s="6" t="s">
        <v>1</v>
      </c>
    </row>
    <row r="18542" spans="1:3" s="8" customFormat="1" x14ac:dyDescent="0.2">
      <c r="A18542" s="6" t="str">
        <f>"AL133268.1"</f>
        <v>AL133268.1</v>
      </c>
      <c r="B18542" s="6" t="s">
        <v>1</v>
      </c>
      <c r="C18542" s="6" t="s">
        <v>1</v>
      </c>
    </row>
    <row r="18543" spans="1:3" s="8" customFormat="1" x14ac:dyDescent="0.2">
      <c r="A18543" s="6" t="str">
        <f>"AL136295.3"</f>
        <v>AL136295.3</v>
      </c>
      <c r="B18543" s="6" t="s">
        <v>1</v>
      </c>
      <c r="C18543" s="6" t="s">
        <v>1</v>
      </c>
    </row>
    <row r="18544" spans="1:3" s="8" customFormat="1" x14ac:dyDescent="0.2">
      <c r="A18544" s="6" t="str">
        <f>"AC107081.2"</f>
        <v>AC107081.2</v>
      </c>
      <c r="B18544" s="6" t="s">
        <v>1</v>
      </c>
      <c r="C18544" s="6" t="s">
        <v>1</v>
      </c>
    </row>
    <row r="18545" spans="1:3" s="8" customFormat="1" x14ac:dyDescent="0.2">
      <c r="A18545" s="6" t="str">
        <f>"DNM1P46"</f>
        <v>DNM1P46</v>
      </c>
      <c r="B18545" s="6" t="s">
        <v>1</v>
      </c>
      <c r="C18545" s="6" t="s">
        <v>1</v>
      </c>
    </row>
    <row r="18546" spans="1:3" s="8" customFormat="1" x14ac:dyDescent="0.2">
      <c r="A18546" s="6" t="str">
        <f>"NECAB1"</f>
        <v>NECAB1</v>
      </c>
      <c r="B18546" s="6" t="s">
        <v>1</v>
      </c>
      <c r="C18546" s="6" t="s">
        <v>1</v>
      </c>
    </row>
    <row r="18547" spans="1:3" s="8" customFormat="1" x14ac:dyDescent="0.2">
      <c r="A18547" s="6" t="str">
        <f>"TNFSF11"</f>
        <v>TNFSF11</v>
      </c>
      <c r="B18547" s="6" t="s">
        <v>1</v>
      </c>
      <c r="C18547" s="6" t="s">
        <v>1</v>
      </c>
    </row>
    <row r="18548" spans="1:3" s="8" customFormat="1" x14ac:dyDescent="0.2">
      <c r="A18548" s="6" t="str">
        <f>"INMT"</f>
        <v>INMT</v>
      </c>
      <c r="B18548" s="6" t="s">
        <v>1</v>
      </c>
      <c r="C18548" s="6" t="s">
        <v>1</v>
      </c>
    </row>
    <row r="18549" spans="1:3" s="8" customFormat="1" x14ac:dyDescent="0.2">
      <c r="A18549" s="6" t="str">
        <f>"DNAJC19P5"</f>
        <v>DNAJC19P5</v>
      </c>
      <c r="B18549" s="6" t="s">
        <v>1</v>
      </c>
      <c r="C18549" s="6" t="s">
        <v>1</v>
      </c>
    </row>
    <row r="18550" spans="1:3" s="8" customFormat="1" x14ac:dyDescent="0.2">
      <c r="A18550" s="6" t="str">
        <f>"LINC02303"</f>
        <v>LINC02303</v>
      </c>
      <c r="B18550" s="6" t="s">
        <v>1</v>
      </c>
      <c r="C18550" s="6" t="s">
        <v>1</v>
      </c>
    </row>
    <row r="18551" spans="1:3" s="8" customFormat="1" x14ac:dyDescent="0.2">
      <c r="A18551" s="6" t="str">
        <f>"GREM1"</f>
        <v>GREM1</v>
      </c>
      <c r="B18551" s="6" t="s">
        <v>1</v>
      </c>
      <c r="C18551" s="6" t="s">
        <v>1</v>
      </c>
    </row>
    <row r="18552" spans="1:3" s="8" customFormat="1" x14ac:dyDescent="0.2">
      <c r="A18552" s="6" t="str">
        <f>"ENPP6"</f>
        <v>ENPP6</v>
      </c>
      <c r="B18552" s="6" t="s">
        <v>1</v>
      </c>
      <c r="C18552" s="6" t="s">
        <v>1</v>
      </c>
    </row>
    <row r="18553" spans="1:3" s="8" customFormat="1" x14ac:dyDescent="0.2">
      <c r="A18553" s="6" t="str">
        <f>"AL133346.1"</f>
        <v>AL133346.1</v>
      </c>
      <c r="B18553" s="6" t="s">
        <v>1</v>
      </c>
      <c r="C18553" s="6" t="s">
        <v>1</v>
      </c>
    </row>
    <row r="18554" spans="1:3" s="8" customFormat="1" x14ac:dyDescent="0.2">
      <c r="A18554" s="6" t="str">
        <f>"GALNT15"</f>
        <v>GALNT15</v>
      </c>
      <c r="B18554" s="6" t="s">
        <v>1</v>
      </c>
      <c r="C18554" s="6" t="s">
        <v>1</v>
      </c>
    </row>
    <row r="18555" spans="1:3" s="8" customFormat="1" x14ac:dyDescent="0.2">
      <c r="A18555" s="6" t="str">
        <f>"AL353708.3"</f>
        <v>AL353708.3</v>
      </c>
      <c r="B18555" s="6" t="s">
        <v>1</v>
      </c>
      <c r="C18555" s="6" t="s">
        <v>1</v>
      </c>
    </row>
    <row r="18556" spans="1:3" s="8" customFormat="1" x14ac:dyDescent="0.2">
      <c r="A18556" s="6" t="str">
        <f>"GPR83"</f>
        <v>GPR83</v>
      </c>
      <c r="B18556" s="6" t="s">
        <v>1</v>
      </c>
      <c r="C18556" s="6" t="s">
        <v>1</v>
      </c>
    </row>
    <row r="18557" spans="1:3" s="8" customFormat="1" x14ac:dyDescent="0.2">
      <c r="A18557" s="6" t="str">
        <f>"AL512363.1"</f>
        <v>AL512363.1</v>
      </c>
      <c r="B18557" s="6" t="s">
        <v>1</v>
      </c>
      <c r="C18557" s="6" t="s">
        <v>1</v>
      </c>
    </row>
    <row r="18558" spans="1:3" s="8" customFormat="1" x14ac:dyDescent="0.2">
      <c r="A18558" s="6" t="str">
        <f>"AL353795.3"</f>
        <v>AL353795.3</v>
      </c>
      <c r="B18558" s="6" t="s">
        <v>1</v>
      </c>
      <c r="C18558" s="6" t="s">
        <v>1</v>
      </c>
    </row>
    <row r="18559" spans="1:3" s="8" customFormat="1" x14ac:dyDescent="0.2">
      <c r="A18559" s="6" t="str">
        <f>"AC127496.5"</f>
        <v>AC127496.5</v>
      </c>
      <c r="B18559" s="6" t="s">
        <v>1</v>
      </c>
      <c r="C18559" s="6" t="s">
        <v>1</v>
      </c>
    </row>
    <row r="18560" spans="1:3" s="8" customFormat="1" x14ac:dyDescent="0.2">
      <c r="A18560" s="6" t="str">
        <f>"P3H2-AS1"</f>
        <v>P3H2-AS1</v>
      </c>
      <c r="B18560" s="6" t="s">
        <v>1</v>
      </c>
      <c r="C18560" s="6" t="s">
        <v>1</v>
      </c>
    </row>
    <row r="18561" spans="1:3" s="8" customFormat="1" x14ac:dyDescent="0.2">
      <c r="A18561" s="6" t="str">
        <f>"WNK4"</f>
        <v>WNK4</v>
      </c>
      <c r="B18561" s="6" t="s">
        <v>1</v>
      </c>
      <c r="C18561" s="6" t="s">
        <v>1</v>
      </c>
    </row>
    <row r="18562" spans="1:3" s="8" customFormat="1" x14ac:dyDescent="0.2">
      <c r="A18562" s="6" t="str">
        <f>"NPC1L1"</f>
        <v>NPC1L1</v>
      </c>
      <c r="B18562" s="6" t="s">
        <v>1</v>
      </c>
      <c r="C18562" s="6" t="s">
        <v>1</v>
      </c>
    </row>
    <row r="18563" spans="1:3" s="8" customFormat="1" x14ac:dyDescent="0.2">
      <c r="A18563" s="6" t="str">
        <f>"AC131160.1"</f>
        <v>AC131160.1</v>
      </c>
      <c r="B18563" s="6" t="s">
        <v>1</v>
      </c>
      <c r="C18563" s="6" t="s">
        <v>1</v>
      </c>
    </row>
    <row r="18564" spans="1:3" s="8" customFormat="1" x14ac:dyDescent="0.2">
      <c r="A18564" s="6" t="str">
        <f>"INGX"</f>
        <v>INGX</v>
      </c>
      <c r="B18564" s="6" t="s">
        <v>1</v>
      </c>
      <c r="C18564" s="6" t="s">
        <v>1</v>
      </c>
    </row>
    <row r="18565" spans="1:3" s="8" customFormat="1" x14ac:dyDescent="0.2">
      <c r="A18565" s="6" t="str">
        <f>"APLP1"</f>
        <v>APLP1</v>
      </c>
      <c r="B18565" s="6" t="s">
        <v>1</v>
      </c>
      <c r="C18565" s="6" t="s">
        <v>1</v>
      </c>
    </row>
    <row r="18566" spans="1:3" s="8" customFormat="1" x14ac:dyDescent="0.2">
      <c r="A18566" s="6" t="str">
        <f>"CELP"</f>
        <v>CELP</v>
      </c>
      <c r="B18566" s="6" t="s">
        <v>1</v>
      </c>
      <c r="C18566" s="6" t="s">
        <v>1</v>
      </c>
    </row>
    <row r="18567" spans="1:3" s="8" customFormat="1" x14ac:dyDescent="0.2">
      <c r="A18567" s="6" t="str">
        <f>"CREG2"</f>
        <v>CREG2</v>
      </c>
      <c r="B18567" s="6" t="s">
        <v>1</v>
      </c>
      <c r="C18567" s="6" t="s">
        <v>1</v>
      </c>
    </row>
    <row r="18568" spans="1:3" s="8" customFormat="1" x14ac:dyDescent="0.2">
      <c r="A18568" s="6" t="str">
        <f>"AC108457.1"</f>
        <v>AC108457.1</v>
      </c>
      <c r="B18568" s="6" t="s">
        <v>1</v>
      </c>
      <c r="C18568" s="6" t="s">
        <v>1</v>
      </c>
    </row>
    <row r="18569" spans="1:3" s="8" customFormat="1" x14ac:dyDescent="0.2">
      <c r="A18569" s="6" t="str">
        <f>"AC004893.2"</f>
        <v>AC004893.2</v>
      </c>
      <c r="B18569" s="6" t="s">
        <v>1</v>
      </c>
      <c r="C18569" s="6" t="s">
        <v>1</v>
      </c>
    </row>
    <row r="18570" spans="1:3" s="8" customFormat="1" x14ac:dyDescent="0.2">
      <c r="A18570" s="6" t="str">
        <f>"ODAM"</f>
        <v>ODAM</v>
      </c>
      <c r="B18570" s="6" t="s">
        <v>1</v>
      </c>
      <c r="C18570" s="6" t="s">
        <v>1</v>
      </c>
    </row>
    <row r="18571" spans="1:3" s="8" customFormat="1" x14ac:dyDescent="0.2">
      <c r="A18571" s="6" t="str">
        <f>"LGI4"</f>
        <v>LGI4</v>
      </c>
      <c r="B18571" s="6" t="s">
        <v>1</v>
      </c>
      <c r="C18571" s="6" t="s">
        <v>1</v>
      </c>
    </row>
    <row r="18572" spans="1:3" s="8" customFormat="1" x14ac:dyDescent="0.2">
      <c r="A18572" s="6" t="str">
        <f>"KLHL14"</f>
        <v>KLHL14</v>
      </c>
      <c r="B18572" s="6" t="s">
        <v>1</v>
      </c>
      <c r="C18572" s="6" t="s">
        <v>1</v>
      </c>
    </row>
    <row r="18573" spans="1:3" s="8" customFormat="1" x14ac:dyDescent="0.2">
      <c r="A18573" s="6" t="str">
        <f>"RFLNA"</f>
        <v>RFLNA</v>
      </c>
      <c r="B18573" s="6" t="s">
        <v>1</v>
      </c>
      <c r="C18573" s="6" t="s">
        <v>1</v>
      </c>
    </row>
    <row r="18574" spans="1:3" s="8" customFormat="1" x14ac:dyDescent="0.2">
      <c r="A18574" s="6" t="str">
        <f>"LINC02019"</f>
        <v>LINC02019</v>
      </c>
      <c r="B18574" s="6" t="s">
        <v>1</v>
      </c>
      <c r="C18574" s="6" t="s">
        <v>1</v>
      </c>
    </row>
    <row r="18575" spans="1:3" s="8" customFormat="1" x14ac:dyDescent="0.2">
      <c r="A18575" s="6" t="str">
        <f>"C20orf197"</f>
        <v>C20orf197</v>
      </c>
      <c r="B18575" s="6" t="s">
        <v>1</v>
      </c>
      <c r="C18575" s="6" t="s">
        <v>1</v>
      </c>
    </row>
    <row r="18576" spans="1:3" s="8" customFormat="1" x14ac:dyDescent="0.2">
      <c r="A18576" s="6" t="str">
        <f>"MIR2117HG"</f>
        <v>MIR2117HG</v>
      </c>
      <c r="B18576" s="6" t="s">
        <v>1</v>
      </c>
      <c r="C18576" s="6" t="s">
        <v>1</v>
      </c>
    </row>
    <row r="18577" spans="1:3" s="8" customFormat="1" x14ac:dyDescent="0.2">
      <c r="A18577" s="6" t="str">
        <f>"GPR18"</f>
        <v>GPR18</v>
      </c>
      <c r="B18577" s="6" t="s">
        <v>1</v>
      </c>
      <c r="C18577" s="6" t="s">
        <v>1</v>
      </c>
    </row>
    <row r="18578" spans="1:3" s="8" customFormat="1" x14ac:dyDescent="0.2">
      <c r="A18578" s="6" t="str">
        <f>"FAM72C"</f>
        <v>FAM72C</v>
      </c>
      <c r="B18578" s="6" t="s">
        <v>1</v>
      </c>
      <c r="C18578" s="6" t="s">
        <v>1</v>
      </c>
    </row>
    <row r="18579" spans="1:3" s="8" customFormat="1" x14ac:dyDescent="0.2">
      <c r="A18579" s="6" t="str">
        <f>"LINC02280"</f>
        <v>LINC02280</v>
      </c>
      <c r="B18579" s="6" t="s">
        <v>1</v>
      </c>
      <c r="C18579" s="6" t="s">
        <v>1</v>
      </c>
    </row>
    <row r="18580" spans="1:3" s="8" customFormat="1" x14ac:dyDescent="0.2">
      <c r="A18580" s="6" t="str">
        <f>"GRIK1-AS1"</f>
        <v>GRIK1-AS1</v>
      </c>
      <c r="B18580" s="6" t="s">
        <v>1</v>
      </c>
      <c r="C18580" s="6" t="s">
        <v>1</v>
      </c>
    </row>
    <row r="18581" spans="1:3" s="8" customFormat="1" x14ac:dyDescent="0.2">
      <c r="A18581" s="6" t="str">
        <f>"AC132872.2"</f>
        <v>AC132872.2</v>
      </c>
      <c r="B18581" s="6" t="s">
        <v>1</v>
      </c>
      <c r="C18581" s="6" t="s">
        <v>1</v>
      </c>
    </row>
    <row r="18582" spans="1:3" s="8" customFormat="1" x14ac:dyDescent="0.2">
      <c r="A18582" s="6" t="str">
        <f>"FIGNL2"</f>
        <v>FIGNL2</v>
      </c>
      <c r="B18582" s="6" t="s">
        <v>1</v>
      </c>
      <c r="C18582" s="6" t="s">
        <v>1</v>
      </c>
    </row>
    <row r="18583" spans="1:3" s="8" customFormat="1" x14ac:dyDescent="0.2">
      <c r="A18583" s="6" t="str">
        <f>"LINC02108"</f>
        <v>LINC02108</v>
      </c>
      <c r="B18583" s="6" t="s">
        <v>1</v>
      </c>
      <c r="C18583" s="6" t="s">
        <v>1</v>
      </c>
    </row>
    <row r="18584" spans="1:3" s="8" customFormat="1" x14ac:dyDescent="0.2">
      <c r="A18584" s="6" t="str">
        <f>"AP000977.1"</f>
        <v>AP000977.1</v>
      </c>
      <c r="B18584" s="6" t="s">
        <v>1</v>
      </c>
      <c r="C18584" s="6" t="s">
        <v>1</v>
      </c>
    </row>
    <row r="18585" spans="1:3" s="8" customFormat="1" x14ac:dyDescent="0.2">
      <c r="A18585" s="6" t="str">
        <f>"AC108479.1"</f>
        <v>AC108479.1</v>
      </c>
      <c r="B18585" s="6" t="s">
        <v>1</v>
      </c>
      <c r="C18585" s="6" t="s">
        <v>1</v>
      </c>
    </row>
    <row r="18586" spans="1:3" s="8" customFormat="1" x14ac:dyDescent="0.2">
      <c r="A18586" s="6" t="str">
        <f>"MYOZ1"</f>
        <v>MYOZ1</v>
      </c>
      <c r="B18586" s="6" t="s">
        <v>1</v>
      </c>
      <c r="C18586" s="6" t="s">
        <v>1</v>
      </c>
    </row>
    <row r="18587" spans="1:3" s="8" customFormat="1" x14ac:dyDescent="0.2">
      <c r="A18587" s="6" t="str">
        <f>"IGFALS"</f>
        <v>IGFALS</v>
      </c>
      <c r="B18587" s="6" t="s">
        <v>1</v>
      </c>
      <c r="C18587" s="6" t="s">
        <v>1</v>
      </c>
    </row>
    <row r="18588" spans="1:3" s="8" customFormat="1" x14ac:dyDescent="0.2">
      <c r="A18588" s="6" t="str">
        <f>"SRRM5"</f>
        <v>SRRM5</v>
      </c>
      <c r="B18588" s="6" t="s">
        <v>1</v>
      </c>
      <c r="C18588" s="6" t="s">
        <v>1</v>
      </c>
    </row>
    <row r="18589" spans="1:3" s="8" customFormat="1" x14ac:dyDescent="0.2">
      <c r="A18589" s="6" t="str">
        <f>"AC087354.1"</f>
        <v>AC087354.1</v>
      </c>
      <c r="B18589" s="6" t="s">
        <v>1</v>
      </c>
      <c r="C18589" s="6" t="s">
        <v>1</v>
      </c>
    </row>
    <row r="18590" spans="1:3" s="8" customFormat="1" x14ac:dyDescent="0.2">
      <c r="A18590" s="6" t="str">
        <f>"ECE1-AS1"</f>
        <v>ECE1-AS1</v>
      </c>
      <c r="B18590" s="6" t="s">
        <v>1</v>
      </c>
      <c r="C18590" s="6" t="s">
        <v>1</v>
      </c>
    </row>
    <row r="18591" spans="1:3" s="8" customFormat="1" x14ac:dyDescent="0.2">
      <c r="A18591" s="6" t="str">
        <f>"GIMAP1-GIMAP5"</f>
        <v>GIMAP1-GIMAP5</v>
      </c>
      <c r="B18591" s="6" t="s">
        <v>1</v>
      </c>
      <c r="C18591" s="6" t="s">
        <v>1</v>
      </c>
    </row>
    <row r="18592" spans="1:3" s="8" customFormat="1" x14ac:dyDescent="0.2">
      <c r="A18592" s="6" t="str">
        <f>"PPIAP40"</f>
        <v>PPIAP40</v>
      </c>
      <c r="B18592" s="6" t="s">
        <v>1</v>
      </c>
      <c r="C18592" s="6" t="s">
        <v>1</v>
      </c>
    </row>
    <row r="18593" spans="1:3" s="8" customFormat="1" x14ac:dyDescent="0.2">
      <c r="A18593" s="6" t="str">
        <f>"RPL4P4"</f>
        <v>RPL4P4</v>
      </c>
      <c r="B18593" s="6" t="s">
        <v>1</v>
      </c>
      <c r="C18593" s="6" t="s">
        <v>1</v>
      </c>
    </row>
    <row r="18594" spans="1:3" s="8" customFormat="1" x14ac:dyDescent="0.2">
      <c r="A18594" s="6" t="str">
        <f>"LDC1P"</f>
        <v>LDC1P</v>
      </c>
      <c r="B18594" s="6" t="s">
        <v>1</v>
      </c>
      <c r="C18594" s="6" t="s">
        <v>1</v>
      </c>
    </row>
    <row r="18595" spans="1:3" s="8" customFormat="1" x14ac:dyDescent="0.2">
      <c r="A18595" s="6" t="str">
        <f>"AC093525.4"</f>
        <v>AC093525.4</v>
      </c>
      <c r="B18595" s="6" t="s">
        <v>1</v>
      </c>
      <c r="C18595" s="6" t="s">
        <v>1</v>
      </c>
    </row>
    <row r="18596" spans="1:3" s="8" customFormat="1" x14ac:dyDescent="0.2">
      <c r="A18596" s="6" t="str">
        <f>"AL031775.1"</f>
        <v>AL031775.1</v>
      </c>
      <c r="B18596" s="6" t="s">
        <v>1</v>
      </c>
      <c r="C18596" s="6" t="s">
        <v>1</v>
      </c>
    </row>
    <row r="18597" spans="1:3" s="8" customFormat="1" x14ac:dyDescent="0.2">
      <c r="A18597" s="6" t="str">
        <f>"AC007390.1"</f>
        <v>AC007390.1</v>
      </c>
      <c r="B18597" s="6" t="s">
        <v>1</v>
      </c>
      <c r="C18597" s="6" t="s">
        <v>1</v>
      </c>
    </row>
    <row r="18598" spans="1:3" s="8" customFormat="1" x14ac:dyDescent="0.2">
      <c r="A18598" s="6" t="str">
        <f>"AC246817.1"</f>
        <v>AC246817.1</v>
      </c>
      <c r="B18598" s="6" t="s">
        <v>1</v>
      </c>
      <c r="C18598" s="6" t="s">
        <v>1</v>
      </c>
    </row>
    <row r="18599" spans="1:3" s="8" customFormat="1" x14ac:dyDescent="0.2">
      <c r="A18599" s="6" t="str">
        <f>"IPO9-AS1"</f>
        <v>IPO9-AS1</v>
      </c>
      <c r="B18599" s="6" t="s">
        <v>1</v>
      </c>
      <c r="C18599" s="6" t="s">
        <v>1</v>
      </c>
    </row>
    <row r="18600" spans="1:3" s="8" customFormat="1" x14ac:dyDescent="0.2">
      <c r="A18600" s="6" t="str">
        <f>"NUPR2"</f>
        <v>NUPR2</v>
      </c>
      <c r="B18600" s="6" t="s">
        <v>1</v>
      </c>
      <c r="C18600" s="6" t="s">
        <v>1</v>
      </c>
    </row>
    <row r="18601" spans="1:3" s="8" customFormat="1" x14ac:dyDescent="0.2">
      <c r="A18601" s="6" t="str">
        <f>"LHFPL3-AS2"</f>
        <v>LHFPL3-AS2</v>
      </c>
      <c r="B18601" s="6" t="s">
        <v>1</v>
      </c>
      <c r="C18601" s="6" t="s">
        <v>1</v>
      </c>
    </row>
    <row r="18602" spans="1:3" s="8" customFormat="1" x14ac:dyDescent="0.2">
      <c r="A18602" s="6" t="str">
        <f>"LINC01136"</f>
        <v>LINC01136</v>
      </c>
      <c r="B18602" s="6" t="s">
        <v>1</v>
      </c>
      <c r="C18602" s="6" t="s">
        <v>1</v>
      </c>
    </row>
    <row r="18603" spans="1:3" s="8" customFormat="1" x14ac:dyDescent="0.2">
      <c r="A18603" s="6" t="str">
        <f>"SHE"</f>
        <v>SHE</v>
      </c>
      <c r="B18603" s="6" t="s">
        <v>1</v>
      </c>
      <c r="C18603" s="6" t="s">
        <v>1</v>
      </c>
    </row>
    <row r="18604" spans="1:3" s="8" customFormat="1" x14ac:dyDescent="0.2">
      <c r="A18604" s="6" t="str">
        <f>"UGT1A4"</f>
        <v>UGT1A4</v>
      </c>
      <c r="B18604" s="6" t="s">
        <v>1</v>
      </c>
      <c r="C18604" s="6" t="s">
        <v>1</v>
      </c>
    </row>
    <row r="18605" spans="1:3" s="8" customFormat="1" x14ac:dyDescent="0.2">
      <c r="A18605" s="6" t="str">
        <f>"PDCD6-AHRR"</f>
        <v>PDCD6-AHRR</v>
      </c>
      <c r="B18605" s="6" t="s">
        <v>1</v>
      </c>
      <c r="C18605" s="6" t="s">
        <v>1</v>
      </c>
    </row>
    <row r="18606" spans="1:3" s="8" customFormat="1" x14ac:dyDescent="0.2">
      <c r="A18606" s="6" t="str">
        <f>"AC068580.5"</f>
        <v>AC068580.5</v>
      </c>
      <c r="B18606" s="6" t="s">
        <v>1</v>
      </c>
      <c r="C18606" s="6" t="s">
        <v>1</v>
      </c>
    </row>
    <row r="18607" spans="1:3" s="8" customFormat="1" x14ac:dyDescent="0.2">
      <c r="A18607" s="6" t="str">
        <f>"AC013726.1"</f>
        <v>AC013726.1</v>
      </c>
      <c r="B18607" s="6" t="s">
        <v>1</v>
      </c>
      <c r="C18607" s="6" t="s">
        <v>1</v>
      </c>
    </row>
    <row r="18608" spans="1:3" s="8" customFormat="1" x14ac:dyDescent="0.2">
      <c r="A18608" s="6" t="str">
        <f>"AC009312.1"</f>
        <v>AC009312.1</v>
      </c>
      <c r="B18608" s="6" t="s">
        <v>1</v>
      </c>
      <c r="C18608" s="6" t="s">
        <v>1</v>
      </c>
    </row>
    <row r="18609" spans="1:3" s="8" customFormat="1" x14ac:dyDescent="0.2">
      <c r="A18609" s="6" t="str">
        <f>"LINC02006"</f>
        <v>LINC02006</v>
      </c>
      <c r="B18609" s="6" t="s">
        <v>1</v>
      </c>
      <c r="C18609" s="6" t="s">
        <v>1</v>
      </c>
    </row>
    <row r="18610" spans="1:3" s="8" customFormat="1" x14ac:dyDescent="0.2">
      <c r="A18610" s="6" t="str">
        <f>"NPB"</f>
        <v>NPB</v>
      </c>
      <c r="B18610" s="6" t="s">
        <v>1</v>
      </c>
      <c r="C18610" s="6" t="s">
        <v>1</v>
      </c>
    </row>
    <row r="18611" spans="1:3" s="8" customFormat="1" x14ac:dyDescent="0.2">
      <c r="A18611" s="6" t="str">
        <f>"AC093496.1"</f>
        <v>AC093496.1</v>
      </c>
      <c r="B18611" s="6" t="s">
        <v>1</v>
      </c>
      <c r="C18611" s="6" t="s">
        <v>1</v>
      </c>
    </row>
    <row r="18612" spans="1:3" s="8" customFormat="1" x14ac:dyDescent="0.2">
      <c r="A18612" s="6" t="str">
        <f>"CELF2-DT"</f>
        <v>CELF2-DT</v>
      </c>
      <c r="B18612" s="6" t="s">
        <v>1</v>
      </c>
      <c r="C18612" s="6" t="s">
        <v>1</v>
      </c>
    </row>
    <row r="18613" spans="1:3" s="8" customFormat="1" x14ac:dyDescent="0.2">
      <c r="A18613" s="6" t="str">
        <f>"AP000350.8"</f>
        <v>AP000350.8</v>
      </c>
      <c r="B18613" s="6" t="s">
        <v>1</v>
      </c>
      <c r="C18613" s="6" t="s">
        <v>1</v>
      </c>
    </row>
    <row r="18614" spans="1:3" s="8" customFormat="1" x14ac:dyDescent="0.2">
      <c r="A18614" s="6" t="str">
        <f>"KLHL6-AS1"</f>
        <v>KLHL6-AS1</v>
      </c>
      <c r="B18614" s="6" t="s">
        <v>1</v>
      </c>
      <c r="C18614" s="6" t="s">
        <v>1</v>
      </c>
    </row>
    <row r="18615" spans="1:3" s="8" customFormat="1" x14ac:dyDescent="0.2">
      <c r="A18615" s="6" t="str">
        <f>"SOS1-IT1"</f>
        <v>SOS1-IT1</v>
      </c>
      <c r="B18615" s="6" t="s">
        <v>1</v>
      </c>
      <c r="C18615" s="6" t="s">
        <v>1</v>
      </c>
    </row>
    <row r="18616" spans="1:3" s="8" customFormat="1" x14ac:dyDescent="0.2">
      <c r="A18616" s="6" t="str">
        <f>"KCNJ1"</f>
        <v>KCNJ1</v>
      </c>
      <c r="B18616" s="6" t="s">
        <v>1</v>
      </c>
      <c r="C18616" s="6" t="s">
        <v>1</v>
      </c>
    </row>
    <row r="18617" spans="1:3" s="8" customFormat="1" x14ac:dyDescent="0.2">
      <c r="A18617" s="6" t="str">
        <f>"AC084740.1"</f>
        <v>AC084740.1</v>
      </c>
      <c r="B18617" s="6" t="s">
        <v>1</v>
      </c>
      <c r="C18617" s="6" t="s">
        <v>1</v>
      </c>
    </row>
    <row r="18618" spans="1:3" s="8" customFormat="1" x14ac:dyDescent="0.2">
      <c r="A18618" s="6" t="str">
        <f>"KLK14"</f>
        <v>KLK14</v>
      </c>
      <c r="B18618" s="6" t="s">
        <v>1</v>
      </c>
      <c r="C18618" s="6" t="s">
        <v>1</v>
      </c>
    </row>
    <row r="18619" spans="1:3" s="8" customFormat="1" x14ac:dyDescent="0.2">
      <c r="A18619" s="6" t="str">
        <f>"AC023055.1"</f>
        <v>AC023055.1</v>
      </c>
      <c r="B18619" s="6" t="s">
        <v>1</v>
      </c>
      <c r="C18619" s="6" t="s">
        <v>1</v>
      </c>
    </row>
    <row r="18620" spans="1:3" s="8" customFormat="1" x14ac:dyDescent="0.2">
      <c r="A18620" s="6" t="str">
        <f>"KLHL33"</f>
        <v>KLHL33</v>
      </c>
      <c r="B18620" s="6" t="s">
        <v>1</v>
      </c>
      <c r="C18620" s="6" t="s">
        <v>1</v>
      </c>
    </row>
    <row r="18621" spans="1:3" s="8" customFormat="1" x14ac:dyDescent="0.2">
      <c r="A18621" s="6" t="str">
        <f>"CCR4"</f>
        <v>CCR4</v>
      </c>
      <c r="B18621" s="6" t="s">
        <v>1</v>
      </c>
      <c r="C18621" s="6" t="s">
        <v>1</v>
      </c>
    </row>
    <row r="18622" spans="1:3" s="8" customFormat="1" x14ac:dyDescent="0.2">
      <c r="A18622" s="6" t="str">
        <f>"CHRNB4"</f>
        <v>CHRNB4</v>
      </c>
      <c r="B18622" s="6" t="s">
        <v>1</v>
      </c>
      <c r="C18622" s="6" t="s">
        <v>1</v>
      </c>
    </row>
    <row r="18623" spans="1:3" s="8" customFormat="1" x14ac:dyDescent="0.2">
      <c r="A18623" s="6" t="str">
        <f>"AC009961.3"</f>
        <v>AC009961.3</v>
      </c>
      <c r="B18623" s="6" t="s">
        <v>1</v>
      </c>
      <c r="C18623" s="6" t="s">
        <v>1</v>
      </c>
    </row>
    <row r="18624" spans="1:3" s="8" customFormat="1" x14ac:dyDescent="0.2">
      <c r="A18624" s="6" t="str">
        <f>"AC015799.1"</f>
        <v>AC015799.1</v>
      </c>
      <c r="B18624" s="6" t="s">
        <v>1</v>
      </c>
      <c r="C18624" s="6" t="s">
        <v>1</v>
      </c>
    </row>
    <row r="18625" spans="1:3" s="8" customFormat="1" x14ac:dyDescent="0.2">
      <c r="A18625" s="6" t="str">
        <f>"AC015802.4"</f>
        <v>AC015802.4</v>
      </c>
      <c r="B18625" s="6" t="s">
        <v>1</v>
      </c>
      <c r="C18625" s="6" t="s">
        <v>1</v>
      </c>
    </row>
    <row r="18626" spans="1:3" s="8" customFormat="1" x14ac:dyDescent="0.2">
      <c r="A18626" s="6" t="str">
        <f>"AC007318.1"</f>
        <v>AC007318.1</v>
      </c>
      <c r="B18626" s="6" t="s">
        <v>1</v>
      </c>
      <c r="C18626" s="6" t="s">
        <v>1</v>
      </c>
    </row>
    <row r="18627" spans="1:3" s="8" customFormat="1" x14ac:dyDescent="0.2">
      <c r="A18627" s="6" t="str">
        <f>"AL354833.1"</f>
        <v>AL354833.1</v>
      </c>
      <c r="B18627" s="6" t="s">
        <v>1</v>
      </c>
      <c r="C18627" s="6" t="s">
        <v>1</v>
      </c>
    </row>
    <row r="18628" spans="1:3" s="8" customFormat="1" x14ac:dyDescent="0.2">
      <c r="A18628" s="6" t="str">
        <f>"AC084824.1"</f>
        <v>AC084824.1</v>
      </c>
      <c r="B18628" s="6" t="s">
        <v>1</v>
      </c>
      <c r="C18628" s="6" t="s">
        <v>1</v>
      </c>
    </row>
    <row r="18629" spans="1:3" s="8" customFormat="1" x14ac:dyDescent="0.2">
      <c r="A18629" s="6" t="str">
        <f>"H3C14"</f>
        <v>H3C14</v>
      </c>
      <c r="B18629" s="6" t="s">
        <v>1</v>
      </c>
      <c r="C18629" s="6" t="s">
        <v>1</v>
      </c>
    </row>
    <row r="18630" spans="1:3" s="8" customFormat="1" x14ac:dyDescent="0.2">
      <c r="A18630" s="6" t="str">
        <f>"LINC00926"</f>
        <v>LINC00926</v>
      </c>
      <c r="B18630" s="6" t="s">
        <v>1</v>
      </c>
      <c r="C18630" s="6" t="s">
        <v>1</v>
      </c>
    </row>
    <row r="18631" spans="1:3" s="8" customFormat="1" x14ac:dyDescent="0.2">
      <c r="A18631" s="6" t="str">
        <f>"NEFH"</f>
        <v>NEFH</v>
      </c>
      <c r="B18631" s="6" t="s">
        <v>1</v>
      </c>
      <c r="C18631" s="6" t="s">
        <v>1</v>
      </c>
    </row>
    <row r="18632" spans="1:3" s="8" customFormat="1" x14ac:dyDescent="0.2">
      <c r="A18632" s="6" t="str">
        <f>"LINC02236"</f>
        <v>LINC02236</v>
      </c>
      <c r="B18632" s="6" t="s">
        <v>1</v>
      </c>
      <c r="C18632" s="6" t="s">
        <v>1</v>
      </c>
    </row>
    <row r="18633" spans="1:3" s="8" customFormat="1" x14ac:dyDescent="0.2">
      <c r="A18633" s="6" t="str">
        <f>"LPAL2"</f>
        <v>LPAL2</v>
      </c>
      <c r="B18633" s="6" t="s">
        <v>1</v>
      </c>
      <c r="C18633" s="6" t="s">
        <v>1</v>
      </c>
    </row>
    <row r="18634" spans="1:3" s="8" customFormat="1" x14ac:dyDescent="0.2">
      <c r="A18634" s="6" t="str">
        <f>"IGF2"</f>
        <v>IGF2</v>
      </c>
      <c r="B18634" s="6" t="s">
        <v>1</v>
      </c>
      <c r="C18634" s="6" t="s">
        <v>1</v>
      </c>
    </row>
    <row r="18635" spans="1:3" s="8" customFormat="1" x14ac:dyDescent="0.2">
      <c r="A18635" s="6" t="str">
        <f>"C2orf66"</f>
        <v>C2orf66</v>
      </c>
      <c r="B18635" s="6" t="s">
        <v>1</v>
      </c>
      <c r="C18635" s="6" t="s">
        <v>1</v>
      </c>
    </row>
    <row r="18636" spans="1:3" s="8" customFormat="1" x14ac:dyDescent="0.2">
      <c r="A18636" s="6" t="str">
        <f>"TREX2"</f>
        <v>TREX2</v>
      </c>
      <c r="B18636" s="6" t="s">
        <v>1</v>
      </c>
      <c r="C18636" s="6" t="s">
        <v>1</v>
      </c>
    </row>
    <row r="18637" spans="1:3" s="8" customFormat="1" x14ac:dyDescent="0.2">
      <c r="A18637" s="6" t="str">
        <f>"AP000542.3"</f>
        <v>AP000542.3</v>
      </c>
      <c r="B18637" s="6" t="s">
        <v>1</v>
      </c>
      <c r="C18637" s="6" t="s">
        <v>1</v>
      </c>
    </row>
    <row r="18638" spans="1:3" s="8" customFormat="1" x14ac:dyDescent="0.2">
      <c r="A18638" s="6" t="str">
        <f>"TNFRSF11B"</f>
        <v>TNFRSF11B</v>
      </c>
      <c r="B18638" s="6" t="s">
        <v>1</v>
      </c>
      <c r="C18638" s="6" t="s">
        <v>1</v>
      </c>
    </row>
    <row r="18639" spans="1:3" s="8" customFormat="1" x14ac:dyDescent="0.2">
      <c r="A18639" s="6" t="str">
        <f>"LINC01209"</f>
        <v>LINC01209</v>
      </c>
      <c r="B18639" s="6" t="s">
        <v>1</v>
      </c>
      <c r="C18639" s="6" t="s">
        <v>1</v>
      </c>
    </row>
    <row r="18640" spans="1:3" s="8" customFormat="1" x14ac:dyDescent="0.2">
      <c r="A18640" s="6" t="str">
        <f>"ENO1-AS1"</f>
        <v>ENO1-AS1</v>
      </c>
      <c r="B18640" s="6" t="s">
        <v>1</v>
      </c>
      <c r="C18640" s="6" t="s">
        <v>1</v>
      </c>
    </row>
    <row r="18641" spans="1:3" s="8" customFormat="1" x14ac:dyDescent="0.2">
      <c r="A18641" s="6" t="str">
        <f>"AL136169.1"</f>
        <v>AL136169.1</v>
      </c>
      <c r="B18641" s="6" t="s">
        <v>1</v>
      </c>
      <c r="C18641" s="6" t="s">
        <v>1</v>
      </c>
    </row>
    <row r="18642" spans="1:3" s="8" customFormat="1" x14ac:dyDescent="0.2">
      <c r="A18642" s="6" t="str">
        <f>"LINC01949"</f>
        <v>LINC01949</v>
      </c>
      <c r="B18642" s="6" t="s">
        <v>1</v>
      </c>
      <c r="C18642" s="6" t="s">
        <v>1</v>
      </c>
    </row>
    <row r="18643" spans="1:3" s="8" customFormat="1" x14ac:dyDescent="0.2">
      <c r="A18643" s="6" t="str">
        <f>"LINC02122"</f>
        <v>LINC02122</v>
      </c>
      <c r="B18643" s="6" t="s">
        <v>1</v>
      </c>
      <c r="C18643" s="6" t="s">
        <v>1</v>
      </c>
    </row>
    <row r="18644" spans="1:3" s="8" customFormat="1" x14ac:dyDescent="0.2">
      <c r="A18644" s="6" t="str">
        <f>"AC093702.1"</f>
        <v>AC093702.1</v>
      </c>
      <c r="B18644" s="6" t="s">
        <v>1</v>
      </c>
      <c r="C18644" s="6" t="s">
        <v>1</v>
      </c>
    </row>
    <row r="18645" spans="1:3" s="8" customFormat="1" x14ac:dyDescent="0.2">
      <c r="A18645" s="6" t="str">
        <f>"CCN4"</f>
        <v>CCN4</v>
      </c>
      <c r="B18645" s="6" t="s">
        <v>1</v>
      </c>
      <c r="C18645" s="6" t="s">
        <v>1</v>
      </c>
    </row>
    <row r="18646" spans="1:3" s="8" customFormat="1" x14ac:dyDescent="0.2">
      <c r="A18646" s="6" t="str">
        <f>"TBC1D29P"</f>
        <v>TBC1D29P</v>
      </c>
      <c r="B18646" s="6" t="s">
        <v>1</v>
      </c>
      <c r="C18646" s="6" t="s">
        <v>1</v>
      </c>
    </row>
    <row r="18647" spans="1:3" s="8" customFormat="1" x14ac:dyDescent="0.2">
      <c r="A18647" s="6" t="str">
        <f>"MAJIN"</f>
        <v>MAJIN</v>
      </c>
      <c r="B18647" s="6" t="s">
        <v>1</v>
      </c>
      <c r="C18647" s="6" t="s">
        <v>1</v>
      </c>
    </row>
    <row r="18648" spans="1:3" s="8" customFormat="1" x14ac:dyDescent="0.2">
      <c r="A18648" s="6" t="str">
        <f>"ENO1P4"</f>
        <v>ENO1P4</v>
      </c>
      <c r="B18648" s="6" t="s">
        <v>1</v>
      </c>
      <c r="C18648" s="6" t="s">
        <v>1</v>
      </c>
    </row>
    <row r="18649" spans="1:3" s="8" customFormat="1" x14ac:dyDescent="0.2">
      <c r="A18649" s="6" t="str">
        <f>"RANBP3L"</f>
        <v>RANBP3L</v>
      </c>
      <c r="B18649" s="6" t="s">
        <v>1</v>
      </c>
      <c r="C18649" s="6" t="s">
        <v>1</v>
      </c>
    </row>
    <row r="18650" spans="1:3" s="8" customFormat="1" x14ac:dyDescent="0.2">
      <c r="A18650" s="6" t="str">
        <f>"AC007387.1"</f>
        <v>AC007387.1</v>
      </c>
      <c r="B18650" s="6" t="s">
        <v>1</v>
      </c>
      <c r="C18650" s="6" t="s">
        <v>1</v>
      </c>
    </row>
    <row r="18651" spans="1:3" s="8" customFormat="1" x14ac:dyDescent="0.2">
      <c r="A18651" s="6" t="str">
        <f>"EMC1-AS1"</f>
        <v>EMC1-AS1</v>
      </c>
      <c r="B18651" s="6" t="s">
        <v>1</v>
      </c>
      <c r="C18651" s="6" t="s">
        <v>1</v>
      </c>
    </row>
    <row r="18652" spans="1:3" s="8" customFormat="1" x14ac:dyDescent="0.2">
      <c r="A18652" s="6" t="str">
        <f>"FAM71D"</f>
        <v>FAM71D</v>
      </c>
      <c r="B18652" s="6" t="s">
        <v>1</v>
      </c>
      <c r="C18652" s="6" t="s">
        <v>1</v>
      </c>
    </row>
    <row r="18653" spans="1:3" s="8" customFormat="1" x14ac:dyDescent="0.2">
      <c r="A18653" s="6" t="str">
        <f>"EEF1A1P12"</f>
        <v>EEF1A1P12</v>
      </c>
      <c r="B18653" s="6" t="s">
        <v>1</v>
      </c>
      <c r="C18653" s="6" t="s">
        <v>1</v>
      </c>
    </row>
    <row r="18654" spans="1:3" s="8" customFormat="1" x14ac:dyDescent="0.2">
      <c r="A18654" s="6" t="str">
        <f>"HCG20"</f>
        <v>HCG20</v>
      </c>
      <c r="B18654" s="6" t="s">
        <v>1</v>
      </c>
      <c r="C18654" s="6" t="s">
        <v>1</v>
      </c>
    </row>
    <row r="18655" spans="1:3" s="8" customFormat="1" x14ac:dyDescent="0.2">
      <c r="A18655" s="6" t="str">
        <f>"SRMS"</f>
        <v>SRMS</v>
      </c>
      <c r="B18655" s="6" t="s">
        <v>1</v>
      </c>
      <c r="C18655" s="6" t="s">
        <v>1</v>
      </c>
    </row>
    <row r="18656" spans="1:3" s="8" customFormat="1" x14ac:dyDescent="0.2">
      <c r="A18656" s="6" t="str">
        <f>"AC106886.4"</f>
        <v>AC106886.4</v>
      </c>
      <c r="B18656" s="6" t="s">
        <v>1</v>
      </c>
      <c r="C18656" s="6" t="s">
        <v>1</v>
      </c>
    </row>
    <row r="18657" spans="1:3" s="8" customFormat="1" x14ac:dyDescent="0.2">
      <c r="A18657" s="6" t="str">
        <f>"ADM5"</f>
        <v>ADM5</v>
      </c>
      <c r="B18657" s="6" t="s">
        <v>1</v>
      </c>
      <c r="C18657" s="6" t="s">
        <v>1</v>
      </c>
    </row>
    <row r="18658" spans="1:3" s="8" customFormat="1" x14ac:dyDescent="0.2">
      <c r="A18658" s="6" t="str">
        <f>"LRIG2-DT"</f>
        <v>LRIG2-DT</v>
      </c>
      <c r="B18658" s="6" t="s">
        <v>1</v>
      </c>
      <c r="C18658" s="6" t="s">
        <v>1</v>
      </c>
    </row>
    <row r="18659" spans="1:3" s="8" customFormat="1" x14ac:dyDescent="0.2">
      <c r="A18659" s="6" t="str">
        <f>"VDAC1P8"</f>
        <v>VDAC1P8</v>
      </c>
      <c r="B18659" s="6" t="s">
        <v>1</v>
      </c>
      <c r="C18659" s="6" t="s">
        <v>1</v>
      </c>
    </row>
    <row r="18660" spans="1:3" s="8" customFormat="1" x14ac:dyDescent="0.2">
      <c r="A18660" s="6" t="str">
        <f>"AL133351.4"</f>
        <v>AL133351.4</v>
      </c>
      <c r="B18660" s="6" t="s">
        <v>1</v>
      </c>
      <c r="C18660" s="6" t="s">
        <v>1</v>
      </c>
    </row>
    <row r="18661" spans="1:3" s="8" customFormat="1" x14ac:dyDescent="0.2">
      <c r="A18661" s="6" t="str">
        <f>"HAMP"</f>
        <v>HAMP</v>
      </c>
      <c r="B18661" s="6" t="s">
        <v>1</v>
      </c>
      <c r="C18661" s="6" t="s">
        <v>1</v>
      </c>
    </row>
    <row r="18662" spans="1:3" s="8" customFormat="1" x14ac:dyDescent="0.2">
      <c r="A18662" s="6" t="str">
        <f>"ASIC2"</f>
        <v>ASIC2</v>
      </c>
      <c r="B18662" s="6" t="s">
        <v>1</v>
      </c>
      <c r="C18662" s="6" t="s">
        <v>1</v>
      </c>
    </row>
    <row r="18663" spans="1:3" s="8" customFormat="1" x14ac:dyDescent="0.2">
      <c r="A18663" s="6" t="str">
        <f>"AC004846.2"</f>
        <v>AC004846.2</v>
      </c>
      <c r="B18663" s="6" t="s">
        <v>1</v>
      </c>
      <c r="C18663" s="6" t="s">
        <v>1</v>
      </c>
    </row>
    <row r="18664" spans="1:3" s="8" customFormat="1" x14ac:dyDescent="0.2">
      <c r="A18664" s="6" t="str">
        <f>"ADH4"</f>
        <v>ADH4</v>
      </c>
      <c r="B18664" s="6" t="s">
        <v>1</v>
      </c>
      <c r="C18664" s="6" t="s">
        <v>1</v>
      </c>
    </row>
    <row r="18665" spans="1:3" s="8" customFormat="1" x14ac:dyDescent="0.2">
      <c r="A18665" s="6" t="str">
        <f>"AC243919.2"</f>
        <v>AC243919.2</v>
      </c>
      <c r="B18665" s="6" t="s">
        <v>1</v>
      </c>
      <c r="C18665" s="6" t="s">
        <v>1</v>
      </c>
    </row>
    <row r="18666" spans="1:3" s="8" customFormat="1" x14ac:dyDescent="0.2">
      <c r="A18666" s="6" t="str">
        <f>"N4BP2L2-IT2"</f>
        <v>N4BP2L2-IT2</v>
      </c>
      <c r="B18666" s="6" t="s">
        <v>1</v>
      </c>
      <c r="C18666" s="6" t="s">
        <v>1</v>
      </c>
    </row>
    <row r="18667" spans="1:3" s="8" customFormat="1" x14ac:dyDescent="0.2">
      <c r="A18667" s="6" t="str">
        <f>"HCG22"</f>
        <v>HCG22</v>
      </c>
      <c r="B18667" s="6" t="s">
        <v>1</v>
      </c>
      <c r="C18667" s="6" t="s">
        <v>1</v>
      </c>
    </row>
    <row r="18668" spans="1:3" s="8" customFormat="1" x14ac:dyDescent="0.2">
      <c r="A18668" s="6" t="str">
        <f>"VIL1"</f>
        <v>VIL1</v>
      </c>
      <c r="B18668" s="6" t="s">
        <v>1</v>
      </c>
      <c r="C18668" s="6" t="s">
        <v>1</v>
      </c>
    </row>
    <row r="18669" spans="1:3" s="8" customFormat="1" x14ac:dyDescent="0.2">
      <c r="A18669" s="6" t="str">
        <f>"AL353763.1"</f>
        <v>AL353763.1</v>
      </c>
      <c r="B18669" s="6" t="s">
        <v>1</v>
      </c>
      <c r="C18669" s="6" t="s">
        <v>1</v>
      </c>
    </row>
    <row r="18670" spans="1:3" s="8" customFormat="1" x14ac:dyDescent="0.2">
      <c r="A18670" s="6" t="str">
        <f>"CYP21A1P"</f>
        <v>CYP21A1P</v>
      </c>
      <c r="B18670" s="6" t="s">
        <v>1</v>
      </c>
      <c r="C18670" s="6" t="s">
        <v>1</v>
      </c>
    </row>
    <row r="18671" spans="1:3" s="8" customFormat="1" x14ac:dyDescent="0.2">
      <c r="A18671" s="6" t="str">
        <f>"DDX59-AS1"</f>
        <v>DDX59-AS1</v>
      </c>
      <c r="B18671" s="6" t="s">
        <v>1</v>
      </c>
      <c r="C18671" s="6" t="s">
        <v>1</v>
      </c>
    </row>
    <row r="18672" spans="1:3" s="8" customFormat="1" x14ac:dyDescent="0.2">
      <c r="A18672" s="6" t="str">
        <f>"AL451123.1"</f>
        <v>AL451123.1</v>
      </c>
      <c r="B18672" s="6" t="s">
        <v>1</v>
      </c>
      <c r="C18672" s="6" t="s">
        <v>1</v>
      </c>
    </row>
    <row r="18673" spans="1:3" s="8" customFormat="1" x14ac:dyDescent="0.2">
      <c r="A18673" s="6" t="str">
        <f>"AL353151.2"</f>
        <v>AL353151.2</v>
      </c>
      <c r="B18673" s="6" t="s">
        <v>1</v>
      </c>
      <c r="C18673" s="6" t="s">
        <v>1</v>
      </c>
    </row>
    <row r="18674" spans="1:3" s="8" customFormat="1" x14ac:dyDescent="0.2">
      <c r="A18674" s="6" t="str">
        <f>"CNTN2"</f>
        <v>CNTN2</v>
      </c>
      <c r="B18674" s="6" t="s">
        <v>1</v>
      </c>
      <c r="C18674" s="6" t="s">
        <v>1</v>
      </c>
    </row>
    <row r="18675" spans="1:3" s="8" customFormat="1" x14ac:dyDescent="0.2">
      <c r="A18675" s="6" t="str">
        <f>"RNF175"</f>
        <v>RNF175</v>
      </c>
      <c r="B18675" s="6" t="s">
        <v>1</v>
      </c>
      <c r="C18675" s="6" t="s">
        <v>1</v>
      </c>
    </row>
    <row r="18676" spans="1:3" s="8" customFormat="1" x14ac:dyDescent="0.2">
      <c r="A18676" s="6" t="str">
        <f>"AC254562.3"</f>
        <v>AC254562.3</v>
      </c>
      <c r="B18676" s="6" t="s">
        <v>1</v>
      </c>
      <c r="C18676" s="6" t="s">
        <v>1</v>
      </c>
    </row>
    <row r="18677" spans="1:3" s="8" customFormat="1" x14ac:dyDescent="0.2">
      <c r="A18677" s="6" t="str">
        <f>"AL133355.1"</f>
        <v>AL133355.1</v>
      </c>
      <c r="B18677" s="6" t="s">
        <v>1</v>
      </c>
      <c r="C18677" s="6" t="s">
        <v>1</v>
      </c>
    </row>
    <row r="18678" spans="1:3" s="8" customFormat="1" x14ac:dyDescent="0.2">
      <c r="A18678" s="6" t="str">
        <f>"AL031432.3"</f>
        <v>AL031432.3</v>
      </c>
      <c r="B18678" s="6" t="s">
        <v>1</v>
      </c>
      <c r="C18678" s="6" t="s">
        <v>1</v>
      </c>
    </row>
    <row r="18679" spans="1:3" s="8" customFormat="1" x14ac:dyDescent="0.2">
      <c r="A18679" s="6" t="str">
        <f>"GJC1"</f>
        <v>GJC1</v>
      </c>
      <c r="B18679" s="6" t="s">
        <v>1</v>
      </c>
      <c r="C18679" s="6" t="s">
        <v>1</v>
      </c>
    </row>
    <row r="18680" spans="1:3" s="8" customFormat="1" x14ac:dyDescent="0.2">
      <c r="A18680" s="6" t="str">
        <f>"AC131011.1"</f>
        <v>AC131011.1</v>
      </c>
      <c r="B18680" s="6" t="s">
        <v>1</v>
      </c>
      <c r="C18680" s="6" t="s">
        <v>1</v>
      </c>
    </row>
    <row r="18681" spans="1:3" s="8" customFormat="1" x14ac:dyDescent="0.2">
      <c r="A18681" s="6" t="str">
        <f>"TBC1D26"</f>
        <v>TBC1D26</v>
      </c>
      <c r="B18681" s="6" t="s">
        <v>1</v>
      </c>
      <c r="C18681" s="6" t="s">
        <v>1</v>
      </c>
    </row>
    <row r="18682" spans="1:3" s="8" customFormat="1" x14ac:dyDescent="0.2">
      <c r="A18682" s="6" t="str">
        <f>"VN1R1"</f>
        <v>VN1R1</v>
      </c>
      <c r="B18682" s="6" t="s">
        <v>1</v>
      </c>
      <c r="C18682" s="6" t="s">
        <v>1</v>
      </c>
    </row>
    <row r="18683" spans="1:3" s="8" customFormat="1" x14ac:dyDescent="0.2">
      <c r="A18683" s="6" t="str">
        <f>"AL354707.1"</f>
        <v>AL354707.1</v>
      </c>
      <c r="B18683" s="6" t="s">
        <v>1</v>
      </c>
      <c r="C18683" s="6" t="s">
        <v>1</v>
      </c>
    </row>
    <row r="18684" spans="1:3" s="8" customFormat="1" x14ac:dyDescent="0.2">
      <c r="A18684" s="6" t="str">
        <f>"ALK"</f>
        <v>ALK</v>
      </c>
      <c r="B18684" s="6" t="s">
        <v>1</v>
      </c>
      <c r="C18684" s="6" t="s">
        <v>1</v>
      </c>
    </row>
    <row r="18685" spans="1:3" s="8" customFormat="1" x14ac:dyDescent="0.2">
      <c r="A18685" s="6" t="str">
        <f>"H3C8"</f>
        <v>H3C8</v>
      </c>
      <c r="B18685" s="6" t="s">
        <v>1</v>
      </c>
      <c r="C18685" s="6" t="s">
        <v>1</v>
      </c>
    </row>
    <row r="18686" spans="1:3" s="8" customFormat="1" x14ac:dyDescent="0.2">
      <c r="A18686" s="6" t="str">
        <f>"AC007448.5"</f>
        <v>AC007448.5</v>
      </c>
      <c r="B18686" s="6" t="s">
        <v>1</v>
      </c>
      <c r="C18686" s="6" t="s">
        <v>1</v>
      </c>
    </row>
    <row r="18687" spans="1:3" s="8" customFormat="1" x14ac:dyDescent="0.2">
      <c r="A18687" s="6" t="str">
        <f>"AL024498.1"</f>
        <v>AL024498.1</v>
      </c>
      <c r="B18687" s="6" t="s">
        <v>1</v>
      </c>
      <c r="C18687" s="6" t="s">
        <v>1</v>
      </c>
    </row>
    <row r="18688" spans="1:3" s="8" customFormat="1" x14ac:dyDescent="0.2">
      <c r="A18688" s="6" t="str">
        <f>"EBLN2"</f>
        <v>EBLN2</v>
      </c>
      <c r="B18688" s="6" t="s">
        <v>1</v>
      </c>
      <c r="C18688" s="6" t="s">
        <v>1</v>
      </c>
    </row>
    <row r="18689" spans="1:3" s="8" customFormat="1" x14ac:dyDescent="0.2">
      <c r="A18689" s="6" t="str">
        <f>"BTBD16"</f>
        <v>BTBD16</v>
      </c>
      <c r="B18689" s="6" t="s">
        <v>1</v>
      </c>
      <c r="C18689" s="6" t="s">
        <v>1</v>
      </c>
    </row>
    <row r="18690" spans="1:3" s="8" customFormat="1" x14ac:dyDescent="0.2">
      <c r="A18690" s="6" t="str">
        <f>"AC060766.1"</f>
        <v>AC060766.1</v>
      </c>
      <c r="B18690" s="6" t="s">
        <v>1</v>
      </c>
      <c r="C18690" s="6" t="s">
        <v>1</v>
      </c>
    </row>
    <row r="18691" spans="1:3" s="8" customFormat="1" x14ac:dyDescent="0.2">
      <c r="A18691" s="6" t="str">
        <f>"RPL13AP25"</f>
        <v>RPL13AP25</v>
      </c>
      <c r="B18691" s="6" t="s">
        <v>1</v>
      </c>
      <c r="C18691" s="6" t="s">
        <v>1</v>
      </c>
    </row>
    <row r="18692" spans="1:3" s="8" customFormat="1" x14ac:dyDescent="0.2">
      <c r="A18692" s="6" t="str">
        <f>"ALOX12B"</f>
        <v>ALOX12B</v>
      </c>
      <c r="B18692" s="6" t="s">
        <v>1</v>
      </c>
      <c r="C18692" s="6" t="s">
        <v>1</v>
      </c>
    </row>
    <row r="18693" spans="1:3" s="8" customFormat="1" x14ac:dyDescent="0.2">
      <c r="A18693" s="6" t="str">
        <f>"SETBP1-DT"</f>
        <v>SETBP1-DT</v>
      </c>
      <c r="B18693" s="6" t="s">
        <v>1</v>
      </c>
      <c r="C18693" s="6" t="s">
        <v>1</v>
      </c>
    </row>
    <row r="18694" spans="1:3" s="8" customFormat="1" x14ac:dyDescent="0.2">
      <c r="A18694" s="6" t="str">
        <f>"SEMA3D"</f>
        <v>SEMA3D</v>
      </c>
      <c r="B18694" s="6" t="s">
        <v>1</v>
      </c>
      <c r="C18694" s="6" t="s">
        <v>1</v>
      </c>
    </row>
    <row r="18695" spans="1:3" s="8" customFormat="1" x14ac:dyDescent="0.2">
      <c r="A18695" s="6" t="str">
        <f>"UCN2"</f>
        <v>UCN2</v>
      </c>
      <c r="B18695" s="6" t="s">
        <v>1</v>
      </c>
      <c r="C18695" s="6" t="s">
        <v>1</v>
      </c>
    </row>
    <row r="18696" spans="1:3" s="8" customFormat="1" x14ac:dyDescent="0.2">
      <c r="A18696" s="6" t="str">
        <f>"AC009802.1"</f>
        <v>AC009802.1</v>
      </c>
      <c r="B18696" s="6" t="s">
        <v>1</v>
      </c>
      <c r="C18696" s="6" t="s">
        <v>1</v>
      </c>
    </row>
    <row r="18697" spans="1:3" s="8" customFormat="1" x14ac:dyDescent="0.2">
      <c r="A18697" s="6" t="str">
        <f>"AC093675.1"</f>
        <v>AC093675.1</v>
      </c>
      <c r="B18697" s="6" t="s">
        <v>1</v>
      </c>
      <c r="C18697" s="6" t="s">
        <v>1</v>
      </c>
    </row>
    <row r="18698" spans="1:3" s="8" customFormat="1" x14ac:dyDescent="0.2">
      <c r="A18698" s="6" t="str">
        <f>"CHMP4BP1"</f>
        <v>CHMP4BP1</v>
      </c>
      <c r="B18698" s="6" t="s">
        <v>1</v>
      </c>
      <c r="C18698" s="6" t="s">
        <v>1</v>
      </c>
    </row>
    <row r="18699" spans="1:3" s="8" customFormat="1" x14ac:dyDescent="0.2">
      <c r="A18699" s="6" t="str">
        <f>"EOMES"</f>
        <v>EOMES</v>
      </c>
      <c r="B18699" s="6" t="s">
        <v>1</v>
      </c>
      <c r="C18699" s="6" t="s">
        <v>1</v>
      </c>
    </row>
    <row r="18700" spans="1:3" s="8" customFormat="1" x14ac:dyDescent="0.2">
      <c r="A18700" s="6" t="str">
        <f>"GPX1P1"</f>
        <v>GPX1P1</v>
      </c>
      <c r="B18700" s="6" t="s">
        <v>1</v>
      </c>
      <c r="C18700" s="6" t="s">
        <v>1</v>
      </c>
    </row>
    <row r="18701" spans="1:3" s="8" customFormat="1" x14ac:dyDescent="0.2">
      <c r="A18701" s="6" t="str">
        <f>"RADIL"</f>
        <v>RADIL</v>
      </c>
      <c r="B18701" s="6" t="s">
        <v>1</v>
      </c>
      <c r="C18701" s="6" t="s">
        <v>1</v>
      </c>
    </row>
    <row r="18702" spans="1:3" s="8" customFormat="1" x14ac:dyDescent="0.2">
      <c r="A18702" s="6" t="str">
        <f>"MYH7"</f>
        <v>MYH7</v>
      </c>
      <c r="B18702" s="6" t="s">
        <v>1</v>
      </c>
      <c r="C18702" s="6" t="s">
        <v>1</v>
      </c>
    </row>
    <row r="18703" spans="1:3" s="8" customFormat="1" x14ac:dyDescent="0.2">
      <c r="A18703" s="6" t="str">
        <f>"AL354892.3"</f>
        <v>AL354892.3</v>
      </c>
      <c r="B18703" s="6" t="s">
        <v>1</v>
      </c>
      <c r="C18703" s="6" t="s">
        <v>1</v>
      </c>
    </row>
    <row r="18704" spans="1:3" s="8" customFormat="1" x14ac:dyDescent="0.2">
      <c r="A18704" s="6" t="str">
        <f>"AC106795.3"</f>
        <v>AC106795.3</v>
      </c>
      <c r="B18704" s="6" t="s">
        <v>1</v>
      </c>
      <c r="C18704" s="6" t="s">
        <v>1</v>
      </c>
    </row>
    <row r="18705" spans="1:3" s="8" customFormat="1" x14ac:dyDescent="0.2">
      <c r="A18705" s="6" t="str">
        <f>"MYO16"</f>
        <v>MYO16</v>
      </c>
      <c r="B18705" s="6" t="s">
        <v>1</v>
      </c>
      <c r="C18705" s="6" t="s">
        <v>1</v>
      </c>
    </row>
    <row r="18706" spans="1:3" s="8" customFormat="1" x14ac:dyDescent="0.2">
      <c r="A18706" s="6" t="str">
        <f>"CRYGS"</f>
        <v>CRYGS</v>
      </c>
      <c r="B18706" s="6" t="s">
        <v>1</v>
      </c>
      <c r="C18706" s="6" t="s">
        <v>1</v>
      </c>
    </row>
    <row r="18707" spans="1:3" s="8" customFormat="1" x14ac:dyDescent="0.2">
      <c r="A18707" s="6" t="str">
        <f>"AC023024.1"</f>
        <v>AC023024.1</v>
      </c>
      <c r="B18707" s="6" t="s">
        <v>1</v>
      </c>
      <c r="C18707" s="6" t="s">
        <v>1</v>
      </c>
    </row>
    <row r="18708" spans="1:3" s="8" customFormat="1" x14ac:dyDescent="0.2">
      <c r="A18708" s="6" t="str">
        <f>"CRTAM"</f>
        <v>CRTAM</v>
      </c>
      <c r="B18708" s="6" t="s">
        <v>1</v>
      </c>
      <c r="C18708" s="6" t="s">
        <v>1</v>
      </c>
    </row>
    <row r="18709" spans="1:3" s="8" customFormat="1" x14ac:dyDescent="0.2">
      <c r="A18709" s="6" t="str">
        <f>"AC108449.2"</f>
        <v>AC108449.2</v>
      </c>
      <c r="B18709" s="6" t="s">
        <v>1</v>
      </c>
      <c r="C18709" s="6" t="s">
        <v>1</v>
      </c>
    </row>
    <row r="18710" spans="1:3" s="8" customFormat="1" x14ac:dyDescent="0.2">
      <c r="A18710" s="6" t="str">
        <f>"AC009754.2"</f>
        <v>AC009754.2</v>
      </c>
      <c r="B18710" s="6" t="s">
        <v>1</v>
      </c>
      <c r="C18710" s="6" t="s">
        <v>1</v>
      </c>
    </row>
    <row r="18711" spans="1:3" s="8" customFormat="1" x14ac:dyDescent="0.2">
      <c r="A18711" s="6" t="str">
        <f>"AC008494.3"</f>
        <v>AC008494.3</v>
      </c>
      <c r="B18711" s="6" t="s">
        <v>1</v>
      </c>
      <c r="C18711" s="6" t="s">
        <v>1</v>
      </c>
    </row>
    <row r="18712" spans="1:3" s="8" customFormat="1" x14ac:dyDescent="0.2">
      <c r="A18712" s="6" t="str">
        <f>"TRDC"</f>
        <v>TRDC</v>
      </c>
      <c r="B18712" s="6" t="s">
        <v>1</v>
      </c>
      <c r="C18712" s="6" t="s">
        <v>1</v>
      </c>
    </row>
    <row r="18713" spans="1:3" s="8" customFormat="1" x14ac:dyDescent="0.2">
      <c r="A18713" s="6" t="str">
        <f>"WSCD2"</f>
        <v>WSCD2</v>
      </c>
      <c r="B18713" s="6" t="s">
        <v>1</v>
      </c>
      <c r="C18713" s="6" t="s">
        <v>1</v>
      </c>
    </row>
    <row r="18714" spans="1:3" s="8" customFormat="1" x14ac:dyDescent="0.2">
      <c r="A18714" s="6" t="str">
        <f>"AL031118.1"</f>
        <v>AL031118.1</v>
      </c>
      <c r="B18714" s="6" t="s">
        <v>1</v>
      </c>
      <c r="C18714" s="6" t="s">
        <v>1</v>
      </c>
    </row>
    <row r="18715" spans="1:3" s="8" customFormat="1" x14ac:dyDescent="0.2">
      <c r="A18715" s="6" t="str">
        <f>"FAM74A1"</f>
        <v>FAM74A1</v>
      </c>
      <c r="B18715" s="6" t="s">
        <v>1</v>
      </c>
      <c r="C18715" s="6" t="s">
        <v>1</v>
      </c>
    </row>
    <row r="18716" spans="1:3" s="8" customFormat="1" x14ac:dyDescent="0.2">
      <c r="A18716" s="6" t="str">
        <f>"AL133517.1"</f>
        <v>AL133517.1</v>
      </c>
      <c r="B18716" s="6" t="s">
        <v>1</v>
      </c>
      <c r="C18716" s="6" t="s">
        <v>1</v>
      </c>
    </row>
    <row r="18717" spans="1:3" s="8" customFormat="1" x14ac:dyDescent="0.2">
      <c r="A18717" s="6" t="str">
        <f>"PLGLB1"</f>
        <v>PLGLB1</v>
      </c>
      <c r="B18717" s="6" t="s">
        <v>1</v>
      </c>
      <c r="C18717" s="6" t="s">
        <v>1</v>
      </c>
    </row>
    <row r="18718" spans="1:3" s="8" customFormat="1" x14ac:dyDescent="0.2">
      <c r="A18718" s="6" t="str">
        <f>"AC022706.1"</f>
        <v>AC022706.1</v>
      </c>
      <c r="B18718" s="6" t="s">
        <v>1</v>
      </c>
      <c r="C18718" s="6" t="s">
        <v>1</v>
      </c>
    </row>
    <row r="18719" spans="1:3" s="8" customFormat="1" x14ac:dyDescent="0.2">
      <c r="A18719" s="6" t="str">
        <f>"LINC01983"</f>
        <v>LINC01983</v>
      </c>
      <c r="B18719" s="6" t="s">
        <v>1</v>
      </c>
      <c r="C18719" s="6" t="s">
        <v>1</v>
      </c>
    </row>
    <row r="18720" spans="1:3" s="8" customFormat="1" x14ac:dyDescent="0.2">
      <c r="A18720" s="6" t="str">
        <f>"AP000873.1"</f>
        <v>AP000873.1</v>
      </c>
      <c r="B18720" s="6" t="s">
        <v>1</v>
      </c>
      <c r="C18720" s="6" t="s">
        <v>1</v>
      </c>
    </row>
    <row r="18721" spans="1:3" s="8" customFormat="1" x14ac:dyDescent="0.2">
      <c r="A18721" s="6" t="str">
        <f>"INSYN2A"</f>
        <v>INSYN2A</v>
      </c>
      <c r="B18721" s="6" t="s">
        <v>1</v>
      </c>
      <c r="C18721" s="6" t="s">
        <v>1</v>
      </c>
    </row>
    <row r="18722" spans="1:3" s="8" customFormat="1" x14ac:dyDescent="0.2">
      <c r="A18722" s="6" t="str">
        <f>"AC107958.2"</f>
        <v>AC107958.2</v>
      </c>
      <c r="B18722" s="6" t="s">
        <v>1</v>
      </c>
      <c r="C18722" s="6" t="s">
        <v>1</v>
      </c>
    </row>
    <row r="18723" spans="1:3" s="8" customFormat="1" x14ac:dyDescent="0.2">
      <c r="A18723" s="6" t="str">
        <f>"C2orf91"</f>
        <v>C2orf91</v>
      </c>
      <c r="B18723" s="6" t="s">
        <v>1</v>
      </c>
      <c r="C18723" s="6" t="s">
        <v>1</v>
      </c>
    </row>
    <row r="18724" spans="1:3" s="8" customFormat="1" x14ac:dyDescent="0.2">
      <c r="A18724" s="6" t="str">
        <f>"AL512356.1"</f>
        <v>AL512356.1</v>
      </c>
      <c r="B18724" s="6" t="s">
        <v>1</v>
      </c>
      <c r="C18724" s="6" t="s">
        <v>1</v>
      </c>
    </row>
    <row r="18725" spans="1:3" s="8" customFormat="1" x14ac:dyDescent="0.2">
      <c r="A18725" s="6" t="str">
        <f>"CCR10"</f>
        <v>CCR10</v>
      </c>
      <c r="B18725" s="6" t="s">
        <v>1</v>
      </c>
      <c r="C18725" s="6" t="s">
        <v>1</v>
      </c>
    </row>
    <row r="18726" spans="1:3" s="8" customFormat="1" x14ac:dyDescent="0.2">
      <c r="A18726" s="6" t="str">
        <f>"LINC02026"</f>
        <v>LINC02026</v>
      </c>
      <c r="B18726" s="6" t="s">
        <v>1</v>
      </c>
      <c r="C18726" s="6" t="s">
        <v>1</v>
      </c>
    </row>
    <row r="18727" spans="1:3" s="8" customFormat="1" x14ac:dyDescent="0.2">
      <c r="A18727" s="6" t="str">
        <f>"AC022497.1"</f>
        <v>AC022497.1</v>
      </c>
      <c r="B18727" s="6" t="s">
        <v>1</v>
      </c>
      <c r="C18727" s="6" t="s">
        <v>1</v>
      </c>
    </row>
    <row r="18728" spans="1:3" s="8" customFormat="1" x14ac:dyDescent="0.2">
      <c r="A18728" s="6" t="str">
        <f>"AC087294.1"</f>
        <v>AC087294.1</v>
      </c>
      <c r="B18728" s="6" t="s">
        <v>1</v>
      </c>
      <c r="C18728" s="6" t="s">
        <v>1</v>
      </c>
    </row>
    <row r="18729" spans="1:3" s="8" customFormat="1" x14ac:dyDescent="0.2">
      <c r="A18729" s="6" t="str">
        <f>"GLIS3-AS1"</f>
        <v>GLIS3-AS1</v>
      </c>
      <c r="B18729" s="6" t="s">
        <v>1</v>
      </c>
      <c r="C18729" s="6" t="s">
        <v>1</v>
      </c>
    </row>
    <row r="18730" spans="1:3" s="8" customFormat="1" x14ac:dyDescent="0.2">
      <c r="A18730" s="6" t="str">
        <f>"MADCAM1"</f>
        <v>MADCAM1</v>
      </c>
      <c r="B18730" s="6" t="s">
        <v>1</v>
      </c>
      <c r="C18730" s="6" t="s">
        <v>1</v>
      </c>
    </row>
    <row r="18731" spans="1:3" s="8" customFormat="1" x14ac:dyDescent="0.2">
      <c r="A18731" s="6" t="str">
        <f>"AP000553.1"</f>
        <v>AP000553.1</v>
      </c>
      <c r="B18731" s="6" t="s">
        <v>1</v>
      </c>
      <c r="C18731" s="6" t="s">
        <v>1</v>
      </c>
    </row>
    <row r="18732" spans="1:3" s="8" customFormat="1" x14ac:dyDescent="0.2">
      <c r="A18732" s="6" t="str">
        <f>"AC106820.3"</f>
        <v>AC106820.3</v>
      </c>
      <c r="B18732" s="6" t="s">
        <v>1</v>
      </c>
      <c r="C18732" s="6" t="s">
        <v>1</v>
      </c>
    </row>
    <row r="18733" spans="1:3" s="8" customFormat="1" x14ac:dyDescent="0.2">
      <c r="A18733" s="6" t="str">
        <f>"LCMT1-AS1"</f>
        <v>LCMT1-AS1</v>
      </c>
      <c r="B18733" s="6" t="s">
        <v>1</v>
      </c>
      <c r="C18733" s="6" t="s">
        <v>1</v>
      </c>
    </row>
    <row r="18734" spans="1:3" s="8" customFormat="1" x14ac:dyDescent="0.2">
      <c r="A18734" s="6" t="str">
        <f>"AC013643.3"</f>
        <v>AC013643.3</v>
      </c>
      <c r="B18734" s="6" t="s">
        <v>1</v>
      </c>
      <c r="C18734" s="6" t="s">
        <v>1</v>
      </c>
    </row>
    <row r="18735" spans="1:3" s="8" customFormat="1" x14ac:dyDescent="0.2">
      <c r="A18735" s="6" t="str">
        <f>"OXCT1-AS1"</f>
        <v>OXCT1-AS1</v>
      </c>
      <c r="B18735" s="6" t="s">
        <v>1</v>
      </c>
      <c r="C18735" s="6" t="s">
        <v>1</v>
      </c>
    </row>
    <row r="18736" spans="1:3" s="8" customFormat="1" x14ac:dyDescent="0.2">
      <c r="A18736" s="6" t="str">
        <f>"FANCB"</f>
        <v>FANCB</v>
      </c>
      <c r="B18736" s="6" t="s">
        <v>1</v>
      </c>
      <c r="C18736" s="6" t="s">
        <v>1</v>
      </c>
    </row>
    <row r="18737" spans="1:3" s="8" customFormat="1" x14ac:dyDescent="0.2">
      <c r="A18737" s="6" t="str">
        <f>"H2BC7"</f>
        <v>H2BC7</v>
      </c>
      <c r="B18737" s="6" t="s">
        <v>1</v>
      </c>
      <c r="C18737" s="6" t="s">
        <v>1</v>
      </c>
    </row>
    <row r="18738" spans="1:3" s="8" customFormat="1" x14ac:dyDescent="0.2">
      <c r="A18738" s="6" t="str">
        <f>"AC063943.2"</f>
        <v>AC063943.2</v>
      </c>
      <c r="B18738" s="6" t="s">
        <v>1</v>
      </c>
      <c r="C18738" s="6" t="s">
        <v>1</v>
      </c>
    </row>
    <row r="18739" spans="1:3" s="8" customFormat="1" x14ac:dyDescent="0.2">
      <c r="A18739" s="6" t="str">
        <f>"AL135791.1"</f>
        <v>AL135791.1</v>
      </c>
      <c r="B18739" s="6" t="s">
        <v>1</v>
      </c>
      <c r="C18739" s="6" t="s">
        <v>1</v>
      </c>
    </row>
    <row r="18740" spans="1:3" s="8" customFormat="1" x14ac:dyDescent="0.2">
      <c r="A18740" s="6" t="str">
        <f>"AP000919.1"</f>
        <v>AP000919.1</v>
      </c>
      <c r="B18740" s="6" t="s">
        <v>1</v>
      </c>
      <c r="C18740" s="6" t="s">
        <v>1</v>
      </c>
    </row>
    <row r="18741" spans="1:3" s="8" customFormat="1" x14ac:dyDescent="0.2">
      <c r="A18741" s="6" t="str">
        <f>"AP000926.2"</f>
        <v>AP000926.2</v>
      </c>
      <c r="B18741" s="6" t="s">
        <v>1</v>
      </c>
      <c r="C18741" s="6" t="s">
        <v>1</v>
      </c>
    </row>
    <row r="18742" spans="1:3" s="8" customFormat="1" x14ac:dyDescent="0.2">
      <c r="A18742" s="6" t="str">
        <f>"AC093525.8"</f>
        <v>AC093525.8</v>
      </c>
      <c r="B18742" s="6" t="s">
        <v>1</v>
      </c>
      <c r="C18742" s="6" t="s">
        <v>1</v>
      </c>
    </row>
    <row r="18743" spans="1:3" s="8" customFormat="1" x14ac:dyDescent="0.2">
      <c r="A18743" s="6" t="str">
        <f>"AC022819.1"</f>
        <v>AC022819.1</v>
      </c>
      <c r="B18743" s="6" t="s">
        <v>1</v>
      </c>
      <c r="C18743" s="6" t="s">
        <v>1</v>
      </c>
    </row>
    <row r="18744" spans="1:3" s="8" customFormat="1" x14ac:dyDescent="0.2">
      <c r="A18744" s="6" t="str">
        <f>"STX1B"</f>
        <v>STX1B</v>
      </c>
      <c r="B18744" s="6" t="s">
        <v>1</v>
      </c>
      <c r="C18744" s="6" t="s">
        <v>1</v>
      </c>
    </row>
    <row r="18745" spans="1:3" s="8" customFormat="1" x14ac:dyDescent="0.2">
      <c r="A18745" s="6" t="str">
        <f>"PDCL3P4"</f>
        <v>PDCL3P4</v>
      </c>
      <c r="B18745" s="6" t="s">
        <v>1</v>
      </c>
      <c r="C18745" s="6" t="s">
        <v>1</v>
      </c>
    </row>
    <row r="18746" spans="1:3" s="8" customFormat="1" x14ac:dyDescent="0.2">
      <c r="A18746" s="6" t="str">
        <f>"INTS4P1"</f>
        <v>INTS4P1</v>
      </c>
      <c r="B18746" s="6" t="s">
        <v>1</v>
      </c>
      <c r="C18746" s="6" t="s">
        <v>1</v>
      </c>
    </row>
    <row r="18747" spans="1:3" s="8" customFormat="1" x14ac:dyDescent="0.2">
      <c r="A18747" s="6" t="str">
        <f>"RPL7P1"</f>
        <v>RPL7P1</v>
      </c>
      <c r="B18747" s="6" t="s">
        <v>1</v>
      </c>
      <c r="C18747" s="6" t="s">
        <v>1</v>
      </c>
    </row>
    <row r="18748" spans="1:3" s="8" customFormat="1" x14ac:dyDescent="0.2">
      <c r="A18748" s="6" t="str">
        <f>"GPR63"</f>
        <v>GPR63</v>
      </c>
      <c r="B18748" s="6" t="s">
        <v>1</v>
      </c>
      <c r="C18748" s="6" t="s">
        <v>1</v>
      </c>
    </row>
    <row r="18749" spans="1:3" s="8" customFormat="1" x14ac:dyDescent="0.2">
      <c r="A18749" s="6" t="str">
        <f>"SAG"</f>
        <v>SAG</v>
      </c>
      <c r="B18749" s="6" t="s">
        <v>1</v>
      </c>
      <c r="C18749" s="6" t="s">
        <v>1</v>
      </c>
    </row>
    <row r="18750" spans="1:3" s="8" customFormat="1" x14ac:dyDescent="0.2">
      <c r="A18750" s="6" t="str">
        <f>"AC007405.2"</f>
        <v>AC007405.2</v>
      </c>
      <c r="B18750" s="6" t="s">
        <v>1</v>
      </c>
      <c r="C18750" s="6" t="s">
        <v>1</v>
      </c>
    </row>
    <row r="18751" spans="1:3" s="8" customFormat="1" x14ac:dyDescent="0.2">
      <c r="A18751" s="6" t="str">
        <f>"AC007278.1"</f>
        <v>AC007278.1</v>
      </c>
      <c r="B18751" s="6" t="s">
        <v>1</v>
      </c>
      <c r="C18751" s="6" t="s">
        <v>1</v>
      </c>
    </row>
    <row r="18752" spans="1:3" s="8" customFormat="1" x14ac:dyDescent="0.2">
      <c r="A18752" s="6" t="str">
        <f>"SHLD2P1"</f>
        <v>SHLD2P1</v>
      </c>
      <c r="B18752" s="6" t="s">
        <v>1</v>
      </c>
      <c r="C18752" s="6" t="s">
        <v>1</v>
      </c>
    </row>
    <row r="18753" spans="1:3" s="8" customFormat="1" x14ac:dyDescent="0.2">
      <c r="A18753" s="6" t="str">
        <f>"CEACAM21"</f>
        <v>CEACAM21</v>
      </c>
      <c r="B18753" s="6" t="s">
        <v>1</v>
      </c>
      <c r="C18753" s="6" t="s">
        <v>1</v>
      </c>
    </row>
    <row r="18754" spans="1:3" s="8" customFormat="1" x14ac:dyDescent="0.2">
      <c r="A18754" s="6" t="str">
        <f>"H3P37"</f>
        <v>H3P37</v>
      </c>
      <c r="B18754" s="6" t="s">
        <v>1</v>
      </c>
      <c r="C18754" s="6" t="s">
        <v>1</v>
      </c>
    </row>
    <row r="18755" spans="1:3" s="8" customFormat="1" x14ac:dyDescent="0.2">
      <c r="A18755" s="6" t="str">
        <f>"AC007326.5"</f>
        <v>AC007326.5</v>
      </c>
      <c r="B18755" s="6" t="s">
        <v>1</v>
      </c>
      <c r="C18755" s="6" t="s">
        <v>1</v>
      </c>
    </row>
    <row r="18756" spans="1:3" s="8" customFormat="1" x14ac:dyDescent="0.2">
      <c r="A18756" s="6" t="str">
        <f>"AC132192.2"</f>
        <v>AC132192.2</v>
      </c>
      <c r="B18756" s="6" t="s">
        <v>1</v>
      </c>
      <c r="C18756" s="6" t="s">
        <v>1</v>
      </c>
    </row>
    <row r="18757" spans="1:3" s="8" customFormat="1" x14ac:dyDescent="0.2">
      <c r="A18757" s="6" t="str">
        <f>"TRGC1"</f>
        <v>TRGC1</v>
      </c>
      <c r="B18757" s="6" t="s">
        <v>1</v>
      </c>
      <c r="C18757" s="6" t="s">
        <v>1</v>
      </c>
    </row>
    <row r="18758" spans="1:3" s="8" customFormat="1" x14ac:dyDescent="0.2">
      <c r="A18758" s="6" t="str">
        <f>"AL139405.1"</f>
        <v>AL139405.1</v>
      </c>
      <c r="B18758" s="6" t="s">
        <v>1</v>
      </c>
      <c r="C18758" s="6" t="s">
        <v>1</v>
      </c>
    </row>
    <row r="18759" spans="1:3" s="8" customFormat="1" x14ac:dyDescent="0.2">
      <c r="A18759" s="6" t="str">
        <f>"CHRM1"</f>
        <v>CHRM1</v>
      </c>
      <c r="B18759" s="6" t="s">
        <v>1</v>
      </c>
      <c r="C18759" s="6" t="s">
        <v>1</v>
      </c>
    </row>
    <row r="18760" spans="1:3" s="8" customFormat="1" x14ac:dyDescent="0.2">
      <c r="A18760" s="6" t="str">
        <f>"AP000944.7"</f>
        <v>AP000944.7</v>
      </c>
      <c r="B18760" s="6" t="s">
        <v>1</v>
      </c>
      <c r="C18760" s="6" t="s">
        <v>1</v>
      </c>
    </row>
    <row r="18761" spans="1:3" s="8" customFormat="1" x14ac:dyDescent="0.2">
      <c r="A18761" s="6" t="str">
        <f>"EDNRB"</f>
        <v>EDNRB</v>
      </c>
      <c r="B18761" s="6" t="s">
        <v>1</v>
      </c>
      <c r="C18761" s="6" t="s">
        <v>1</v>
      </c>
    </row>
    <row r="18762" spans="1:3" s="8" customFormat="1" x14ac:dyDescent="0.2">
      <c r="A18762" s="6" t="str">
        <f>"MS4A14"</f>
        <v>MS4A14</v>
      </c>
      <c r="B18762" s="6" t="s">
        <v>1</v>
      </c>
      <c r="C18762" s="6" t="s">
        <v>1</v>
      </c>
    </row>
    <row r="18763" spans="1:3" s="8" customFormat="1" x14ac:dyDescent="0.2">
      <c r="A18763" s="6" t="str">
        <f>"AL136116.3"</f>
        <v>AL136116.3</v>
      </c>
      <c r="B18763" s="6" t="s">
        <v>1</v>
      </c>
      <c r="C18763" s="6" t="s">
        <v>1</v>
      </c>
    </row>
    <row r="18764" spans="1:3" s="8" customFormat="1" x14ac:dyDescent="0.2">
      <c r="A18764" s="6" t="str">
        <f>"CNNM3-DT"</f>
        <v>CNNM3-DT</v>
      </c>
      <c r="B18764" s="6" t="s">
        <v>1</v>
      </c>
      <c r="C18764" s="6" t="s">
        <v>1</v>
      </c>
    </row>
    <row r="18765" spans="1:3" s="8" customFormat="1" x14ac:dyDescent="0.2">
      <c r="A18765" s="6" t="str">
        <f>"PAGE5"</f>
        <v>PAGE5</v>
      </c>
      <c r="B18765" s="6" t="s">
        <v>1</v>
      </c>
      <c r="C18765" s="6" t="s">
        <v>1</v>
      </c>
    </row>
    <row r="18766" spans="1:3" s="8" customFormat="1" x14ac:dyDescent="0.2">
      <c r="A18766" s="6" t="str">
        <f>"RPLP0P6"</f>
        <v>RPLP0P6</v>
      </c>
      <c r="B18766" s="6" t="s">
        <v>1</v>
      </c>
      <c r="C18766" s="6" t="s">
        <v>1</v>
      </c>
    </row>
    <row r="18767" spans="1:3" s="8" customFormat="1" x14ac:dyDescent="0.2">
      <c r="A18767" s="6" t="str">
        <f>"TTLL10-AS1"</f>
        <v>TTLL10-AS1</v>
      </c>
      <c r="B18767" s="6" t="s">
        <v>1</v>
      </c>
      <c r="C18767" s="6" t="s">
        <v>1</v>
      </c>
    </row>
    <row r="18768" spans="1:3" s="8" customFormat="1" x14ac:dyDescent="0.2">
      <c r="A18768" s="6" t="str">
        <f>"AC015726.1"</f>
        <v>AC015726.1</v>
      </c>
      <c r="B18768" s="6" t="s">
        <v>1</v>
      </c>
      <c r="C18768" s="6" t="s">
        <v>1</v>
      </c>
    </row>
    <row r="18769" spans="1:3" s="8" customFormat="1" x14ac:dyDescent="0.2">
      <c r="A18769" s="6" t="str">
        <f>"SEC14L4"</f>
        <v>SEC14L4</v>
      </c>
      <c r="B18769" s="6" t="s">
        <v>1</v>
      </c>
      <c r="C18769" s="6" t="s">
        <v>1</v>
      </c>
    </row>
    <row r="18770" spans="1:3" s="8" customFormat="1" x14ac:dyDescent="0.2">
      <c r="A18770" s="6" t="str">
        <f>"KCNA7"</f>
        <v>KCNA7</v>
      </c>
      <c r="B18770" s="6" t="s">
        <v>1</v>
      </c>
      <c r="C18770" s="6" t="s">
        <v>1</v>
      </c>
    </row>
    <row r="18771" spans="1:3" s="8" customFormat="1" x14ac:dyDescent="0.2">
      <c r="A18771" s="6" t="str">
        <f>"MYO1H"</f>
        <v>MYO1H</v>
      </c>
      <c r="B18771" s="6" t="s">
        <v>1</v>
      </c>
      <c r="C18771" s="6" t="s">
        <v>1</v>
      </c>
    </row>
    <row r="18772" spans="1:3" s="8" customFormat="1" x14ac:dyDescent="0.2">
      <c r="A18772" s="6" t="str">
        <f>"LINC01962"</f>
        <v>LINC01962</v>
      </c>
      <c r="B18772" s="6" t="s">
        <v>1</v>
      </c>
      <c r="C18772" s="6" t="s">
        <v>1</v>
      </c>
    </row>
    <row r="18773" spans="1:3" s="8" customFormat="1" x14ac:dyDescent="0.2">
      <c r="A18773" s="6" t="str">
        <f>"PLGLB2"</f>
        <v>PLGLB2</v>
      </c>
      <c r="B18773" s="6" t="s">
        <v>1</v>
      </c>
      <c r="C18773" s="6" t="s">
        <v>1</v>
      </c>
    </row>
    <row r="18774" spans="1:3" s="8" customFormat="1" x14ac:dyDescent="0.2">
      <c r="A18774" s="6" t="str">
        <f>"AC022613.1"</f>
        <v>AC022613.1</v>
      </c>
      <c r="B18774" s="6" t="s">
        <v>1</v>
      </c>
      <c r="C18774" s="6" t="s">
        <v>1</v>
      </c>
    </row>
    <row r="18775" spans="1:3" s="8" customFormat="1" x14ac:dyDescent="0.2">
      <c r="A18775" s="6" t="str">
        <f>"AC022144.1"</f>
        <v>AC022144.1</v>
      </c>
      <c r="B18775" s="6" t="s">
        <v>1</v>
      </c>
      <c r="C18775" s="6" t="s">
        <v>1</v>
      </c>
    </row>
    <row r="18776" spans="1:3" s="8" customFormat="1" x14ac:dyDescent="0.2">
      <c r="A18776" s="6" t="str">
        <f>"LINC01013"</f>
        <v>LINC01013</v>
      </c>
      <c r="B18776" s="6" t="s">
        <v>1</v>
      </c>
      <c r="C18776" s="6" t="s">
        <v>1</v>
      </c>
    </row>
    <row r="18777" spans="1:3" s="8" customFormat="1" x14ac:dyDescent="0.2">
      <c r="A18777" s="6" t="str">
        <f>"AC243964.3"</f>
        <v>AC243964.3</v>
      </c>
      <c r="B18777" s="6" t="s">
        <v>1</v>
      </c>
      <c r="C18777" s="6" t="s">
        <v>1</v>
      </c>
    </row>
    <row r="18778" spans="1:3" s="8" customFormat="1" x14ac:dyDescent="0.2">
      <c r="A18778" s="6" t="str">
        <f>"ASTL"</f>
        <v>ASTL</v>
      </c>
      <c r="B18778" s="6" t="s">
        <v>1</v>
      </c>
      <c r="C18778" s="6" t="s">
        <v>1</v>
      </c>
    </row>
    <row r="18779" spans="1:3" s="8" customFormat="1" x14ac:dyDescent="0.2">
      <c r="A18779" s="6" t="str">
        <f>"AP000550.1"</f>
        <v>AP000550.1</v>
      </c>
      <c r="B18779" s="6" t="s">
        <v>1</v>
      </c>
      <c r="C18779" s="6" t="s">
        <v>1</v>
      </c>
    </row>
    <row r="18780" spans="1:3" s="8" customFormat="1" x14ac:dyDescent="0.2">
      <c r="A18780" s="6" t="str">
        <f>"AC087491.1"</f>
        <v>AC087491.1</v>
      </c>
      <c r="B18780" s="6" t="s">
        <v>1</v>
      </c>
      <c r="C18780" s="6" t="s">
        <v>1</v>
      </c>
    </row>
    <row r="18781" spans="1:3" s="8" customFormat="1" x14ac:dyDescent="0.2">
      <c r="A18781" s="6" t="str">
        <f>"AC068587.2"</f>
        <v>AC068587.2</v>
      </c>
      <c r="B18781" s="6" t="s">
        <v>1</v>
      </c>
      <c r="C18781" s="6" t="s">
        <v>1</v>
      </c>
    </row>
    <row r="18782" spans="1:3" s="8" customFormat="1" x14ac:dyDescent="0.2">
      <c r="A18782" s="6" t="str">
        <f>"REP15"</f>
        <v>REP15</v>
      </c>
      <c r="B18782" s="6" t="s">
        <v>1</v>
      </c>
      <c r="C18782" s="6" t="s">
        <v>1</v>
      </c>
    </row>
    <row r="18783" spans="1:3" s="8" customFormat="1" x14ac:dyDescent="0.2">
      <c r="A18783" s="6" t="str">
        <f>"MYCBP2-AS1"</f>
        <v>MYCBP2-AS1</v>
      </c>
      <c r="B18783" s="6" t="s">
        <v>1</v>
      </c>
      <c r="C18783" s="6" t="s">
        <v>1</v>
      </c>
    </row>
    <row r="18784" spans="1:3" s="8" customFormat="1" x14ac:dyDescent="0.2">
      <c r="A18784" s="6" t="str">
        <f>"FLT3"</f>
        <v>FLT3</v>
      </c>
      <c r="B18784" s="6" t="s">
        <v>1</v>
      </c>
      <c r="C18784" s="6" t="s">
        <v>1</v>
      </c>
    </row>
    <row r="18785" spans="1:3" s="8" customFormat="1" x14ac:dyDescent="0.2">
      <c r="A18785" s="6" t="str">
        <f>"RPL10P16"</f>
        <v>RPL10P16</v>
      </c>
      <c r="B18785" s="6" t="s">
        <v>1</v>
      </c>
      <c r="C18785" s="6" t="s">
        <v>1</v>
      </c>
    </row>
    <row r="18786" spans="1:3" s="8" customFormat="1" x14ac:dyDescent="0.2">
      <c r="A18786" s="6" t="str">
        <f>"LINC01031"</f>
        <v>LINC01031</v>
      </c>
      <c r="B18786" s="6" t="s">
        <v>1</v>
      </c>
      <c r="C18786" s="6" t="s">
        <v>1</v>
      </c>
    </row>
    <row r="18787" spans="1:3" s="8" customFormat="1" x14ac:dyDescent="0.2">
      <c r="A18787" s="6" t="str">
        <f>"P4HA3"</f>
        <v>P4HA3</v>
      </c>
      <c r="B18787" s="6" t="s">
        <v>1</v>
      </c>
      <c r="C18787" s="6" t="s">
        <v>1</v>
      </c>
    </row>
    <row r="18788" spans="1:3" s="8" customFormat="1" x14ac:dyDescent="0.2">
      <c r="A18788" s="6" t="str">
        <f>"DEPDC4"</f>
        <v>DEPDC4</v>
      </c>
      <c r="B18788" s="6" t="s">
        <v>1</v>
      </c>
      <c r="C18788" s="6" t="s">
        <v>1</v>
      </c>
    </row>
    <row r="18789" spans="1:3" s="8" customFormat="1" x14ac:dyDescent="0.2">
      <c r="A18789" s="6" t="str">
        <f>"DEFB4B"</f>
        <v>DEFB4B</v>
      </c>
      <c r="B18789" s="6" t="s">
        <v>1</v>
      </c>
      <c r="C18789" s="6" t="s">
        <v>1</v>
      </c>
    </row>
    <row r="18790" spans="1:3" s="8" customFormat="1" x14ac:dyDescent="0.2">
      <c r="A18790" s="6" t="str">
        <f>"GLUD2"</f>
        <v>GLUD2</v>
      </c>
      <c r="B18790" s="6" t="s">
        <v>1</v>
      </c>
      <c r="C18790" s="6" t="s">
        <v>1</v>
      </c>
    </row>
    <row r="18791" spans="1:3" s="8" customFormat="1" x14ac:dyDescent="0.2">
      <c r="A18791" s="6" t="str">
        <f>"DACT3"</f>
        <v>DACT3</v>
      </c>
      <c r="B18791" s="6" t="s">
        <v>1</v>
      </c>
      <c r="C18791" s="6" t="s">
        <v>1</v>
      </c>
    </row>
    <row r="18792" spans="1:3" s="8" customFormat="1" x14ac:dyDescent="0.2">
      <c r="A18792" s="6" t="str">
        <f>"LINC01151"</f>
        <v>LINC01151</v>
      </c>
      <c r="B18792" s="6" t="s">
        <v>1</v>
      </c>
      <c r="C18792" s="6" t="s">
        <v>1</v>
      </c>
    </row>
    <row r="18793" spans="1:3" s="8" customFormat="1" x14ac:dyDescent="0.2">
      <c r="A18793" s="6" t="str">
        <f>"AL031673.1"</f>
        <v>AL031673.1</v>
      </c>
      <c r="B18793" s="6" t="s">
        <v>1</v>
      </c>
      <c r="C18793" s="6" t="s">
        <v>1</v>
      </c>
    </row>
    <row r="18794" spans="1:3" s="8" customFormat="1" x14ac:dyDescent="0.2">
      <c r="A18794" s="6" t="str">
        <f>"AL133520.1"</f>
        <v>AL133520.1</v>
      </c>
      <c r="B18794" s="6" t="s">
        <v>1</v>
      </c>
      <c r="C18794" s="6" t="s">
        <v>1</v>
      </c>
    </row>
    <row r="18795" spans="1:3" s="8" customFormat="1" x14ac:dyDescent="0.2">
      <c r="A18795" s="6" t="str">
        <f>"CEACAM22P"</f>
        <v>CEACAM22P</v>
      </c>
      <c r="B18795" s="6" t="s">
        <v>1</v>
      </c>
      <c r="C18795" s="6" t="s">
        <v>1</v>
      </c>
    </row>
    <row r="18796" spans="1:3" s="8" customFormat="1" x14ac:dyDescent="0.2">
      <c r="A18796" s="6" t="str">
        <f>"FIGN"</f>
        <v>FIGN</v>
      </c>
      <c r="B18796" s="6" t="s">
        <v>1</v>
      </c>
      <c r="C18796" s="6" t="s">
        <v>1</v>
      </c>
    </row>
    <row r="18797" spans="1:3" s="8" customFormat="1" x14ac:dyDescent="0.2">
      <c r="A18797" s="6" t="str">
        <f>"AC107214.1"</f>
        <v>AC107214.1</v>
      </c>
      <c r="B18797" s="6" t="s">
        <v>1</v>
      </c>
      <c r="C18797" s="6" t="s">
        <v>1</v>
      </c>
    </row>
    <row r="18798" spans="1:3" s="8" customFormat="1" x14ac:dyDescent="0.2">
      <c r="A18798" s="6" t="str">
        <f>"AC243967.1"</f>
        <v>AC243967.1</v>
      </c>
      <c r="B18798" s="6" t="s">
        <v>1</v>
      </c>
      <c r="C18798" s="6" t="s">
        <v>1</v>
      </c>
    </row>
    <row r="18799" spans="1:3" s="8" customFormat="1" x14ac:dyDescent="0.2">
      <c r="A18799" s="6" t="str">
        <f>"TTN"</f>
        <v>TTN</v>
      </c>
      <c r="B18799" s="6" t="s">
        <v>1</v>
      </c>
      <c r="C18799" s="6" t="s">
        <v>1</v>
      </c>
    </row>
    <row r="18800" spans="1:3" s="8" customFormat="1" x14ac:dyDescent="0.2">
      <c r="A18800" s="6" t="str">
        <f>"AL133227.1"</f>
        <v>AL133227.1</v>
      </c>
      <c r="B18800" s="6" t="s">
        <v>1</v>
      </c>
      <c r="C18800" s="6" t="s">
        <v>1</v>
      </c>
    </row>
    <row r="18801" spans="1:3" s="8" customFormat="1" x14ac:dyDescent="0.2">
      <c r="A18801" s="6" t="str">
        <f>"AC107398.4"</f>
        <v>AC107398.4</v>
      </c>
      <c r="B18801" s="6" t="s">
        <v>1</v>
      </c>
      <c r="C18801" s="6" t="s">
        <v>1</v>
      </c>
    </row>
    <row r="18802" spans="1:3" s="8" customFormat="1" x14ac:dyDescent="0.2">
      <c r="A18802" s="6" t="str">
        <f>"LINC00996"</f>
        <v>LINC00996</v>
      </c>
      <c r="B18802" s="6" t="s">
        <v>1</v>
      </c>
      <c r="C18802" s="6" t="s">
        <v>1</v>
      </c>
    </row>
    <row r="18803" spans="1:3" s="8" customFormat="1" x14ac:dyDescent="0.2">
      <c r="A18803" s="6" t="str">
        <f>"AC004870.1"</f>
        <v>AC004870.1</v>
      </c>
      <c r="B18803" s="6" t="s">
        <v>1</v>
      </c>
      <c r="C18803" s="6" t="s">
        <v>1</v>
      </c>
    </row>
    <row r="18804" spans="1:3" s="8" customFormat="1" x14ac:dyDescent="0.2">
      <c r="A18804" s="6" t="str">
        <f>"TMEM156"</f>
        <v>TMEM156</v>
      </c>
      <c r="B18804" s="6" t="s">
        <v>1</v>
      </c>
      <c r="C18804" s="6" t="s">
        <v>1</v>
      </c>
    </row>
    <row r="18805" spans="1:3" s="8" customFormat="1" x14ac:dyDescent="0.2">
      <c r="A18805" s="6" t="str">
        <f>"AL022344.1"</f>
        <v>AL022344.1</v>
      </c>
      <c r="B18805" s="6" t="s">
        <v>1</v>
      </c>
      <c r="C18805" s="6" t="s">
        <v>1</v>
      </c>
    </row>
    <row r="18806" spans="1:3" s="8" customFormat="1" x14ac:dyDescent="0.2">
      <c r="A18806" s="6" t="str">
        <f>"SOCS2-AS1"</f>
        <v>SOCS2-AS1</v>
      </c>
      <c r="B18806" s="6" t="s">
        <v>1</v>
      </c>
      <c r="C18806" s="6" t="s">
        <v>1</v>
      </c>
    </row>
    <row r="18807" spans="1:3" s="8" customFormat="1" x14ac:dyDescent="0.2">
      <c r="A18807" s="6" t="str">
        <f>"AL450992.1"</f>
        <v>AL450992.1</v>
      </c>
      <c r="B18807" s="6" t="s">
        <v>1</v>
      </c>
      <c r="C18807" s="6" t="s">
        <v>1</v>
      </c>
    </row>
    <row r="18808" spans="1:3" s="8" customFormat="1" x14ac:dyDescent="0.2">
      <c r="A18808" s="6" t="str">
        <f>"AC007298.2"</f>
        <v>AC007298.2</v>
      </c>
      <c r="B18808" s="6" t="s">
        <v>1</v>
      </c>
      <c r="C18808" s="6" t="s">
        <v>1</v>
      </c>
    </row>
    <row r="18809" spans="1:3" s="8" customFormat="1" x14ac:dyDescent="0.2">
      <c r="A18809" s="6" t="str">
        <f>"LEXM"</f>
        <v>LEXM</v>
      </c>
      <c r="B18809" s="6" t="s">
        <v>1</v>
      </c>
      <c r="C18809" s="6" t="s">
        <v>1</v>
      </c>
    </row>
    <row r="18810" spans="1:3" s="8" customFormat="1" x14ac:dyDescent="0.2">
      <c r="A18810" s="6" t="str">
        <f>"AC062022.2"</f>
        <v>AC062022.2</v>
      </c>
      <c r="B18810" s="6" t="s">
        <v>1</v>
      </c>
      <c r="C18810" s="6" t="s">
        <v>1</v>
      </c>
    </row>
    <row r="18811" spans="1:3" s="8" customFormat="1" x14ac:dyDescent="0.2">
      <c r="A18811" s="6" t="str">
        <f>"AC022387.2"</f>
        <v>AC022387.2</v>
      </c>
      <c r="B18811" s="6" t="s">
        <v>1</v>
      </c>
      <c r="C18811" s="6" t="s">
        <v>1</v>
      </c>
    </row>
    <row r="18812" spans="1:3" s="8" customFormat="1" x14ac:dyDescent="0.2">
      <c r="A18812" s="6" t="str">
        <f>"TRHDE-AS1"</f>
        <v>TRHDE-AS1</v>
      </c>
      <c r="B18812" s="6" t="s">
        <v>1</v>
      </c>
      <c r="C18812" s="6" t="s">
        <v>1</v>
      </c>
    </row>
    <row r="18813" spans="1:3" s="8" customFormat="1" x14ac:dyDescent="0.2">
      <c r="A18813" s="6" t="str">
        <f>"AC022400.4"</f>
        <v>AC022400.4</v>
      </c>
      <c r="B18813" s="6" t="s">
        <v>1</v>
      </c>
      <c r="C18813" s="6" t="s">
        <v>1</v>
      </c>
    </row>
    <row r="18814" spans="1:3" s="8" customFormat="1" x14ac:dyDescent="0.2">
      <c r="A18814" s="6" t="str">
        <f>"LRP1B"</f>
        <v>LRP1B</v>
      </c>
      <c r="B18814" s="6" t="s">
        <v>1</v>
      </c>
      <c r="C18814" s="6" t="s">
        <v>1</v>
      </c>
    </row>
    <row r="18815" spans="1:3" s="8" customFormat="1" x14ac:dyDescent="0.2">
      <c r="A18815" s="6" t="str">
        <f>"AL353708.1"</f>
        <v>AL353708.1</v>
      </c>
      <c r="B18815" s="6" t="s">
        <v>1</v>
      </c>
      <c r="C18815" s="6" t="s">
        <v>1</v>
      </c>
    </row>
    <row r="18816" spans="1:3" s="8" customFormat="1" x14ac:dyDescent="0.2">
      <c r="A18816" s="6" t="str">
        <f>"EBI3"</f>
        <v>EBI3</v>
      </c>
      <c r="B18816" s="6" t="s">
        <v>1</v>
      </c>
      <c r="C18816" s="6" t="s">
        <v>1</v>
      </c>
    </row>
    <row r="18817" spans="1:3" s="8" customFormat="1" x14ac:dyDescent="0.2">
      <c r="A18817" s="6" t="str">
        <f>"WNT10B"</f>
        <v>WNT10B</v>
      </c>
      <c r="B18817" s="6" t="s">
        <v>1</v>
      </c>
      <c r="C18817" s="6" t="s">
        <v>1</v>
      </c>
    </row>
    <row r="18818" spans="1:3" s="8" customFormat="1" x14ac:dyDescent="0.2">
      <c r="A18818" s="6" t="str">
        <f>"H3C10"</f>
        <v>H3C10</v>
      </c>
      <c r="B18818" s="6" t="s">
        <v>1</v>
      </c>
      <c r="C18818" s="6" t="s">
        <v>1</v>
      </c>
    </row>
    <row r="18819" spans="1:3" s="8" customFormat="1" x14ac:dyDescent="0.2">
      <c r="A18819" s="6" t="str">
        <f>"AC004967.1"</f>
        <v>AC004967.1</v>
      </c>
      <c r="B18819" s="6" t="s">
        <v>1</v>
      </c>
      <c r="C18819" s="6" t="s">
        <v>1</v>
      </c>
    </row>
    <row r="18820" spans="1:3" s="8" customFormat="1" x14ac:dyDescent="0.2">
      <c r="A18820" s="6" t="str">
        <f>"AP000542.2"</f>
        <v>AP000542.2</v>
      </c>
      <c r="B18820" s="6" t="s">
        <v>1</v>
      </c>
      <c r="C18820" s="6" t="s">
        <v>1</v>
      </c>
    </row>
    <row r="18821" spans="1:3" s="8" customFormat="1" x14ac:dyDescent="0.2">
      <c r="A18821" s="6" t="str">
        <f>"GPR25"</f>
        <v>GPR25</v>
      </c>
      <c r="B18821" s="6" t="s">
        <v>1</v>
      </c>
      <c r="C18821" s="6" t="s">
        <v>1</v>
      </c>
    </row>
    <row r="18822" spans="1:3" s="8" customFormat="1" x14ac:dyDescent="0.2">
      <c r="A18822" s="6" t="str">
        <f>"KCNH6"</f>
        <v>KCNH6</v>
      </c>
      <c r="B18822" s="6" t="s">
        <v>1</v>
      </c>
      <c r="C18822" s="6" t="s">
        <v>1</v>
      </c>
    </row>
    <row r="18823" spans="1:3" s="8" customFormat="1" x14ac:dyDescent="0.2">
      <c r="A18823" s="6" t="str">
        <f>"SLC28A1"</f>
        <v>SLC28A1</v>
      </c>
      <c r="B18823" s="6" t="s">
        <v>1</v>
      </c>
      <c r="C18823" s="6" t="s">
        <v>1</v>
      </c>
    </row>
    <row r="18824" spans="1:3" s="8" customFormat="1" x14ac:dyDescent="0.2">
      <c r="A18824" s="6" t="str">
        <f>"AP000487.1"</f>
        <v>AP000487.1</v>
      </c>
      <c r="B18824" s="6" t="s">
        <v>1</v>
      </c>
      <c r="C18824" s="6" t="s">
        <v>1</v>
      </c>
    </row>
    <row r="18825" spans="1:3" s="8" customFormat="1" x14ac:dyDescent="0.2">
      <c r="A18825" s="6" t="str">
        <f>"AL023284.4"</f>
        <v>AL023284.4</v>
      </c>
      <c r="B18825" s="6" t="s">
        <v>1</v>
      </c>
      <c r="C18825" s="6" t="s">
        <v>1</v>
      </c>
    </row>
    <row r="18826" spans="1:3" s="8" customFormat="1" x14ac:dyDescent="0.2">
      <c r="A18826" s="6" t="str">
        <f>"TREML4"</f>
        <v>TREML4</v>
      </c>
      <c r="B18826" s="6" t="s">
        <v>1</v>
      </c>
      <c r="C18826" s="6" t="s">
        <v>1</v>
      </c>
    </row>
    <row r="18827" spans="1:3" s="8" customFormat="1" x14ac:dyDescent="0.2">
      <c r="A18827" s="6" t="str">
        <f>"AC009630.1"</f>
        <v>AC009630.1</v>
      </c>
      <c r="B18827" s="6" t="s">
        <v>1</v>
      </c>
      <c r="C18827" s="6" t="s">
        <v>1</v>
      </c>
    </row>
    <row r="18828" spans="1:3" s="8" customFormat="1" x14ac:dyDescent="0.2">
      <c r="A18828" s="6" t="str">
        <f>"AP000432.2"</f>
        <v>AP000432.2</v>
      </c>
      <c r="B18828" s="6" t="s">
        <v>1</v>
      </c>
      <c r="C18828" s="6" t="s">
        <v>1</v>
      </c>
    </row>
    <row r="18829" spans="1:3" s="8" customFormat="1" x14ac:dyDescent="0.2">
      <c r="A18829" s="6" t="str">
        <f>"GPR55"</f>
        <v>GPR55</v>
      </c>
      <c r="B18829" s="6" t="s">
        <v>1</v>
      </c>
      <c r="C18829" s="6" t="s">
        <v>1</v>
      </c>
    </row>
    <row r="18830" spans="1:3" s="8" customFormat="1" x14ac:dyDescent="0.2">
      <c r="A18830" s="6" t="str">
        <f>"MYH6"</f>
        <v>MYH6</v>
      </c>
      <c r="B18830" s="6" t="s">
        <v>1</v>
      </c>
      <c r="C18830" s="6" t="s">
        <v>1</v>
      </c>
    </row>
    <row r="18831" spans="1:3" s="8" customFormat="1" x14ac:dyDescent="0.2">
      <c r="A18831" s="6" t="str">
        <f>"LINC02068"</f>
        <v>LINC02068</v>
      </c>
      <c r="B18831" s="6" t="s">
        <v>1</v>
      </c>
      <c r="C18831" s="6" t="s">
        <v>1</v>
      </c>
    </row>
    <row r="18832" spans="1:3" s="8" customFormat="1" x14ac:dyDescent="0.2">
      <c r="A18832" s="6" t="str">
        <f>"AC010148.1"</f>
        <v>AC010148.1</v>
      </c>
      <c r="B18832" s="6" t="s">
        <v>1</v>
      </c>
      <c r="C18832" s="6" t="s">
        <v>1</v>
      </c>
    </row>
    <row r="18833" spans="1:3" s="8" customFormat="1" x14ac:dyDescent="0.2">
      <c r="A18833" s="6" t="str">
        <f>"CYP21A2"</f>
        <v>CYP21A2</v>
      </c>
      <c r="B18833" s="6" t="s">
        <v>1</v>
      </c>
      <c r="C18833" s="6" t="s">
        <v>1</v>
      </c>
    </row>
    <row r="18834" spans="1:3" s="8" customFormat="1" x14ac:dyDescent="0.2">
      <c r="A18834" s="6" t="str">
        <f>"AP000424.1"</f>
        <v>AP000424.1</v>
      </c>
      <c r="B18834" s="6" t="s">
        <v>1</v>
      </c>
      <c r="C18834" s="6" t="s">
        <v>1</v>
      </c>
    </row>
    <row r="18835" spans="1:3" s="8" customFormat="1" x14ac:dyDescent="0.2">
      <c r="A18835" s="6" t="str">
        <f>"LGALS8-AS1"</f>
        <v>LGALS8-AS1</v>
      </c>
      <c r="B18835" s="6" t="s">
        <v>1</v>
      </c>
      <c r="C18835" s="6" t="s">
        <v>1</v>
      </c>
    </row>
    <row r="18836" spans="1:3" s="8" customFormat="1" x14ac:dyDescent="0.2">
      <c r="A18836" s="6" t="str">
        <f>"LINC02288"</f>
        <v>LINC02288</v>
      </c>
      <c r="B18836" s="6" t="s">
        <v>1</v>
      </c>
      <c r="C18836" s="6" t="s">
        <v>1</v>
      </c>
    </row>
    <row r="18837" spans="1:3" s="8" customFormat="1" x14ac:dyDescent="0.2">
      <c r="A18837" s="6" t="str">
        <f>"AC004951.4"</f>
        <v>AC004951.4</v>
      </c>
      <c r="B18837" s="6" t="s">
        <v>1</v>
      </c>
      <c r="C18837" s="6" t="s">
        <v>1</v>
      </c>
    </row>
    <row r="18838" spans="1:3" s="8" customFormat="1" x14ac:dyDescent="0.2">
      <c r="A18838" s="6" t="str">
        <f>"AC022613.2"</f>
        <v>AC022613.2</v>
      </c>
      <c r="B18838" s="6" t="s">
        <v>1</v>
      </c>
      <c r="C18838" s="6" t="s">
        <v>1</v>
      </c>
    </row>
    <row r="18839" spans="1:3" s="8" customFormat="1" x14ac:dyDescent="0.2">
      <c r="A18839" s="6" t="str">
        <f>"AC244472.1"</f>
        <v>AC244472.1</v>
      </c>
      <c r="B18839" s="6" t="s">
        <v>1</v>
      </c>
      <c r="C18839" s="6" t="s">
        <v>1</v>
      </c>
    </row>
    <row r="18840" spans="1:3" s="8" customFormat="1" x14ac:dyDescent="0.2">
      <c r="A18840" s="6" t="str">
        <f>"KLRC1"</f>
        <v>KLRC1</v>
      </c>
      <c r="B18840" s="6" t="s">
        <v>1</v>
      </c>
      <c r="C18840" s="6" t="s">
        <v>1</v>
      </c>
    </row>
    <row r="18841" spans="1:3" s="8" customFormat="1" x14ac:dyDescent="0.2">
      <c r="A18841" s="6" t="str">
        <f>"AC131392.1"</f>
        <v>AC131392.1</v>
      </c>
      <c r="B18841" s="6" t="s">
        <v>1</v>
      </c>
      <c r="C18841" s="6" t="s">
        <v>1</v>
      </c>
    </row>
    <row r="18842" spans="1:3" s="8" customFormat="1" x14ac:dyDescent="0.2">
      <c r="A18842" s="6" t="str">
        <f>"AC108488.1"</f>
        <v>AC108488.1</v>
      </c>
      <c r="B18842" s="6" t="s">
        <v>1</v>
      </c>
      <c r="C18842" s="6" t="s">
        <v>1</v>
      </c>
    </row>
    <row r="18843" spans="1:3" s="8" customFormat="1" x14ac:dyDescent="0.2">
      <c r="A18843" s="6" t="str">
        <f>"FZD9"</f>
        <v>FZD9</v>
      </c>
      <c r="B18843" s="6" t="s">
        <v>1</v>
      </c>
      <c r="C18843" s="6" t="s">
        <v>1</v>
      </c>
    </row>
    <row r="18844" spans="1:3" s="8" customFormat="1" x14ac:dyDescent="0.2">
      <c r="A18844" s="6" t="str">
        <f>"MAFTRR"</f>
        <v>MAFTRR</v>
      </c>
      <c r="B18844" s="6" t="s">
        <v>1</v>
      </c>
      <c r="C18844" s="6" t="s">
        <v>1</v>
      </c>
    </row>
    <row r="18845" spans="1:3" s="8" customFormat="1" x14ac:dyDescent="0.2">
      <c r="A18845" s="6" t="str">
        <f>"AC093462.1"</f>
        <v>AC093462.1</v>
      </c>
      <c r="B18845" s="6" t="s">
        <v>1</v>
      </c>
      <c r="C18845" s="6" t="s">
        <v>1</v>
      </c>
    </row>
    <row r="18846" spans="1:3" s="8" customFormat="1" x14ac:dyDescent="0.2">
      <c r="A18846" s="6" t="str">
        <f>"AC007292.2"</f>
        <v>AC007292.2</v>
      </c>
      <c r="B18846" s="6" t="s">
        <v>1</v>
      </c>
      <c r="C18846" s="6" t="s">
        <v>1</v>
      </c>
    </row>
    <row r="18847" spans="1:3" s="8" customFormat="1" x14ac:dyDescent="0.2">
      <c r="A18847" s="6" t="str">
        <f>"AL133215.2"</f>
        <v>AL133215.2</v>
      </c>
      <c r="B18847" s="6" t="s">
        <v>1</v>
      </c>
      <c r="C18847" s="6" t="s">
        <v>1</v>
      </c>
    </row>
    <row r="18848" spans="1:3" s="8" customFormat="1" x14ac:dyDescent="0.2">
      <c r="A18848" s="6" t="str">
        <f>"LINC02054"</f>
        <v>LINC02054</v>
      </c>
      <c r="B18848" s="6" t="s">
        <v>1</v>
      </c>
      <c r="C18848" s="6" t="s">
        <v>1</v>
      </c>
    </row>
    <row r="18849" spans="1:3" s="8" customFormat="1" x14ac:dyDescent="0.2">
      <c r="A18849" s="6" t="str">
        <f>"AC004835.1"</f>
        <v>AC004835.1</v>
      </c>
      <c r="B18849" s="6" t="s">
        <v>1</v>
      </c>
      <c r="C18849" s="6" t="s">
        <v>1</v>
      </c>
    </row>
    <row r="18850" spans="1:3" s="8" customFormat="1" x14ac:dyDescent="0.2">
      <c r="A18850" s="6" t="str">
        <f>"LDHAP4"</f>
        <v>LDHAP4</v>
      </c>
      <c r="B18850" s="6" t="s">
        <v>1</v>
      </c>
      <c r="C18850" s="6" t="s">
        <v>1</v>
      </c>
    </row>
    <row r="18851" spans="1:3" s="8" customFormat="1" x14ac:dyDescent="0.2">
      <c r="A18851" s="6" t="str">
        <f>"AL031848.2"</f>
        <v>AL031848.2</v>
      </c>
      <c r="B18851" s="6" t="s">
        <v>1</v>
      </c>
      <c r="C18851" s="6" t="s">
        <v>1</v>
      </c>
    </row>
    <row r="18852" spans="1:3" s="8" customFormat="1" x14ac:dyDescent="0.2">
      <c r="A18852" s="6" t="str">
        <f>"AC007342.9"</f>
        <v>AC007342.9</v>
      </c>
      <c r="B18852" s="6" t="s">
        <v>1</v>
      </c>
      <c r="C18852" s="6" t="s">
        <v>1</v>
      </c>
    </row>
    <row r="18853" spans="1:3" s="8" customFormat="1" x14ac:dyDescent="0.2">
      <c r="A18853" s="6" t="str">
        <f>"VENTX"</f>
        <v>VENTX</v>
      </c>
      <c r="B18853" s="6" t="s">
        <v>1</v>
      </c>
      <c r="C18853" s="6" t="s">
        <v>1</v>
      </c>
    </row>
    <row r="18854" spans="1:3" s="8" customFormat="1" x14ac:dyDescent="0.2">
      <c r="A18854" s="6" t="str">
        <f>"S100A7A"</f>
        <v>S100A7A</v>
      </c>
      <c r="B18854" s="6" t="s">
        <v>1</v>
      </c>
      <c r="C18854" s="6" t="s">
        <v>1</v>
      </c>
    </row>
    <row r="18855" spans="1:3" s="8" customFormat="1" x14ac:dyDescent="0.2">
      <c r="A18855" s="6" t="str">
        <f>"INE1"</f>
        <v>INE1</v>
      </c>
      <c r="B18855" s="6" t="s">
        <v>1</v>
      </c>
      <c r="C18855" s="6" t="s">
        <v>1</v>
      </c>
    </row>
    <row r="18856" spans="1:3" s="8" customFormat="1" x14ac:dyDescent="0.2">
      <c r="A18856" s="6" t="str">
        <f>"LINC02014"</f>
        <v>LINC02014</v>
      </c>
      <c r="B18856" s="6" t="s">
        <v>1</v>
      </c>
      <c r="C18856" s="6" t="s">
        <v>1</v>
      </c>
    </row>
    <row r="18857" spans="1:3" s="8" customFormat="1" x14ac:dyDescent="0.2">
      <c r="A18857" s="6" t="str">
        <f>"CHN1"</f>
        <v>CHN1</v>
      </c>
      <c r="B18857" s="6" t="s">
        <v>1</v>
      </c>
      <c r="C18857" s="6" t="s">
        <v>1</v>
      </c>
    </row>
    <row r="18858" spans="1:3" s="8" customFormat="1" x14ac:dyDescent="0.2">
      <c r="A18858" s="6" t="str">
        <f>"AC245100.4"</f>
        <v>AC245100.4</v>
      </c>
      <c r="B18858" s="6" t="s">
        <v>1</v>
      </c>
      <c r="C18858" s="6" t="s">
        <v>1</v>
      </c>
    </row>
    <row r="18859" spans="1:3" s="8" customFormat="1" x14ac:dyDescent="0.2">
      <c r="A18859" s="6" t="str">
        <f>"LINC01010"</f>
        <v>LINC01010</v>
      </c>
      <c r="B18859" s="6" t="s">
        <v>1</v>
      </c>
      <c r="C18859" s="6" t="s">
        <v>1</v>
      </c>
    </row>
    <row r="18860" spans="1:3" s="8" customFormat="1" x14ac:dyDescent="0.2">
      <c r="A18860" s="6" t="str">
        <f>"ASB14"</f>
        <v>ASB14</v>
      </c>
      <c r="B18860" s="6" t="s">
        <v>1</v>
      </c>
      <c r="C18860" s="6" t="s">
        <v>1</v>
      </c>
    </row>
    <row r="18861" spans="1:3" s="8" customFormat="1" x14ac:dyDescent="0.2">
      <c r="A18861" s="6" t="str">
        <f>"AC022463.1"</f>
        <v>AC022463.1</v>
      </c>
      <c r="B18861" s="6" t="s">
        <v>1</v>
      </c>
      <c r="C18861" s="6" t="s">
        <v>1</v>
      </c>
    </row>
    <row r="18862" spans="1:3" s="8" customFormat="1" x14ac:dyDescent="0.2">
      <c r="A18862" s="6" t="str">
        <f>"TBC1D3"</f>
        <v>TBC1D3</v>
      </c>
      <c r="B18862" s="6" t="s">
        <v>1</v>
      </c>
      <c r="C18862" s="6" t="s">
        <v>1</v>
      </c>
    </row>
    <row r="18863" spans="1:3" s="8" customFormat="1" x14ac:dyDescent="0.2">
      <c r="A18863" s="6" t="str">
        <f>"MIR9-1HG"</f>
        <v>MIR9-1HG</v>
      </c>
      <c r="B18863" s="6" t="s">
        <v>1</v>
      </c>
      <c r="C18863" s="6" t="s">
        <v>1</v>
      </c>
    </row>
    <row r="18864" spans="1:3" s="8" customFormat="1" x14ac:dyDescent="0.2">
      <c r="A18864" s="6" t="str">
        <f>"GPR176"</f>
        <v>GPR176</v>
      </c>
      <c r="B18864" s="6" t="s">
        <v>1</v>
      </c>
      <c r="C18864" s="6" t="s">
        <v>1</v>
      </c>
    </row>
    <row r="18865" spans="1:3" s="8" customFormat="1" x14ac:dyDescent="0.2">
      <c r="A18865" s="6" t="str">
        <f>"S100B"</f>
        <v>S100B</v>
      </c>
      <c r="B18865" s="6" t="s">
        <v>1</v>
      </c>
      <c r="C18865" s="6" t="s">
        <v>1</v>
      </c>
    </row>
    <row r="18866" spans="1:3" s="8" customFormat="1" x14ac:dyDescent="0.2">
      <c r="A18866" s="6" t="str">
        <f>"TRIL"</f>
        <v>TRIL</v>
      </c>
      <c r="B18866" s="6" t="s">
        <v>1</v>
      </c>
      <c r="C18866" s="6" t="s">
        <v>1</v>
      </c>
    </row>
    <row r="18867" spans="1:3" s="8" customFormat="1" x14ac:dyDescent="0.2">
      <c r="A18867" s="6" t="str">
        <f>"ALDH1A2"</f>
        <v>ALDH1A2</v>
      </c>
      <c r="B18867" s="6" t="s">
        <v>1</v>
      </c>
      <c r="C18867" s="6" t="s">
        <v>1</v>
      </c>
    </row>
    <row r="18868" spans="1:3" s="8" customFormat="1" x14ac:dyDescent="0.2">
      <c r="A18868" s="6" t="str">
        <f>"SHBG"</f>
        <v>SHBG</v>
      </c>
      <c r="B18868" s="6" t="s">
        <v>1</v>
      </c>
      <c r="C18868" s="6" t="s">
        <v>1</v>
      </c>
    </row>
    <row r="18869" spans="1:3" s="8" customFormat="1" x14ac:dyDescent="0.2">
      <c r="A18869" s="6" t="str">
        <f>"AC007126.1"</f>
        <v>AC007126.1</v>
      </c>
      <c r="B18869" s="6" t="s">
        <v>1</v>
      </c>
      <c r="C18869" s="6" t="s">
        <v>1</v>
      </c>
    </row>
    <row r="18870" spans="1:3" s="8" customFormat="1" x14ac:dyDescent="0.2">
      <c r="A18870" s="6" t="str">
        <f>"PPDPFL"</f>
        <v>PPDPFL</v>
      </c>
      <c r="B18870" s="6" t="s">
        <v>1</v>
      </c>
      <c r="C18870" s="6" t="s">
        <v>1</v>
      </c>
    </row>
    <row r="18871" spans="1:3" s="8" customFormat="1" x14ac:dyDescent="0.2">
      <c r="A18871" s="6" t="str">
        <f>"AC127496.7"</f>
        <v>AC127496.7</v>
      </c>
      <c r="B18871" s="6" t="s">
        <v>1</v>
      </c>
      <c r="C18871" s="6" t="s">
        <v>1</v>
      </c>
    </row>
    <row r="18872" spans="1:3" s="8" customFormat="1" x14ac:dyDescent="0.2">
      <c r="A18872" s="6" t="str">
        <f>"AC132872.5"</f>
        <v>AC132872.5</v>
      </c>
      <c r="B18872" s="6" t="s">
        <v>1</v>
      </c>
      <c r="C18872" s="6" t="s">
        <v>1</v>
      </c>
    </row>
    <row r="18873" spans="1:3" s="8" customFormat="1" x14ac:dyDescent="0.2">
      <c r="A18873" s="6" t="str">
        <f>"TRH"</f>
        <v>TRH</v>
      </c>
      <c r="B18873" s="6" t="s">
        <v>1</v>
      </c>
      <c r="C18873" s="6" t="s">
        <v>1</v>
      </c>
    </row>
    <row r="18874" spans="1:3" s="8" customFormat="1" x14ac:dyDescent="0.2">
      <c r="A18874" s="6" t="str">
        <f>"AC022023.2"</f>
        <v>AC022023.2</v>
      </c>
      <c r="B18874" s="6" t="s">
        <v>1</v>
      </c>
      <c r="C18874" s="6" t="s">
        <v>1</v>
      </c>
    </row>
    <row r="18875" spans="1:3" s="8" customFormat="1" x14ac:dyDescent="0.2">
      <c r="A18875" s="6" t="str">
        <f>"CHODL"</f>
        <v>CHODL</v>
      </c>
      <c r="B18875" s="6" t="s">
        <v>1</v>
      </c>
      <c r="C18875" s="6" t="s">
        <v>1</v>
      </c>
    </row>
    <row r="18876" spans="1:3" s="8" customFormat="1" x14ac:dyDescent="0.2">
      <c r="A18876" s="6" t="str">
        <f>"DEPDC1B"</f>
        <v>DEPDC1B</v>
      </c>
      <c r="B18876" s="6" t="s">
        <v>1</v>
      </c>
      <c r="C18876" s="6" t="s">
        <v>1</v>
      </c>
    </row>
    <row r="18877" spans="1:3" s="8" customFormat="1" x14ac:dyDescent="0.2">
      <c r="A18877" s="6" t="str">
        <f>"LINC02027"</f>
        <v>LINC02027</v>
      </c>
      <c r="B18877" s="6" t="s">
        <v>1</v>
      </c>
      <c r="C18877" s="6" t="s">
        <v>1</v>
      </c>
    </row>
    <row r="18878" spans="1:3" s="8" customFormat="1" x14ac:dyDescent="0.2">
      <c r="A18878" s="6" t="str">
        <f>"AC128685.1"</f>
        <v>AC128685.1</v>
      </c>
      <c r="B18878" s="6" t="s">
        <v>1</v>
      </c>
      <c r="C18878" s="6" t="s">
        <v>1</v>
      </c>
    </row>
    <row r="18879" spans="1:3" s="8" customFormat="1" x14ac:dyDescent="0.2">
      <c r="A18879" s="6" t="str">
        <f>"FAT3"</f>
        <v>FAT3</v>
      </c>
      <c r="B18879" s="6" t="s">
        <v>1</v>
      </c>
      <c r="C18879" s="6" t="s">
        <v>1</v>
      </c>
    </row>
    <row r="18880" spans="1:3" s="8" customFormat="1" x14ac:dyDescent="0.2">
      <c r="A18880" s="6" t="str">
        <f>"AP000442.1"</f>
        <v>AP000442.1</v>
      </c>
      <c r="B18880" s="6" t="s">
        <v>1</v>
      </c>
      <c r="C18880" s="6" t="s">
        <v>1</v>
      </c>
    </row>
    <row r="18881" spans="1:3" s="8" customFormat="1" x14ac:dyDescent="0.2">
      <c r="A18881" s="6" t="str">
        <f>"AC244197.2"</f>
        <v>AC244197.2</v>
      </c>
      <c r="B18881" s="6" t="s">
        <v>1</v>
      </c>
      <c r="C18881" s="6" t="s">
        <v>1</v>
      </c>
    </row>
    <row r="18882" spans="1:3" s="8" customFormat="1" x14ac:dyDescent="0.2">
      <c r="A18882" s="6" t="str">
        <f>"AC009652.1"</f>
        <v>AC009652.1</v>
      </c>
      <c r="B18882" s="6" t="s">
        <v>1</v>
      </c>
      <c r="C18882" s="6" t="s">
        <v>1</v>
      </c>
    </row>
    <row r="18883" spans="1:3" s="8" customFormat="1" x14ac:dyDescent="0.2">
      <c r="A18883" s="6" t="str">
        <f>"AC093899.2"</f>
        <v>AC093899.2</v>
      </c>
      <c r="B18883" s="6" t="s">
        <v>1</v>
      </c>
      <c r="C18883" s="6" t="s">
        <v>1</v>
      </c>
    </row>
    <row r="18884" spans="1:3" s="8" customFormat="1" x14ac:dyDescent="0.2">
      <c r="A18884" s="6" t="str">
        <f>"AL031123.1"</f>
        <v>AL031123.1</v>
      </c>
      <c r="B18884" s="6" t="s">
        <v>1</v>
      </c>
      <c r="C18884" s="6" t="s">
        <v>1</v>
      </c>
    </row>
    <row r="18885" spans="1:3" s="8" customFormat="1" x14ac:dyDescent="0.2">
      <c r="A18885" s="6" t="str">
        <f>"ASGR1"</f>
        <v>ASGR1</v>
      </c>
      <c r="B18885" s="6" t="s">
        <v>1</v>
      </c>
      <c r="C18885" s="6" t="s">
        <v>1</v>
      </c>
    </row>
    <row r="18886" spans="1:3" s="8" customFormat="1" x14ac:dyDescent="0.2">
      <c r="A18886" s="6" t="str">
        <f>"AL445231.1"</f>
        <v>AL445231.1</v>
      </c>
      <c r="B18886" s="6" t="s">
        <v>1</v>
      </c>
      <c r="C18886" s="6" t="s">
        <v>1</v>
      </c>
    </row>
    <row r="18887" spans="1:3" s="8" customFormat="1" x14ac:dyDescent="0.2">
      <c r="A18887" s="6" t="str">
        <f>"REN"</f>
        <v>REN</v>
      </c>
      <c r="B18887" s="6" t="s">
        <v>1</v>
      </c>
      <c r="C18887" s="6" t="s">
        <v>1</v>
      </c>
    </row>
    <row r="18888" spans="1:3" s="8" customFormat="1" x14ac:dyDescent="0.2">
      <c r="A18888" s="6" t="str">
        <f>"AC106897.1"</f>
        <v>AC106897.1</v>
      </c>
      <c r="B18888" s="6" t="s">
        <v>1</v>
      </c>
      <c r="C18888" s="6" t="s">
        <v>1</v>
      </c>
    </row>
    <row r="18889" spans="1:3" s="8" customFormat="1" x14ac:dyDescent="0.2">
      <c r="A18889" s="6" t="str">
        <f>"AC022509.1"</f>
        <v>AC022509.1</v>
      </c>
      <c r="B18889" s="6" t="s">
        <v>1</v>
      </c>
      <c r="C18889" s="6" t="s">
        <v>1</v>
      </c>
    </row>
    <row r="18890" spans="1:3" s="8" customFormat="1" x14ac:dyDescent="0.2">
      <c r="A18890" s="6" t="str">
        <f>"LRFN2"</f>
        <v>LRFN2</v>
      </c>
      <c r="B18890" s="6" t="s">
        <v>1</v>
      </c>
      <c r="C18890" s="6" t="s">
        <v>1</v>
      </c>
    </row>
    <row r="18891" spans="1:3" s="8" customFormat="1" x14ac:dyDescent="0.2">
      <c r="A18891" s="6" t="str">
        <f>"MRPS30-DT"</f>
        <v>MRPS30-DT</v>
      </c>
      <c r="B18891" s="6" t="s">
        <v>1</v>
      </c>
      <c r="C18891" s="6" t="s">
        <v>1</v>
      </c>
    </row>
    <row r="18892" spans="1:3" s="8" customFormat="1" x14ac:dyDescent="0.2">
      <c r="A18892" s="6" t="str">
        <f>"TREML3P"</f>
        <v>TREML3P</v>
      </c>
      <c r="B18892" s="6" t="s">
        <v>1</v>
      </c>
      <c r="C18892" s="6" t="s">
        <v>1</v>
      </c>
    </row>
    <row r="18893" spans="1:3" s="8" customFormat="1" x14ac:dyDescent="0.2">
      <c r="A18893" s="6" t="str">
        <f>"AC007365.1"</f>
        <v>AC007365.1</v>
      </c>
      <c r="B18893" s="6" t="s">
        <v>1</v>
      </c>
      <c r="C18893" s="6" t="s">
        <v>1</v>
      </c>
    </row>
    <row r="18894" spans="1:3" s="8" customFormat="1" x14ac:dyDescent="0.2">
      <c r="A18894" s="6" t="str">
        <f>"AC004691.2"</f>
        <v>AC004691.2</v>
      </c>
      <c r="B18894" s="6" t="s">
        <v>1</v>
      </c>
      <c r="C18894" s="6" t="s">
        <v>1</v>
      </c>
    </row>
    <row r="18895" spans="1:3" s="8" customFormat="1" x14ac:dyDescent="0.2">
      <c r="A18895" s="6" t="str">
        <f>"KCNAB1"</f>
        <v>KCNAB1</v>
      </c>
      <c r="B18895" s="6" t="s">
        <v>1</v>
      </c>
      <c r="C18895" s="6" t="s">
        <v>1</v>
      </c>
    </row>
    <row r="18896" spans="1:3" s="8" customFormat="1" x14ac:dyDescent="0.2">
      <c r="A18896" s="6" t="str">
        <f>"C2orf88"</f>
        <v>C2orf88</v>
      </c>
      <c r="B18896" s="6" t="s">
        <v>1</v>
      </c>
      <c r="C18896" s="6" t="s">
        <v>1</v>
      </c>
    </row>
    <row r="18897" spans="1:3" s="8" customFormat="1" x14ac:dyDescent="0.2">
      <c r="A18897" s="6" t="str">
        <f>"AC011330.2"</f>
        <v>AC011330.2</v>
      </c>
      <c r="B18897" s="6" t="s">
        <v>1</v>
      </c>
      <c r="C18897" s="6" t="s">
        <v>1</v>
      </c>
    </row>
    <row r="18898" spans="1:3" s="8" customFormat="1" x14ac:dyDescent="0.2">
      <c r="A18898" s="6" t="str">
        <f>"ADRA2C"</f>
        <v>ADRA2C</v>
      </c>
      <c r="B18898" s="6" t="s">
        <v>1</v>
      </c>
      <c r="C18898" s="6" t="s">
        <v>1</v>
      </c>
    </row>
    <row r="18899" spans="1:3" s="8" customFormat="1" x14ac:dyDescent="0.2">
      <c r="A18899" s="6" t="str">
        <f>"ZYG11A"</f>
        <v>ZYG11A</v>
      </c>
      <c r="B18899" s="6" t="s">
        <v>1</v>
      </c>
      <c r="C18899" s="6" t="s">
        <v>1</v>
      </c>
    </row>
    <row r="18900" spans="1:3" s="8" customFormat="1" x14ac:dyDescent="0.2">
      <c r="A18900" s="6" t="str">
        <f>"HNRNPA1P33"</f>
        <v>HNRNPA1P33</v>
      </c>
      <c r="B18900" s="6" t="s">
        <v>1</v>
      </c>
      <c r="C18900" s="6" t="s">
        <v>1</v>
      </c>
    </row>
    <row r="18901" spans="1:3" s="8" customFormat="1" x14ac:dyDescent="0.2">
      <c r="A18901" s="6" t="str">
        <f>"C20orf204"</f>
        <v>C20orf204</v>
      </c>
      <c r="B18901" s="6" t="s">
        <v>1</v>
      </c>
      <c r="C18901" s="6" t="s">
        <v>1</v>
      </c>
    </row>
    <row r="18902" spans="1:3" s="8" customFormat="1" x14ac:dyDescent="0.2">
      <c r="A18902" s="6" t="str">
        <f>"FLJ12825"</f>
        <v>FLJ12825</v>
      </c>
      <c r="B18902" s="6" t="s">
        <v>1</v>
      </c>
      <c r="C18902" s="6" t="s">
        <v>1</v>
      </c>
    </row>
    <row r="18903" spans="1:3" s="8" customFormat="1" x14ac:dyDescent="0.2">
      <c r="A18903" s="6" t="str">
        <f>"AC244453.2"</f>
        <v>AC244453.2</v>
      </c>
      <c r="B18903" s="6" t="s">
        <v>1</v>
      </c>
      <c r="C18903" s="6" t="s">
        <v>1</v>
      </c>
    </row>
    <row r="18904" spans="1:3" s="8" customFormat="1" x14ac:dyDescent="0.2">
      <c r="A18904" s="6" t="str">
        <f>"PACSIN1"</f>
        <v>PACSIN1</v>
      </c>
      <c r="B18904" s="6" t="s">
        <v>1</v>
      </c>
      <c r="C18904" s="6" t="s">
        <v>1</v>
      </c>
    </row>
    <row r="18905" spans="1:3" s="8" customFormat="1" x14ac:dyDescent="0.2">
      <c r="A18905" s="6" t="str">
        <f>"AL512283.2"</f>
        <v>AL512283.2</v>
      </c>
      <c r="B18905" s="6" t="s">
        <v>1</v>
      </c>
      <c r="C18905" s="6" t="s">
        <v>1</v>
      </c>
    </row>
    <row r="18906" spans="1:3" s="8" customFormat="1" x14ac:dyDescent="0.2">
      <c r="A18906" s="6" t="str">
        <f>"AC009309.1"</f>
        <v>AC009309.1</v>
      </c>
      <c r="B18906" s="6" t="s">
        <v>1</v>
      </c>
      <c r="C18906" s="6" t="s">
        <v>1</v>
      </c>
    </row>
    <row r="18907" spans="1:3" s="8" customFormat="1" x14ac:dyDescent="0.2">
      <c r="A18907" s="6" t="str">
        <f>"AL133352.1"</f>
        <v>AL133352.1</v>
      </c>
      <c r="B18907" s="6" t="s">
        <v>1</v>
      </c>
      <c r="C18907" s="6" t="s">
        <v>1</v>
      </c>
    </row>
    <row r="18908" spans="1:3" s="8" customFormat="1" x14ac:dyDescent="0.2">
      <c r="A18908" s="6" t="str">
        <f>"NUGGC"</f>
        <v>NUGGC</v>
      </c>
      <c r="B18908" s="6" t="s">
        <v>1</v>
      </c>
      <c r="C18908" s="6" t="s">
        <v>1</v>
      </c>
    </row>
    <row r="18909" spans="1:3" s="8" customFormat="1" x14ac:dyDescent="0.2">
      <c r="A18909" s="6" t="str">
        <f>"CYP11A1"</f>
        <v>CYP11A1</v>
      </c>
      <c r="B18909" s="6" t="s">
        <v>1</v>
      </c>
      <c r="C18909" s="6" t="s">
        <v>1</v>
      </c>
    </row>
    <row r="18910" spans="1:3" s="8" customFormat="1" x14ac:dyDescent="0.2">
      <c r="A18910" s="6" t="str">
        <f>"LGR5"</f>
        <v>LGR5</v>
      </c>
      <c r="B18910" s="6" t="s">
        <v>1</v>
      </c>
      <c r="C18910" s="6" t="s">
        <v>1</v>
      </c>
    </row>
    <row r="18911" spans="1:3" s="8" customFormat="1" x14ac:dyDescent="0.2">
      <c r="A18911" s="6" t="str">
        <f>"OCA2"</f>
        <v>OCA2</v>
      </c>
      <c r="B18911" s="6" t="s">
        <v>1</v>
      </c>
      <c r="C18911" s="6" t="s">
        <v>1</v>
      </c>
    </row>
    <row r="18912" spans="1:3" s="8" customFormat="1" x14ac:dyDescent="0.2">
      <c r="A18912" s="6" t="str">
        <f>"AC009560.1"</f>
        <v>AC009560.1</v>
      </c>
      <c r="B18912" s="6" t="s">
        <v>1</v>
      </c>
      <c r="C18912" s="6" t="s">
        <v>1</v>
      </c>
    </row>
    <row r="18913" spans="1:3" s="8" customFormat="1" x14ac:dyDescent="0.2">
      <c r="A18913" s="6" t="str">
        <f>"AC007402.2"</f>
        <v>AC007402.2</v>
      </c>
      <c r="B18913" s="6" t="s">
        <v>1</v>
      </c>
      <c r="C18913" s="6" t="s">
        <v>1</v>
      </c>
    </row>
    <row r="18914" spans="1:3" s="8" customFormat="1" x14ac:dyDescent="0.2">
      <c r="A18914" s="6" t="str">
        <f>"DENND2A"</f>
        <v>DENND2A</v>
      </c>
      <c r="B18914" s="6" t="s">
        <v>1</v>
      </c>
      <c r="C18914" s="6" t="s">
        <v>1</v>
      </c>
    </row>
    <row r="18915" spans="1:3" s="8" customFormat="1" x14ac:dyDescent="0.2">
      <c r="A18915" s="6" t="str">
        <f>"AC084036.1"</f>
        <v>AC084036.1</v>
      </c>
      <c r="B18915" s="6" t="s">
        <v>1</v>
      </c>
      <c r="C18915" s="6" t="s">
        <v>1</v>
      </c>
    </row>
    <row r="18916" spans="1:3" s="8" customFormat="1" x14ac:dyDescent="0.2">
      <c r="A18916" s="6" t="str">
        <f>"LINC02207"</f>
        <v>LINC02207</v>
      </c>
      <c r="B18916" s="6" t="s">
        <v>1</v>
      </c>
      <c r="C18916" s="6" t="s">
        <v>1</v>
      </c>
    </row>
    <row r="18917" spans="1:3" s="8" customFormat="1" x14ac:dyDescent="0.2">
      <c r="A18917" s="6" t="str">
        <f>"LHFPL5"</f>
        <v>LHFPL5</v>
      </c>
      <c r="B18917" s="6" t="s">
        <v>1</v>
      </c>
      <c r="C18917" s="6" t="s">
        <v>1</v>
      </c>
    </row>
    <row r="18918" spans="1:3" s="8" customFormat="1" x14ac:dyDescent="0.2">
      <c r="A18918" s="6" t="str">
        <f>"LCE3E"</f>
        <v>LCE3E</v>
      </c>
      <c r="B18918" s="6" t="s">
        <v>1</v>
      </c>
      <c r="C18918" s="6" t="s">
        <v>1</v>
      </c>
    </row>
    <row r="18919" spans="1:3" s="8" customFormat="1" x14ac:dyDescent="0.2">
      <c r="A18919" s="6" t="str">
        <f>"CASC8"</f>
        <v>CASC8</v>
      </c>
      <c r="B18919" s="6" t="s">
        <v>1</v>
      </c>
      <c r="C18919" s="6" t="s">
        <v>1</v>
      </c>
    </row>
    <row r="18920" spans="1:3" s="8" customFormat="1" x14ac:dyDescent="0.2">
      <c r="A18920" s="6" t="str">
        <f>"AC004982.1"</f>
        <v>AC004982.1</v>
      </c>
      <c r="B18920" s="6" t="s">
        <v>1</v>
      </c>
      <c r="C18920" s="6" t="s">
        <v>1</v>
      </c>
    </row>
    <row r="18921" spans="1:3" s="8" customFormat="1" x14ac:dyDescent="0.2">
      <c r="A18921" s="6" t="str">
        <f>"H2BC9"</f>
        <v>H2BC9</v>
      </c>
      <c r="B18921" s="6" t="s">
        <v>1</v>
      </c>
      <c r="C18921" s="6" t="s">
        <v>1</v>
      </c>
    </row>
    <row r="18922" spans="1:3" s="8" customFormat="1" x14ac:dyDescent="0.2">
      <c r="A18922" s="6" t="str">
        <f>"AL358781.1"</f>
        <v>AL358781.1</v>
      </c>
      <c r="B18922" s="6" t="s">
        <v>1</v>
      </c>
      <c r="C18922" s="6" t="s">
        <v>1</v>
      </c>
    </row>
    <row r="18923" spans="1:3" s="8" customFormat="1" x14ac:dyDescent="0.2">
      <c r="A18923" s="6" t="str">
        <f>"LPO"</f>
        <v>LPO</v>
      </c>
      <c r="B18923" s="6" t="s">
        <v>1</v>
      </c>
      <c r="C18923" s="6" t="s">
        <v>1</v>
      </c>
    </row>
    <row r="18924" spans="1:3" s="8" customFormat="1" x14ac:dyDescent="0.2">
      <c r="A18924" s="6" t="str">
        <f>"LINC01121"</f>
        <v>LINC01121</v>
      </c>
      <c r="B18924" s="6" t="s">
        <v>1</v>
      </c>
      <c r="C18924" s="6" t="s">
        <v>1</v>
      </c>
    </row>
    <row r="18925" spans="1:3" s="8" customFormat="1" x14ac:dyDescent="0.2">
      <c r="A18925" s="6" t="str">
        <f>"HCG15"</f>
        <v>HCG15</v>
      </c>
      <c r="B18925" s="6" t="s">
        <v>1</v>
      </c>
      <c r="C18925" s="6" t="s">
        <v>1</v>
      </c>
    </row>
    <row r="18926" spans="1:3" s="8" customFormat="1" x14ac:dyDescent="0.2">
      <c r="A18926" s="6" t="str">
        <f>"AL354809.1"</f>
        <v>AL354809.1</v>
      </c>
      <c r="B18926" s="6" t="s">
        <v>1</v>
      </c>
      <c r="C18926" s="6" t="s">
        <v>1</v>
      </c>
    </row>
    <row r="18927" spans="1:3" s="8" customFormat="1" x14ac:dyDescent="0.2">
      <c r="A18927" s="6" t="str">
        <f>"FAM106A"</f>
        <v>FAM106A</v>
      </c>
      <c r="B18927" s="6" t="s">
        <v>1</v>
      </c>
      <c r="C18927" s="6" t="s">
        <v>1</v>
      </c>
    </row>
    <row r="18928" spans="1:3" s="8" customFormat="1" x14ac:dyDescent="0.2">
      <c r="A18928" s="6" t="str">
        <f>"AC093599.2"</f>
        <v>AC093599.2</v>
      </c>
      <c r="B18928" s="6" t="s">
        <v>1</v>
      </c>
      <c r="C18928" s="6" t="s">
        <v>1</v>
      </c>
    </row>
    <row r="18929" spans="1:3" s="8" customFormat="1" x14ac:dyDescent="0.2">
      <c r="A18929" s="6" t="str">
        <f>"BAIAP2L2"</f>
        <v>BAIAP2L2</v>
      </c>
      <c r="B18929" s="6" t="s">
        <v>1</v>
      </c>
      <c r="C18929" s="6" t="s">
        <v>1</v>
      </c>
    </row>
    <row r="18930" spans="1:3" s="8" customFormat="1" x14ac:dyDescent="0.2">
      <c r="A18930" s="6" t="str">
        <f>"PDCD1LG2"</f>
        <v>PDCD1LG2</v>
      </c>
      <c r="B18930" s="6" t="s">
        <v>1</v>
      </c>
      <c r="C18930" s="6" t="s">
        <v>1</v>
      </c>
    </row>
    <row r="18931" spans="1:3" s="8" customFormat="1" x14ac:dyDescent="0.2">
      <c r="A18931" s="6" t="str">
        <f>"ZNF257"</f>
        <v>ZNF257</v>
      </c>
      <c r="B18931" s="6" t="s">
        <v>1</v>
      </c>
      <c r="C18931" s="6" t="s">
        <v>1</v>
      </c>
    </row>
    <row r="18932" spans="1:3" s="8" customFormat="1" x14ac:dyDescent="0.2">
      <c r="A18932" s="6" t="str">
        <f>"MSI1"</f>
        <v>MSI1</v>
      </c>
      <c r="B18932" s="6" t="s">
        <v>1</v>
      </c>
      <c r="C18932" s="6" t="s">
        <v>1</v>
      </c>
    </row>
    <row r="18933" spans="1:3" s="8" customFormat="1" x14ac:dyDescent="0.2">
      <c r="A18933" s="6" t="str">
        <f>"LINC02292"</f>
        <v>LINC02292</v>
      </c>
      <c r="B18933" s="6" t="s">
        <v>1</v>
      </c>
      <c r="C18933" s="6" t="s">
        <v>1</v>
      </c>
    </row>
    <row r="18934" spans="1:3" s="8" customFormat="1" x14ac:dyDescent="0.2">
      <c r="A18934" s="6" t="str">
        <f>"C20orf202"</f>
        <v>C20orf202</v>
      </c>
      <c r="B18934" s="6" t="s">
        <v>1</v>
      </c>
      <c r="C18934" s="6" t="s">
        <v>1</v>
      </c>
    </row>
    <row r="18935" spans="1:3" s="8" customFormat="1" x14ac:dyDescent="0.2">
      <c r="A18935" s="6" t="str">
        <f>"HASPIN"</f>
        <v>HASPIN</v>
      </c>
      <c r="B18935" s="6" t="s">
        <v>1</v>
      </c>
      <c r="C18935" s="6" t="s">
        <v>1</v>
      </c>
    </row>
    <row r="18936" spans="1:3" s="8" customFormat="1" x14ac:dyDescent="0.2">
      <c r="A18936" s="6" t="str">
        <f>"NUTM2HP"</f>
        <v>NUTM2HP</v>
      </c>
      <c r="B18936" s="6" t="s">
        <v>1</v>
      </c>
      <c r="C18936" s="6" t="s">
        <v>1</v>
      </c>
    </row>
    <row r="18937" spans="1:3" s="8" customFormat="1" x14ac:dyDescent="0.2">
      <c r="A18937" s="6" t="str">
        <f>"AC087645.2"</f>
        <v>AC087645.2</v>
      </c>
      <c r="B18937" s="6" t="s">
        <v>1</v>
      </c>
      <c r="C18937" s="6" t="s">
        <v>1</v>
      </c>
    </row>
    <row r="18938" spans="1:3" s="8" customFormat="1" x14ac:dyDescent="0.2">
      <c r="A18938" s="6" t="str">
        <f>"CCNP"</f>
        <v>CCNP</v>
      </c>
      <c r="B18938" s="6" t="s">
        <v>1</v>
      </c>
      <c r="C18938" s="6" t="s">
        <v>1</v>
      </c>
    </row>
    <row r="18939" spans="1:3" s="8" customFormat="1" x14ac:dyDescent="0.2">
      <c r="A18939" s="6" t="str">
        <f>"AC084759.3"</f>
        <v>AC084759.3</v>
      </c>
      <c r="B18939" s="6" t="s">
        <v>1</v>
      </c>
      <c r="C18939" s="6" t="s">
        <v>1</v>
      </c>
    </row>
    <row r="18940" spans="1:3" s="8" customFormat="1" x14ac:dyDescent="0.2">
      <c r="A18940" s="6" t="str">
        <f>"AC023509.3"</f>
        <v>AC023509.3</v>
      </c>
      <c r="B18940" s="6" t="s">
        <v>1</v>
      </c>
      <c r="C18940" s="6" t="s">
        <v>1</v>
      </c>
    </row>
    <row r="18941" spans="1:3" s="8" customFormat="1" x14ac:dyDescent="0.2">
      <c r="A18941" s="6" t="str">
        <f>"AC004969.1"</f>
        <v>AC004969.1</v>
      </c>
      <c r="B18941" s="6" t="s">
        <v>1</v>
      </c>
      <c r="C18941" s="6" t="s">
        <v>1</v>
      </c>
    </row>
    <row r="18942" spans="1:3" s="8" customFormat="1" x14ac:dyDescent="0.2">
      <c r="A18942" s="6" t="str">
        <f>"AC009812.3"</f>
        <v>AC009812.3</v>
      </c>
      <c r="B18942" s="6" t="s">
        <v>1</v>
      </c>
      <c r="C18942" s="6" t="s">
        <v>1</v>
      </c>
    </row>
    <row r="18943" spans="1:3" s="8" customFormat="1" x14ac:dyDescent="0.2">
      <c r="A18943" s="6" t="str">
        <f>"MIR222HG"</f>
        <v>MIR222HG</v>
      </c>
      <c r="B18943" s="6" t="s">
        <v>1</v>
      </c>
      <c r="C18943" s="6" t="s">
        <v>1</v>
      </c>
    </row>
    <row r="18944" spans="1:3" s="8" customFormat="1" x14ac:dyDescent="0.2">
      <c r="A18944" s="6" t="str">
        <f>"GPR174"</f>
        <v>GPR174</v>
      </c>
      <c r="B18944" s="6" t="s">
        <v>1</v>
      </c>
      <c r="C18944" s="6" t="s">
        <v>1</v>
      </c>
    </row>
    <row r="18945" spans="1:3" s="8" customFormat="1" x14ac:dyDescent="0.2">
      <c r="A18945" s="6" t="str">
        <f>"MYRIP"</f>
        <v>MYRIP</v>
      </c>
      <c r="B18945" s="6" t="s">
        <v>1</v>
      </c>
      <c r="C18945" s="6" t="s">
        <v>1</v>
      </c>
    </row>
    <row r="18946" spans="1:3" s="8" customFormat="1" x14ac:dyDescent="0.2">
      <c r="A18946" s="6" t="str">
        <f>"LINC00992"</f>
        <v>LINC00992</v>
      </c>
      <c r="B18946" s="6" t="s">
        <v>1</v>
      </c>
      <c r="C18946" s="6" t="s">
        <v>1</v>
      </c>
    </row>
    <row r="18947" spans="1:3" s="8" customFormat="1" x14ac:dyDescent="0.2">
      <c r="A18947" s="6" t="str">
        <f>"JSRP1"</f>
        <v>JSRP1</v>
      </c>
      <c r="B18947" s="6" t="s">
        <v>1</v>
      </c>
      <c r="C18947" s="6" t="s">
        <v>1</v>
      </c>
    </row>
    <row r="18948" spans="1:3" s="8" customFormat="1" x14ac:dyDescent="0.2">
      <c r="A18948" s="6" t="str">
        <f>"AL445253.1"</f>
        <v>AL445253.1</v>
      </c>
      <c r="B18948" s="6" t="s">
        <v>1</v>
      </c>
      <c r="C18948" s="6" t="s">
        <v>1</v>
      </c>
    </row>
    <row r="18949" spans="1:3" s="8" customFormat="1" x14ac:dyDescent="0.2">
      <c r="A18949" s="6" t="str">
        <f>"AL023806.3"</f>
        <v>AL023806.3</v>
      </c>
      <c r="B18949" s="6" t="s">
        <v>1</v>
      </c>
      <c r="C18949" s="6" t="s">
        <v>1</v>
      </c>
    </row>
    <row r="18950" spans="1:3" s="8" customFormat="1" x14ac:dyDescent="0.2">
      <c r="A18950" s="6" t="str">
        <f>"FZD2"</f>
        <v>FZD2</v>
      </c>
      <c r="B18950" s="6" t="s">
        <v>1</v>
      </c>
      <c r="C18950" s="6" t="s">
        <v>1</v>
      </c>
    </row>
    <row r="18951" spans="1:3" s="8" customFormat="1" x14ac:dyDescent="0.2">
      <c r="A18951" s="6" t="str">
        <f>"AC023355.1"</f>
        <v>AC023355.1</v>
      </c>
      <c r="B18951" s="6" t="s">
        <v>1</v>
      </c>
      <c r="C18951" s="6" t="s">
        <v>1</v>
      </c>
    </row>
    <row r="18952" spans="1:3" s="8" customFormat="1" x14ac:dyDescent="0.2">
      <c r="A18952" s="6" t="str">
        <f>"CARNS1"</f>
        <v>CARNS1</v>
      </c>
      <c r="B18952" s="6" t="s">
        <v>1</v>
      </c>
      <c r="C18952" s="6" t="s">
        <v>1</v>
      </c>
    </row>
    <row r="18953" spans="1:3" s="8" customFormat="1" x14ac:dyDescent="0.2">
      <c r="A18953" s="6" t="str">
        <f>"NPFFR1"</f>
        <v>NPFFR1</v>
      </c>
      <c r="B18953" s="6" t="s">
        <v>1</v>
      </c>
      <c r="C18953" s="6" t="s">
        <v>1</v>
      </c>
    </row>
    <row r="18954" spans="1:3" s="8" customFormat="1" x14ac:dyDescent="0.2">
      <c r="A18954" s="6" t="str">
        <f>"AC087164.1"</f>
        <v>AC087164.1</v>
      </c>
      <c r="B18954" s="6" t="s">
        <v>1</v>
      </c>
      <c r="C18954" s="6" t="s">
        <v>1</v>
      </c>
    </row>
    <row r="18955" spans="1:3" s="8" customFormat="1" x14ac:dyDescent="0.2">
      <c r="A18955" s="6" t="str">
        <f>"LINC00933"</f>
        <v>LINC00933</v>
      </c>
      <c r="B18955" s="6" t="s">
        <v>1</v>
      </c>
      <c r="C18955" s="6" t="s">
        <v>1</v>
      </c>
    </row>
    <row r="18956" spans="1:3" s="8" customFormat="1" x14ac:dyDescent="0.2">
      <c r="A18956" s="6" t="str">
        <f>"AL031777.2"</f>
        <v>AL031777.2</v>
      </c>
      <c r="B18956" s="6" t="s">
        <v>1</v>
      </c>
      <c r="C18956" s="6" t="s">
        <v>1</v>
      </c>
    </row>
    <row r="18957" spans="1:3" s="8" customFormat="1" x14ac:dyDescent="0.2">
      <c r="A18957" s="6" t="str">
        <f>"BRINP1"</f>
        <v>BRINP1</v>
      </c>
      <c r="B18957" s="6" t="s">
        <v>1</v>
      </c>
      <c r="C18957" s="6" t="s">
        <v>1</v>
      </c>
    </row>
    <row r="18958" spans="1:3" s="8" customFormat="1" x14ac:dyDescent="0.2">
      <c r="A18958" s="6" t="str">
        <f>"AC004771.2"</f>
        <v>AC004771.2</v>
      </c>
      <c r="B18958" s="6" t="s">
        <v>1</v>
      </c>
      <c r="C18958" s="6" t="s">
        <v>1</v>
      </c>
    </row>
    <row r="18959" spans="1:3" s="8" customFormat="1" x14ac:dyDescent="0.2">
      <c r="A18959" s="6" t="str">
        <f>"BATF3"</f>
        <v>BATF3</v>
      </c>
      <c r="B18959" s="6" t="s">
        <v>1</v>
      </c>
      <c r="C18959" s="6" t="s">
        <v>1</v>
      </c>
    </row>
    <row r="18960" spans="1:3" s="8" customFormat="1" x14ac:dyDescent="0.2">
      <c r="A18960" s="6" t="str">
        <f>"AC067930.5"</f>
        <v>AC067930.5</v>
      </c>
      <c r="B18960" s="6" t="s">
        <v>1</v>
      </c>
      <c r="C18960" s="6" t="s">
        <v>1</v>
      </c>
    </row>
    <row r="18961" spans="1:3" s="8" customFormat="1" x14ac:dyDescent="0.2">
      <c r="A18961" s="6" t="str">
        <f>"PDCD6IPP2"</f>
        <v>PDCD6IPP2</v>
      </c>
      <c r="B18961" s="6" t="s">
        <v>1</v>
      </c>
      <c r="C18961" s="6" t="s">
        <v>1</v>
      </c>
    </row>
    <row r="18962" spans="1:3" s="8" customFormat="1" x14ac:dyDescent="0.2">
      <c r="A18962" s="6" t="str">
        <f>"AP000688.1"</f>
        <v>AP000688.1</v>
      </c>
      <c r="B18962" s="6" t="s">
        <v>1</v>
      </c>
      <c r="C18962" s="6" t="s">
        <v>1</v>
      </c>
    </row>
    <row r="18963" spans="1:3" s="8" customFormat="1" x14ac:dyDescent="0.2">
      <c r="A18963" s="6" t="str">
        <f>"AC009271.1"</f>
        <v>AC009271.1</v>
      </c>
      <c r="B18963" s="6" t="s">
        <v>1</v>
      </c>
      <c r="C18963" s="6" t="s">
        <v>1</v>
      </c>
    </row>
    <row r="18964" spans="1:3" s="8" customFormat="1" x14ac:dyDescent="0.2">
      <c r="A18964" s="6" t="str">
        <f>"FAM78B"</f>
        <v>FAM78B</v>
      </c>
      <c r="B18964" s="6" t="s">
        <v>1</v>
      </c>
      <c r="C18964" s="6" t="s">
        <v>1</v>
      </c>
    </row>
    <row r="18965" spans="1:3" s="8" customFormat="1" x14ac:dyDescent="0.2">
      <c r="A18965" s="6" t="str">
        <f>"Z68871.1"</f>
        <v>Z68871.1</v>
      </c>
      <c r="B18965" s="6" t="s">
        <v>1</v>
      </c>
      <c r="C18965" s="6" t="s">
        <v>1</v>
      </c>
    </row>
    <row r="18966" spans="1:3" s="8" customFormat="1" x14ac:dyDescent="0.2">
      <c r="A18966" s="6" t="str">
        <f>"AC083973.1"</f>
        <v>AC083973.1</v>
      </c>
      <c r="B18966" s="6" t="s">
        <v>1</v>
      </c>
      <c r="C18966" s="6" t="s">
        <v>1</v>
      </c>
    </row>
    <row r="18967" spans="1:3" s="8" customFormat="1" x14ac:dyDescent="0.2">
      <c r="A18967" s="6" t="str">
        <f>"SHISAL1"</f>
        <v>SHISAL1</v>
      </c>
      <c r="B18967" s="6" t="s">
        <v>1</v>
      </c>
      <c r="C18967" s="6" t="s">
        <v>1</v>
      </c>
    </row>
    <row r="18968" spans="1:3" s="8" customFormat="1" x14ac:dyDescent="0.2">
      <c r="A18968" s="6" t="str">
        <f>"EEF1A1P11"</f>
        <v>EEF1A1P11</v>
      </c>
      <c r="B18968" s="6" t="s">
        <v>1</v>
      </c>
      <c r="C18968" s="6" t="s">
        <v>1</v>
      </c>
    </row>
    <row r="18969" spans="1:3" s="8" customFormat="1" x14ac:dyDescent="0.2">
      <c r="A18969" s="6" t="str">
        <f>"DEPDC7"</f>
        <v>DEPDC7</v>
      </c>
      <c r="B18969" s="6" t="s">
        <v>1</v>
      </c>
      <c r="C18969" s="6" t="s">
        <v>1</v>
      </c>
    </row>
    <row r="18970" spans="1:3" s="8" customFormat="1" x14ac:dyDescent="0.2">
      <c r="A18970" s="6" t="str">
        <f>"NUTM2E"</f>
        <v>NUTM2E</v>
      </c>
      <c r="B18970" s="6" t="s">
        <v>1</v>
      </c>
      <c r="C18970" s="6" t="s">
        <v>1</v>
      </c>
    </row>
    <row r="18971" spans="1:3" s="8" customFormat="1" x14ac:dyDescent="0.2">
      <c r="A18971" s="6" t="str">
        <f>"MYO3A"</f>
        <v>MYO3A</v>
      </c>
      <c r="B18971" s="6" t="s">
        <v>1</v>
      </c>
      <c r="C18971" s="6" t="s">
        <v>1</v>
      </c>
    </row>
    <row r="18972" spans="1:3" s="8" customFormat="1" x14ac:dyDescent="0.2">
      <c r="A18972" s="6" t="str">
        <f>"AC245041.1"</f>
        <v>AC245041.1</v>
      </c>
      <c r="B18972" s="6" t="s">
        <v>1</v>
      </c>
      <c r="C18972" s="6" t="s">
        <v>1</v>
      </c>
    </row>
    <row r="18973" spans="1:3" s="8" customFormat="1" x14ac:dyDescent="0.2">
      <c r="A18973" s="6" t="str">
        <f>"LMO1"</f>
        <v>LMO1</v>
      </c>
      <c r="B18973" s="6" t="s">
        <v>1</v>
      </c>
      <c r="C18973" s="6" t="s">
        <v>1</v>
      </c>
    </row>
    <row r="18974" spans="1:3" s="8" customFormat="1" x14ac:dyDescent="0.2">
      <c r="A18974" s="6" t="str">
        <f>"AC022784.1"</f>
        <v>AC022784.1</v>
      </c>
      <c r="B18974" s="6" t="s">
        <v>1</v>
      </c>
      <c r="C18974" s="6" t="s">
        <v>1</v>
      </c>
    </row>
    <row r="18975" spans="1:3" s="8" customFormat="1" x14ac:dyDescent="0.2">
      <c r="A18975" s="6" t="str">
        <f>"DGCR5"</f>
        <v>DGCR5</v>
      </c>
      <c r="B18975" s="6" t="s">
        <v>1</v>
      </c>
      <c r="C18975" s="6" t="s">
        <v>1</v>
      </c>
    </row>
    <row r="18976" spans="1:3" s="8" customFormat="1" x14ac:dyDescent="0.2">
      <c r="A18976" s="6" t="str">
        <f>"LINC02268"</f>
        <v>LINC02268</v>
      </c>
      <c r="B18976" s="6" t="s">
        <v>1</v>
      </c>
      <c r="C18976" s="6" t="s">
        <v>1</v>
      </c>
    </row>
    <row r="18977" spans="1:3" s="8" customFormat="1" x14ac:dyDescent="0.2">
      <c r="A18977" s="6" t="str">
        <f>"NECAB2"</f>
        <v>NECAB2</v>
      </c>
      <c r="B18977" s="6" t="s">
        <v>1</v>
      </c>
      <c r="C18977" s="6" t="s">
        <v>1</v>
      </c>
    </row>
    <row r="18978" spans="1:3" s="8" customFormat="1" x14ac:dyDescent="0.2">
      <c r="A18978" s="6" t="str">
        <f>"AC012676.1"</f>
        <v>AC012676.1</v>
      </c>
      <c r="B18978" s="6" t="s">
        <v>1</v>
      </c>
      <c r="C18978" s="6" t="s">
        <v>1</v>
      </c>
    </row>
    <row r="18979" spans="1:3" s="8" customFormat="1" x14ac:dyDescent="0.2">
      <c r="A18979" s="6" t="str">
        <f>"TNFRSF8"</f>
        <v>TNFRSF8</v>
      </c>
      <c r="B18979" s="6" t="s">
        <v>1</v>
      </c>
      <c r="C18979" s="6" t="s">
        <v>1</v>
      </c>
    </row>
    <row r="18980" spans="1:3" s="8" customFormat="1" x14ac:dyDescent="0.2">
      <c r="A18980" s="6" t="str">
        <f>"AC007191.1"</f>
        <v>AC007191.1</v>
      </c>
      <c r="B18980" s="6" t="s">
        <v>1</v>
      </c>
      <c r="C18980" s="6" t="s">
        <v>1</v>
      </c>
    </row>
    <row r="18981" spans="1:3" s="8" customFormat="1" x14ac:dyDescent="0.2">
      <c r="A18981" s="6" t="str">
        <f>"LINC02254"</f>
        <v>LINC02254</v>
      </c>
      <c r="B18981" s="6" t="s">
        <v>1</v>
      </c>
      <c r="C18981" s="6" t="s">
        <v>1</v>
      </c>
    </row>
    <row r="18982" spans="1:3" s="8" customFormat="1" x14ac:dyDescent="0.2">
      <c r="A18982" s="6" t="str">
        <f>"AC108448.3"</f>
        <v>AC108448.3</v>
      </c>
      <c r="B18982" s="6" t="s">
        <v>1</v>
      </c>
      <c r="C18982" s="6" t="s">
        <v>1</v>
      </c>
    </row>
    <row r="18983" spans="1:3" s="8" customFormat="1" x14ac:dyDescent="0.2">
      <c r="A18983" s="6" t="str">
        <f>"AC093620.1"</f>
        <v>AC093620.1</v>
      </c>
      <c r="B18983" s="6" t="s">
        <v>1</v>
      </c>
      <c r="C18983" s="6" t="s">
        <v>1</v>
      </c>
    </row>
    <row r="18984" spans="1:3" s="8" customFormat="1" x14ac:dyDescent="0.2">
      <c r="A18984" s="6" t="str">
        <f>"LPA"</f>
        <v>LPA</v>
      </c>
      <c r="B18984" s="6" t="s">
        <v>1</v>
      </c>
      <c r="C18984" s="6" t="s">
        <v>1</v>
      </c>
    </row>
    <row r="18985" spans="1:3" s="8" customFormat="1" x14ac:dyDescent="0.2">
      <c r="A18985" s="6" t="str">
        <f>"KLKB1"</f>
        <v>KLKB1</v>
      </c>
      <c r="B18985" s="6" t="s">
        <v>1</v>
      </c>
      <c r="C18985" s="6" t="s">
        <v>1</v>
      </c>
    </row>
    <row r="18986" spans="1:3" s="8" customFormat="1" x14ac:dyDescent="0.2">
      <c r="A18986" s="6" t="str">
        <f>"AC004817.4"</f>
        <v>AC004817.4</v>
      </c>
      <c r="B18986" s="6" t="s">
        <v>1</v>
      </c>
      <c r="C18986" s="6" t="s">
        <v>1</v>
      </c>
    </row>
    <row r="18987" spans="1:3" s="8" customFormat="1" x14ac:dyDescent="0.2">
      <c r="A18987" s="6" t="str">
        <f>"AL450124.1"</f>
        <v>AL450124.1</v>
      </c>
      <c r="B18987" s="6" t="s">
        <v>1</v>
      </c>
      <c r="C18987" s="6" t="s">
        <v>1</v>
      </c>
    </row>
    <row r="18988" spans="1:3" s="8" customFormat="1" x14ac:dyDescent="0.2">
      <c r="A18988" s="6" t="str">
        <f>"LINC02202"</f>
        <v>LINC02202</v>
      </c>
      <c r="B18988" s="6" t="s">
        <v>1</v>
      </c>
      <c r="C18988" s="6" t="s">
        <v>1</v>
      </c>
    </row>
    <row r="18989" spans="1:3" s="8" customFormat="1" x14ac:dyDescent="0.2">
      <c r="A18989" s="6" t="str">
        <f>"EXOC3L1"</f>
        <v>EXOC3L1</v>
      </c>
      <c r="B18989" s="6" t="s">
        <v>1</v>
      </c>
      <c r="C18989" s="6" t="s">
        <v>1</v>
      </c>
    </row>
    <row r="18990" spans="1:3" s="8" customFormat="1" x14ac:dyDescent="0.2">
      <c r="A18990" s="6" t="str">
        <f>"LINC02158"</f>
        <v>LINC02158</v>
      </c>
      <c r="B18990" s="6" t="s">
        <v>1</v>
      </c>
      <c r="C18990" s="6" t="s">
        <v>1</v>
      </c>
    </row>
    <row r="18991" spans="1:3" s="8" customFormat="1" x14ac:dyDescent="0.2">
      <c r="A18991" s="6" t="str">
        <f>"AC087235.2"</f>
        <v>AC087235.2</v>
      </c>
      <c r="B18991" s="6" t="s">
        <v>1</v>
      </c>
      <c r="C18991" s="6" t="s">
        <v>1</v>
      </c>
    </row>
    <row r="18992" spans="1:3" s="8" customFormat="1" x14ac:dyDescent="0.2">
      <c r="A18992" s="6" t="str">
        <f>"LINC01967"</f>
        <v>LINC01967</v>
      </c>
      <c r="B18992" s="6" t="s">
        <v>1</v>
      </c>
      <c r="C18992" s="6" t="s">
        <v>1</v>
      </c>
    </row>
    <row r="18993" spans="1:3" s="8" customFormat="1" x14ac:dyDescent="0.2">
      <c r="A18993" s="6" t="str">
        <f>"AL133243.3"</f>
        <v>AL133243.3</v>
      </c>
      <c r="B18993" s="6" t="s">
        <v>1</v>
      </c>
      <c r="C18993" s="6" t="s">
        <v>1</v>
      </c>
    </row>
    <row r="18994" spans="1:3" s="8" customFormat="1" x14ac:dyDescent="0.2">
      <c r="A18994" s="6" t="str">
        <f>"AC067968.1"</f>
        <v>AC067968.1</v>
      </c>
      <c r="B18994" s="6" t="s">
        <v>1</v>
      </c>
      <c r="C18994" s="6" t="s">
        <v>1</v>
      </c>
    </row>
    <row r="18995" spans="1:3" s="8" customFormat="1" x14ac:dyDescent="0.2">
      <c r="A18995" s="6" t="str">
        <f>"AL450384.2"</f>
        <v>AL450384.2</v>
      </c>
      <c r="B18995" s="6" t="s">
        <v>1</v>
      </c>
      <c r="C18995" s="6" t="s">
        <v>1</v>
      </c>
    </row>
    <row r="18996" spans="1:3" s="8" customFormat="1" x14ac:dyDescent="0.2">
      <c r="A18996" s="6" t="str">
        <f>"AC009961.1"</f>
        <v>AC009961.1</v>
      </c>
      <c r="B18996" s="6" t="s">
        <v>1</v>
      </c>
      <c r="C18996" s="6" t="s">
        <v>1</v>
      </c>
    </row>
    <row r="18997" spans="1:3" s="8" customFormat="1" x14ac:dyDescent="0.2">
      <c r="A18997" s="6" t="str">
        <f>"CYP26C1"</f>
        <v>CYP26C1</v>
      </c>
      <c r="B18997" s="6" t="s">
        <v>1</v>
      </c>
      <c r="C18997" s="6" t="s">
        <v>1</v>
      </c>
    </row>
    <row r="18998" spans="1:3" s="8" customFormat="1" x14ac:dyDescent="0.2">
      <c r="A18998" s="6" t="str">
        <f>"LINC00900"</f>
        <v>LINC00900</v>
      </c>
      <c r="B18998" s="6" t="s">
        <v>1</v>
      </c>
      <c r="C18998" s="6" t="s">
        <v>1</v>
      </c>
    </row>
    <row r="18999" spans="1:3" s="8" customFormat="1" x14ac:dyDescent="0.2">
      <c r="A18999" s="6" t="str">
        <f>"AC007240.3"</f>
        <v>AC007240.3</v>
      </c>
      <c r="B18999" s="6" t="s">
        <v>1</v>
      </c>
      <c r="C18999" s="6" t="s">
        <v>1</v>
      </c>
    </row>
    <row r="19000" spans="1:3" s="8" customFormat="1" x14ac:dyDescent="0.2">
      <c r="A19000" s="6" t="str">
        <f>"AP000829.1"</f>
        <v>AP000829.1</v>
      </c>
      <c r="B19000" s="6" t="s">
        <v>1</v>
      </c>
      <c r="C19000" s="6" t="s">
        <v>1</v>
      </c>
    </row>
    <row r="19001" spans="1:3" s="8" customFormat="1" x14ac:dyDescent="0.2">
      <c r="A19001" s="6" t="str">
        <f>"FAM89A"</f>
        <v>FAM89A</v>
      </c>
      <c r="B19001" s="6" t="s">
        <v>1</v>
      </c>
      <c r="C19001" s="6" t="s">
        <v>1</v>
      </c>
    </row>
    <row r="19002" spans="1:3" s="8" customFormat="1" x14ac:dyDescent="0.2">
      <c r="A19002" s="6" t="str">
        <f>"AP000974.1"</f>
        <v>AP000974.1</v>
      </c>
      <c r="B19002" s="6" t="s">
        <v>1</v>
      </c>
      <c r="C19002" s="6" t="s">
        <v>1</v>
      </c>
    </row>
    <row r="19003" spans="1:3" s="8" customFormat="1" x14ac:dyDescent="0.2">
      <c r="A19003" s="6" t="str">
        <f>"AC244636.3"</f>
        <v>AC244636.3</v>
      </c>
      <c r="B19003" s="6" t="s">
        <v>1</v>
      </c>
      <c r="C19003" s="6" t="s">
        <v>1</v>
      </c>
    </row>
    <row r="19004" spans="1:3" s="8" customFormat="1" x14ac:dyDescent="0.2">
      <c r="A19004" s="6" t="str">
        <f>"C3orf36"</f>
        <v>C3orf36</v>
      </c>
      <c r="B19004" s="6" t="s">
        <v>1</v>
      </c>
      <c r="C19004" s="6" t="s">
        <v>1</v>
      </c>
    </row>
    <row r="19005" spans="1:3" s="8" customFormat="1" x14ac:dyDescent="0.2">
      <c r="A19005" s="6" t="str">
        <f>"AC108066.2"</f>
        <v>AC108066.2</v>
      </c>
      <c r="B19005" s="6" t="s">
        <v>1</v>
      </c>
      <c r="C19005" s="6" t="s">
        <v>1</v>
      </c>
    </row>
    <row r="19006" spans="1:3" s="8" customFormat="1" x14ac:dyDescent="0.2">
      <c r="A19006" s="6" t="str">
        <f>"MIR3945HG"</f>
        <v>MIR3945HG</v>
      </c>
      <c r="B19006" s="6" t="s">
        <v>1</v>
      </c>
      <c r="C19006" s="6" t="s">
        <v>1</v>
      </c>
    </row>
    <row r="19007" spans="1:3" s="8" customFormat="1" x14ac:dyDescent="0.2">
      <c r="A19007" s="6" t="str">
        <f>"AC009950.1"</f>
        <v>AC009950.1</v>
      </c>
      <c r="B19007" s="6" t="s">
        <v>1</v>
      </c>
      <c r="C19007" s="6" t="s">
        <v>1</v>
      </c>
    </row>
    <row r="19008" spans="1:3" s="8" customFormat="1" x14ac:dyDescent="0.2">
      <c r="A19008" s="6" t="str">
        <f>"EMILIN1"</f>
        <v>EMILIN1</v>
      </c>
      <c r="B19008" s="6" t="s">
        <v>1</v>
      </c>
      <c r="C19008" s="6" t="s">
        <v>1</v>
      </c>
    </row>
    <row r="19009" spans="1:3" s="8" customFormat="1" x14ac:dyDescent="0.2">
      <c r="A19009" s="6" t="str">
        <f>"CCR7"</f>
        <v>CCR7</v>
      </c>
      <c r="B19009" s="6" t="s">
        <v>1</v>
      </c>
      <c r="C19009" s="6" t="s">
        <v>1</v>
      </c>
    </row>
    <row r="19010" spans="1:3" s="8" customFormat="1" x14ac:dyDescent="0.2">
      <c r="A19010" s="6" t="str">
        <f>"LINC02009"</f>
        <v>LINC02009</v>
      </c>
      <c r="B19010" s="6" t="s">
        <v>1</v>
      </c>
      <c r="C19010" s="6" t="s">
        <v>1</v>
      </c>
    </row>
    <row r="19011" spans="1:3" s="8" customFormat="1" x14ac:dyDescent="0.2">
      <c r="A19011" s="6" t="str">
        <f>"GLB1L3"</f>
        <v>GLB1L3</v>
      </c>
      <c r="B19011" s="6" t="s">
        <v>1</v>
      </c>
      <c r="C19011" s="6" t="s">
        <v>1</v>
      </c>
    </row>
    <row r="19012" spans="1:3" s="8" customFormat="1" x14ac:dyDescent="0.2">
      <c r="A19012" s="6" t="str">
        <f>"HMGB1P1"</f>
        <v>HMGB1P1</v>
      </c>
      <c r="B19012" s="6" t="s">
        <v>1</v>
      </c>
      <c r="C19012" s="6" t="s">
        <v>1</v>
      </c>
    </row>
    <row r="19013" spans="1:3" s="8" customFormat="1" x14ac:dyDescent="0.2">
      <c r="A19013" s="6" t="str">
        <f>"FAM72B"</f>
        <v>FAM72B</v>
      </c>
      <c r="B19013" s="6" t="s">
        <v>1</v>
      </c>
      <c r="C19013" s="6" t="s">
        <v>1</v>
      </c>
    </row>
    <row r="19014" spans="1:3" s="8" customFormat="1" x14ac:dyDescent="0.2">
      <c r="A19014" s="6" t="str">
        <f>"TMEM163"</f>
        <v>TMEM163</v>
      </c>
      <c r="B19014" s="6" t="s">
        <v>1</v>
      </c>
      <c r="C19014" s="6" t="s">
        <v>1</v>
      </c>
    </row>
    <row r="19015" spans="1:3" s="8" customFormat="1" x14ac:dyDescent="0.2">
      <c r="A19015" s="6" t="str">
        <f>"EDA2R"</f>
        <v>EDA2R</v>
      </c>
      <c r="B19015" s="6" t="s">
        <v>1</v>
      </c>
      <c r="C19015" s="6" t="s">
        <v>1</v>
      </c>
    </row>
    <row r="19016" spans="1:3" s="8" customFormat="1" x14ac:dyDescent="0.2">
      <c r="A19016" s="6" t="str">
        <f>"AL450326.2"</f>
        <v>AL450326.2</v>
      </c>
      <c r="B19016" s="6" t="s">
        <v>1</v>
      </c>
      <c r="C19016" s="6" t="s">
        <v>1</v>
      </c>
    </row>
    <row r="19017" spans="1:3" s="8" customFormat="1" x14ac:dyDescent="0.2">
      <c r="A19017" s="6" t="str">
        <f>"MSC"</f>
        <v>MSC</v>
      </c>
      <c r="B19017" s="6" t="s">
        <v>1</v>
      </c>
      <c r="C19017" s="6" t="s">
        <v>1</v>
      </c>
    </row>
    <row r="19018" spans="1:3" s="8" customFormat="1" x14ac:dyDescent="0.2">
      <c r="A19018" s="6" t="str">
        <f>"MIR663AHG"</f>
        <v>MIR663AHG</v>
      </c>
      <c r="B19018" s="6" t="s">
        <v>1</v>
      </c>
      <c r="C19018" s="6" t="s">
        <v>1</v>
      </c>
    </row>
    <row r="19019" spans="1:3" s="8" customFormat="1" x14ac:dyDescent="0.2">
      <c r="A19019" s="6" t="str">
        <f>"AC084819.1"</f>
        <v>AC084819.1</v>
      </c>
      <c r="B19019" s="6" t="s">
        <v>1</v>
      </c>
      <c r="C19019" s="6" t="s">
        <v>1</v>
      </c>
    </row>
    <row r="19020" spans="1:3" s="8" customFormat="1" x14ac:dyDescent="0.2">
      <c r="A19020" s="6" t="str">
        <f>"HMGN2P46"</f>
        <v>HMGN2P46</v>
      </c>
      <c r="B19020" s="6" t="s">
        <v>1</v>
      </c>
      <c r="C19020" s="6" t="s">
        <v>1</v>
      </c>
    </row>
    <row r="19021" spans="1:3" s="8" customFormat="1" x14ac:dyDescent="0.2">
      <c r="A19021" s="6" t="str">
        <f>"AC093635.1"</f>
        <v>AC093635.1</v>
      </c>
      <c r="B19021" s="6" t="s">
        <v>1</v>
      </c>
      <c r="C19021" s="6" t="s">
        <v>1</v>
      </c>
    </row>
    <row r="19022" spans="1:3" s="8" customFormat="1" x14ac:dyDescent="0.2">
      <c r="A19022" s="6" t="str">
        <f>"LINC01176"</f>
        <v>LINC01176</v>
      </c>
      <c r="B19022" s="6" t="s">
        <v>1</v>
      </c>
      <c r="C19022" s="6" t="s">
        <v>1</v>
      </c>
    </row>
    <row r="19023" spans="1:3" s="8" customFormat="1" x14ac:dyDescent="0.2">
      <c r="A19023" s="6" t="str">
        <f>"AC106820.5"</f>
        <v>AC106820.5</v>
      </c>
      <c r="B19023" s="6" t="s">
        <v>1</v>
      </c>
      <c r="C19023" s="6" t="s">
        <v>1</v>
      </c>
    </row>
    <row r="19024" spans="1:3" s="8" customFormat="1" x14ac:dyDescent="0.2">
      <c r="A19024" s="6" t="str">
        <f>"AC108673.2"</f>
        <v>AC108673.2</v>
      </c>
      <c r="B19024" s="6" t="s">
        <v>1</v>
      </c>
      <c r="C19024" s="6" t="s">
        <v>1</v>
      </c>
    </row>
    <row r="19025" spans="1:3" s="8" customFormat="1" x14ac:dyDescent="0.2">
      <c r="A19025" s="6" t="str">
        <f>"LINC01993"</f>
        <v>LINC01993</v>
      </c>
      <c r="B19025" s="6" t="s">
        <v>1</v>
      </c>
      <c r="C19025" s="6" t="s">
        <v>1</v>
      </c>
    </row>
    <row r="19026" spans="1:3" s="8" customFormat="1" x14ac:dyDescent="0.2">
      <c r="A19026" s="6" t="str">
        <f>"ADGRG2"</f>
        <v>ADGRG2</v>
      </c>
      <c r="B19026" s="6" t="s">
        <v>1</v>
      </c>
      <c r="C19026" s="6" t="s">
        <v>1</v>
      </c>
    </row>
    <row r="19027" spans="1:3" s="8" customFormat="1" x14ac:dyDescent="0.2">
      <c r="A19027" s="6" t="str">
        <f>"AL024507.2"</f>
        <v>AL024507.2</v>
      </c>
      <c r="B19027" s="6" t="s">
        <v>1</v>
      </c>
      <c r="C19027" s="6" t="s">
        <v>1</v>
      </c>
    </row>
    <row r="19028" spans="1:3" s="8" customFormat="1" x14ac:dyDescent="0.2">
      <c r="A19028" s="6" t="str">
        <f>"GRIP2"</f>
        <v>GRIP2</v>
      </c>
      <c r="B19028" s="6" t="s">
        <v>1</v>
      </c>
      <c r="C19028" s="6" t="s">
        <v>1</v>
      </c>
    </row>
    <row r="19029" spans="1:3" s="8" customFormat="1" x14ac:dyDescent="0.2">
      <c r="A19029" s="6" t="str">
        <f>"ARC"</f>
        <v>ARC</v>
      </c>
      <c r="B19029" s="6" t="s">
        <v>1</v>
      </c>
      <c r="C19029" s="6" t="s">
        <v>1</v>
      </c>
    </row>
    <row r="19030" spans="1:3" s="8" customFormat="1" x14ac:dyDescent="0.2">
      <c r="A19030" s="6" t="str">
        <f>"AL354696.2"</f>
        <v>AL354696.2</v>
      </c>
      <c r="B19030" s="6" t="s">
        <v>1</v>
      </c>
      <c r="C19030" s="6" t="s">
        <v>1</v>
      </c>
    </row>
    <row r="19031" spans="1:3" s="8" customFormat="1" x14ac:dyDescent="0.2">
      <c r="A19031" s="6" t="str">
        <f>"PPIAP46"</f>
        <v>PPIAP46</v>
      </c>
      <c r="B19031" s="6" t="s">
        <v>1</v>
      </c>
      <c r="C19031" s="6" t="s">
        <v>1</v>
      </c>
    </row>
    <row r="19032" spans="1:3" s="8" customFormat="1" x14ac:dyDescent="0.2">
      <c r="A19032" s="6" t="str">
        <f>"H2BC6"</f>
        <v>H2BC6</v>
      </c>
      <c r="B19032" s="6" t="s">
        <v>1</v>
      </c>
      <c r="C19032" s="6" t="s">
        <v>1</v>
      </c>
    </row>
    <row r="19033" spans="1:3" s="8" customFormat="1" x14ac:dyDescent="0.2">
      <c r="A19033" s="6" t="str">
        <f>"EXD1"</f>
        <v>EXD1</v>
      </c>
      <c r="B19033" s="6" t="s">
        <v>1</v>
      </c>
      <c r="C19033" s="6" t="s">
        <v>1</v>
      </c>
    </row>
    <row r="19034" spans="1:3" s="8" customFormat="1" x14ac:dyDescent="0.2">
      <c r="A19034" s="6" t="str">
        <f>"AL031686.1"</f>
        <v>AL031686.1</v>
      </c>
      <c r="B19034" s="6" t="s">
        <v>1</v>
      </c>
      <c r="C19034" s="6" t="s">
        <v>1</v>
      </c>
    </row>
    <row r="19035" spans="1:3" s="8" customFormat="1" x14ac:dyDescent="0.2">
      <c r="A19035" s="6" t="str">
        <f>"VLDLR-AS1"</f>
        <v>VLDLR-AS1</v>
      </c>
      <c r="B19035" s="6" t="s">
        <v>1</v>
      </c>
      <c r="C19035" s="6" t="s">
        <v>1</v>
      </c>
    </row>
    <row r="19036" spans="1:3" s="8" customFormat="1" x14ac:dyDescent="0.2">
      <c r="A19036" s="6" t="str">
        <f>"AC087501.4"</f>
        <v>AC087501.4</v>
      </c>
      <c r="B19036" s="6" t="s">
        <v>1</v>
      </c>
      <c r="C19036" s="6" t="s">
        <v>1</v>
      </c>
    </row>
    <row r="19037" spans="1:3" s="8" customFormat="1" x14ac:dyDescent="0.2">
      <c r="A19037" s="6" t="str">
        <f>"H4C12"</f>
        <v>H4C12</v>
      </c>
      <c r="B19037" s="6" t="s">
        <v>1</v>
      </c>
      <c r="C19037" s="6" t="s">
        <v>1</v>
      </c>
    </row>
    <row r="19038" spans="1:3" s="8" customFormat="1" x14ac:dyDescent="0.2">
      <c r="A19038" s="6" t="str">
        <f>"GPR85"</f>
        <v>GPR85</v>
      </c>
      <c r="B19038" s="6" t="s">
        <v>1</v>
      </c>
      <c r="C19038" s="6" t="s">
        <v>1</v>
      </c>
    </row>
    <row r="19039" spans="1:3" s="8" customFormat="1" x14ac:dyDescent="0.2">
      <c r="A19039" s="6" t="str">
        <f>"EXOSC10-AS1"</f>
        <v>EXOSC10-AS1</v>
      </c>
      <c r="B19039" s="6" t="s">
        <v>1</v>
      </c>
      <c r="C19039" s="6" t="s">
        <v>1</v>
      </c>
    </row>
    <row r="19040" spans="1:3" s="8" customFormat="1" x14ac:dyDescent="0.2">
      <c r="A19040" s="6" t="str">
        <f>"DEFB124"</f>
        <v>DEFB124</v>
      </c>
      <c r="B19040" s="6" t="s">
        <v>1</v>
      </c>
      <c r="C19040" s="6" t="s">
        <v>1</v>
      </c>
    </row>
    <row r="19041" spans="1:3" s="8" customFormat="1" x14ac:dyDescent="0.2">
      <c r="A19041" s="6" t="str">
        <f>"CCR2"</f>
        <v>CCR2</v>
      </c>
      <c r="B19041" s="6" t="s">
        <v>1</v>
      </c>
      <c r="C19041" s="6" t="s">
        <v>1</v>
      </c>
    </row>
    <row r="19042" spans="1:3" s="8" customFormat="1" x14ac:dyDescent="0.2">
      <c r="A19042" s="6" t="str">
        <f>"WTAPP1"</f>
        <v>WTAPP1</v>
      </c>
      <c r="B19042" s="6" t="s">
        <v>1</v>
      </c>
      <c r="C19042" s="6" t="s">
        <v>1</v>
      </c>
    </row>
    <row r="19043" spans="1:3" s="8" customFormat="1" x14ac:dyDescent="0.2">
      <c r="A19043" s="6" t="str">
        <f>"LINC02267"</f>
        <v>LINC02267</v>
      </c>
      <c r="B19043" s="6" t="s">
        <v>1</v>
      </c>
      <c r="C19043" s="6" t="s">
        <v>1</v>
      </c>
    </row>
    <row r="19044" spans="1:3" s="8" customFormat="1" x14ac:dyDescent="0.2">
      <c r="A19044" s="6" t="str">
        <f>"AC022509.3"</f>
        <v>AC022509.3</v>
      </c>
      <c r="B19044" s="6" t="s">
        <v>1</v>
      </c>
      <c r="C19044" s="6" t="s">
        <v>1</v>
      </c>
    </row>
    <row r="19045" spans="1:3" s="8" customFormat="1" x14ac:dyDescent="0.2">
      <c r="A19045" s="6" t="str">
        <f>"LINC02073"</f>
        <v>LINC02073</v>
      </c>
      <c r="B19045" s="6" t="s">
        <v>1</v>
      </c>
      <c r="C19045" s="6" t="s">
        <v>1</v>
      </c>
    </row>
    <row r="19046" spans="1:3" s="8" customFormat="1" x14ac:dyDescent="0.2">
      <c r="A19046" s="6" t="str">
        <f>"AL031432.4"</f>
        <v>AL031432.4</v>
      </c>
      <c r="B19046" s="6" t="s">
        <v>1</v>
      </c>
      <c r="C19046" s="6" t="s">
        <v>1</v>
      </c>
    </row>
    <row r="19047" spans="1:3" s="8" customFormat="1" x14ac:dyDescent="0.2">
      <c r="A19047" s="6" t="str">
        <f>"ASGR2"</f>
        <v>ASGR2</v>
      </c>
      <c r="B19047" s="6" t="s">
        <v>1</v>
      </c>
      <c r="C19047" s="6" t="s">
        <v>1</v>
      </c>
    </row>
    <row r="19048" spans="1:3" s="8" customFormat="1" x14ac:dyDescent="0.2">
      <c r="A19048" s="6" t="str">
        <f>"EDIL3-DT"</f>
        <v>EDIL3-DT</v>
      </c>
      <c r="B19048" s="6" t="s">
        <v>1</v>
      </c>
      <c r="C19048" s="6" t="s">
        <v>1</v>
      </c>
    </row>
    <row r="19049" spans="1:3" s="8" customFormat="1" x14ac:dyDescent="0.2">
      <c r="A19049" s="6" t="str">
        <f>"P2RY14"</f>
        <v>P2RY14</v>
      </c>
      <c r="B19049" s="6" t="s">
        <v>1</v>
      </c>
      <c r="C19049" s="6" t="s">
        <v>1</v>
      </c>
    </row>
    <row r="19050" spans="1:3" s="8" customFormat="1" x14ac:dyDescent="0.2">
      <c r="A19050" s="6" t="str">
        <f>"HACD1"</f>
        <v>HACD1</v>
      </c>
      <c r="B19050" s="6" t="s">
        <v>1</v>
      </c>
      <c r="C19050" s="6" t="s">
        <v>1</v>
      </c>
    </row>
    <row r="19051" spans="1:3" s="8" customFormat="1" x14ac:dyDescent="0.2">
      <c r="A19051" s="6" t="str">
        <f>"NDUFB2-AS1"</f>
        <v>NDUFB2-AS1</v>
      </c>
      <c r="B19051" s="6" t="s">
        <v>1</v>
      </c>
      <c r="C19051" s="6" t="s">
        <v>1</v>
      </c>
    </row>
    <row r="19052" spans="1:3" s="8" customFormat="1" x14ac:dyDescent="0.2">
      <c r="A19052" s="6" t="str">
        <f>"APOC2"</f>
        <v>APOC2</v>
      </c>
      <c r="B19052" s="6" t="s">
        <v>1</v>
      </c>
      <c r="C19052" s="6" t="s">
        <v>1</v>
      </c>
    </row>
    <row r="19053" spans="1:3" s="8" customFormat="1" x14ac:dyDescent="0.2">
      <c r="A19053" s="6" t="str">
        <f>"AL442663.3"</f>
        <v>AL442663.3</v>
      </c>
      <c r="B19053" s="6" t="s">
        <v>1</v>
      </c>
      <c r="C19053" s="6" t="s">
        <v>1</v>
      </c>
    </row>
    <row r="19054" spans="1:3" s="8" customFormat="1" x14ac:dyDescent="0.2">
      <c r="A19054" s="6" t="str">
        <f>"AC108134.2"</f>
        <v>AC108134.2</v>
      </c>
      <c r="B19054" s="6" t="s">
        <v>1</v>
      </c>
      <c r="C19054" s="6" t="s">
        <v>1</v>
      </c>
    </row>
    <row r="19055" spans="1:3" s="8" customFormat="1" x14ac:dyDescent="0.2">
      <c r="A19055" s="6" t="str">
        <f>"MLANA"</f>
        <v>MLANA</v>
      </c>
      <c r="B19055" s="6" t="s">
        <v>1</v>
      </c>
      <c r="C19055" s="6" t="s">
        <v>1</v>
      </c>
    </row>
    <row r="19056" spans="1:3" s="8" customFormat="1" x14ac:dyDescent="0.2">
      <c r="A19056" s="6" t="str">
        <f>"AC009486.2"</f>
        <v>AC009486.2</v>
      </c>
      <c r="B19056" s="6" t="s">
        <v>1</v>
      </c>
      <c r="C19056" s="6" t="s">
        <v>1</v>
      </c>
    </row>
    <row r="19057" spans="1:3" s="8" customFormat="1" x14ac:dyDescent="0.2">
      <c r="A19057" s="6" t="str">
        <f>"IDH1-AS1"</f>
        <v>IDH1-AS1</v>
      </c>
      <c r="B19057" s="6" t="s">
        <v>1</v>
      </c>
      <c r="C19057" s="6" t="s">
        <v>1</v>
      </c>
    </row>
    <row r="19058" spans="1:3" s="8" customFormat="1" x14ac:dyDescent="0.2">
      <c r="A19058" s="6" t="str">
        <f>"AL133410.1"</f>
        <v>AL133410.1</v>
      </c>
      <c r="B19058" s="6" t="s">
        <v>1</v>
      </c>
      <c r="C19058" s="6" t="s">
        <v>1</v>
      </c>
    </row>
    <row r="19059" spans="1:3" s="8" customFormat="1" x14ac:dyDescent="0.2">
      <c r="A19059" s="6" t="str">
        <f>"AQP11"</f>
        <v>AQP11</v>
      </c>
      <c r="B19059" s="6" t="s">
        <v>1</v>
      </c>
      <c r="C19059" s="6" t="s">
        <v>1</v>
      </c>
    </row>
    <row r="19060" spans="1:3" s="8" customFormat="1" x14ac:dyDescent="0.2">
      <c r="A19060" s="6" t="str">
        <f>"INA"</f>
        <v>INA</v>
      </c>
      <c r="B19060" s="6" t="s">
        <v>1</v>
      </c>
      <c r="C19060" s="6" t="s">
        <v>1</v>
      </c>
    </row>
    <row r="19061" spans="1:3" s="8" customFormat="1" x14ac:dyDescent="0.2">
      <c r="A19061" s="6" t="str">
        <f>"AL031666.2"</f>
        <v>AL031666.2</v>
      </c>
      <c r="B19061" s="6" t="s">
        <v>1</v>
      </c>
      <c r="C19061" s="6" t="s">
        <v>1</v>
      </c>
    </row>
    <row r="19062" spans="1:3" s="8" customFormat="1" x14ac:dyDescent="0.2">
      <c r="A19062" s="6" t="str">
        <f>"SNX29P2"</f>
        <v>SNX29P2</v>
      </c>
      <c r="B19062" s="6" t="s">
        <v>1</v>
      </c>
      <c r="C19062" s="6" t="s">
        <v>1</v>
      </c>
    </row>
    <row r="19063" spans="1:3" s="8" customFormat="1" x14ac:dyDescent="0.2">
      <c r="A19063" s="6" t="str">
        <f>"AC023300.3"</f>
        <v>AC023300.3</v>
      </c>
      <c r="B19063" s="6" t="s">
        <v>1</v>
      </c>
      <c r="C19063" s="6" t="s">
        <v>1</v>
      </c>
    </row>
    <row r="19064" spans="1:3" s="8" customFormat="1" x14ac:dyDescent="0.2">
      <c r="A19064" s="6" t="str">
        <f>"ADORA3"</f>
        <v>ADORA3</v>
      </c>
      <c r="B19064" s="6" t="s">
        <v>1</v>
      </c>
      <c r="C19064" s="6" t="s">
        <v>1</v>
      </c>
    </row>
    <row r="19065" spans="1:3" s="8" customFormat="1" x14ac:dyDescent="0.2">
      <c r="A19065" s="6" t="str">
        <f>"SLURP1"</f>
        <v>SLURP1</v>
      </c>
      <c r="B19065" s="6" t="s">
        <v>1</v>
      </c>
      <c r="C19065" s="6" t="s">
        <v>1</v>
      </c>
    </row>
    <row r="19066" spans="1:3" s="8" customFormat="1" x14ac:dyDescent="0.2">
      <c r="A19066" s="6" t="str">
        <f>"KCND1"</f>
        <v>KCND1</v>
      </c>
      <c r="B19066" s="6" t="s">
        <v>1</v>
      </c>
      <c r="C19066" s="6" t="s">
        <v>1</v>
      </c>
    </row>
    <row r="19067" spans="1:3" s="8" customFormat="1" x14ac:dyDescent="0.2">
      <c r="A19067" s="6" t="str">
        <f>"LPL"</f>
        <v>LPL</v>
      </c>
      <c r="B19067" s="6" t="s">
        <v>1</v>
      </c>
      <c r="C19067" s="6" t="s">
        <v>1</v>
      </c>
    </row>
    <row r="19068" spans="1:3" s="8" customFormat="1" x14ac:dyDescent="0.2">
      <c r="A19068" s="6" t="str">
        <f>"ZC4H2"</f>
        <v>ZC4H2</v>
      </c>
      <c r="B19068" s="6" t="s">
        <v>1</v>
      </c>
      <c r="C19068" s="6" t="s">
        <v>1</v>
      </c>
    </row>
    <row r="19069" spans="1:3" s="8" customFormat="1" x14ac:dyDescent="0.2">
      <c r="A19069" s="6" t="str">
        <f>"KCNJ11"</f>
        <v>KCNJ11</v>
      </c>
      <c r="B19069" s="6" t="s">
        <v>1</v>
      </c>
      <c r="C19069" s="6" t="s">
        <v>1</v>
      </c>
    </row>
    <row r="19070" spans="1:3" s="8" customFormat="1" x14ac:dyDescent="0.2">
      <c r="A19070" s="6" t="str">
        <f>"MZB1"</f>
        <v>MZB1</v>
      </c>
      <c r="B19070" s="6" t="s">
        <v>1</v>
      </c>
      <c r="C19070" s="6" t="s">
        <v>1</v>
      </c>
    </row>
    <row r="19071" spans="1:3" s="8" customFormat="1" x14ac:dyDescent="0.2">
      <c r="A19071" s="6" t="str">
        <f>"LEFTY1"</f>
        <v>LEFTY1</v>
      </c>
      <c r="B19071" s="6" t="s">
        <v>1</v>
      </c>
      <c r="C19071" s="6" t="s">
        <v>1</v>
      </c>
    </row>
    <row r="19072" spans="1:3" s="8" customFormat="1" x14ac:dyDescent="0.2">
      <c r="A19072" s="6" t="str">
        <f>"KCNG3"</f>
        <v>KCNG3</v>
      </c>
      <c r="B19072" s="6" t="s">
        <v>1</v>
      </c>
      <c r="C19072" s="6" t="s">
        <v>1</v>
      </c>
    </row>
    <row r="19073" spans="1:3" s="8" customFormat="1" x14ac:dyDescent="0.2">
      <c r="A19073" s="6" t="str">
        <f>"FITM1"</f>
        <v>FITM1</v>
      </c>
      <c r="B19073" s="6" t="s">
        <v>1</v>
      </c>
      <c r="C19073" s="6" t="s">
        <v>1</v>
      </c>
    </row>
    <row r="19074" spans="1:3" s="8" customFormat="1" x14ac:dyDescent="0.2">
      <c r="A19074" s="6" t="str">
        <f>"HNRNPA1P16"</f>
        <v>HNRNPA1P16</v>
      </c>
      <c r="B19074" s="6" t="s">
        <v>1</v>
      </c>
      <c r="C19074" s="6" t="s">
        <v>1</v>
      </c>
    </row>
    <row r="19075" spans="1:3" s="8" customFormat="1" x14ac:dyDescent="0.2">
      <c r="A19075" s="6" t="str">
        <f>"AC067852.5"</f>
        <v>AC067852.5</v>
      </c>
      <c r="B19075" s="6" t="s">
        <v>1</v>
      </c>
      <c r="C19075" s="6" t="s">
        <v>1</v>
      </c>
    </row>
    <row r="19076" spans="1:3" s="8" customFormat="1" x14ac:dyDescent="0.2">
      <c r="A19076" s="6" t="str">
        <f>"RNF139-AS1"</f>
        <v>RNF139-AS1</v>
      </c>
      <c r="B19076" s="6" t="s">
        <v>1</v>
      </c>
      <c r="C19076" s="6" t="s">
        <v>1</v>
      </c>
    </row>
    <row r="19077" spans="1:3" s="8" customFormat="1" x14ac:dyDescent="0.2">
      <c r="A19077" s="6" t="str">
        <f>"AC009303.4"</f>
        <v>AC009303.4</v>
      </c>
      <c r="B19077" s="6" t="s">
        <v>1</v>
      </c>
      <c r="C19077" s="6" t="s">
        <v>1</v>
      </c>
    </row>
    <row r="19078" spans="1:3" s="8" customFormat="1" x14ac:dyDescent="0.2">
      <c r="A19078" s="6" t="str">
        <f>"AC093249.6"</f>
        <v>AC093249.6</v>
      </c>
      <c r="B19078" s="6" t="s">
        <v>1</v>
      </c>
      <c r="C19078" s="6" t="s">
        <v>1</v>
      </c>
    </row>
    <row r="19079" spans="1:3" s="8" customFormat="1" x14ac:dyDescent="0.2">
      <c r="A19079" s="6" t="str">
        <f>"GLOD5"</f>
        <v>GLOD5</v>
      </c>
      <c r="B19079" s="6" t="s">
        <v>1</v>
      </c>
      <c r="C19079" s="6" t="s">
        <v>1</v>
      </c>
    </row>
    <row r="19080" spans="1:3" s="8" customFormat="1" x14ac:dyDescent="0.2">
      <c r="A19080" s="6" t="str">
        <f>"AL353796.1"</f>
        <v>AL353796.1</v>
      </c>
      <c r="B19080" s="6" t="s">
        <v>1</v>
      </c>
      <c r="C19080" s="6" t="s">
        <v>1</v>
      </c>
    </row>
    <row r="19081" spans="1:3" s="8" customFormat="1" x14ac:dyDescent="0.2">
      <c r="A19081" s="6" t="str">
        <f>"RELN"</f>
        <v>RELN</v>
      </c>
      <c r="B19081" s="6" t="s">
        <v>1</v>
      </c>
      <c r="C19081" s="6" t="s">
        <v>1</v>
      </c>
    </row>
    <row r="19082" spans="1:3" s="8" customFormat="1" x14ac:dyDescent="0.2">
      <c r="A19082" s="6" t="str">
        <f>"SLC26A7"</f>
        <v>SLC26A7</v>
      </c>
      <c r="B19082" s="6" t="s">
        <v>1</v>
      </c>
      <c r="C19082" s="6" t="s">
        <v>1</v>
      </c>
    </row>
    <row r="19083" spans="1:3" s="8" customFormat="1" x14ac:dyDescent="0.2">
      <c r="A19083" s="6" t="str">
        <f>"PLIN1"</f>
        <v>PLIN1</v>
      </c>
      <c r="B19083" s="6" t="s">
        <v>1</v>
      </c>
      <c r="C19083" s="6" t="s">
        <v>1</v>
      </c>
    </row>
    <row r="19084" spans="1:3" s="8" customFormat="1" x14ac:dyDescent="0.2">
      <c r="A19084" s="6" t="str">
        <f>"AC012676.5"</f>
        <v>AC012676.5</v>
      </c>
      <c r="B19084" s="6" t="s">
        <v>1</v>
      </c>
      <c r="C19084" s="6" t="s">
        <v>1</v>
      </c>
    </row>
    <row r="19085" spans="1:3" s="8" customFormat="1" x14ac:dyDescent="0.2">
      <c r="A19085" s="6" t="str">
        <f>"MCM10"</f>
        <v>MCM10</v>
      </c>
      <c r="B19085" s="6" t="s">
        <v>1</v>
      </c>
      <c r="C19085" s="6" t="s">
        <v>1</v>
      </c>
    </row>
    <row r="19086" spans="1:3" s="8" customFormat="1" x14ac:dyDescent="0.2">
      <c r="A19086" s="6" t="str">
        <f>"CCR3"</f>
        <v>CCR3</v>
      </c>
      <c r="B19086" s="6" t="s">
        <v>1</v>
      </c>
      <c r="C19086" s="6" t="s">
        <v>1</v>
      </c>
    </row>
    <row r="19087" spans="1:3" s="8" customFormat="1" x14ac:dyDescent="0.2">
      <c r="A19087" s="6" t="str">
        <f>"SRRM4"</f>
        <v>SRRM4</v>
      </c>
      <c r="B19087" s="6" t="s">
        <v>1</v>
      </c>
      <c r="C19087" s="6" t="s">
        <v>1</v>
      </c>
    </row>
    <row r="19088" spans="1:3" s="8" customFormat="1" x14ac:dyDescent="0.2">
      <c r="A19088" s="6" t="str">
        <f>"AC012485.2"</f>
        <v>AC012485.2</v>
      </c>
      <c r="B19088" s="6" t="s">
        <v>1</v>
      </c>
      <c r="C19088" s="6" t="s">
        <v>1</v>
      </c>
    </row>
    <row r="19089" spans="1:3" s="8" customFormat="1" x14ac:dyDescent="0.2">
      <c r="A19089" s="6" t="str">
        <f>"S100A3"</f>
        <v>S100A3</v>
      </c>
      <c r="B19089" s="6" t="s">
        <v>1</v>
      </c>
      <c r="C19089" s="6" t="s">
        <v>1</v>
      </c>
    </row>
    <row r="19090" spans="1:3" s="8" customFormat="1" x14ac:dyDescent="0.2">
      <c r="A19090" s="6" t="str">
        <f>"AC004918.3"</f>
        <v>AC004918.3</v>
      </c>
      <c r="B19090" s="6" t="s">
        <v>1</v>
      </c>
      <c r="C19090" s="6" t="s">
        <v>1</v>
      </c>
    </row>
    <row r="19091" spans="1:3" s="8" customFormat="1" x14ac:dyDescent="0.2">
      <c r="A19091" s="6" t="str">
        <f>"FAM72D"</f>
        <v>FAM72D</v>
      </c>
      <c r="B19091" s="6" t="s">
        <v>1</v>
      </c>
      <c r="C19091" s="6" t="s">
        <v>1</v>
      </c>
    </row>
    <row r="19092" spans="1:3" s="8" customFormat="1" x14ac:dyDescent="0.2">
      <c r="A19092" s="6" t="str">
        <f>"NPAS3"</f>
        <v>NPAS3</v>
      </c>
      <c r="B19092" s="6" t="s">
        <v>1</v>
      </c>
      <c r="C19092" s="6" t="s">
        <v>1</v>
      </c>
    </row>
    <row r="19093" spans="1:3" s="8" customFormat="1" x14ac:dyDescent="0.2">
      <c r="A19093" s="6" t="str">
        <f>"S100A5"</f>
        <v>S100A5</v>
      </c>
      <c r="B19093" s="6" t="s">
        <v>1</v>
      </c>
      <c r="C19093" s="6" t="s">
        <v>1</v>
      </c>
    </row>
    <row r="19094" spans="1:3" s="8" customFormat="1" x14ac:dyDescent="0.2">
      <c r="A19094" s="6" t="str">
        <f>"AC066615.1"</f>
        <v>AC066615.1</v>
      </c>
      <c r="B19094" s="6" t="s">
        <v>1</v>
      </c>
      <c r="C19094" s="6" t="s">
        <v>1</v>
      </c>
    </row>
    <row r="19095" spans="1:3" s="8" customFormat="1" x14ac:dyDescent="0.2">
      <c r="A19095" s="6" t="str">
        <f>"ENAM"</f>
        <v>ENAM</v>
      </c>
      <c r="B19095" s="6" t="s">
        <v>1</v>
      </c>
      <c r="C19095" s="6" t="s">
        <v>1</v>
      </c>
    </row>
    <row r="19096" spans="1:3" s="8" customFormat="1" x14ac:dyDescent="0.2">
      <c r="A19096" s="6" t="str">
        <f>"FASLG"</f>
        <v>FASLG</v>
      </c>
      <c r="B19096" s="6" t="s">
        <v>1</v>
      </c>
      <c r="C19096" s="6" t="s">
        <v>1</v>
      </c>
    </row>
    <row r="19097" spans="1:3" s="8" customFormat="1" x14ac:dyDescent="0.2">
      <c r="A19097" s="6" t="str">
        <f>"CYP2D6"</f>
        <v>CYP2D6</v>
      </c>
      <c r="B19097" s="6" t="s">
        <v>1</v>
      </c>
      <c r="C19097" s="6" t="s">
        <v>1</v>
      </c>
    </row>
    <row r="19098" spans="1:3" s="8" customFormat="1" x14ac:dyDescent="0.2">
      <c r="A19098" s="6" t="str">
        <f>"INHBC"</f>
        <v>INHBC</v>
      </c>
      <c r="B19098" s="6" t="s">
        <v>1</v>
      </c>
      <c r="C19098" s="6" t="s">
        <v>1</v>
      </c>
    </row>
    <row r="19099" spans="1:3" s="8" customFormat="1" x14ac:dyDescent="0.2">
      <c r="A19099" s="6" t="str">
        <f>"AL031668.2"</f>
        <v>AL031668.2</v>
      </c>
      <c r="B19099" s="6" t="s">
        <v>1</v>
      </c>
      <c r="C19099" s="6" t="s">
        <v>1</v>
      </c>
    </row>
    <row r="19100" spans="1:3" s="8" customFormat="1" x14ac:dyDescent="0.2">
      <c r="A19100" s="6" t="str">
        <f>"FAM86FP"</f>
        <v>FAM86FP</v>
      </c>
      <c r="B19100" s="6" t="s">
        <v>1</v>
      </c>
      <c r="C19100" s="6" t="s">
        <v>1</v>
      </c>
    </row>
    <row r="19101" spans="1:3" s="8" customFormat="1" x14ac:dyDescent="0.2">
      <c r="A19101" s="6" t="str">
        <f>"ZSCAN4"</f>
        <v>ZSCAN4</v>
      </c>
      <c r="B19101" s="6" t="s">
        <v>1</v>
      </c>
      <c r="C19101" s="6" t="s">
        <v>1</v>
      </c>
    </row>
    <row r="19102" spans="1:3" s="8" customFormat="1" x14ac:dyDescent="0.2">
      <c r="A19102" s="6" t="str">
        <f>"ADRA2B"</f>
        <v>ADRA2B</v>
      </c>
      <c r="B19102" s="6" t="s">
        <v>1</v>
      </c>
      <c r="C19102" s="6" t="s">
        <v>1</v>
      </c>
    </row>
    <row r="19103" spans="1:3" s="8" customFormat="1" x14ac:dyDescent="0.2">
      <c r="A19103" s="6" t="str">
        <f>"MAMSTR"</f>
        <v>MAMSTR</v>
      </c>
      <c r="B19103" s="6" t="s">
        <v>1</v>
      </c>
      <c r="C19103" s="6" t="s">
        <v>1</v>
      </c>
    </row>
    <row r="19104" spans="1:3" s="8" customFormat="1" x14ac:dyDescent="0.2">
      <c r="A19104" s="6" t="str">
        <f>"FXYD2"</f>
        <v>FXYD2</v>
      </c>
      <c r="B19104" s="6" t="s">
        <v>1</v>
      </c>
      <c r="C19104" s="6" t="s">
        <v>1</v>
      </c>
    </row>
    <row r="19105" spans="1:3" s="8" customFormat="1" x14ac:dyDescent="0.2">
      <c r="A19105" s="6" t="str">
        <f>"AC012441.2"</f>
        <v>AC012441.2</v>
      </c>
      <c r="B19105" s="6" t="s">
        <v>1</v>
      </c>
      <c r="C19105" s="6" t="s">
        <v>1</v>
      </c>
    </row>
    <row r="19106" spans="1:3" s="8" customFormat="1" x14ac:dyDescent="0.2">
      <c r="A19106" s="6" t="str">
        <f>"FAM86HP"</f>
        <v>FAM86HP</v>
      </c>
      <c r="B19106" s="6" t="s">
        <v>1</v>
      </c>
      <c r="C19106" s="6" t="s">
        <v>1</v>
      </c>
    </row>
    <row r="19107" spans="1:3" s="8" customFormat="1" x14ac:dyDescent="0.2">
      <c r="A19107" s="6" t="str">
        <f>"AC060766.7"</f>
        <v>AC060766.7</v>
      </c>
      <c r="B19107" s="6" t="s">
        <v>1</v>
      </c>
      <c r="C19107" s="6" t="s">
        <v>1</v>
      </c>
    </row>
    <row r="19108" spans="1:3" s="8" customFormat="1" x14ac:dyDescent="0.2">
      <c r="A19108" s="6" t="str">
        <f>"MYO16-AS1"</f>
        <v>MYO16-AS1</v>
      </c>
      <c r="B19108" s="6" t="s">
        <v>1</v>
      </c>
      <c r="C19108" s="6" t="s">
        <v>1</v>
      </c>
    </row>
    <row r="19109" spans="1:3" s="8" customFormat="1" x14ac:dyDescent="0.2">
      <c r="A19109" s="6" t="str">
        <f>"CASP5"</f>
        <v>CASP5</v>
      </c>
      <c r="B19109" s="6" t="s">
        <v>1</v>
      </c>
      <c r="C19109" s="6" t="s">
        <v>1</v>
      </c>
    </row>
    <row r="19110" spans="1:3" s="8" customFormat="1" x14ac:dyDescent="0.2">
      <c r="A19110" s="6" t="str">
        <f>"CNRIP1"</f>
        <v>CNRIP1</v>
      </c>
      <c r="B19110" s="6" t="s">
        <v>1</v>
      </c>
      <c r="C19110" s="6" t="s">
        <v>1</v>
      </c>
    </row>
    <row r="19111" spans="1:3" s="8" customFormat="1" x14ac:dyDescent="0.2">
      <c r="A19111" s="6" t="str">
        <f>"AC087632.2"</f>
        <v>AC087632.2</v>
      </c>
      <c r="B19111" s="6" t="s">
        <v>1</v>
      </c>
      <c r="C19111" s="6" t="s">
        <v>1</v>
      </c>
    </row>
    <row r="19112" spans="1:3" s="8" customFormat="1" x14ac:dyDescent="0.2">
      <c r="A19112" s="6" t="str">
        <f>"EME1"</f>
        <v>EME1</v>
      </c>
      <c r="B19112" s="6" t="s">
        <v>1</v>
      </c>
      <c r="C19112" s="6" t="s">
        <v>1</v>
      </c>
    </row>
    <row r="19113" spans="1:3" s="8" customFormat="1" x14ac:dyDescent="0.2">
      <c r="A19113" s="6" t="str">
        <f>"ID2-AS1"</f>
        <v>ID2-AS1</v>
      </c>
      <c r="B19113" s="6" t="s">
        <v>1</v>
      </c>
      <c r="C19113" s="6" t="s">
        <v>1</v>
      </c>
    </row>
    <row r="19114" spans="1:3" s="8" customFormat="1" x14ac:dyDescent="0.2">
      <c r="A19114" s="6" t="str">
        <f>"SLC26A1"</f>
        <v>SLC26A1</v>
      </c>
      <c r="B19114" s="6" t="s">
        <v>1</v>
      </c>
      <c r="C19114" s="6" t="s">
        <v>1</v>
      </c>
    </row>
    <row r="19115" spans="1:3" s="8" customFormat="1" x14ac:dyDescent="0.2">
      <c r="A19115" s="6" t="str">
        <f>"ALKAL1"</f>
        <v>ALKAL1</v>
      </c>
      <c r="B19115" s="6" t="s">
        <v>1</v>
      </c>
      <c r="C19115" s="6" t="s">
        <v>1</v>
      </c>
    </row>
    <row r="19116" spans="1:3" s="8" customFormat="1" x14ac:dyDescent="0.2">
      <c r="A19116" s="6" t="str">
        <f>"FLG-AS1"</f>
        <v>FLG-AS1</v>
      </c>
      <c r="B19116" s="6" t="s">
        <v>1</v>
      </c>
      <c r="C19116" s="6" t="s">
        <v>1</v>
      </c>
    </row>
    <row r="19117" spans="1:3" s="8" customFormat="1" x14ac:dyDescent="0.2">
      <c r="A19117" s="6" t="str">
        <f>"PRKG1"</f>
        <v>PRKG1</v>
      </c>
      <c r="B19117" s="6" t="s">
        <v>1</v>
      </c>
      <c r="C19117" s="6" t="s">
        <v>1</v>
      </c>
    </row>
    <row r="19118" spans="1:3" s="8" customFormat="1" x14ac:dyDescent="0.2">
      <c r="A19118" s="6" t="str">
        <f>"CYP2G1P"</f>
        <v>CYP2G1P</v>
      </c>
      <c r="B19118" s="6" t="s">
        <v>1</v>
      </c>
      <c r="C19118" s="6" t="s">
        <v>1</v>
      </c>
    </row>
    <row r="19119" spans="1:3" s="8" customFormat="1" x14ac:dyDescent="0.2">
      <c r="A19119" s="6" t="str">
        <f>"OR2L2"</f>
        <v>OR2L2</v>
      </c>
      <c r="B19119" s="6" t="s">
        <v>1</v>
      </c>
      <c r="C19119" s="6" t="s">
        <v>1</v>
      </c>
    </row>
    <row r="19120" spans="1:3" s="8" customFormat="1" x14ac:dyDescent="0.2">
      <c r="A19120" s="6" t="str">
        <f>"LINC02257"</f>
        <v>LINC02257</v>
      </c>
      <c r="B19120" s="6" t="s">
        <v>1</v>
      </c>
      <c r="C19120" s="6" t="s">
        <v>1</v>
      </c>
    </row>
    <row r="19121" spans="1:3" s="8" customFormat="1" x14ac:dyDescent="0.2">
      <c r="A19121" s="6" t="str">
        <f>"GLUD1P3"</f>
        <v>GLUD1P3</v>
      </c>
      <c r="B19121" s="6" t="s">
        <v>1</v>
      </c>
      <c r="C19121" s="6" t="s">
        <v>1</v>
      </c>
    </row>
    <row r="19122" spans="1:3" s="8" customFormat="1" x14ac:dyDescent="0.2">
      <c r="A19122" s="6" t="str">
        <f>"AC108058.1"</f>
        <v>AC108058.1</v>
      </c>
      <c r="B19122" s="6" t="s">
        <v>1</v>
      </c>
      <c r="C19122" s="6" t="s">
        <v>1</v>
      </c>
    </row>
    <row r="19123" spans="1:3" s="8" customFormat="1" x14ac:dyDescent="0.2">
      <c r="A19123" s="6" t="str">
        <f>"AC009495.3"</f>
        <v>AC009495.3</v>
      </c>
      <c r="B19123" s="6" t="s">
        <v>1</v>
      </c>
      <c r="C19123" s="6" t="s">
        <v>1</v>
      </c>
    </row>
    <row r="19124" spans="1:3" s="8" customFormat="1" x14ac:dyDescent="0.2">
      <c r="A19124" s="6" t="str">
        <f>"ASB4"</f>
        <v>ASB4</v>
      </c>
      <c r="B19124" s="6" t="s">
        <v>1</v>
      </c>
      <c r="C19124" s="6" t="s">
        <v>1</v>
      </c>
    </row>
    <row r="19125" spans="1:3" s="8" customFormat="1" x14ac:dyDescent="0.2">
      <c r="A19125" s="6" t="str">
        <f>"AL449363.2"</f>
        <v>AL449363.2</v>
      </c>
      <c r="B19125" s="6" t="s">
        <v>1</v>
      </c>
      <c r="C19125" s="6" t="s">
        <v>1</v>
      </c>
    </row>
    <row r="19126" spans="1:3" s="8" customFormat="1" x14ac:dyDescent="0.2">
      <c r="A19126" s="6" t="str">
        <f>"MYH16"</f>
        <v>MYH16</v>
      </c>
      <c r="B19126" s="6" t="s">
        <v>1</v>
      </c>
      <c r="C19126" s="6" t="s">
        <v>1</v>
      </c>
    </row>
    <row r="19127" spans="1:3" s="8" customFormat="1" x14ac:dyDescent="0.2">
      <c r="A19127" s="6" t="str">
        <f>"FABP3"</f>
        <v>FABP3</v>
      </c>
      <c r="B19127" s="6" t="s">
        <v>1</v>
      </c>
      <c r="C19127" s="6" t="s">
        <v>1</v>
      </c>
    </row>
    <row r="19128" spans="1:3" s="8" customFormat="1" x14ac:dyDescent="0.2">
      <c r="A19128" s="6" t="str">
        <f>"AC004918.1"</f>
        <v>AC004918.1</v>
      </c>
      <c r="B19128" s="6" t="s">
        <v>1</v>
      </c>
      <c r="C19128" s="6" t="s">
        <v>1</v>
      </c>
    </row>
    <row r="19129" spans="1:3" s="8" customFormat="1" x14ac:dyDescent="0.2">
      <c r="A19129" s="6" t="str">
        <f>"ZNF239"</f>
        <v>ZNF239</v>
      </c>
      <c r="B19129" s="6" t="s">
        <v>1</v>
      </c>
      <c r="C19129" s="6" t="s">
        <v>1</v>
      </c>
    </row>
    <row r="19130" spans="1:3" s="8" customFormat="1" x14ac:dyDescent="0.2">
      <c r="A19130" s="6" t="str">
        <f>"CYP2U1-AS1"</f>
        <v>CYP2U1-AS1</v>
      </c>
      <c r="B19130" s="6" t="s">
        <v>1</v>
      </c>
      <c r="C19130" s="6" t="s">
        <v>1</v>
      </c>
    </row>
    <row r="19131" spans="1:3" s="8" customFormat="1" x14ac:dyDescent="0.2">
      <c r="A19131" s="6" t="str">
        <f>"LINC02198"</f>
        <v>LINC02198</v>
      </c>
      <c r="B19131" s="6" t="s">
        <v>1</v>
      </c>
      <c r="C19131" s="6" t="s">
        <v>1</v>
      </c>
    </row>
    <row r="19132" spans="1:3" s="8" customFormat="1" x14ac:dyDescent="0.2">
      <c r="A19132" s="6" t="str">
        <f>"LINC01187"</f>
        <v>LINC01187</v>
      </c>
      <c r="B19132" s="6" t="s">
        <v>1</v>
      </c>
      <c r="C19132" s="6" t="s">
        <v>1</v>
      </c>
    </row>
    <row r="19133" spans="1:3" s="8" customFormat="1" x14ac:dyDescent="0.2">
      <c r="A19133" s="6" t="str">
        <f>"AC087289.3"</f>
        <v>AC087289.3</v>
      </c>
      <c r="B19133" s="6" t="s">
        <v>1</v>
      </c>
      <c r="C19133" s="6" t="s">
        <v>1</v>
      </c>
    </row>
    <row r="19134" spans="1:3" s="8" customFormat="1" x14ac:dyDescent="0.2">
      <c r="A19134" s="6" t="str">
        <f>"AC015712.1"</f>
        <v>AC015712.1</v>
      </c>
      <c r="B19134" s="6" t="s">
        <v>1</v>
      </c>
      <c r="C19134" s="6" t="s">
        <v>1</v>
      </c>
    </row>
    <row r="19135" spans="1:3" s="8" customFormat="1" x14ac:dyDescent="0.2">
      <c r="A19135" s="6" t="str">
        <f>"AC129507.4"</f>
        <v>AC129507.4</v>
      </c>
      <c r="B19135" s="6" t="s">
        <v>1</v>
      </c>
      <c r="C19135" s="6" t="s">
        <v>1</v>
      </c>
    </row>
    <row r="19136" spans="1:3" s="8" customFormat="1" x14ac:dyDescent="0.2">
      <c r="A19136" s="6" t="str">
        <f>"AC062029.1"</f>
        <v>AC062029.1</v>
      </c>
      <c r="B19136" s="6" t="s">
        <v>1</v>
      </c>
      <c r="C19136" s="6" t="s">
        <v>1</v>
      </c>
    </row>
    <row r="19137" spans="1:3" s="8" customFormat="1" x14ac:dyDescent="0.2">
      <c r="A19137" s="6" t="str">
        <f>"LMX1A"</f>
        <v>LMX1A</v>
      </c>
      <c r="B19137" s="6" t="s">
        <v>1</v>
      </c>
      <c r="C19137" s="6" t="s">
        <v>1</v>
      </c>
    </row>
    <row r="19138" spans="1:3" s="8" customFormat="1" x14ac:dyDescent="0.2">
      <c r="A19138" s="6" t="str">
        <f>"SUGCT"</f>
        <v>SUGCT</v>
      </c>
      <c r="B19138" s="6" t="s">
        <v>1</v>
      </c>
      <c r="C19138" s="6" t="s">
        <v>1</v>
      </c>
    </row>
    <row r="19139" spans="1:3" s="8" customFormat="1" x14ac:dyDescent="0.2">
      <c r="A19139" s="6" t="str">
        <f>"SNX31"</f>
        <v>SNX31</v>
      </c>
      <c r="B19139" s="6" t="s">
        <v>1</v>
      </c>
      <c r="C19139" s="6" t="s">
        <v>1</v>
      </c>
    </row>
    <row r="19140" spans="1:3" s="8" customFormat="1" x14ac:dyDescent="0.2">
      <c r="A19140" s="6" t="str">
        <f>"AP000350.6"</f>
        <v>AP000350.6</v>
      </c>
      <c r="B19140" s="6" t="s">
        <v>1</v>
      </c>
      <c r="C19140" s="6" t="s">
        <v>1</v>
      </c>
    </row>
    <row r="19141" spans="1:3" s="8" customFormat="1" x14ac:dyDescent="0.2">
      <c r="A19141" s="6" t="str">
        <f>"PDE11A"</f>
        <v>PDE11A</v>
      </c>
      <c r="B19141" s="6" t="s">
        <v>1</v>
      </c>
      <c r="C19141" s="6" t="s">
        <v>1</v>
      </c>
    </row>
    <row r="19142" spans="1:3" s="8" customFormat="1" x14ac:dyDescent="0.2">
      <c r="A19142" s="6" t="str">
        <f>"TBC1D3C"</f>
        <v>TBC1D3C</v>
      </c>
      <c r="B19142" s="6" t="s">
        <v>1</v>
      </c>
      <c r="C19142" s="6" t="s">
        <v>1</v>
      </c>
    </row>
    <row r="19143" spans="1:3" s="8" customFormat="1" x14ac:dyDescent="0.2">
      <c r="A19143" s="6" t="str">
        <f>"C22orf24"</f>
        <v>C22orf24</v>
      </c>
      <c r="B19143" s="6" t="s">
        <v>1</v>
      </c>
      <c r="C19143" s="6" t="s">
        <v>1</v>
      </c>
    </row>
    <row r="19144" spans="1:3" s="8" customFormat="1" x14ac:dyDescent="0.2">
      <c r="A19144" s="6" t="str">
        <f>"RPPH1"</f>
        <v>RPPH1</v>
      </c>
      <c r="B19144" s="6" t="s">
        <v>1</v>
      </c>
      <c r="C19144" s="6" t="s">
        <v>1</v>
      </c>
    </row>
    <row r="19145" spans="1:3" s="8" customFormat="1" x14ac:dyDescent="0.2">
      <c r="A19145" s="6" t="str">
        <f>"EML2-AS1"</f>
        <v>EML2-AS1</v>
      </c>
      <c r="B19145" s="6" t="s">
        <v>1</v>
      </c>
      <c r="C19145" s="6" t="s">
        <v>1</v>
      </c>
    </row>
    <row r="19146" spans="1:3" s="8" customFormat="1" x14ac:dyDescent="0.2">
      <c r="A19146" s="6" t="str">
        <f>"C1QTNF8"</f>
        <v>C1QTNF8</v>
      </c>
      <c r="B19146" s="6" t="s">
        <v>1</v>
      </c>
      <c r="C19146" s="6" t="s">
        <v>1</v>
      </c>
    </row>
    <row r="19147" spans="1:3" s="8" customFormat="1" x14ac:dyDescent="0.2">
      <c r="A19147" s="6" t="str">
        <f>"ENO3"</f>
        <v>ENO3</v>
      </c>
      <c r="B19147" s="6" t="s">
        <v>1</v>
      </c>
      <c r="C19147" s="6" t="s">
        <v>1</v>
      </c>
    </row>
    <row r="19148" spans="1:3" s="8" customFormat="1" x14ac:dyDescent="0.2">
      <c r="A19148" s="6" t="str">
        <f>"CASP4LP"</f>
        <v>CASP4LP</v>
      </c>
      <c r="B19148" s="6" t="s">
        <v>1</v>
      </c>
      <c r="C19148" s="6" t="s">
        <v>1</v>
      </c>
    </row>
    <row r="19149" spans="1:3" s="8" customFormat="1" x14ac:dyDescent="0.2">
      <c r="A19149" s="6" t="str">
        <f>"AC012485.3"</f>
        <v>AC012485.3</v>
      </c>
      <c r="B19149" s="6" t="s">
        <v>1</v>
      </c>
      <c r="C19149" s="6" t="s">
        <v>1</v>
      </c>
    </row>
    <row r="19150" spans="1:3" s="8" customFormat="1" x14ac:dyDescent="0.2">
      <c r="A19150" s="6" t="str">
        <f>"AC022031.2"</f>
        <v>AC022031.2</v>
      </c>
      <c r="B19150" s="6" t="s">
        <v>1</v>
      </c>
      <c r="C19150" s="6" t="s">
        <v>1</v>
      </c>
    </row>
    <row r="19151" spans="1:3" s="8" customFormat="1" x14ac:dyDescent="0.2">
      <c r="A19151" s="6" t="str">
        <f>"LHFPL1"</f>
        <v>LHFPL1</v>
      </c>
      <c r="B19151" s="6" t="s">
        <v>1</v>
      </c>
      <c r="C19151" s="6" t="s">
        <v>1</v>
      </c>
    </row>
    <row r="19152" spans="1:3" s="8" customFormat="1" x14ac:dyDescent="0.2">
      <c r="A19152" s="6" t="str">
        <f>"AC068533.4"</f>
        <v>AC068533.4</v>
      </c>
      <c r="B19152" s="6" t="s">
        <v>1</v>
      </c>
      <c r="C19152" s="6" t="s">
        <v>1</v>
      </c>
    </row>
    <row r="19153" spans="1:3" s="8" customFormat="1" x14ac:dyDescent="0.2">
      <c r="A19153" s="6" t="str">
        <f>"CHSY3"</f>
        <v>CHSY3</v>
      </c>
      <c r="B19153" s="6" t="s">
        <v>1</v>
      </c>
      <c r="C19153" s="6" t="s">
        <v>1</v>
      </c>
    </row>
    <row r="19154" spans="1:3" s="8" customFormat="1" x14ac:dyDescent="0.2">
      <c r="A19154" s="6" t="str">
        <f>"PDE1B"</f>
        <v>PDE1B</v>
      </c>
      <c r="B19154" s="6" t="s">
        <v>1</v>
      </c>
      <c r="C19154" s="6" t="s">
        <v>1</v>
      </c>
    </row>
    <row r="19155" spans="1:3" s="8" customFormat="1" x14ac:dyDescent="0.2">
      <c r="A19155" s="6" t="str">
        <f>"PHYHIP"</f>
        <v>PHYHIP</v>
      </c>
      <c r="B19155" s="6" t="s">
        <v>1</v>
      </c>
      <c r="C19155" s="6" t="s">
        <v>1</v>
      </c>
    </row>
    <row r="19156" spans="1:3" s="8" customFormat="1" x14ac:dyDescent="0.2">
      <c r="A19156" s="6" t="str">
        <f>"NPBWR1"</f>
        <v>NPBWR1</v>
      </c>
      <c r="B19156" s="6" t="s">
        <v>1</v>
      </c>
      <c r="C19156" s="6" t="s">
        <v>1</v>
      </c>
    </row>
    <row r="19157" spans="1:3" s="8" customFormat="1" x14ac:dyDescent="0.2">
      <c r="A19157" s="6" t="str">
        <f>"AP000688.2"</f>
        <v>AP000688.2</v>
      </c>
      <c r="B19157" s="6" t="s">
        <v>1</v>
      </c>
      <c r="C19157" s="6" t="s">
        <v>1</v>
      </c>
    </row>
    <row r="19158" spans="1:3" s="8" customFormat="1" x14ac:dyDescent="0.2">
      <c r="A19158" s="6" t="str">
        <f>"KLRA1P"</f>
        <v>KLRA1P</v>
      </c>
      <c r="B19158" s="6" t="s">
        <v>1</v>
      </c>
      <c r="C19158" s="6" t="s">
        <v>1</v>
      </c>
    </row>
    <row r="19159" spans="1:3" s="8" customFormat="1" x14ac:dyDescent="0.2">
      <c r="A19159" s="6" t="str">
        <f>"PCDHGB3"</f>
        <v>PCDHGB3</v>
      </c>
      <c r="B19159" s="6" t="s">
        <v>1</v>
      </c>
      <c r="C19159" s="6" t="s">
        <v>1</v>
      </c>
    </row>
    <row r="19160" spans="1:3" s="8" customFormat="1" x14ac:dyDescent="0.2">
      <c r="A19160" s="6" t="str">
        <f>"AC007541.1"</f>
        <v>AC007541.1</v>
      </c>
      <c r="B19160" s="6" t="s">
        <v>1</v>
      </c>
      <c r="C19160" s="6" t="s">
        <v>1</v>
      </c>
    </row>
    <row r="19161" spans="1:3" s="8" customFormat="1" x14ac:dyDescent="0.2">
      <c r="A19161" s="6" t="str">
        <f>"AC009404.1"</f>
        <v>AC009404.1</v>
      </c>
      <c r="B19161" s="6" t="s">
        <v>1</v>
      </c>
      <c r="C19161" s="6" t="s">
        <v>1</v>
      </c>
    </row>
    <row r="19162" spans="1:3" s="8" customFormat="1" x14ac:dyDescent="0.2">
      <c r="A19162" s="6" t="str">
        <f>"FMO1"</f>
        <v>FMO1</v>
      </c>
      <c r="B19162" s="6" t="s">
        <v>1</v>
      </c>
      <c r="C19162" s="6" t="s">
        <v>1</v>
      </c>
    </row>
    <row r="19163" spans="1:3" s="8" customFormat="1" x14ac:dyDescent="0.2">
      <c r="A19163" s="6" t="str">
        <f>"HCAR1"</f>
        <v>HCAR1</v>
      </c>
      <c r="B19163" s="6" t="s">
        <v>1</v>
      </c>
      <c r="C19163" s="6" t="s">
        <v>1</v>
      </c>
    </row>
    <row r="19164" spans="1:3" s="8" customFormat="1" x14ac:dyDescent="0.2">
      <c r="A19164" s="6" t="str">
        <f>"KCNH2"</f>
        <v>KCNH2</v>
      </c>
      <c r="B19164" s="6" t="s">
        <v>1</v>
      </c>
      <c r="C19164" s="6" t="s">
        <v>1</v>
      </c>
    </row>
    <row r="19165" spans="1:3" s="8" customFormat="1" x14ac:dyDescent="0.2">
      <c r="A19165" s="6" t="str">
        <f>"LINC01094"</f>
        <v>LINC01094</v>
      </c>
      <c r="B19165" s="6" t="s">
        <v>1</v>
      </c>
      <c r="C19165" s="6" t="s">
        <v>1</v>
      </c>
    </row>
    <row r="19166" spans="1:3" s="8" customFormat="1" x14ac:dyDescent="0.2">
      <c r="A19166" s="6" t="str">
        <f>"RAMP2"</f>
        <v>RAMP2</v>
      </c>
      <c r="B19166" s="6" t="s">
        <v>1</v>
      </c>
      <c r="C19166" s="6" t="s">
        <v>1</v>
      </c>
    </row>
    <row r="19167" spans="1:3" s="8" customFormat="1" x14ac:dyDescent="0.2">
      <c r="A19167" s="6" t="str">
        <f>"AC015712.6"</f>
        <v>AC015712.6</v>
      </c>
      <c r="B19167" s="6" t="s">
        <v>1</v>
      </c>
      <c r="C19167" s="6" t="s">
        <v>1</v>
      </c>
    </row>
    <row r="19168" spans="1:3" s="8" customFormat="1" x14ac:dyDescent="0.2">
      <c r="A19168" s="6" t="str">
        <f>"CYP46A1"</f>
        <v>CYP46A1</v>
      </c>
      <c r="B19168" s="6" t="s">
        <v>1</v>
      </c>
      <c r="C19168" s="6" t="s">
        <v>1</v>
      </c>
    </row>
    <row r="19169" spans="1:3" s="8" customFormat="1" x14ac:dyDescent="0.2">
      <c r="A19169" s="6" t="str">
        <f>"LOXL2"</f>
        <v>LOXL2</v>
      </c>
      <c r="B19169" s="6" t="s">
        <v>1</v>
      </c>
      <c r="C19169" s="6" t="s">
        <v>1</v>
      </c>
    </row>
    <row r="19170" spans="1:3" s="8" customFormat="1" x14ac:dyDescent="0.2">
      <c r="A19170" s="6" t="str">
        <f>"AL451042.1"</f>
        <v>AL451042.1</v>
      </c>
      <c r="B19170" s="6" t="s">
        <v>1</v>
      </c>
      <c r="C19170" s="6" t="s">
        <v>1</v>
      </c>
    </row>
    <row r="19171" spans="1:3" s="8" customFormat="1" x14ac:dyDescent="0.2">
      <c r="A19171" s="6" t="str">
        <f>"AL135818.1"</f>
        <v>AL135818.1</v>
      </c>
      <c r="B19171" s="6" t="s">
        <v>1</v>
      </c>
      <c r="C19171" s="6" t="s">
        <v>1</v>
      </c>
    </row>
    <row r="19172" spans="1:3" s="8" customFormat="1" x14ac:dyDescent="0.2">
      <c r="A19172" s="6" t="str">
        <f>"FKBP14-AS1"</f>
        <v>FKBP14-AS1</v>
      </c>
      <c r="B19172" s="6" t="s">
        <v>1</v>
      </c>
      <c r="C19172" s="6" t="s">
        <v>1</v>
      </c>
    </row>
    <row r="19173" spans="1:3" s="8" customFormat="1" x14ac:dyDescent="0.2">
      <c r="A19173" s="6" t="str">
        <f>"GJC3"</f>
        <v>GJC3</v>
      </c>
      <c r="B19173" s="6" t="s">
        <v>1</v>
      </c>
      <c r="C19173" s="6" t="s">
        <v>1</v>
      </c>
    </row>
    <row r="19174" spans="1:3" s="8" customFormat="1" x14ac:dyDescent="0.2">
      <c r="A19174" s="6" t="str">
        <f>"PCOLCE-AS1"</f>
        <v>PCOLCE-AS1</v>
      </c>
      <c r="B19174" s="6" t="s">
        <v>1</v>
      </c>
      <c r="C19174" s="6" t="s">
        <v>1</v>
      </c>
    </row>
    <row r="19175" spans="1:3" s="8" customFormat="1" x14ac:dyDescent="0.2">
      <c r="A19175" s="6" t="str">
        <f>"KL"</f>
        <v>KL</v>
      </c>
      <c r="B19175" s="6" t="s">
        <v>1</v>
      </c>
      <c r="C19175" s="6" t="s">
        <v>1</v>
      </c>
    </row>
    <row r="19176" spans="1:3" s="8" customFormat="1" x14ac:dyDescent="0.2">
      <c r="A19176" s="6" t="str">
        <f>"FAM90A1"</f>
        <v>FAM90A1</v>
      </c>
      <c r="B19176" s="6" t="s">
        <v>1</v>
      </c>
      <c r="C19176" s="6" t="s">
        <v>1</v>
      </c>
    </row>
    <row r="19177" spans="1:3" s="8" customFormat="1" x14ac:dyDescent="0.2">
      <c r="A19177" s="6" t="str">
        <f>"FZD4-DT"</f>
        <v>FZD4-DT</v>
      </c>
      <c r="B19177" s="6" t="s">
        <v>1</v>
      </c>
      <c r="C19177" s="6" t="s">
        <v>1</v>
      </c>
    </row>
    <row r="19178" spans="1:3" s="8" customFormat="1" x14ac:dyDescent="0.2">
      <c r="A19178" s="6" t="str">
        <f>"FILIP1L"</f>
        <v>FILIP1L</v>
      </c>
      <c r="B19178" s="6" t="s">
        <v>1</v>
      </c>
      <c r="C19178" s="6" t="s">
        <v>1</v>
      </c>
    </row>
    <row r="19179" spans="1:3" s="8" customFormat="1" x14ac:dyDescent="0.2">
      <c r="A19179" s="6" t="str">
        <f>"LINC01970"</f>
        <v>LINC01970</v>
      </c>
      <c r="B19179" s="6" t="s">
        <v>1</v>
      </c>
      <c r="C19179" s="6" t="s">
        <v>1</v>
      </c>
    </row>
    <row r="19180" spans="1:3" s="8" customFormat="1" x14ac:dyDescent="0.2">
      <c r="A19180" s="6" t="str">
        <f>"AL031666.1"</f>
        <v>AL031666.1</v>
      </c>
      <c r="B19180" s="6" t="s">
        <v>1</v>
      </c>
      <c r="C19180" s="6" t="s">
        <v>1</v>
      </c>
    </row>
    <row r="19181" spans="1:3" s="8" customFormat="1" x14ac:dyDescent="0.2">
      <c r="A19181" s="6" t="str">
        <f>"MS4A1"</f>
        <v>MS4A1</v>
      </c>
      <c r="B19181" s="6" t="s">
        <v>1</v>
      </c>
      <c r="C19181" s="6" t="s">
        <v>1</v>
      </c>
    </row>
    <row r="19182" spans="1:3" s="8" customFormat="1" x14ac:dyDescent="0.2">
      <c r="A19182" s="6" t="str">
        <f>"CNTN4"</f>
        <v>CNTN4</v>
      </c>
      <c r="B19182" s="6" t="s">
        <v>1</v>
      </c>
      <c r="C19182" s="6" t="s">
        <v>1</v>
      </c>
    </row>
    <row r="19183" spans="1:3" s="8" customFormat="1" x14ac:dyDescent="0.2">
      <c r="A19183" s="6" t="str">
        <f>"NOVA1"</f>
        <v>NOVA1</v>
      </c>
      <c r="B19183" s="6" t="s">
        <v>1</v>
      </c>
      <c r="C19183" s="6" t="s">
        <v>1</v>
      </c>
    </row>
    <row r="19184" spans="1:3" s="8" customFormat="1" x14ac:dyDescent="0.2">
      <c r="A19184" s="6" t="str">
        <f>"GABRQ"</f>
        <v>GABRQ</v>
      </c>
      <c r="B19184" s="6" t="s">
        <v>1</v>
      </c>
      <c r="C19184" s="6" t="s">
        <v>1</v>
      </c>
    </row>
    <row r="19185" spans="1:3" s="8" customFormat="1" x14ac:dyDescent="0.2">
      <c r="A19185" s="6" t="str">
        <f>"RAD9B"</f>
        <v>RAD9B</v>
      </c>
      <c r="B19185" s="6" t="s">
        <v>1</v>
      </c>
      <c r="C19185" s="6" t="s">
        <v>1</v>
      </c>
    </row>
    <row r="19186" spans="1:3" s="8" customFormat="1" x14ac:dyDescent="0.2">
      <c r="A19186" s="6" t="str">
        <f>"GRIN1"</f>
        <v>GRIN1</v>
      </c>
      <c r="B19186" s="6" t="s">
        <v>1</v>
      </c>
      <c r="C19186" s="6" t="s">
        <v>1</v>
      </c>
    </row>
    <row r="19187" spans="1:3" s="8" customFormat="1" x14ac:dyDescent="0.2">
      <c r="A19187" s="6" t="str">
        <f>"SOD2-OT1"</f>
        <v>SOD2-OT1</v>
      </c>
      <c r="B19187" s="6" t="s">
        <v>1</v>
      </c>
      <c r="C19187" s="6" t="s">
        <v>1</v>
      </c>
    </row>
    <row r="19188" spans="1:3" s="8" customFormat="1" x14ac:dyDescent="0.2">
      <c r="A19188" s="6" t="str">
        <f>"MYRFL"</f>
        <v>MYRFL</v>
      </c>
      <c r="B19188" s="6" t="s">
        <v>1</v>
      </c>
      <c r="C19188" s="6" t="s">
        <v>1</v>
      </c>
    </row>
    <row r="19189" spans="1:3" s="8" customFormat="1" x14ac:dyDescent="0.2">
      <c r="A19189" s="6" t="str">
        <f>"LINC01004"</f>
        <v>LINC01004</v>
      </c>
      <c r="B19189" s="6" t="s">
        <v>1</v>
      </c>
      <c r="C19189" s="6" t="s">
        <v>1</v>
      </c>
    </row>
    <row r="19190" spans="1:3" s="8" customFormat="1" x14ac:dyDescent="0.2">
      <c r="A19190" s="6" t="str">
        <f>"PLG"</f>
        <v>PLG</v>
      </c>
      <c r="B19190" s="6" t="s">
        <v>1</v>
      </c>
      <c r="C19190" s="6" t="s">
        <v>1</v>
      </c>
    </row>
    <row r="19191" spans="1:3" s="8" customFormat="1" x14ac:dyDescent="0.2">
      <c r="A19191" s="6" t="str">
        <f>"MAB21L3"</f>
        <v>MAB21L3</v>
      </c>
      <c r="B19191" s="6" t="s">
        <v>1</v>
      </c>
      <c r="C19191" s="6" t="s">
        <v>1</v>
      </c>
    </row>
    <row r="19192" spans="1:3" s="8" customFormat="1" x14ac:dyDescent="0.2">
      <c r="A19192" s="6" t="str">
        <f>"KLHL7-DT"</f>
        <v>KLHL7-DT</v>
      </c>
      <c r="B19192" s="6" t="s">
        <v>1</v>
      </c>
      <c r="C19192" s="6" t="s">
        <v>1</v>
      </c>
    </row>
    <row r="19193" spans="1:3" s="8" customFormat="1" x14ac:dyDescent="0.2">
      <c r="A19193" s="6" t="str">
        <f>"ASPHD1"</f>
        <v>ASPHD1</v>
      </c>
      <c r="B19193" s="6" t="s">
        <v>1</v>
      </c>
      <c r="C19193" s="6" t="s">
        <v>1</v>
      </c>
    </row>
    <row r="19194" spans="1:3" s="8" customFormat="1" x14ac:dyDescent="0.2">
      <c r="A19194" s="6" t="str">
        <f>"ODC1-DT"</f>
        <v>ODC1-DT</v>
      </c>
      <c r="B19194" s="6" t="s">
        <v>1</v>
      </c>
      <c r="C19194" s="6" t="s">
        <v>1</v>
      </c>
    </row>
    <row r="19195" spans="1:3" s="8" customFormat="1" x14ac:dyDescent="0.2">
      <c r="A19195" s="6" t="str">
        <f>"LINC01060"</f>
        <v>LINC01060</v>
      </c>
      <c r="B19195" s="6" t="s">
        <v>1</v>
      </c>
      <c r="C19195" s="6" t="s">
        <v>1</v>
      </c>
    </row>
    <row r="19196" spans="1:3" s="8" customFormat="1" x14ac:dyDescent="0.2">
      <c r="A19196" s="6" t="str">
        <f>"AC245060.6"</f>
        <v>AC245060.6</v>
      </c>
      <c r="B19196" s="6" t="s">
        <v>1</v>
      </c>
      <c r="C19196" s="6" t="s">
        <v>1</v>
      </c>
    </row>
    <row r="19197" spans="1:3" s="8" customFormat="1" x14ac:dyDescent="0.2">
      <c r="A19197" s="6" t="str">
        <f>"MS4A2"</f>
        <v>MS4A2</v>
      </c>
      <c r="B19197" s="6" t="s">
        <v>1</v>
      </c>
      <c r="C19197" s="6" t="s">
        <v>1</v>
      </c>
    </row>
    <row r="19198" spans="1:3" s="8" customFormat="1" x14ac:dyDescent="0.2">
      <c r="A19198" s="6" t="str">
        <f>"PDCD1"</f>
        <v>PDCD1</v>
      </c>
      <c r="B19198" s="6" t="s">
        <v>1</v>
      </c>
      <c r="C19198" s="6" t="s">
        <v>1</v>
      </c>
    </row>
    <row r="19199" spans="1:3" s="8" customFormat="1" x14ac:dyDescent="0.2">
      <c r="A19199" s="6" t="str">
        <f>"P2RX5-TAX1BP3"</f>
        <v>P2RX5-TAX1BP3</v>
      </c>
      <c r="B19199" s="6" t="s">
        <v>1</v>
      </c>
      <c r="C19199" s="6" t="s">
        <v>1</v>
      </c>
    </row>
    <row r="19200" spans="1:3" s="8" customFormat="1" x14ac:dyDescent="0.2">
      <c r="A19200" s="6" t="str">
        <f>"PHKG1"</f>
        <v>PHKG1</v>
      </c>
      <c r="B19200" s="6" t="s">
        <v>1</v>
      </c>
      <c r="C19200" s="6" t="s">
        <v>1</v>
      </c>
    </row>
    <row r="19201" spans="1:3" s="8" customFormat="1" x14ac:dyDescent="0.2">
      <c r="A19201" s="6" t="str">
        <f>"LINC02256"</f>
        <v>LINC02256</v>
      </c>
      <c r="B19201" s="6" t="s">
        <v>1</v>
      </c>
      <c r="C19201" s="6" t="s">
        <v>1</v>
      </c>
    </row>
    <row r="19202" spans="1:3" s="8" customFormat="1" x14ac:dyDescent="0.2">
      <c r="A19202" s="6" t="str">
        <f>"TNF"</f>
        <v>TNF</v>
      </c>
      <c r="B19202" s="6" t="s">
        <v>1</v>
      </c>
      <c r="C19202" s="6" t="s">
        <v>1</v>
      </c>
    </row>
    <row r="19203" spans="1:3" s="8" customFormat="1" x14ac:dyDescent="0.2">
      <c r="A19203" s="6" t="str">
        <f>"AL512329.2"</f>
        <v>AL512329.2</v>
      </c>
      <c r="B19203" s="6" t="s">
        <v>1</v>
      </c>
      <c r="C19203" s="6" t="s">
        <v>1</v>
      </c>
    </row>
    <row r="19204" spans="1:3" s="8" customFormat="1" x14ac:dyDescent="0.2">
      <c r="A19204" s="6" t="str">
        <f>"NEBL-AS1"</f>
        <v>NEBL-AS1</v>
      </c>
      <c r="B19204" s="6" t="s">
        <v>1</v>
      </c>
      <c r="C19204" s="6" t="s">
        <v>1</v>
      </c>
    </row>
    <row r="19205" spans="1:3" s="8" customFormat="1" x14ac:dyDescent="0.2">
      <c r="A19205" s="6" t="str">
        <f>"IGF2BP3"</f>
        <v>IGF2BP3</v>
      </c>
      <c r="B19205" s="6" t="s">
        <v>1</v>
      </c>
      <c r="C19205" s="6" t="s">
        <v>1</v>
      </c>
    </row>
    <row r="19206" spans="1:3" s="8" customFormat="1" x14ac:dyDescent="0.2">
      <c r="A19206" s="6" t="str">
        <f>"EYS"</f>
        <v>EYS</v>
      </c>
      <c r="B19206" s="6" t="s">
        <v>1</v>
      </c>
      <c r="C19206" s="6" t="s">
        <v>1</v>
      </c>
    </row>
    <row r="19207" spans="1:3" s="8" customFormat="1" x14ac:dyDescent="0.2">
      <c r="A19207" s="6" t="str">
        <f>"SRL"</f>
        <v>SRL</v>
      </c>
      <c r="B19207" s="6" t="s">
        <v>1</v>
      </c>
      <c r="C19207" s="6" t="s">
        <v>1</v>
      </c>
    </row>
    <row r="19208" spans="1:3" s="8" customFormat="1" x14ac:dyDescent="0.2">
      <c r="A19208" s="6" t="str">
        <f>"GPR84"</f>
        <v>GPR84</v>
      </c>
      <c r="B19208" s="6" t="s">
        <v>1</v>
      </c>
      <c r="C19208" s="6" t="s">
        <v>1</v>
      </c>
    </row>
    <row r="19209" spans="1:3" s="8" customFormat="1" x14ac:dyDescent="0.2">
      <c r="A19209" s="6" t="str">
        <f>"AC063960.1"</f>
        <v>AC063960.1</v>
      </c>
      <c r="B19209" s="6" t="s">
        <v>1</v>
      </c>
      <c r="C19209" s="6" t="s">
        <v>1</v>
      </c>
    </row>
    <row r="19210" spans="1:3" s="8" customFormat="1" x14ac:dyDescent="0.2">
      <c r="A19210" s="6" t="str">
        <f>"TNFRSF9"</f>
        <v>TNFRSF9</v>
      </c>
      <c r="B19210" s="6" t="s">
        <v>1</v>
      </c>
      <c r="C19210" s="6" t="s">
        <v>1</v>
      </c>
    </row>
    <row r="19211" spans="1:3" s="8" customFormat="1" x14ac:dyDescent="0.2">
      <c r="A19211" s="6" t="str">
        <f>"AF064858.1"</f>
        <v>AF064858.1</v>
      </c>
      <c r="B19211" s="6" t="s">
        <v>1</v>
      </c>
      <c r="C19211" s="6" t="s">
        <v>1</v>
      </c>
    </row>
    <row r="19212" spans="1:3" s="8" customFormat="1" x14ac:dyDescent="0.2">
      <c r="A19212" s="6" t="str">
        <f>"NEB"</f>
        <v>NEB</v>
      </c>
      <c r="B19212" s="6" t="s">
        <v>1</v>
      </c>
      <c r="C19212" s="6" t="s">
        <v>1</v>
      </c>
    </row>
    <row r="19213" spans="1:3" s="8" customFormat="1" x14ac:dyDescent="0.2">
      <c r="A19213" s="6" t="str">
        <f>"INCA1"</f>
        <v>INCA1</v>
      </c>
      <c r="B19213" s="6" t="s">
        <v>1</v>
      </c>
      <c r="C19213" s="6" t="s">
        <v>1</v>
      </c>
    </row>
    <row r="19214" spans="1:3" s="8" customFormat="1" x14ac:dyDescent="0.2">
      <c r="A19214" s="6" t="str">
        <f>"MLLT11"</f>
        <v>MLLT11</v>
      </c>
      <c r="B19214" s="6" t="s">
        <v>1</v>
      </c>
      <c r="C19214" s="6" t="s">
        <v>1</v>
      </c>
    </row>
    <row r="19215" spans="1:3" s="8" customFormat="1" x14ac:dyDescent="0.2">
      <c r="A19215" s="6" t="str">
        <f>"OBSCN-AS1"</f>
        <v>OBSCN-AS1</v>
      </c>
      <c r="B19215" s="6" t="s">
        <v>1</v>
      </c>
      <c r="C19215" s="6" t="s">
        <v>1</v>
      </c>
    </row>
    <row r="19216" spans="1:3" s="8" customFormat="1" x14ac:dyDescent="0.2">
      <c r="A19216" s="6" t="str">
        <f>"AC107959.4"</f>
        <v>AC107959.4</v>
      </c>
      <c r="B19216" s="6" t="s">
        <v>1</v>
      </c>
      <c r="C19216" s="6" t="s">
        <v>1</v>
      </c>
    </row>
    <row r="19217" spans="1:3" s="8" customFormat="1" x14ac:dyDescent="0.2">
      <c r="A19217" s="6" t="str">
        <f>"AC068473.3"</f>
        <v>AC068473.3</v>
      </c>
      <c r="B19217" s="6" t="s">
        <v>1</v>
      </c>
      <c r="C19217" s="6" t="s">
        <v>1</v>
      </c>
    </row>
    <row r="19218" spans="1:3" s="8" customFormat="1" x14ac:dyDescent="0.2">
      <c r="A19218" s="6" t="str">
        <f>"AC013717.1"</f>
        <v>AC013717.1</v>
      </c>
      <c r="B19218" s="6" t="s">
        <v>1</v>
      </c>
      <c r="C19218" s="6" t="s">
        <v>1</v>
      </c>
    </row>
    <row r="19219" spans="1:3" s="8" customFormat="1" x14ac:dyDescent="0.2">
      <c r="A19219" s="6" t="str">
        <f>"AC107294.2"</f>
        <v>AC107294.2</v>
      </c>
      <c r="B19219" s="6" t="s">
        <v>1</v>
      </c>
      <c r="C19219" s="6" t="s">
        <v>1</v>
      </c>
    </row>
    <row r="19220" spans="1:3" s="8" customFormat="1" x14ac:dyDescent="0.2">
      <c r="A19220" s="6" t="str">
        <f>"MIR646HG"</f>
        <v>MIR646HG</v>
      </c>
      <c r="B19220" s="6" t="s">
        <v>1</v>
      </c>
      <c r="C19220" s="6" t="s">
        <v>1</v>
      </c>
    </row>
    <row r="19221" spans="1:3" s="8" customFormat="1" x14ac:dyDescent="0.2">
      <c r="A19221" s="6" t="str">
        <f>"RPL41P2"</f>
        <v>RPL41P2</v>
      </c>
      <c r="B19221" s="6" t="s">
        <v>1</v>
      </c>
      <c r="C19221" s="6" t="s">
        <v>1</v>
      </c>
    </row>
    <row r="19222" spans="1:3" s="8" customFormat="1" x14ac:dyDescent="0.2">
      <c r="A19222" s="6" t="str">
        <f>"AP000781.2"</f>
        <v>AP000781.2</v>
      </c>
      <c r="B19222" s="6" t="s">
        <v>1</v>
      </c>
      <c r="C19222" s="6" t="s">
        <v>1</v>
      </c>
    </row>
    <row r="19223" spans="1:3" s="8" customFormat="1" x14ac:dyDescent="0.2">
      <c r="A19223" s="6" t="str">
        <f>"LINC00954"</f>
        <v>LINC00954</v>
      </c>
      <c r="B19223" s="6" t="s">
        <v>1</v>
      </c>
      <c r="C19223" s="6" t="s">
        <v>1</v>
      </c>
    </row>
    <row r="19224" spans="1:3" s="8" customFormat="1" x14ac:dyDescent="0.2">
      <c r="A19224" s="6" t="str">
        <f>"AC093582.1"</f>
        <v>AC093582.1</v>
      </c>
      <c r="B19224" s="6" t="s">
        <v>1</v>
      </c>
      <c r="C19224" s="6" t="s">
        <v>1</v>
      </c>
    </row>
    <row r="19225" spans="1:3" s="8" customFormat="1" x14ac:dyDescent="0.2">
      <c r="A19225" s="6" t="str">
        <f>"GPR82"</f>
        <v>GPR82</v>
      </c>
      <c r="B19225" s="6" t="s">
        <v>1</v>
      </c>
      <c r="C19225" s="6" t="s">
        <v>1</v>
      </c>
    </row>
    <row r="19226" spans="1:3" s="8" customFormat="1" x14ac:dyDescent="0.2">
      <c r="A19226" s="6" t="str">
        <f>"AC127502.1"</f>
        <v>AC127502.1</v>
      </c>
      <c r="B19226" s="6" t="s">
        <v>1</v>
      </c>
      <c r="C19226" s="6" t="s">
        <v>1</v>
      </c>
    </row>
    <row r="19227" spans="1:3" s="8" customFormat="1" x14ac:dyDescent="0.2">
      <c r="A19227" s="6" t="str">
        <f>"OCLNP1"</f>
        <v>OCLNP1</v>
      </c>
      <c r="B19227" s="6" t="s">
        <v>1</v>
      </c>
      <c r="C19227" s="6" t="s">
        <v>1</v>
      </c>
    </row>
    <row r="19228" spans="1:3" s="8" customFormat="1" x14ac:dyDescent="0.2">
      <c r="A19228" s="6" t="str">
        <f>"CRYAB"</f>
        <v>CRYAB</v>
      </c>
      <c r="B19228" s="6" t="s">
        <v>1</v>
      </c>
      <c r="C19228" s="6" t="s">
        <v>1</v>
      </c>
    </row>
    <row r="19229" spans="1:3" s="8" customFormat="1" x14ac:dyDescent="0.2">
      <c r="A19229" s="6" t="str">
        <f>"AC084018.2"</f>
        <v>AC084018.2</v>
      </c>
      <c r="B19229" s="6" t="s">
        <v>1</v>
      </c>
      <c r="C19229" s="6" t="s">
        <v>1</v>
      </c>
    </row>
    <row r="19230" spans="1:3" s="8" customFormat="1" x14ac:dyDescent="0.2">
      <c r="A19230" s="6" t="str">
        <f>"AC013394.1"</f>
        <v>AC013394.1</v>
      </c>
      <c r="B19230" s="6" t="s">
        <v>1</v>
      </c>
      <c r="C19230" s="6" t="s">
        <v>1</v>
      </c>
    </row>
    <row r="19231" spans="1:3" s="8" customFormat="1" x14ac:dyDescent="0.2">
      <c r="A19231" s="6" t="str">
        <f>"LDHC"</f>
        <v>LDHC</v>
      </c>
      <c r="B19231" s="6" t="s">
        <v>1</v>
      </c>
      <c r="C19231" s="6" t="s">
        <v>1</v>
      </c>
    </row>
    <row r="19232" spans="1:3" s="8" customFormat="1" x14ac:dyDescent="0.2">
      <c r="A19232" s="6" t="str">
        <f>"MYO7B"</f>
        <v>MYO7B</v>
      </c>
      <c r="B19232" s="6" t="s">
        <v>1</v>
      </c>
      <c r="C19232" s="6" t="s">
        <v>1</v>
      </c>
    </row>
    <row r="19233" spans="1:3" s="8" customFormat="1" x14ac:dyDescent="0.2">
      <c r="A19233" s="6" t="str">
        <f>"LEF1-AS1"</f>
        <v>LEF1-AS1</v>
      </c>
      <c r="B19233" s="6" t="s">
        <v>1</v>
      </c>
      <c r="C19233" s="6" t="s">
        <v>1</v>
      </c>
    </row>
    <row r="19234" spans="1:3" s="8" customFormat="1" x14ac:dyDescent="0.2">
      <c r="A19234" s="6" t="str">
        <f>"TGM5"</f>
        <v>TGM5</v>
      </c>
      <c r="B19234" s="6" t="s">
        <v>1</v>
      </c>
      <c r="C19234" s="6" t="s">
        <v>1</v>
      </c>
    </row>
    <row r="19235" spans="1:3" s="8" customFormat="1" x14ac:dyDescent="0.2">
      <c r="A19235" s="6" t="str">
        <f>"AC004870.2"</f>
        <v>AC004870.2</v>
      </c>
      <c r="B19235" s="6" t="s">
        <v>1</v>
      </c>
      <c r="C19235" s="6" t="s">
        <v>1</v>
      </c>
    </row>
    <row r="19236" spans="1:3" s="8" customFormat="1" x14ac:dyDescent="0.2">
      <c r="A19236" s="6" t="str">
        <f>"HCG14"</f>
        <v>HCG14</v>
      </c>
      <c r="B19236" s="6" t="s">
        <v>1</v>
      </c>
      <c r="C19236" s="6" t="s">
        <v>1</v>
      </c>
    </row>
    <row r="19237" spans="1:3" s="8" customFormat="1" x14ac:dyDescent="0.2">
      <c r="A19237" s="6" t="str">
        <f>"AC132872.4"</f>
        <v>AC132872.4</v>
      </c>
      <c r="B19237" s="6" t="s">
        <v>1</v>
      </c>
      <c r="C19237" s="6" t="s">
        <v>1</v>
      </c>
    </row>
    <row r="19238" spans="1:3" s="8" customFormat="1" x14ac:dyDescent="0.2">
      <c r="A19238" s="6" t="str">
        <f>"LINC01127"</f>
        <v>LINC01127</v>
      </c>
      <c r="B19238" s="6" t="s">
        <v>1</v>
      </c>
      <c r="C19238" s="6" t="s">
        <v>1</v>
      </c>
    </row>
    <row r="19239" spans="1:3" s="8" customFormat="1" x14ac:dyDescent="0.2">
      <c r="A19239" s="6" t="str">
        <f>"TTYH1"</f>
        <v>TTYH1</v>
      </c>
      <c r="B19239" s="6" t="s">
        <v>1</v>
      </c>
      <c r="C19239" s="6" t="s">
        <v>1</v>
      </c>
    </row>
    <row r="19240" spans="1:3" s="8" customFormat="1" x14ac:dyDescent="0.2">
      <c r="A19240" s="6" t="str">
        <f>"AP000873.2"</f>
        <v>AP000873.2</v>
      </c>
      <c r="B19240" s="6" t="s">
        <v>1</v>
      </c>
      <c r="C19240" s="6" t="s">
        <v>1</v>
      </c>
    </row>
    <row r="19241" spans="1:3" s="8" customFormat="1" x14ac:dyDescent="0.2">
      <c r="A19241" s="6" t="str">
        <f>"NOX5"</f>
        <v>NOX5</v>
      </c>
      <c r="B19241" s="6" t="s">
        <v>1</v>
      </c>
      <c r="C19241" s="6" t="s">
        <v>1</v>
      </c>
    </row>
    <row r="19242" spans="1:3" s="8" customFormat="1" x14ac:dyDescent="0.2">
      <c r="A19242" s="6" t="str">
        <f>"GALNT17"</f>
        <v>GALNT17</v>
      </c>
      <c r="B19242" s="6" t="s">
        <v>1</v>
      </c>
      <c r="C19242" s="6" t="s">
        <v>1</v>
      </c>
    </row>
    <row r="19243" spans="1:3" s="8" customFormat="1" x14ac:dyDescent="0.2">
      <c r="A19243" s="6" t="str">
        <f>"AC007384.1"</f>
        <v>AC007384.1</v>
      </c>
      <c r="B19243" s="6" t="s">
        <v>1</v>
      </c>
      <c r="C19243" s="6" t="s">
        <v>1</v>
      </c>
    </row>
    <row r="19244" spans="1:3" s="8" customFormat="1" x14ac:dyDescent="0.2">
      <c r="A19244" s="6" t="str">
        <f>"CHST13"</f>
        <v>CHST13</v>
      </c>
      <c r="B19244" s="6" t="s">
        <v>1</v>
      </c>
      <c r="C19244" s="6" t="s">
        <v>1</v>
      </c>
    </row>
    <row r="19245" spans="1:3" s="8" customFormat="1" x14ac:dyDescent="0.2">
      <c r="A19245" s="6" t="str">
        <f>"WNT11"</f>
        <v>WNT11</v>
      </c>
      <c r="B19245" s="6" t="s">
        <v>1</v>
      </c>
      <c r="C19245" s="6" t="s">
        <v>1</v>
      </c>
    </row>
    <row r="19246" spans="1:3" s="8" customFormat="1" x14ac:dyDescent="0.2">
      <c r="A19246" s="6" t="str">
        <f>"CHST5"</f>
        <v>CHST5</v>
      </c>
      <c r="B19246" s="6" t="s">
        <v>1</v>
      </c>
      <c r="C19246" s="6" t="s">
        <v>1</v>
      </c>
    </row>
    <row r="19247" spans="1:3" s="8" customFormat="1" x14ac:dyDescent="0.2">
      <c r="A19247" s="6" t="str">
        <f>"C2CD4D"</f>
        <v>C2CD4D</v>
      </c>
      <c r="B19247" s="6" t="s">
        <v>1</v>
      </c>
      <c r="C19247" s="6" t="s">
        <v>1</v>
      </c>
    </row>
    <row r="19248" spans="1:3" s="8" customFormat="1" x14ac:dyDescent="0.2">
      <c r="A19248" s="6" t="str">
        <f>"CRISP3"</f>
        <v>CRISP3</v>
      </c>
      <c r="B19248" s="6" t="s">
        <v>1</v>
      </c>
      <c r="C19248" s="6" t="s">
        <v>1</v>
      </c>
    </row>
    <row r="19249" spans="1:3" s="8" customFormat="1" x14ac:dyDescent="0.2">
      <c r="A19249" s="6" t="str">
        <f>"PTPN20"</f>
        <v>PTPN20</v>
      </c>
      <c r="B19249" s="6" t="s">
        <v>1</v>
      </c>
      <c r="C19249" s="6" t="s">
        <v>1</v>
      </c>
    </row>
    <row r="19250" spans="1:3" s="8" customFormat="1" x14ac:dyDescent="0.2">
      <c r="A19250" s="6" t="str">
        <f>"EMSLR"</f>
        <v>EMSLR</v>
      </c>
      <c r="B19250" s="6" t="s">
        <v>1</v>
      </c>
      <c r="C19250" s="6" t="s">
        <v>1</v>
      </c>
    </row>
    <row r="19251" spans="1:3" s="8" customFormat="1" x14ac:dyDescent="0.2">
      <c r="A19251" s="6" t="str">
        <f>"AL512356.3"</f>
        <v>AL512356.3</v>
      </c>
      <c r="B19251" s="6" t="s">
        <v>1</v>
      </c>
      <c r="C19251" s="6" t="s">
        <v>1</v>
      </c>
    </row>
    <row r="19252" spans="1:3" s="8" customFormat="1" x14ac:dyDescent="0.2">
      <c r="A19252" s="6" t="str">
        <f>"CHRFAM7A"</f>
        <v>CHRFAM7A</v>
      </c>
      <c r="B19252" s="6" t="s">
        <v>1</v>
      </c>
      <c r="C19252" s="6" t="s">
        <v>1</v>
      </c>
    </row>
    <row r="19253" spans="1:3" s="8" customFormat="1" x14ac:dyDescent="0.2">
      <c r="A19253" s="6" t="str">
        <f>"AC007546.3"</f>
        <v>AC007546.3</v>
      </c>
      <c r="B19253" s="6" t="s">
        <v>1</v>
      </c>
      <c r="C19253" s="6" t="s">
        <v>1</v>
      </c>
    </row>
    <row r="19254" spans="1:3" s="8" customFormat="1" x14ac:dyDescent="0.2">
      <c r="A19254" s="6" t="str">
        <f>"E2F3P2"</f>
        <v>E2F3P2</v>
      </c>
      <c r="B19254" s="6" t="s">
        <v>1</v>
      </c>
      <c r="C19254" s="6" t="s">
        <v>1</v>
      </c>
    </row>
    <row r="19255" spans="1:3" s="8" customFormat="1" x14ac:dyDescent="0.2">
      <c r="A19255" s="6" t="str">
        <f>"AL023806.1"</f>
        <v>AL023806.1</v>
      </c>
      <c r="B19255" s="6" t="s">
        <v>1</v>
      </c>
      <c r="C19255" s="6" t="s">
        <v>1</v>
      </c>
    </row>
    <row r="19256" spans="1:3" s="8" customFormat="1" x14ac:dyDescent="0.2">
      <c r="A19256" s="6" t="str">
        <f>"AL353743.2"</f>
        <v>AL353743.2</v>
      </c>
      <c r="B19256" s="6" t="s">
        <v>1</v>
      </c>
      <c r="C19256" s="6" t="s">
        <v>1</v>
      </c>
    </row>
    <row r="19257" spans="1:3" s="8" customFormat="1" x14ac:dyDescent="0.2">
      <c r="A19257" s="6" t="str">
        <f>"KCNIP3"</f>
        <v>KCNIP3</v>
      </c>
      <c r="B19257" s="6" t="s">
        <v>1</v>
      </c>
      <c r="C19257" s="6" t="s">
        <v>1</v>
      </c>
    </row>
    <row r="19258" spans="1:3" s="8" customFormat="1" x14ac:dyDescent="0.2">
      <c r="A19258" s="6" t="str">
        <f>"AL023803.2"</f>
        <v>AL023803.2</v>
      </c>
      <c r="B19258" s="6" t="s">
        <v>1</v>
      </c>
      <c r="C19258" s="6" t="s">
        <v>1</v>
      </c>
    </row>
    <row r="19259" spans="1:3" s="8" customFormat="1" x14ac:dyDescent="0.2">
      <c r="A19259" s="6" t="str">
        <f>"WNK3"</f>
        <v>WNK3</v>
      </c>
      <c r="B19259" s="6" t="s">
        <v>1</v>
      </c>
      <c r="C19259" s="6" t="s">
        <v>1</v>
      </c>
    </row>
    <row r="19260" spans="1:3" s="8" customFormat="1" x14ac:dyDescent="0.2">
      <c r="A19260" s="6" t="str">
        <f>"AC108134.1"</f>
        <v>AC108134.1</v>
      </c>
      <c r="B19260" s="6" t="s">
        <v>1</v>
      </c>
      <c r="C19260" s="6" t="s">
        <v>1</v>
      </c>
    </row>
    <row r="19261" spans="1:3" s="8" customFormat="1" x14ac:dyDescent="0.2">
      <c r="A19261" s="6" t="str">
        <f>"AP000766.1"</f>
        <v>AP000766.1</v>
      </c>
      <c r="B19261" s="6" t="s">
        <v>1</v>
      </c>
      <c r="C19261" s="6" t="s">
        <v>1</v>
      </c>
    </row>
    <row r="19262" spans="1:3" s="8" customFormat="1" x14ac:dyDescent="0.2">
      <c r="A19262" s="6" t="str">
        <f>"LINC02298"</f>
        <v>LINC02298</v>
      </c>
      <c r="B19262" s="6" t="s">
        <v>1</v>
      </c>
      <c r="C19262" s="6" t="s">
        <v>1</v>
      </c>
    </row>
    <row r="19263" spans="1:3" s="8" customFormat="1" x14ac:dyDescent="0.2">
      <c r="A19263" s="6" t="str">
        <f>"MIR4280HG"</f>
        <v>MIR4280HG</v>
      </c>
      <c r="B19263" s="6" t="s">
        <v>1</v>
      </c>
      <c r="C19263" s="6" t="s">
        <v>1</v>
      </c>
    </row>
    <row r="19264" spans="1:3" s="8" customFormat="1" x14ac:dyDescent="0.2">
      <c r="A19264" s="6" t="str">
        <f>"MIPEPP3"</f>
        <v>MIPEPP3</v>
      </c>
      <c r="B19264" s="6" t="s">
        <v>1</v>
      </c>
      <c r="C19264" s="6" t="s">
        <v>1</v>
      </c>
    </row>
    <row r="19265" spans="1:3" s="8" customFormat="1" x14ac:dyDescent="0.2">
      <c r="A19265" s="6" t="str">
        <f>"AC130456.5"</f>
        <v>AC130456.5</v>
      </c>
      <c r="B19265" s="6" t="s">
        <v>1</v>
      </c>
      <c r="C19265" s="6" t="s">
        <v>1</v>
      </c>
    </row>
    <row r="19266" spans="1:3" s="8" customFormat="1" x14ac:dyDescent="0.2">
      <c r="A19266" s="6" t="str">
        <f>"HCG25"</f>
        <v>HCG25</v>
      </c>
      <c r="B19266" s="6" t="s">
        <v>1</v>
      </c>
      <c r="C19266" s="6" t="s">
        <v>1</v>
      </c>
    </row>
    <row r="19267" spans="1:3" s="8" customFormat="1" x14ac:dyDescent="0.2">
      <c r="A19267" s="6" t="str">
        <f>"LCAL1"</f>
        <v>LCAL1</v>
      </c>
      <c r="B19267" s="6" t="s">
        <v>1</v>
      </c>
      <c r="C19267" s="6" t="s">
        <v>1</v>
      </c>
    </row>
    <row r="19268" spans="1:3" s="8" customFormat="1" x14ac:dyDescent="0.2">
      <c r="A19268" s="6" t="str">
        <f>"B4GALNT2"</f>
        <v>B4GALNT2</v>
      </c>
      <c r="B19268" s="6" t="s">
        <v>1</v>
      </c>
      <c r="C19268" s="6" t="s">
        <v>1</v>
      </c>
    </row>
    <row r="19269" spans="1:3" s="8" customFormat="1" x14ac:dyDescent="0.2">
      <c r="A19269" s="6" t="str">
        <f>"AC068338.3"</f>
        <v>AC068338.3</v>
      </c>
      <c r="B19269" s="6" t="s">
        <v>1</v>
      </c>
      <c r="C19269" s="6" t="s">
        <v>1</v>
      </c>
    </row>
    <row r="19270" spans="1:3" s="8" customFormat="1" x14ac:dyDescent="0.2">
      <c r="A19270" s="6" t="str">
        <f>"HCG27"</f>
        <v>HCG27</v>
      </c>
      <c r="B19270" s="6" t="s">
        <v>1</v>
      </c>
      <c r="C19270" s="6" t="s">
        <v>1</v>
      </c>
    </row>
    <row r="19271" spans="1:3" s="8" customFormat="1" x14ac:dyDescent="0.2">
      <c r="A19271" s="6" t="str">
        <f>"C2orf27A"</f>
        <v>C2orf27A</v>
      </c>
      <c r="B19271" s="6" t="s">
        <v>1</v>
      </c>
      <c r="C19271" s="6" t="s">
        <v>1</v>
      </c>
    </row>
    <row r="19272" spans="1:3" s="8" customFormat="1" x14ac:dyDescent="0.2">
      <c r="A19272" s="6" t="str">
        <f>"EEF1A1P13"</f>
        <v>EEF1A1P13</v>
      </c>
      <c r="B19272" s="6" t="s">
        <v>1</v>
      </c>
      <c r="C19272" s="6" t="s">
        <v>1</v>
      </c>
    </row>
    <row r="19273" spans="1:3" s="8" customFormat="1" x14ac:dyDescent="0.2">
      <c r="A19273" s="6" t="str">
        <f>"EMID1"</f>
        <v>EMID1</v>
      </c>
      <c r="B19273" s="6" t="s">
        <v>1</v>
      </c>
      <c r="C19273" s="6" t="s">
        <v>1</v>
      </c>
    </row>
    <row r="19274" spans="1:3" s="8" customFormat="1" x14ac:dyDescent="0.2">
      <c r="A19274" s="6" t="str">
        <f>"SRPK3"</f>
        <v>SRPK3</v>
      </c>
      <c r="B19274" s="6" t="s">
        <v>1</v>
      </c>
      <c r="C19274" s="6" t="s">
        <v>1</v>
      </c>
    </row>
    <row r="19275" spans="1:3" s="8" customFormat="1" x14ac:dyDescent="0.2">
      <c r="A19275" s="6" t="str">
        <f>"CNR2"</f>
        <v>CNR2</v>
      </c>
      <c r="B19275" s="6" t="s">
        <v>1</v>
      </c>
      <c r="C19275" s="6" t="s">
        <v>1</v>
      </c>
    </row>
    <row r="19276" spans="1:3" s="8" customFormat="1" x14ac:dyDescent="0.2">
      <c r="A19276" s="6" t="str">
        <f>"IGHA2"</f>
        <v>IGHA2</v>
      </c>
      <c r="B19276" s="6" t="s">
        <v>1</v>
      </c>
      <c r="C19276" s="6" t="s">
        <v>1</v>
      </c>
    </row>
    <row r="19277" spans="1:3" s="8" customFormat="1" x14ac:dyDescent="0.2">
      <c r="A19277" s="6" t="str">
        <f>"ALDOB"</f>
        <v>ALDOB</v>
      </c>
      <c r="B19277" s="6" t="s">
        <v>1</v>
      </c>
      <c r="C19277" s="6" t="s">
        <v>1</v>
      </c>
    </row>
    <row r="19278" spans="1:3" s="8" customFormat="1" x14ac:dyDescent="0.2">
      <c r="A19278" s="6" t="str">
        <f>"CYP2C8"</f>
        <v>CYP2C8</v>
      </c>
      <c r="B19278" s="6" t="s">
        <v>1</v>
      </c>
      <c r="C19278" s="6" t="s">
        <v>1</v>
      </c>
    </row>
    <row r="19279" spans="1:3" s="8" customFormat="1" x14ac:dyDescent="0.2">
      <c r="A19279" s="6" t="str">
        <f>"AL354714.1"</f>
        <v>AL354714.1</v>
      </c>
      <c r="B19279" s="6" t="s">
        <v>1</v>
      </c>
      <c r="C19279" s="6" t="s">
        <v>1</v>
      </c>
    </row>
    <row r="19280" spans="1:3" s="8" customFormat="1" x14ac:dyDescent="0.2">
      <c r="A19280" s="6" t="str">
        <f>"AC066580.1"</f>
        <v>AC066580.1</v>
      </c>
      <c r="B19280" s="6" t="s">
        <v>1</v>
      </c>
      <c r="C19280" s="6" t="s">
        <v>1</v>
      </c>
    </row>
    <row r="19281" spans="1:3" s="8" customFormat="1" x14ac:dyDescent="0.2">
      <c r="A19281" s="6" t="str">
        <f>"LINC02012"</f>
        <v>LINC02012</v>
      </c>
      <c r="B19281" s="6" t="s">
        <v>1</v>
      </c>
      <c r="C19281" s="6" t="s">
        <v>1</v>
      </c>
    </row>
    <row r="19282" spans="1:3" s="8" customFormat="1" x14ac:dyDescent="0.2">
      <c r="A19282" s="6" t="str">
        <f>"OTUD7A"</f>
        <v>OTUD7A</v>
      </c>
      <c r="B19282" s="6" t="s">
        <v>1</v>
      </c>
      <c r="C19282" s="6" t="s">
        <v>1</v>
      </c>
    </row>
    <row r="19283" spans="1:3" s="8" customFormat="1" x14ac:dyDescent="0.2">
      <c r="A19283" s="6" t="str">
        <f>"HAPLN4"</f>
        <v>HAPLN4</v>
      </c>
      <c r="B19283" s="6" t="s">
        <v>1</v>
      </c>
      <c r="C19283" s="6" t="s">
        <v>1</v>
      </c>
    </row>
    <row r="19284" spans="1:3" s="8" customFormat="1" x14ac:dyDescent="0.2">
      <c r="A19284" s="6" t="str">
        <f>"CHRM4"</f>
        <v>CHRM4</v>
      </c>
      <c r="B19284" s="6" t="s">
        <v>1</v>
      </c>
      <c r="C19284" s="6" t="s">
        <v>1</v>
      </c>
    </row>
    <row r="19285" spans="1:3" s="8" customFormat="1" x14ac:dyDescent="0.2">
      <c r="A19285" s="6" t="str">
        <f>"NDUFV2P1"</f>
        <v>NDUFV2P1</v>
      </c>
      <c r="B19285" s="6" t="s">
        <v>1</v>
      </c>
      <c r="C19285" s="6" t="s">
        <v>1</v>
      </c>
    </row>
    <row r="19286" spans="1:3" s="8" customFormat="1" x14ac:dyDescent="0.2">
      <c r="A19286" s="6" t="str">
        <f>"AC087477.2"</f>
        <v>AC087477.2</v>
      </c>
      <c r="B19286" s="6" t="s">
        <v>1</v>
      </c>
      <c r="C19286" s="6" t="s">
        <v>1</v>
      </c>
    </row>
    <row r="19287" spans="1:3" s="8" customFormat="1" x14ac:dyDescent="0.2">
      <c r="A19287" s="6" t="str">
        <f>"MYLPF"</f>
        <v>MYLPF</v>
      </c>
      <c r="B19287" s="6" t="s">
        <v>1</v>
      </c>
      <c r="C19287" s="6" t="s">
        <v>1</v>
      </c>
    </row>
    <row r="19288" spans="1:3" s="8" customFormat="1" x14ac:dyDescent="0.2">
      <c r="A19288" s="6" t="str">
        <f>"HABP2"</f>
        <v>HABP2</v>
      </c>
      <c r="B19288" s="6" t="s">
        <v>1</v>
      </c>
      <c r="C19288" s="6" t="s">
        <v>1</v>
      </c>
    </row>
    <row r="19289" spans="1:3" s="8" customFormat="1" x14ac:dyDescent="0.2">
      <c r="A19289" s="6" t="str">
        <f>"AL450326.1"</f>
        <v>AL450326.1</v>
      </c>
      <c r="B19289" s="6" t="s">
        <v>1</v>
      </c>
      <c r="C19289" s="6" t="s">
        <v>1</v>
      </c>
    </row>
    <row r="19290" spans="1:3" s="8" customFormat="1" x14ac:dyDescent="0.2">
      <c r="A19290" s="6" t="str">
        <f>"GPRIN2"</f>
        <v>GPRIN2</v>
      </c>
      <c r="B19290" s="6" t="s">
        <v>1</v>
      </c>
      <c r="C19290" s="6" t="s">
        <v>1</v>
      </c>
    </row>
    <row r="19291" spans="1:3" s="8" customFormat="1" x14ac:dyDescent="0.2">
      <c r="A19291" s="6" t="str">
        <f>"TFR2"</f>
        <v>TFR2</v>
      </c>
      <c r="B19291" s="6" t="s">
        <v>1</v>
      </c>
      <c r="C19291" s="6" t="s">
        <v>1</v>
      </c>
    </row>
    <row r="19292" spans="1:3" s="8" customFormat="1" x14ac:dyDescent="0.2">
      <c r="A19292" s="6" t="str">
        <f>"HMGA1P4"</f>
        <v>HMGA1P4</v>
      </c>
      <c r="B19292" s="6" t="s">
        <v>1</v>
      </c>
      <c r="C19292" s="6" t="s">
        <v>1</v>
      </c>
    </row>
    <row r="19293" spans="1:3" s="8" customFormat="1" x14ac:dyDescent="0.2">
      <c r="A19293" s="6" t="str">
        <f>"TMEM132B"</f>
        <v>TMEM132B</v>
      </c>
      <c r="B19293" s="6" t="s">
        <v>1</v>
      </c>
      <c r="C19293" s="6" t="s">
        <v>1</v>
      </c>
    </row>
    <row r="19294" spans="1:3" s="8" customFormat="1" x14ac:dyDescent="0.2">
      <c r="A19294" s="6" t="str">
        <f>"FAM74A6"</f>
        <v>FAM74A6</v>
      </c>
      <c r="B19294" s="6" t="s">
        <v>1</v>
      </c>
      <c r="C19294" s="6" t="s">
        <v>1</v>
      </c>
    </row>
    <row r="19295" spans="1:3" s="8" customFormat="1" x14ac:dyDescent="0.2">
      <c r="A19295" s="6" t="str">
        <f>"AC067750.1"</f>
        <v>AC067750.1</v>
      </c>
      <c r="B19295" s="6" t="s">
        <v>1</v>
      </c>
      <c r="C19295" s="6" t="s">
        <v>1</v>
      </c>
    </row>
    <row r="19296" spans="1:3" s="8" customFormat="1" x14ac:dyDescent="0.2">
      <c r="A19296" s="6" t="str">
        <f>"CDKN3"</f>
        <v>CDKN3</v>
      </c>
      <c r="B19296" s="6" t="s">
        <v>1</v>
      </c>
      <c r="C19296" s="6" t="s">
        <v>1</v>
      </c>
    </row>
    <row r="19297" spans="1:3" s="8" customFormat="1" x14ac:dyDescent="0.2">
      <c r="A19297" s="6" t="str">
        <f>"AC107081.3"</f>
        <v>AC107081.3</v>
      </c>
      <c r="B19297" s="6" t="s">
        <v>1</v>
      </c>
      <c r="C19297" s="6" t="s">
        <v>1</v>
      </c>
    </row>
    <row r="19298" spans="1:3" s="8" customFormat="1" x14ac:dyDescent="0.2">
      <c r="A19298" s="6" t="str">
        <f>"LINC00906"</f>
        <v>LINC00906</v>
      </c>
      <c r="B19298" s="6" t="s">
        <v>1</v>
      </c>
      <c r="C19298" s="6" t="s">
        <v>1</v>
      </c>
    </row>
    <row r="19299" spans="1:3" s="8" customFormat="1" x14ac:dyDescent="0.2">
      <c r="A19299" s="6" t="str">
        <f>"KLHDC7B-DT"</f>
        <v>KLHDC7B-DT</v>
      </c>
      <c r="B19299" s="6" t="s">
        <v>1</v>
      </c>
      <c r="C19299" s="6" t="s">
        <v>1</v>
      </c>
    </row>
    <row r="19300" spans="1:3" s="8" customFormat="1" x14ac:dyDescent="0.2">
      <c r="A19300" s="6" t="str">
        <f>"TRG-AS1"</f>
        <v>TRG-AS1</v>
      </c>
      <c r="B19300" s="6" t="s">
        <v>1</v>
      </c>
      <c r="C19300" s="6" t="s">
        <v>1</v>
      </c>
    </row>
    <row r="19301" spans="1:3" s="8" customFormat="1" x14ac:dyDescent="0.2">
      <c r="A19301" s="6" t="str">
        <f>"KCNAB3"</f>
        <v>KCNAB3</v>
      </c>
      <c r="B19301" s="6" t="s">
        <v>1</v>
      </c>
      <c r="C19301" s="6" t="s">
        <v>1</v>
      </c>
    </row>
    <row r="19302" spans="1:3" s="8" customFormat="1" x14ac:dyDescent="0.2">
      <c r="A19302" s="6" t="str">
        <f>"AC130304.1"</f>
        <v>AC130304.1</v>
      </c>
      <c r="B19302" s="6" t="s">
        <v>1</v>
      </c>
      <c r="C19302" s="6" t="s">
        <v>1</v>
      </c>
    </row>
    <row r="19303" spans="1:3" s="8" customFormat="1" x14ac:dyDescent="0.2">
      <c r="A19303" s="6" t="str">
        <f>"HNRNPA1P27"</f>
        <v>HNRNPA1P27</v>
      </c>
      <c r="B19303" s="6" t="s">
        <v>1</v>
      </c>
      <c r="C19303" s="6" t="s">
        <v>1</v>
      </c>
    </row>
    <row r="19304" spans="1:3" s="8" customFormat="1" x14ac:dyDescent="0.2">
      <c r="A19304" s="6" t="str">
        <f>"AC108134.3"</f>
        <v>AC108134.3</v>
      </c>
      <c r="B19304" s="6" t="s">
        <v>1</v>
      </c>
      <c r="C19304" s="6" t="s">
        <v>1</v>
      </c>
    </row>
    <row r="19305" spans="1:3" s="8" customFormat="1" x14ac:dyDescent="0.2">
      <c r="A19305" s="6" t="str">
        <f>"EDAR"</f>
        <v>EDAR</v>
      </c>
      <c r="B19305" s="6" t="s">
        <v>1</v>
      </c>
      <c r="C19305" s="6" t="s">
        <v>1</v>
      </c>
    </row>
    <row r="19306" spans="1:3" s="8" customFormat="1" x14ac:dyDescent="0.2">
      <c r="A19306" s="6" t="str">
        <f>"KBTBD12"</f>
        <v>KBTBD12</v>
      </c>
      <c r="B19306" s="6" t="s">
        <v>1</v>
      </c>
      <c r="C19306" s="6" t="s">
        <v>1</v>
      </c>
    </row>
    <row r="19307" spans="1:3" s="8" customFormat="1" x14ac:dyDescent="0.2">
      <c r="A19307" s="6" t="str">
        <f>"PCDHGB1"</f>
        <v>PCDHGB1</v>
      </c>
      <c r="B19307" s="6" t="s">
        <v>1</v>
      </c>
      <c r="C19307" s="6" t="s">
        <v>1</v>
      </c>
    </row>
    <row r="19308" spans="1:3" s="8" customFormat="1" x14ac:dyDescent="0.2">
      <c r="A19308" s="6" t="str">
        <f>"KBTBD8"</f>
        <v>KBTBD8</v>
      </c>
      <c r="B19308" s="6" t="s">
        <v>1</v>
      </c>
      <c r="C19308" s="6" t="s">
        <v>1</v>
      </c>
    </row>
    <row r="19309" spans="1:3" s="8" customFormat="1" x14ac:dyDescent="0.2">
      <c r="A19309" s="6" t="str">
        <f>"GREB1"</f>
        <v>GREB1</v>
      </c>
      <c r="B19309" s="6" t="s">
        <v>1</v>
      </c>
      <c r="C19309" s="6" t="s">
        <v>1</v>
      </c>
    </row>
    <row r="19310" spans="1:3" s="8" customFormat="1" x14ac:dyDescent="0.2">
      <c r="A19310" s="6" t="str">
        <f>"AL354836.1"</f>
        <v>AL354836.1</v>
      </c>
      <c r="B19310" s="6" t="s">
        <v>1</v>
      </c>
      <c r="C19310" s="6" t="s">
        <v>1</v>
      </c>
    </row>
    <row r="19311" spans="1:3" s="8" customFormat="1" x14ac:dyDescent="0.2">
      <c r="A19311" s="6" t="str">
        <f>"AC108471.2"</f>
        <v>AC108471.2</v>
      </c>
      <c r="B19311" s="6" t="s">
        <v>1</v>
      </c>
      <c r="C19311" s="6" t="s">
        <v>1</v>
      </c>
    </row>
    <row r="19312" spans="1:3" s="8" customFormat="1" x14ac:dyDescent="0.2">
      <c r="A19312" s="6" t="str">
        <f>"AL133331.1"</f>
        <v>AL133331.1</v>
      </c>
      <c r="B19312" s="6" t="s">
        <v>1</v>
      </c>
      <c r="C19312" s="6" t="s">
        <v>1</v>
      </c>
    </row>
    <row r="19313" spans="1:3" s="8" customFormat="1" x14ac:dyDescent="0.2">
      <c r="A19313" s="6" t="str">
        <f>"ALOX12"</f>
        <v>ALOX12</v>
      </c>
      <c r="B19313" s="6" t="s">
        <v>1</v>
      </c>
      <c r="C19313" s="6" t="s">
        <v>1</v>
      </c>
    </row>
    <row r="19314" spans="1:3" s="8" customFormat="1" x14ac:dyDescent="0.2">
      <c r="A19314" s="6" t="str">
        <f>"AC093904.2"</f>
        <v>AC093904.2</v>
      </c>
      <c r="B19314" s="6" t="s">
        <v>1</v>
      </c>
      <c r="C19314" s="6" t="s">
        <v>1</v>
      </c>
    </row>
    <row r="19315" spans="1:3" s="8" customFormat="1" x14ac:dyDescent="0.2">
      <c r="A19315" s="6" t="str">
        <f>"SLC26A8"</f>
        <v>SLC26A8</v>
      </c>
      <c r="B19315" s="6" t="s">
        <v>1</v>
      </c>
      <c r="C19315" s="6" t="s">
        <v>1</v>
      </c>
    </row>
    <row r="19316" spans="1:3" s="8" customFormat="1" x14ac:dyDescent="0.2">
      <c r="A19316" s="6" t="str">
        <f>"AL136038.4"</f>
        <v>AL136038.4</v>
      </c>
      <c r="B19316" s="6" t="s">
        <v>1</v>
      </c>
      <c r="C19316" s="6" t="s">
        <v>1</v>
      </c>
    </row>
    <row r="19317" spans="1:3" s="8" customFormat="1" x14ac:dyDescent="0.2">
      <c r="A19317" s="6" t="str">
        <f>"HAS1"</f>
        <v>HAS1</v>
      </c>
      <c r="B19317" s="6" t="s">
        <v>1</v>
      </c>
      <c r="C19317" s="6" t="s">
        <v>1</v>
      </c>
    </row>
    <row r="19318" spans="1:3" s="8" customFormat="1" x14ac:dyDescent="0.2">
      <c r="A19318" s="6" t="str">
        <f>"CDRT15P6"</f>
        <v>CDRT15P6</v>
      </c>
      <c r="B19318" s="6" t="s">
        <v>1</v>
      </c>
      <c r="C19318" s="6" t="s">
        <v>1</v>
      </c>
    </row>
    <row r="19319" spans="1:3" s="8" customFormat="1" x14ac:dyDescent="0.2">
      <c r="A19319" s="6" t="str">
        <f>"CHRNA5"</f>
        <v>CHRNA5</v>
      </c>
      <c r="B19319" s="6" t="s">
        <v>1</v>
      </c>
      <c r="C19319" s="6" t="s">
        <v>1</v>
      </c>
    </row>
    <row r="19320" spans="1:3" s="8" customFormat="1" x14ac:dyDescent="0.2">
      <c r="A19320" s="6" t="str">
        <f>"LINC01224"</f>
        <v>LINC01224</v>
      </c>
      <c r="B19320" s="6" t="s">
        <v>1</v>
      </c>
      <c r="C19320" s="6" t="s">
        <v>1</v>
      </c>
    </row>
    <row r="19321" spans="1:3" s="8" customFormat="1" x14ac:dyDescent="0.2">
      <c r="A19321" s="6" t="str">
        <f>"MIR3142HG"</f>
        <v>MIR3142HG</v>
      </c>
      <c r="B19321" s="6" t="s">
        <v>1</v>
      </c>
      <c r="C19321" s="6" t="s">
        <v>1</v>
      </c>
    </row>
    <row r="19322" spans="1:3" s="8" customFormat="1" x14ac:dyDescent="0.2">
      <c r="A19322" s="6" t="str">
        <f>"AC004825.2"</f>
        <v>AC004825.2</v>
      </c>
      <c r="B19322" s="6" t="s">
        <v>1</v>
      </c>
      <c r="C19322" s="6" t="s">
        <v>1</v>
      </c>
    </row>
    <row r="19323" spans="1:3" s="8" customFormat="1" x14ac:dyDescent="0.2">
      <c r="A19323" s="6" t="str">
        <f>"ECEL1P2"</f>
        <v>ECEL1P2</v>
      </c>
      <c r="B19323" s="6" t="s">
        <v>1</v>
      </c>
      <c r="C19323" s="6" t="s">
        <v>1</v>
      </c>
    </row>
    <row r="19324" spans="1:3" s="8" customFormat="1" x14ac:dyDescent="0.2">
      <c r="A19324" s="6" t="str">
        <f>"MCM3AP-AS1"</f>
        <v>MCM3AP-AS1</v>
      </c>
      <c r="B19324" s="6" t="s">
        <v>1</v>
      </c>
      <c r="C19324" s="6" t="s">
        <v>1</v>
      </c>
    </row>
    <row r="19325" spans="1:3" s="8" customFormat="1" x14ac:dyDescent="0.2">
      <c r="A19325" s="6" t="str">
        <f>"BRICD5"</f>
        <v>BRICD5</v>
      </c>
      <c r="B19325" s="6" t="s">
        <v>1</v>
      </c>
      <c r="C19325" s="6" t="s">
        <v>1</v>
      </c>
    </row>
    <row r="19326" spans="1:3" s="8" customFormat="1" x14ac:dyDescent="0.2">
      <c r="A19326" s="6" t="str">
        <f>"AC084880.1"</f>
        <v>AC084880.1</v>
      </c>
      <c r="B19326" s="6" t="s">
        <v>1</v>
      </c>
      <c r="C19326" s="6" t="s">
        <v>1</v>
      </c>
    </row>
    <row r="19327" spans="1:3" s="8" customFormat="1" x14ac:dyDescent="0.2">
      <c r="A19327" s="6" t="str">
        <f>"IGFL2-AS1"</f>
        <v>IGFL2-AS1</v>
      </c>
      <c r="B19327" s="6" t="s">
        <v>1</v>
      </c>
      <c r="C19327" s="6" t="s">
        <v>1</v>
      </c>
    </row>
    <row r="19328" spans="1:3" s="8" customFormat="1" x14ac:dyDescent="0.2">
      <c r="A19328" s="6" t="str">
        <f>"MLXIPL"</f>
        <v>MLXIPL</v>
      </c>
      <c r="B19328" s="6" t="s">
        <v>1</v>
      </c>
      <c r="C19328" s="6" t="s">
        <v>1</v>
      </c>
    </row>
    <row r="19329" spans="1:3" s="8" customFormat="1" x14ac:dyDescent="0.2">
      <c r="A19329" s="6" t="str">
        <f>"ENPP1"</f>
        <v>ENPP1</v>
      </c>
      <c r="B19329" s="6" t="s">
        <v>1</v>
      </c>
      <c r="C19329" s="6" t="s">
        <v>1</v>
      </c>
    </row>
    <row r="19330" spans="1:3" s="8" customFormat="1" x14ac:dyDescent="0.2">
      <c r="A19330" s="6" t="str">
        <f>"DNAJC27-AS1"</f>
        <v>DNAJC27-AS1</v>
      </c>
      <c r="B19330" s="6" t="s">
        <v>1</v>
      </c>
      <c r="C19330" s="6" t="s">
        <v>1</v>
      </c>
    </row>
    <row r="19331" spans="1:3" s="8" customFormat="1" x14ac:dyDescent="0.2">
      <c r="A19331" s="6" t="str">
        <f>"DOCK3"</f>
        <v>DOCK3</v>
      </c>
      <c r="B19331" s="6" t="s">
        <v>1</v>
      </c>
      <c r="C19331" s="6" t="s">
        <v>1</v>
      </c>
    </row>
    <row r="19332" spans="1:3" s="8" customFormat="1" x14ac:dyDescent="0.2">
      <c r="A19332" s="6" t="str">
        <f>"CYP26B1"</f>
        <v>CYP26B1</v>
      </c>
      <c r="B19332" s="6" t="s">
        <v>1</v>
      </c>
      <c r="C19332" s="6" t="s">
        <v>1</v>
      </c>
    </row>
    <row r="19333" spans="1:3" s="8" customFormat="1" x14ac:dyDescent="0.2">
      <c r="A19333" s="6" t="str">
        <f>"STXBP5-AS1"</f>
        <v>STXBP5-AS1</v>
      </c>
      <c r="B19333" s="6" t="s">
        <v>1</v>
      </c>
      <c r="C19333" s="6" t="s">
        <v>1</v>
      </c>
    </row>
    <row r="19334" spans="1:3" s="8" customFormat="1" x14ac:dyDescent="0.2">
      <c r="A19334" s="6" t="str">
        <f>"EXO1"</f>
        <v>EXO1</v>
      </c>
      <c r="B19334" s="6" t="s">
        <v>1</v>
      </c>
      <c r="C19334" s="6" t="s">
        <v>1</v>
      </c>
    </row>
    <row r="19335" spans="1:3" s="8" customFormat="1" x14ac:dyDescent="0.2">
      <c r="A19335" s="6" t="str">
        <f>"AC015656.1"</f>
        <v>AC015656.1</v>
      </c>
      <c r="B19335" s="6" t="s">
        <v>1</v>
      </c>
      <c r="C19335" s="6" t="s">
        <v>1</v>
      </c>
    </row>
    <row r="19336" spans="1:3" s="8" customFormat="1" x14ac:dyDescent="0.2">
      <c r="A19336" s="6" t="str">
        <f>"AC009283.1"</f>
        <v>AC009283.1</v>
      </c>
      <c r="B19336" s="6" t="s">
        <v>1</v>
      </c>
      <c r="C19336" s="6" t="s">
        <v>1</v>
      </c>
    </row>
    <row r="19337" spans="1:3" s="8" customFormat="1" x14ac:dyDescent="0.2">
      <c r="A19337" s="6" t="str">
        <f>"PROCR"</f>
        <v>PROCR</v>
      </c>
      <c r="B19337" s="6" t="s">
        <v>1</v>
      </c>
      <c r="C19337" s="6" t="s">
        <v>1</v>
      </c>
    </row>
    <row r="19338" spans="1:3" s="8" customFormat="1" x14ac:dyDescent="0.2">
      <c r="A19338" s="6" t="str">
        <f>"AL031283.1"</f>
        <v>AL031283.1</v>
      </c>
      <c r="B19338" s="6" t="s">
        <v>1</v>
      </c>
      <c r="C19338" s="6" t="s">
        <v>1</v>
      </c>
    </row>
    <row r="19339" spans="1:3" s="8" customFormat="1" x14ac:dyDescent="0.2">
      <c r="A19339" s="6" t="str">
        <f>"AC084125.2"</f>
        <v>AC084125.2</v>
      </c>
      <c r="B19339" s="6" t="s">
        <v>1</v>
      </c>
      <c r="C19339" s="6" t="s">
        <v>1</v>
      </c>
    </row>
    <row r="19340" spans="1:3" s="8" customFormat="1" x14ac:dyDescent="0.2">
      <c r="A19340" s="6" t="str">
        <f>"LINC01134"</f>
        <v>LINC01134</v>
      </c>
      <c r="B19340" s="6" t="s">
        <v>1</v>
      </c>
      <c r="C19340" s="6" t="s">
        <v>1</v>
      </c>
    </row>
    <row r="19341" spans="1:3" s="8" customFormat="1" x14ac:dyDescent="0.2">
      <c r="A19341" s="6" t="str">
        <f>"RNF157"</f>
        <v>RNF157</v>
      </c>
      <c r="B19341" s="6" t="s">
        <v>1</v>
      </c>
      <c r="C19341" s="6" t="s">
        <v>1</v>
      </c>
    </row>
    <row r="19342" spans="1:3" s="8" customFormat="1" x14ac:dyDescent="0.2">
      <c r="A19342" s="6" t="str">
        <f>"FLJ31356"</f>
        <v>FLJ31356</v>
      </c>
      <c r="B19342" s="6" t="s">
        <v>1</v>
      </c>
      <c r="C19342" s="6" t="s">
        <v>1</v>
      </c>
    </row>
    <row r="19343" spans="1:3" s="8" customFormat="1" x14ac:dyDescent="0.2">
      <c r="A19343" s="6" t="str">
        <f>"AC005837.1"</f>
        <v>AC005837.1</v>
      </c>
      <c r="B19343" s="6" t="s">
        <v>1</v>
      </c>
      <c r="C19343" s="6" t="s">
        <v>1</v>
      </c>
    </row>
    <row r="19344" spans="1:3" s="8" customFormat="1" x14ac:dyDescent="0.2">
      <c r="A19344" s="6" t="str">
        <f>"B4GALNT4"</f>
        <v>B4GALNT4</v>
      </c>
      <c r="B19344" s="6" t="s">
        <v>1</v>
      </c>
      <c r="C19344" s="6" t="s">
        <v>1</v>
      </c>
    </row>
    <row r="19345" spans="1:3" s="8" customFormat="1" x14ac:dyDescent="0.2">
      <c r="A19345" s="6" t="str">
        <f>"PRLR"</f>
        <v>PRLR</v>
      </c>
      <c r="B19345" s="6" t="s">
        <v>1</v>
      </c>
      <c r="C19345" s="6" t="s">
        <v>1</v>
      </c>
    </row>
    <row r="19346" spans="1:3" s="8" customFormat="1" x14ac:dyDescent="0.2">
      <c r="A19346" s="6" t="str">
        <f>"NUS1P2"</f>
        <v>NUS1P2</v>
      </c>
      <c r="B19346" s="6" t="s">
        <v>1</v>
      </c>
      <c r="C19346" s="6" t="s">
        <v>1</v>
      </c>
    </row>
    <row r="19347" spans="1:3" s="8" customFormat="1" x14ac:dyDescent="0.2">
      <c r="A19347" s="6" t="str">
        <f>"AC012435.2"</f>
        <v>AC012435.2</v>
      </c>
      <c r="B19347" s="6" t="s">
        <v>1</v>
      </c>
      <c r="C19347" s="6" t="s">
        <v>1</v>
      </c>
    </row>
    <row r="19348" spans="1:3" s="8" customFormat="1" x14ac:dyDescent="0.2">
      <c r="A19348" s="6" t="str">
        <f>"AC245060.5"</f>
        <v>AC245060.5</v>
      </c>
      <c r="B19348" s="6" t="s">
        <v>1</v>
      </c>
      <c r="C19348" s="6" t="s">
        <v>1</v>
      </c>
    </row>
    <row r="19349" spans="1:3" s="8" customFormat="1" x14ac:dyDescent="0.2">
      <c r="A19349" s="6" t="str">
        <f>"LEMD1"</f>
        <v>LEMD1</v>
      </c>
      <c r="B19349" s="6" t="s">
        <v>1</v>
      </c>
      <c r="C19349" s="6" t="s">
        <v>1</v>
      </c>
    </row>
    <row r="19350" spans="1:3" s="8" customFormat="1" x14ac:dyDescent="0.2">
      <c r="A19350" s="6" t="str">
        <f>"KCNJ18"</f>
        <v>KCNJ18</v>
      </c>
      <c r="B19350" s="6" t="s">
        <v>1</v>
      </c>
      <c r="C19350" s="6" t="s">
        <v>1</v>
      </c>
    </row>
    <row r="19351" spans="1:3" s="8" customFormat="1" x14ac:dyDescent="0.2">
      <c r="A19351" s="6" t="str">
        <f>"BASP1-AS1"</f>
        <v>BASP1-AS1</v>
      </c>
      <c r="B19351" s="6" t="s">
        <v>1</v>
      </c>
      <c r="C19351" s="6" t="s">
        <v>1</v>
      </c>
    </row>
    <row r="19352" spans="1:3" s="8" customFormat="1" x14ac:dyDescent="0.2">
      <c r="A19352" s="6" t="str">
        <f>"KLHL31"</f>
        <v>KLHL31</v>
      </c>
      <c r="B19352" s="6" t="s">
        <v>1</v>
      </c>
      <c r="C19352" s="6" t="s">
        <v>1</v>
      </c>
    </row>
    <row r="19353" spans="1:3" s="8" customFormat="1" x14ac:dyDescent="0.2">
      <c r="A19353" s="6" t="str">
        <f>"MIR193BHG"</f>
        <v>MIR193BHG</v>
      </c>
      <c r="B19353" s="6" t="s">
        <v>1</v>
      </c>
      <c r="C19353" s="6" t="s">
        <v>1</v>
      </c>
    </row>
    <row r="19354" spans="1:3" s="8" customFormat="1" x14ac:dyDescent="0.2">
      <c r="A19354" s="6" t="str">
        <f>"WNT3"</f>
        <v>WNT3</v>
      </c>
      <c r="B19354" s="6" t="s">
        <v>1</v>
      </c>
      <c r="C19354" s="6" t="s">
        <v>1</v>
      </c>
    </row>
    <row r="19355" spans="1:3" s="8" customFormat="1" x14ac:dyDescent="0.2">
      <c r="A19355" s="6" t="str">
        <f>"ALG1L13P"</f>
        <v>ALG1L13P</v>
      </c>
      <c r="B19355" s="6" t="s">
        <v>1</v>
      </c>
      <c r="C19355" s="6" t="s">
        <v>1</v>
      </c>
    </row>
    <row r="19356" spans="1:3" s="8" customFormat="1" x14ac:dyDescent="0.2">
      <c r="A19356" s="6" t="str">
        <f>"FLJ13224"</f>
        <v>FLJ13224</v>
      </c>
      <c r="B19356" s="6" t="s">
        <v>1</v>
      </c>
      <c r="C19356" s="6" t="s">
        <v>1</v>
      </c>
    </row>
    <row r="19357" spans="1:3" s="8" customFormat="1" x14ac:dyDescent="0.2">
      <c r="A19357" s="6" t="str">
        <f>"OXGR1"</f>
        <v>OXGR1</v>
      </c>
      <c r="B19357" s="6" t="s">
        <v>1</v>
      </c>
      <c r="C19357" s="6" t="s">
        <v>1</v>
      </c>
    </row>
    <row r="19358" spans="1:3" s="8" customFormat="1" x14ac:dyDescent="0.2">
      <c r="A19358" s="6" t="str">
        <f>"AC130371.2"</f>
        <v>AC130371.2</v>
      </c>
      <c r="B19358" s="6" t="s">
        <v>1</v>
      </c>
      <c r="C19358" s="6" t="s">
        <v>1</v>
      </c>
    </row>
    <row r="19359" spans="1:3" s="8" customFormat="1" x14ac:dyDescent="0.2">
      <c r="A19359" s="6" t="str">
        <f>"AC007485.2"</f>
        <v>AC007485.2</v>
      </c>
      <c r="B19359" s="6" t="s">
        <v>1</v>
      </c>
      <c r="C19359" s="6" t="s">
        <v>1</v>
      </c>
    </row>
    <row r="19360" spans="1:3" s="8" customFormat="1" x14ac:dyDescent="0.2">
      <c r="A19360" s="6" t="str">
        <f>"TRGC2"</f>
        <v>TRGC2</v>
      </c>
      <c r="B19360" s="6" t="s">
        <v>1</v>
      </c>
      <c r="C19360" s="6" t="s">
        <v>1</v>
      </c>
    </row>
    <row r="19361" spans="1:3" s="8" customFormat="1" x14ac:dyDescent="0.2">
      <c r="A19361" s="6" t="str">
        <f>"FZD10"</f>
        <v>FZD10</v>
      </c>
      <c r="B19361" s="6" t="s">
        <v>1</v>
      </c>
      <c r="C19361" s="6" t="s">
        <v>1</v>
      </c>
    </row>
    <row r="19362" spans="1:3" s="8" customFormat="1" x14ac:dyDescent="0.2">
      <c r="A19362" s="6" t="str">
        <f>"MYLK-AS1"</f>
        <v>MYLK-AS1</v>
      </c>
      <c r="B19362" s="6" t="s">
        <v>1</v>
      </c>
      <c r="C19362" s="6" t="s">
        <v>1</v>
      </c>
    </row>
    <row r="19363" spans="1:3" s="8" customFormat="1" x14ac:dyDescent="0.2">
      <c r="A19363" s="6" t="str">
        <f>"CASKIN1"</f>
        <v>CASKIN1</v>
      </c>
      <c r="B19363" s="6" t="s">
        <v>1</v>
      </c>
      <c r="C19363" s="6" t="s">
        <v>1</v>
      </c>
    </row>
    <row r="19364" spans="1:3" s="8" customFormat="1" x14ac:dyDescent="0.2">
      <c r="A19364" s="6" t="str">
        <f>"LGALS2"</f>
        <v>LGALS2</v>
      </c>
      <c r="B19364" s="6" t="s">
        <v>1</v>
      </c>
      <c r="C19364" s="6" t="s">
        <v>1</v>
      </c>
    </row>
    <row r="19365" spans="1:3" s="8" customFormat="1" x14ac:dyDescent="0.2">
      <c r="A19365" s="6" t="str">
        <f>"AL442125.1"</f>
        <v>AL442125.1</v>
      </c>
      <c r="B19365" s="6" t="s">
        <v>1</v>
      </c>
      <c r="C19365" s="6" t="s">
        <v>1</v>
      </c>
    </row>
    <row r="19366" spans="1:3" s="8" customFormat="1" x14ac:dyDescent="0.2">
      <c r="A19366" s="6" t="str">
        <f>"AC107918.4"</f>
        <v>AC107918.4</v>
      </c>
      <c r="B19366" s="6" t="s">
        <v>1</v>
      </c>
      <c r="C19366" s="6" t="s">
        <v>1</v>
      </c>
    </row>
    <row r="19367" spans="1:3" s="8" customFormat="1" x14ac:dyDescent="0.2">
      <c r="A19367" s="6" t="str">
        <f>"ELOVL4"</f>
        <v>ELOVL4</v>
      </c>
      <c r="B19367" s="6" t="s">
        <v>1</v>
      </c>
      <c r="C19367" s="6" t="s">
        <v>1</v>
      </c>
    </row>
    <row r="19368" spans="1:3" s="8" customFormat="1" x14ac:dyDescent="0.2">
      <c r="A19368" s="6" t="str">
        <f>"H3P6"</f>
        <v>H3P6</v>
      </c>
      <c r="B19368" s="6" t="s">
        <v>1</v>
      </c>
      <c r="C19368" s="6" t="s">
        <v>1</v>
      </c>
    </row>
    <row r="19369" spans="1:3" s="8" customFormat="1" x14ac:dyDescent="0.2">
      <c r="A19369" s="6" t="str">
        <f>"C21orf62"</f>
        <v>C21orf62</v>
      </c>
      <c r="B19369" s="6" t="s">
        <v>1</v>
      </c>
      <c r="C19369" s="6" t="s">
        <v>1</v>
      </c>
    </row>
    <row r="19370" spans="1:3" s="8" customFormat="1" x14ac:dyDescent="0.2">
      <c r="A19370" s="6" t="str">
        <f>"LGSN"</f>
        <v>LGSN</v>
      </c>
      <c r="B19370" s="6" t="s">
        <v>1</v>
      </c>
      <c r="C19370" s="6" t="s">
        <v>1</v>
      </c>
    </row>
    <row r="19371" spans="1:3" s="8" customFormat="1" x14ac:dyDescent="0.2">
      <c r="A19371" s="6" t="str">
        <f>"AC108488.2"</f>
        <v>AC108488.2</v>
      </c>
      <c r="B19371" s="6" t="s">
        <v>1</v>
      </c>
      <c r="C19371" s="6" t="s">
        <v>1</v>
      </c>
    </row>
    <row r="19372" spans="1:3" s="8" customFormat="1" x14ac:dyDescent="0.2">
      <c r="A19372" s="6" t="str">
        <f>"AC064836.2"</f>
        <v>AC064836.2</v>
      </c>
      <c r="B19372" s="6" t="s">
        <v>1</v>
      </c>
      <c r="C19372" s="6" t="s">
        <v>1</v>
      </c>
    </row>
    <row r="19373" spans="1:3" s="8" customFormat="1" x14ac:dyDescent="0.2">
      <c r="A19373" s="6" t="str">
        <f>"GRAP"</f>
        <v>GRAP</v>
      </c>
      <c r="B19373" s="6" t="s">
        <v>1</v>
      </c>
      <c r="C19373" s="6" t="s">
        <v>1</v>
      </c>
    </row>
    <row r="19374" spans="1:3" s="8" customFormat="1" x14ac:dyDescent="0.2">
      <c r="A19374" s="6" t="str">
        <f>"AL353763.2"</f>
        <v>AL353763.2</v>
      </c>
      <c r="B19374" s="6" t="s">
        <v>1</v>
      </c>
      <c r="C19374" s="6" t="s">
        <v>1</v>
      </c>
    </row>
    <row r="19375" spans="1:3" s="8" customFormat="1" x14ac:dyDescent="0.2">
      <c r="A19375" s="6" t="str">
        <f>"CYP27B1"</f>
        <v>CYP27B1</v>
      </c>
      <c r="B19375" s="6" t="s">
        <v>1</v>
      </c>
      <c r="C19375" s="6" t="s">
        <v>1</v>
      </c>
    </row>
    <row r="19376" spans="1:3" s="8" customFormat="1" x14ac:dyDescent="0.2">
      <c r="A19376" s="6" t="str">
        <f>"LINC01220"</f>
        <v>LINC01220</v>
      </c>
      <c r="B19376" s="6" t="s">
        <v>1</v>
      </c>
      <c r="C19376" s="6" t="s">
        <v>1</v>
      </c>
    </row>
    <row r="19377" spans="1:3" s="8" customFormat="1" x14ac:dyDescent="0.2">
      <c r="A19377" s="6" t="str">
        <f>"LHFPL6"</f>
        <v>LHFPL6</v>
      </c>
      <c r="B19377" s="6" t="s">
        <v>1</v>
      </c>
      <c r="C19377" s="6" t="s">
        <v>1</v>
      </c>
    </row>
    <row r="19378" spans="1:3" s="8" customFormat="1" x14ac:dyDescent="0.2">
      <c r="A19378" s="6" t="str">
        <f>"FLRT2"</f>
        <v>FLRT2</v>
      </c>
      <c r="B19378" s="6" t="s">
        <v>1</v>
      </c>
      <c r="C19378" s="6" t="s">
        <v>1</v>
      </c>
    </row>
    <row r="19379" spans="1:3" s="8" customFormat="1" x14ac:dyDescent="0.2">
      <c r="A19379" s="6" t="str">
        <f>"GALNT16"</f>
        <v>GALNT16</v>
      </c>
      <c r="B19379" s="6" t="s">
        <v>1</v>
      </c>
      <c r="C19379" s="6" t="s">
        <v>1</v>
      </c>
    </row>
    <row r="19380" spans="1:3" s="8" customFormat="1" x14ac:dyDescent="0.2">
      <c r="A19380" s="6" t="str">
        <f>"AC093677.2"</f>
        <v>AC093677.2</v>
      </c>
      <c r="B19380" s="6" t="s">
        <v>1</v>
      </c>
      <c r="C19380" s="6" t="s">
        <v>1</v>
      </c>
    </row>
    <row r="19381" spans="1:3" s="8" customFormat="1" x14ac:dyDescent="0.2">
      <c r="A19381" s="6" t="str">
        <f>"LINC02300"</f>
        <v>LINC02300</v>
      </c>
      <c r="B19381" s="6" t="s">
        <v>1</v>
      </c>
      <c r="C19381" s="6" t="s">
        <v>1</v>
      </c>
    </row>
    <row r="19382" spans="1:3" s="8" customFormat="1" x14ac:dyDescent="0.2">
      <c r="A19382" s="6" t="str">
        <f>"AC022098.1"</f>
        <v>AC022098.1</v>
      </c>
      <c r="B19382" s="6" t="s">
        <v>1</v>
      </c>
      <c r="C19382" s="6" t="s">
        <v>1</v>
      </c>
    </row>
    <row r="19383" spans="1:3" s="8" customFormat="1" x14ac:dyDescent="0.2">
      <c r="A19383" s="6" t="str">
        <f>"MYT1L"</f>
        <v>MYT1L</v>
      </c>
      <c r="B19383" s="6" t="s">
        <v>1</v>
      </c>
      <c r="C19383" s="6" t="s">
        <v>1</v>
      </c>
    </row>
    <row r="19384" spans="1:3" s="8" customFormat="1" x14ac:dyDescent="0.2">
      <c r="A19384" s="6" t="str">
        <f>"AC244033.2"</f>
        <v>AC244033.2</v>
      </c>
      <c r="B19384" s="6" t="s">
        <v>1</v>
      </c>
      <c r="C19384" s="6" t="s">
        <v>1</v>
      </c>
    </row>
    <row r="19385" spans="1:3" s="8" customFormat="1" x14ac:dyDescent="0.2">
      <c r="A19385" s="6" t="str">
        <f>"LMCD1-AS1"</f>
        <v>LMCD1-AS1</v>
      </c>
      <c r="B19385" s="6" t="s">
        <v>1</v>
      </c>
      <c r="C19385" s="6" t="s">
        <v>1</v>
      </c>
    </row>
    <row r="19386" spans="1:3" s="8" customFormat="1" x14ac:dyDescent="0.2">
      <c r="A19386" s="6" t="str">
        <f>"AC131212.3"</f>
        <v>AC131212.3</v>
      </c>
      <c r="B19386" s="6" t="s">
        <v>1</v>
      </c>
      <c r="C19386" s="6" t="s">
        <v>1</v>
      </c>
    </row>
    <row r="19387" spans="1:3" s="8" customFormat="1" x14ac:dyDescent="0.2">
      <c r="A19387" s="6" t="str">
        <f>"DND1P1"</f>
        <v>DND1P1</v>
      </c>
      <c r="B19387" s="6" t="s">
        <v>1</v>
      </c>
      <c r="C19387" s="6" t="s">
        <v>1</v>
      </c>
    </row>
    <row r="19388" spans="1:3" s="8" customFormat="1" x14ac:dyDescent="0.2">
      <c r="A19388" s="6" t="str">
        <f>"AL354754.1"</f>
        <v>AL354754.1</v>
      </c>
      <c r="B19388" s="6" t="s">
        <v>1</v>
      </c>
      <c r="C19388" s="6" t="s">
        <v>1</v>
      </c>
    </row>
    <row r="19389" spans="1:3" s="8" customFormat="1" x14ac:dyDescent="0.2">
      <c r="A19389" s="6" t="str">
        <f>"TRHDE"</f>
        <v>TRHDE</v>
      </c>
      <c r="B19389" s="6" t="s">
        <v>1</v>
      </c>
      <c r="C19389" s="6" t="s">
        <v>1</v>
      </c>
    </row>
    <row r="19390" spans="1:3" s="8" customFormat="1" x14ac:dyDescent="0.2">
      <c r="A19390" s="6" t="str">
        <f>"CAPNS2"</f>
        <v>CAPNS2</v>
      </c>
      <c r="B19390" s="6" t="s">
        <v>1</v>
      </c>
      <c r="C19390" s="6" t="s">
        <v>1</v>
      </c>
    </row>
    <row r="19391" spans="1:3" s="8" customFormat="1" x14ac:dyDescent="0.2">
      <c r="A19391" s="6" t="str">
        <f>"AC022506.2"</f>
        <v>AC022506.2</v>
      </c>
      <c r="B19391" s="6" t="s">
        <v>1</v>
      </c>
      <c r="C19391" s="6" t="s">
        <v>1</v>
      </c>
    </row>
    <row r="19392" spans="1:3" s="8" customFormat="1" x14ac:dyDescent="0.2">
      <c r="A19392" s="6" t="str">
        <f>"AC012513.3"</f>
        <v>AC012513.3</v>
      </c>
      <c r="B19392" s="6" t="s">
        <v>1</v>
      </c>
      <c r="C19392" s="6" t="s">
        <v>1</v>
      </c>
    </row>
    <row r="19393" spans="1:3" s="8" customFormat="1" x14ac:dyDescent="0.2">
      <c r="A19393" s="6" t="str">
        <f>"HNRNPA1P54"</f>
        <v>HNRNPA1P54</v>
      </c>
      <c r="B19393" s="6" t="s">
        <v>1</v>
      </c>
      <c r="C19393" s="6" t="s">
        <v>1</v>
      </c>
    </row>
    <row r="19394" spans="1:3" s="8" customFormat="1" x14ac:dyDescent="0.2">
      <c r="A19394" s="6" t="str">
        <f>"MS4A4A"</f>
        <v>MS4A4A</v>
      </c>
      <c r="B19394" s="6" t="s">
        <v>1</v>
      </c>
      <c r="C19394" s="6" t="s">
        <v>1</v>
      </c>
    </row>
    <row r="19395" spans="1:3" s="8" customFormat="1" x14ac:dyDescent="0.2">
      <c r="A19395" s="6" t="str">
        <f>"LERFS"</f>
        <v>LERFS</v>
      </c>
      <c r="B19395" s="6" t="s">
        <v>1</v>
      </c>
      <c r="C19395" s="6" t="s">
        <v>1</v>
      </c>
    </row>
    <row r="19396" spans="1:3" s="8" customFormat="1" x14ac:dyDescent="0.2">
      <c r="A19396" s="6" t="str">
        <f>"TBC1D3B"</f>
        <v>TBC1D3B</v>
      </c>
      <c r="B19396" s="6" t="s">
        <v>1</v>
      </c>
      <c r="C19396" s="6" t="s">
        <v>1</v>
      </c>
    </row>
    <row r="19397" spans="1:3" s="8" customFormat="1" x14ac:dyDescent="0.2">
      <c r="A19397" s="6" t="str">
        <f>"PCDHGC4"</f>
        <v>PCDHGC4</v>
      </c>
      <c r="B19397" s="6" t="s">
        <v>1</v>
      </c>
      <c r="C19397" s="6" t="s">
        <v>1</v>
      </c>
    </row>
    <row r="19398" spans="1:3" s="8" customFormat="1" x14ac:dyDescent="0.2">
      <c r="A19398" s="6" t="str">
        <f>"FLJ31104"</f>
        <v>FLJ31104</v>
      </c>
      <c r="B19398" s="6" t="s">
        <v>1</v>
      </c>
      <c r="C19398" s="6" t="s">
        <v>1</v>
      </c>
    </row>
    <row r="19399" spans="1:3" s="8" customFormat="1" x14ac:dyDescent="0.2">
      <c r="A19399" s="6" t="str">
        <f>"RAD54L"</f>
        <v>RAD54L</v>
      </c>
      <c r="B19399" s="6" t="s">
        <v>1</v>
      </c>
      <c r="C19399" s="6" t="s">
        <v>1</v>
      </c>
    </row>
    <row r="19400" spans="1:3" s="8" customFormat="1" x14ac:dyDescent="0.2">
      <c r="A19400" s="6" t="str">
        <f>"TNFAIP8L2"</f>
        <v>TNFAIP8L2</v>
      </c>
      <c r="B19400" s="6" t="s">
        <v>1</v>
      </c>
      <c r="C19400" s="6" t="s">
        <v>1</v>
      </c>
    </row>
    <row r="19401" spans="1:3" s="8" customFormat="1" x14ac:dyDescent="0.2">
      <c r="A19401" s="6" t="str">
        <f>"MYOT"</f>
        <v>MYOT</v>
      </c>
      <c r="B19401" s="6" t="s">
        <v>1</v>
      </c>
      <c r="C19401" s="6" t="s">
        <v>1</v>
      </c>
    </row>
    <row r="19402" spans="1:3" s="8" customFormat="1" x14ac:dyDescent="0.2">
      <c r="A19402" s="6" t="str">
        <f>"AC130888.1"</f>
        <v>AC130888.1</v>
      </c>
      <c r="B19402" s="6" t="s">
        <v>1</v>
      </c>
      <c r="C19402" s="6" t="s">
        <v>1</v>
      </c>
    </row>
    <row r="19403" spans="1:3" s="8" customFormat="1" x14ac:dyDescent="0.2">
      <c r="A19403" s="6" t="str">
        <f>"C3orf35"</f>
        <v>C3orf35</v>
      </c>
      <c r="B19403" s="6" t="s">
        <v>1</v>
      </c>
      <c r="C19403" s="6" t="s">
        <v>1</v>
      </c>
    </row>
    <row r="19404" spans="1:3" s="8" customFormat="1" x14ac:dyDescent="0.2">
      <c r="A19404" s="6" t="str">
        <f>"PCED1B-AS1"</f>
        <v>PCED1B-AS1</v>
      </c>
      <c r="B19404" s="6" t="s">
        <v>1</v>
      </c>
      <c r="C19404" s="6" t="s">
        <v>1</v>
      </c>
    </row>
    <row r="19405" spans="1:3" s="8" customFormat="1" x14ac:dyDescent="0.2">
      <c r="A19405" s="6" t="str">
        <f>"ADH1B"</f>
        <v>ADH1B</v>
      </c>
      <c r="B19405" s="6" t="s">
        <v>1</v>
      </c>
      <c r="C19405" s="6" t="s">
        <v>1</v>
      </c>
    </row>
    <row r="19406" spans="1:3" s="8" customFormat="1" x14ac:dyDescent="0.2">
      <c r="A19406" s="6" t="str">
        <f>"GAD1"</f>
        <v>GAD1</v>
      </c>
      <c r="B19406" s="6" t="s">
        <v>1</v>
      </c>
      <c r="C19406" s="6" t="s">
        <v>1</v>
      </c>
    </row>
    <row r="19407" spans="1:3" s="8" customFormat="1" x14ac:dyDescent="0.2">
      <c r="A19407" s="6" t="str">
        <f>"ZBTB8B"</f>
        <v>ZBTB8B</v>
      </c>
      <c r="B19407" s="6" t="s">
        <v>1</v>
      </c>
      <c r="C19407" s="6" t="s">
        <v>1</v>
      </c>
    </row>
    <row r="19408" spans="1:3" s="8" customFormat="1" x14ac:dyDescent="0.2">
      <c r="A19408" s="6" t="str">
        <f>"CARMIL3"</f>
        <v>CARMIL3</v>
      </c>
      <c r="B19408" s="6" t="s">
        <v>1</v>
      </c>
      <c r="C19408" s="6" t="s">
        <v>1</v>
      </c>
    </row>
    <row r="19409" spans="1:3" s="8" customFormat="1" x14ac:dyDescent="0.2">
      <c r="A19409" s="6" t="str">
        <f>"TTC39C-AS1"</f>
        <v>TTC39C-AS1</v>
      </c>
      <c r="B19409" s="6" t="s">
        <v>1</v>
      </c>
      <c r="C19409" s="6" t="s">
        <v>1</v>
      </c>
    </row>
    <row r="19410" spans="1:3" s="8" customFormat="1" x14ac:dyDescent="0.2">
      <c r="A19410" s="6" t="str">
        <f>"SHLD3"</f>
        <v>SHLD3</v>
      </c>
      <c r="B19410" s="6" t="s">
        <v>1</v>
      </c>
      <c r="C19410" s="6" t="s">
        <v>1</v>
      </c>
    </row>
    <row r="19411" spans="1:3" s="8" customFormat="1" x14ac:dyDescent="0.2">
      <c r="A19411" s="6" t="str">
        <f>"CYP2A7"</f>
        <v>CYP2A7</v>
      </c>
      <c r="B19411" s="6" t="s">
        <v>1</v>
      </c>
      <c r="C19411" s="6" t="s">
        <v>1</v>
      </c>
    </row>
    <row r="19412" spans="1:3" s="8" customFormat="1" x14ac:dyDescent="0.2">
      <c r="A19412" s="6" t="str">
        <f>"TBC1D3D"</f>
        <v>TBC1D3D</v>
      </c>
      <c r="B19412" s="6" t="s">
        <v>1</v>
      </c>
      <c r="C19412" s="6" t="s">
        <v>1</v>
      </c>
    </row>
    <row r="19413" spans="1:3" s="8" customFormat="1" x14ac:dyDescent="0.2">
      <c r="A19413" s="6" t="str">
        <f>"NXPH4"</f>
        <v>NXPH4</v>
      </c>
      <c r="B19413" s="6" t="s">
        <v>1</v>
      </c>
      <c r="C19413" s="6" t="s">
        <v>1</v>
      </c>
    </row>
    <row r="19414" spans="1:3" s="8" customFormat="1" x14ac:dyDescent="0.2">
      <c r="A19414" s="6" t="str">
        <f>"HCG4"</f>
        <v>HCG4</v>
      </c>
      <c r="B19414" s="6" t="s">
        <v>1</v>
      </c>
      <c r="C19414" s="6" t="s">
        <v>1</v>
      </c>
    </row>
    <row r="19415" spans="1:3" s="8" customFormat="1" x14ac:dyDescent="0.2">
      <c r="A19415" s="6" t="str">
        <f>"KLC3"</f>
        <v>KLC3</v>
      </c>
      <c r="B19415" s="6" t="s">
        <v>1</v>
      </c>
      <c r="C19415" s="6" t="s">
        <v>1</v>
      </c>
    </row>
    <row r="19416" spans="1:3" s="8" customFormat="1" x14ac:dyDescent="0.2">
      <c r="A19416" s="6" t="str">
        <f>"AC013652.1"</f>
        <v>AC013652.1</v>
      </c>
      <c r="B19416" s="6" t="s">
        <v>1</v>
      </c>
      <c r="C19416" s="6" t="s">
        <v>1</v>
      </c>
    </row>
    <row r="19417" spans="1:3" s="8" customFormat="1" x14ac:dyDescent="0.2">
      <c r="A19417" s="6" t="str">
        <f>"P2RY10"</f>
        <v>P2RY10</v>
      </c>
      <c r="B19417" s="6" t="s">
        <v>1</v>
      </c>
      <c r="C19417" s="6" t="s">
        <v>1</v>
      </c>
    </row>
    <row r="19418" spans="1:3" s="8" customFormat="1" x14ac:dyDescent="0.2">
      <c r="A19418" s="6" t="str">
        <f>"GPR68"</f>
        <v>GPR68</v>
      </c>
      <c r="B19418" s="6" t="s">
        <v>1</v>
      </c>
      <c r="C19418" s="6" t="s">
        <v>1</v>
      </c>
    </row>
    <row r="19419" spans="1:3" s="8" customFormat="1" x14ac:dyDescent="0.2">
      <c r="A19419" s="6" t="str">
        <f>"AP000704.1"</f>
        <v>AP000704.1</v>
      </c>
      <c r="B19419" s="6" t="s">
        <v>1</v>
      </c>
      <c r="C19419" s="6" t="s">
        <v>1</v>
      </c>
    </row>
    <row r="19420" spans="1:3" s="8" customFormat="1" x14ac:dyDescent="0.2">
      <c r="A19420" s="6" t="str">
        <f>"ASMTL-AS1"</f>
        <v>ASMTL-AS1</v>
      </c>
      <c r="B19420" s="6" t="s">
        <v>1</v>
      </c>
      <c r="C19420" s="6" t="s">
        <v>1</v>
      </c>
    </row>
    <row r="19421" spans="1:3" s="8" customFormat="1" x14ac:dyDescent="0.2">
      <c r="A19421" s="6" t="str">
        <f>"AL135926.2"</f>
        <v>AL135926.2</v>
      </c>
      <c r="B19421" s="6" t="s">
        <v>1</v>
      </c>
      <c r="C19421" s="6" t="s">
        <v>1</v>
      </c>
    </row>
    <row r="19422" spans="1:3" s="8" customFormat="1" x14ac:dyDescent="0.2">
      <c r="A19422" s="6" t="str">
        <f>"IGFBP6"</f>
        <v>IGFBP6</v>
      </c>
      <c r="B19422" s="6" t="s">
        <v>1</v>
      </c>
      <c r="C19422" s="6" t="s">
        <v>1</v>
      </c>
    </row>
    <row r="19423" spans="1:3" s="8" customFormat="1" x14ac:dyDescent="0.2">
      <c r="A19423" s="6" t="str">
        <f>"AC009962.1"</f>
        <v>AC009962.1</v>
      </c>
      <c r="B19423" s="6" t="s">
        <v>1</v>
      </c>
      <c r="C19423" s="6" t="s">
        <v>1</v>
      </c>
    </row>
    <row r="19424" spans="1:3" s="8" customFormat="1" x14ac:dyDescent="0.2">
      <c r="A19424" s="6" t="str">
        <f>"H2BP1"</f>
        <v>H2BP1</v>
      </c>
      <c r="B19424" s="6" t="s">
        <v>1</v>
      </c>
      <c r="C19424" s="6" t="s">
        <v>1</v>
      </c>
    </row>
    <row r="19425" spans="1:3" s="8" customFormat="1" x14ac:dyDescent="0.2">
      <c r="A19425" s="6" t="str">
        <f>"TMEM158"</f>
        <v>TMEM158</v>
      </c>
      <c r="B19425" s="6" t="s">
        <v>1</v>
      </c>
      <c r="C19425" s="6" t="s">
        <v>1</v>
      </c>
    </row>
    <row r="19426" spans="1:3" s="8" customFormat="1" x14ac:dyDescent="0.2">
      <c r="A19426" s="6" t="str">
        <f>"AC009879.3"</f>
        <v>AC009879.3</v>
      </c>
      <c r="B19426" s="6" t="s">
        <v>1</v>
      </c>
      <c r="C19426" s="6" t="s">
        <v>1</v>
      </c>
    </row>
    <row r="19427" spans="1:3" s="8" customFormat="1" x14ac:dyDescent="0.2">
      <c r="A19427" s="6" t="str">
        <f>"S1PR3"</f>
        <v>S1PR3</v>
      </c>
      <c r="B19427" s="6" t="s">
        <v>1</v>
      </c>
      <c r="C19427" s="6" t="s">
        <v>1</v>
      </c>
    </row>
    <row r="19428" spans="1:3" s="8" customFormat="1" x14ac:dyDescent="0.2">
      <c r="A19428" s="6" t="str">
        <f>"CNTNAP2"</f>
        <v>CNTNAP2</v>
      </c>
      <c r="B19428" s="6" t="s">
        <v>1</v>
      </c>
      <c r="C19428" s="6" t="s">
        <v>1</v>
      </c>
    </row>
    <row r="19429" spans="1:3" s="8" customFormat="1" x14ac:dyDescent="0.2">
      <c r="A19429" s="6" t="str">
        <f>"KCNH1"</f>
        <v>KCNH1</v>
      </c>
      <c r="B19429" s="6" t="s">
        <v>1</v>
      </c>
      <c r="C19429" s="6" t="s">
        <v>1</v>
      </c>
    </row>
    <row r="19430" spans="1:3" s="8" customFormat="1" x14ac:dyDescent="0.2">
      <c r="A19430" s="6" t="str">
        <f>"GRID2IP"</f>
        <v>GRID2IP</v>
      </c>
      <c r="B19430" s="6" t="s">
        <v>1</v>
      </c>
      <c r="C19430" s="6" t="s">
        <v>1</v>
      </c>
    </row>
    <row r="19431" spans="1:3" s="8" customFormat="1" x14ac:dyDescent="0.2">
      <c r="A19431" s="6" t="str">
        <f>"CCNE2"</f>
        <v>CCNE2</v>
      </c>
      <c r="B19431" s="6" t="s">
        <v>1</v>
      </c>
      <c r="C19431" s="6" t="s">
        <v>1</v>
      </c>
    </row>
    <row r="19432" spans="1:3" s="8" customFormat="1" x14ac:dyDescent="0.2">
      <c r="A19432" s="6" t="str">
        <f>"LINC02080"</f>
        <v>LINC02080</v>
      </c>
      <c r="B19432" s="6" t="s">
        <v>1</v>
      </c>
      <c r="C19432" s="6" t="s">
        <v>1</v>
      </c>
    </row>
    <row r="19433" spans="1:3" s="8" customFormat="1" x14ac:dyDescent="0.2">
      <c r="A19433" s="6" t="str">
        <f>"AC012441.1"</f>
        <v>AC012441.1</v>
      </c>
      <c r="B19433" s="6" t="s">
        <v>1</v>
      </c>
      <c r="C19433" s="6" t="s">
        <v>1</v>
      </c>
    </row>
    <row r="19434" spans="1:3" s="8" customFormat="1" x14ac:dyDescent="0.2">
      <c r="A19434" s="6" t="str">
        <f>"EMBP1"</f>
        <v>EMBP1</v>
      </c>
      <c r="B19434" s="6" t="s">
        <v>1</v>
      </c>
      <c r="C19434" s="6" t="s">
        <v>1</v>
      </c>
    </row>
    <row r="19435" spans="1:3" s="8" customFormat="1" x14ac:dyDescent="0.2">
      <c r="A19435" s="6" t="str">
        <f>"AF001548.2"</f>
        <v>AF001548.2</v>
      </c>
      <c r="B19435" s="6" t="s">
        <v>1</v>
      </c>
      <c r="C19435" s="6" t="s">
        <v>1</v>
      </c>
    </row>
    <row r="19436" spans="1:3" s="8" customFormat="1" x14ac:dyDescent="0.2">
      <c r="A19436" s="6" t="str">
        <f>"LCAT"</f>
        <v>LCAT</v>
      </c>
      <c r="B19436" s="6" t="s">
        <v>1</v>
      </c>
      <c r="C19436" s="6" t="s">
        <v>1</v>
      </c>
    </row>
    <row r="19437" spans="1:3" s="8" customFormat="1" x14ac:dyDescent="0.2">
      <c r="A19437" s="6" t="str">
        <f>"LOXL3"</f>
        <v>LOXL3</v>
      </c>
      <c r="B19437" s="6" t="s">
        <v>1</v>
      </c>
      <c r="C19437" s="6" t="s">
        <v>1</v>
      </c>
    </row>
    <row r="19438" spans="1:3" s="8" customFormat="1" x14ac:dyDescent="0.2">
      <c r="A19438" s="6" t="str">
        <f>"APLF"</f>
        <v>APLF</v>
      </c>
      <c r="B19438" s="6" t="s">
        <v>1</v>
      </c>
      <c r="C19438" s="6" t="s">
        <v>1</v>
      </c>
    </row>
    <row r="19439" spans="1:3" s="8" customFormat="1" x14ac:dyDescent="0.2">
      <c r="A19439" s="6" t="str">
        <f>"AC022150.4"</f>
        <v>AC022150.4</v>
      </c>
      <c r="B19439" s="6" t="s">
        <v>1</v>
      </c>
      <c r="C19439" s="6" t="s">
        <v>1</v>
      </c>
    </row>
    <row r="19440" spans="1:3" s="8" customFormat="1" x14ac:dyDescent="0.2">
      <c r="A19440" s="6" t="str">
        <f>"MLC1"</f>
        <v>MLC1</v>
      </c>
      <c r="B19440" s="6" t="s">
        <v>1</v>
      </c>
      <c r="C19440" s="6" t="s">
        <v>1</v>
      </c>
    </row>
    <row r="19441" spans="1:3" s="8" customFormat="1" x14ac:dyDescent="0.2">
      <c r="A19441" s="6" t="str">
        <f>"AL136040.1"</f>
        <v>AL136040.1</v>
      </c>
      <c r="B19441" s="6" t="s">
        <v>1</v>
      </c>
      <c r="C19441" s="6" t="s">
        <v>1</v>
      </c>
    </row>
    <row r="19442" spans="1:3" s="8" customFormat="1" x14ac:dyDescent="0.2">
      <c r="A19442" s="6" t="str">
        <f>"INSYN1"</f>
        <v>INSYN1</v>
      </c>
      <c r="B19442" s="6" t="s">
        <v>1</v>
      </c>
      <c r="C19442" s="6" t="s">
        <v>1</v>
      </c>
    </row>
    <row r="19443" spans="1:3" s="8" customFormat="1" x14ac:dyDescent="0.2">
      <c r="A19443" s="6" t="str">
        <f>"MLIP"</f>
        <v>MLIP</v>
      </c>
      <c r="B19443" s="6" t="s">
        <v>1</v>
      </c>
      <c r="C19443" s="6" t="s">
        <v>1</v>
      </c>
    </row>
    <row r="19444" spans="1:3" s="8" customFormat="1" x14ac:dyDescent="0.2">
      <c r="A19444" s="6" t="str">
        <f>"AL133313.1"</f>
        <v>AL133313.1</v>
      </c>
      <c r="B19444" s="6" t="s">
        <v>1</v>
      </c>
      <c r="C19444" s="6" t="s">
        <v>1</v>
      </c>
    </row>
    <row r="19445" spans="1:3" s="8" customFormat="1" x14ac:dyDescent="0.2">
      <c r="A19445" s="6" t="str">
        <f>"GABRB2"</f>
        <v>GABRB2</v>
      </c>
      <c r="B19445" s="6" t="s">
        <v>1</v>
      </c>
      <c r="C19445" s="6" t="s">
        <v>1</v>
      </c>
    </row>
    <row r="19446" spans="1:3" s="8" customFormat="1" x14ac:dyDescent="0.2">
      <c r="A19446" s="6" t="str">
        <f>"AP000769.1"</f>
        <v>AP000769.1</v>
      </c>
      <c r="B19446" s="6" t="s">
        <v>1</v>
      </c>
      <c r="C19446" s="6" t="s">
        <v>1</v>
      </c>
    </row>
    <row r="19447" spans="1:3" s="8" customFormat="1" x14ac:dyDescent="0.2">
      <c r="A19447" s="6" t="str">
        <f>"LEPR"</f>
        <v>LEPR</v>
      </c>
      <c r="B19447" s="6" t="s">
        <v>1</v>
      </c>
      <c r="C19447" s="6" t="s">
        <v>1</v>
      </c>
    </row>
    <row r="19448" spans="1:3" s="8" customFormat="1" x14ac:dyDescent="0.2">
      <c r="A19448" s="6" t="str">
        <f>"EEF1A2"</f>
        <v>EEF1A2</v>
      </c>
      <c r="B19448" s="6" t="s">
        <v>1</v>
      </c>
      <c r="C19448" s="6" t="s">
        <v>1</v>
      </c>
    </row>
    <row r="19449" spans="1:3" s="8" customFormat="1" x14ac:dyDescent="0.2">
      <c r="A19449" s="6" t="str">
        <f>"BRWD1-AS2"</f>
        <v>BRWD1-AS2</v>
      </c>
      <c r="B19449" s="6" t="s">
        <v>1</v>
      </c>
      <c r="C19449" s="6" t="s">
        <v>1</v>
      </c>
    </row>
    <row r="19450" spans="1:3" s="8" customFormat="1" x14ac:dyDescent="0.2">
      <c r="A19450" s="6" t="str">
        <f>"NDUFA4L2"</f>
        <v>NDUFA4L2</v>
      </c>
      <c r="B19450" s="6" t="s">
        <v>1</v>
      </c>
      <c r="C19450" s="6" t="s">
        <v>1</v>
      </c>
    </row>
    <row r="19451" spans="1:3" s="8" customFormat="1" x14ac:dyDescent="0.2">
      <c r="A19451" s="6" t="str">
        <f>"STX16-NPEPL1"</f>
        <v>STX16-NPEPL1</v>
      </c>
      <c r="B19451" s="6" t="s">
        <v>1</v>
      </c>
      <c r="C19451" s="6" t="s">
        <v>1</v>
      </c>
    </row>
    <row r="19452" spans="1:3" s="8" customFormat="1" x14ac:dyDescent="0.2">
      <c r="A19452" s="6" t="str">
        <f>"GRIN2D"</f>
        <v>GRIN2D</v>
      </c>
      <c r="B19452" s="6" t="s">
        <v>1</v>
      </c>
      <c r="C19452" s="6" t="s">
        <v>1</v>
      </c>
    </row>
    <row r="19453" spans="1:3" s="8" customFormat="1" x14ac:dyDescent="0.2">
      <c r="A19453" s="6" t="str">
        <f>"P2RX6"</f>
        <v>P2RX6</v>
      </c>
      <c r="B19453" s="6" t="s">
        <v>1</v>
      </c>
      <c r="C19453" s="6" t="s">
        <v>1</v>
      </c>
    </row>
    <row r="19454" spans="1:3" s="8" customFormat="1" x14ac:dyDescent="0.2">
      <c r="A19454" s="6" t="str">
        <f>"AC022413.1"</f>
        <v>AC022413.1</v>
      </c>
      <c r="B19454" s="6" t="s">
        <v>1</v>
      </c>
      <c r="C19454" s="6" t="s">
        <v>1</v>
      </c>
    </row>
    <row r="19455" spans="1:3" s="8" customFormat="1" x14ac:dyDescent="0.2">
      <c r="A19455" s="6" t="str">
        <f>"AC007342.5"</f>
        <v>AC007342.5</v>
      </c>
      <c r="B19455" s="6" t="s">
        <v>1</v>
      </c>
      <c r="C19455" s="6" t="s">
        <v>1</v>
      </c>
    </row>
    <row r="19456" spans="1:3" s="8" customFormat="1" x14ac:dyDescent="0.2">
      <c r="A19456" s="6" t="str">
        <f>"AC084212.1"</f>
        <v>AC084212.1</v>
      </c>
      <c r="B19456" s="6" t="s">
        <v>1</v>
      </c>
      <c r="C19456" s="6" t="s">
        <v>1</v>
      </c>
    </row>
    <row r="19457" spans="1:3" s="8" customFormat="1" x14ac:dyDescent="0.2">
      <c r="A19457" s="6" t="str">
        <f>"AC009690.1"</f>
        <v>AC009690.1</v>
      </c>
      <c r="B19457" s="6" t="s">
        <v>1</v>
      </c>
      <c r="C19457" s="6" t="s">
        <v>1</v>
      </c>
    </row>
    <row r="19458" spans="1:3" s="8" customFormat="1" x14ac:dyDescent="0.2">
      <c r="A19458" s="6" t="str">
        <f>"DND1"</f>
        <v>DND1</v>
      </c>
      <c r="B19458" s="6" t="s">
        <v>1</v>
      </c>
      <c r="C19458" s="6" t="s">
        <v>1</v>
      </c>
    </row>
    <row r="19459" spans="1:3" s="8" customFormat="1" x14ac:dyDescent="0.2">
      <c r="A19459" s="6" t="str">
        <f>"AC013489.1"</f>
        <v>AC013489.1</v>
      </c>
      <c r="B19459" s="6" t="s">
        <v>1</v>
      </c>
      <c r="C19459" s="6" t="s">
        <v>1</v>
      </c>
    </row>
    <row r="19460" spans="1:3" s="8" customFormat="1" x14ac:dyDescent="0.2">
      <c r="A19460" s="6" t="str">
        <f>"LOH12CR2"</f>
        <v>LOH12CR2</v>
      </c>
      <c r="B19460" s="6" t="s">
        <v>1</v>
      </c>
      <c r="C19460" s="6" t="s">
        <v>1</v>
      </c>
    </row>
    <row r="19461" spans="1:3" s="8" customFormat="1" x14ac:dyDescent="0.2">
      <c r="A19461" s="6" t="str">
        <f>"RFESD"</f>
        <v>RFESD</v>
      </c>
      <c r="B19461" s="6" t="s">
        <v>1</v>
      </c>
      <c r="C19461" s="6" t="s">
        <v>1</v>
      </c>
    </row>
    <row r="19462" spans="1:3" s="8" customFormat="1" x14ac:dyDescent="0.2">
      <c r="A19462" s="6" t="str">
        <f>"AC022929.2"</f>
        <v>AC022929.2</v>
      </c>
      <c r="B19462" s="6" t="s">
        <v>1</v>
      </c>
      <c r="C19462" s="6" t="s">
        <v>1</v>
      </c>
    </row>
    <row r="19463" spans="1:3" s="8" customFormat="1" x14ac:dyDescent="0.2">
      <c r="A19463" s="6" t="str">
        <f>"HNRNPA3P6"</f>
        <v>HNRNPA3P6</v>
      </c>
      <c r="B19463" s="6" t="s">
        <v>1</v>
      </c>
      <c r="C19463" s="6" t="s">
        <v>1</v>
      </c>
    </row>
    <row r="19464" spans="1:3" s="8" customFormat="1" x14ac:dyDescent="0.2">
      <c r="A19464" s="6" t="str">
        <f>"AC023043.1"</f>
        <v>AC023043.1</v>
      </c>
      <c r="B19464" s="6" t="s">
        <v>1</v>
      </c>
      <c r="C19464" s="6" t="s">
        <v>1</v>
      </c>
    </row>
    <row r="19465" spans="1:3" s="8" customFormat="1" x14ac:dyDescent="0.2">
      <c r="A19465" s="6" t="str">
        <f>"AC004938.2"</f>
        <v>AC004938.2</v>
      </c>
      <c r="B19465" s="6" t="s">
        <v>1</v>
      </c>
      <c r="C19465" s="6" t="s">
        <v>1</v>
      </c>
    </row>
    <row r="19466" spans="1:3" s="8" customFormat="1" x14ac:dyDescent="0.2">
      <c r="A19466" s="6" t="str">
        <f>"PTMAP5"</f>
        <v>PTMAP5</v>
      </c>
      <c r="B19466" s="6" t="s">
        <v>1</v>
      </c>
      <c r="C19466" s="6" t="s">
        <v>1</v>
      </c>
    </row>
    <row r="19467" spans="1:3" s="8" customFormat="1" x14ac:dyDescent="0.2">
      <c r="A19467" s="6" t="str">
        <f>"AC005832.4"</f>
        <v>AC005832.4</v>
      </c>
      <c r="B19467" s="6" t="s">
        <v>1</v>
      </c>
      <c r="C19467" s="6" t="s">
        <v>1</v>
      </c>
    </row>
    <row r="19468" spans="1:3" s="8" customFormat="1" x14ac:dyDescent="0.2">
      <c r="A19468" s="6" t="str">
        <f>"AC013268.1"</f>
        <v>AC013268.1</v>
      </c>
      <c r="B19468" s="6" t="s">
        <v>1</v>
      </c>
      <c r="C19468" s="6" t="s">
        <v>1</v>
      </c>
    </row>
    <row r="19469" spans="1:3" s="8" customFormat="1" x14ac:dyDescent="0.2">
      <c r="A19469" s="6" t="str">
        <f>"KLRF1"</f>
        <v>KLRF1</v>
      </c>
      <c r="B19469" s="6" t="s">
        <v>1</v>
      </c>
      <c r="C19469" s="6" t="s">
        <v>1</v>
      </c>
    </row>
    <row r="19470" spans="1:3" s="8" customFormat="1" x14ac:dyDescent="0.2">
      <c r="A19470" s="6" t="str">
        <f>"AL354718.1"</f>
        <v>AL354718.1</v>
      </c>
      <c r="B19470" s="6" t="s">
        <v>1</v>
      </c>
      <c r="C19470" s="6" t="s">
        <v>1</v>
      </c>
    </row>
    <row r="19471" spans="1:3" s="8" customFormat="1" x14ac:dyDescent="0.2">
      <c r="A19471" s="6" t="str">
        <f>"DNAJC9-AS1"</f>
        <v>DNAJC9-AS1</v>
      </c>
      <c r="B19471" s="6" t="s">
        <v>1</v>
      </c>
      <c r="C19471" s="6" t="s">
        <v>1</v>
      </c>
    </row>
    <row r="19472" spans="1:3" s="8" customFormat="1" x14ac:dyDescent="0.2">
      <c r="A19472" s="6" t="str">
        <f>"H4C8"</f>
        <v>H4C8</v>
      </c>
      <c r="B19472" s="6" t="s">
        <v>1</v>
      </c>
      <c r="C19472" s="6" t="s">
        <v>1</v>
      </c>
    </row>
    <row r="19473" spans="1:3" s="8" customFormat="1" x14ac:dyDescent="0.2">
      <c r="A19473" s="6" t="str">
        <f>"AC244153.1"</f>
        <v>AC244153.1</v>
      </c>
      <c r="B19473" s="6" t="s">
        <v>1</v>
      </c>
      <c r="C19473" s="6" t="s">
        <v>1</v>
      </c>
    </row>
    <row r="19474" spans="1:3" s="8" customFormat="1" x14ac:dyDescent="0.2">
      <c r="A19474" s="6" t="str">
        <f>"CYP27C1"</f>
        <v>CYP27C1</v>
      </c>
      <c r="B19474" s="6" t="s">
        <v>1</v>
      </c>
      <c r="C19474" s="6" t="s">
        <v>1</v>
      </c>
    </row>
    <row r="19475" spans="1:3" s="8" customFormat="1" x14ac:dyDescent="0.2">
      <c r="A19475" s="6" t="str">
        <f>"AC131649.2"</f>
        <v>AC131649.2</v>
      </c>
      <c r="B19475" s="6" t="s">
        <v>1</v>
      </c>
      <c r="C19475" s="6" t="s">
        <v>1</v>
      </c>
    </row>
    <row r="19476" spans="1:3" s="8" customFormat="1" x14ac:dyDescent="0.2">
      <c r="A19476" s="6" t="str">
        <f>"KLB"</f>
        <v>KLB</v>
      </c>
      <c r="B19476" s="6" t="s">
        <v>1</v>
      </c>
      <c r="C19476" s="6" t="s">
        <v>1</v>
      </c>
    </row>
    <row r="19477" spans="1:3" s="8" customFormat="1" x14ac:dyDescent="0.2">
      <c r="A19477" s="6" t="str">
        <f>"ZNF236-DT"</f>
        <v>ZNF236-DT</v>
      </c>
      <c r="B19477" s="6" t="s">
        <v>1</v>
      </c>
      <c r="C19477" s="6" t="s">
        <v>1</v>
      </c>
    </row>
    <row r="19478" spans="1:3" s="8" customFormat="1" x14ac:dyDescent="0.2">
      <c r="A19478" s="6" t="str">
        <f>"AC004951.2"</f>
        <v>AC004951.2</v>
      </c>
      <c r="B19478" s="6" t="s">
        <v>1</v>
      </c>
      <c r="C19478" s="6" t="s">
        <v>1</v>
      </c>
    </row>
    <row r="19479" spans="1:3" s="8" customFormat="1" x14ac:dyDescent="0.2">
      <c r="A19479" s="6" t="str">
        <f>"NOX4"</f>
        <v>NOX4</v>
      </c>
      <c r="B19479" s="6" t="s">
        <v>1</v>
      </c>
      <c r="C19479" s="6" t="s">
        <v>1</v>
      </c>
    </row>
    <row r="19480" spans="1:3" s="8" customFormat="1" x14ac:dyDescent="0.2">
      <c r="A19480" s="6" t="str">
        <f>"AL135910.1"</f>
        <v>AL135910.1</v>
      </c>
      <c r="B19480" s="6" t="s">
        <v>1</v>
      </c>
      <c r="C19480" s="6" t="s">
        <v>1</v>
      </c>
    </row>
    <row r="19481" spans="1:3" s="8" customFormat="1" x14ac:dyDescent="0.2">
      <c r="A19481" s="6" t="str">
        <f>"FAM71F2"</f>
        <v>FAM71F2</v>
      </c>
      <c r="B19481" s="6" t="s">
        <v>1</v>
      </c>
      <c r="C19481" s="6" t="s">
        <v>1</v>
      </c>
    </row>
    <row r="19482" spans="1:3" s="8" customFormat="1" x14ac:dyDescent="0.2">
      <c r="A19482" s="6" t="str">
        <f>"SHCBP1"</f>
        <v>SHCBP1</v>
      </c>
      <c r="B19482" s="6" t="s">
        <v>1</v>
      </c>
      <c r="C19482" s="6" t="s">
        <v>1</v>
      </c>
    </row>
    <row r="19483" spans="1:3" s="8" customFormat="1" x14ac:dyDescent="0.2">
      <c r="A19483" s="6" t="str">
        <f>"LINC02289"</f>
        <v>LINC02289</v>
      </c>
      <c r="B19483" s="6" t="s">
        <v>1</v>
      </c>
      <c r="C19483" s="6" t="s">
        <v>1</v>
      </c>
    </row>
    <row r="19484" spans="1:3" s="8" customFormat="1" x14ac:dyDescent="0.2">
      <c r="A19484" s="6" t="str">
        <f>"H4C11"</f>
        <v>H4C11</v>
      </c>
      <c r="B19484" s="6" t="s">
        <v>1</v>
      </c>
      <c r="C19484" s="6" t="s">
        <v>1</v>
      </c>
    </row>
    <row r="19485" spans="1:3" s="8" customFormat="1" x14ac:dyDescent="0.2">
      <c r="A19485" s="6" t="str">
        <f>"DDX43"</f>
        <v>DDX43</v>
      </c>
      <c r="B19485" s="6" t="s">
        <v>1</v>
      </c>
      <c r="C19485" s="6" t="s">
        <v>1</v>
      </c>
    </row>
    <row r="19486" spans="1:3" s="8" customFormat="1" x14ac:dyDescent="0.2">
      <c r="A19486" s="6" t="str">
        <f>"AC093484.3"</f>
        <v>AC093484.3</v>
      </c>
      <c r="B19486" s="6" t="s">
        <v>1</v>
      </c>
      <c r="C19486" s="6" t="s">
        <v>1</v>
      </c>
    </row>
    <row r="19487" spans="1:3" s="8" customFormat="1" x14ac:dyDescent="0.2">
      <c r="A19487" s="6" t="str">
        <f>"AC108063.2"</f>
        <v>AC108063.2</v>
      </c>
      <c r="B19487" s="6" t="s">
        <v>1</v>
      </c>
      <c r="C19487" s="6" t="s">
        <v>1</v>
      </c>
    </row>
    <row r="19488" spans="1:3" s="8" customFormat="1" x14ac:dyDescent="0.2">
      <c r="A19488" s="6" t="str">
        <f>"MAMDC2"</f>
        <v>MAMDC2</v>
      </c>
      <c r="B19488" s="6" t="s">
        <v>1</v>
      </c>
      <c r="C19488" s="6" t="s">
        <v>1</v>
      </c>
    </row>
    <row r="19489" spans="1:3" s="8" customFormat="1" x14ac:dyDescent="0.2">
      <c r="A19489" s="6" t="str">
        <f>"SLC29A4"</f>
        <v>SLC29A4</v>
      </c>
      <c r="B19489" s="6" t="s">
        <v>1</v>
      </c>
      <c r="C19489" s="6" t="s">
        <v>1</v>
      </c>
    </row>
    <row r="19490" spans="1:3" s="8" customFormat="1" x14ac:dyDescent="0.2">
      <c r="A19490" s="6" t="str">
        <f>"TGFB1I1"</f>
        <v>TGFB1I1</v>
      </c>
      <c r="B19490" s="6" t="s">
        <v>1</v>
      </c>
      <c r="C19490" s="6" t="s">
        <v>1</v>
      </c>
    </row>
    <row r="19491" spans="1:3" s="8" customFormat="1" x14ac:dyDescent="0.2">
      <c r="A19491" s="6" t="str">
        <f>"MAMDC4"</f>
        <v>MAMDC4</v>
      </c>
      <c r="B19491" s="6" t="s">
        <v>1</v>
      </c>
      <c r="C19491" s="6" t="s">
        <v>1</v>
      </c>
    </row>
    <row r="19492" spans="1:3" s="8" customFormat="1" x14ac:dyDescent="0.2">
      <c r="A19492" s="6" t="str">
        <f>"AP000757.1"</f>
        <v>AP000757.1</v>
      </c>
      <c r="B19492" s="6" t="s">
        <v>1</v>
      </c>
      <c r="C19492" s="6" t="s">
        <v>1</v>
      </c>
    </row>
    <row r="19493" spans="1:3" s="8" customFormat="1" x14ac:dyDescent="0.2">
      <c r="A19493" s="6" t="str">
        <f>"EDNRA"</f>
        <v>EDNRA</v>
      </c>
      <c r="B19493" s="6" t="s">
        <v>1</v>
      </c>
      <c r="C19493" s="6" t="s">
        <v>1</v>
      </c>
    </row>
    <row r="19494" spans="1:3" s="8" customFormat="1" x14ac:dyDescent="0.2">
      <c r="A19494" s="6" t="str">
        <f>"AL136295.1"</f>
        <v>AL136295.1</v>
      </c>
      <c r="B19494" s="6" t="s">
        <v>1</v>
      </c>
      <c r="C19494" s="6" t="s">
        <v>1</v>
      </c>
    </row>
    <row r="19495" spans="1:3" s="8" customFormat="1" x14ac:dyDescent="0.2">
      <c r="A19495" s="6" t="str">
        <f>"EDN1"</f>
        <v>EDN1</v>
      </c>
      <c r="B19495" s="6" t="s">
        <v>1</v>
      </c>
      <c r="C19495" s="6" t="s">
        <v>1</v>
      </c>
    </row>
    <row r="19496" spans="1:3" s="8" customFormat="1" x14ac:dyDescent="0.2">
      <c r="A19496" s="6" t="str">
        <f>"LINC00987"</f>
        <v>LINC00987</v>
      </c>
      <c r="B19496" s="6" t="s">
        <v>1</v>
      </c>
      <c r="C19496" s="6" t="s">
        <v>1</v>
      </c>
    </row>
    <row r="19497" spans="1:3" s="8" customFormat="1" x14ac:dyDescent="0.2">
      <c r="A19497" s="6" t="str">
        <f>"CASR"</f>
        <v>CASR</v>
      </c>
      <c r="B19497" s="6" t="s">
        <v>1</v>
      </c>
      <c r="C19497" s="6" t="s">
        <v>1</v>
      </c>
    </row>
    <row r="19498" spans="1:3" s="8" customFormat="1" x14ac:dyDescent="0.2">
      <c r="A19498" s="6" t="str">
        <f>"LINC02175"</f>
        <v>LINC02175</v>
      </c>
      <c r="B19498" s="6" t="s">
        <v>1</v>
      </c>
      <c r="C19498" s="6" t="s">
        <v>1</v>
      </c>
    </row>
    <row r="19499" spans="1:3" s="8" customFormat="1" x14ac:dyDescent="0.2">
      <c r="A19499" s="6" t="str">
        <f>"SLC2A1-AS1"</f>
        <v>SLC2A1-AS1</v>
      </c>
      <c r="B19499" s="6" t="s">
        <v>1</v>
      </c>
      <c r="C19499" s="6" t="s">
        <v>1</v>
      </c>
    </row>
    <row r="19500" spans="1:3" s="8" customFormat="1" x14ac:dyDescent="0.2">
      <c r="A19500" s="6" t="str">
        <f>"ALDH1L1-AS2"</f>
        <v>ALDH1L1-AS2</v>
      </c>
      <c r="B19500" s="6" t="s">
        <v>1</v>
      </c>
      <c r="C19500" s="6" t="s">
        <v>1</v>
      </c>
    </row>
    <row r="19501" spans="1:3" s="8" customFormat="1" x14ac:dyDescent="0.2">
      <c r="A19501" s="6" t="str">
        <f>"AC007405.1"</f>
        <v>AC007405.1</v>
      </c>
      <c r="B19501" s="6" t="s">
        <v>1</v>
      </c>
      <c r="C19501" s="6" t="s">
        <v>1</v>
      </c>
    </row>
    <row r="19502" spans="1:3" s="8" customFormat="1" x14ac:dyDescent="0.2">
      <c r="A19502" s="6" t="str">
        <f>"FKBP9P1"</f>
        <v>FKBP9P1</v>
      </c>
      <c r="B19502" s="6" t="s">
        <v>1</v>
      </c>
      <c r="C19502" s="6" t="s">
        <v>1</v>
      </c>
    </row>
    <row r="19503" spans="1:3" s="8" customFormat="1" x14ac:dyDescent="0.2">
      <c r="A19503" s="6" t="str">
        <f>"AP000446.1"</f>
        <v>AP000446.1</v>
      </c>
      <c r="B19503" s="6" t="s">
        <v>1</v>
      </c>
      <c r="C19503" s="6" t="s">
        <v>1</v>
      </c>
    </row>
    <row r="19504" spans="1:3" s="8" customFormat="1" x14ac:dyDescent="0.2">
      <c r="A19504" s="6" t="str">
        <f>"AL354740.1"</f>
        <v>AL354740.1</v>
      </c>
      <c r="B19504" s="6" t="s">
        <v>1</v>
      </c>
      <c r="C19504" s="6" t="s">
        <v>1</v>
      </c>
    </row>
    <row r="19505" spans="1:3" s="8" customFormat="1" x14ac:dyDescent="0.2">
      <c r="A19505" s="6" t="str">
        <f>"RAET1L"</f>
        <v>RAET1L</v>
      </c>
      <c r="B19505" s="6" t="s">
        <v>1</v>
      </c>
      <c r="C19505" s="6" t="s">
        <v>1</v>
      </c>
    </row>
    <row r="19506" spans="1:3" s="8" customFormat="1" x14ac:dyDescent="0.2">
      <c r="A19506" s="6" t="str">
        <f>"EMC3-AS1"</f>
        <v>EMC3-AS1</v>
      </c>
      <c r="B19506" s="6" t="s">
        <v>1</v>
      </c>
      <c r="C19506" s="6" t="s">
        <v>1</v>
      </c>
    </row>
    <row r="19507" spans="1:3" s="8" customFormat="1" x14ac:dyDescent="0.2">
      <c r="A19507" s="6" t="str">
        <f>"CCR6"</f>
        <v>CCR6</v>
      </c>
      <c r="B19507" s="6" t="s">
        <v>1</v>
      </c>
      <c r="C19507" s="6" t="s">
        <v>1</v>
      </c>
    </row>
    <row r="19508" spans="1:3" s="8" customFormat="1" x14ac:dyDescent="0.2">
      <c r="A19508" s="6" t="str">
        <f>"TTPA"</f>
        <v>TTPA</v>
      </c>
      <c r="B19508" s="6" t="s">
        <v>1</v>
      </c>
      <c r="C19508" s="6" t="s">
        <v>1</v>
      </c>
    </row>
    <row r="19509" spans="1:3" s="8" customFormat="1" x14ac:dyDescent="0.2">
      <c r="A19509" s="6" t="str">
        <f>"LINC00921"</f>
        <v>LINC00921</v>
      </c>
      <c r="B19509" s="6" t="s">
        <v>1</v>
      </c>
      <c r="C19509" s="6" t="s">
        <v>1</v>
      </c>
    </row>
    <row r="19510" spans="1:3" s="8" customFormat="1" x14ac:dyDescent="0.2">
      <c r="A19510" s="6" t="str">
        <f>"AC244502.1"</f>
        <v>AC244502.1</v>
      </c>
      <c r="B19510" s="6" t="s">
        <v>1</v>
      </c>
      <c r="C19510" s="6" t="s">
        <v>1</v>
      </c>
    </row>
    <row r="19511" spans="1:3" s="8" customFormat="1" x14ac:dyDescent="0.2">
      <c r="A19511" s="6" t="str">
        <f>"FXYD6"</f>
        <v>FXYD6</v>
      </c>
      <c r="B19511" s="6" t="s">
        <v>1</v>
      </c>
      <c r="C19511" s="6" t="s">
        <v>1</v>
      </c>
    </row>
    <row r="19512" spans="1:3" s="8" customFormat="1" x14ac:dyDescent="0.2">
      <c r="A19512" s="6" t="str">
        <f>"AC087203.3"</f>
        <v>AC087203.3</v>
      </c>
      <c r="B19512" s="6" t="s">
        <v>1</v>
      </c>
      <c r="C19512" s="6" t="s">
        <v>1</v>
      </c>
    </row>
    <row r="19513" spans="1:3" s="8" customFormat="1" x14ac:dyDescent="0.2">
      <c r="A19513" s="6" t="str">
        <f>"AL512353.1"</f>
        <v>AL512353.1</v>
      </c>
      <c r="B19513" s="6" t="s">
        <v>1</v>
      </c>
      <c r="C19513" s="6" t="s">
        <v>1</v>
      </c>
    </row>
    <row r="19514" spans="1:3" s="8" customFormat="1" x14ac:dyDescent="0.2">
      <c r="A19514" s="6" t="str">
        <f>"BSN"</f>
        <v>BSN</v>
      </c>
      <c r="B19514" s="6" t="s">
        <v>1</v>
      </c>
      <c r="C19514" s="6" t="s">
        <v>1</v>
      </c>
    </row>
    <row r="19515" spans="1:3" s="8" customFormat="1" x14ac:dyDescent="0.2">
      <c r="A19515" s="6" t="str">
        <f>"PABPC1P4"</f>
        <v>PABPC1P4</v>
      </c>
      <c r="B19515" s="6" t="s">
        <v>1</v>
      </c>
      <c r="C19515" s="6" t="s">
        <v>1</v>
      </c>
    </row>
    <row r="19516" spans="1:3" s="8" customFormat="1" x14ac:dyDescent="0.2">
      <c r="A19516" s="6" t="str">
        <f>"AL353743.1"</f>
        <v>AL353743.1</v>
      </c>
      <c r="B19516" s="6" t="s">
        <v>1</v>
      </c>
      <c r="C19516" s="6" t="s">
        <v>1</v>
      </c>
    </row>
    <row r="19517" spans="1:3" s="8" customFormat="1" x14ac:dyDescent="0.2">
      <c r="A19517" s="6" t="str">
        <f>"AC022167.2"</f>
        <v>AC022167.2</v>
      </c>
      <c r="B19517" s="6" t="s">
        <v>1</v>
      </c>
      <c r="C19517" s="6" t="s">
        <v>1</v>
      </c>
    </row>
    <row r="19518" spans="1:3" s="8" customFormat="1" x14ac:dyDescent="0.2">
      <c r="A19518" s="6" t="str">
        <f>"LINC01023"</f>
        <v>LINC01023</v>
      </c>
      <c r="B19518" s="6" t="s">
        <v>1</v>
      </c>
      <c r="C19518" s="6" t="s">
        <v>1</v>
      </c>
    </row>
    <row r="19519" spans="1:3" s="8" customFormat="1" x14ac:dyDescent="0.2">
      <c r="A19519" s="6" t="str">
        <f>"AL353748.3"</f>
        <v>AL353748.3</v>
      </c>
      <c r="B19519" s="6" t="s">
        <v>1</v>
      </c>
      <c r="C19519" s="6" t="s">
        <v>1</v>
      </c>
    </row>
    <row r="19520" spans="1:3" s="8" customFormat="1" x14ac:dyDescent="0.2">
      <c r="A19520" s="6" t="str">
        <f>"INHBA"</f>
        <v>INHBA</v>
      </c>
      <c r="B19520" s="6" t="s">
        <v>1</v>
      </c>
      <c r="C19520" s="6" t="s">
        <v>1</v>
      </c>
    </row>
    <row r="19521" spans="1:3" s="8" customFormat="1" x14ac:dyDescent="0.2">
      <c r="A19521" s="6" t="str">
        <f>"CEBPA-DT"</f>
        <v>CEBPA-DT</v>
      </c>
      <c r="B19521" s="6" t="s">
        <v>1</v>
      </c>
      <c r="C19521" s="6" t="s">
        <v>1</v>
      </c>
    </row>
    <row r="19522" spans="1:3" s="8" customFormat="1" x14ac:dyDescent="0.2">
      <c r="A19522" s="6" t="str">
        <f>"GPR173"</f>
        <v>GPR173</v>
      </c>
      <c r="B19522" s="6" t="s">
        <v>1</v>
      </c>
      <c r="C19522" s="6" t="s">
        <v>1</v>
      </c>
    </row>
    <row r="19523" spans="1:3" s="8" customFormat="1" x14ac:dyDescent="0.2">
      <c r="A19523" s="6" t="str">
        <f>"AL135999.1"</f>
        <v>AL135999.1</v>
      </c>
      <c r="B19523" s="6" t="s">
        <v>1</v>
      </c>
      <c r="C19523" s="6" t="s">
        <v>1</v>
      </c>
    </row>
    <row r="19524" spans="1:3" s="8" customFormat="1" x14ac:dyDescent="0.2">
      <c r="A19524" s="6" t="str">
        <f>"EXTL3-AS1"</f>
        <v>EXTL3-AS1</v>
      </c>
      <c r="B19524" s="6" t="s">
        <v>1</v>
      </c>
      <c r="C19524" s="6" t="s">
        <v>1</v>
      </c>
    </row>
    <row r="19525" spans="1:3" s="8" customFormat="1" x14ac:dyDescent="0.2">
      <c r="A19525" s="6" t="str">
        <f>"NXF3"</f>
        <v>NXF3</v>
      </c>
      <c r="B19525" s="6" t="s">
        <v>1</v>
      </c>
      <c r="C19525" s="6" t="s">
        <v>1</v>
      </c>
    </row>
    <row r="19526" spans="1:3" s="8" customFormat="1" x14ac:dyDescent="0.2">
      <c r="A19526" s="6" t="str">
        <f>"KLRB1"</f>
        <v>KLRB1</v>
      </c>
      <c r="B19526" s="6" t="s">
        <v>1</v>
      </c>
      <c r="C19526" s="6" t="s">
        <v>1</v>
      </c>
    </row>
    <row r="19527" spans="1:3" s="8" customFormat="1" x14ac:dyDescent="0.2">
      <c r="A19527" s="6" t="str">
        <f>"ZNF233"</f>
        <v>ZNF233</v>
      </c>
      <c r="B19527" s="6" t="s">
        <v>1</v>
      </c>
      <c r="C19527" s="6" t="s">
        <v>1</v>
      </c>
    </row>
    <row r="19528" spans="1:3" s="8" customFormat="1" x14ac:dyDescent="0.2">
      <c r="A19528" s="6" t="str">
        <f>"AC022826.2"</f>
        <v>AC022826.2</v>
      </c>
      <c r="B19528" s="6" t="s">
        <v>1</v>
      </c>
      <c r="C19528" s="6" t="s">
        <v>1</v>
      </c>
    </row>
    <row r="19529" spans="1:3" s="8" customFormat="1" x14ac:dyDescent="0.2">
      <c r="A19529" s="6" t="str">
        <f>"AL031058.1"</f>
        <v>AL031058.1</v>
      </c>
      <c r="B19529" s="6" t="s">
        <v>1</v>
      </c>
      <c r="C19529" s="6" t="s">
        <v>1</v>
      </c>
    </row>
    <row r="19530" spans="1:3" s="8" customFormat="1" x14ac:dyDescent="0.2">
      <c r="A19530" s="6" t="str">
        <f>"LMOD1"</f>
        <v>LMOD1</v>
      </c>
      <c r="B19530" s="6" t="s">
        <v>1</v>
      </c>
      <c r="C19530" s="6" t="s">
        <v>1</v>
      </c>
    </row>
    <row r="19531" spans="1:3" s="8" customFormat="1" x14ac:dyDescent="0.2">
      <c r="A19531" s="6" t="str">
        <f>"AC254633.1"</f>
        <v>AC254633.1</v>
      </c>
      <c r="B19531" s="6" t="s">
        <v>1</v>
      </c>
      <c r="C19531" s="6" t="s">
        <v>1</v>
      </c>
    </row>
    <row r="19532" spans="1:3" s="8" customFormat="1" x14ac:dyDescent="0.2">
      <c r="A19532" s="6" t="str">
        <f>"AC009533.1"</f>
        <v>AC009533.1</v>
      </c>
      <c r="B19532" s="6" t="s">
        <v>1</v>
      </c>
      <c r="C19532" s="6" t="s">
        <v>1</v>
      </c>
    </row>
    <row r="19533" spans="1:3" s="8" customFormat="1" x14ac:dyDescent="0.2">
      <c r="A19533" s="6" t="str">
        <f>"IGFBPL1"</f>
        <v>IGFBPL1</v>
      </c>
      <c r="B19533" s="6" t="s">
        <v>1</v>
      </c>
      <c r="C19533" s="6" t="s">
        <v>1</v>
      </c>
    </row>
    <row r="19534" spans="1:3" s="8" customFormat="1" x14ac:dyDescent="0.2">
      <c r="A19534" s="6" t="str">
        <f>"PTPRD"</f>
        <v>PTPRD</v>
      </c>
      <c r="B19534" s="6" t="s">
        <v>1</v>
      </c>
      <c r="C19534" s="6" t="s">
        <v>1</v>
      </c>
    </row>
    <row r="19535" spans="1:3" s="8" customFormat="1" x14ac:dyDescent="0.2">
      <c r="A19535" s="6" t="str">
        <f>"LDB3"</f>
        <v>LDB3</v>
      </c>
      <c r="B19535" s="6" t="s">
        <v>1</v>
      </c>
      <c r="C19535" s="6" t="s">
        <v>1</v>
      </c>
    </row>
    <row r="19536" spans="1:3" s="8" customFormat="1" x14ac:dyDescent="0.2">
      <c r="A19536" s="6" t="str">
        <f>"C2CD4D-AS1"</f>
        <v>C2CD4D-AS1</v>
      </c>
      <c r="B19536" s="6" t="s">
        <v>1</v>
      </c>
      <c r="C19536" s="6" t="s">
        <v>1</v>
      </c>
    </row>
    <row r="19537" spans="1:3" s="8" customFormat="1" x14ac:dyDescent="0.2">
      <c r="A19537" s="6" t="str">
        <f>"LINC00960"</f>
        <v>LINC00960</v>
      </c>
      <c r="B19537" s="6" t="s">
        <v>1</v>
      </c>
      <c r="C19537" s="6" t="s">
        <v>1</v>
      </c>
    </row>
    <row r="19538" spans="1:3" s="8" customFormat="1" x14ac:dyDescent="0.2">
      <c r="A19538" s="6" t="str">
        <f>"OXER1"</f>
        <v>OXER1</v>
      </c>
      <c r="B19538" s="6" t="s">
        <v>1</v>
      </c>
      <c r="C19538" s="6" t="s">
        <v>1</v>
      </c>
    </row>
    <row r="19539" spans="1:3" s="8" customFormat="1" x14ac:dyDescent="0.2">
      <c r="A19539" s="6" t="str">
        <f>"LINC01144"</f>
        <v>LINC01144</v>
      </c>
      <c r="B19539" s="6" t="s">
        <v>1</v>
      </c>
      <c r="C19539" s="6" t="s">
        <v>1</v>
      </c>
    </row>
    <row r="19540" spans="1:3" s="8" customFormat="1" x14ac:dyDescent="0.2">
      <c r="A19540" s="6" t="str">
        <f>"LINC00964"</f>
        <v>LINC00964</v>
      </c>
      <c r="B19540" s="6" t="s">
        <v>1</v>
      </c>
      <c r="C19540" s="6" t="s">
        <v>1</v>
      </c>
    </row>
    <row r="19541" spans="1:3" s="8" customFormat="1" x14ac:dyDescent="0.2">
      <c r="A19541" s="6" t="str">
        <f>"GPR34"</f>
        <v>GPR34</v>
      </c>
      <c r="B19541" s="6" t="s">
        <v>1</v>
      </c>
      <c r="C19541" s="6" t="s">
        <v>1</v>
      </c>
    </row>
    <row r="19542" spans="1:3" s="8" customFormat="1" x14ac:dyDescent="0.2">
      <c r="A19542" s="6" t="str">
        <f>"KCNJ16"</f>
        <v>KCNJ16</v>
      </c>
      <c r="B19542" s="6" t="s">
        <v>1</v>
      </c>
      <c r="C19542" s="6" t="s">
        <v>1</v>
      </c>
    </row>
    <row r="19543" spans="1:3" s="8" customFormat="1" x14ac:dyDescent="0.2">
      <c r="A19543" s="6" t="str">
        <f>"HNRNPA1P48"</f>
        <v>HNRNPA1P48</v>
      </c>
      <c r="B19543" s="6" t="s">
        <v>1</v>
      </c>
      <c r="C19543" s="6" t="s">
        <v>1</v>
      </c>
    </row>
    <row r="19544" spans="1:3" s="8" customFormat="1" x14ac:dyDescent="0.2">
      <c r="A19544" s="6" t="str">
        <f>"MIRLET7A1HG"</f>
        <v>MIRLET7A1HG</v>
      </c>
      <c r="B19544" s="6" t="s">
        <v>1</v>
      </c>
      <c r="C19544" s="6" t="s">
        <v>1</v>
      </c>
    </row>
    <row r="19545" spans="1:3" s="8" customFormat="1" x14ac:dyDescent="0.2">
      <c r="A19545" s="6" t="str">
        <f>"PTPRB"</f>
        <v>PTPRB</v>
      </c>
      <c r="B19545" s="6" t="s">
        <v>1</v>
      </c>
      <c r="C19545" s="6" t="s">
        <v>1</v>
      </c>
    </row>
    <row r="19546" spans="1:3" s="8" customFormat="1" x14ac:dyDescent="0.2">
      <c r="A19546" s="6" t="str">
        <f>"UGT1A1"</f>
        <v>UGT1A1</v>
      </c>
      <c r="B19546" s="6" t="s">
        <v>1</v>
      </c>
      <c r="C19546" s="6" t="s">
        <v>1</v>
      </c>
    </row>
    <row r="19547" spans="1:3" s="8" customFormat="1" x14ac:dyDescent="0.2">
      <c r="A19547" s="6" t="str">
        <f>"MYH3"</f>
        <v>MYH3</v>
      </c>
      <c r="B19547" s="6" t="s">
        <v>1</v>
      </c>
      <c r="C19547" s="6" t="s">
        <v>1</v>
      </c>
    </row>
    <row r="19548" spans="1:3" s="8" customFormat="1" x14ac:dyDescent="0.2">
      <c r="A19548" s="6" t="str">
        <f>"LENG8-AS1"</f>
        <v>LENG8-AS1</v>
      </c>
      <c r="B19548" s="6" t="s">
        <v>1</v>
      </c>
      <c r="C19548" s="6" t="s">
        <v>1</v>
      </c>
    </row>
    <row r="19549" spans="1:3" s="8" customFormat="1" x14ac:dyDescent="0.2">
      <c r="A19549" s="6" t="str">
        <f>"CCNE1"</f>
        <v>CCNE1</v>
      </c>
      <c r="B19549" s="6" t="s">
        <v>1</v>
      </c>
      <c r="C19549" s="6" t="s">
        <v>1</v>
      </c>
    </row>
    <row r="19550" spans="1:3" s="8" customFormat="1" x14ac:dyDescent="0.2">
      <c r="A19550" s="6" t="str">
        <f>"CEBPB-AS1"</f>
        <v>CEBPB-AS1</v>
      </c>
      <c r="B19550" s="6" t="s">
        <v>1</v>
      </c>
      <c r="C19550" s="6" t="s">
        <v>1</v>
      </c>
    </row>
    <row r="19551" spans="1:3" s="8" customFormat="1" x14ac:dyDescent="0.2">
      <c r="A19551" s="6" t="str">
        <f>"MCOLN3"</f>
        <v>MCOLN3</v>
      </c>
      <c r="B19551" s="6" t="s">
        <v>1</v>
      </c>
      <c r="C19551" s="6" t="s">
        <v>1</v>
      </c>
    </row>
    <row r="19552" spans="1:3" s="8" customFormat="1" x14ac:dyDescent="0.2">
      <c r="A19552" s="6" t="str">
        <f>"GIMAP2"</f>
        <v>GIMAP2</v>
      </c>
      <c r="B19552" s="6" t="s">
        <v>1</v>
      </c>
      <c r="C19552" s="6" t="s">
        <v>1</v>
      </c>
    </row>
    <row r="19553" spans="1:3" s="8" customFormat="1" x14ac:dyDescent="0.2">
      <c r="A19553" s="6" t="str">
        <f>"COA6-AS1"</f>
        <v>COA6-AS1</v>
      </c>
      <c r="B19553" s="6" t="s">
        <v>1</v>
      </c>
      <c r="C19553" s="6" t="s">
        <v>1</v>
      </c>
    </row>
    <row r="19554" spans="1:3" s="8" customFormat="1" x14ac:dyDescent="0.2">
      <c r="A19554" s="6" t="str">
        <f>"NPIPB14P"</f>
        <v>NPIPB14P</v>
      </c>
      <c r="B19554" s="6" t="s">
        <v>1</v>
      </c>
      <c r="C19554" s="6" t="s">
        <v>1</v>
      </c>
    </row>
    <row r="19555" spans="1:3" s="8" customFormat="1" x14ac:dyDescent="0.2">
      <c r="A19555" s="6" t="str">
        <f>"DGCR11"</f>
        <v>DGCR11</v>
      </c>
      <c r="B19555" s="6" t="s">
        <v>1</v>
      </c>
      <c r="C19555" s="6" t="s">
        <v>1</v>
      </c>
    </row>
    <row r="19556" spans="1:3" s="8" customFormat="1" x14ac:dyDescent="0.2">
      <c r="A19556" s="6" t="str">
        <f>"LINC02021"</f>
        <v>LINC02021</v>
      </c>
      <c r="B19556" s="6" t="s">
        <v>1</v>
      </c>
      <c r="C19556" s="6" t="s">
        <v>1</v>
      </c>
    </row>
    <row r="19557" spans="1:3" s="8" customFormat="1" x14ac:dyDescent="0.2">
      <c r="A19557" s="6" t="str">
        <f>"SALL4"</f>
        <v>SALL4</v>
      </c>
      <c r="B19557" s="6" t="s">
        <v>1</v>
      </c>
      <c r="C19557" s="6" t="s">
        <v>1</v>
      </c>
    </row>
    <row r="19558" spans="1:3" s="8" customFormat="1" x14ac:dyDescent="0.2">
      <c r="A19558" s="6" t="str">
        <f>"DNAJC5B"</f>
        <v>DNAJC5B</v>
      </c>
      <c r="B19558" s="6" t="s">
        <v>1</v>
      </c>
      <c r="C19558" s="6" t="s">
        <v>1</v>
      </c>
    </row>
    <row r="19559" spans="1:3" s="8" customFormat="1" x14ac:dyDescent="0.2">
      <c r="A19559" s="6" t="str">
        <f>"AC084809.1"</f>
        <v>AC084809.1</v>
      </c>
      <c r="B19559" s="6" t="s">
        <v>1</v>
      </c>
      <c r="C19559" s="6" t="s">
        <v>1</v>
      </c>
    </row>
    <row r="19560" spans="1:3" s="8" customFormat="1" x14ac:dyDescent="0.2">
      <c r="A19560" s="6" t="str">
        <f>"SLC25A47P1"</f>
        <v>SLC25A47P1</v>
      </c>
      <c r="B19560" s="6" t="s">
        <v>1</v>
      </c>
      <c r="C19560" s="6" t="s">
        <v>1</v>
      </c>
    </row>
    <row r="19561" spans="1:3" s="8" customFormat="1" x14ac:dyDescent="0.2">
      <c r="A19561" s="6" t="str">
        <f>"TTC41P"</f>
        <v>TTC41P</v>
      </c>
      <c r="B19561" s="6" t="s">
        <v>1</v>
      </c>
      <c r="C19561" s="6" t="s">
        <v>1</v>
      </c>
    </row>
    <row r="19562" spans="1:3" s="8" customFormat="1" x14ac:dyDescent="0.2">
      <c r="A19562" s="6" t="str">
        <f>"KLK8"</f>
        <v>KLK8</v>
      </c>
      <c r="B19562" s="6" t="s">
        <v>1</v>
      </c>
      <c r="C19562" s="6" t="s">
        <v>1</v>
      </c>
    </row>
    <row r="19563" spans="1:3" s="8" customFormat="1" x14ac:dyDescent="0.2">
      <c r="A19563" s="6" t="str">
        <f>"AC004854.2"</f>
        <v>AC004854.2</v>
      </c>
      <c r="B19563" s="6" t="s">
        <v>1</v>
      </c>
      <c r="C19563" s="6" t="s">
        <v>1</v>
      </c>
    </row>
    <row r="19564" spans="1:3" s="8" customFormat="1" x14ac:dyDescent="0.2">
      <c r="A19564" s="6" t="str">
        <f>"AL441992.1"</f>
        <v>AL441992.1</v>
      </c>
      <c r="B19564" s="6" t="s">
        <v>1</v>
      </c>
      <c r="C19564" s="6" t="s">
        <v>1</v>
      </c>
    </row>
    <row r="19565" spans="1:3" s="8" customFormat="1" x14ac:dyDescent="0.2">
      <c r="A19565" s="6" t="str">
        <f>"DEFB103A"</f>
        <v>DEFB103A</v>
      </c>
      <c r="B19565" s="6" t="s">
        <v>1</v>
      </c>
      <c r="C19565" s="6" t="s">
        <v>1</v>
      </c>
    </row>
    <row r="19566" spans="1:3" s="8" customFormat="1" x14ac:dyDescent="0.2">
      <c r="A19566" s="6" t="str">
        <f>"FAM86B2"</f>
        <v>FAM86B2</v>
      </c>
      <c r="B19566" s="6" t="s">
        <v>1</v>
      </c>
      <c r="C19566" s="6" t="s">
        <v>1</v>
      </c>
    </row>
    <row r="19567" spans="1:3" s="8" customFormat="1" x14ac:dyDescent="0.2">
      <c r="A19567" s="6" t="str">
        <f>"FATE1"</f>
        <v>FATE1</v>
      </c>
      <c r="B19567" s="6" t="s">
        <v>1</v>
      </c>
      <c r="C19567" s="6" t="s">
        <v>1</v>
      </c>
    </row>
    <row r="19568" spans="1:3" s="8" customFormat="1" x14ac:dyDescent="0.2">
      <c r="A19568" s="6" t="str">
        <f>"H4-16"</f>
        <v>H4-16</v>
      </c>
      <c r="B19568" s="6" t="s">
        <v>1</v>
      </c>
      <c r="C19568" s="6" t="s">
        <v>1</v>
      </c>
    </row>
    <row r="19569" spans="1:3" s="8" customFormat="1" x14ac:dyDescent="0.2">
      <c r="A19569" s="6" t="str">
        <f>"CHRNA10"</f>
        <v>CHRNA10</v>
      </c>
      <c r="B19569" s="6" t="s">
        <v>1</v>
      </c>
      <c r="C19569" s="6" t="s">
        <v>1</v>
      </c>
    </row>
    <row r="19570" spans="1:3" s="8" customFormat="1" x14ac:dyDescent="0.2">
      <c r="A19570" s="6" t="str">
        <f>"AL353747.3"</f>
        <v>AL353747.3</v>
      </c>
      <c r="B19570" s="6" t="s">
        <v>1</v>
      </c>
      <c r="C19570" s="6" t="s">
        <v>1</v>
      </c>
    </row>
    <row r="19571" spans="1:3" s="8" customFormat="1" x14ac:dyDescent="0.2">
      <c r="A19571" s="6" t="str">
        <f>"MIR9-3HG"</f>
        <v>MIR9-3HG</v>
      </c>
      <c r="B19571" s="6" t="s">
        <v>1</v>
      </c>
      <c r="C19571" s="6" t="s">
        <v>1</v>
      </c>
    </row>
    <row r="19572" spans="1:3" s="8" customFormat="1" x14ac:dyDescent="0.2">
      <c r="A19572" s="6" t="str">
        <f>"LINC01018"</f>
        <v>LINC01018</v>
      </c>
      <c r="B19572" s="6" t="s">
        <v>1</v>
      </c>
      <c r="C19572" s="6" t="s">
        <v>1</v>
      </c>
    </row>
    <row r="19573" spans="1:3" s="8" customFormat="1" x14ac:dyDescent="0.2">
      <c r="A19573" s="6" t="str">
        <f>"CRX"</f>
        <v>CRX</v>
      </c>
      <c r="B19573" s="6" t="s">
        <v>1</v>
      </c>
      <c r="C19573" s="6" t="s">
        <v>1</v>
      </c>
    </row>
    <row r="19574" spans="1:3" s="8" customFormat="1" x14ac:dyDescent="0.2">
      <c r="A19574" s="6" t="str">
        <f>"SHC4"</f>
        <v>SHC4</v>
      </c>
      <c r="B19574" s="6" t="s">
        <v>1</v>
      </c>
      <c r="C19574" s="6" t="s">
        <v>1</v>
      </c>
    </row>
    <row r="19575" spans="1:3" s="8" customFormat="1" x14ac:dyDescent="0.2">
      <c r="A19575" s="6" t="str">
        <f>"LINC02055"</f>
        <v>LINC02055</v>
      </c>
      <c r="B19575" s="6" t="s">
        <v>1</v>
      </c>
      <c r="C19575" s="6" t="s">
        <v>1</v>
      </c>
    </row>
    <row r="19576" spans="1:3" s="8" customFormat="1" x14ac:dyDescent="0.2">
      <c r="A19576" s="6" t="str">
        <f>"CYP2D7"</f>
        <v>CYP2D7</v>
      </c>
      <c r="B19576" s="6" t="s">
        <v>1</v>
      </c>
      <c r="C19576" s="6" t="s">
        <v>1</v>
      </c>
    </row>
    <row r="19577" spans="1:3" s="8" customFormat="1" x14ac:dyDescent="0.2">
      <c r="A19577" s="6" t="str">
        <f>"LINC00939"</f>
        <v>LINC00939</v>
      </c>
      <c r="B19577" s="6" t="s">
        <v>1</v>
      </c>
      <c r="C19577" s="6" t="s">
        <v>1</v>
      </c>
    </row>
    <row r="19578" spans="1:3" s="8" customFormat="1" x14ac:dyDescent="0.2">
      <c r="A19578" s="6" t="str">
        <f>"FMN2"</f>
        <v>FMN2</v>
      </c>
      <c r="B19578" s="6" t="s">
        <v>1</v>
      </c>
      <c r="C19578" s="6" t="s">
        <v>1</v>
      </c>
    </row>
    <row r="19579" spans="1:3" s="8" customFormat="1" x14ac:dyDescent="0.2">
      <c r="A19579" s="6" t="str">
        <f>"NOX1"</f>
        <v>NOX1</v>
      </c>
      <c r="B19579" s="6" t="s">
        <v>1</v>
      </c>
      <c r="C19579" s="6" t="s">
        <v>1</v>
      </c>
    </row>
    <row r="19580" spans="1:3" s="8" customFormat="1" x14ac:dyDescent="0.2">
      <c r="A19580" s="6" t="str">
        <f>"AC093673.1"</f>
        <v>AC093673.1</v>
      </c>
      <c r="B19580" s="6" t="s">
        <v>1</v>
      </c>
      <c r="C19580" s="6" t="s">
        <v>1</v>
      </c>
    </row>
    <row r="19581" spans="1:3" s="8" customFormat="1" x14ac:dyDescent="0.2">
      <c r="A19581" s="6" t="str">
        <f>"H3C6"</f>
        <v>H3C6</v>
      </c>
      <c r="B19581" s="6" t="s">
        <v>1</v>
      </c>
      <c r="C19581" s="6" t="s">
        <v>1</v>
      </c>
    </row>
    <row r="19582" spans="1:3" s="8" customFormat="1" x14ac:dyDescent="0.2">
      <c r="A19582" s="6" t="str">
        <f>"AC108047.1"</f>
        <v>AC108047.1</v>
      </c>
      <c r="B19582" s="6" t="s">
        <v>1</v>
      </c>
      <c r="C19582" s="6" t="s">
        <v>1</v>
      </c>
    </row>
    <row r="19583" spans="1:3" s="8" customFormat="1" x14ac:dyDescent="0.2">
      <c r="A19583" s="6" t="str">
        <f>"LCE3D"</f>
        <v>LCE3D</v>
      </c>
      <c r="B19583" s="6" t="s">
        <v>1</v>
      </c>
      <c r="C19583" s="6" t="s">
        <v>1</v>
      </c>
    </row>
    <row r="19584" spans="1:3" s="8" customFormat="1" x14ac:dyDescent="0.2">
      <c r="A19584" s="6" t="str">
        <f>"PLEKHA8P1"</f>
        <v>PLEKHA8P1</v>
      </c>
      <c r="B19584" s="6" t="s">
        <v>1</v>
      </c>
      <c r="C19584" s="6" t="s">
        <v>1</v>
      </c>
    </row>
    <row r="19585" spans="1:3" s="8" customFormat="1" x14ac:dyDescent="0.2">
      <c r="A19585" s="6" t="str">
        <f>"AC009812.1"</f>
        <v>AC009812.1</v>
      </c>
      <c r="B19585" s="6" t="s">
        <v>1</v>
      </c>
      <c r="C19585" s="6" t="s">
        <v>1</v>
      </c>
    </row>
    <row r="19586" spans="1:3" s="8" customFormat="1" x14ac:dyDescent="0.2">
      <c r="A19586" s="6" t="str">
        <f>"LINC01160"</f>
        <v>LINC01160</v>
      </c>
      <c r="B19586" s="6" t="s">
        <v>1</v>
      </c>
      <c r="C19586" s="6" t="s">
        <v>1</v>
      </c>
    </row>
    <row r="19587" spans="1:3" s="8" customFormat="1" x14ac:dyDescent="0.2">
      <c r="A19587" s="6" t="str">
        <f>"LINC01226"</f>
        <v>LINC01226</v>
      </c>
      <c r="B19587" s="6" t="s">
        <v>1</v>
      </c>
      <c r="C19587" s="6" t="s">
        <v>1</v>
      </c>
    </row>
    <row r="19588" spans="1:3" s="8" customFormat="1" x14ac:dyDescent="0.2">
      <c r="A19588" s="6" t="str">
        <f>"ADGRG5"</f>
        <v>ADGRG5</v>
      </c>
      <c r="B19588" s="6" t="s">
        <v>1</v>
      </c>
      <c r="C19588" s="6" t="s">
        <v>1</v>
      </c>
    </row>
    <row r="19589" spans="1:3" s="8" customFormat="1" x14ac:dyDescent="0.2">
      <c r="A19589" s="6" t="str">
        <f>"KCNG1"</f>
        <v>KCNG1</v>
      </c>
      <c r="B19589" s="6" t="s">
        <v>1</v>
      </c>
      <c r="C19589" s="6" t="s">
        <v>1</v>
      </c>
    </row>
    <row r="19590" spans="1:3" s="8" customFormat="1" x14ac:dyDescent="0.2">
      <c r="A19590" s="6" t="str">
        <f>"AL441883.1"</f>
        <v>AL441883.1</v>
      </c>
      <c r="B19590" s="6" t="s">
        <v>1</v>
      </c>
      <c r="C19590" s="6" t="s">
        <v>1</v>
      </c>
    </row>
    <row r="19591" spans="1:3" s="8" customFormat="1" x14ac:dyDescent="0.2">
      <c r="A19591" s="6" t="str">
        <f>"LINC01186"</f>
        <v>LINC01186</v>
      </c>
      <c r="B19591" s="6" t="s">
        <v>1</v>
      </c>
      <c r="C19591" s="6" t="s">
        <v>1</v>
      </c>
    </row>
    <row r="19592" spans="1:3" s="8" customFormat="1" x14ac:dyDescent="0.2">
      <c r="A19592" s="6" t="str">
        <f>"PTOV1-AS1"</f>
        <v>PTOV1-AS1</v>
      </c>
      <c r="B19592" s="6" t="s">
        <v>1</v>
      </c>
      <c r="C19592" s="6" t="s">
        <v>1</v>
      </c>
    </row>
    <row r="19593" spans="1:3" s="8" customFormat="1" x14ac:dyDescent="0.2">
      <c r="A19593" s="6" t="str">
        <f>"MYO15A"</f>
        <v>MYO15A</v>
      </c>
      <c r="B19593" s="6" t="s">
        <v>1</v>
      </c>
      <c r="C19593" s="6" t="s">
        <v>1</v>
      </c>
    </row>
    <row r="19594" spans="1:3" s="8" customFormat="1" x14ac:dyDescent="0.2">
      <c r="A19594" s="6" t="str">
        <f>"MCPH1-AS1"</f>
        <v>MCPH1-AS1</v>
      </c>
      <c r="B19594" s="6" t="s">
        <v>1</v>
      </c>
      <c r="C19594" s="6" t="s">
        <v>1</v>
      </c>
    </row>
    <row r="19595" spans="1:3" s="8" customFormat="1" x14ac:dyDescent="0.2">
      <c r="A19595" s="6" t="str">
        <f>"KCNE4"</f>
        <v>KCNE4</v>
      </c>
      <c r="B19595" s="6" t="s">
        <v>1</v>
      </c>
      <c r="C19595" s="6" t="s">
        <v>1</v>
      </c>
    </row>
    <row r="19596" spans="1:3" s="8" customFormat="1" x14ac:dyDescent="0.2">
      <c r="A19596" s="6" t="str">
        <f>"OAZ3"</f>
        <v>OAZ3</v>
      </c>
      <c r="B19596" s="6" t="s">
        <v>1</v>
      </c>
      <c r="C19596" s="6" t="s">
        <v>1</v>
      </c>
    </row>
    <row r="19597" spans="1:3" s="8" customFormat="1" x14ac:dyDescent="0.2">
      <c r="A19597" s="6" t="str">
        <f>"P2RY6"</f>
        <v>P2RY6</v>
      </c>
      <c r="B19597" s="6" t="s">
        <v>1</v>
      </c>
      <c r="C19597" s="6" t="s">
        <v>1</v>
      </c>
    </row>
    <row r="19598" spans="1:3" s="8" customFormat="1" x14ac:dyDescent="0.2">
      <c r="A19598" s="6" t="str">
        <f>"GIMAP8"</f>
        <v>GIMAP8</v>
      </c>
      <c r="B19598" s="6" t="s">
        <v>1</v>
      </c>
      <c r="C19598" s="6" t="s">
        <v>1</v>
      </c>
    </row>
    <row r="19599" spans="1:3" s="8" customFormat="1" x14ac:dyDescent="0.2">
      <c r="A19599" s="6" t="str">
        <f>"AC004890.2"</f>
        <v>AC004890.2</v>
      </c>
      <c r="B19599" s="6" t="s">
        <v>1</v>
      </c>
      <c r="C19599" s="6" t="s">
        <v>1</v>
      </c>
    </row>
    <row r="19600" spans="1:3" s="8" customFormat="1" x14ac:dyDescent="0.2">
      <c r="A19600" s="6" t="str">
        <f>"GABRA3"</f>
        <v>GABRA3</v>
      </c>
      <c r="B19600" s="6" t="s">
        <v>1</v>
      </c>
      <c r="C19600" s="6" t="s">
        <v>1</v>
      </c>
    </row>
    <row r="19601" spans="1:3" s="8" customFormat="1" x14ac:dyDescent="0.2">
      <c r="A19601" s="6" t="str">
        <f>"ADGRL3"</f>
        <v>ADGRL3</v>
      </c>
      <c r="B19601" s="6" t="s">
        <v>1</v>
      </c>
      <c r="C19601" s="6" t="s">
        <v>1</v>
      </c>
    </row>
    <row r="19602" spans="1:3" s="8" customFormat="1" x14ac:dyDescent="0.2">
      <c r="A19602" s="6" t="str">
        <f>"AC093157.1"</f>
        <v>AC093157.1</v>
      </c>
      <c r="B19602" s="6" t="s">
        <v>1</v>
      </c>
      <c r="C19602" s="6" t="s">
        <v>1</v>
      </c>
    </row>
    <row r="19603" spans="1:3" s="8" customFormat="1" x14ac:dyDescent="0.2">
      <c r="A19603" s="6" t="str">
        <f>"CNTNAP3P2"</f>
        <v>CNTNAP3P2</v>
      </c>
      <c r="B19603" s="6" t="s">
        <v>1</v>
      </c>
      <c r="C19603" s="6" t="s">
        <v>1</v>
      </c>
    </row>
    <row r="19604" spans="1:3" s="8" customFormat="1" x14ac:dyDescent="0.2">
      <c r="A19604" s="6" t="str">
        <f>"P2RX1"</f>
        <v>P2RX1</v>
      </c>
      <c r="B19604" s="6" t="s">
        <v>1</v>
      </c>
      <c r="C19604" s="6" t="s">
        <v>1</v>
      </c>
    </row>
    <row r="19605" spans="1:3" s="8" customFormat="1" x14ac:dyDescent="0.2">
      <c r="A19605" s="6" t="str">
        <f>"PDCD4-AS1"</f>
        <v>PDCD4-AS1</v>
      </c>
      <c r="B19605" s="6" t="s">
        <v>1</v>
      </c>
      <c r="C19605" s="6" t="s">
        <v>1</v>
      </c>
    </row>
    <row r="19606" spans="1:3" s="8" customFormat="1" x14ac:dyDescent="0.2">
      <c r="A19606" s="6" t="str">
        <f>"AC245407.2"</f>
        <v>AC245407.2</v>
      </c>
      <c r="B19606" s="6" t="s">
        <v>1</v>
      </c>
      <c r="C19606" s="6" t="s">
        <v>1</v>
      </c>
    </row>
    <row r="19607" spans="1:3" s="8" customFormat="1" x14ac:dyDescent="0.2">
      <c r="A19607" s="6" t="str">
        <f>"HAP1"</f>
        <v>HAP1</v>
      </c>
      <c r="B19607" s="6" t="s">
        <v>1</v>
      </c>
      <c r="C19607" s="6" t="s">
        <v>1</v>
      </c>
    </row>
    <row r="19608" spans="1:3" s="8" customFormat="1" x14ac:dyDescent="0.2">
      <c r="A19608" s="6" t="str">
        <f>"B4GALT1-AS1"</f>
        <v>B4GALT1-AS1</v>
      </c>
      <c r="B19608" s="6" t="s">
        <v>1</v>
      </c>
      <c r="C19608" s="6" t="s">
        <v>1</v>
      </c>
    </row>
    <row r="19609" spans="1:3" s="8" customFormat="1" x14ac:dyDescent="0.2">
      <c r="A19609" s="6" t="str">
        <f>"SAA4"</f>
        <v>SAA4</v>
      </c>
      <c r="B19609" s="6" t="s">
        <v>1</v>
      </c>
      <c r="C19609" s="6" t="s">
        <v>1</v>
      </c>
    </row>
    <row r="19610" spans="1:3" s="8" customFormat="1" x14ac:dyDescent="0.2">
      <c r="A19610" s="6" t="str">
        <f>"LNCOC1"</f>
        <v>LNCOC1</v>
      </c>
      <c r="B19610" s="6" t="s">
        <v>1</v>
      </c>
      <c r="C19610" s="6" t="s">
        <v>1</v>
      </c>
    </row>
    <row r="19611" spans="1:3" s="8" customFormat="1" x14ac:dyDescent="0.2">
      <c r="A19611" s="6" t="str">
        <f>"CASC9"</f>
        <v>CASC9</v>
      </c>
      <c r="B19611" s="6" t="s">
        <v>1</v>
      </c>
      <c r="C19611" s="6" t="s">
        <v>1</v>
      </c>
    </row>
    <row r="19612" spans="1:3" s="8" customFormat="1" x14ac:dyDescent="0.2">
      <c r="A19612" s="6" t="str">
        <f>"C2CD4A"</f>
        <v>C2CD4A</v>
      </c>
      <c r="B19612" s="6" t="s">
        <v>1</v>
      </c>
      <c r="C19612" s="6" t="s">
        <v>1</v>
      </c>
    </row>
    <row r="19613" spans="1:3" s="8" customFormat="1" x14ac:dyDescent="0.2">
      <c r="A19613" s="6" t="str">
        <f>"DNAJC12"</f>
        <v>DNAJC12</v>
      </c>
      <c r="B19613" s="6" t="s">
        <v>1</v>
      </c>
      <c r="C19613" s="6" t="s">
        <v>1</v>
      </c>
    </row>
    <row r="19614" spans="1:3" s="8" customFormat="1" x14ac:dyDescent="0.2">
      <c r="A19614" s="6" t="str">
        <f>"KLK5"</f>
        <v>KLK5</v>
      </c>
      <c r="B19614" s="6" t="s">
        <v>1</v>
      </c>
      <c r="C19614" s="6" t="s">
        <v>1</v>
      </c>
    </row>
    <row r="19615" spans="1:3" s="8" customFormat="1" x14ac:dyDescent="0.2">
      <c r="A19615" s="6" t="str">
        <f>"AL031595.3"</f>
        <v>AL031595.3</v>
      </c>
      <c r="B19615" s="6" t="s">
        <v>1</v>
      </c>
      <c r="C19615" s="6" t="s">
        <v>1</v>
      </c>
    </row>
    <row r="19616" spans="1:3" s="8" customFormat="1" x14ac:dyDescent="0.2">
      <c r="A19616" s="6" t="str">
        <f>"AC004706.3"</f>
        <v>AC004706.3</v>
      </c>
      <c r="B19616" s="6" t="s">
        <v>1</v>
      </c>
      <c r="C19616" s="6" t="s">
        <v>1</v>
      </c>
    </row>
    <row r="19617" spans="1:3" s="8" customFormat="1" x14ac:dyDescent="0.2">
      <c r="A19617" s="6" t="str">
        <f>"SMAD6"</f>
        <v>SMAD6</v>
      </c>
      <c r="B19617" s="6" t="s">
        <v>1</v>
      </c>
      <c r="C19617" s="6" t="s">
        <v>1</v>
      </c>
    </row>
    <row r="19618" spans="1:3" s="8" customFormat="1" x14ac:dyDescent="0.2">
      <c r="A19618" s="6" t="str">
        <f>"AC107375.1"</f>
        <v>AC107375.1</v>
      </c>
      <c r="B19618" s="6" t="s">
        <v>1</v>
      </c>
      <c r="C19618" s="6" t="s">
        <v>1</v>
      </c>
    </row>
    <row r="19619" spans="1:3" s="8" customFormat="1" x14ac:dyDescent="0.2">
      <c r="A19619" s="6" t="str">
        <f>"AL133367.1"</f>
        <v>AL133367.1</v>
      </c>
      <c r="B19619" s="6" t="s">
        <v>1</v>
      </c>
      <c r="C19619" s="6" t="s">
        <v>1</v>
      </c>
    </row>
    <row r="19620" spans="1:3" s="8" customFormat="1" x14ac:dyDescent="0.2">
      <c r="A19620" s="6" t="str">
        <f>"BACH2"</f>
        <v>BACH2</v>
      </c>
      <c r="B19620" s="6" t="s">
        <v>1</v>
      </c>
      <c r="C19620" s="6" t="s">
        <v>1</v>
      </c>
    </row>
    <row r="19621" spans="1:3" s="8" customFormat="1" x14ac:dyDescent="0.2">
      <c r="A19621" s="6" t="str">
        <f>"AC106865.1"</f>
        <v>AC106865.1</v>
      </c>
      <c r="B19621" s="6" t="s">
        <v>1</v>
      </c>
      <c r="C19621" s="6" t="s">
        <v>1</v>
      </c>
    </row>
    <row r="19622" spans="1:3" s="8" customFormat="1" x14ac:dyDescent="0.2">
      <c r="A19622" s="6" t="str">
        <f>"FAM74A4"</f>
        <v>FAM74A4</v>
      </c>
      <c r="B19622" s="6" t="s">
        <v>1</v>
      </c>
      <c r="C19622" s="6" t="s">
        <v>1</v>
      </c>
    </row>
    <row r="19623" spans="1:3" s="8" customFormat="1" x14ac:dyDescent="0.2">
      <c r="A19623" s="6" t="str">
        <f>"NUF2"</f>
        <v>NUF2</v>
      </c>
      <c r="B19623" s="6" t="s">
        <v>1</v>
      </c>
      <c r="C19623" s="6" t="s">
        <v>1</v>
      </c>
    </row>
    <row r="19624" spans="1:3" s="8" customFormat="1" x14ac:dyDescent="0.2">
      <c r="A19624" s="6" t="str">
        <f>"GJB6"</f>
        <v>GJB6</v>
      </c>
      <c r="B19624" s="6" t="s">
        <v>1</v>
      </c>
      <c r="C19624" s="6" t="s">
        <v>1</v>
      </c>
    </row>
    <row r="19625" spans="1:3" s="8" customFormat="1" x14ac:dyDescent="0.2">
      <c r="A19625" s="6" t="str">
        <f>"CELF6"</f>
        <v>CELF6</v>
      </c>
      <c r="B19625" s="6" t="s">
        <v>1</v>
      </c>
      <c r="C19625" s="6" t="s">
        <v>1</v>
      </c>
    </row>
    <row r="19626" spans="1:3" s="8" customFormat="1" x14ac:dyDescent="0.2">
      <c r="A19626" s="6" t="str">
        <f>"ZNF284"</f>
        <v>ZNF284</v>
      </c>
      <c r="B19626" s="6" t="s">
        <v>1</v>
      </c>
      <c r="C19626" s="6" t="s">
        <v>1</v>
      </c>
    </row>
    <row r="19627" spans="1:3" s="8" customFormat="1" x14ac:dyDescent="0.2">
      <c r="A19627" s="6" t="str">
        <f>"NYAP1"</f>
        <v>NYAP1</v>
      </c>
      <c r="B19627" s="6" t="s">
        <v>1</v>
      </c>
      <c r="C19627" s="6" t="s">
        <v>1</v>
      </c>
    </row>
    <row r="19628" spans="1:3" s="8" customFormat="1" x14ac:dyDescent="0.2">
      <c r="A19628" s="6" t="str">
        <f>"LINC02038"</f>
        <v>LINC02038</v>
      </c>
      <c r="B19628" s="6" t="s">
        <v>1</v>
      </c>
      <c r="C19628" s="6" t="s">
        <v>1</v>
      </c>
    </row>
    <row r="19629" spans="1:3" s="8" customFormat="1" x14ac:dyDescent="0.2">
      <c r="A19629" s="6" t="str">
        <f>"CARMIL2"</f>
        <v>CARMIL2</v>
      </c>
      <c r="B19629" s="6" t="s">
        <v>1</v>
      </c>
      <c r="C19629" s="6" t="s">
        <v>1</v>
      </c>
    </row>
    <row r="19630" spans="1:3" s="8" customFormat="1" x14ac:dyDescent="0.2">
      <c r="A19630" s="6" t="str">
        <f>"AL353751.1"</f>
        <v>AL353751.1</v>
      </c>
      <c r="B19630" s="6" t="s">
        <v>1</v>
      </c>
      <c r="C19630" s="6" t="s">
        <v>1</v>
      </c>
    </row>
    <row r="19631" spans="1:3" s="8" customFormat="1" x14ac:dyDescent="0.2">
      <c r="A19631" s="6" t="str">
        <f>"CNTN1"</f>
        <v>CNTN1</v>
      </c>
      <c r="B19631" s="6" t="s">
        <v>1</v>
      </c>
      <c r="C19631" s="6" t="s">
        <v>1</v>
      </c>
    </row>
    <row r="19632" spans="1:3" s="8" customFormat="1" x14ac:dyDescent="0.2">
      <c r="A19632" s="6" t="str">
        <f>"RPP38-DT"</f>
        <v>RPP38-DT</v>
      </c>
      <c r="B19632" s="6" t="s">
        <v>1</v>
      </c>
      <c r="C19632" s="6" t="s">
        <v>1</v>
      </c>
    </row>
    <row r="19633" spans="1:3" s="8" customFormat="1" x14ac:dyDescent="0.2">
      <c r="A19633" s="6" t="str">
        <f>"GPRIN1"</f>
        <v>GPRIN1</v>
      </c>
      <c r="B19633" s="6" t="s">
        <v>1</v>
      </c>
      <c r="C19633" s="6" t="s">
        <v>1</v>
      </c>
    </row>
    <row r="19634" spans="1:3" s="8" customFormat="1" x14ac:dyDescent="0.2">
      <c r="A19634" s="6" t="str">
        <f>"NOTCH2NLR"</f>
        <v>NOTCH2NLR</v>
      </c>
      <c r="B19634" s="6" t="s">
        <v>1</v>
      </c>
      <c r="C19634" s="6" t="s">
        <v>1</v>
      </c>
    </row>
    <row r="19635" spans="1:3" s="8" customFormat="1" x14ac:dyDescent="0.2">
      <c r="A19635" s="6" t="str">
        <f>"AC022415.2"</f>
        <v>AC022415.2</v>
      </c>
      <c r="B19635" s="6" t="s">
        <v>1</v>
      </c>
      <c r="C19635" s="6" t="s">
        <v>1</v>
      </c>
    </row>
    <row r="19636" spans="1:3" s="8" customFormat="1" x14ac:dyDescent="0.2">
      <c r="A19636" s="6" t="str">
        <f>"SH3PXD2A-AS1"</f>
        <v>SH3PXD2A-AS1</v>
      </c>
      <c r="B19636" s="6" t="s">
        <v>1</v>
      </c>
      <c r="C19636" s="6" t="s">
        <v>1</v>
      </c>
    </row>
    <row r="19637" spans="1:3" s="8" customFormat="1" x14ac:dyDescent="0.2">
      <c r="A19637" s="6" t="str">
        <f>"MCOLN2"</f>
        <v>MCOLN2</v>
      </c>
      <c r="B19637" s="6" t="s">
        <v>1</v>
      </c>
      <c r="C19637" s="6" t="s">
        <v>1</v>
      </c>
    </row>
    <row r="19638" spans="1:3" s="8" customFormat="1" x14ac:dyDescent="0.2">
      <c r="A19638" s="6" t="str">
        <f>"PPT2-EGFL8"</f>
        <v>PPT2-EGFL8</v>
      </c>
      <c r="B19638" s="6" t="s">
        <v>1</v>
      </c>
      <c r="C19638" s="6" t="s">
        <v>1</v>
      </c>
    </row>
    <row r="19639" spans="1:3" s="8" customFormat="1" x14ac:dyDescent="0.2">
      <c r="A19639" s="6" t="str">
        <f>"ASIC3"</f>
        <v>ASIC3</v>
      </c>
      <c r="B19639" s="6" t="s">
        <v>1</v>
      </c>
      <c r="C19639" s="6" t="s">
        <v>1</v>
      </c>
    </row>
    <row r="19640" spans="1:3" s="8" customFormat="1" x14ac:dyDescent="0.2">
      <c r="A19640" s="6" t="str">
        <f>"AC004922.1"</f>
        <v>AC004922.1</v>
      </c>
      <c r="B19640" s="6" t="s">
        <v>1</v>
      </c>
      <c r="C19640" s="6" t="s">
        <v>1</v>
      </c>
    </row>
    <row r="19641" spans="1:3" s="8" customFormat="1" x14ac:dyDescent="0.2">
      <c r="A19641" s="6" t="str">
        <f>"PPAN-P2RY11"</f>
        <v>PPAN-P2RY11</v>
      </c>
      <c r="B19641" s="6" t="s">
        <v>1</v>
      </c>
      <c r="C19641" s="6" t="s">
        <v>1</v>
      </c>
    </row>
    <row r="19642" spans="1:3" s="8" customFormat="1" x14ac:dyDescent="0.2">
      <c r="A19642" s="6" t="str">
        <f>"MIR3150BHG"</f>
        <v>MIR3150BHG</v>
      </c>
      <c r="B19642" s="6" t="s">
        <v>1</v>
      </c>
      <c r="C19642" s="6" t="s">
        <v>1</v>
      </c>
    </row>
    <row r="19643" spans="1:3" s="8" customFormat="1" x14ac:dyDescent="0.2">
      <c r="A19643" s="6" t="str">
        <f>"VGLL3"</f>
        <v>VGLL3</v>
      </c>
      <c r="B19643" s="6" t="s">
        <v>1</v>
      </c>
      <c r="C19643" s="6" t="s">
        <v>1</v>
      </c>
    </row>
    <row r="19644" spans="1:3" s="8" customFormat="1" x14ac:dyDescent="0.2">
      <c r="A19644" s="6" t="str">
        <f>"FAAP24"</f>
        <v>FAAP24</v>
      </c>
      <c r="B19644" s="6" t="s">
        <v>1</v>
      </c>
      <c r="C19644" s="6" t="s">
        <v>1</v>
      </c>
    </row>
    <row r="19645" spans="1:3" s="8" customFormat="1" x14ac:dyDescent="0.2">
      <c r="A19645" s="6" t="str">
        <f>"UFSP1"</f>
        <v>UFSP1</v>
      </c>
      <c r="B19645" s="6" t="s">
        <v>1</v>
      </c>
      <c r="C19645" s="6" t="s">
        <v>1</v>
      </c>
    </row>
    <row r="19646" spans="1:3" s="8" customFormat="1" x14ac:dyDescent="0.2">
      <c r="A19646" s="6" t="str">
        <f>"GJA1"</f>
        <v>GJA1</v>
      </c>
      <c r="B19646" s="6" t="s">
        <v>1</v>
      </c>
      <c r="C19646" s="6" t="s">
        <v>1</v>
      </c>
    </row>
    <row r="19647" spans="1:3" s="8" customFormat="1" x14ac:dyDescent="0.2">
      <c r="A19647" s="6" t="str">
        <f>"AC012645.1"</f>
        <v>AC012645.1</v>
      </c>
      <c r="B19647" s="6" t="s">
        <v>1</v>
      </c>
      <c r="C19647" s="6" t="s">
        <v>1</v>
      </c>
    </row>
    <row r="19648" spans="1:3" s="8" customFormat="1" x14ac:dyDescent="0.2">
      <c r="A19648" s="6" t="str">
        <f>"CHRNE"</f>
        <v>CHRNE</v>
      </c>
      <c r="B19648" s="6" t="s">
        <v>1</v>
      </c>
      <c r="C19648" s="6" t="s">
        <v>1</v>
      </c>
    </row>
    <row r="19649" spans="1:3" s="8" customFormat="1" x14ac:dyDescent="0.2">
      <c r="A19649" s="6" t="str">
        <f>"PLEKHG4B"</f>
        <v>PLEKHG4B</v>
      </c>
      <c r="B19649" s="6" t="s">
        <v>1</v>
      </c>
      <c r="C19649" s="6" t="s">
        <v>1</v>
      </c>
    </row>
    <row r="19650" spans="1:3" s="8" customFormat="1" x14ac:dyDescent="0.2">
      <c r="A19650" s="6" t="str">
        <f>"NOXO1"</f>
        <v>NOXO1</v>
      </c>
      <c r="B19650" s="6" t="s">
        <v>1</v>
      </c>
      <c r="C19650" s="6" t="s">
        <v>1</v>
      </c>
    </row>
    <row r="19651" spans="1:3" s="8" customFormat="1" x14ac:dyDescent="0.2">
      <c r="A19651" s="6" t="str">
        <f>"AC007342.4"</f>
        <v>AC007342.4</v>
      </c>
      <c r="B19651" s="6" t="s">
        <v>1</v>
      </c>
      <c r="C19651" s="6" t="s">
        <v>1</v>
      </c>
    </row>
    <row r="19652" spans="1:3" s="8" customFormat="1" x14ac:dyDescent="0.2">
      <c r="A19652" s="6" t="str">
        <f>"AL442067.3"</f>
        <v>AL442067.3</v>
      </c>
      <c r="B19652" s="6" t="s">
        <v>1</v>
      </c>
      <c r="C19652" s="6" t="s">
        <v>1</v>
      </c>
    </row>
    <row r="19653" spans="1:3" s="8" customFormat="1" x14ac:dyDescent="0.2">
      <c r="A19653" s="6" t="str">
        <f>"AL031123.2"</f>
        <v>AL031123.2</v>
      </c>
      <c r="B19653" s="6" t="s">
        <v>1</v>
      </c>
      <c r="C19653" s="6" t="s">
        <v>1</v>
      </c>
    </row>
    <row r="19654" spans="1:3" s="8" customFormat="1" x14ac:dyDescent="0.2">
      <c r="A19654" s="6" t="str">
        <f>"DNMT3B"</f>
        <v>DNMT3B</v>
      </c>
      <c r="B19654" s="6" t="s">
        <v>1</v>
      </c>
      <c r="C19654" s="6" t="s">
        <v>1</v>
      </c>
    </row>
    <row r="19655" spans="1:3" s="8" customFormat="1" x14ac:dyDescent="0.2">
      <c r="A19655" s="6" t="str">
        <f>"MRPL45P2"</f>
        <v>MRPL45P2</v>
      </c>
      <c r="B19655" s="6" t="s">
        <v>1</v>
      </c>
      <c r="C19655" s="6" t="s">
        <v>1</v>
      </c>
    </row>
    <row r="19656" spans="1:3" s="8" customFormat="1" x14ac:dyDescent="0.2">
      <c r="A19656" s="6" t="str">
        <f>"ADNP-AS1"</f>
        <v>ADNP-AS1</v>
      </c>
      <c r="B19656" s="6" t="s">
        <v>1</v>
      </c>
      <c r="C19656" s="6" t="s">
        <v>1</v>
      </c>
    </row>
    <row r="19657" spans="1:3" s="8" customFormat="1" x14ac:dyDescent="0.2">
      <c r="A19657" s="6" t="str">
        <f>"AL354920.1"</f>
        <v>AL354920.1</v>
      </c>
      <c r="B19657" s="6" t="s">
        <v>1</v>
      </c>
      <c r="C19657" s="6" t="s">
        <v>1</v>
      </c>
    </row>
    <row r="19658" spans="1:3" s="8" customFormat="1" x14ac:dyDescent="0.2">
      <c r="A19658" s="6" t="str">
        <f>"LZTS1"</f>
        <v>LZTS1</v>
      </c>
      <c r="B19658" s="6" t="s">
        <v>1</v>
      </c>
      <c r="C19658" s="6" t="s">
        <v>1</v>
      </c>
    </row>
    <row r="19659" spans="1:3" s="8" customFormat="1" x14ac:dyDescent="0.2">
      <c r="A19659" s="6" t="str">
        <f>"CASC15"</f>
        <v>CASC15</v>
      </c>
      <c r="B19659" s="6" t="s">
        <v>1</v>
      </c>
      <c r="C19659" s="6" t="s">
        <v>1</v>
      </c>
    </row>
    <row r="19660" spans="1:3" s="8" customFormat="1" x14ac:dyDescent="0.2">
      <c r="A19660" s="6" t="str">
        <f>"TTLL13P"</f>
        <v>TTLL13P</v>
      </c>
      <c r="B19660" s="6" t="s">
        <v>1</v>
      </c>
      <c r="C19660" s="6" t="s">
        <v>1</v>
      </c>
    </row>
    <row r="19661" spans="1:3" s="8" customFormat="1" x14ac:dyDescent="0.2">
      <c r="A19661" s="6" t="str">
        <f>"CEACAM19"</f>
        <v>CEACAM19</v>
      </c>
      <c r="B19661" s="6" t="s">
        <v>1</v>
      </c>
      <c r="C19661" s="6" t="s">
        <v>1</v>
      </c>
    </row>
    <row r="19662" spans="1:3" s="8" customFormat="1" x14ac:dyDescent="0.2">
      <c r="A19662" s="6" t="str">
        <f>"HLA-V"</f>
        <v>HLA-V</v>
      </c>
      <c r="B19662" s="6" t="s">
        <v>1</v>
      </c>
      <c r="C19662" s="6" t="s">
        <v>1</v>
      </c>
    </row>
    <row r="19663" spans="1:3" s="8" customFormat="1" x14ac:dyDescent="0.2">
      <c r="A19663" s="6" t="str">
        <f>"AC007566.1"</f>
        <v>AC007566.1</v>
      </c>
      <c r="B19663" s="6" t="s">
        <v>1</v>
      </c>
      <c r="C19663" s="6" t="s">
        <v>1</v>
      </c>
    </row>
    <row r="19664" spans="1:3" s="8" customFormat="1" x14ac:dyDescent="0.2">
      <c r="A19664" s="6" t="str">
        <f>"FAT4"</f>
        <v>FAT4</v>
      </c>
      <c r="B19664" s="6" t="s">
        <v>1</v>
      </c>
      <c r="C19664" s="6" t="s">
        <v>1</v>
      </c>
    </row>
    <row r="19665" spans="1:3" s="8" customFormat="1" x14ac:dyDescent="0.2">
      <c r="A19665" s="6" t="str">
        <f>"AC244669.1"</f>
        <v>AC244669.1</v>
      </c>
      <c r="B19665" s="6" t="s">
        <v>1</v>
      </c>
      <c r="C19665" s="6" t="s">
        <v>1</v>
      </c>
    </row>
    <row r="19666" spans="1:3" s="8" customFormat="1" x14ac:dyDescent="0.2">
      <c r="A19666" s="6" t="str">
        <f>"MIR4453HG"</f>
        <v>MIR4453HG</v>
      </c>
      <c r="B19666" s="6" t="s">
        <v>1</v>
      </c>
      <c r="C19666" s="6" t="s">
        <v>1</v>
      </c>
    </row>
    <row r="19667" spans="1:3" s="8" customFormat="1" x14ac:dyDescent="0.2">
      <c r="A19667" s="6" t="str">
        <f>"UCP3"</f>
        <v>UCP3</v>
      </c>
      <c r="B19667" s="6" t="s">
        <v>1</v>
      </c>
      <c r="C19667" s="6" t="s">
        <v>1</v>
      </c>
    </row>
    <row r="19668" spans="1:3" s="8" customFormat="1" x14ac:dyDescent="0.2">
      <c r="A19668" s="6" t="str">
        <f>"SHISA6"</f>
        <v>SHISA6</v>
      </c>
      <c r="B19668" s="6" t="s">
        <v>1</v>
      </c>
      <c r="C19668" s="6" t="s">
        <v>1</v>
      </c>
    </row>
    <row r="19669" spans="1:3" s="8" customFormat="1" x14ac:dyDescent="0.2">
      <c r="A19669" s="6" t="str">
        <f>"CCN3"</f>
        <v>CCN3</v>
      </c>
      <c r="B19669" s="6" t="s">
        <v>1</v>
      </c>
      <c r="C19669" s="6" t="s">
        <v>1</v>
      </c>
    </row>
    <row r="19670" spans="1:3" s="8" customFormat="1" x14ac:dyDescent="0.2">
      <c r="A19670" s="6" t="str">
        <f>"KCNJ12"</f>
        <v>KCNJ12</v>
      </c>
      <c r="B19670" s="6" t="s">
        <v>1</v>
      </c>
      <c r="C19670" s="6" t="s">
        <v>1</v>
      </c>
    </row>
    <row r="19671" spans="1:3" s="8" customFormat="1" x14ac:dyDescent="0.2">
      <c r="A19671" s="6" t="str">
        <f>"AC015802.7"</f>
        <v>AC015802.7</v>
      </c>
      <c r="B19671" s="6" t="s">
        <v>1</v>
      </c>
      <c r="C19671" s="6" t="s">
        <v>1</v>
      </c>
    </row>
    <row r="19672" spans="1:3" s="8" customFormat="1" x14ac:dyDescent="0.2">
      <c r="A19672" s="6" t="str">
        <f>"AC106886.2"</f>
        <v>AC106886.2</v>
      </c>
      <c r="B19672" s="6" t="s">
        <v>1</v>
      </c>
      <c r="C19672" s="6" t="s">
        <v>1</v>
      </c>
    </row>
    <row r="19673" spans="1:3" s="8" customFormat="1" x14ac:dyDescent="0.2">
      <c r="A19673" s="6" t="str">
        <f>"LINC01101"</f>
        <v>LINC01101</v>
      </c>
      <c r="B19673" s="6" t="s">
        <v>1</v>
      </c>
      <c r="C19673" s="6" t="s">
        <v>1</v>
      </c>
    </row>
    <row r="19674" spans="1:3" s="8" customFormat="1" x14ac:dyDescent="0.2">
      <c r="A19674" s="6" t="str">
        <f>"MCF2L2"</f>
        <v>MCF2L2</v>
      </c>
      <c r="B19674" s="6" t="s">
        <v>1</v>
      </c>
      <c r="C19674" s="6" t="s">
        <v>1</v>
      </c>
    </row>
    <row r="19675" spans="1:3" s="8" customFormat="1" x14ac:dyDescent="0.2">
      <c r="A19675" s="6" t="str">
        <f>"C2orf92"</f>
        <v>C2orf92</v>
      </c>
      <c r="B19675" s="6" t="s">
        <v>1</v>
      </c>
      <c r="C19675" s="6" t="s">
        <v>1</v>
      </c>
    </row>
    <row r="19676" spans="1:3" s="8" customFormat="1" x14ac:dyDescent="0.2">
      <c r="A19676" s="6" t="str">
        <f>"AC107464.2"</f>
        <v>AC107464.2</v>
      </c>
      <c r="B19676" s="6" t="s">
        <v>1</v>
      </c>
      <c r="C19676" s="6" t="s">
        <v>1</v>
      </c>
    </row>
    <row r="19677" spans="1:3" s="8" customFormat="1" x14ac:dyDescent="0.2">
      <c r="A19677" s="6" t="str">
        <f>"AC022400.7"</f>
        <v>AC022400.7</v>
      </c>
      <c r="B19677" s="6" t="s">
        <v>1</v>
      </c>
      <c r="C19677" s="6" t="s">
        <v>1</v>
      </c>
    </row>
    <row r="19678" spans="1:3" s="8" customFormat="1" x14ac:dyDescent="0.2">
      <c r="A19678" s="6" t="str">
        <f>"KANSL1-AS1"</f>
        <v>KANSL1-AS1</v>
      </c>
      <c r="B19678" s="6" t="s">
        <v>1</v>
      </c>
      <c r="C19678" s="6" t="s">
        <v>1</v>
      </c>
    </row>
    <row r="19679" spans="1:3" s="8" customFormat="1" x14ac:dyDescent="0.2">
      <c r="A19679" s="6" t="str">
        <f>"AQP6"</f>
        <v>AQP6</v>
      </c>
      <c r="B19679" s="6" t="s">
        <v>1</v>
      </c>
      <c r="C19679" s="6" t="s">
        <v>1</v>
      </c>
    </row>
    <row r="19680" spans="1:3" s="8" customFormat="1" x14ac:dyDescent="0.2">
      <c r="A19680" s="6" t="str">
        <f>"GJC2"</f>
        <v>GJC2</v>
      </c>
      <c r="B19680" s="6" t="s">
        <v>1</v>
      </c>
      <c r="C19680" s="6" t="s">
        <v>1</v>
      </c>
    </row>
    <row r="19681" spans="1:3" s="8" customFormat="1" x14ac:dyDescent="0.2">
      <c r="A19681" s="6" t="str">
        <f>"AC244100.3"</f>
        <v>AC244100.3</v>
      </c>
      <c r="B19681" s="6" t="s">
        <v>1</v>
      </c>
      <c r="C19681" s="6" t="s">
        <v>1</v>
      </c>
    </row>
    <row r="19682" spans="1:3" s="8" customFormat="1" x14ac:dyDescent="0.2">
      <c r="A19682" s="6" t="str">
        <f>"TTTY10"</f>
        <v>TTTY10</v>
      </c>
      <c r="B19682" s="6" t="s">
        <v>1</v>
      </c>
      <c r="C19682" s="6" t="s">
        <v>1</v>
      </c>
    </row>
    <row r="19683" spans="1:3" s="8" customFormat="1" x14ac:dyDescent="0.2">
      <c r="A19683" s="6" t="str">
        <f>"ZNF625"</f>
        <v>ZNF625</v>
      </c>
      <c r="B19683" s="6" t="s">
        <v>1</v>
      </c>
      <c r="C19683" s="6" t="s">
        <v>1</v>
      </c>
    </row>
    <row r="19684" spans="1:3" s="8" customFormat="1" x14ac:dyDescent="0.2">
      <c r="A19684" s="6" t="str">
        <f>"RAD54B"</f>
        <v>RAD54B</v>
      </c>
      <c r="B19684" s="6" t="s">
        <v>1</v>
      </c>
      <c r="C19684" s="6" t="s">
        <v>1</v>
      </c>
    </row>
    <row r="19685" spans="1:3" s="8" customFormat="1" x14ac:dyDescent="0.2">
      <c r="A19685" s="6" t="str">
        <f>"LDLRAD3"</f>
        <v>LDLRAD3</v>
      </c>
      <c r="B19685" s="6" t="s">
        <v>1</v>
      </c>
      <c r="C19685" s="6" t="s">
        <v>1</v>
      </c>
    </row>
    <row r="19686" spans="1:3" s="8" customFormat="1" x14ac:dyDescent="0.2">
      <c r="A19686" s="6" t="str">
        <f>"LINC01011"</f>
        <v>LINC01011</v>
      </c>
      <c r="B19686" s="6" t="s">
        <v>1</v>
      </c>
      <c r="C19686" s="6" t="s">
        <v>1</v>
      </c>
    </row>
    <row r="19687" spans="1:3" s="8" customFormat="1" x14ac:dyDescent="0.2">
      <c r="A19687" s="6" t="str">
        <f>"ZNF620"</f>
        <v>ZNF620</v>
      </c>
      <c r="B19687" s="6" t="s">
        <v>1</v>
      </c>
      <c r="C19687" s="6" t="s">
        <v>1</v>
      </c>
    </row>
    <row r="19688" spans="1:3" s="8" customFormat="1" x14ac:dyDescent="0.2">
      <c r="A19688" s="6" t="str">
        <f>"PRORSD1P"</f>
        <v>PRORSD1P</v>
      </c>
      <c r="B19688" s="6" t="s">
        <v>1</v>
      </c>
      <c r="C19688" s="6" t="s">
        <v>1</v>
      </c>
    </row>
    <row r="19689" spans="1:3" s="8" customFormat="1" x14ac:dyDescent="0.2">
      <c r="A19689" s="6" t="str">
        <f>"F13A1"</f>
        <v>F13A1</v>
      </c>
      <c r="B19689" s="6" t="s">
        <v>1</v>
      </c>
      <c r="C19689" s="6" t="s">
        <v>1</v>
      </c>
    </row>
    <row r="19690" spans="1:3" s="8" customFormat="1" x14ac:dyDescent="0.2">
      <c r="A19690" s="6" t="str">
        <f>"MYLK4"</f>
        <v>MYLK4</v>
      </c>
      <c r="B19690" s="6" t="s">
        <v>1</v>
      </c>
      <c r="C19690" s="6" t="s">
        <v>1</v>
      </c>
    </row>
    <row r="19691" spans="1:3" s="8" customFormat="1" x14ac:dyDescent="0.2">
      <c r="A19691" s="6" t="str">
        <f>"KLHL35"</f>
        <v>KLHL35</v>
      </c>
      <c r="B19691" s="6" t="s">
        <v>1</v>
      </c>
      <c r="C19691" s="6" t="s">
        <v>1</v>
      </c>
    </row>
    <row r="19692" spans="1:3" s="8" customFormat="1" x14ac:dyDescent="0.2">
      <c r="A19692" s="6" t="str">
        <f>"LNP1"</f>
        <v>LNP1</v>
      </c>
      <c r="B19692" s="6" t="s">
        <v>1</v>
      </c>
      <c r="C19692" s="6" t="s">
        <v>1</v>
      </c>
    </row>
    <row r="19693" spans="1:3" s="8" customFormat="1" x14ac:dyDescent="0.2">
      <c r="A19693" s="6" t="str">
        <f>"SLX1B"</f>
        <v>SLX1B</v>
      </c>
      <c r="B19693" s="6" t="s">
        <v>1</v>
      </c>
      <c r="C19693" s="6" t="s">
        <v>1</v>
      </c>
    </row>
    <row r="19694" spans="1:3" s="8" customFormat="1" x14ac:dyDescent="0.2">
      <c r="A19694" s="6" t="str">
        <f>"AC022211.2"</f>
        <v>AC022211.2</v>
      </c>
      <c r="B19694" s="6" t="s">
        <v>1</v>
      </c>
      <c r="C19694" s="6" t="s">
        <v>1</v>
      </c>
    </row>
    <row r="19695" spans="1:3" s="8" customFormat="1" x14ac:dyDescent="0.2">
      <c r="A19695" s="6" t="str">
        <f>"GABRG3"</f>
        <v>GABRG3</v>
      </c>
      <c r="B19695" s="6" t="s">
        <v>1</v>
      </c>
      <c r="C19695" s="6" t="s">
        <v>1</v>
      </c>
    </row>
    <row r="19696" spans="1:3" s="8" customFormat="1" x14ac:dyDescent="0.2">
      <c r="A19696" s="6" t="str">
        <f>"MCF2L-AS1"</f>
        <v>MCF2L-AS1</v>
      </c>
      <c r="B19696" s="6" t="s">
        <v>1</v>
      </c>
      <c r="C19696" s="6" t="s">
        <v>1</v>
      </c>
    </row>
    <row r="19697" spans="1:3" s="8" customFormat="1" x14ac:dyDescent="0.2">
      <c r="A19697" s="6" t="str">
        <f>"FLG"</f>
        <v>FLG</v>
      </c>
      <c r="B19697" s="6" t="s">
        <v>1</v>
      </c>
      <c r="C19697" s="6" t="s">
        <v>1</v>
      </c>
    </row>
    <row r="19698" spans="1:3" s="8" customFormat="1" x14ac:dyDescent="0.2">
      <c r="A19698" s="6" t="str">
        <f>"MAMLD1"</f>
        <v>MAMLD1</v>
      </c>
      <c r="B19698" s="6" t="s">
        <v>1</v>
      </c>
      <c r="C19698" s="6" t="s">
        <v>1</v>
      </c>
    </row>
    <row r="19699" spans="1:3" s="8" customFormat="1" x14ac:dyDescent="0.2">
      <c r="A19699" s="6" t="str">
        <f>"AC004967.2"</f>
        <v>AC004967.2</v>
      </c>
      <c r="B19699" s="6" t="s">
        <v>1</v>
      </c>
      <c r="C19699" s="6" t="s">
        <v>1</v>
      </c>
    </row>
    <row r="19700" spans="1:3" s="8" customFormat="1" x14ac:dyDescent="0.2">
      <c r="A19700" s="6" t="str">
        <f>"RAMP2-AS1"</f>
        <v>RAMP2-AS1</v>
      </c>
      <c r="B19700" s="6" t="s">
        <v>1</v>
      </c>
      <c r="C19700" s="6" t="s">
        <v>1</v>
      </c>
    </row>
    <row r="19701" spans="1:3" s="8" customFormat="1" x14ac:dyDescent="0.2">
      <c r="A19701" s="6" t="str">
        <f>"ASB9"</f>
        <v>ASB9</v>
      </c>
      <c r="B19701" s="6" t="s">
        <v>1</v>
      </c>
      <c r="C19701" s="6" t="s">
        <v>1</v>
      </c>
    </row>
    <row r="19702" spans="1:3" s="8" customFormat="1" x14ac:dyDescent="0.2">
      <c r="A19702" s="6" t="str">
        <f>"AC107027.3"</f>
        <v>AC107027.3</v>
      </c>
      <c r="B19702" s="6" t="s">
        <v>1</v>
      </c>
      <c r="C19702" s="6" t="s">
        <v>1</v>
      </c>
    </row>
    <row r="19703" spans="1:3" s="8" customFormat="1" x14ac:dyDescent="0.2">
      <c r="A19703" s="6" t="str">
        <f>"KCNC3"</f>
        <v>KCNC3</v>
      </c>
      <c r="B19703" s="6" t="s">
        <v>1</v>
      </c>
      <c r="C19703" s="6" t="s">
        <v>1</v>
      </c>
    </row>
    <row r="19704" spans="1:3" s="8" customFormat="1" x14ac:dyDescent="0.2">
      <c r="A19704" s="6" t="str">
        <f>"HAAO"</f>
        <v>HAAO</v>
      </c>
      <c r="B19704" s="6" t="s">
        <v>1</v>
      </c>
      <c r="C19704" s="6" t="s">
        <v>1</v>
      </c>
    </row>
    <row r="19705" spans="1:3" s="8" customFormat="1" x14ac:dyDescent="0.2">
      <c r="A19705" s="6" t="str">
        <f>"KLHL41"</f>
        <v>KLHL41</v>
      </c>
      <c r="B19705" s="6" t="s">
        <v>1</v>
      </c>
      <c r="C19705" s="6" t="s">
        <v>1</v>
      </c>
    </row>
    <row r="19706" spans="1:3" s="8" customFormat="1" x14ac:dyDescent="0.2">
      <c r="A19706" s="6" t="str">
        <f>"ZNF280B"</f>
        <v>ZNF280B</v>
      </c>
      <c r="B19706" s="6" t="s">
        <v>1</v>
      </c>
      <c r="C19706" s="6" t="s">
        <v>1</v>
      </c>
    </row>
    <row r="19707" spans="1:3" s="8" customFormat="1" x14ac:dyDescent="0.2">
      <c r="A19707" s="6" t="str">
        <f>"MIR3936HG"</f>
        <v>MIR3936HG</v>
      </c>
      <c r="B19707" s="6" t="s">
        <v>1</v>
      </c>
      <c r="C19707" s="6" t="s">
        <v>1</v>
      </c>
    </row>
    <row r="19708" spans="1:3" s="8" customFormat="1" x14ac:dyDescent="0.2">
      <c r="A19708" s="6" t="str">
        <f>"FLVCR2"</f>
        <v>FLVCR2</v>
      </c>
      <c r="B19708" s="6" t="s">
        <v>1</v>
      </c>
      <c r="C19708" s="6" t="s">
        <v>1</v>
      </c>
    </row>
    <row r="19709" spans="1:3" s="8" customFormat="1" x14ac:dyDescent="0.2">
      <c r="A19709" s="6" t="str">
        <f>"C21orf62-AS1"</f>
        <v>C21orf62-AS1</v>
      </c>
      <c r="B19709" s="6" t="s">
        <v>1</v>
      </c>
      <c r="C19709" s="6" t="s">
        <v>1</v>
      </c>
    </row>
    <row r="19710" spans="1:3" s="8" customFormat="1" x14ac:dyDescent="0.2">
      <c r="A19710" s="6" t="str">
        <f>"AC108134.4"</f>
        <v>AC108134.4</v>
      </c>
      <c r="B19710" s="6" t="s">
        <v>1</v>
      </c>
      <c r="C19710" s="6" t="s">
        <v>1</v>
      </c>
    </row>
    <row r="19711" spans="1:3" s="8" customFormat="1" x14ac:dyDescent="0.2">
      <c r="A19711" s="6" t="str">
        <f>"LYRM4-AS1"</f>
        <v>LYRM4-AS1</v>
      </c>
      <c r="B19711" s="6" t="s">
        <v>1</v>
      </c>
      <c r="C19711" s="6" t="s">
        <v>1</v>
      </c>
    </row>
    <row r="19712" spans="1:3" s="8" customFormat="1" x14ac:dyDescent="0.2">
      <c r="A19712" s="6" t="str">
        <f>"NPIPB2"</f>
        <v>NPIPB2</v>
      </c>
      <c r="B19712" s="6" t="s">
        <v>1</v>
      </c>
      <c r="C19712" s="6" t="s">
        <v>1</v>
      </c>
    </row>
    <row r="19713" spans="1:3" s="8" customFormat="1" x14ac:dyDescent="0.2">
      <c r="A19713" s="6" t="str">
        <f>"AL023875.1"</f>
        <v>AL023875.1</v>
      </c>
      <c r="B19713" s="6" t="s">
        <v>1</v>
      </c>
      <c r="C19713" s="6" t="s">
        <v>1</v>
      </c>
    </row>
    <row r="19714" spans="1:3" s="8" customFormat="1" x14ac:dyDescent="0.2">
      <c r="A19714" s="6" t="str">
        <f>"NPHP3-ACAD11"</f>
        <v>NPHP3-ACAD11</v>
      </c>
      <c r="B19714" s="6" t="s">
        <v>1</v>
      </c>
      <c r="C19714" s="6" t="s">
        <v>1</v>
      </c>
    </row>
    <row r="19715" spans="1:3" s="8" customFormat="1" x14ac:dyDescent="0.2">
      <c r="A19715" s="6" t="str">
        <f>"NPIPA7"</f>
        <v>NPIPA7</v>
      </c>
      <c r="B19715" s="6" t="s">
        <v>1</v>
      </c>
      <c r="C19715" s="6" t="s">
        <v>1</v>
      </c>
    </row>
    <row r="19716" spans="1:3" s="8" customFormat="1" x14ac:dyDescent="0.2">
      <c r="A19716" s="6" t="str">
        <f>"THAP2"</f>
        <v>THAP2</v>
      </c>
      <c r="B19716" s="6" t="s">
        <v>1</v>
      </c>
      <c r="C19716" s="6" t="s">
        <v>1</v>
      </c>
    </row>
    <row r="19717" spans="1:3" s="8" customFormat="1" x14ac:dyDescent="0.2">
      <c r="A19717" s="6" t="str">
        <f>"DEPDC1"</f>
        <v>DEPDC1</v>
      </c>
      <c r="B19717" s="6" t="s">
        <v>1</v>
      </c>
      <c r="C19717" s="6" t="s">
        <v>1</v>
      </c>
    </row>
    <row r="19718" spans="1:3" s="8" customFormat="1" x14ac:dyDescent="0.2">
      <c r="A19718" s="6" t="str">
        <f>"DNASE1L3"</f>
        <v>DNASE1L3</v>
      </c>
      <c r="B19718" s="6" t="s">
        <v>1</v>
      </c>
      <c r="C19718" s="6" t="s">
        <v>1</v>
      </c>
    </row>
    <row r="19719" spans="1:3" s="8" customFormat="1" x14ac:dyDescent="0.2">
      <c r="A19719" s="6" t="str">
        <f>"AL133338.1"</f>
        <v>AL133338.1</v>
      </c>
      <c r="B19719" s="6" t="s">
        <v>1</v>
      </c>
      <c r="C19719" s="6" t="s">
        <v>1</v>
      </c>
    </row>
    <row r="19720" spans="1:3" s="8" customFormat="1" x14ac:dyDescent="0.2">
      <c r="A19720" s="6" t="str">
        <f>"AP001021.1"</f>
        <v>AP001021.1</v>
      </c>
      <c r="B19720" s="6" t="s">
        <v>1</v>
      </c>
      <c r="C19720" s="6" t="s">
        <v>1</v>
      </c>
    </row>
    <row r="19721" spans="1:3" s="8" customFormat="1" x14ac:dyDescent="0.2">
      <c r="A19721" s="6" t="str">
        <f>"KANK3"</f>
        <v>KANK3</v>
      </c>
      <c r="B19721" s="6" t="s">
        <v>1</v>
      </c>
      <c r="C19721" s="6" t="s">
        <v>1</v>
      </c>
    </row>
    <row r="19722" spans="1:3" s="8" customFormat="1" x14ac:dyDescent="0.2">
      <c r="A19722" s="6" t="str">
        <f>"AL445489.1"</f>
        <v>AL445489.1</v>
      </c>
      <c r="B19722" s="6" t="s">
        <v>1</v>
      </c>
      <c r="C19722" s="6" t="s">
        <v>1</v>
      </c>
    </row>
    <row r="19723" spans="1:3" s="8" customFormat="1" x14ac:dyDescent="0.2">
      <c r="A19723" s="6" t="str">
        <f>"ALDH1L2"</f>
        <v>ALDH1L2</v>
      </c>
      <c r="B19723" s="6" t="s">
        <v>1</v>
      </c>
      <c r="C19723" s="6" t="s">
        <v>1</v>
      </c>
    </row>
    <row r="19724" spans="1:3" s="8" customFormat="1" x14ac:dyDescent="0.2">
      <c r="A19724" s="6" t="str">
        <f>"AC245140.2"</f>
        <v>AC245140.2</v>
      </c>
      <c r="B19724" s="6" t="s">
        <v>1</v>
      </c>
      <c r="C19724" s="6" t="s">
        <v>1</v>
      </c>
    </row>
    <row r="19725" spans="1:3" s="8" customFormat="1" x14ac:dyDescent="0.2">
      <c r="A19725" s="6" t="str">
        <f>"ASNS"</f>
        <v>ASNS</v>
      </c>
      <c r="B19725" s="6" t="s">
        <v>1</v>
      </c>
      <c r="C19725" s="6" t="s">
        <v>1</v>
      </c>
    </row>
    <row r="19726" spans="1:3" s="8" customFormat="1" x14ac:dyDescent="0.2">
      <c r="A19726" s="6" t="str">
        <f>"GPR27"</f>
        <v>GPR27</v>
      </c>
      <c r="B19726" s="6" t="s">
        <v>1</v>
      </c>
      <c r="C19726" s="6" t="s">
        <v>1</v>
      </c>
    </row>
    <row r="19727" spans="1:3" s="8" customFormat="1" x14ac:dyDescent="0.2">
      <c r="A19727" s="6" t="str">
        <f>"LINC01140"</f>
        <v>LINC01140</v>
      </c>
      <c r="B19727" s="6" t="s">
        <v>1</v>
      </c>
      <c r="C19727" s="6" t="s">
        <v>1</v>
      </c>
    </row>
    <row r="19728" spans="1:3" s="8" customFormat="1" x14ac:dyDescent="0.2">
      <c r="A19728" s="6" t="str">
        <f>"FZD7"</f>
        <v>FZD7</v>
      </c>
      <c r="B19728" s="6" t="s">
        <v>1</v>
      </c>
      <c r="C19728" s="6" t="s">
        <v>1</v>
      </c>
    </row>
    <row r="19729" spans="1:3" s="8" customFormat="1" x14ac:dyDescent="0.2">
      <c r="A19729" s="6" t="str">
        <f>"NEDD8-MDP1"</f>
        <v>NEDD8-MDP1</v>
      </c>
      <c r="B19729" s="6" t="s">
        <v>1</v>
      </c>
      <c r="C19729" s="6" t="s">
        <v>1</v>
      </c>
    </row>
    <row r="19730" spans="1:3" s="8" customFormat="1" x14ac:dyDescent="0.2">
      <c r="A19730" s="6" t="str">
        <f>"PTOV1-AS2"</f>
        <v>PTOV1-AS2</v>
      </c>
      <c r="B19730" s="6" t="s">
        <v>1</v>
      </c>
      <c r="C19730" s="6" t="s">
        <v>1</v>
      </c>
    </row>
    <row r="19731" spans="1:3" s="8" customFormat="1" x14ac:dyDescent="0.2">
      <c r="A19731" s="6" t="str">
        <f>"AC132872.1"</f>
        <v>AC132872.1</v>
      </c>
      <c r="B19731" s="6" t="s">
        <v>1</v>
      </c>
      <c r="C19731" s="6" t="s">
        <v>1</v>
      </c>
    </row>
    <row r="19732" spans="1:3" s="8" customFormat="1" x14ac:dyDescent="0.2">
      <c r="A19732" s="6" t="str">
        <f>"AC012640.2"</f>
        <v>AC012640.2</v>
      </c>
      <c r="B19732" s="6" t="s">
        <v>1</v>
      </c>
      <c r="C19732" s="6" t="s">
        <v>1</v>
      </c>
    </row>
    <row r="19733" spans="1:3" s="8" customFormat="1" x14ac:dyDescent="0.2">
      <c r="A19733" s="6" t="str">
        <f>"LINC01088"</f>
        <v>LINC01088</v>
      </c>
      <c r="B19733" s="6" t="s">
        <v>1</v>
      </c>
      <c r="C19733" s="6" t="s">
        <v>1</v>
      </c>
    </row>
    <row r="19734" spans="1:3" s="8" customFormat="1" x14ac:dyDescent="0.2">
      <c r="A19734" s="6" t="str">
        <f>"COCH"</f>
        <v>COCH</v>
      </c>
      <c r="B19734" s="6" t="s">
        <v>1</v>
      </c>
      <c r="C19734" s="6" t="s">
        <v>1</v>
      </c>
    </row>
    <row r="19735" spans="1:3" s="8" customFormat="1" x14ac:dyDescent="0.2">
      <c r="A19735" s="6" t="str">
        <f>"AP000692.2"</f>
        <v>AP000692.2</v>
      </c>
      <c r="B19735" s="6" t="s">
        <v>1</v>
      </c>
      <c r="C19735" s="6" t="s">
        <v>1</v>
      </c>
    </row>
    <row r="19736" spans="1:3" s="8" customFormat="1" x14ac:dyDescent="0.2">
      <c r="A19736" s="6" t="str">
        <f>"AC007342.3"</f>
        <v>AC007342.3</v>
      </c>
      <c r="B19736" s="6" t="s">
        <v>1</v>
      </c>
      <c r="C19736" s="6" t="s">
        <v>1</v>
      </c>
    </row>
    <row r="19737" spans="1:3" s="8" customFormat="1" x14ac:dyDescent="0.2">
      <c r="A19737" s="6" t="str">
        <f>"GPR183"</f>
        <v>GPR183</v>
      </c>
      <c r="B19737" s="6" t="s">
        <v>1</v>
      </c>
      <c r="C19737" s="6" t="s">
        <v>1</v>
      </c>
    </row>
    <row r="19738" spans="1:3" s="8" customFormat="1" x14ac:dyDescent="0.2">
      <c r="A19738" s="6" t="str">
        <f>"FAM95B1"</f>
        <v>FAM95B1</v>
      </c>
      <c r="B19738" s="6" t="s">
        <v>1</v>
      </c>
      <c r="C19738" s="6" t="s">
        <v>1</v>
      </c>
    </row>
    <row r="19739" spans="1:3" s="8" customFormat="1" x14ac:dyDescent="0.2">
      <c r="A19739" s="6" t="str">
        <f>"H2BP2"</f>
        <v>H2BP2</v>
      </c>
      <c r="B19739" s="6" t="s">
        <v>1</v>
      </c>
      <c r="C19739" s="6" t="s">
        <v>1</v>
      </c>
    </row>
    <row r="19740" spans="1:3" s="8" customFormat="1" x14ac:dyDescent="0.2">
      <c r="A19740" s="6" t="str">
        <f>"TTTY14"</f>
        <v>TTTY14</v>
      </c>
      <c r="B19740" s="6" t="s">
        <v>1</v>
      </c>
      <c r="C19740" s="6" t="s">
        <v>1</v>
      </c>
    </row>
    <row r="19741" spans="1:3" s="8" customFormat="1" x14ac:dyDescent="0.2">
      <c r="A19741" s="6" t="str">
        <f>"AC015813.5"</f>
        <v>AC015813.5</v>
      </c>
      <c r="B19741" s="6" t="s">
        <v>1</v>
      </c>
      <c r="C19741" s="6" t="s">
        <v>1</v>
      </c>
    </row>
    <row r="19742" spans="1:3" s="8" customFormat="1" x14ac:dyDescent="0.2">
      <c r="A19742" s="6" t="str">
        <f>"MYO7A"</f>
        <v>MYO7A</v>
      </c>
      <c r="B19742" s="6" t="s">
        <v>1</v>
      </c>
      <c r="C19742" s="6" t="s">
        <v>1</v>
      </c>
    </row>
    <row r="19743" spans="1:3" s="8" customFormat="1" x14ac:dyDescent="0.2">
      <c r="A19743" s="6" t="str">
        <f>"KLHDC1"</f>
        <v>KLHDC1</v>
      </c>
      <c r="B19743" s="6" t="s">
        <v>1</v>
      </c>
      <c r="C19743" s="6" t="s">
        <v>1</v>
      </c>
    </row>
    <row r="19744" spans="1:3" s="8" customFormat="1" x14ac:dyDescent="0.2">
      <c r="A19744" s="6" t="str">
        <f>"P2RX7"</f>
        <v>P2RX7</v>
      </c>
      <c r="B19744" s="6" t="s">
        <v>1</v>
      </c>
      <c r="C19744" s="6" t="s">
        <v>1</v>
      </c>
    </row>
    <row r="19745" spans="1:3" s="8" customFormat="1" x14ac:dyDescent="0.2">
      <c r="A19745" s="6" t="str">
        <f>"AC009779.3"</f>
        <v>AC009779.3</v>
      </c>
      <c r="B19745" s="6" t="s">
        <v>1</v>
      </c>
      <c r="C19745" s="6" t="s">
        <v>1</v>
      </c>
    </row>
    <row r="19746" spans="1:3" s="8" customFormat="1" x14ac:dyDescent="0.2">
      <c r="A19746" s="6" t="str">
        <f>"GPR75"</f>
        <v>GPR75</v>
      </c>
      <c r="B19746" s="6" t="s">
        <v>1</v>
      </c>
      <c r="C19746" s="6" t="s">
        <v>1</v>
      </c>
    </row>
    <row r="19747" spans="1:3" s="8" customFormat="1" x14ac:dyDescent="0.2">
      <c r="A19747" s="6" t="str">
        <f>"DOC2A"</f>
        <v>DOC2A</v>
      </c>
      <c r="B19747" s="6" t="s">
        <v>1</v>
      </c>
      <c r="C19747" s="6" t="s">
        <v>1</v>
      </c>
    </row>
    <row r="19748" spans="1:3" s="8" customFormat="1" x14ac:dyDescent="0.2">
      <c r="A19748" s="6" t="str">
        <f>"AC009318.1"</f>
        <v>AC009318.1</v>
      </c>
      <c r="B19748" s="6" t="s">
        <v>1</v>
      </c>
      <c r="C19748" s="6" t="s">
        <v>1</v>
      </c>
    </row>
    <row r="19749" spans="1:3" s="8" customFormat="1" x14ac:dyDescent="0.2">
      <c r="A19749" s="6" t="str">
        <f>"PTPN22"</f>
        <v>PTPN22</v>
      </c>
      <c r="B19749" s="6" t="s">
        <v>1</v>
      </c>
      <c r="C19749" s="6" t="s">
        <v>1</v>
      </c>
    </row>
    <row r="19750" spans="1:3" s="8" customFormat="1" x14ac:dyDescent="0.2">
      <c r="A19750" s="6" t="str">
        <f>"AC107068.1"</f>
        <v>AC107068.1</v>
      </c>
      <c r="B19750" s="6" t="s">
        <v>1</v>
      </c>
      <c r="C19750" s="6" t="s">
        <v>1</v>
      </c>
    </row>
    <row r="19751" spans="1:3" s="8" customFormat="1" x14ac:dyDescent="0.2">
      <c r="A19751" s="6" t="str">
        <f>"AL022328.4"</f>
        <v>AL022328.4</v>
      </c>
      <c r="B19751" s="6" t="s">
        <v>1</v>
      </c>
      <c r="C19751" s="6" t="s">
        <v>1</v>
      </c>
    </row>
    <row r="19752" spans="1:3" s="8" customFormat="1" x14ac:dyDescent="0.2">
      <c r="A19752" s="6" t="str">
        <f>"GIMAP1"</f>
        <v>GIMAP1</v>
      </c>
      <c r="B19752" s="6" t="s">
        <v>1</v>
      </c>
      <c r="C19752" s="6" t="s">
        <v>1</v>
      </c>
    </row>
    <row r="19753" spans="1:3" s="8" customFormat="1" x14ac:dyDescent="0.2">
      <c r="A19753" s="6" t="str">
        <f>"ASXL3"</f>
        <v>ASXL3</v>
      </c>
      <c r="B19753" s="6" t="s">
        <v>1</v>
      </c>
      <c r="C19753" s="6" t="s">
        <v>1</v>
      </c>
    </row>
    <row r="19754" spans="1:3" s="8" customFormat="1" x14ac:dyDescent="0.2">
      <c r="A19754" s="6" t="str">
        <f>"AC084198.2"</f>
        <v>AC084198.2</v>
      </c>
      <c r="B19754" s="6" t="s">
        <v>1</v>
      </c>
      <c r="C19754" s="6" t="s">
        <v>1</v>
      </c>
    </row>
    <row r="19755" spans="1:3" s="8" customFormat="1" x14ac:dyDescent="0.2">
      <c r="A19755" s="6" t="str">
        <f>"KCNK15"</f>
        <v>KCNK15</v>
      </c>
      <c r="B19755" s="6" t="s">
        <v>1</v>
      </c>
      <c r="C19755" s="6" t="s">
        <v>1</v>
      </c>
    </row>
    <row r="19756" spans="1:3" s="8" customFormat="1" x14ac:dyDescent="0.2">
      <c r="A19756" s="6" t="str">
        <f>"AC061975.8"</f>
        <v>AC061975.8</v>
      </c>
      <c r="B19756" s="6" t="s">
        <v>1</v>
      </c>
      <c r="C19756" s="6" t="s">
        <v>1</v>
      </c>
    </row>
    <row r="19757" spans="1:3" s="8" customFormat="1" x14ac:dyDescent="0.2">
      <c r="A19757" s="6" t="str">
        <f>"AC022400.6"</f>
        <v>AC022400.6</v>
      </c>
      <c r="B19757" s="6" t="s">
        <v>1</v>
      </c>
      <c r="C19757" s="6" t="s">
        <v>1</v>
      </c>
    </row>
    <row r="19758" spans="1:3" s="8" customFormat="1" x14ac:dyDescent="0.2">
      <c r="A19758" s="6" t="str">
        <f>"CEACAM4"</f>
        <v>CEACAM4</v>
      </c>
      <c r="B19758" s="6" t="s">
        <v>1</v>
      </c>
      <c r="C19758" s="6" t="s">
        <v>1</v>
      </c>
    </row>
    <row r="19759" spans="1:3" s="8" customFormat="1" x14ac:dyDescent="0.2">
      <c r="A19759" s="6" t="str">
        <f>"GLTPD2"</f>
        <v>GLTPD2</v>
      </c>
      <c r="B19759" s="6" t="s">
        <v>1</v>
      </c>
      <c r="C19759" s="6" t="s">
        <v>1</v>
      </c>
    </row>
    <row r="19760" spans="1:3" s="8" customFormat="1" x14ac:dyDescent="0.2">
      <c r="A19760" s="6" t="str">
        <f>"AC022415.1"</f>
        <v>AC022415.1</v>
      </c>
      <c r="B19760" s="6" t="s">
        <v>1</v>
      </c>
      <c r="C19760" s="6" t="s">
        <v>1</v>
      </c>
    </row>
    <row r="19761" spans="1:3" s="8" customFormat="1" x14ac:dyDescent="0.2">
      <c r="A19761" s="6" t="str">
        <f>"AL353622.1"</f>
        <v>AL353622.1</v>
      </c>
      <c r="B19761" s="6" t="s">
        <v>1</v>
      </c>
      <c r="C19761" s="6" t="s">
        <v>1</v>
      </c>
    </row>
    <row r="19762" spans="1:3" s="8" customFormat="1" x14ac:dyDescent="0.2">
      <c r="A19762" s="6" t="str">
        <f>"INTS6-AS1"</f>
        <v>INTS6-AS1</v>
      </c>
      <c r="B19762" s="6" t="s">
        <v>1</v>
      </c>
      <c r="C19762" s="6" t="s">
        <v>1</v>
      </c>
    </row>
    <row r="19763" spans="1:3" s="8" customFormat="1" x14ac:dyDescent="0.2">
      <c r="A19763" s="6" t="str">
        <f>"PRKG2"</f>
        <v>PRKG2</v>
      </c>
      <c r="B19763" s="6" t="s">
        <v>1</v>
      </c>
      <c r="C19763" s="6" t="s">
        <v>1</v>
      </c>
    </row>
    <row r="19764" spans="1:3" s="8" customFormat="1" x14ac:dyDescent="0.2">
      <c r="A19764" s="6" t="str">
        <f>"GINS2"</f>
        <v>GINS2</v>
      </c>
      <c r="B19764" s="6" t="s">
        <v>1</v>
      </c>
      <c r="C19764" s="6" t="s">
        <v>1</v>
      </c>
    </row>
    <row r="19765" spans="1:3" s="8" customFormat="1" x14ac:dyDescent="0.2">
      <c r="A19765" s="6" t="str">
        <f>"AL353593.1"</f>
        <v>AL353593.1</v>
      </c>
      <c r="B19765" s="6" t="s">
        <v>1</v>
      </c>
      <c r="C19765" s="6" t="s">
        <v>1</v>
      </c>
    </row>
    <row r="19766" spans="1:3" s="8" customFormat="1" x14ac:dyDescent="0.2">
      <c r="A19766" s="6" t="str">
        <f>"GIMAP7"</f>
        <v>GIMAP7</v>
      </c>
      <c r="B19766" s="6" t="s">
        <v>1</v>
      </c>
      <c r="C19766" s="6" t="s">
        <v>1</v>
      </c>
    </row>
    <row r="19767" spans="1:3" s="8" customFormat="1" x14ac:dyDescent="0.2">
      <c r="A19767" s="6" t="str">
        <f>"AC009315.1"</f>
        <v>AC009315.1</v>
      </c>
      <c r="B19767" s="6" t="s">
        <v>1</v>
      </c>
      <c r="C19767" s="6" t="s">
        <v>1</v>
      </c>
    </row>
    <row r="19768" spans="1:3" s="8" customFormat="1" x14ac:dyDescent="0.2">
      <c r="A19768" s="6" t="str">
        <f>"AC127521.1"</f>
        <v>AC127521.1</v>
      </c>
      <c r="B19768" s="6" t="s">
        <v>1</v>
      </c>
      <c r="C19768" s="6" t="s">
        <v>1</v>
      </c>
    </row>
    <row r="19769" spans="1:3" s="8" customFormat="1" x14ac:dyDescent="0.2">
      <c r="A19769" s="6" t="str">
        <f>"REM2"</f>
        <v>REM2</v>
      </c>
      <c r="B19769" s="6" t="s">
        <v>1</v>
      </c>
      <c r="C19769" s="6" t="s">
        <v>1</v>
      </c>
    </row>
    <row r="19770" spans="1:3" s="8" customFormat="1" x14ac:dyDescent="0.2">
      <c r="A19770" s="6" t="str">
        <f>"AC012615.1"</f>
        <v>AC012615.1</v>
      </c>
      <c r="B19770" s="6" t="s">
        <v>1</v>
      </c>
      <c r="C19770" s="6" t="s">
        <v>1</v>
      </c>
    </row>
    <row r="19771" spans="1:3" s="8" customFormat="1" x14ac:dyDescent="0.2">
      <c r="A19771" s="6" t="str">
        <f>"FKBP7"</f>
        <v>FKBP7</v>
      </c>
      <c r="B19771" s="6" t="s">
        <v>1</v>
      </c>
      <c r="C19771" s="6" t="s">
        <v>1</v>
      </c>
    </row>
    <row r="19772" spans="1:3" s="8" customFormat="1" x14ac:dyDescent="0.2">
      <c r="A19772" s="6" t="str">
        <f>"LINC02245"</f>
        <v>LINC02245</v>
      </c>
      <c r="B19772" s="6" t="s">
        <v>1</v>
      </c>
      <c r="C19772" s="6" t="s">
        <v>1</v>
      </c>
    </row>
    <row r="19773" spans="1:3" s="8" customFormat="1" x14ac:dyDescent="0.2">
      <c r="A19773" s="6" t="str">
        <f>"TTYH2"</f>
        <v>TTYH2</v>
      </c>
      <c r="B19773" s="6" t="s">
        <v>1</v>
      </c>
      <c r="C19773" s="6" t="s">
        <v>1</v>
      </c>
    </row>
    <row r="19774" spans="1:3" s="8" customFormat="1" x14ac:dyDescent="0.2">
      <c r="A19774" s="6" t="str">
        <f>"LMO7-AS1"</f>
        <v>LMO7-AS1</v>
      </c>
      <c r="B19774" s="6" t="s">
        <v>1</v>
      </c>
      <c r="C19774" s="6" t="s">
        <v>1</v>
      </c>
    </row>
    <row r="19775" spans="1:3" s="8" customFormat="1" x14ac:dyDescent="0.2">
      <c r="A19775" s="6" t="str">
        <f>"CARD8-AS1"</f>
        <v>CARD8-AS1</v>
      </c>
      <c r="B19775" s="6" t="s">
        <v>1</v>
      </c>
      <c r="C19775" s="6" t="s">
        <v>1</v>
      </c>
    </row>
    <row r="19776" spans="1:3" s="8" customFormat="1" x14ac:dyDescent="0.2">
      <c r="A19776" s="6" t="str">
        <f>"TNFRSF13C"</f>
        <v>TNFRSF13C</v>
      </c>
      <c r="B19776" s="6" t="s">
        <v>1</v>
      </c>
      <c r="C19776" s="6" t="s">
        <v>1</v>
      </c>
    </row>
    <row r="19777" spans="1:3" s="8" customFormat="1" x14ac:dyDescent="0.2">
      <c r="A19777" s="6" t="str">
        <f>"VEPH1"</f>
        <v>VEPH1</v>
      </c>
      <c r="B19777" s="6" t="s">
        <v>1</v>
      </c>
      <c r="C19777" s="6" t="s">
        <v>1</v>
      </c>
    </row>
    <row r="19778" spans="1:3" s="8" customFormat="1" x14ac:dyDescent="0.2">
      <c r="A19778" s="6" t="str">
        <f>"GINS1"</f>
        <v>GINS1</v>
      </c>
      <c r="B19778" s="6" t="s">
        <v>1</v>
      </c>
      <c r="C19778" s="6" t="s">
        <v>1</v>
      </c>
    </row>
    <row r="19779" spans="1:3" s="8" customFormat="1" x14ac:dyDescent="0.2">
      <c r="A19779" s="6" t="str">
        <f>"PRMT8"</f>
        <v>PRMT8</v>
      </c>
      <c r="B19779" s="6" t="s">
        <v>1</v>
      </c>
      <c r="C19779" s="6" t="s">
        <v>1</v>
      </c>
    </row>
    <row r="19780" spans="1:3" s="8" customFormat="1" x14ac:dyDescent="0.2">
      <c r="A19780" s="6" t="str">
        <f>"MED12L"</f>
        <v>MED12L</v>
      </c>
      <c r="B19780" s="6" t="s">
        <v>1</v>
      </c>
      <c r="C19780" s="6" t="s">
        <v>1</v>
      </c>
    </row>
    <row r="19781" spans="1:3" s="8" customFormat="1" x14ac:dyDescent="0.2">
      <c r="A19781" s="6" t="str">
        <f>"LINC01170"</f>
        <v>LINC01170</v>
      </c>
      <c r="B19781" s="6" t="s">
        <v>1</v>
      </c>
      <c r="C19781" s="6" t="s">
        <v>1</v>
      </c>
    </row>
    <row r="19782" spans="1:3" s="8" customFormat="1" x14ac:dyDescent="0.2">
      <c r="A19782" s="6" t="str">
        <f>"NDUFV2-AS1"</f>
        <v>NDUFV2-AS1</v>
      </c>
      <c r="B19782" s="6" t="s">
        <v>1</v>
      </c>
      <c r="C19782" s="6" t="s">
        <v>1</v>
      </c>
    </row>
    <row r="19783" spans="1:3" s="8" customFormat="1" x14ac:dyDescent="0.2">
      <c r="A19783" s="6" t="str">
        <f>"EML5"</f>
        <v>EML5</v>
      </c>
      <c r="B19783" s="6" t="s">
        <v>1</v>
      </c>
      <c r="C19783" s="6" t="s">
        <v>1</v>
      </c>
    </row>
    <row r="19784" spans="1:3" s="8" customFormat="1" x14ac:dyDescent="0.2">
      <c r="A19784" s="6" t="str">
        <f>"HMMR"</f>
        <v>HMMR</v>
      </c>
      <c r="B19784" s="6" t="s">
        <v>1</v>
      </c>
      <c r="C19784" s="6" t="s">
        <v>1</v>
      </c>
    </row>
    <row r="19785" spans="1:3" s="8" customFormat="1" x14ac:dyDescent="0.2">
      <c r="A19785" s="6" t="str">
        <f>"AC012467.2"</f>
        <v>AC012467.2</v>
      </c>
      <c r="B19785" s="6" t="s">
        <v>1</v>
      </c>
      <c r="C19785" s="6" t="s">
        <v>1</v>
      </c>
    </row>
    <row r="19786" spans="1:3" s="8" customFormat="1" x14ac:dyDescent="0.2">
      <c r="A19786" s="6" t="str">
        <f>"SH3TC2"</f>
        <v>SH3TC2</v>
      </c>
      <c r="B19786" s="6" t="s">
        <v>1</v>
      </c>
      <c r="C19786" s="6" t="s">
        <v>1</v>
      </c>
    </row>
    <row r="19787" spans="1:3" s="8" customFormat="1" x14ac:dyDescent="0.2">
      <c r="A19787" s="6" t="str">
        <f>"KLK9"</f>
        <v>KLK9</v>
      </c>
      <c r="B19787" s="6" t="s">
        <v>1</v>
      </c>
      <c r="C19787" s="6" t="s">
        <v>1</v>
      </c>
    </row>
    <row r="19788" spans="1:3" s="8" customFormat="1" x14ac:dyDescent="0.2">
      <c r="A19788" s="6" t="str">
        <f>"FAM72A"</f>
        <v>FAM72A</v>
      </c>
      <c r="B19788" s="6" t="s">
        <v>1</v>
      </c>
      <c r="C19788" s="6" t="s">
        <v>1</v>
      </c>
    </row>
    <row r="19789" spans="1:3" s="8" customFormat="1" x14ac:dyDescent="0.2">
      <c r="A19789" s="6" t="str">
        <f>"AC093725.2"</f>
        <v>AC093725.2</v>
      </c>
      <c r="B19789" s="6" t="s">
        <v>1</v>
      </c>
      <c r="C19789" s="6" t="s">
        <v>1</v>
      </c>
    </row>
    <row r="19790" spans="1:3" s="8" customFormat="1" x14ac:dyDescent="0.2">
      <c r="A19790" s="6" t="str">
        <f>"GRAP2"</f>
        <v>GRAP2</v>
      </c>
      <c r="B19790" s="6" t="s">
        <v>1</v>
      </c>
      <c r="C19790" s="6" t="s">
        <v>1</v>
      </c>
    </row>
    <row r="19791" spans="1:3" s="8" customFormat="1" x14ac:dyDescent="0.2">
      <c r="A19791" s="6" t="str">
        <f>"AC022400.5"</f>
        <v>AC022400.5</v>
      </c>
      <c r="B19791" s="6" t="s">
        <v>1</v>
      </c>
      <c r="C19791" s="6" t="s">
        <v>1</v>
      </c>
    </row>
    <row r="19792" spans="1:3" s="8" customFormat="1" x14ac:dyDescent="0.2">
      <c r="A19792" s="6" t="str">
        <f>"RPLP1P6"</f>
        <v>RPLP1P6</v>
      </c>
      <c r="B19792" s="6" t="s">
        <v>1</v>
      </c>
      <c r="C19792" s="6" t="s">
        <v>1</v>
      </c>
    </row>
    <row r="19793" spans="1:3" s="8" customFormat="1" x14ac:dyDescent="0.2">
      <c r="A19793" s="6" t="str">
        <f>"AC067930.9"</f>
        <v>AC067930.9</v>
      </c>
      <c r="B19793" s="6" t="s">
        <v>1</v>
      </c>
      <c r="C19793" s="6" t="s">
        <v>1</v>
      </c>
    </row>
    <row r="19794" spans="1:3" s="8" customFormat="1" x14ac:dyDescent="0.2">
      <c r="A19794" s="6" t="str">
        <f>"ZNF235"</f>
        <v>ZNF235</v>
      </c>
      <c r="B19794" s="6" t="s">
        <v>1</v>
      </c>
      <c r="C19794" s="6" t="s">
        <v>1</v>
      </c>
    </row>
    <row r="19795" spans="1:3" s="8" customFormat="1" x14ac:dyDescent="0.2">
      <c r="A19795" s="6" t="str">
        <f>"AC127526.4"</f>
        <v>AC127526.4</v>
      </c>
      <c r="B19795" s="6" t="s">
        <v>1</v>
      </c>
      <c r="C19795" s="6" t="s">
        <v>1</v>
      </c>
    </row>
    <row r="19796" spans="1:3" s="8" customFormat="1" x14ac:dyDescent="0.2">
      <c r="A19796" s="6" t="str">
        <f>"MYO1A"</f>
        <v>MYO1A</v>
      </c>
      <c r="B19796" s="6" t="s">
        <v>1</v>
      </c>
      <c r="C19796" s="6" t="s">
        <v>1</v>
      </c>
    </row>
    <row r="19797" spans="1:3" s="8" customFormat="1" x14ac:dyDescent="0.2">
      <c r="A19797" s="6" t="str">
        <f>"LINC00920"</f>
        <v>LINC00920</v>
      </c>
      <c r="B19797" s="6" t="s">
        <v>1</v>
      </c>
      <c r="C19797" s="6" t="s">
        <v>1</v>
      </c>
    </row>
    <row r="19798" spans="1:3" s="8" customFormat="1" x14ac:dyDescent="0.2">
      <c r="A19798" s="6" t="str">
        <f>"RPRML"</f>
        <v>RPRML</v>
      </c>
      <c r="B19798" s="6" t="s">
        <v>1</v>
      </c>
      <c r="C19798" s="6" t="s">
        <v>1</v>
      </c>
    </row>
    <row r="19799" spans="1:3" s="8" customFormat="1" x14ac:dyDescent="0.2">
      <c r="A19799" s="6" t="str">
        <f>"AC093297.2"</f>
        <v>AC093297.2</v>
      </c>
      <c r="B19799" s="6" t="s">
        <v>1</v>
      </c>
      <c r="C19799" s="6" t="s">
        <v>1</v>
      </c>
    </row>
    <row r="19800" spans="1:3" s="8" customFormat="1" x14ac:dyDescent="0.2">
      <c r="A19800" s="6" t="str">
        <f>"SLC25A53"</f>
        <v>SLC25A53</v>
      </c>
      <c r="B19800" s="6" t="s">
        <v>1</v>
      </c>
      <c r="C19800" s="6" t="s">
        <v>1</v>
      </c>
    </row>
    <row r="19801" spans="1:3" s="8" customFormat="1" x14ac:dyDescent="0.2">
      <c r="A19801" s="6" t="str">
        <f>"AC093827.5"</f>
        <v>AC093827.5</v>
      </c>
      <c r="B19801" s="6" t="s">
        <v>1</v>
      </c>
      <c r="C19801" s="6" t="s">
        <v>1</v>
      </c>
    </row>
    <row r="19802" spans="1:3" s="8" customFormat="1" x14ac:dyDescent="0.2">
      <c r="A19802" s="6" t="str">
        <f>"DNM3"</f>
        <v>DNM3</v>
      </c>
      <c r="B19802" s="6" t="s">
        <v>1</v>
      </c>
      <c r="C19802" s="6" t="s">
        <v>1</v>
      </c>
    </row>
    <row r="19803" spans="1:3" s="8" customFormat="1" x14ac:dyDescent="0.2">
      <c r="A19803" s="6" t="str">
        <f>"TREM2"</f>
        <v>TREM2</v>
      </c>
      <c r="B19803" s="6" t="s">
        <v>1</v>
      </c>
      <c r="C19803" s="6" t="s">
        <v>1</v>
      </c>
    </row>
    <row r="19804" spans="1:3" s="8" customFormat="1" x14ac:dyDescent="0.2">
      <c r="A19804" s="6" t="str">
        <f>"CELSR3"</f>
        <v>CELSR3</v>
      </c>
      <c r="B19804" s="6" t="s">
        <v>1</v>
      </c>
      <c r="C19804" s="6" t="s">
        <v>1</v>
      </c>
    </row>
    <row r="19805" spans="1:3" s="8" customFormat="1" x14ac:dyDescent="0.2">
      <c r="A19805" s="6" t="str">
        <f>"SRGAP2D"</f>
        <v>SRGAP2D</v>
      </c>
      <c r="B19805" s="6" t="s">
        <v>1</v>
      </c>
      <c r="C19805" s="6" t="s">
        <v>1</v>
      </c>
    </row>
    <row r="19806" spans="1:3" s="8" customFormat="1" x14ac:dyDescent="0.2">
      <c r="A19806" s="6" t="str">
        <f>"CCNA2"</f>
        <v>CCNA2</v>
      </c>
      <c r="B19806" s="6" t="s">
        <v>1</v>
      </c>
      <c r="C19806" s="6" t="s">
        <v>1</v>
      </c>
    </row>
    <row r="19807" spans="1:3" s="8" customFormat="1" x14ac:dyDescent="0.2">
      <c r="A19807" s="6" t="str">
        <f>"LINC00899"</f>
        <v>LINC00899</v>
      </c>
      <c r="B19807" s="6" t="s">
        <v>1</v>
      </c>
      <c r="C19807" s="6" t="s">
        <v>1</v>
      </c>
    </row>
    <row r="19808" spans="1:3" s="8" customFormat="1" x14ac:dyDescent="0.2">
      <c r="A19808" s="6" t="str">
        <f>"GAB3"</f>
        <v>GAB3</v>
      </c>
      <c r="B19808" s="6" t="s">
        <v>1</v>
      </c>
      <c r="C19808" s="6" t="s">
        <v>1</v>
      </c>
    </row>
    <row r="19809" spans="1:3" s="8" customFormat="1" x14ac:dyDescent="0.2">
      <c r="A19809" s="6" t="str">
        <f>"MIR31HG"</f>
        <v>MIR31HG</v>
      </c>
      <c r="B19809" s="6" t="s">
        <v>1</v>
      </c>
      <c r="C19809" s="6" t="s">
        <v>1</v>
      </c>
    </row>
    <row r="19810" spans="1:3" s="8" customFormat="1" x14ac:dyDescent="0.2">
      <c r="A19810" s="6" t="str">
        <f>"CRISP2"</f>
        <v>CRISP2</v>
      </c>
      <c r="B19810" s="6" t="s">
        <v>1</v>
      </c>
      <c r="C19810" s="6" t="s">
        <v>1</v>
      </c>
    </row>
    <row r="19811" spans="1:3" s="8" customFormat="1" x14ac:dyDescent="0.2">
      <c r="A19811" s="6" t="str">
        <f>"ASDURF"</f>
        <v>ASDURF</v>
      </c>
      <c r="B19811" s="6" t="s">
        <v>1</v>
      </c>
      <c r="C19811" s="6" t="s">
        <v>1</v>
      </c>
    </row>
    <row r="19812" spans="1:3" s="8" customFormat="1" x14ac:dyDescent="0.2">
      <c r="A19812" s="6" t="str">
        <f>"AL353807.5"</f>
        <v>AL353807.5</v>
      </c>
      <c r="B19812" s="6" t="s">
        <v>1</v>
      </c>
      <c r="C19812" s="6" t="s">
        <v>1</v>
      </c>
    </row>
    <row r="19813" spans="1:3" s="8" customFormat="1" x14ac:dyDescent="0.2">
      <c r="A19813" s="6" t="str">
        <f>"PCSK9"</f>
        <v>PCSK9</v>
      </c>
      <c r="B19813" s="6" t="s">
        <v>1</v>
      </c>
      <c r="C19813" s="6" t="s">
        <v>1</v>
      </c>
    </row>
    <row r="19814" spans="1:3" s="8" customFormat="1" x14ac:dyDescent="0.2">
      <c r="A19814" s="6" t="str">
        <f>"AL445524.1"</f>
        <v>AL445524.1</v>
      </c>
      <c r="B19814" s="6" t="s">
        <v>1</v>
      </c>
      <c r="C19814" s="6" t="s">
        <v>1</v>
      </c>
    </row>
    <row r="19815" spans="1:3" s="8" customFormat="1" x14ac:dyDescent="0.2">
      <c r="A19815" s="6" t="str">
        <f>"CNTN3"</f>
        <v>CNTN3</v>
      </c>
      <c r="B19815" s="6" t="s">
        <v>1</v>
      </c>
      <c r="C19815" s="6" t="s">
        <v>1</v>
      </c>
    </row>
    <row r="19816" spans="1:3" s="8" customFormat="1" x14ac:dyDescent="0.2">
      <c r="A19816" s="6" t="str">
        <f>"AL022345.4"</f>
        <v>AL022345.4</v>
      </c>
      <c r="B19816" s="6" t="s">
        <v>1</v>
      </c>
      <c r="C19816" s="6" t="s">
        <v>1</v>
      </c>
    </row>
    <row r="19817" spans="1:3" s="8" customFormat="1" x14ac:dyDescent="0.2">
      <c r="A19817" s="6" t="str">
        <f>"P2RY8"</f>
        <v>P2RY8</v>
      </c>
      <c r="B19817" s="6" t="s">
        <v>1</v>
      </c>
      <c r="C19817" s="6" t="s">
        <v>1</v>
      </c>
    </row>
    <row r="19818" spans="1:3" s="8" customFormat="1" x14ac:dyDescent="0.2">
      <c r="A19818" s="6" t="str">
        <f>"ALOX12-AS1"</f>
        <v>ALOX12-AS1</v>
      </c>
      <c r="B19818" s="6" t="s">
        <v>1</v>
      </c>
      <c r="C19818" s="6" t="s">
        <v>1</v>
      </c>
    </row>
    <row r="19819" spans="1:3" s="8" customFormat="1" x14ac:dyDescent="0.2">
      <c r="A19819" s="6" t="str">
        <f>"EDRF1-DT"</f>
        <v>EDRF1-DT</v>
      </c>
      <c r="B19819" s="6" t="s">
        <v>1</v>
      </c>
      <c r="C19819" s="6" t="s">
        <v>1</v>
      </c>
    </row>
    <row r="19820" spans="1:3" s="8" customFormat="1" x14ac:dyDescent="0.2">
      <c r="A19820" s="6" t="str">
        <f>"AC243772.2"</f>
        <v>AC243772.2</v>
      </c>
      <c r="B19820" s="6" t="s">
        <v>1</v>
      </c>
      <c r="C19820" s="6" t="s">
        <v>1</v>
      </c>
    </row>
    <row r="19821" spans="1:3" s="8" customFormat="1" x14ac:dyDescent="0.2">
      <c r="A19821" s="6" t="str">
        <f>"SOCS1"</f>
        <v>SOCS1</v>
      </c>
      <c r="B19821" s="6" t="s">
        <v>1</v>
      </c>
      <c r="C19821" s="6" t="s">
        <v>1</v>
      </c>
    </row>
    <row r="19822" spans="1:3" s="8" customFormat="1" x14ac:dyDescent="0.2">
      <c r="A19822" s="6" t="str">
        <f>"NPIPA3"</f>
        <v>NPIPA3</v>
      </c>
      <c r="B19822" s="6" t="s">
        <v>1</v>
      </c>
      <c r="C19822" s="6" t="s">
        <v>1</v>
      </c>
    </row>
    <row r="19823" spans="1:3" s="8" customFormat="1" x14ac:dyDescent="0.2">
      <c r="A19823" s="6" t="str">
        <f>"GPR37"</f>
        <v>GPR37</v>
      </c>
      <c r="B19823" s="6" t="s">
        <v>1</v>
      </c>
      <c r="C19823" s="6" t="s">
        <v>1</v>
      </c>
    </row>
    <row r="19824" spans="1:3" s="8" customFormat="1" x14ac:dyDescent="0.2">
      <c r="A19824" s="6" t="str">
        <f>"AL451042.2"</f>
        <v>AL451042.2</v>
      </c>
      <c r="B19824" s="6" t="s">
        <v>1</v>
      </c>
      <c r="C19824" s="6" t="s">
        <v>1</v>
      </c>
    </row>
    <row r="19825" spans="1:3" s="8" customFormat="1" x14ac:dyDescent="0.2">
      <c r="A19825" s="6" t="str">
        <f>"ASB2"</f>
        <v>ASB2</v>
      </c>
      <c r="B19825" s="6" t="s">
        <v>1</v>
      </c>
      <c r="C19825" s="6" t="s">
        <v>1</v>
      </c>
    </row>
    <row r="19826" spans="1:3" s="8" customFormat="1" x14ac:dyDescent="0.2">
      <c r="A19826" s="6" t="str">
        <f>"MRPS31P4"</f>
        <v>MRPS31P4</v>
      </c>
      <c r="B19826" s="6" t="s">
        <v>1</v>
      </c>
      <c r="C19826" s="6" t="s">
        <v>1</v>
      </c>
    </row>
    <row r="19827" spans="1:3" s="8" customFormat="1" x14ac:dyDescent="0.2">
      <c r="A19827" s="6" t="str">
        <f>"LRAT"</f>
        <v>LRAT</v>
      </c>
      <c r="B19827" s="6" t="s">
        <v>1</v>
      </c>
      <c r="C19827" s="6" t="s">
        <v>1</v>
      </c>
    </row>
    <row r="19828" spans="1:3" s="8" customFormat="1" x14ac:dyDescent="0.2">
      <c r="A19828" s="6" t="str">
        <f>"UGT2A2"</f>
        <v>UGT2A2</v>
      </c>
      <c r="B19828" s="6" t="s">
        <v>1</v>
      </c>
      <c r="C19828" s="6" t="s">
        <v>1</v>
      </c>
    </row>
    <row r="19829" spans="1:3" s="8" customFormat="1" x14ac:dyDescent="0.2">
      <c r="A19829" s="6" t="str">
        <f>"AC242426.2"</f>
        <v>AC242426.2</v>
      </c>
      <c r="B19829" s="6" t="s">
        <v>1</v>
      </c>
      <c r="C19829" s="6" t="s">
        <v>1</v>
      </c>
    </row>
    <row r="19830" spans="1:3" s="8" customFormat="1" x14ac:dyDescent="0.2">
      <c r="A19830" s="6" t="str">
        <f>"INKA1"</f>
        <v>INKA1</v>
      </c>
      <c r="B19830" s="6" t="s">
        <v>1</v>
      </c>
      <c r="C19830" s="6" t="s">
        <v>1</v>
      </c>
    </row>
    <row r="19831" spans="1:3" s="8" customFormat="1" x14ac:dyDescent="0.2">
      <c r="A19831" s="6" t="str">
        <f>"HBA1"</f>
        <v>HBA1</v>
      </c>
      <c r="B19831" s="6" t="s">
        <v>1</v>
      </c>
      <c r="C19831" s="6" t="s">
        <v>1</v>
      </c>
    </row>
    <row r="19832" spans="1:3" s="8" customFormat="1" x14ac:dyDescent="0.2">
      <c r="A19832" s="6" t="str">
        <f>"ZSCAN16-AS1"</f>
        <v>ZSCAN16-AS1</v>
      </c>
      <c r="B19832" s="6" t="s">
        <v>1</v>
      </c>
      <c r="C19832" s="6" t="s">
        <v>1</v>
      </c>
    </row>
    <row r="19833" spans="1:3" s="8" customFormat="1" x14ac:dyDescent="0.2">
      <c r="A19833" s="6" t="str">
        <f>"AC087289.5"</f>
        <v>AC087289.5</v>
      </c>
      <c r="B19833" s="6" t="s">
        <v>1</v>
      </c>
      <c r="C19833" s="6" t="s">
        <v>1</v>
      </c>
    </row>
    <row r="19834" spans="1:3" s="8" customFormat="1" x14ac:dyDescent="0.2">
      <c r="A19834" s="6" t="str">
        <f>"C1RL-AS1"</f>
        <v>C1RL-AS1</v>
      </c>
      <c r="B19834" s="6" t="s">
        <v>1</v>
      </c>
      <c r="C19834" s="6" t="s">
        <v>1</v>
      </c>
    </row>
    <row r="19835" spans="1:3" s="8" customFormat="1" x14ac:dyDescent="0.2">
      <c r="A19835" s="6" t="str">
        <f>"PCDHGB4"</f>
        <v>PCDHGB4</v>
      </c>
      <c r="B19835" s="6" t="s">
        <v>1</v>
      </c>
      <c r="C19835" s="6" t="s">
        <v>1</v>
      </c>
    </row>
    <row r="19836" spans="1:3" s="8" customFormat="1" x14ac:dyDescent="0.2">
      <c r="A19836" s="6" t="str">
        <f>"PCLAF"</f>
        <v>PCLAF</v>
      </c>
      <c r="B19836" s="6" t="s">
        <v>1</v>
      </c>
      <c r="C19836" s="6" t="s">
        <v>1</v>
      </c>
    </row>
    <row r="19837" spans="1:3" s="8" customFormat="1" x14ac:dyDescent="0.2">
      <c r="A19837" s="6" t="str">
        <f>"AC130456.6"</f>
        <v>AC130456.6</v>
      </c>
      <c r="B19837" s="6" t="s">
        <v>1</v>
      </c>
      <c r="C19837" s="6" t="s">
        <v>1</v>
      </c>
    </row>
    <row r="19838" spans="1:3" s="8" customFormat="1" x14ac:dyDescent="0.2">
      <c r="A19838" s="6" t="str">
        <f>"GPSM1"</f>
        <v>GPSM1</v>
      </c>
      <c r="B19838" s="6" t="s">
        <v>1</v>
      </c>
      <c r="C19838" s="6" t="s">
        <v>1</v>
      </c>
    </row>
    <row r="19839" spans="1:3" s="8" customFormat="1" x14ac:dyDescent="0.2">
      <c r="A19839" s="6" t="str">
        <f>"TTK"</f>
        <v>TTK</v>
      </c>
      <c r="B19839" s="6" t="s">
        <v>1</v>
      </c>
      <c r="C19839" s="6" t="s">
        <v>1</v>
      </c>
    </row>
    <row r="19840" spans="1:3" s="8" customFormat="1" x14ac:dyDescent="0.2">
      <c r="A19840" s="6" t="str">
        <f>"AC015813.6"</f>
        <v>AC015813.6</v>
      </c>
      <c r="B19840" s="6" t="s">
        <v>1</v>
      </c>
      <c r="C19840" s="6" t="s">
        <v>1</v>
      </c>
    </row>
    <row r="19841" spans="1:3" s="8" customFormat="1" x14ac:dyDescent="0.2">
      <c r="A19841" s="6" t="str">
        <f>"LRFN1"</f>
        <v>LRFN1</v>
      </c>
      <c r="B19841" s="6" t="s">
        <v>1</v>
      </c>
      <c r="C19841" s="6" t="s">
        <v>1</v>
      </c>
    </row>
    <row r="19842" spans="1:3" s="8" customFormat="1" x14ac:dyDescent="0.2">
      <c r="A19842" s="6" t="str">
        <f>"CCSER1"</f>
        <v>CCSER1</v>
      </c>
      <c r="B19842" s="6" t="s">
        <v>1</v>
      </c>
      <c r="C19842" s="6" t="s">
        <v>1</v>
      </c>
    </row>
    <row r="19843" spans="1:3" s="8" customFormat="1" x14ac:dyDescent="0.2">
      <c r="A19843" s="6" t="str">
        <f>"RENBP"</f>
        <v>RENBP</v>
      </c>
      <c r="B19843" s="6" t="s">
        <v>1</v>
      </c>
      <c r="C19843" s="6" t="s">
        <v>1</v>
      </c>
    </row>
    <row r="19844" spans="1:3" s="8" customFormat="1" x14ac:dyDescent="0.2">
      <c r="A19844" s="6" t="str">
        <f>"AC127502.2"</f>
        <v>AC127502.2</v>
      </c>
      <c r="B19844" s="6" t="s">
        <v>1</v>
      </c>
      <c r="C19844" s="6" t="s">
        <v>1</v>
      </c>
    </row>
    <row r="19845" spans="1:3" s="8" customFormat="1" x14ac:dyDescent="0.2">
      <c r="A19845" s="6" t="str">
        <f>"LINC02057"</f>
        <v>LINC02057</v>
      </c>
      <c r="B19845" s="6" t="s">
        <v>1</v>
      </c>
      <c r="C19845" s="6" t="s">
        <v>1</v>
      </c>
    </row>
    <row r="19846" spans="1:3" s="8" customFormat="1" x14ac:dyDescent="0.2">
      <c r="A19846" s="6" t="str">
        <f>"PROB1"</f>
        <v>PROB1</v>
      </c>
      <c r="B19846" s="6" t="s">
        <v>1</v>
      </c>
      <c r="C19846" s="6" t="s">
        <v>1</v>
      </c>
    </row>
    <row r="19847" spans="1:3" s="8" customFormat="1" x14ac:dyDescent="0.2">
      <c r="A19847" s="6" t="str">
        <f>"GLRB"</f>
        <v>GLRB</v>
      </c>
      <c r="B19847" s="6" t="s">
        <v>1</v>
      </c>
      <c r="C19847" s="6" t="s">
        <v>1</v>
      </c>
    </row>
    <row r="19848" spans="1:3" s="8" customFormat="1" x14ac:dyDescent="0.2">
      <c r="A19848" s="6" t="str">
        <f>"APOM"</f>
        <v>APOM</v>
      </c>
      <c r="B19848" s="6" t="s">
        <v>1</v>
      </c>
      <c r="C19848" s="6" t="s">
        <v>1</v>
      </c>
    </row>
    <row r="19849" spans="1:3" s="8" customFormat="1" x14ac:dyDescent="0.2">
      <c r="A19849" s="6" t="str">
        <f>"FJX1"</f>
        <v>FJX1</v>
      </c>
      <c r="B19849" s="6" t="s">
        <v>1</v>
      </c>
      <c r="C19849" s="6" t="s">
        <v>1</v>
      </c>
    </row>
    <row r="19850" spans="1:3" s="8" customFormat="1" x14ac:dyDescent="0.2">
      <c r="A19850" s="6" t="str">
        <f>"AL449106.1"</f>
        <v>AL449106.1</v>
      </c>
      <c r="B19850" s="6" t="s">
        <v>1</v>
      </c>
      <c r="C19850" s="6" t="s">
        <v>1</v>
      </c>
    </row>
    <row r="19851" spans="1:3" s="8" customFormat="1" x14ac:dyDescent="0.2">
      <c r="A19851" s="6" t="str">
        <f>"AC015813.2"</f>
        <v>AC015813.2</v>
      </c>
      <c r="B19851" s="6" t="s">
        <v>1</v>
      </c>
      <c r="C19851" s="6" t="s">
        <v>1</v>
      </c>
    </row>
    <row r="19852" spans="1:3" s="8" customFormat="1" x14ac:dyDescent="0.2">
      <c r="A19852" s="6" t="str">
        <f>"AC012618.3"</f>
        <v>AC012618.3</v>
      </c>
      <c r="B19852" s="6" t="s">
        <v>1</v>
      </c>
      <c r="C19852" s="6" t="s">
        <v>1</v>
      </c>
    </row>
    <row r="19853" spans="1:3" s="8" customFormat="1" x14ac:dyDescent="0.2">
      <c r="A19853" s="6" t="str">
        <f>"C2CD4B"</f>
        <v>C2CD4B</v>
      </c>
      <c r="B19853" s="6" t="s">
        <v>1</v>
      </c>
      <c r="C19853" s="6" t="s">
        <v>1</v>
      </c>
    </row>
    <row r="19854" spans="1:3" s="8" customFormat="1" x14ac:dyDescent="0.2">
      <c r="A19854" s="6" t="str">
        <f>"GLIPR1L2"</f>
        <v>GLIPR1L2</v>
      </c>
      <c r="B19854" s="6" t="s">
        <v>1</v>
      </c>
      <c r="C19854" s="6" t="s">
        <v>1</v>
      </c>
    </row>
    <row r="19855" spans="1:3" s="8" customFormat="1" x14ac:dyDescent="0.2">
      <c r="A19855" s="6" t="str">
        <f>"DNAJC28"</f>
        <v>DNAJC28</v>
      </c>
      <c r="B19855" s="6" t="s">
        <v>1</v>
      </c>
      <c r="C19855" s="6" t="s">
        <v>1</v>
      </c>
    </row>
    <row r="19856" spans="1:3" s="8" customFormat="1" x14ac:dyDescent="0.2">
      <c r="A19856" s="6" t="str">
        <f>"PDE1C"</f>
        <v>PDE1C</v>
      </c>
      <c r="B19856" s="6" t="s">
        <v>1</v>
      </c>
      <c r="C19856" s="6" t="s">
        <v>1</v>
      </c>
    </row>
    <row r="19857" spans="1:3" s="8" customFormat="1" x14ac:dyDescent="0.2">
      <c r="A19857" s="6" t="str">
        <f>"CYP2G2P"</f>
        <v>CYP2G2P</v>
      </c>
      <c r="B19857" s="6" t="s">
        <v>1</v>
      </c>
      <c r="C19857" s="6" t="s">
        <v>1</v>
      </c>
    </row>
    <row r="19858" spans="1:3" s="8" customFormat="1" x14ac:dyDescent="0.2">
      <c r="A19858" s="6" t="str">
        <f>"PHOSPHO2"</f>
        <v>PHOSPHO2</v>
      </c>
      <c r="B19858" s="6" t="s">
        <v>1</v>
      </c>
      <c r="C19858" s="6" t="s">
        <v>1</v>
      </c>
    </row>
    <row r="19859" spans="1:3" s="8" customFormat="1" x14ac:dyDescent="0.2">
      <c r="A19859" s="6" t="str">
        <f>"TRIM17"</f>
        <v>TRIM17</v>
      </c>
      <c r="B19859" s="6" t="s">
        <v>1</v>
      </c>
      <c r="C19859" s="6" t="s">
        <v>1</v>
      </c>
    </row>
    <row r="19860" spans="1:3" s="8" customFormat="1" x14ac:dyDescent="0.2">
      <c r="A19860" s="6" t="str">
        <f>"MYH7B"</f>
        <v>MYH7B</v>
      </c>
      <c r="B19860" s="6" t="s">
        <v>1</v>
      </c>
      <c r="C19860" s="6" t="s">
        <v>1</v>
      </c>
    </row>
    <row r="19861" spans="1:3" s="8" customFormat="1" x14ac:dyDescent="0.2">
      <c r="A19861" s="6" t="str">
        <f>"LONRF3"</f>
        <v>LONRF3</v>
      </c>
      <c r="B19861" s="6" t="s">
        <v>1</v>
      </c>
      <c r="C19861" s="6" t="s">
        <v>1</v>
      </c>
    </row>
    <row r="19862" spans="1:3" s="8" customFormat="1" x14ac:dyDescent="0.2">
      <c r="A19862" s="6" t="str">
        <f>"MIR762HG"</f>
        <v>MIR762HG</v>
      </c>
      <c r="B19862" s="6" t="s">
        <v>1</v>
      </c>
      <c r="C19862" s="6" t="s">
        <v>1</v>
      </c>
    </row>
    <row r="19863" spans="1:3" s="8" customFormat="1" x14ac:dyDescent="0.2">
      <c r="A19863" s="6" t="str">
        <f>"PCDHGB2"</f>
        <v>PCDHGB2</v>
      </c>
      <c r="B19863" s="6" t="s">
        <v>1</v>
      </c>
      <c r="C19863" s="6" t="s">
        <v>1</v>
      </c>
    </row>
    <row r="19864" spans="1:3" s="8" customFormat="1" x14ac:dyDescent="0.2">
      <c r="A19864" s="6" t="str">
        <f>"AQP1"</f>
        <v>AQP1</v>
      </c>
      <c r="B19864" s="6" t="s">
        <v>1</v>
      </c>
      <c r="C19864" s="6" t="s">
        <v>1</v>
      </c>
    </row>
    <row r="19865" spans="1:3" s="8" customFormat="1" x14ac:dyDescent="0.2">
      <c r="A19865" s="6" t="str">
        <f>"AC012651.1"</f>
        <v>AC012651.1</v>
      </c>
      <c r="B19865" s="6" t="s">
        <v>1</v>
      </c>
      <c r="C19865" s="6" t="s">
        <v>1</v>
      </c>
    </row>
    <row r="19866" spans="1:3" s="8" customFormat="1" x14ac:dyDescent="0.2">
      <c r="A19866" s="6" t="str">
        <f>"NXF2"</f>
        <v>NXF2</v>
      </c>
      <c r="B19866" s="6" t="s">
        <v>1</v>
      </c>
      <c r="C19866" s="6" t="s">
        <v>1</v>
      </c>
    </row>
    <row r="19867" spans="1:3" s="8" customFormat="1" x14ac:dyDescent="0.2">
      <c r="A19867" s="6" t="str">
        <f>"WNT10A"</f>
        <v>WNT10A</v>
      </c>
      <c r="B19867" s="6" t="s">
        <v>1</v>
      </c>
      <c r="C19867" s="6" t="s">
        <v>1</v>
      </c>
    </row>
    <row r="19868" spans="1:3" s="8" customFormat="1" x14ac:dyDescent="0.2">
      <c r="A19868" s="6" t="str">
        <f>"SORCS2"</f>
        <v>SORCS2</v>
      </c>
      <c r="B19868" s="6" t="s">
        <v>1</v>
      </c>
      <c r="C19868" s="6" t="s">
        <v>1</v>
      </c>
    </row>
    <row r="19869" spans="1:3" s="8" customFormat="1" x14ac:dyDescent="0.2">
      <c r="A19869" s="6" t="str">
        <f>"GRK4"</f>
        <v>GRK4</v>
      </c>
      <c r="B19869" s="6" t="s">
        <v>1</v>
      </c>
      <c r="C19869" s="6" t="s">
        <v>1</v>
      </c>
    </row>
    <row r="19870" spans="1:3" s="8" customFormat="1" x14ac:dyDescent="0.2">
      <c r="A19870" s="6" t="str">
        <f>"FAHD2CP"</f>
        <v>FAHD2CP</v>
      </c>
      <c r="B19870" s="6" t="s">
        <v>1</v>
      </c>
      <c r="C19870" s="6" t="s">
        <v>1</v>
      </c>
    </row>
    <row r="19871" spans="1:3" s="8" customFormat="1" x14ac:dyDescent="0.2">
      <c r="A19871" s="6" t="str">
        <f>"AEBP1"</f>
        <v>AEBP1</v>
      </c>
      <c r="B19871" s="6" t="s">
        <v>1</v>
      </c>
      <c r="C19871" s="6" t="s">
        <v>1</v>
      </c>
    </row>
    <row r="19872" spans="1:3" s="8" customFormat="1" x14ac:dyDescent="0.2">
      <c r="A19872" s="6" t="str">
        <f>"TG"</f>
        <v>TG</v>
      </c>
      <c r="B19872" s="6" t="s">
        <v>1</v>
      </c>
      <c r="C19872" s="6" t="s">
        <v>1</v>
      </c>
    </row>
    <row r="19873" spans="1:3" s="8" customFormat="1" x14ac:dyDescent="0.2">
      <c r="A19873" s="6" t="str">
        <f>"AC004982.2"</f>
        <v>AC004982.2</v>
      </c>
      <c r="B19873" s="6" t="s">
        <v>1</v>
      </c>
      <c r="C19873" s="6" t="s">
        <v>1</v>
      </c>
    </row>
    <row r="19874" spans="1:3" s="8" customFormat="1" x14ac:dyDescent="0.2">
      <c r="A19874" s="6" t="str">
        <f>"LINC00957"</f>
        <v>LINC00957</v>
      </c>
      <c r="B19874" s="6" t="s">
        <v>1</v>
      </c>
      <c r="C19874" s="6" t="s">
        <v>1</v>
      </c>
    </row>
    <row r="19875" spans="1:3" s="8" customFormat="1" x14ac:dyDescent="0.2">
      <c r="A19875" s="6" t="str">
        <f>"RPL5P4"</f>
        <v>RPL5P4</v>
      </c>
      <c r="B19875" s="6" t="s">
        <v>1</v>
      </c>
      <c r="C19875" s="6" t="s">
        <v>1</v>
      </c>
    </row>
    <row r="19876" spans="1:3" s="8" customFormat="1" x14ac:dyDescent="0.2">
      <c r="A19876" s="6" t="str">
        <f>"LINC02062"</f>
        <v>LINC02062</v>
      </c>
      <c r="B19876" s="6" t="s">
        <v>1</v>
      </c>
      <c r="C19876" s="6" t="s">
        <v>1</v>
      </c>
    </row>
    <row r="19877" spans="1:3" s="8" customFormat="1" x14ac:dyDescent="0.2">
      <c r="A19877" s="6" t="str">
        <f>"GLS2"</f>
        <v>GLS2</v>
      </c>
      <c r="B19877" s="6" t="s">
        <v>1</v>
      </c>
      <c r="C19877" s="6" t="s">
        <v>1</v>
      </c>
    </row>
    <row r="19878" spans="1:3" s="8" customFormat="1" x14ac:dyDescent="0.2">
      <c r="A19878" s="6" t="str">
        <f>"ASPM"</f>
        <v>ASPM</v>
      </c>
      <c r="B19878" s="6" t="s">
        <v>1</v>
      </c>
      <c r="C19878" s="6" t="s">
        <v>1</v>
      </c>
    </row>
    <row r="19879" spans="1:3" s="8" customFormat="1" x14ac:dyDescent="0.2">
      <c r="A19879" s="6" t="str">
        <f>"ADPRM"</f>
        <v>ADPRM</v>
      </c>
      <c r="B19879" s="6" t="s">
        <v>1</v>
      </c>
      <c r="C19879" s="6" t="s">
        <v>1</v>
      </c>
    </row>
    <row r="19880" spans="1:3" s="8" customFormat="1" x14ac:dyDescent="0.2">
      <c r="A19880" s="6" t="str">
        <f>"E2F2"</f>
        <v>E2F2</v>
      </c>
      <c r="B19880" s="6" t="s">
        <v>1</v>
      </c>
      <c r="C19880" s="6" t="s">
        <v>1</v>
      </c>
    </row>
    <row r="19881" spans="1:3" s="8" customFormat="1" x14ac:dyDescent="0.2">
      <c r="A19881" s="6" t="str">
        <f>"AC015660.1"</f>
        <v>AC015660.1</v>
      </c>
      <c r="B19881" s="6" t="s">
        <v>1</v>
      </c>
      <c r="C19881" s="6" t="s">
        <v>1</v>
      </c>
    </row>
    <row r="19882" spans="1:3" s="8" customFormat="1" x14ac:dyDescent="0.2">
      <c r="A19882" s="6" t="str">
        <f>"LINC00923"</f>
        <v>LINC00923</v>
      </c>
      <c r="B19882" s="6" t="s">
        <v>1</v>
      </c>
      <c r="C19882" s="6" t="s">
        <v>1</v>
      </c>
    </row>
    <row r="19883" spans="1:3" s="8" customFormat="1" x14ac:dyDescent="0.2">
      <c r="A19883" s="6" t="str">
        <f>"ASPG"</f>
        <v>ASPG</v>
      </c>
      <c r="B19883" s="6" t="s">
        <v>1</v>
      </c>
      <c r="C19883" s="6" t="s">
        <v>1</v>
      </c>
    </row>
    <row r="19884" spans="1:3" s="8" customFormat="1" x14ac:dyDescent="0.2">
      <c r="A19884" s="6" t="str">
        <f>"CCL4"</f>
        <v>CCL4</v>
      </c>
      <c r="B19884" s="6" t="s">
        <v>1</v>
      </c>
      <c r="C19884" s="6" t="s">
        <v>1</v>
      </c>
    </row>
    <row r="19885" spans="1:3" s="8" customFormat="1" x14ac:dyDescent="0.2">
      <c r="A19885" s="6" t="str">
        <f>"AL354766.2"</f>
        <v>AL354766.2</v>
      </c>
      <c r="B19885" s="6" t="s">
        <v>1</v>
      </c>
      <c r="C19885" s="6" t="s">
        <v>1</v>
      </c>
    </row>
    <row r="19886" spans="1:3" s="8" customFormat="1" x14ac:dyDescent="0.2">
      <c r="A19886" s="6" t="str">
        <f>"H2BC8"</f>
        <v>H2BC8</v>
      </c>
      <c r="B19886" s="6" t="s">
        <v>1</v>
      </c>
      <c r="C19886" s="6" t="s">
        <v>1</v>
      </c>
    </row>
    <row r="19887" spans="1:3" s="8" customFormat="1" x14ac:dyDescent="0.2">
      <c r="A19887" s="6" t="str">
        <f>"AL024508.1"</f>
        <v>AL024508.1</v>
      </c>
      <c r="B19887" s="6" t="s">
        <v>1</v>
      </c>
      <c r="C19887" s="6" t="s">
        <v>1</v>
      </c>
    </row>
    <row r="19888" spans="1:3" s="8" customFormat="1" x14ac:dyDescent="0.2">
      <c r="A19888" s="6" t="str">
        <f>"MIRLET7BHG"</f>
        <v>MIRLET7BHG</v>
      </c>
      <c r="B19888" s="6" t="s">
        <v>1</v>
      </c>
      <c r="C19888" s="6" t="s">
        <v>1</v>
      </c>
    </row>
    <row r="19889" spans="1:3" s="8" customFormat="1" x14ac:dyDescent="0.2">
      <c r="A19889" s="6" t="str">
        <f>"AC129492.3"</f>
        <v>AC129492.3</v>
      </c>
      <c r="B19889" s="6" t="s">
        <v>1</v>
      </c>
      <c r="C19889" s="6" t="s">
        <v>1</v>
      </c>
    </row>
    <row r="19890" spans="1:3" s="8" customFormat="1" x14ac:dyDescent="0.2">
      <c r="A19890" s="6" t="str">
        <f>"BTBD19"</f>
        <v>BTBD19</v>
      </c>
      <c r="B19890" s="6" t="s">
        <v>1</v>
      </c>
      <c r="C19890" s="6" t="s">
        <v>1</v>
      </c>
    </row>
    <row r="19891" spans="1:3" s="8" customFormat="1" x14ac:dyDescent="0.2">
      <c r="A19891" s="6" t="str">
        <f>"CCL3"</f>
        <v>CCL3</v>
      </c>
      <c r="B19891" s="6" t="s">
        <v>1</v>
      </c>
      <c r="C19891" s="6" t="s">
        <v>1</v>
      </c>
    </row>
    <row r="19892" spans="1:3" s="8" customFormat="1" x14ac:dyDescent="0.2">
      <c r="A19892" s="6" t="str">
        <f>"ASH1L-AS1"</f>
        <v>ASH1L-AS1</v>
      </c>
      <c r="B19892" s="6" t="s">
        <v>1</v>
      </c>
      <c r="C19892" s="6" t="s">
        <v>1</v>
      </c>
    </row>
    <row r="19893" spans="1:3" s="8" customFormat="1" x14ac:dyDescent="0.2">
      <c r="A19893" s="6" t="str">
        <f>"UCHL1"</f>
        <v>UCHL1</v>
      </c>
      <c r="B19893" s="6" t="s">
        <v>1</v>
      </c>
      <c r="C19893" s="6" t="s">
        <v>1</v>
      </c>
    </row>
    <row r="19894" spans="1:3" s="8" customFormat="1" x14ac:dyDescent="0.2">
      <c r="A19894" s="6" t="str">
        <f>"ELOVL7"</f>
        <v>ELOVL7</v>
      </c>
      <c r="B19894" s="6" t="s">
        <v>1</v>
      </c>
      <c r="C19894" s="6" t="s">
        <v>1</v>
      </c>
    </row>
    <row r="19895" spans="1:3" s="8" customFormat="1" x14ac:dyDescent="0.2">
      <c r="A19895" s="6" t="str">
        <f>"SHISA8"</f>
        <v>SHISA8</v>
      </c>
      <c r="B19895" s="6" t="s">
        <v>1</v>
      </c>
      <c r="C19895" s="6" t="s">
        <v>1</v>
      </c>
    </row>
    <row r="19896" spans="1:3" s="8" customFormat="1" x14ac:dyDescent="0.2">
      <c r="A19896" s="6" t="str">
        <f>"FAM78A"</f>
        <v>FAM78A</v>
      </c>
      <c r="B19896" s="6" t="s">
        <v>1</v>
      </c>
      <c r="C19896" s="6" t="s">
        <v>1</v>
      </c>
    </row>
    <row r="19897" spans="1:3" s="8" customFormat="1" x14ac:dyDescent="0.2">
      <c r="A19897" s="6" t="str">
        <f>"AC245041.2"</f>
        <v>AC245041.2</v>
      </c>
      <c r="B19897" s="6" t="s">
        <v>1</v>
      </c>
      <c r="C19897" s="6" t="s">
        <v>1</v>
      </c>
    </row>
    <row r="19898" spans="1:3" s="8" customFormat="1" x14ac:dyDescent="0.2">
      <c r="A19898" s="6" t="str">
        <f>"DNM1"</f>
        <v>DNM1</v>
      </c>
      <c r="B19898" s="6" t="s">
        <v>1</v>
      </c>
      <c r="C19898" s="6" t="s">
        <v>1</v>
      </c>
    </row>
    <row r="19899" spans="1:3" s="8" customFormat="1" x14ac:dyDescent="0.2">
      <c r="A19899" s="6" t="str">
        <f>"EAF2"</f>
        <v>EAF2</v>
      </c>
      <c r="B19899" s="6" t="s">
        <v>1</v>
      </c>
      <c r="C19899" s="6" t="s">
        <v>1</v>
      </c>
    </row>
    <row r="19900" spans="1:3" s="8" customFormat="1" x14ac:dyDescent="0.2">
      <c r="A19900" s="6" t="str">
        <f>"CYP2W1"</f>
        <v>CYP2W1</v>
      </c>
      <c r="B19900" s="6" t="s">
        <v>1</v>
      </c>
      <c r="C19900" s="6" t="s">
        <v>1</v>
      </c>
    </row>
    <row r="19901" spans="1:3" s="8" customFormat="1" x14ac:dyDescent="0.2">
      <c r="A19901" s="6" t="str">
        <f>"EEF1A1P6"</f>
        <v>EEF1A1P6</v>
      </c>
      <c r="B19901" s="6" t="s">
        <v>1</v>
      </c>
      <c r="C19901" s="6" t="s">
        <v>1</v>
      </c>
    </row>
    <row r="19902" spans="1:3" s="8" customFormat="1" x14ac:dyDescent="0.2">
      <c r="A19902" s="6" t="str">
        <f>"CNTNAP1"</f>
        <v>CNTNAP1</v>
      </c>
      <c r="B19902" s="6" t="s">
        <v>1</v>
      </c>
      <c r="C19902" s="6" t="s">
        <v>1</v>
      </c>
    </row>
    <row r="19903" spans="1:3" s="8" customFormat="1" x14ac:dyDescent="0.2">
      <c r="A19903" s="6" t="str">
        <f>"CCNI2"</f>
        <v>CCNI2</v>
      </c>
      <c r="B19903" s="6" t="s">
        <v>1</v>
      </c>
      <c r="C19903" s="6" t="s">
        <v>1</v>
      </c>
    </row>
    <row r="19904" spans="1:3" s="8" customFormat="1" x14ac:dyDescent="0.2">
      <c r="A19904" s="6" t="str">
        <f>"LINC02193"</f>
        <v>LINC02193</v>
      </c>
      <c r="B19904" s="6" t="s">
        <v>1</v>
      </c>
      <c r="C19904" s="6" t="s">
        <v>1</v>
      </c>
    </row>
    <row r="19905" spans="1:3" s="8" customFormat="1" x14ac:dyDescent="0.2">
      <c r="A19905" s="6" t="str">
        <f>"LINC02031"</f>
        <v>LINC02031</v>
      </c>
      <c r="B19905" s="6" t="s">
        <v>1</v>
      </c>
      <c r="C19905" s="6" t="s">
        <v>1</v>
      </c>
    </row>
    <row r="19906" spans="1:3" s="8" customFormat="1" x14ac:dyDescent="0.2">
      <c r="A19906" s="6" t="str">
        <f>"AC015813.1"</f>
        <v>AC015813.1</v>
      </c>
      <c r="B19906" s="6" t="s">
        <v>1</v>
      </c>
      <c r="C19906" s="6" t="s">
        <v>1</v>
      </c>
    </row>
    <row r="19907" spans="1:3" s="8" customFormat="1" x14ac:dyDescent="0.2">
      <c r="A19907" s="6" t="str">
        <f>"ZC3HAV1L"</f>
        <v>ZC3HAV1L</v>
      </c>
      <c r="B19907" s="6" t="s">
        <v>1</v>
      </c>
      <c r="C19907" s="6" t="s">
        <v>1</v>
      </c>
    </row>
    <row r="19908" spans="1:3" s="8" customFormat="1" x14ac:dyDescent="0.2">
      <c r="A19908" s="6" t="str">
        <f>"AL451085.2"</f>
        <v>AL451085.2</v>
      </c>
      <c r="B19908" s="6" t="s">
        <v>1</v>
      </c>
      <c r="C19908" s="6" t="s">
        <v>1</v>
      </c>
    </row>
    <row r="19909" spans="1:3" s="8" customFormat="1" x14ac:dyDescent="0.2">
      <c r="A19909" s="6" t="str">
        <f>"HMGA2"</f>
        <v>HMGA2</v>
      </c>
      <c r="B19909" s="6" t="s">
        <v>1</v>
      </c>
      <c r="C19909" s="6" t="s">
        <v>1</v>
      </c>
    </row>
    <row r="19910" spans="1:3" s="8" customFormat="1" x14ac:dyDescent="0.2">
      <c r="A19910" s="6" t="str">
        <f>"AQP10"</f>
        <v>AQP10</v>
      </c>
      <c r="B19910" s="6" t="s">
        <v>1</v>
      </c>
      <c r="C19910" s="6" t="s">
        <v>1</v>
      </c>
    </row>
    <row r="19911" spans="1:3" s="8" customFormat="1" x14ac:dyDescent="0.2">
      <c r="A19911" s="6" t="str">
        <f>"GAL3ST4"</f>
        <v>GAL3ST4</v>
      </c>
      <c r="B19911" s="6" t="s">
        <v>1</v>
      </c>
      <c r="C19911" s="6" t="s">
        <v>1</v>
      </c>
    </row>
    <row r="19912" spans="1:3" s="8" customFormat="1" x14ac:dyDescent="0.2">
      <c r="A19912" s="6" t="str">
        <f>"KANTR"</f>
        <v>KANTR</v>
      </c>
      <c r="B19912" s="6" t="s">
        <v>1</v>
      </c>
      <c r="C19912" s="6" t="s">
        <v>1</v>
      </c>
    </row>
    <row r="19913" spans="1:3" s="8" customFormat="1" x14ac:dyDescent="0.2">
      <c r="A19913" s="6" t="str">
        <f>"MIR1915HG"</f>
        <v>MIR1915HG</v>
      </c>
      <c r="B19913" s="6" t="s">
        <v>1</v>
      </c>
      <c r="C19913" s="6" t="s">
        <v>1</v>
      </c>
    </row>
    <row r="19914" spans="1:3" s="8" customFormat="1" x14ac:dyDescent="0.2">
      <c r="A19914" s="6" t="str">
        <f>"FLVCR1-DT"</f>
        <v>FLVCR1-DT</v>
      </c>
      <c r="B19914" s="6" t="s">
        <v>1</v>
      </c>
      <c r="C19914" s="6" t="s">
        <v>1</v>
      </c>
    </row>
    <row r="19915" spans="1:3" s="8" customFormat="1" x14ac:dyDescent="0.2">
      <c r="A19915" s="6" t="str">
        <f>"AL451165.2"</f>
        <v>AL451165.2</v>
      </c>
      <c r="B19915" s="6" t="s">
        <v>1</v>
      </c>
      <c r="C19915" s="6" t="s">
        <v>1</v>
      </c>
    </row>
    <row r="19916" spans="1:3" s="8" customFormat="1" x14ac:dyDescent="0.2">
      <c r="A19916" s="6" t="str">
        <f>"SOCS2"</f>
        <v>SOCS2</v>
      </c>
      <c r="B19916" s="6" t="s">
        <v>1</v>
      </c>
      <c r="C19916" s="6" t="s">
        <v>1</v>
      </c>
    </row>
    <row r="19917" spans="1:3" s="8" customFormat="1" x14ac:dyDescent="0.2">
      <c r="A19917" s="6" t="str">
        <f>"SLC26A9"</f>
        <v>SLC26A9</v>
      </c>
      <c r="B19917" s="6" t="s">
        <v>1</v>
      </c>
      <c r="C19917" s="6" t="s">
        <v>1</v>
      </c>
    </row>
    <row r="19918" spans="1:3" s="8" customFormat="1" x14ac:dyDescent="0.2">
      <c r="A19918" s="6" t="str">
        <f>"C3orf33"</f>
        <v>C3orf33</v>
      </c>
      <c r="B19918" s="6" t="s">
        <v>1</v>
      </c>
      <c r="C19918" s="6" t="s">
        <v>1</v>
      </c>
    </row>
    <row r="19919" spans="1:3" s="8" customFormat="1" x14ac:dyDescent="0.2">
      <c r="A19919" s="6" t="str">
        <f>"HAL"</f>
        <v>HAL</v>
      </c>
      <c r="B19919" s="6" t="s">
        <v>1</v>
      </c>
      <c r="C19919" s="6" t="s">
        <v>1</v>
      </c>
    </row>
    <row r="19920" spans="1:3" s="8" customFormat="1" x14ac:dyDescent="0.2">
      <c r="A19920" s="6" t="str">
        <f>"KLRD1"</f>
        <v>KLRD1</v>
      </c>
      <c r="B19920" s="6" t="s">
        <v>1</v>
      </c>
      <c r="C19920" s="6" t="s">
        <v>1</v>
      </c>
    </row>
    <row r="19921" spans="1:3" s="8" customFormat="1" x14ac:dyDescent="0.2">
      <c r="A19921" s="6" t="str">
        <f>"EXOC3L4"</f>
        <v>EXOC3L4</v>
      </c>
      <c r="B19921" s="6" t="s">
        <v>1</v>
      </c>
      <c r="C19921" s="6" t="s">
        <v>1</v>
      </c>
    </row>
    <row r="19922" spans="1:3" s="8" customFormat="1" x14ac:dyDescent="0.2">
      <c r="A19922" s="6" t="str">
        <f>"SLC25A5-AS1"</f>
        <v>SLC25A5-AS1</v>
      </c>
      <c r="B19922" s="6" t="s">
        <v>1</v>
      </c>
      <c r="C19922" s="6" t="s">
        <v>1</v>
      </c>
    </row>
    <row r="19923" spans="1:3" s="8" customFormat="1" x14ac:dyDescent="0.2">
      <c r="A19923" s="6" t="str">
        <f>"RAG1"</f>
        <v>RAG1</v>
      </c>
      <c r="B19923" s="6" t="s">
        <v>1</v>
      </c>
      <c r="C19923" s="6" t="s">
        <v>1</v>
      </c>
    </row>
    <row r="19924" spans="1:3" s="8" customFormat="1" x14ac:dyDescent="0.2">
      <c r="A19924" s="6" t="str">
        <f>"CCNT2-AS1"</f>
        <v>CCNT2-AS1</v>
      </c>
      <c r="B19924" s="6" t="s">
        <v>1</v>
      </c>
      <c r="C19924" s="6" t="s">
        <v>1</v>
      </c>
    </row>
    <row r="19925" spans="1:3" s="8" customFormat="1" x14ac:dyDescent="0.2">
      <c r="A19925" s="6" t="str">
        <f>"GKAP1"</f>
        <v>GKAP1</v>
      </c>
      <c r="B19925" s="6" t="s">
        <v>1</v>
      </c>
      <c r="C19925" s="6" t="s">
        <v>1</v>
      </c>
    </row>
    <row r="19926" spans="1:3" s="8" customFormat="1" x14ac:dyDescent="0.2">
      <c r="A19926" s="6" t="str">
        <f>"GLMN"</f>
        <v>GLMN</v>
      </c>
      <c r="B19926" s="6" t="s">
        <v>1</v>
      </c>
      <c r="C19926" s="6" t="s">
        <v>1</v>
      </c>
    </row>
    <row r="19927" spans="1:3" s="8" customFormat="1" x14ac:dyDescent="0.2">
      <c r="A19927" s="6" t="str">
        <f>"EDN2"</f>
        <v>EDN2</v>
      </c>
      <c r="B19927" s="6" t="s">
        <v>1</v>
      </c>
      <c r="C19927" s="6" t="s">
        <v>1</v>
      </c>
    </row>
    <row r="19928" spans="1:3" s="8" customFormat="1" x14ac:dyDescent="0.2">
      <c r="A19928" s="6" t="str">
        <f>"LGALS4"</f>
        <v>LGALS4</v>
      </c>
      <c r="B19928" s="6" t="s">
        <v>1</v>
      </c>
      <c r="C19928" s="6" t="s">
        <v>1</v>
      </c>
    </row>
    <row r="19929" spans="1:3" s="8" customFormat="1" x14ac:dyDescent="0.2">
      <c r="A19929" s="6" t="str">
        <f>"AC009403.1"</f>
        <v>AC009403.1</v>
      </c>
      <c r="B19929" s="6" t="s">
        <v>1</v>
      </c>
      <c r="C19929" s="6" t="s">
        <v>1</v>
      </c>
    </row>
    <row r="19930" spans="1:3" s="8" customFormat="1" x14ac:dyDescent="0.2">
      <c r="A19930" s="6" t="str">
        <f>"AL031708.1"</f>
        <v>AL031708.1</v>
      </c>
      <c r="B19930" s="6" t="s">
        <v>1</v>
      </c>
      <c r="C19930" s="6" t="s">
        <v>1</v>
      </c>
    </row>
    <row r="19931" spans="1:3" s="8" customFormat="1" x14ac:dyDescent="0.2">
      <c r="A19931" s="6" t="str">
        <f>"MIR100HG"</f>
        <v>MIR100HG</v>
      </c>
      <c r="B19931" s="6" t="s">
        <v>1</v>
      </c>
      <c r="C19931" s="6" t="s">
        <v>1</v>
      </c>
    </row>
    <row r="19932" spans="1:3" s="8" customFormat="1" x14ac:dyDescent="0.2">
      <c r="A19932" s="6" t="str">
        <f>"CYP1B1-AS1"</f>
        <v>CYP1B1-AS1</v>
      </c>
      <c r="B19932" s="6" t="s">
        <v>1</v>
      </c>
      <c r="C19932" s="6" t="s">
        <v>1</v>
      </c>
    </row>
    <row r="19933" spans="1:3" s="8" customFormat="1" x14ac:dyDescent="0.2">
      <c r="A19933" s="6" t="str">
        <f>"THAP8"</f>
        <v>THAP8</v>
      </c>
      <c r="B19933" s="6" t="s">
        <v>1</v>
      </c>
      <c r="C19933" s="6" t="s">
        <v>1</v>
      </c>
    </row>
    <row r="19934" spans="1:3" s="8" customFormat="1" x14ac:dyDescent="0.2">
      <c r="A19934" s="6" t="str">
        <f>"NEGR1"</f>
        <v>NEGR1</v>
      </c>
      <c r="B19934" s="6" t="s">
        <v>1</v>
      </c>
      <c r="C19934" s="6" t="s">
        <v>1</v>
      </c>
    </row>
    <row r="19935" spans="1:3" s="8" customFormat="1" x14ac:dyDescent="0.2">
      <c r="A19935" s="6" t="str">
        <f>"FAM71E1"</f>
        <v>FAM71E1</v>
      </c>
      <c r="B19935" s="6" t="s">
        <v>1</v>
      </c>
      <c r="C19935" s="6" t="s">
        <v>1</v>
      </c>
    </row>
    <row r="19936" spans="1:3" s="8" customFormat="1" x14ac:dyDescent="0.2">
      <c r="A19936" s="6" t="str">
        <f>"NUTM2B"</f>
        <v>NUTM2B</v>
      </c>
      <c r="B19936" s="6" t="s">
        <v>1</v>
      </c>
      <c r="C19936" s="6" t="s">
        <v>1</v>
      </c>
    </row>
    <row r="19937" spans="1:3" s="8" customFormat="1" x14ac:dyDescent="0.2">
      <c r="A19937" s="6" t="str">
        <f>"SHC2"</f>
        <v>SHC2</v>
      </c>
      <c r="B19937" s="6" t="s">
        <v>1</v>
      </c>
      <c r="C19937" s="6" t="s">
        <v>1</v>
      </c>
    </row>
    <row r="19938" spans="1:3" s="8" customFormat="1" x14ac:dyDescent="0.2">
      <c r="A19938" s="6" t="str">
        <f>"HLX"</f>
        <v>HLX</v>
      </c>
      <c r="B19938" s="6" t="s">
        <v>1</v>
      </c>
      <c r="C19938" s="6" t="s">
        <v>1</v>
      </c>
    </row>
    <row r="19939" spans="1:3" s="8" customFormat="1" x14ac:dyDescent="0.2">
      <c r="A19939" s="6" t="str">
        <f>"ZNF280C"</f>
        <v>ZNF280C</v>
      </c>
      <c r="B19939" s="6" t="s">
        <v>1</v>
      </c>
      <c r="C19939" s="6" t="s">
        <v>1</v>
      </c>
    </row>
    <row r="19940" spans="1:3" s="8" customFormat="1" x14ac:dyDescent="0.2">
      <c r="A19940" s="6" t="str">
        <f>"RPL7AP64"</f>
        <v>RPL7AP64</v>
      </c>
      <c r="B19940" s="6" t="s">
        <v>1</v>
      </c>
      <c r="C19940" s="6" t="s">
        <v>1</v>
      </c>
    </row>
    <row r="19941" spans="1:3" s="8" customFormat="1" x14ac:dyDescent="0.2">
      <c r="A19941" s="6" t="str">
        <f>"AC107884.1"</f>
        <v>AC107884.1</v>
      </c>
      <c r="B19941" s="6" t="s">
        <v>1</v>
      </c>
      <c r="C19941" s="6" t="s">
        <v>1</v>
      </c>
    </row>
    <row r="19942" spans="1:3" s="8" customFormat="1" x14ac:dyDescent="0.2">
      <c r="A19942" s="6" t="str">
        <f>"AC004803.1"</f>
        <v>AC004803.1</v>
      </c>
      <c r="B19942" s="6" t="s">
        <v>1</v>
      </c>
      <c r="C19942" s="6" t="s">
        <v>1</v>
      </c>
    </row>
    <row r="19943" spans="1:3" s="8" customFormat="1" x14ac:dyDescent="0.2">
      <c r="A19943" s="6" t="str">
        <f>"AC004980.1"</f>
        <v>AC004980.1</v>
      </c>
      <c r="B19943" s="6" t="s">
        <v>1</v>
      </c>
      <c r="C19943" s="6" t="s">
        <v>1</v>
      </c>
    </row>
    <row r="19944" spans="1:3" s="8" customFormat="1" x14ac:dyDescent="0.2">
      <c r="A19944" s="6" t="str">
        <f>"STX19"</f>
        <v>STX19</v>
      </c>
      <c r="B19944" s="6" t="s">
        <v>1</v>
      </c>
      <c r="C19944" s="6" t="s">
        <v>1</v>
      </c>
    </row>
    <row r="19945" spans="1:3" s="8" customFormat="1" x14ac:dyDescent="0.2">
      <c r="A19945" s="6" t="str">
        <f>"AC007255.1"</f>
        <v>AC007255.1</v>
      </c>
      <c r="B19945" s="6" t="s">
        <v>1</v>
      </c>
      <c r="C19945" s="6" t="s">
        <v>1</v>
      </c>
    </row>
    <row r="19946" spans="1:3" s="8" customFormat="1" x14ac:dyDescent="0.2">
      <c r="A19946" s="6" t="str">
        <f>"GIMAP6"</f>
        <v>GIMAP6</v>
      </c>
      <c r="B19946" s="6" t="s">
        <v>1</v>
      </c>
      <c r="C19946" s="6" t="s">
        <v>1</v>
      </c>
    </row>
    <row r="19947" spans="1:3" s="8" customFormat="1" x14ac:dyDescent="0.2">
      <c r="A19947" s="6" t="str">
        <f>"CRPPA"</f>
        <v>CRPPA</v>
      </c>
      <c r="B19947" s="6" t="s">
        <v>1</v>
      </c>
      <c r="C19947" s="6" t="s">
        <v>1</v>
      </c>
    </row>
    <row r="19948" spans="1:3" s="8" customFormat="1" x14ac:dyDescent="0.2">
      <c r="A19948" s="6" t="str">
        <f>"CCL4L2"</f>
        <v>CCL4L2</v>
      </c>
      <c r="B19948" s="6" t="s">
        <v>1</v>
      </c>
      <c r="C19948" s="6" t="s">
        <v>1</v>
      </c>
    </row>
    <row r="19949" spans="1:3" s="8" customFormat="1" x14ac:dyDescent="0.2">
      <c r="A19949" s="6" t="str">
        <f>"KCNJ5"</f>
        <v>KCNJ5</v>
      </c>
      <c r="B19949" s="6" t="s">
        <v>1</v>
      </c>
      <c r="C19949" s="6" t="s">
        <v>1</v>
      </c>
    </row>
    <row r="19950" spans="1:3" s="8" customFormat="1" x14ac:dyDescent="0.2">
      <c r="A19950" s="6" t="str">
        <f>"ZSCAN20"</f>
        <v>ZSCAN20</v>
      </c>
      <c r="B19950" s="6" t="s">
        <v>1</v>
      </c>
      <c r="C19950" s="6" t="s">
        <v>1</v>
      </c>
    </row>
    <row r="19951" spans="1:3" s="8" customFormat="1" x14ac:dyDescent="0.2">
      <c r="A19951" s="6" t="str">
        <f>"LINC00997"</f>
        <v>LINC00997</v>
      </c>
      <c r="B19951" s="6" t="s">
        <v>1</v>
      </c>
      <c r="C19951" s="6" t="s">
        <v>1</v>
      </c>
    </row>
    <row r="19952" spans="1:3" s="8" customFormat="1" x14ac:dyDescent="0.2">
      <c r="A19952" s="6" t="str">
        <f>"TRIB3"</f>
        <v>TRIB3</v>
      </c>
      <c r="B19952" s="6" t="s">
        <v>1</v>
      </c>
      <c r="C19952" s="6" t="s">
        <v>1</v>
      </c>
    </row>
    <row r="19953" spans="1:3" s="8" customFormat="1" x14ac:dyDescent="0.2">
      <c r="A19953" s="6" t="str">
        <f>"FAM83C"</f>
        <v>FAM83C</v>
      </c>
      <c r="B19953" s="6" t="s">
        <v>1</v>
      </c>
      <c r="C19953" s="6" t="s">
        <v>1</v>
      </c>
    </row>
    <row r="19954" spans="1:3" s="8" customFormat="1" x14ac:dyDescent="0.2">
      <c r="A19954" s="6" t="str">
        <f>"ZNF596"</f>
        <v>ZNF596</v>
      </c>
      <c r="B19954" s="6" t="s">
        <v>1</v>
      </c>
      <c r="C19954" s="6" t="s">
        <v>1</v>
      </c>
    </row>
    <row r="19955" spans="1:3" s="8" customFormat="1" x14ac:dyDescent="0.2">
      <c r="A19955" s="6" t="str">
        <f>"LINC02159"</f>
        <v>LINC02159</v>
      </c>
      <c r="B19955" s="6" t="s">
        <v>1</v>
      </c>
      <c r="C19955" s="6" t="s">
        <v>1</v>
      </c>
    </row>
    <row r="19956" spans="1:3" s="8" customFormat="1" x14ac:dyDescent="0.2">
      <c r="A19956" s="6" t="str">
        <f>"PLEKHD1"</f>
        <v>PLEKHD1</v>
      </c>
      <c r="B19956" s="6" t="s">
        <v>1</v>
      </c>
      <c r="C19956" s="6" t="s">
        <v>1</v>
      </c>
    </row>
    <row r="19957" spans="1:3" s="8" customFormat="1" x14ac:dyDescent="0.2">
      <c r="A19957" s="6" t="str">
        <f>"VCPKMT"</f>
        <v>VCPKMT</v>
      </c>
      <c r="B19957" s="6" t="s">
        <v>1</v>
      </c>
      <c r="C19957" s="6" t="s">
        <v>1</v>
      </c>
    </row>
    <row r="19958" spans="1:3" s="8" customFormat="1" x14ac:dyDescent="0.2">
      <c r="A19958" s="6" t="str">
        <f>"PCED1B"</f>
        <v>PCED1B</v>
      </c>
      <c r="B19958" s="6" t="s">
        <v>1</v>
      </c>
      <c r="C19958" s="6" t="s">
        <v>1</v>
      </c>
    </row>
    <row r="19959" spans="1:3" s="8" customFormat="1" x14ac:dyDescent="0.2">
      <c r="A19959" s="6" t="str">
        <f>"GINS4"</f>
        <v>GINS4</v>
      </c>
      <c r="B19959" s="6" t="s">
        <v>1</v>
      </c>
      <c r="C19959" s="6" t="s">
        <v>1</v>
      </c>
    </row>
    <row r="19960" spans="1:3" s="8" customFormat="1" x14ac:dyDescent="0.2">
      <c r="A19960" s="6" t="str">
        <f>"EEF1AKMT4"</f>
        <v>EEF1AKMT4</v>
      </c>
      <c r="B19960" s="6" t="s">
        <v>1</v>
      </c>
      <c r="C19960" s="6" t="s">
        <v>1</v>
      </c>
    </row>
    <row r="19961" spans="1:3" s="8" customFormat="1" x14ac:dyDescent="0.2">
      <c r="A19961" s="6" t="str">
        <f>"E2F1"</f>
        <v>E2F1</v>
      </c>
      <c r="B19961" s="6" t="s">
        <v>1</v>
      </c>
      <c r="C19961" s="6" t="s">
        <v>1</v>
      </c>
    </row>
    <row r="19962" spans="1:3" s="8" customFormat="1" x14ac:dyDescent="0.2">
      <c r="A19962" s="6" t="str">
        <f>"CCNB3"</f>
        <v>CCNB3</v>
      </c>
      <c r="B19962" s="6" t="s">
        <v>1</v>
      </c>
      <c r="C19962" s="6" t="s">
        <v>1</v>
      </c>
    </row>
    <row r="19963" spans="1:3" s="8" customFormat="1" x14ac:dyDescent="0.2">
      <c r="A19963" s="6" t="str">
        <f>"CCNB2"</f>
        <v>CCNB2</v>
      </c>
      <c r="B19963" s="6" t="s">
        <v>1</v>
      </c>
      <c r="C19963" s="6" t="s">
        <v>1</v>
      </c>
    </row>
    <row r="19964" spans="1:3" s="8" customFormat="1" x14ac:dyDescent="0.2">
      <c r="A19964" s="6" t="str">
        <f>"NOS3"</f>
        <v>NOS3</v>
      </c>
      <c r="B19964" s="6" t="s">
        <v>1</v>
      </c>
      <c r="C19964" s="6" t="s">
        <v>1</v>
      </c>
    </row>
    <row r="19965" spans="1:3" s="8" customFormat="1" x14ac:dyDescent="0.2">
      <c r="A19965" s="6" t="str">
        <f>"SRRM2-AS1"</f>
        <v>SRRM2-AS1</v>
      </c>
      <c r="B19965" s="6" t="s">
        <v>1</v>
      </c>
      <c r="C19965" s="6" t="s">
        <v>1</v>
      </c>
    </row>
    <row r="19966" spans="1:3" s="8" customFormat="1" x14ac:dyDescent="0.2">
      <c r="A19966" s="6" t="str">
        <f>"HAVCR2"</f>
        <v>HAVCR2</v>
      </c>
      <c r="B19966" s="6" t="s">
        <v>1</v>
      </c>
      <c r="C19966" s="6" t="s">
        <v>1</v>
      </c>
    </row>
    <row r="19967" spans="1:3" s="8" customFormat="1" x14ac:dyDescent="0.2">
      <c r="A19967" s="6" t="str">
        <f>"DENND5B"</f>
        <v>DENND5B</v>
      </c>
      <c r="B19967" s="6" t="s">
        <v>1</v>
      </c>
      <c r="C19967" s="6" t="s">
        <v>1</v>
      </c>
    </row>
    <row r="19968" spans="1:3" s="8" customFormat="1" x14ac:dyDescent="0.2">
      <c r="A19968" s="6" t="str">
        <f>"PHLDB2"</f>
        <v>PHLDB2</v>
      </c>
      <c r="B19968" s="6" t="s">
        <v>1</v>
      </c>
      <c r="C19968" s="6" t="s">
        <v>1</v>
      </c>
    </row>
    <row r="19969" spans="1:3" s="8" customFormat="1" x14ac:dyDescent="0.2">
      <c r="A19969" s="6" t="str">
        <f>"AC130456.2"</f>
        <v>AC130456.2</v>
      </c>
      <c r="B19969" s="6" t="s">
        <v>1</v>
      </c>
      <c r="C19969" s="6" t="s">
        <v>1</v>
      </c>
    </row>
    <row r="19970" spans="1:3" s="8" customFormat="1" x14ac:dyDescent="0.2">
      <c r="A19970" s="6" t="str">
        <f>"ZSWIM3"</f>
        <v>ZSWIM3</v>
      </c>
      <c r="B19970" s="6" t="s">
        <v>1</v>
      </c>
      <c r="C19970" s="6" t="s">
        <v>1</v>
      </c>
    </row>
    <row r="19971" spans="1:3" s="8" customFormat="1" x14ac:dyDescent="0.2">
      <c r="A19971" s="6" t="str">
        <f>"RNF165"</f>
        <v>RNF165</v>
      </c>
      <c r="B19971" s="6" t="s">
        <v>1</v>
      </c>
      <c r="C19971" s="6" t="s">
        <v>1</v>
      </c>
    </row>
    <row r="19972" spans="1:3" s="8" customFormat="1" x14ac:dyDescent="0.2">
      <c r="A19972" s="6" t="str">
        <f>"FKBP10"</f>
        <v>FKBP10</v>
      </c>
      <c r="B19972" s="6" t="s">
        <v>1</v>
      </c>
      <c r="C19972" s="6" t="s">
        <v>1</v>
      </c>
    </row>
    <row r="19973" spans="1:3" s="8" customFormat="1" x14ac:dyDescent="0.2">
      <c r="A19973" s="6" t="str">
        <f>"AC087623.2"</f>
        <v>AC087623.2</v>
      </c>
      <c r="B19973" s="6" t="s">
        <v>1</v>
      </c>
      <c r="C19973" s="6" t="s">
        <v>1</v>
      </c>
    </row>
    <row r="19974" spans="1:3" s="8" customFormat="1" x14ac:dyDescent="0.2">
      <c r="A19974" s="6" t="str">
        <f>"MDGA1"</f>
        <v>MDGA1</v>
      </c>
      <c r="B19974" s="6" t="s">
        <v>1</v>
      </c>
      <c r="C19974" s="6" t="s">
        <v>1</v>
      </c>
    </row>
    <row r="19975" spans="1:3" s="8" customFormat="1" x14ac:dyDescent="0.2">
      <c r="A19975" s="6" t="str">
        <f>"ZSCAN22"</f>
        <v>ZSCAN22</v>
      </c>
      <c r="B19975" s="6" t="s">
        <v>1</v>
      </c>
      <c r="C19975" s="6" t="s">
        <v>1</v>
      </c>
    </row>
    <row r="19976" spans="1:3" s="8" customFormat="1" x14ac:dyDescent="0.2">
      <c r="A19976" s="6" t="str">
        <f>"BTF3L4P2"</f>
        <v>BTF3L4P2</v>
      </c>
      <c r="B19976" s="6" t="s">
        <v>1</v>
      </c>
      <c r="C19976" s="6" t="s">
        <v>1</v>
      </c>
    </row>
    <row r="19977" spans="1:3" s="8" customFormat="1" x14ac:dyDescent="0.2">
      <c r="A19977" s="6" t="str">
        <f>"MYOM2"</f>
        <v>MYOM2</v>
      </c>
      <c r="B19977" s="6" t="s">
        <v>1</v>
      </c>
      <c r="C19977" s="6" t="s">
        <v>1</v>
      </c>
    </row>
    <row r="19978" spans="1:3" s="8" customFormat="1" x14ac:dyDescent="0.2">
      <c r="A19978" s="6" t="str">
        <f>"DNAJC6"</f>
        <v>DNAJC6</v>
      </c>
      <c r="B19978" s="6" t="s">
        <v>1</v>
      </c>
      <c r="C19978" s="6" t="s">
        <v>1</v>
      </c>
    </row>
    <row r="19979" spans="1:3" s="8" customFormat="1" x14ac:dyDescent="0.2">
      <c r="A19979" s="6" t="str">
        <f>"CHRM3"</f>
        <v>CHRM3</v>
      </c>
      <c r="B19979" s="6" t="s">
        <v>1</v>
      </c>
      <c r="C19979" s="6" t="s">
        <v>1</v>
      </c>
    </row>
    <row r="19980" spans="1:3" s="8" customFormat="1" x14ac:dyDescent="0.2">
      <c r="A19980" s="6" t="str">
        <f>"CCL3L3"</f>
        <v>CCL3L3</v>
      </c>
      <c r="B19980" s="6" t="s">
        <v>1</v>
      </c>
      <c r="C19980" s="6" t="s">
        <v>1</v>
      </c>
    </row>
    <row r="19981" spans="1:3" s="8" customFormat="1" x14ac:dyDescent="0.2">
      <c r="A19981" s="6" t="str">
        <f>"APOC1"</f>
        <v>APOC1</v>
      </c>
      <c r="B19981" s="6" t="s">
        <v>1</v>
      </c>
      <c r="C19981" s="6" t="s">
        <v>1</v>
      </c>
    </row>
    <row r="19982" spans="1:3" s="8" customFormat="1" x14ac:dyDescent="0.2">
      <c r="A19982" s="6" t="str">
        <f>"MYOM1"</f>
        <v>MYOM1</v>
      </c>
      <c r="B19982" s="6" t="s">
        <v>1</v>
      </c>
      <c r="C19982" s="6" t="s">
        <v>1</v>
      </c>
    </row>
    <row r="19983" spans="1:3" s="8" customFormat="1" x14ac:dyDescent="0.2">
      <c r="A19983" s="6" t="str">
        <f>"NPIPB11"</f>
        <v>NPIPB11</v>
      </c>
      <c r="B19983" s="6" t="s">
        <v>1</v>
      </c>
      <c r="C19983" s="6" t="s">
        <v>1</v>
      </c>
    </row>
    <row r="19984" spans="1:3" s="8" customFormat="1" x14ac:dyDescent="0.2">
      <c r="A19984" s="6" t="str">
        <f>"RADX"</f>
        <v>RADX</v>
      </c>
      <c r="B19984" s="6" t="s">
        <v>1</v>
      </c>
      <c r="C19984" s="6" t="s">
        <v>1</v>
      </c>
    </row>
    <row r="19985" spans="1:3" s="8" customFormat="1" x14ac:dyDescent="0.2">
      <c r="A19985" s="6" t="str">
        <f>"AL441992.2"</f>
        <v>AL441992.2</v>
      </c>
      <c r="B19985" s="6" t="s">
        <v>1</v>
      </c>
      <c r="C19985" s="6" t="s">
        <v>1</v>
      </c>
    </row>
    <row r="19986" spans="1:3" s="8" customFormat="1" x14ac:dyDescent="0.2">
      <c r="A19986" s="6" t="str">
        <f>"NOCT"</f>
        <v>NOCT</v>
      </c>
      <c r="B19986" s="6" t="s">
        <v>1</v>
      </c>
      <c r="C19986" s="6" t="s">
        <v>1</v>
      </c>
    </row>
    <row r="19987" spans="1:3" s="8" customFormat="1" x14ac:dyDescent="0.2">
      <c r="A19987" s="6" t="str">
        <f>"FHIT"</f>
        <v>FHIT</v>
      </c>
      <c r="B19987" s="6" t="s">
        <v>1</v>
      </c>
      <c r="C19987" s="6" t="s">
        <v>1</v>
      </c>
    </row>
    <row r="19988" spans="1:3" s="8" customFormat="1" x14ac:dyDescent="0.2">
      <c r="A19988" s="6" t="str">
        <f>"DERPC"</f>
        <v>DERPC</v>
      </c>
      <c r="B19988" s="6" t="s">
        <v>1</v>
      </c>
      <c r="C19988" s="6" t="s">
        <v>1</v>
      </c>
    </row>
    <row r="19989" spans="1:3" s="8" customFormat="1" x14ac:dyDescent="0.2">
      <c r="A19989" s="6" t="str">
        <f>"F12"</f>
        <v>F12</v>
      </c>
      <c r="B19989" s="6" t="s">
        <v>1</v>
      </c>
      <c r="C19989" s="6" t="s">
        <v>1</v>
      </c>
    </row>
    <row r="19990" spans="1:3" s="8" customFormat="1" x14ac:dyDescent="0.2">
      <c r="A19990" s="6" t="str">
        <f>"AL445423.3"</f>
        <v>AL445423.3</v>
      </c>
      <c r="B19990" s="6" t="s">
        <v>1</v>
      </c>
      <c r="C19990" s="6" t="s">
        <v>1</v>
      </c>
    </row>
    <row r="19991" spans="1:3" s="8" customFormat="1" x14ac:dyDescent="0.2">
      <c r="A19991" s="6" t="str">
        <f>"ZXDA"</f>
        <v>ZXDA</v>
      </c>
      <c r="B19991" s="6" t="s">
        <v>1</v>
      </c>
      <c r="C19991" s="6" t="s">
        <v>1</v>
      </c>
    </row>
    <row r="19992" spans="1:3" s="8" customFormat="1" x14ac:dyDescent="0.2">
      <c r="A19992" s="6" t="str">
        <f>"FASTKD3"</f>
        <v>FASTKD3</v>
      </c>
      <c r="B19992" s="6" t="s">
        <v>1</v>
      </c>
      <c r="C19992" s="6" t="s">
        <v>1</v>
      </c>
    </row>
    <row r="19993" spans="1:3" s="8" customFormat="1" x14ac:dyDescent="0.2">
      <c r="A19993" s="6" t="str">
        <f>"HAS2"</f>
        <v>HAS2</v>
      </c>
      <c r="B19993" s="6" t="s">
        <v>1</v>
      </c>
      <c r="C19993" s="6" t="s">
        <v>1</v>
      </c>
    </row>
    <row r="19994" spans="1:3" s="8" customFormat="1" x14ac:dyDescent="0.2">
      <c r="A19994" s="6" t="str">
        <f>"RNF122"</f>
        <v>RNF122</v>
      </c>
      <c r="B19994" s="6" t="s">
        <v>1</v>
      </c>
      <c r="C19994" s="6" t="s">
        <v>1</v>
      </c>
    </row>
    <row r="19995" spans="1:3" s="8" customFormat="1" x14ac:dyDescent="0.2">
      <c r="A19995" s="6" t="str">
        <f>"DFFB"</f>
        <v>DFFB</v>
      </c>
      <c r="B19995" s="6" t="s">
        <v>1</v>
      </c>
      <c r="C19995" s="6" t="s">
        <v>1</v>
      </c>
    </row>
    <row r="19996" spans="1:3" s="8" customFormat="1" x14ac:dyDescent="0.2">
      <c r="A19996" s="6" t="str">
        <f>"LETM2"</f>
        <v>LETM2</v>
      </c>
      <c r="B19996" s="6" t="s">
        <v>1</v>
      </c>
      <c r="C19996" s="6" t="s">
        <v>1</v>
      </c>
    </row>
    <row r="19997" spans="1:3" s="8" customFormat="1" x14ac:dyDescent="0.2">
      <c r="A19997" s="6" t="str">
        <f>"GABBR1"</f>
        <v>GABBR1</v>
      </c>
      <c r="B19997" s="6" t="s">
        <v>1</v>
      </c>
      <c r="C19997" s="6" t="s">
        <v>1</v>
      </c>
    </row>
    <row r="19998" spans="1:3" s="8" customFormat="1" x14ac:dyDescent="0.2">
      <c r="A19998" s="6" t="str">
        <f>"AL354919.1"</f>
        <v>AL354919.1</v>
      </c>
      <c r="B19998" s="6" t="s">
        <v>1</v>
      </c>
      <c r="C19998" s="6" t="s">
        <v>1</v>
      </c>
    </row>
    <row r="19999" spans="1:3" s="8" customFormat="1" x14ac:dyDescent="0.2">
      <c r="A19999" s="6" t="str">
        <f>"AC004816.1"</f>
        <v>AC004816.1</v>
      </c>
      <c r="B19999" s="6" t="s">
        <v>1</v>
      </c>
      <c r="C19999" s="6" t="s">
        <v>1</v>
      </c>
    </row>
    <row r="20000" spans="1:3" s="8" customFormat="1" x14ac:dyDescent="0.2">
      <c r="A20000" s="6" t="str">
        <f>"LRMDA"</f>
        <v>LRMDA</v>
      </c>
      <c r="B20000" s="6" t="s">
        <v>1</v>
      </c>
      <c r="C20000" s="6" t="s">
        <v>1</v>
      </c>
    </row>
    <row r="20001" spans="1:3" s="8" customFormat="1" x14ac:dyDescent="0.2">
      <c r="A20001" s="6" t="str">
        <f>"AC007383.1"</f>
        <v>AC007383.1</v>
      </c>
      <c r="B20001" s="6" t="s">
        <v>1</v>
      </c>
      <c r="C20001" s="6" t="s">
        <v>1</v>
      </c>
    </row>
    <row r="20002" spans="1:3" s="8" customFormat="1" x14ac:dyDescent="0.2">
      <c r="A20002" s="6" t="str">
        <f>"AR"</f>
        <v>AR</v>
      </c>
      <c r="B20002" s="6" t="s">
        <v>1</v>
      </c>
      <c r="C20002" s="6" t="s">
        <v>1</v>
      </c>
    </row>
    <row r="20003" spans="1:3" s="8" customFormat="1" x14ac:dyDescent="0.2">
      <c r="A20003" s="6" t="str">
        <f>"MKRN3"</f>
        <v>MKRN3</v>
      </c>
      <c r="B20003" s="6" t="s">
        <v>1</v>
      </c>
      <c r="C20003" s="6" t="s">
        <v>1</v>
      </c>
    </row>
    <row r="20004" spans="1:3" s="8" customFormat="1" x14ac:dyDescent="0.2">
      <c r="A20004" s="6" t="str">
        <f>"SALL2"</f>
        <v>SALL2</v>
      </c>
      <c r="B20004" s="6" t="s">
        <v>1</v>
      </c>
      <c r="C20004" s="6" t="s">
        <v>1</v>
      </c>
    </row>
    <row r="20005" spans="1:3" s="8" customFormat="1" x14ac:dyDescent="0.2">
      <c r="A20005" s="6" t="str">
        <f>"ZBTB49"</f>
        <v>ZBTB49</v>
      </c>
      <c r="B20005" s="6" t="s">
        <v>1</v>
      </c>
      <c r="C20005" s="6" t="s">
        <v>1</v>
      </c>
    </row>
    <row r="20006" spans="1:3" s="8" customFormat="1" x14ac:dyDescent="0.2">
      <c r="A20006" s="6" t="str">
        <f>"GIMAP5"</f>
        <v>GIMAP5</v>
      </c>
      <c r="B20006" s="6" t="s">
        <v>1</v>
      </c>
      <c r="C20006" s="6" t="s">
        <v>1</v>
      </c>
    </row>
    <row r="20007" spans="1:3" s="8" customFormat="1" x14ac:dyDescent="0.2">
      <c r="A20007" s="6" t="str">
        <f>"NPIPA2"</f>
        <v>NPIPA2</v>
      </c>
      <c r="B20007" s="6" t="s">
        <v>1</v>
      </c>
      <c r="C20007" s="6" t="s">
        <v>1</v>
      </c>
    </row>
    <row r="20008" spans="1:3" s="8" customFormat="1" x14ac:dyDescent="0.2">
      <c r="A20008" s="6" t="str">
        <f>"ATAD3C"</f>
        <v>ATAD3C</v>
      </c>
      <c r="B20008" s="6" t="s">
        <v>1</v>
      </c>
      <c r="C20008" s="6" t="s">
        <v>1</v>
      </c>
    </row>
    <row r="20009" spans="1:3" s="8" customFormat="1" x14ac:dyDescent="0.2">
      <c r="A20009" s="6" t="str">
        <f>"ALMS1P1"</f>
        <v>ALMS1P1</v>
      </c>
      <c r="B20009" s="6" t="s">
        <v>1</v>
      </c>
      <c r="C20009" s="6" t="s">
        <v>1</v>
      </c>
    </row>
    <row r="20010" spans="1:3" s="8" customFormat="1" x14ac:dyDescent="0.2">
      <c r="A20010" s="6" t="str">
        <f>"TNFAIP6"</f>
        <v>TNFAIP6</v>
      </c>
      <c r="B20010" s="6" t="s">
        <v>1</v>
      </c>
      <c r="C20010" s="6" t="s">
        <v>1</v>
      </c>
    </row>
    <row r="20011" spans="1:3" s="8" customFormat="1" x14ac:dyDescent="0.2">
      <c r="A20011" s="6" t="str">
        <f>"CDYL2"</f>
        <v>CDYL2</v>
      </c>
      <c r="B20011" s="6" t="s">
        <v>1</v>
      </c>
      <c r="C20011" s="6" t="s">
        <v>1</v>
      </c>
    </row>
    <row r="20012" spans="1:3" s="8" customFormat="1" x14ac:dyDescent="0.2">
      <c r="A20012" s="6" t="str">
        <f>"ENOX1"</f>
        <v>ENOX1</v>
      </c>
      <c r="B20012" s="6" t="s">
        <v>1</v>
      </c>
      <c r="C20012" s="6" t="s">
        <v>1</v>
      </c>
    </row>
    <row r="20013" spans="1:3" s="8" customFormat="1" x14ac:dyDescent="0.2">
      <c r="A20013" s="6" t="str">
        <f>"FAM95C"</f>
        <v>FAM95C</v>
      </c>
      <c r="B20013" s="6" t="s">
        <v>1</v>
      </c>
      <c r="C20013" s="6" t="s">
        <v>1</v>
      </c>
    </row>
    <row r="20014" spans="1:3" s="8" customFormat="1" x14ac:dyDescent="0.2">
      <c r="A20014" s="6" t="str">
        <f>"GLYATL2"</f>
        <v>GLYATL2</v>
      </c>
      <c r="B20014" s="6" t="s">
        <v>1</v>
      </c>
      <c r="C20014" s="6" t="s">
        <v>1</v>
      </c>
    </row>
    <row r="20015" spans="1:3" s="8" customFormat="1" x14ac:dyDescent="0.2">
      <c r="A20015" s="6" t="str">
        <f>"KLF3-AS1"</f>
        <v>KLF3-AS1</v>
      </c>
      <c r="B20015" s="6" t="s">
        <v>1</v>
      </c>
      <c r="C20015" s="6" t="s">
        <v>1</v>
      </c>
    </row>
    <row r="20016" spans="1:3" s="8" customFormat="1" x14ac:dyDescent="0.2">
      <c r="A20016" s="6" t="str">
        <f>"MKLN1-AS"</f>
        <v>MKLN1-AS</v>
      </c>
      <c r="B20016" s="6" t="s">
        <v>1</v>
      </c>
      <c r="C20016" s="6" t="s">
        <v>1</v>
      </c>
    </row>
    <row r="20017" spans="1:3" s="8" customFormat="1" x14ac:dyDescent="0.2">
      <c r="A20017" s="6" t="str">
        <f>"PADI3"</f>
        <v>PADI3</v>
      </c>
      <c r="B20017" s="6" t="s">
        <v>1</v>
      </c>
      <c r="C20017" s="6" t="s">
        <v>1</v>
      </c>
    </row>
    <row r="20018" spans="1:3" s="8" customFormat="1" x14ac:dyDescent="0.2">
      <c r="A20018" s="6" t="str">
        <f>"AP000787.1"</f>
        <v>AP000787.1</v>
      </c>
      <c r="B20018" s="6" t="s">
        <v>1</v>
      </c>
      <c r="C20018" s="6" t="s">
        <v>1</v>
      </c>
    </row>
    <row r="20019" spans="1:3" s="8" customFormat="1" x14ac:dyDescent="0.2">
      <c r="A20019" s="6" t="str">
        <f>"AL445985.1"</f>
        <v>AL445985.1</v>
      </c>
      <c r="B20019" s="6" t="s">
        <v>1</v>
      </c>
      <c r="C20019" s="6" t="s">
        <v>1</v>
      </c>
    </row>
    <row r="20020" spans="1:3" s="8" customFormat="1" x14ac:dyDescent="0.2">
      <c r="A20020" s="6" t="str">
        <f>"ECM2"</f>
        <v>ECM2</v>
      </c>
      <c r="B20020" s="6" t="s">
        <v>1</v>
      </c>
      <c r="C20020" s="6" t="s">
        <v>1</v>
      </c>
    </row>
    <row r="20021" spans="1:3" s="8" customFormat="1" x14ac:dyDescent="0.2">
      <c r="A20021" s="6" t="str">
        <f>"HBB"</f>
        <v>HBB</v>
      </c>
      <c r="B20021" s="6" t="s">
        <v>1</v>
      </c>
      <c r="C20021" s="6" t="s">
        <v>1</v>
      </c>
    </row>
    <row r="20022" spans="1:3" s="8" customFormat="1" x14ac:dyDescent="0.2">
      <c r="A20022" s="6" t="str">
        <f>"LINC01135"</f>
        <v>LINC01135</v>
      </c>
      <c r="B20022" s="6" t="s">
        <v>1</v>
      </c>
      <c r="C20022" s="6" t="s">
        <v>1</v>
      </c>
    </row>
    <row r="20023" spans="1:3" s="8" customFormat="1" x14ac:dyDescent="0.2">
      <c r="A20023" s="6" t="str">
        <f>"LINC01206"</f>
        <v>LINC01206</v>
      </c>
      <c r="B20023" s="6" t="s">
        <v>1</v>
      </c>
      <c r="C20023" s="6" t="s">
        <v>1</v>
      </c>
    </row>
    <row r="20024" spans="1:3" s="8" customFormat="1" x14ac:dyDescent="0.2">
      <c r="A20024" s="6" t="str">
        <f>"TTN-AS1"</f>
        <v>TTN-AS1</v>
      </c>
      <c r="B20024" s="6" t="s">
        <v>1</v>
      </c>
      <c r="C20024" s="6" t="s">
        <v>1</v>
      </c>
    </row>
    <row r="20025" spans="1:3" s="8" customFormat="1" x14ac:dyDescent="0.2">
      <c r="A20025" s="6" t="str">
        <f>"CNTN5"</f>
        <v>CNTN5</v>
      </c>
      <c r="B20025" s="6" t="s">
        <v>1</v>
      </c>
      <c r="C20025" s="6" t="s">
        <v>1</v>
      </c>
    </row>
    <row r="20026" spans="1:3" s="8" customFormat="1" x14ac:dyDescent="0.2">
      <c r="A20026" s="6" t="str">
        <f>"GJA4"</f>
        <v>GJA4</v>
      </c>
      <c r="B20026" s="6" t="s">
        <v>1</v>
      </c>
      <c r="C20026" s="6" t="s">
        <v>1</v>
      </c>
    </row>
    <row r="20027" spans="1:3" s="8" customFormat="1" x14ac:dyDescent="0.2">
      <c r="A20027" s="6" t="str">
        <f>"SEC31B"</f>
        <v>SEC31B</v>
      </c>
      <c r="B20027" s="6" t="s">
        <v>1</v>
      </c>
      <c r="C20027" s="6" t="s">
        <v>1</v>
      </c>
    </row>
    <row r="20028" spans="1:3" s="8" customFormat="1" x14ac:dyDescent="0.2">
      <c r="A20028" s="6" t="str">
        <f>"C2orf72"</f>
        <v>C2orf72</v>
      </c>
      <c r="B20028" s="6" t="s">
        <v>1</v>
      </c>
      <c r="C20028" s="6" t="s">
        <v>1</v>
      </c>
    </row>
    <row r="20029" spans="1:3" s="8" customFormat="1" x14ac:dyDescent="0.2">
      <c r="A20029" s="6" t="str">
        <f>"NPAS1"</f>
        <v>NPAS1</v>
      </c>
      <c r="B20029" s="6" t="s">
        <v>1</v>
      </c>
      <c r="C20029" s="6" t="s">
        <v>1</v>
      </c>
    </row>
    <row r="20030" spans="1:3" s="8" customFormat="1" x14ac:dyDescent="0.2">
      <c r="A20030" s="6" t="str">
        <f>"PADI4"</f>
        <v>PADI4</v>
      </c>
      <c r="B20030" s="6" t="s">
        <v>1</v>
      </c>
      <c r="C20030" s="6" t="s">
        <v>1</v>
      </c>
    </row>
    <row r="20031" spans="1:3" s="8" customFormat="1" x14ac:dyDescent="0.2">
      <c r="A20031" s="6" t="str">
        <f>"MAGEE1"</f>
        <v>MAGEE1</v>
      </c>
      <c r="B20031" s="6" t="s">
        <v>1</v>
      </c>
      <c r="C20031" s="6" t="s">
        <v>1</v>
      </c>
    </row>
    <row r="20032" spans="1:3" s="8" customFormat="1" x14ac:dyDescent="0.2">
      <c r="A20032" s="6" t="str">
        <f>"AC127070.2"</f>
        <v>AC127070.2</v>
      </c>
      <c r="B20032" s="6" t="s">
        <v>1</v>
      </c>
      <c r="C20032" s="6" t="s">
        <v>1</v>
      </c>
    </row>
    <row r="20033" spans="1:3" s="8" customFormat="1" x14ac:dyDescent="0.2">
      <c r="A20033" s="6" t="str">
        <f>"HBA2"</f>
        <v>HBA2</v>
      </c>
      <c r="B20033" s="6" t="s">
        <v>1</v>
      </c>
      <c r="C20033" s="6" t="s">
        <v>1</v>
      </c>
    </row>
    <row r="20034" spans="1:3" s="8" customFormat="1" x14ac:dyDescent="0.2">
      <c r="A20034" s="6" t="str">
        <f>"TBC1D8-AS1"</f>
        <v>TBC1D8-AS1</v>
      </c>
      <c r="B20034" s="6" t="s">
        <v>1</v>
      </c>
      <c r="C20034" s="6" t="s">
        <v>1</v>
      </c>
    </row>
    <row r="20035" spans="1:3" s="8" customFormat="1" x14ac:dyDescent="0.2">
      <c r="A20035" s="6" t="str">
        <f>"AC015712.2"</f>
        <v>AC015712.2</v>
      </c>
      <c r="B20035" s="6" t="s">
        <v>1</v>
      </c>
      <c r="C20035" s="6" t="s">
        <v>1</v>
      </c>
    </row>
    <row r="20036" spans="1:3" s="8" customFormat="1" x14ac:dyDescent="0.2">
      <c r="A20036" s="6" t="str">
        <f>"FLT1"</f>
        <v>FLT1</v>
      </c>
      <c r="B20036" s="6" t="s">
        <v>1</v>
      </c>
      <c r="C20036" s="6" t="s">
        <v>1</v>
      </c>
    </row>
    <row r="20037" spans="1:3" s="8" customFormat="1" x14ac:dyDescent="0.2">
      <c r="A20037" s="6" t="str">
        <f>"NOTCH2NLB"</f>
        <v>NOTCH2NLB</v>
      </c>
      <c r="B20037" s="6" t="s">
        <v>1</v>
      </c>
      <c r="C20037" s="6" t="s">
        <v>1</v>
      </c>
    </row>
    <row r="20038" spans="1:3" s="8" customFormat="1" x14ac:dyDescent="0.2">
      <c r="A20038" s="6" t="str">
        <f>"GPRASP1"</f>
        <v>GPRASP1</v>
      </c>
      <c r="B20038" s="6" t="s">
        <v>1</v>
      </c>
      <c r="C20038" s="6" t="s">
        <v>1</v>
      </c>
    </row>
    <row r="20039" spans="1:3" s="8" customFormat="1" x14ac:dyDescent="0.2">
      <c r="A20039" s="6" t="str">
        <f>"SLC25A51P4"</f>
        <v>SLC25A51P4</v>
      </c>
      <c r="B20039" s="6" t="s">
        <v>1</v>
      </c>
      <c r="C20039" s="6" t="s">
        <v>1</v>
      </c>
    </row>
    <row r="20040" spans="1:3" s="8" customFormat="1" x14ac:dyDescent="0.2">
      <c r="A20040" s="6" t="str">
        <f>"PDE10A"</f>
        <v>PDE10A</v>
      </c>
      <c r="B20040" s="6" t="s">
        <v>1</v>
      </c>
      <c r="C20040" s="6" t="s">
        <v>1</v>
      </c>
    </row>
    <row r="20041" spans="1:3" s="8" customFormat="1" x14ac:dyDescent="0.2">
      <c r="A20041" s="6" t="str">
        <f>"NUTM2A"</f>
        <v>NUTM2A</v>
      </c>
      <c r="B20041" s="6" t="s">
        <v>1</v>
      </c>
      <c r="C20041" s="6" t="s">
        <v>1</v>
      </c>
    </row>
    <row r="20042" spans="1:3" s="8" customFormat="1" x14ac:dyDescent="0.2">
      <c r="A20042" s="6" t="str">
        <f>"PLEKHG4"</f>
        <v>PLEKHG4</v>
      </c>
      <c r="B20042" s="6" t="s">
        <v>1</v>
      </c>
      <c r="C20042" s="6" t="s">
        <v>1</v>
      </c>
    </row>
    <row r="20043" spans="1:3" s="8" customFormat="1" x14ac:dyDescent="0.2">
      <c r="A20043" s="6" t="str">
        <f>"FLJ20021"</f>
        <v>FLJ20021</v>
      </c>
      <c r="B20043" s="6" t="s">
        <v>1</v>
      </c>
      <c r="C20043" s="6" t="s">
        <v>1</v>
      </c>
    </row>
    <row r="20044" spans="1:3" s="8" customFormat="1" x14ac:dyDescent="0.2">
      <c r="A20044" s="6" t="str">
        <f>"CDRT4"</f>
        <v>CDRT4</v>
      </c>
      <c r="B20044" s="6" t="s">
        <v>1</v>
      </c>
      <c r="C20044" s="6" t="s">
        <v>1</v>
      </c>
    </row>
    <row r="20045" spans="1:3" s="8" customFormat="1" x14ac:dyDescent="0.2">
      <c r="A20045" s="6" t="str">
        <f>"MSANTD2"</f>
        <v>MSANTD2</v>
      </c>
      <c r="B20045" s="6" t="s">
        <v>1</v>
      </c>
      <c r="C20045" s="6" t="s">
        <v>1</v>
      </c>
    </row>
    <row r="20046" spans="1:3" s="8" customFormat="1" x14ac:dyDescent="0.2">
      <c r="A20046" s="6" t="str">
        <f>"CCND2"</f>
        <v>CCND2</v>
      </c>
      <c r="B20046" s="6" t="s">
        <v>1</v>
      </c>
      <c r="C20046" s="6" t="s">
        <v>1</v>
      </c>
    </row>
    <row r="20047" spans="1:3" s="8" customFormat="1" x14ac:dyDescent="0.2">
      <c r="A20047" s="6" t="str">
        <f>"GINS3"</f>
        <v>GINS3</v>
      </c>
      <c r="B20047" s="6" t="s">
        <v>1</v>
      </c>
      <c r="C20047" s="6" t="s">
        <v>1</v>
      </c>
    </row>
    <row r="20048" spans="1:3" s="8" customFormat="1" x14ac:dyDescent="0.2">
      <c r="A20048" s="6" t="str">
        <f>"NPIPB13"</f>
        <v>NPIPB13</v>
      </c>
      <c r="B20048" s="6" t="s">
        <v>1</v>
      </c>
      <c r="C20048" s="6" t="s">
        <v>1</v>
      </c>
    </row>
    <row r="20049" spans="1:3" s="8" customFormat="1" x14ac:dyDescent="0.2">
      <c r="A20049" s="6" t="str">
        <f>"RALY-AS1"</f>
        <v>RALY-AS1</v>
      </c>
      <c r="B20049" s="6" t="s">
        <v>1</v>
      </c>
      <c r="C20049" s="6" t="s">
        <v>1</v>
      </c>
    </row>
    <row r="20050" spans="1:3" s="8" customFormat="1" x14ac:dyDescent="0.2">
      <c r="A20050" s="6" t="str">
        <f>"DNAJB5"</f>
        <v>DNAJB5</v>
      </c>
      <c r="B20050" s="6" t="s">
        <v>1</v>
      </c>
      <c r="C20050" s="6" t="s">
        <v>1</v>
      </c>
    </row>
    <row r="20051" spans="1:3" s="8" customFormat="1" x14ac:dyDescent="0.2">
      <c r="A20051" s="6" t="str">
        <f>"HMGA1P8"</f>
        <v>HMGA1P8</v>
      </c>
      <c r="B20051" s="6" t="s">
        <v>1</v>
      </c>
      <c r="C20051" s="6" t="s">
        <v>1</v>
      </c>
    </row>
    <row r="20052" spans="1:3" s="8" customFormat="1" x14ac:dyDescent="0.2">
      <c r="A20052" s="6" t="str">
        <f>"SLC27A5"</f>
        <v>SLC27A5</v>
      </c>
      <c r="B20052" s="6" t="s">
        <v>1</v>
      </c>
      <c r="C20052" s="6" t="s">
        <v>1</v>
      </c>
    </row>
    <row r="20053" spans="1:3" s="8" customFormat="1" x14ac:dyDescent="0.2">
      <c r="A20053" s="6" t="str">
        <f>"BACE1-AS"</f>
        <v>BACE1-AS</v>
      </c>
      <c r="B20053" s="6" t="s">
        <v>1</v>
      </c>
      <c r="C20053" s="6" t="s">
        <v>1</v>
      </c>
    </row>
    <row r="20054" spans="1:3" s="8" customFormat="1" x14ac:dyDescent="0.2">
      <c r="A20054" s="6" t="str">
        <f>"AC015871.3"</f>
        <v>AC015871.3</v>
      </c>
      <c r="B20054" s="6" t="s">
        <v>1</v>
      </c>
      <c r="C20054" s="6" t="s">
        <v>1</v>
      </c>
    </row>
    <row r="20055" spans="1:3" s="8" customFormat="1" x14ac:dyDescent="0.2">
      <c r="A20055" s="6" t="str">
        <f>"CHRNA9"</f>
        <v>CHRNA9</v>
      </c>
      <c r="B20055" s="6" t="s">
        <v>1</v>
      </c>
      <c r="C20055" s="6" t="s">
        <v>1</v>
      </c>
    </row>
    <row r="20056" spans="1:3" s="8" customFormat="1" x14ac:dyDescent="0.2">
      <c r="A20056" s="6" t="str">
        <f>"KLK12"</f>
        <v>KLK12</v>
      </c>
      <c r="B20056" s="6" t="s">
        <v>1</v>
      </c>
      <c r="C20056" s="6" t="s">
        <v>1</v>
      </c>
    </row>
    <row r="20057" spans="1:3" s="8" customFormat="1" x14ac:dyDescent="0.2">
      <c r="A20057" s="6" t="str">
        <f>"PDE1A"</f>
        <v>PDE1A</v>
      </c>
      <c r="B20057" s="6" t="s">
        <v>1</v>
      </c>
      <c r="C20057" s="6" t="s">
        <v>1</v>
      </c>
    </row>
    <row r="20058" spans="1:3" s="8" customFormat="1" x14ac:dyDescent="0.2">
      <c r="A20058" s="6" t="str">
        <f>"KCNJ14"</f>
        <v>KCNJ14</v>
      </c>
      <c r="B20058" s="6" t="s">
        <v>1</v>
      </c>
      <c r="C20058" s="6" t="s">
        <v>1</v>
      </c>
    </row>
    <row r="20059" spans="1:3" s="8" customFormat="1" x14ac:dyDescent="0.2">
      <c r="A20059" s="6" t="str">
        <f>"LINC01948"</f>
        <v>LINC01948</v>
      </c>
      <c r="B20059" s="6" t="s">
        <v>1</v>
      </c>
      <c r="C20059" s="6" t="s">
        <v>1</v>
      </c>
    </row>
    <row r="20060" spans="1:3" s="8" customFormat="1" x14ac:dyDescent="0.2">
      <c r="A20060" s="6" t="str">
        <f>"LDLRAD2"</f>
        <v>LDLRAD2</v>
      </c>
      <c r="B20060" s="6" t="s">
        <v>1</v>
      </c>
      <c r="C20060" s="6" t="s">
        <v>1</v>
      </c>
    </row>
    <row r="20061" spans="1:3" s="8" customFormat="1" x14ac:dyDescent="0.2">
      <c r="A20061" s="6" t="str">
        <f>"GPRIN3"</f>
        <v>GPRIN3</v>
      </c>
      <c r="B20061" s="6" t="s">
        <v>1</v>
      </c>
      <c r="C20061" s="6" t="s">
        <v>1</v>
      </c>
    </row>
    <row r="20062" spans="1:3" s="8" customFormat="1" x14ac:dyDescent="0.2">
      <c r="A20062" s="6" t="str">
        <f>"MALINC1"</f>
        <v>MALINC1</v>
      </c>
      <c r="B20062" s="6" t="s">
        <v>1</v>
      </c>
      <c r="C20062" s="6" t="s">
        <v>1</v>
      </c>
    </row>
    <row r="20063" spans="1:3" s="8" customFormat="1" x14ac:dyDescent="0.2">
      <c r="A20063" s="6" t="str">
        <f>"AC242022.1"</f>
        <v>AC242022.1</v>
      </c>
      <c r="B20063" s="6" t="s">
        <v>1</v>
      </c>
      <c r="C20063" s="6" t="s">
        <v>1</v>
      </c>
    </row>
    <row r="20064" spans="1:3" s="8" customFormat="1" x14ac:dyDescent="0.2">
      <c r="A20064" s="6" t="str">
        <f>"AC108010.1"</f>
        <v>AC108010.1</v>
      </c>
      <c r="B20064" s="6" t="s">
        <v>1</v>
      </c>
      <c r="C20064" s="6" t="s">
        <v>1</v>
      </c>
    </row>
    <row r="20065" spans="1:3" s="8" customFormat="1" x14ac:dyDescent="0.2">
      <c r="A20065" s="6" t="str">
        <f>"KLHL23"</f>
        <v>KLHL23</v>
      </c>
      <c r="B20065" s="6" t="s">
        <v>1</v>
      </c>
      <c r="C20065" s="6" t="s">
        <v>1</v>
      </c>
    </row>
    <row r="20066" spans="1:3" s="8" customFormat="1" x14ac:dyDescent="0.2">
      <c r="A20066" s="6" t="str">
        <f>"LOXHD1"</f>
        <v>LOXHD1</v>
      </c>
      <c r="B20066" s="6" t="s">
        <v>1</v>
      </c>
      <c r="C20066" s="6" t="s">
        <v>1</v>
      </c>
    </row>
    <row r="20067" spans="1:3" s="8" customFormat="1" x14ac:dyDescent="0.2">
      <c r="A20067" s="6" t="str">
        <f>"HMCN1"</f>
        <v>HMCN1</v>
      </c>
      <c r="B20067" s="6" t="s">
        <v>1</v>
      </c>
      <c r="C20067" s="6" t="s">
        <v>1</v>
      </c>
    </row>
    <row r="20068" spans="1:3" s="8" customFormat="1" x14ac:dyDescent="0.2">
      <c r="A20068" s="6" t="str">
        <f>"SLX1B-SULT1A4"</f>
        <v>SLX1B-SULT1A4</v>
      </c>
      <c r="B20068" s="6" t="s">
        <v>1</v>
      </c>
      <c r="C20068" s="6" t="s">
        <v>1</v>
      </c>
    </row>
    <row r="20069" spans="1:3" s="8" customFormat="1" x14ac:dyDescent="0.2">
      <c r="A20069" s="6" t="str">
        <f>"AC087500.1"</f>
        <v>AC087500.1</v>
      </c>
      <c r="B20069" s="6" t="s">
        <v>1</v>
      </c>
      <c r="C20069" s="6" t="s">
        <v>1</v>
      </c>
    </row>
    <row r="20070" spans="1:3" s="8" customFormat="1" x14ac:dyDescent="0.2">
      <c r="A20070" s="6" t="str">
        <f>"ZNF610"</f>
        <v>ZNF610</v>
      </c>
      <c r="B20070" s="6" t="s">
        <v>1</v>
      </c>
      <c r="C20070" s="6" t="s">
        <v>1</v>
      </c>
    </row>
    <row r="20071" spans="1:3" s="8" customFormat="1" x14ac:dyDescent="0.2">
      <c r="A20071" s="6" t="str">
        <f>"GPRASP2"</f>
        <v>GPRASP2</v>
      </c>
      <c r="B20071" s="6" t="s">
        <v>1</v>
      </c>
      <c r="C20071" s="6" t="s">
        <v>1</v>
      </c>
    </row>
    <row r="20072" spans="1:3" s="8" customFormat="1" x14ac:dyDescent="0.2">
      <c r="A20072" s="6" t="str">
        <f>"LINC01963"</f>
        <v>LINC01963</v>
      </c>
      <c r="B20072" s="6" t="s">
        <v>1</v>
      </c>
      <c r="C20072" s="6" t="s">
        <v>1</v>
      </c>
    </row>
    <row r="20073" spans="1:3" s="8" customFormat="1" x14ac:dyDescent="0.2">
      <c r="A20073" s="6" t="str">
        <f>"MRPS31P5"</f>
        <v>MRPS31P5</v>
      </c>
      <c r="B20073" s="6" t="s">
        <v>1</v>
      </c>
      <c r="C20073" s="6" t="s">
        <v>1</v>
      </c>
    </row>
    <row r="20074" spans="1:3" s="8" customFormat="1" x14ac:dyDescent="0.2">
      <c r="A20074" s="6" t="str">
        <f>"CYP2E1"</f>
        <v>CYP2E1</v>
      </c>
      <c r="B20074" s="6" t="s">
        <v>1</v>
      </c>
      <c r="C20074" s="6" t="s">
        <v>1</v>
      </c>
    </row>
    <row r="20075" spans="1:3" s="8" customFormat="1" x14ac:dyDescent="0.2">
      <c r="A20075" s="6" t="str">
        <f>"MSH5-SAPCD1"</f>
        <v>MSH5-SAPCD1</v>
      </c>
      <c r="B20075" s="6" t="s">
        <v>1</v>
      </c>
      <c r="C20075" s="6" t="s">
        <v>1</v>
      </c>
    </row>
    <row r="20076" spans="1:3" s="8" customFormat="1" x14ac:dyDescent="0.2">
      <c r="A20076" s="6" t="str">
        <f>"FAIM2"</f>
        <v>FAIM2</v>
      </c>
      <c r="B20076" s="6" t="s">
        <v>1</v>
      </c>
      <c r="C20076" s="6" t="s">
        <v>1</v>
      </c>
    </row>
    <row r="20077" spans="1:3" s="8" customFormat="1" x14ac:dyDescent="0.2">
      <c r="A20077" s="6" t="str">
        <f>"CCNF"</f>
        <v>CCNF</v>
      </c>
      <c r="B20077" s="6" t="s">
        <v>1</v>
      </c>
      <c r="C20077" s="6" t="s">
        <v>1</v>
      </c>
    </row>
    <row r="20078" spans="1:3" s="8" customFormat="1" x14ac:dyDescent="0.2">
      <c r="A20078" s="6" t="str">
        <f>"AC245297.3"</f>
        <v>AC245297.3</v>
      </c>
      <c r="B20078" s="6" t="s">
        <v>1</v>
      </c>
      <c r="C20078" s="6" t="s">
        <v>1</v>
      </c>
    </row>
    <row r="20079" spans="1:3" s="8" customFormat="1" x14ac:dyDescent="0.2">
      <c r="A20079" s="6" t="str">
        <f>"NPIPA8"</f>
        <v>NPIPA8</v>
      </c>
      <c r="B20079" s="6" t="s">
        <v>1</v>
      </c>
      <c r="C20079" s="6" t="s">
        <v>1</v>
      </c>
    </row>
    <row r="20080" spans="1:3" s="8" customFormat="1" x14ac:dyDescent="0.2">
      <c r="A20080" s="6" t="str">
        <f>"IFFO1"</f>
        <v>IFFO1</v>
      </c>
      <c r="B20080" s="6" t="s">
        <v>1</v>
      </c>
      <c r="C20080" s="6" t="s">
        <v>1</v>
      </c>
    </row>
    <row r="20081" spans="1:3" s="8" customFormat="1" x14ac:dyDescent="0.2">
      <c r="A20081" s="6" t="str">
        <f>"CDPF1"</f>
        <v>CDPF1</v>
      </c>
      <c r="B20081" s="6" t="s">
        <v>1</v>
      </c>
      <c r="C20081" s="6" t="s">
        <v>1</v>
      </c>
    </row>
    <row r="20082" spans="1:3" s="8" customFormat="1" x14ac:dyDescent="0.2">
      <c r="A20082" s="6" t="str">
        <f>"CNTD1"</f>
        <v>CNTD1</v>
      </c>
      <c r="B20082" s="6" t="s">
        <v>1</v>
      </c>
      <c r="C20082" s="6" t="s">
        <v>1</v>
      </c>
    </row>
    <row r="20083" spans="1:3" s="8" customFormat="1" x14ac:dyDescent="0.2">
      <c r="A20083" s="6" t="str">
        <f>"SHC3"</f>
        <v>SHC3</v>
      </c>
      <c r="B20083" s="6" t="s">
        <v>1</v>
      </c>
      <c r="C20083" s="6" t="s">
        <v>1</v>
      </c>
    </row>
    <row r="20084" spans="1:3" s="8" customFormat="1" x14ac:dyDescent="0.2">
      <c r="A20084" s="6" t="str">
        <f>"HOGA1"</f>
        <v>HOGA1</v>
      </c>
      <c r="B20084" s="6" t="s">
        <v>1</v>
      </c>
      <c r="C20084" s="6" t="s">
        <v>1</v>
      </c>
    </row>
    <row r="20085" spans="1:3" s="8" customFormat="1" x14ac:dyDescent="0.2">
      <c r="A20085" s="6" t="str">
        <f>"KBTBD3"</f>
        <v>KBTBD3</v>
      </c>
      <c r="B20085" s="6" t="s">
        <v>1</v>
      </c>
      <c r="C20085" s="6" t="s">
        <v>1</v>
      </c>
    </row>
    <row r="20086" spans="1:3" s="8" customFormat="1" x14ac:dyDescent="0.2">
      <c r="A20086" s="6" t="str">
        <f>"LMNTD2-AS1"</f>
        <v>LMNTD2-AS1</v>
      </c>
      <c r="B20086" s="6" t="s">
        <v>1</v>
      </c>
      <c r="C20086" s="6" t="s">
        <v>1</v>
      </c>
    </row>
    <row r="20087" spans="1:3" s="8" customFormat="1" x14ac:dyDescent="0.2">
      <c r="A20087" s="6" t="str">
        <f>"MYEOV"</f>
        <v>MYEOV</v>
      </c>
      <c r="B20087" s="6" t="s">
        <v>1</v>
      </c>
      <c r="C20087" s="6" t="s">
        <v>1</v>
      </c>
    </row>
    <row r="20088" spans="1:3" s="8" customFormat="1" x14ac:dyDescent="0.2">
      <c r="A20088" s="6" t="str">
        <f>"INPP5J"</f>
        <v>INPP5J</v>
      </c>
      <c r="B20088" s="6" t="s">
        <v>1</v>
      </c>
      <c r="C20088" s="6" t="s">
        <v>1</v>
      </c>
    </row>
    <row r="20089" spans="1:3" s="8" customFormat="1" x14ac:dyDescent="0.2">
      <c r="A20089" s="6" t="str">
        <f>"SRP9P1"</f>
        <v>SRP9P1</v>
      </c>
      <c r="B20089" s="6" t="s">
        <v>1</v>
      </c>
      <c r="C20089" s="6" t="s">
        <v>1</v>
      </c>
    </row>
    <row r="20090" spans="1:3" s="8" customFormat="1" x14ac:dyDescent="0.2">
      <c r="A20090" s="6" t="str">
        <f>"DNAJC25-GNG10"</f>
        <v>DNAJC25-GNG10</v>
      </c>
      <c r="B20090" s="6" t="s">
        <v>1</v>
      </c>
      <c r="C20090" s="6" t="s">
        <v>1</v>
      </c>
    </row>
    <row r="20091" spans="1:3" s="8" customFormat="1" x14ac:dyDescent="0.2">
      <c r="A20091" s="6" t="str">
        <f>"IGFLR1"</f>
        <v>IGFLR1</v>
      </c>
      <c r="B20091" s="6" t="s">
        <v>1</v>
      </c>
      <c r="C20091" s="6" t="s">
        <v>1</v>
      </c>
    </row>
    <row r="20092" spans="1:3" s="8" customFormat="1" x14ac:dyDescent="0.2">
      <c r="A20092" s="6" t="str">
        <f>"CYP2F2P"</f>
        <v>CYP2F2P</v>
      </c>
      <c r="B20092" s="6" t="s">
        <v>1</v>
      </c>
      <c r="C20092" s="6" t="s">
        <v>1</v>
      </c>
    </row>
    <row r="20093" spans="1:3" s="8" customFormat="1" x14ac:dyDescent="0.2">
      <c r="A20093" s="6" t="str">
        <f>"PCOLCE"</f>
        <v>PCOLCE</v>
      </c>
      <c r="B20093" s="6" t="s">
        <v>1</v>
      </c>
      <c r="C20093" s="6" t="s">
        <v>1</v>
      </c>
    </row>
    <row r="20094" spans="1:3" s="8" customFormat="1" x14ac:dyDescent="0.2">
      <c r="A20094" s="6" t="str">
        <f>"AC004923.1"</f>
        <v>AC004923.1</v>
      </c>
      <c r="B20094" s="6" t="s">
        <v>1</v>
      </c>
      <c r="C20094" s="6" t="s">
        <v>1</v>
      </c>
    </row>
    <row r="20095" spans="1:3" s="8" customFormat="1" x14ac:dyDescent="0.2">
      <c r="A20095" s="6" t="str">
        <f>"FLJ37453"</f>
        <v>FLJ37453</v>
      </c>
      <c r="B20095" s="6" t="s">
        <v>1</v>
      </c>
      <c r="C20095" s="6" t="s">
        <v>1</v>
      </c>
    </row>
    <row r="20096" spans="1:3" s="8" customFormat="1" x14ac:dyDescent="0.2">
      <c r="A20096" s="6" t="str">
        <f>"LMNTD2"</f>
        <v>LMNTD2</v>
      </c>
      <c r="B20096" s="6" t="s">
        <v>1</v>
      </c>
      <c r="C20096" s="6" t="s">
        <v>1</v>
      </c>
    </row>
    <row r="20097" spans="1:3" s="8" customFormat="1" x14ac:dyDescent="0.2">
      <c r="A20097" s="6" t="str">
        <f>"TMEM147-AS1"</f>
        <v>TMEM147-AS1</v>
      </c>
      <c r="B20097" s="6" t="s">
        <v>1</v>
      </c>
      <c r="C20097" s="6" t="s">
        <v>1</v>
      </c>
    </row>
    <row r="20098" spans="1:3" s="8" customFormat="1" x14ac:dyDescent="0.2">
      <c r="A20098" s="6" t="str">
        <f>"AC010168.2"</f>
        <v>AC010168.2</v>
      </c>
      <c r="B20098" s="6" t="s">
        <v>1</v>
      </c>
      <c r="C20098" s="6" t="s">
        <v>1</v>
      </c>
    </row>
    <row r="20099" spans="1:3" s="8" customFormat="1" x14ac:dyDescent="0.2">
      <c r="A20099" s="6" t="str">
        <f>"AC007406.4"</f>
        <v>AC007406.4</v>
      </c>
      <c r="B20099" s="6" t="s">
        <v>1</v>
      </c>
      <c r="C20099" s="6" t="s">
        <v>1</v>
      </c>
    </row>
    <row r="20100" spans="1:3" s="8" customFormat="1" x14ac:dyDescent="0.2">
      <c r="A20100" s="6" t="str">
        <f>"AC015813.8"</f>
        <v>AC015813.8</v>
      </c>
      <c r="B20100" s="6" t="s">
        <v>1</v>
      </c>
      <c r="C20100" s="6" t="s">
        <v>1</v>
      </c>
    </row>
    <row r="20101" spans="1:3" s="8" customFormat="1" x14ac:dyDescent="0.2">
      <c r="A20101" s="6" t="str">
        <f>"AC004951.1"</f>
        <v>AC004951.1</v>
      </c>
      <c r="B20101" s="6" t="s">
        <v>1</v>
      </c>
      <c r="C20101" s="6" t="s">
        <v>1</v>
      </c>
    </row>
    <row r="20102" spans="1:3" s="8" customFormat="1" x14ac:dyDescent="0.2">
      <c r="A20102" s="6" t="str">
        <f>"RANBP17"</f>
        <v>RANBP17</v>
      </c>
      <c r="B20102" s="6" t="s">
        <v>1</v>
      </c>
      <c r="C20102" s="6" t="s">
        <v>1</v>
      </c>
    </row>
    <row r="20103" spans="1:3" s="8" customFormat="1" x14ac:dyDescent="0.2">
      <c r="A20103" s="6" t="str">
        <f>"CYP4A22-AS1"</f>
        <v>CYP4A22-AS1</v>
      </c>
      <c r="B20103" s="6" t="s">
        <v>1</v>
      </c>
      <c r="C20103" s="6" t="s">
        <v>1</v>
      </c>
    </row>
    <row r="20104" spans="1:3" s="8" customFormat="1" x14ac:dyDescent="0.2">
      <c r="A20104" s="6" t="str">
        <f>"LINC01138"</f>
        <v>LINC01138</v>
      </c>
      <c r="B20104" s="6" t="s">
        <v>1</v>
      </c>
      <c r="C20104" s="6" t="s">
        <v>1</v>
      </c>
    </row>
    <row r="20105" spans="1:3" s="8" customFormat="1" x14ac:dyDescent="0.2">
      <c r="A20105" s="6" t="str">
        <f>"AC084816.1"</f>
        <v>AC084816.1</v>
      </c>
      <c r="B20105" s="6" t="s">
        <v>1</v>
      </c>
      <c r="C20105" s="6" t="s">
        <v>1</v>
      </c>
    </row>
    <row r="20106" spans="1:3" s="8" customFormat="1" x14ac:dyDescent="0.2">
      <c r="A20106" s="6" t="str">
        <f>"DNAJC18"</f>
        <v>DNAJC18</v>
      </c>
      <c r="B20106" s="6" t="s">
        <v>1</v>
      </c>
      <c r="C20106" s="6" t="s">
        <v>1</v>
      </c>
    </row>
    <row r="20107" spans="1:3" s="8" customFormat="1" x14ac:dyDescent="0.2">
      <c r="A20107" s="6" t="str">
        <f>"NECTIN3"</f>
        <v>NECTIN3</v>
      </c>
      <c r="B20107" s="6" t="s">
        <v>1</v>
      </c>
      <c r="C20107" s="6" t="s">
        <v>1</v>
      </c>
    </row>
    <row r="20108" spans="1:3" s="8" customFormat="1" x14ac:dyDescent="0.2">
      <c r="A20108" s="6" t="str">
        <f>"ALG10"</f>
        <v>ALG10</v>
      </c>
      <c r="B20108" s="6" t="s">
        <v>1</v>
      </c>
      <c r="C20108" s="6" t="s">
        <v>1</v>
      </c>
    </row>
    <row r="20109" spans="1:3" s="8" customFormat="1" x14ac:dyDescent="0.2">
      <c r="A20109" s="6" t="str">
        <f>"MIR4458HG"</f>
        <v>MIR4458HG</v>
      </c>
      <c r="B20109" s="6" t="s">
        <v>1</v>
      </c>
      <c r="C20109" s="6" t="s">
        <v>1</v>
      </c>
    </row>
    <row r="20110" spans="1:3" s="8" customFormat="1" x14ac:dyDescent="0.2">
      <c r="A20110" s="6" t="str">
        <f>"LINC00937"</f>
        <v>LINC00937</v>
      </c>
      <c r="B20110" s="6" t="s">
        <v>1</v>
      </c>
      <c r="C20110" s="6" t="s">
        <v>1</v>
      </c>
    </row>
    <row r="20111" spans="1:3" s="8" customFormat="1" x14ac:dyDescent="0.2">
      <c r="A20111" s="6" t="str">
        <f>"DEPP1"</f>
        <v>DEPP1</v>
      </c>
      <c r="B20111" s="6" t="s">
        <v>1</v>
      </c>
      <c r="C20111" s="6" t="s">
        <v>1</v>
      </c>
    </row>
    <row r="20112" spans="1:3" s="8" customFormat="1" x14ac:dyDescent="0.2">
      <c r="A20112" s="6" t="str">
        <f>"MCMDC2"</f>
        <v>MCMDC2</v>
      </c>
      <c r="B20112" s="6" t="s">
        <v>1</v>
      </c>
      <c r="C20112" s="6" t="s">
        <v>1</v>
      </c>
    </row>
    <row r="20113" spans="1:3" s="8" customFormat="1" x14ac:dyDescent="0.2">
      <c r="A20113" s="6" t="str">
        <f>"HAUS8"</f>
        <v>HAUS8</v>
      </c>
      <c r="B20113" s="6" t="s">
        <v>1</v>
      </c>
      <c r="C20113" s="6" t="s">
        <v>1</v>
      </c>
    </row>
    <row r="20114" spans="1:3" s="8" customFormat="1" x14ac:dyDescent="0.2">
      <c r="A20114" s="6" t="str">
        <f>"ASCL3"</f>
        <v>ASCL3</v>
      </c>
      <c r="B20114" s="6" t="s">
        <v>1</v>
      </c>
      <c r="C20114" s="6" t="s">
        <v>1</v>
      </c>
    </row>
    <row r="20115" spans="1:3" s="8" customFormat="1" x14ac:dyDescent="0.2">
      <c r="A20115" s="6" t="str">
        <f>"ENPP2"</f>
        <v>ENPP2</v>
      </c>
      <c r="B20115" s="6" t="s">
        <v>1</v>
      </c>
      <c r="C20115" s="6" t="s">
        <v>1</v>
      </c>
    </row>
    <row r="20116" spans="1:3" s="8" customFormat="1" x14ac:dyDescent="0.2">
      <c r="A20116" s="6" t="str">
        <f>"FBLN2"</f>
        <v>FBLN2</v>
      </c>
      <c r="B20116" s="6" t="s">
        <v>1</v>
      </c>
      <c r="C20116" s="6" t="s">
        <v>1</v>
      </c>
    </row>
    <row r="20117" spans="1:3" s="8" customFormat="1" x14ac:dyDescent="0.2">
      <c r="A20117" s="6" t="str">
        <f>"AC087521.2"</f>
        <v>AC087521.2</v>
      </c>
      <c r="B20117" s="6" t="s">
        <v>1</v>
      </c>
      <c r="C20117" s="6" t="s">
        <v>1</v>
      </c>
    </row>
    <row r="20118" spans="1:3" s="8" customFormat="1" x14ac:dyDescent="0.2">
      <c r="A20118" s="6" t="str">
        <f>"HNF1B"</f>
        <v>HNF1B</v>
      </c>
      <c r="B20118" s="6" t="s">
        <v>1</v>
      </c>
      <c r="C20118" s="6" t="s">
        <v>1</v>
      </c>
    </row>
    <row r="20119" spans="1:3" s="8" customFormat="1" x14ac:dyDescent="0.2">
      <c r="A20119" s="6" t="str">
        <f>"NPIPB15"</f>
        <v>NPIPB15</v>
      </c>
      <c r="B20119" s="6" t="s">
        <v>1</v>
      </c>
      <c r="C20119" s="6" t="s">
        <v>1</v>
      </c>
    </row>
    <row r="20120" spans="1:3" s="8" customFormat="1" x14ac:dyDescent="0.2">
      <c r="A20120" s="6" t="str">
        <f>"RNF144A"</f>
        <v>RNF144A</v>
      </c>
      <c r="B20120" s="6" t="s">
        <v>1</v>
      </c>
      <c r="C20120" s="6" t="s">
        <v>1</v>
      </c>
    </row>
    <row r="20121" spans="1:3" s="8" customFormat="1" x14ac:dyDescent="0.2">
      <c r="A20121" s="6" t="str">
        <f>"SLX1A-SULT1A3"</f>
        <v>SLX1A-SULT1A3</v>
      </c>
      <c r="B20121" s="6" t="s">
        <v>1</v>
      </c>
      <c r="C20121" s="6" t="s">
        <v>1</v>
      </c>
    </row>
    <row r="20122" spans="1:3" s="8" customFormat="1" x14ac:dyDescent="0.2">
      <c r="A20122" s="6" t="str">
        <f>"LYSMD1"</f>
        <v>LYSMD1</v>
      </c>
      <c r="B20122" s="6" t="s">
        <v>1</v>
      </c>
      <c r="C20122" s="6" t="s">
        <v>1</v>
      </c>
    </row>
    <row r="20123" spans="1:3" s="8" customFormat="1" x14ac:dyDescent="0.2">
      <c r="A20123" s="6" t="str">
        <f>"PACC1"</f>
        <v>PACC1</v>
      </c>
      <c r="B20123" s="6" t="s">
        <v>1</v>
      </c>
      <c r="C20123" s="6" t="s">
        <v>1</v>
      </c>
    </row>
    <row r="20124" spans="1:3" s="8" customFormat="1" x14ac:dyDescent="0.2">
      <c r="A20124" s="6" t="str">
        <f>"AC068473.5"</f>
        <v>AC068473.5</v>
      </c>
      <c r="B20124" s="6" t="s">
        <v>1</v>
      </c>
      <c r="C20124" s="6" t="s">
        <v>1</v>
      </c>
    </row>
    <row r="20125" spans="1:3" s="8" customFormat="1" x14ac:dyDescent="0.2">
      <c r="A20125" s="6" t="str">
        <f>"CARD9"</f>
        <v>CARD9</v>
      </c>
      <c r="B20125" s="6" t="s">
        <v>1</v>
      </c>
      <c r="C20125" s="6" t="s">
        <v>1</v>
      </c>
    </row>
    <row r="20126" spans="1:3" s="8" customFormat="1" x14ac:dyDescent="0.2">
      <c r="A20126" s="6" t="str">
        <f>"PROCA1"</f>
        <v>PROCA1</v>
      </c>
      <c r="B20126" s="6" t="s">
        <v>1</v>
      </c>
      <c r="C20126" s="6" t="s">
        <v>1</v>
      </c>
    </row>
    <row r="20127" spans="1:3" s="8" customFormat="1" x14ac:dyDescent="0.2">
      <c r="A20127" s="6" t="str">
        <f>"PLK1"</f>
        <v>PLK1</v>
      </c>
      <c r="B20127" s="6" t="s">
        <v>1</v>
      </c>
      <c r="C20127" s="6" t="s">
        <v>1</v>
      </c>
    </row>
    <row r="20128" spans="1:3" s="8" customFormat="1" x14ac:dyDescent="0.2">
      <c r="A20128" s="6" t="str">
        <f>"CCR5"</f>
        <v>CCR5</v>
      </c>
      <c r="B20128" s="6" t="s">
        <v>1</v>
      </c>
      <c r="C20128" s="6" t="s">
        <v>1</v>
      </c>
    </row>
    <row r="20129" spans="1:3" s="8" customFormat="1" x14ac:dyDescent="0.2">
      <c r="A20129" s="6" t="str">
        <f>"WNT2B"</f>
        <v>WNT2B</v>
      </c>
      <c r="B20129" s="6" t="s">
        <v>1</v>
      </c>
      <c r="C20129" s="6" t="s">
        <v>1</v>
      </c>
    </row>
    <row r="20130" spans="1:3" s="8" customFormat="1" x14ac:dyDescent="0.2">
      <c r="A20130" s="6" t="str">
        <f>"LINC02043"</f>
        <v>LINC02043</v>
      </c>
      <c r="B20130" s="6" t="s">
        <v>1</v>
      </c>
      <c r="C20130" s="6" t="s">
        <v>1</v>
      </c>
    </row>
    <row r="20131" spans="1:3" s="8" customFormat="1" x14ac:dyDescent="0.2">
      <c r="A20131" s="6" t="str">
        <f>"RNF157-AS1"</f>
        <v>RNF157-AS1</v>
      </c>
      <c r="B20131" s="6" t="s">
        <v>1</v>
      </c>
      <c r="C20131" s="6" t="s">
        <v>1</v>
      </c>
    </row>
    <row r="20132" spans="1:3" s="8" customFormat="1" x14ac:dyDescent="0.2">
      <c r="A20132" s="6" t="str">
        <f>"GABRG2"</f>
        <v>GABRG2</v>
      </c>
      <c r="B20132" s="6" t="s">
        <v>1</v>
      </c>
      <c r="C20132" s="6" t="s">
        <v>1</v>
      </c>
    </row>
    <row r="20133" spans="1:3" s="8" customFormat="1" x14ac:dyDescent="0.2">
      <c r="A20133" s="6" t="str">
        <f>"MYO1G"</f>
        <v>MYO1G</v>
      </c>
      <c r="B20133" s="6" t="s">
        <v>1</v>
      </c>
      <c r="C20133" s="6" t="s">
        <v>1</v>
      </c>
    </row>
    <row r="20134" spans="1:3" s="8" customFormat="1" x14ac:dyDescent="0.2">
      <c r="A20134" s="6" t="str">
        <f>"PPARG"</f>
        <v>PPARG</v>
      </c>
      <c r="B20134" s="6" t="s">
        <v>1</v>
      </c>
      <c r="C20134" s="6" t="s">
        <v>1</v>
      </c>
    </row>
    <row r="20135" spans="1:3" s="8" customFormat="1" x14ac:dyDescent="0.2">
      <c r="A20135" s="6" t="str">
        <f>"GPR35"</f>
        <v>GPR35</v>
      </c>
      <c r="B20135" s="6" t="s">
        <v>1</v>
      </c>
      <c r="C20135" s="6" t="s">
        <v>1</v>
      </c>
    </row>
    <row r="20136" spans="1:3" s="8" customFormat="1" x14ac:dyDescent="0.2">
      <c r="A20136" s="6" t="str">
        <f>"PPT2"</f>
        <v>PPT2</v>
      </c>
      <c r="B20136" s="6" t="s">
        <v>1</v>
      </c>
      <c r="C20136" s="6" t="s">
        <v>1</v>
      </c>
    </row>
    <row r="20137" spans="1:3" s="8" customFormat="1" x14ac:dyDescent="0.2">
      <c r="A20137" s="6" t="str">
        <f>"FADS3"</f>
        <v>FADS3</v>
      </c>
      <c r="B20137" s="6" t="s">
        <v>1</v>
      </c>
      <c r="C20137" s="6" t="s">
        <v>1</v>
      </c>
    </row>
    <row r="20138" spans="1:3" s="8" customFormat="1" x14ac:dyDescent="0.2">
      <c r="A20138" s="6" t="str">
        <f>"AC245297.1"</f>
        <v>AC245297.1</v>
      </c>
      <c r="B20138" s="6" t="s">
        <v>1</v>
      </c>
      <c r="C20138" s="6" t="s">
        <v>1</v>
      </c>
    </row>
    <row r="20139" spans="1:3" s="8" customFormat="1" x14ac:dyDescent="0.2">
      <c r="A20139" s="6" t="str">
        <f>"OVGP1"</f>
        <v>OVGP1</v>
      </c>
      <c r="B20139" s="6" t="s">
        <v>1</v>
      </c>
      <c r="C20139" s="6" t="s">
        <v>1</v>
      </c>
    </row>
    <row r="20140" spans="1:3" s="8" customFormat="1" x14ac:dyDescent="0.2">
      <c r="A20140" s="6" t="str">
        <f>"FANCC"</f>
        <v>FANCC</v>
      </c>
      <c r="B20140" s="6" t="s">
        <v>1</v>
      </c>
      <c r="C20140" s="6" t="s">
        <v>1</v>
      </c>
    </row>
    <row r="20141" spans="1:3" s="8" customFormat="1" x14ac:dyDescent="0.2">
      <c r="A20141" s="6" t="str">
        <f>"BRIP1"</f>
        <v>BRIP1</v>
      </c>
      <c r="B20141" s="6" t="s">
        <v>1</v>
      </c>
      <c r="C20141" s="6" t="s">
        <v>1</v>
      </c>
    </row>
    <row r="20142" spans="1:3" s="8" customFormat="1" x14ac:dyDescent="0.2">
      <c r="A20142" s="6" t="str">
        <f>"KLF8"</f>
        <v>KLF8</v>
      </c>
      <c r="B20142" s="6" t="s">
        <v>1</v>
      </c>
      <c r="C20142" s="6" t="s">
        <v>1</v>
      </c>
    </row>
    <row r="20143" spans="1:3" s="8" customFormat="1" x14ac:dyDescent="0.2">
      <c r="A20143" s="6" t="str">
        <f>"AL135905.1"</f>
        <v>AL135905.1</v>
      </c>
      <c r="B20143" s="6" t="s">
        <v>1</v>
      </c>
      <c r="C20143" s="6" t="s">
        <v>1</v>
      </c>
    </row>
    <row r="20144" spans="1:3" s="8" customFormat="1" x14ac:dyDescent="0.2">
      <c r="A20144" s="6" t="str">
        <f>"AC132008.2"</f>
        <v>AC132008.2</v>
      </c>
      <c r="B20144" s="6" t="s">
        <v>1</v>
      </c>
      <c r="C20144" s="6" t="s">
        <v>1</v>
      </c>
    </row>
    <row r="20145" spans="1:3" s="8" customFormat="1" x14ac:dyDescent="0.2">
      <c r="A20145" s="6" t="str">
        <f>"SRRM3"</f>
        <v>SRRM3</v>
      </c>
      <c r="B20145" s="6" t="s">
        <v>1</v>
      </c>
      <c r="C20145" s="6" t="s">
        <v>1</v>
      </c>
    </row>
    <row r="20146" spans="1:3" s="8" customFormat="1" x14ac:dyDescent="0.2">
      <c r="A20146" s="6" t="str">
        <f>"RAD51B"</f>
        <v>RAD51B</v>
      </c>
      <c r="B20146" s="6" t="s">
        <v>1</v>
      </c>
      <c r="C20146" s="6" t="s">
        <v>1</v>
      </c>
    </row>
    <row r="20147" spans="1:3" s="8" customFormat="1" x14ac:dyDescent="0.2">
      <c r="A20147" s="6" t="str">
        <f>"FANCM"</f>
        <v>FANCM</v>
      </c>
      <c r="B20147" s="6" t="s">
        <v>1</v>
      </c>
      <c r="C20147" s="6" t="s">
        <v>1</v>
      </c>
    </row>
    <row r="20148" spans="1:3" s="8" customFormat="1" x14ac:dyDescent="0.2">
      <c r="A20148" s="6" t="str">
        <f>"MIR210HG"</f>
        <v>MIR210HG</v>
      </c>
      <c r="B20148" s="6" t="s">
        <v>1</v>
      </c>
      <c r="C20148" s="6" t="s">
        <v>1</v>
      </c>
    </row>
    <row r="20149" spans="1:3" s="8" customFormat="1" x14ac:dyDescent="0.2">
      <c r="A20149" s="6" t="str">
        <f>"ZC3H12D"</f>
        <v>ZC3H12D</v>
      </c>
      <c r="B20149" s="6" t="s">
        <v>1</v>
      </c>
      <c r="C20149" s="6" t="s">
        <v>1</v>
      </c>
    </row>
    <row r="20150" spans="1:3" s="8" customFormat="1" x14ac:dyDescent="0.2">
      <c r="A20150" s="6" t="str">
        <f>"SUCLG2-AS1"</f>
        <v>SUCLG2-AS1</v>
      </c>
      <c r="B20150" s="6" t="s">
        <v>1</v>
      </c>
      <c r="C20150" s="6" t="s">
        <v>1</v>
      </c>
    </row>
    <row r="20151" spans="1:3" s="8" customFormat="1" x14ac:dyDescent="0.2">
      <c r="A20151" s="6" t="str">
        <f>"BRCA2"</f>
        <v>BRCA2</v>
      </c>
      <c r="B20151" s="6" t="s">
        <v>1</v>
      </c>
      <c r="C20151" s="6" t="s">
        <v>1</v>
      </c>
    </row>
    <row r="20152" spans="1:3" s="8" customFormat="1" x14ac:dyDescent="0.2">
      <c r="A20152" s="6" t="str">
        <f>"PHLPP2"</f>
        <v>PHLPP2</v>
      </c>
      <c r="B20152" s="6" t="s">
        <v>1</v>
      </c>
      <c r="C20152" s="6" t="s">
        <v>1</v>
      </c>
    </row>
    <row r="20153" spans="1:3" s="8" customFormat="1" x14ac:dyDescent="0.2">
      <c r="A20153" s="6" t="str">
        <f>"GIN1"</f>
        <v>GIN1</v>
      </c>
      <c r="B20153" s="6" t="s">
        <v>1</v>
      </c>
      <c r="C20153" s="6" t="s">
        <v>1</v>
      </c>
    </row>
    <row r="20154" spans="1:3" s="8" customFormat="1" x14ac:dyDescent="0.2">
      <c r="A20154" s="6" t="str">
        <f>"KBTBD11"</f>
        <v>KBTBD11</v>
      </c>
      <c r="B20154" s="6" t="s">
        <v>1</v>
      </c>
      <c r="C20154" s="6" t="s">
        <v>1</v>
      </c>
    </row>
    <row r="20155" spans="1:3" s="8" customFormat="1" x14ac:dyDescent="0.2">
      <c r="A20155" s="6" t="str">
        <f>"RAD52"</f>
        <v>RAD52</v>
      </c>
      <c r="B20155" s="6" t="s">
        <v>1</v>
      </c>
      <c r="C20155" s="6" t="s">
        <v>1</v>
      </c>
    </row>
    <row r="20156" spans="1:3" s="8" customFormat="1" x14ac:dyDescent="0.2">
      <c r="A20156" s="6" t="str">
        <f>"AC093752.1"</f>
        <v>AC093752.1</v>
      </c>
      <c r="B20156" s="6" t="s">
        <v>1</v>
      </c>
      <c r="C20156" s="6" t="s">
        <v>1</v>
      </c>
    </row>
    <row r="20157" spans="1:3" s="8" customFormat="1" x14ac:dyDescent="0.2">
      <c r="A20157" s="6" t="str">
        <f>"PTPRCAP"</f>
        <v>PTPRCAP</v>
      </c>
      <c r="B20157" s="6" t="s">
        <v>1</v>
      </c>
      <c r="C20157" s="6" t="s">
        <v>1</v>
      </c>
    </row>
    <row r="20158" spans="1:3" s="8" customFormat="1" x14ac:dyDescent="0.2">
      <c r="A20158" s="6" t="str">
        <f>"ASF1B"</f>
        <v>ASF1B</v>
      </c>
      <c r="B20158" s="6" t="s">
        <v>1</v>
      </c>
      <c r="C20158" s="6" t="s">
        <v>1</v>
      </c>
    </row>
    <row r="20159" spans="1:3" s="8" customFormat="1" x14ac:dyDescent="0.2">
      <c r="A20159" s="6" t="str">
        <f>"MS4A7"</f>
        <v>MS4A7</v>
      </c>
      <c r="B20159" s="6" t="s">
        <v>1</v>
      </c>
      <c r="C20159" s="6" t="s">
        <v>1</v>
      </c>
    </row>
    <row r="20160" spans="1:3" s="8" customFormat="1" x14ac:dyDescent="0.2">
      <c r="A20160" s="6" t="str">
        <f>"CCSAP"</f>
        <v>CCSAP</v>
      </c>
      <c r="B20160" s="6" t="s">
        <v>1</v>
      </c>
      <c r="C20160" s="6" t="s">
        <v>1</v>
      </c>
    </row>
    <row r="20161" spans="1:3" s="8" customFormat="1" x14ac:dyDescent="0.2">
      <c r="A20161" s="6" t="str">
        <f>"P3H2"</f>
        <v>P3H2</v>
      </c>
      <c r="B20161" s="6" t="s">
        <v>1</v>
      </c>
      <c r="C20161" s="6" t="s">
        <v>1</v>
      </c>
    </row>
    <row r="20162" spans="1:3" s="8" customFormat="1" x14ac:dyDescent="0.2">
      <c r="A20162" s="6" t="str">
        <f>"SHISA9"</f>
        <v>SHISA9</v>
      </c>
      <c r="B20162" s="6" t="s">
        <v>1</v>
      </c>
      <c r="C20162" s="6" t="s">
        <v>1</v>
      </c>
    </row>
    <row r="20163" spans="1:3" s="8" customFormat="1" x14ac:dyDescent="0.2">
      <c r="A20163" s="6" t="str">
        <f>"LYSMD4"</f>
        <v>LYSMD4</v>
      </c>
      <c r="B20163" s="6" t="s">
        <v>1</v>
      </c>
      <c r="C20163" s="6" t="s">
        <v>1</v>
      </c>
    </row>
    <row r="20164" spans="1:3" s="8" customFormat="1" x14ac:dyDescent="0.2">
      <c r="A20164" s="6" t="str">
        <f>"AC068338.2"</f>
        <v>AC068338.2</v>
      </c>
      <c r="B20164" s="6" t="s">
        <v>1</v>
      </c>
      <c r="C20164" s="6" t="s">
        <v>1</v>
      </c>
    </row>
    <row r="20165" spans="1:3" s="8" customFormat="1" x14ac:dyDescent="0.2">
      <c r="A20165" s="6" t="str">
        <f>"ACAA2"</f>
        <v>ACAA2</v>
      </c>
      <c r="B20165" s="6" t="s">
        <v>1</v>
      </c>
      <c r="C20165" s="6" t="s">
        <v>1</v>
      </c>
    </row>
    <row r="20166" spans="1:3" s="8" customFormat="1" x14ac:dyDescent="0.2">
      <c r="A20166" s="6" t="str">
        <f>"ZNF597"</f>
        <v>ZNF597</v>
      </c>
      <c r="B20166" s="6" t="s">
        <v>1</v>
      </c>
      <c r="C20166" s="6" t="s">
        <v>1</v>
      </c>
    </row>
    <row r="20167" spans="1:3" s="8" customFormat="1" x14ac:dyDescent="0.2">
      <c r="A20167" s="6" t="str">
        <f>"ZNF613"</f>
        <v>ZNF613</v>
      </c>
      <c r="B20167" s="6" t="s">
        <v>1</v>
      </c>
      <c r="C20167" s="6" t="s">
        <v>1</v>
      </c>
    </row>
    <row r="20168" spans="1:3" s="8" customFormat="1" x14ac:dyDescent="0.2">
      <c r="A20168" s="6" t="str">
        <f>"UBXN8"</f>
        <v>UBXN8</v>
      </c>
      <c r="B20168" s="6" t="s">
        <v>1</v>
      </c>
      <c r="C20168" s="6" t="s">
        <v>1</v>
      </c>
    </row>
    <row r="20169" spans="1:3" s="8" customFormat="1" x14ac:dyDescent="0.2">
      <c r="A20169" s="6" t="str">
        <f>"NUSAP1"</f>
        <v>NUSAP1</v>
      </c>
      <c r="B20169" s="6" t="s">
        <v>1</v>
      </c>
      <c r="C20169" s="6" t="s">
        <v>1</v>
      </c>
    </row>
    <row r="20170" spans="1:3" s="8" customFormat="1" x14ac:dyDescent="0.2">
      <c r="A20170" s="6" t="str">
        <f>"C3orf18"</f>
        <v>C3orf18</v>
      </c>
      <c r="B20170" s="6" t="s">
        <v>1</v>
      </c>
      <c r="C20170" s="6" t="s">
        <v>1</v>
      </c>
    </row>
    <row r="20171" spans="1:3" s="8" customFormat="1" x14ac:dyDescent="0.2">
      <c r="A20171" s="6" t="str">
        <f>"C2orf76"</f>
        <v>C2orf76</v>
      </c>
      <c r="B20171" s="6" t="s">
        <v>1</v>
      </c>
      <c r="C20171" s="6" t="s">
        <v>1</v>
      </c>
    </row>
    <row r="20172" spans="1:3" s="8" customFormat="1" x14ac:dyDescent="0.2">
      <c r="A20172" s="6" t="str">
        <f>"CNPY4"</f>
        <v>CNPY4</v>
      </c>
      <c r="B20172" s="6" t="s">
        <v>1</v>
      </c>
      <c r="C20172" s="6" t="s">
        <v>1</v>
      </c>
    </row>
    <row r="20173" spans="1:3" s="8" customFormat="1" x14ac:dyDescent="0.2">
      <c r="A20173" s="6" t="str">
        <f>"S1PR4"</f>
        <v>S1PR4</v>
      </c>
      <c r="B20173" s="6" t="s">
        <v>1</v>
      </c>
      <c r="C20173" s="6" t="s">
        <v>1</v>
      </c>
    </row>
    <row r="20174" spans="1:3" s="8" customFormat="1" x14ac:dyDescent="0.2">
      <c r="A20174" s="6" t="str">
        <f>"RFC3"</f>
        <v>RFC3</v>
      </c>
      <c r="B20174" s="6" t="s">
        <v>1</v>
      </c>
      <c r="C20174" s="6" t="s">
        <v>1</v>
      </c>
    </row>
    <row r="20175" spans="1:3" s="8" customFormat="1" x14ac:dyDescent="0.2">
      <c r="A20175" s="6" t="str">
        <f>"WIPF3"</f>
        <v>WIPF3</v>
      </c>
      <c r="B20175" s="6" t="s">
        <v>1</v>
      </c>
      <c r="C20175" s="6" t="s">
        <v>1</v>
      </c>
    </row>
    <row r="20176" spans="1:3" s="8" customFormat="1" x14ac:dyDescent="0.2">
      <c r="A20176" s="6" t="str">
        <f>"FAM86JP"</f>
        <v>FAM86JP</v>
      </c>
      <c r="B20176" s="6" t="s">
        <v>1</v>
      </c>
      <c r="C20176" s="6" t="s">
        <v>1</v>
      </c>
    </row>
    <row r="20177" spans="1:3" s="8" customFormat="1" x14ac:dyDescent="0.2">
      <c r="A20177" s="6" t="str">
        <f>"DET1"</f>
        <v>DET1</v>
      </c>
      <c r="B20177" s="6" t="s">
        <v>1</v>
      </c>
      <c r="C20177" s="6" t="s">
        <v>1</v>
      </c>
    </row>
    <row r="20178" spans="1:3" s="8" customFormat="1" x14ac:dyDescent="0.2">
      <c r="A20178" s="6" t="str">
        <f>"SRP14-AS1"</f>
        <v>SRP14-AS1</v>
      </c>
      <c r="B20178" s="6" t="s">
        <v>1</v>
      </c>
      <c r="C20178" s="6" t="s">
        <v>1</v>
      </c>
    </row>
    <row r="20179" spans="1:3" s="8" customFormat="1" x14ac:dyDescent="0.2">
      <c r="A20179" s="6" t="str">
        <f>"STX1A"</f>
        <v>STX1A</v>
      </c>
      <c r="B20179" s="6" t="s">
        <v>1</v>
      </c>
      <c r="C20179" s="6" t="s">
        <v>1</v>
      </c>
    </row>
    <row r="20180" spans="1:3" s="8" customFormat="1" x14ac:dyDescent="0.2">
      <c r="A20180" s="6" t="str">
        <f>"FLT3LG"</f>
        <v>FLT3LG</v>
      </c>
      <c r="B20180" s="6" t="s">
        <v>1</v>
      </c>
      <c r="C20180" s="6" t="s">
        <v>1</v>
      </c>
    </row>
    <row r="20181" spans="1:3" s="8" customFormat="1" x14ac:dyDescent="0.2">
      <c r="A20181" s="6" t="str">
        <f>"SHLD1"</f>
        <v>SHLD1</v>
      </c>
      <c r="B20181" s="6" t="s">
        <v>1</v>
      </c>
      <c r="C20181" s="6" t="s">
        <v>1</v>
      </c>
    </row>
    <row r="20182" spans="1:3" s="8" customFormat="1" x14ac:dyDescent="0.2">
      <c r="A20182" s="6" t="str">
        <f>"LINC01089"</f>
        <v>LINC01089</v>
      </c>
      <c r="B20182" s="6" t="s">
        <v>1</v>
      </c>
      <c r="C20182" s="6" t="s">
        <v>1</v>
      </c>
    </row>
    <row r="20183" spans="1:3" s="8" customFormat="1" x14ac:dyDescent="0.2">
      <c r="A20183" s="6" t="str">
        <f>"HARBI1"</f>
        <v>HARBI1</v>
      </c>
      <c r="B20183" s="6" t="s">
        <v>1</v>
      </c>
      <c r="C20183" s="6" t="s">
        <v>1</v>
      </c>
    </row>
    <row r="20184" spans="1:3" s="8" customFormat="1" x14ac:dyDescent="0.2">
      <c r="A20184" s="6" t="str">
        <f>"ADIRF-AS1"</f>
        <v>ADIRF-AS1</v>
      </c>
      <c r="B20184" s="6" t="s">
        <v>1</v>
      </c>
      <c r="C20184" s="6" t="s">
        <v>1</v>
      </c>
    </row>
    <row r="20185" spans="1:3" s="8" customFormat="1" x14ac:dyDescent="0.2">
      <c r="A20185" s="6" t="str">
        <f>"PCGF6"</f>
        <v>PCGF6</v>
      </c>
      <c r="B20185" s="6" t="s">
        <v>1</v>
      </c>
      <c r="C20185" s="6" t="s">
        <v>1</v>
      </c>
    </row>
    <row r="20186" spans="1:3" s="8" customFormat="1" x14ac:dyDescent="0.2">
      <c r="A20186" s="6" t="str">
        <f>"OTUD6B"</f>
        <v>OTUD6B</v>
      </c>
      <c r="B20186" s="6" t="s">
        <v>1</v>
      </c>
      <c r="C20186" s="6" t="s">
        <v>1</v>
      </c>
    </row>
    <row r="20187" spans="1:3" s="8" customFormat="1" x14ac:dyDescent="0.2">
      <c r="A20187" s="6" t="str">
        <f>"PPAT"</f>
        <v>PPAT</v>
      </c>
      <c r="B20187" s="6" t="s">
        <v>1</v>
      </c>
      <c r="C20187" s="6" t="s">
        <v>1</v>
      </c>
    </row>
    <row r="20188" spans="1:3" s="8" customFormat="1" x14ac:dyDescent="0.2">
      <c r="A20188" s="6" t="str">
        <f>"ZSCAN9"</f>
        <v>ZSCAN9</v>
      </c>
      <c r="B20188" s="6" t="s">
        <v>1</v>
      </c>
      <c r="C20188" s="6" t="s">
        <v>1</v>
      </c>
    </row>
    <row r="20189" spans="1:3" s="8" customFormat="1" x14ac:dyDescent="0.2">
      <c r="A20189" s="6" t="str">
        <f>"CYP1A1"</f>
        <v>CYP1A1</v>
      </c>
      <c r="B20189" s="6" t="s">
        <v>1</v>
      </c>
      <c r="C20189" s="6" t="s">
        <v>1</v>
      </c>
    </row>
    <row r="20190" spans="1:3" s="8" customFormat="1" x14ac:dyDescent="0.2">
      <c r="A20190" s="6" t="str">
        <f>"WNT3A"</f>
        <v>WNT3A</v>
      </c>
      <c r="B20190" s="6" t="s">
        <v>1</v>
      </c>
      <c r="C20190" s="6" t="s">
        <v>1</v>
      </c>
    </row>
    <row r="20191" spans="1:3" s="8" customFormat="1" x14ac:dyDescent="0.2">
      <c r="A20191" s="6" t="str">
        <f>"C2orf15"</f>
        <v>C2orf15</v>
      </c>
      <c r="B20191" s="6" t="s">
        <v>1</v>
      </c>
      <c r="C20191" s="6" t="s">
        <v>1</v>
      </c>
    </row>
    <row r="20192" spans="1:3" s="8" customFormat="1" x14ac:dyDescent="0.2">
      <c r="A20192" s="6" t="str">
        <f>"RPP40"</f>
        <v>RPP40</v>
      </c>
      <c r="B20192" s="6" t="s">
        <v>1</v>
      </c>
      <c r="C20192" s="6" t="s">
        <v>1</v>
      </c>
    </row>
    <row r="20193" spans="1:3" s="8" customFormat="1" x14ac:dyDescent="0.2">
      <c r="A20193" s="6" t="str">
        <f>"ZNF614"</f>
        <v>ZNF614</v>
      </c>
      <c r="B20193" s="6" t="s">
        <v>1</v>
      </c>
      <c r="C20193" s="6" t="s">
        <v>1</v>
      </c>
    </row>
    <row r="20194" spans="1:3" s="8" customFormat="1" x14ac:dyDescent="0.2">
      <c r="A20194" s="6" t="str">
        <f>"FMO6P"</f>
        <v>FMO6P</v>
      </c>
      <c r="B20194" s="6" t="s">
        <v>1</v>
      </c>
      <c r="C20194" s="6" t="s">
        <v>1</v>
      </c>
    </row>
    <row r="20195" spans="1:3" s="8" customFormat="1" x14ac:dyDescent="0.2">
      <c r="A20195" s="6" t="str">
        <f>"MSL3P1"</f>
        <v>MSL3P1</v>
      </c>
      <c r="B20195" s="6" t="s">
        <v>1</v>
      </c>
      <c r="C20195" s="6" t="s">
        <v>1</v>
      </c>
    </row>
    <row r="20196" spans="1:3" s="8" customFormat="1" x14ac:dyDescent="0.2">
      <c r="A20196" s="6" t="str">
        <f>"APOLD1"</f>
        <v>APOLD1</v>
      </c>
      <c r="B20196" s="6" t="s">
        <v>1</v>
      </c>
      <c r="C20196" s="6" t="s">
        <v>1</v>
      </c>
    </row>
    <row r="20197" spans="1:3" s="8" customFormat="1" x14ac:dyDescent="0.2">
      <c r="A20197" s="6" t="str">
        <f>"EXOG"</f>
        <v>EXOG</v>
      </c>
      <c r="B20197" s="6" t="s">
        <v>1</v>
      </c>
      <c r="C20197" s="6" t="s">
        <v>1</v>
      </c>
    </row>
    <row r="20198" spans="1:3" s="8" customFormat="1" x14ac:dyDescent="0.2">
      <c r="A20198" s="6" t="str">
        <f>"KLHL17"</f>
        <v>KLHL17</v>
      </c>
      <c r="B20198" s="6" t="s">
        <v>1</v>
      </c>
      <c r="C20198" s="6" t="s">
        <v>1</v>
      </c>
    </row>
    <row r="20199" spans="1:3" s="8" customFormat="1" x14ac:dyDescent="0.2">
      <c r="A20199" s="6" t="str">
        <f>"THAP10"</f>
        <v>THAP10</v>
      </c>
      <c r="B20199" s="6" t="s">
        <v>1</v>
      </c>
      <c r="C20199" s="6" t="s">
        <v>1</v>
      </c>
    </row>
    <row r="20200" spans="1:3" s="8" customFormat="1" x14ac:dyDescent="0.2">
      <c r="A20200" s="6" t="str">
        <f>"CYGB"</f>
        <v>CYGB</v>
      </c>
      <c r="B20200" s="6" t="s">
        <v>1</v>
      </c>
      <c r="C20200" s="6" t="s">
        <v>1</v>
      </c>
    </row>
    <row r="20201" spans="1:3" s="8" customFormat="1" x14ac:dyDescent="0.2">
      <c r="A20201" s="6" t="str">
        <f>"GIMAP4"</f>
        <v>GIMAP4</v>
      </c>
      <c r="B20201" s="6" t="s">
        <v>1</v>
      </c>
      <c r="C20201" s="6" t="s">
        <v>1</v>
      </c>
    </row>
    <row r="20202" spans="1:3" s="8" customFormat="1" x14ac:dyDescent="0.2">
      <c r="A20202" s="6" t="str">
        <f>"HMCN2"</f>
        <v>HMCN2</v>
      </c>
      <c r="B20202" s="6" t="s">
        <v>1</v>
      </c>
      <c r="C20202" s="6" t="s">
        <v>1</v>
      </c>
    </row>
    <row r="20203" spans="1:3" s="8" customFormat="1" x14ac:dyDescent="0.2">
      <c r="A20203" s="6" t="str">
        <f>"GJB7"</f>
        <v>GJB7</v>
      </c>
      <c r="B20203" s="6" t="s">
        <v>1</v>
      </c>
      <c r="C20203" s="6" t="s">
        <v>1</v>
      </c>
    </row>
    <row r="20204" spans="1:3" s="8" customFormat="1" x14ac:dyDescent="0.2">
      <c r="A20204" s="6" t="str">
        <f>"ZSCAN2"</f>
        <v>ZSCAN2</v>
      </c>
      <c r="B20204" s="6" t="s">
        <v>1</v>
      </c>
      <c r="C20204" s="6" t="s">
        <v>1</v>
      </c>
    </row>
    <row r="20205" spans="1:3" s="8" customFormat="1" x14ac:dyDescent="0.2">
      <c r="A20205" s="6" t="str">
        <f>"C3AR1"</f>
        <v>C3AR1</v>
      </c>
      <c r="B20205" s="6" t="s">
        <v>1</v>
      </c>
      <c r="C20205" s="6" t="s">
        <v>1</v>
      </c>
    </row>
    <row r="20206" spans="1:3" s="8" customFormat="1" x14ac:dyDescent="0.2">
      <c r="A20206" s="6" t="str">
        <f>"ZNF256"</f>
        <v>ZNF256</v>
      </c>
      <c r="B20206" s="6" t="s">
        <v>1</v>
      </c>
      <c r="C20206" s="6" t="s">
        <v>1</v>
      </c>
    </row>
    <row r="20207" spans="1:3" s="8" customFormat="1" x14ac:dyDescent="0.2">
      <c r="A20207" s="6" t="str">
        <f>"HMGN3-AS1"</f>
        <v>HMGN3-AS1</v>
      </c>
      <c r="B20207" s="6" t="s">
        <v>1</v>
      </c>
      <c r="C20207" s="6" t="s">
        <v>1</v>
      </c>
    </row>
    <row r="20208" spans="1:3" s="8" customFormat="1" x14ac:dyDescent="0.2">
      <c r="A20208" s="6" t="str">
        <f>"MYLK3"</f>
        <v>MYLK3</v>
      </c>
      <c r="B20208" s="6" t="s">
        <v>1</v>
      </c>
      <c r="C20208" s="6" t="s">
        <v>1</v>
      </c>
    </row>
    <row r="20209" spans="1:3" s="8" customFormat="1" x14ac:dyDescent="0.2">
      <c r="A20209" s="6" t="str">
        <f>"LINC01137"</f>
        <v>LINC01137</v>
      </c>
      <c r="B20209" s="6" t="s">
        <v>1</v>
      </c>
      <c r="C20209" s="6" t="s">
        <v>1</v>
      </c>
    </row>
    <row r="20210" spans="1:3" s="8" customFormat="1" x14ac:dyDescent="0.2">
      <c r="A20210" s="6" t="str">
        <f>"CHST7"</f>
        <v>CHST7</v>
      </c>
      <c r="B20210" s="6" t="s">
        <v>1</v>
      </c>
      <c r="C20210" s="6" t="s">
        <v>1</v>
      </c>
    </row>
    <row r="20211" spans="1:3" s="8" customFormat="1" x14ac:dyDescent="0.2">
      <c r="A20211" s="6" t="str">
        <f>"FAM86B3P"</f>
        <v>FAM86B3P</v>
      </c>
      <c r="B20211" s="6" t="s">
        <v>1</v>
      </c>
      <c r="C20211" s="6" t="s">
        <v>1</v>
      </c>
    </row>
    <row r="20212" spans="1:3" s="8" customFormat="1" x14ac:dyDescent="0.2">
      <c r="A20212" s="6" t="str">
        <f>"MIR29B2CHG"</f>
        <v>MIR29B2CHG</v>
      </c>
      <c r="B20212" s="6" t="s">
        <v>1</v>
      </c>
      <c r="C20212" s="6" t="s">
        <v>1</v>
      </c>
    </row>
    <row r="20213" spans="1:3" s="8" customFormat="1" x14ac:dyDescent="0.2">
      <c r="A20213" s="6" t="str">
        <f>"LGALS7"</f>
        <v>LGALS7</v>
      </c>
      <c r="B20213" s="6" t="s">
        <v>1</v>
      </c>
      <c r="C20213" s="6" t="s">
        <v>1</v>
      </c>
    </row>
    <row r="20214" spans="1:3" s="8" customFormat="1" x14ac:dyDescent="0.2">
      <c r="A20214" s="6" t="str">
        <f>"EEF1AKMT1"</f>
        <v>EEF1AKMT1</v>
      </c>
      <c r="B20214" s="6" t="s">
        <v>1</v>
      </c>
      <c r="C20214" s="6" t="s">
        <v>1</v>
      </c>
    </row>
    <row r="20215" spans="1:3" s="8" customFormat="1" x14ac:dyDescent="0.2">
      <c r="A20215" s="6" t="str">
        <f>"CASTOR1"</f>
        <v>CASTOR1</v>
      </c>
      <c r="B20215" s="6" t="s">
        <v>1</v>
      </c>
      <c r="C20215" s="6" t="s">
        <v>1</v>
      </c>
    </row>
    <row r="20216" spans="1:3" s="8" customFormat="1" x14ac:dyDescent="0.2">
      <c r="A20216" s="6" t="str">
        <f>"AC245060.4"</f>
        <v>AC245060.4</v>
      </c>
      <c r="B20216" s="6" t="s">
        <v>1</v>
      </c>
      <c r="C20216" s="6" t="s">
        <v>1</v>
      </c>
    </row>
    <row r="20217" spans="1:3" s="8" customFormat="1" x14ac:dyDescent="0.2">
      <c r="A20217" s="6" t="str">
        <f>"ZNF250"</f>
        <v>ZNF250</v>
      </c>
      <c r="B20217" s="6" t="s">
        <v>1</v>
      </c>
      <c r="C20217" s="6" t="s">
        <v>1</v>
      </c>
    </row>
    <row r="20218" spans="1:3" s="8" customFormat="1" x14ac:dyDescent="0.2">
      <c r="A20218" s="6" t="str">
        <f>"CDKN2B-AS1"</f>
        <v>CDKN2B-AS1</v>
      </c>
      <c r="B20218" s="6" t="s">
        <v>1</v>
      </c>
      <c r="C20218" s="6" t="s">
        <v>1</v>
      </c>
    </row>
    <row r="20219" spans="1:3" s="8" customFormat="1" x14ac:dyDescent="0.2">
      <c r="A20219" s="6" t="str">
        <f>"SEC61A2"</f>
        <v>SEC61A2</v>
      </c>
      <c r="B20219" s="6" t="s">
        <v>1</v>
      </c>
      <c r="C20219" s="6" t="s">
        <v>1</v>
      </c>
    </row>
    <row r="20220" spans="1:3" s="8" customFormat="1" x14ac:dyDescent="0.2">
      <c r="A20220" s="6" t="str">
        <f>"ASTE1"</f>
        <v>ASTE1</v>
      </c>
      <c r="B20220" s="6" t="s">
        <v>1</v>
      </c>
      <c r="C20220" s="6" t="s">
        <v>1</v>
      </c>
    </row>
    <row r="20221" spans="1:3" s="8" customFormat="1" x14ac:dyDescent="0.2">
      <c r="A20221" s="6" t="str">
        <f>"NOTCH4"</f>
        <v>NOTCH4</v>
      </c>
      <c r="B20221" s="6" t="s">
        <v>1</v>
      </c>
      <c r="C20221" s="6" t="s">
        <v>1</v>
      </c>
    </row>
    <row r="20222" spans="1:3" s="8" customFormat="1" x14ac:dyDescent="0.2">
      <c r="A20222" s="6" t="str">
        <f>"CHST10"</f>
        <v>CHST10</v>
      </c>
      <c r="B20222" s="6" t="s">
        <v>1</v>
      </c>
      <c r="C20222" s="6" t="s">
        <v>1</v>
      </c>
    </row>
    <row r="20223" spans="1:3" s="8" customFormat="1" x14ac:dyDescent="0.2">
      <c r="A20223" s="6" t="str">
        <f>"IPCEF1"</f>
        <v>IPCEF1</v>
      </c>
      <c r="B20223" s="6" t="s">
        <v>1</v>
      </c>
      <c r="C20223" s="6" t="s">
        <v>1</v>
      </c>
    </row>
    <row r="20224" spans="1:3" s="8" customFormat="1" x14ac:dyDescent="0.2">
      <c r="A20224" s="6" t="str">
        <f>"LINC01006"</f>
        <v>LINC01006</v>
      </c>
      <c r="B20224" s="6" t="s">
        <v>1</v>
      </c>
      <c r="C20224" s="6" t="s">
        <v>1</v>
      </c>
    </row>
    <row r="20225" spans="1:3" s="8" customFormat="1" x14ac:dyDescent="0.2">
      <c r="A20225" s="6" t="str">
        <f>"CEACAM7"</f>
        <v>CEACAM7</v>
      </c>
      <c r="B20225" s="6" t="s">
        <v>1</v>
      </c>
      <c r="C20225" s="6" t="s">
        <v>1</v>
      </c>
    </row>
    <row r="20226" spans="1:3" s="8" customFormat="1" x14ac:dyDescent="0.2">
      <c r="A20226" s="6" t="str">
        <f>"CHROMR"</f>
        <v>CHROMR</v>
      </c>
      <c r="B20226" s="6" t="s">
        <v>1</v>
      </c>
      <c r="C20226" s="6" t="s">
        <v>1</v>
      </c>
    </row>
    <row r="20227" spans="1:3" s="8" customFormat="1" x14ac:dyDescent="0.2">
      <c r="A20227" s="6" t="str">
        <f>"DOCK10"</f>
        <v>DOCK10</v>
      </c>
      <c r="B20227" s="6" t="s">
        <v>1</v>
      </c>
      <c r="C20227" s="6" t="s">
        <v>1</v>
      </c>
    </row>
    <row r="20228" spans="1:3" s="8" customFormat="1" x14ac:dyDescent="0.2">
      <c r="A20228" s="6" t="str">
        <f>"ENTPD3-AS1"</f>
        <v>ENTPD3-AS1</v>
      </c>
      <c r="B20228" s="6" t="s">
        <v>1</v>
      </c>
      <c r="C20228" s="6" t="s">
        <v>1</v>
      </c>
    </row>
    <row r="20229" spans="1:3" s="8" customFormat="1" x14ac:dyDescent="0.2">
      <c r="A20229" s="6" t="str">
        <f>"EMP3"</f>
        <v>EMP3</v>
      </c>
      <c r="B20229" s="6" t="s">
        <v>1</v>
      </c>
      <c r="C20229" s="6" t="s">
        <v>1</v>
      </c>
    </row>
    <row r="20230" spans="1:3" s="8" customFormat="1" x14ac:dyDescent="0.2">
      <c r="A20230" s="6" t="str">
        <f>"BRMS1L"</f>
        <v>BRMS1L</v>
      </c>
      <c r="B20230" s="6" t="s">
        <v>1</v>
      </c>
      <c r="C20230" s="6" t="s">
        <v>1</v>
      </c>
    </row>
    <row r="20231" spans="1:3" s="8" customFormat="1" x14ac:dyDescent="0.2">
      <c r="A20231" s="6" t="str">
        <f>"ASCL2"</f>
        <v>ASCL2</v>
      </c>
      <c r="B20231" s="6" t="s">
        <v>1</v>
      </c>
      <c r="C20231" s="6" t="s">
        <v>1</v>
      </c>
    </row>
    <row r="20232" spans="1:3" s="8" customFormat="1" x14ac:dyDescent="0.2">
      <c r="A20232" s="6" t="str">
        <f>"PLEKHN1"</f>
        <v>PLEKHN1</v>
      </c>
      <c r="B20232" s="6" t="s">
        <v>1</v>
      </c>
      <c r="C20232" s="6" t="s">
        <v>1</v>
      </c>
    </row>
    <row r="20233" spans="1:3" s="8" customFormat="1" x14ac:dyDescent="0.2">
      <c r="A20233" s="6" t="str">
        <f>"TGM3"</f>
        <v>TGM3</v>
      </c>
      <c r="B20233" s="6" t="s">
        <v>1</v>
      </c>
      <c r="C20233" s="6" t="s">
        <v>1</v>
      </c>
    </row>
    <row r="20234" spans="1:3" s="8" customFormat="1" x14ac:dyDescent="0.2">
      <c r="A20234" s="6" t="str">
        <f>"DNLZ"</f>
        <v>DNLZ</v>
      </c>
      <c r="B20234" s="6" t="s">
        <v>1</v>
      </c>
      <c r="C20234" s="6" t="s">
        <v>1</v>
      </c>
    </row>
    <row r="20235" spans="1:3" s="8" customFormat="1" x14ac:dyDescent="0.2">
      <c r="A20235" s="6" t="str">
        <f>"ECHDC3"</f>
        <v>ECHDC3</v>
      </c>
      <c r="B20235" s="6" t="s">
        <v>1</v>
      </c>
      <c r="C20235" s="6" t="s">
        <v>1</v>
      </c>
    </row>
    <row r="20236" spans="1:3" s="8" customFormat="1" x14ac:dyDescent="0.2">
      <c r="A20236" s="6" t="str">
        <f>"BSND"</f>
        <v>BSND</v>
      </c>
      <c r="B20236" s="6" t="s">
        <v>1</v>
      </c>
      <c r="C20236" s="6" t="s">
        <v>1</v>
      </c>
    </row>
    <row r="20237" spans="1:3" s="8" customFormat="1" x14ac:dyDescent="0.2">
      <c r="A20237" s="6" t="str">
        <f>"ZNF624"</f>
        <v>ZNF624</v>
      </c>
      <c r="B20237" s="6" t="s">
        <v>1</v>
      </c>
      <c r="C20237" s="6" t="s">
        <v>1</v>
      </c>
    </row>
    <row r="20238" spans="1:3" s="8" customFormat="1" x14ac:dyDescent="0.2">
      <c r="A20238" s="6" t="str">
        <f>"LCK"</f>
        <v>LCK</v>
      </c>
      <c r="B20238" s="6" t="s">
        <v>1</v>
      </c>
      <c r="C20238" s="6" t="s">
        <v>1</v>
      </c>
    </row>
    <row r="20239" spans="1:3" s="8" customFormat="1" x14ac:dyDescent="0.2">
      <c r="A20239" s="6" t="str">
        <f>"CYP39A1"</f>
        <v>CYP39A1</v>
      </c>
      <c r="B20239" s="6" t="s">
        <v>1</v>
      </c>
      <c r="C20239" s="6" t="s">
        <v>1</v>
      </c>
    </row>
    <row r="20240" spans="1:3" s="8" customFormat="1" x14ac:dyDescent="0.2">
      <c r="A20240" s="6" t="str">
        <f>"PTPDC1"</f>
        <v>PTPDC1</v>
      </c>
      <c r="B20240" s="6" t="s">
        <v>1</v>
      </c>
      <c r="C20240" s="6" t="s">
        <v>1</v>
      </c>
    </row>
    <row r="20241" spans="1:3" s="8" customFormat="1" x14ac:dyDescent="0.2">
      <c r="A20241" s="6" t="str">
        <f>"LNCTAM34A"</f>
        <v>LNCTAM34A</v>
      </c>
      <c r="B20241" s="6" t="s">
        <v>1</v>
      </c>
      <c r="C20241" s="6" t="s">
        <v>1</v>
      </c>
    </row>
    <row r="20242" spans="1:3" s="8" customFormat="1" x14ac:dyDescent="0.2">
      <c r="A20242" s="6" t="str">
        <f>"GLYCTK"</f>
        <v>GLYCTK</v>
      </c>
      <c r="B20242" s="6" t="s">
        <v>1</v>
      </c>
      <c r="C20242" s="6" t="s">
        <v>1</v>
      </c>
    </row>
    <row r="20243" spans="1:3" s="8" customFormat="1" x14ac:dyDescent="0.2">
      <c r="A20243" s="6" t="str">
        <f>"AC007326.4"</f>
        <v>AC007326.4</v>
      </c>
      <c r="B20243" s="6" t="s">
        <v>1</v>
      </c>
      <c r="C20243" s="6" t="s">
        <v>1</v>
      </c>
    </row>
    <row r="20244" spans="1:3" s="8" customFormat="1" x14ac:dyDescent="0.2">
      <c r="A20244" s="6" t="str">
        <f>"NDUFC2-KCTD14"</f>
        <v>NDUFC2-KCTD14</v>
      </c>
      <c r="B20244" s="6" t="s">
        <v>1</v>
      </c>
      <c r="C20244" s="6" t="s">
        <v>1</v>
      </c>
    </row>
    <row r="20245" spans="1:3" s="8" customFormat="1" x14ac:dyDescent="0.2">
      <c r="A20245" s="6" t="str">
        <f>"PDCD2L"</f>
        <v>PDCD2L</v>
      </c>
      <c r="B20245" s="6" t="s">
        <v>1</v>
      </c>
      <c r="C20245" s="6" t="s">
        <v>1</v>
      </c>
    </row>
    <row r="20246" spans="1:3" s="8" customFormat="1" x14ac:dyDescent="0.2">
      <c r="A20246" s="6" t="str">
        <f>"FANCG"</f>
        <v>FANCG</v>
      </c>
      <c r="B20246" s="6" t="s">
        <v>1</v>
      </c>
      <c r="C20246" s="6" t="s">
        <v>1</v>
      </c>
    </row>
    <row r="20247" spans="1:3" s="8" customFormat="1" x14ac:dyDescent="0.2">
      <c r="A20247" s="6" t="str">
        <f>"TTLL11"</f>
        <v>TTLL11</v>
      </c>
      <c r="B20247" s="6" t="s">
        <v>1</v>
      </c>
      <c r="C20247" s="6" t="s">
        <v>1</v>
      </c>
    </row>
    <row r="20248" spans="1:3" s="8" customFormat="1" x14ac:dyDescent="0.2">
      <c r="A20248" s="6" t="str">
        <f>"AC022384.1"</f>
        <v>AC022384.1</v>
      </c>
      <c r="B20248" s="6" t="s">
        <v>1</v>
      </c>
      <c r="C20248" s="6" t="s">
        <v>1</v>
      </c>
    </row>
    <row r="20249" spans="1:3" s="8" customFormat="1" x14ac:dyDescent="0.2">
      <c r="A20249" s="6" t="str">
        <f>"AC007389.2"</f>
        <v>AC007389.2</v>
      </c>
      <c r="B20249" s="6" t="s">
        <v>1</v>
      </c>
      <c r="C20249" s="6" t="s">
        <v>1</v>
      </c>
    </row>
    <row r="20250" spans="1:3" s="8" customFormat="1" x14ac:dyDescent="0.2">
      <c r="A20250" s="6" t="str">
        <f>"PTPN7"</f>
        <v>PTPN7</v>
      </c>
      <c r="B20250" s="6" t="s">
        <v>1</v>
      </c>
      <c r="C20250" s="6" t="s">
        <v>1</v>
      </c>
    </row>
    <row r="20251" spans="1:3" s="8" customFormat="1" x14ac:dyDescent="0.2">
      <c r="A20251" s="6" t="str">
        <f>"AP000866.1"</f>
        <v>AP000866.1</v>
      </c>
      <c r="B20251" s="6" t="s">
        <v>1</v>
      </c>
      <c r="C20251" s="6" t="s">
        <v>1</v>
      </c>
    </row>
    <row r="20252" spans="1:3" s="8" customFormat="1" x14ac:dyDescent="0.2">
      <c r="A20252" s="6" t="str">
        <f>"ALOX12P2"</f>
        <v>ALOX12P2</v>
      </c>
      <c r="B20252" s="6" t="s">
        <v>1</v>
      </c>
      <c r="C20252" s="6" t="s">
        <v>1</v>
      </c>
    </row>
    <row r="20253" spans="1:3" s="8" customFormat="1" x14ac:dyDescent="0.2">
      <c r="A20253" s="6" t="str">
        <f>"GRIP1"</f>
        <v>GRIP1</v>
      </c>
      <c r="B20253" s="6" t="s">
        <v>1</v>
      </c>
      <c r="C20253" s="6" t="s">
        <v>1</v>
      </c>
    </row>
    <row r="20254" spans="1:3" s="8" customFormat="1" x14ac:dyDescent="0.2">
      <c r="A20254" s="6" t="str">
        <f>"RET"</f>
        <v>RET</v>
      </c>
      <c r="B20254" s="6" t="s">
        <v>1</v>
      </c>
      <c r="C20254" s="6" t="s">
        <v>1</v>
      </c>
    </row>
    <row r="20255" spans="1:3" s="8" customFormat="1" x14ac:dyDescent="0.2">
      <c r="A20255" s="6" t="str">
        <f>"AC093827.4"</f>
        <v>AC093827.4</v>
      </c>
      <c r="B20255" s="6" t="s">
        <v>1</v>
      </c>
      <c r="C20255" s="6" t="s">
        <v>1</v>
      </c>
    </row>
    <row r="20256" spans="1:3" s="8" customFormat="1" x14ac:dyDescent="0.2">
      <c r="A20256" s="6" t="str">
        <f>"PCOTH"</f>
        <v>PCOTH</v>
      </c>
      <c r="B20256" s="6" t="s">
        <v>1</v>
      </c>
      <c r="C20256" s="6" t="s">
        <v>1</v>
      </c>
    </row>
    <row r="20257" spans="1:3" s="8" customFormat="1" x14ac:dyDescent="0.2">
      <c r="A20257" s="6" t="str">
        <f>"LPXN"</f>
        <v>LPXN</v>
      </c>
      <c r="B20257" s="6" t="s">
        <v>1</v>
      </c>
      <c r="C20257" s="6" t="s">
        <v>1</v>
      </c>
    </row>
    <row r="20258" spans="1:3" s="8" customFormat="1" x14ac:dyDescent="0.2">
      <c r="A20258" s="6" t="str">
        <f>"TNFRSF25"</f>
        <v>TNFRSF25</v>
      </c>
      <c r="B20258" s="6" t="s">
        <v>1</v>
      </c>
      <c r="C20258" s="6" t="s">
        <v>1</v>
      </c>
    </row>
    <row r="20259" spans="1:3" s="8" customFormat="1" x14ac:dyDescent="0.2">
      <c r="A20259" s="6" t="str">
        <f>"SAAL1"</f>
        <v>SAAL1</v>
      </c>
      <c r="B20259" s="6" t="s">
        <v>1</v>
      </c>
      <c r="C20259" s="6" t="s">
        <v>1</v>
      </c>
    </row>
    <row r="20260" spans="1:3" s="8" customFormat="1" x14ac:dyDescent="0.2">
      <c r="A20260" s="6" t="str">
        <f>"KLF12"</f>
        <v>KLF12</v>
      </c>
      <c r="B20260" s="6" t="s">
        <v>1</v>
      </c>
      <c r="C20260" s="6" t="s">
        <v>1</v>
      </c>
    </row>
    <row r="20261" spans="1:3" s="8" customFormat="1" x14ac:dyDescent="0.2">
      <c r="A20261" s="6" t="str">
        <f>"DEFB4A"</f>
        <v>DEFB4A</v>
      </c>
      <c r="B20261" s="6" t="s">
        <v>1</v>
      </c>
      <c r="C20261" s="6" t="s">
        <v>1</v>
      </c>
    </row>
    <row r="20262" spans="1:3" s="8" customFormat="1" x14ac:dyDescent="0.2">
      <c r="A20262" s="6" t="str">
        <f>"LINC02265"</f>
        <v>LINC02265</v>
      </c>
      <c r="B20262" s="6" t="s">
        <v>1</v>
      </c>
      <c r="C20262" s="6" t="s">
        <v>1</v>
      </c>
    </row>
    <row r="20263" spans="1:3" s="8" customFormat="1" x14ac:dyDescent="0.2">
      <c r="A20263" s="6" t="str">
        <f>"AC093525.6"</f>
        <v>AC093525.6</v>
      </c>
      <c r="B20263" s="6" t="s">
        <v>1</v>
      </c>
      <c r="C20263" s="6" t="s">
        <v>1</v>
      </c>
    </row>
    <row r="20264" spans="1:3" s="8" customFormat="1" x14ac:dyDescent="0.2">
      <c r="A20264" s="6" t="str">
        <f>"ZNF615"</f>
        <v>ZNF615</v>
      </c>
      <c r="B20264" s="6" t="s">
        <v>1</v>
      </c>
      <c r="C20264" s="6" t="s">
        <v>1</v>
      </c>
    </row>
    <row r="20265" spans="1:3" s="8" customFormat="1" x14ac:dyDescent="0.2">
      <c r="A20265" s="6" t="str">
        <f>"FKBPL"</f>
        <v>FKBPL</v>
      </c>
      <c r="B20265" s="6" t="s">
        <v>1</v>
      </c>
      <c r="C20265" s="6" t="s">
        <v>1</v>
      </c>
    </row>
    <row r="20266" spans="1:3" s="8" customFormat="1" x14ac:dyDescent="0.2">
      <c r="A20266" s="6" t="str">
        <f>"ADHFE1"</f>
        <v>ADHFE1</v>
      </c>
      <c r="B20266" s="6" t="s">
        <v>1</v>
      </c>
      <c r="C20266" s="6" t="s">
        <v>1</v>
      </c>
    </row>
    <row r="20267" spans="1:3" s="8" customFormat="1" x14ac:dyDescent="0.2">
      <c r="A20267" s="6" t="str">
        <f>"FANCE"</f>
        <v>FANCE</v>
      </c>
      <c r="B20267" s="6" t="s">
        <v>1</v>
      </c>
      <c r="C20267" s="6" t="s">
        <v>1</v>
      </c>
    </row>
    <row r="20268" spans="1:3" s="8" customFormat="1" x14ac:dyDescent="0.2">
      <c r="A20268" s="6" t="str">
        <f>"ZBTB8A"</f>
        <v>ZBTB8A</v>
      </c>
      <c r="B20268" s="6" t="s">
        <v>1</v>
      </c>
      <c r="C20268" s="6" t="s">
        <v>1</v>
      </c>
    </row>
    <row r="20269" spans="1:3" s="8" customFormat="1" x14ac:dyDescent="0.2">
      <c r="A20269" s="6" t="str">
        <f>"SAC3D1"</f>
        <v>SAC3D1</v>
      </c>
      <c r="B20269" s="6" t="s">
        <v>1</v>
      </c>
      <c r="C20269" s="6" t="s">
        <v>1</v>
      </c>
    </row>
    <row r="20270" spans="1:3" s="8" customFormat="1" x14ac:dyDescent="0.2">
      <c r="A20270" s="6" t="str">
        <f>"RNF180"</f>
        <v>RNF180</v>
      </c>
      <c r="B20270" s="6" t="s">
        <v>1</v>
      </c>
      <c r="C20270" s="6" t="s">
        <v>1</v>
      </c>
    </row>
    <row r="20271" spans="1:3" s="8" customFormat="1" x14ac:dyDescent="0.2">
      <c r="A20271" s="6" t="str">
        <f>"ZSCAN21"</f>
        <v>ZSCAN21</v>
      </c>
      <c r="B20271" s="6" t="s">
        <v>1</v>
      </c>
      <c r="C20271" s="6" t="s">
        <v>1</v>
      </c>
    </row>
    <row r="20272" spans="1:3" s="8" customFormat="1" x14ac:dyDescent="0.2">
      <c r="A20272" s="6" t="str">
        <f>"MIR223HG"</f>
        <v>MIR223HG</v>
      </c>
      <c r="B20272" s="6" t="s">
        <v>1</v>
      </c>
      <c r="C20272" s="6" t="s">
        <v>1</v>
      </c>
    </row>
    <row r="20273" spans="1:3" s="8" customFormat="1" x14ac:dyDescent="0.2">
      <c r="A20273" s="6" t="str">
        <f>"NOD1"</f>
        <v>NOD1</v>
      </c>
      <c r="B20273" s="6" t="s">
        <v>1</v>
      </c>
      <c r="C20273" s="6" t="s">
        <v>1</v>
      </c>
    </row>
    <row r="20274" spans="1:3" s="8" customFormat="1" x14ac:dyDescent="0.2">
      <c r="A20274" s="6" t="str">
        <f>"FHL1"</f>
        <v>FHL1</v>
      </c>
      <c r="B20274" s="6" t="s">
        <v>1</v>
      </c>
      <c r="C20274" s="6" t="s">
        <v>1</v>
      </c>
    </row>
    <row r="20275" spans="1:3" s="8" customFormat="1" x14ac:dyDescent="0.2">
      <c r="A20275" s="6" t="str">
        <f>"AC009779.2"</f>
        <v>AC009779.2</v>
      </c>
      <c r="B20275" s="6" t="s">
        <v>1</v>
      </c>
      <c r="C20275" s="6" t="s">
        <v>1</v>
      </c>
    </row>
    <row r="20276" spans="1:3" s="8" customFormat="1" x14ac:dyDescent="0.2">
      <c r="A20276" s="6" t="str">
        <f>"RPLP0P2"</f>
        <v>RPLP0P2</v>
      </c>
      <c r="B20276" s="6" t="s">
        <v>1</v>
      </c>
      <c r="C20276" s="6" t="s">
        <v>1</v>
      </c>
    </row>
    <row r="20277" spans="1:3" s="8" customFormat="1" x14ac:dyDescent="0.2">
      <c r="A20277" s="6" t="str">
        <f>"AC245060.7"</f>
        <v>AC245060.7</v>
      </c>
      <c r="B20277" s="6" t="s">
        <v>1</v>
      </c>
      <c r="C20277" s="6" t="s">
        <v>1</v>
      </c>
    </row>
    <row r="20278" spans="1:3" s="8" customFormat="1" x14ac:dyDescent="0.2">
      <c r="A20278" s="6" t="str">
        <f>"CYP3A5"</f>
        <v>CYP3A5</v>
      </c>
      <c r="B20278" s="6" t="s">
        <v>1</v>
      </c>
      <c r="C20278" s="6" t="s">
        <v>1</v>
      </c>
    </row>
    <row r="20279" spans="1:3" s="8" customFormat="1" x14ac:dyDescent="0.2">
      <c r="A20279" s="6" t="str">
        <f>"AQP4"</f>
        <v>AQP4</v>
      </c>
      <c r="B20279" s="6" t="s">
        <v>1</v>
      </c>
      <c r="C20279" s="6" t="s">
        <v>1</v>
      </c>
    </row>
    <row r="20280" spans="1:3" s="8" customFormat="1" x14ac:dyDescent="0.2">
      <c r="A20280" s="6" t="str">
        <f>"AL499602.1"</f>
        <v>AL499602.1</v>
      </c>
      <c r="B20280" s="6" t="s">
        <v>1</v>
      </c>
      <c r="C20280" s="6" t="s">
        <v>1</v>
      </c>
    </row>
    <row r="20281" spans="1:3" s="8" customFormat="1" x14ac:dyDescent="0.2">
      <c r="A20281" s="6" t="str">
        <f>"FIGNL1"</f>
        <v>FIGNL1</v>
      </c>
      <c r="B20281" s="6" t="s">
        <v>1</v>
      </c>
      <c r="C20281" s="6" t="s">
        <v>1</v>
      </c>
    </row>
    <row r="20282" spans="1:3" s="8" customFormat="1" x14ac:dyDescent="0.2">
      <c r="A20282" s="6" t="str">
        <f>"KLHL29"</f>
        <v>KLHL29</v>
      </c>
      <c r="B20282" s="6" t="s">
        <v>1</v>
      </c>
      <c r="C20282" s="6" t="s">
        <v>1</v>
      </c>
    </row>
    <row r="20283" spans="1:3" s="8" customFormat="1" x14ac:dyDescent="0.2">
      <c r="A20283" s="6" t="str">
        <f>"HAPLN3"</f>
        <v>HAPLN3</v>
      </c>
      <c r="B20283" s="6" t="s">
        <v>1</v>
      </c>
      <c r="C20283" s="6" t="s">
        <v>1</v>
      </c>
    </row>
    <row r="20284" spans="1:3" s="8" customFormat="1" x14ac:dyDescent="0.2">
      <c r="A20284" s="6" t="str">
        <f>"AC005833.1"</f>
        <v>AC005833.1</v>
      </c>
      <c r="B20284" s="6" t="s">
        <v>1</v>
      </c>
      <c r="C20284" s="6" t="s">
        <v>1</v>
      </c>
    </row>
    <row r="20285" spans="1:3" s="8" customFormat="1" x14ac:dyDescent="0.2">
      <c r="A20285" s="6" t="str">
        <f>"SMAD9"</f>
        <v>SMAD9</v>
      </c>
      <c r="B20285" s="6" t="s">
        <v>1</v>
      </c>
      <c r="C20285" s="6" t="s">
        <v>1</v>
      </c>
    </row>
    <row r="20286" spans="1:3" s="8" customFormat="1" x14ac:dyDescent="0.2">
      <c r="A20286" s="6" t="str">
        <f>"CROCCP3"</f>
        <v>CROCCP3</v>
      </c>
      <c r="B20286" s="6" t="s">
        <v>1</v>
      </c>
      <c r="C20286" s="6" t="s">
        <v>1</v>
      </c>
    </row>
    <row r="20287" spans="1:3" s="8" customFormat="1" x14ac:dyDescent="0.2">
      <c r="A20287" s="6" t="str">
        <f>"HAUS7"</f>
        <v>HAUS7</v>
      </c>
      <c r="B20287" s="6" t="s">
        <v>1</v>
      </c>
      <c r="C20287" s="6" t="s">
        <v>1</v>
      </c>
    </row>
    <row r="20288" spans="1:3" s="8" customFormat="1" x14ac:dyDescent="0.2">
      <c r="A20288" s="6" t="str">
        <f>"NUP62CL"</f>
        <v>NUP62CL</v>
      </c>
      <c r="B20288" s="6" t="s">
        <v>1</v>
      </c>
      <c r="C20288" s="6" t="s">
        <v>1</v>
      </c>
    </row>
    <row r="20289" spans="1:3" s="8" customFormat="1" x14ac:dyDescent="0.2">
      <c r="A20289" s="6" t="str">
        <f>"LINC01091"</f>
        <v>LINC01091</v>
      </c>
      <c r="B20289" s="6" t="s">
        <v>1</v>
      </c>
      <c r="C20289" s="6" t="s">
        <v>1</v>
      </c>
    </row>
    <row r="20290" spans="1:3" s="8" customFormat="1" x14ac:dyDescent="0.2">
      <c r="A20290" s="6" t="str">
        <f>"FHL3"</f>
        <v>FHL3</v>
      </c>
      <c r="B20290" s="6" t="s">
        <v>1</v>
      </c>
      <c r="C20290" s="6" t="s">
        <v>1</v>
      </c>
    </row>
    <row r="20291" spans="1:3" s="8" customFormat="1" x14ac:dyDescent="0.2">
      <c r="A20291" s="6" t="str">
        <f>"BAG2"</f>
        <v>BAG2</v>
      </c>
      <c r="B20291" s="6" t="s">
        <v>1</v>
      </c>
      <c r="C20291" s="6" t="s">
        <v>1</v>
      </c>
    </row>
    <row r="20292" spans="1:3" s="8" customFormat="1" x14ac:dyDescent="0.2">
      <c r="A20292" s="6" t="str">
        <f>"AC009831.1"</f>
        <v>AC009831.1</v>
      </c>
      <c r="B20292" s="6" t="s">
        <v>1</v>
      </c>
      <c r="C20292" s="6" t="s">
        <v>1</v>
      </c>
    </row>
    <row r="20293" spans="1:3" s="8" customFormat="1" x14ac:dyDescent="0.2">
      <c r="A20293" s="6" t="str">
        <f>"PCDHGB5"</f>
        <v>PCDHGB5</v>
      </c>
      <c r="B20293" s="6" t="s">
        <v>1</v>
      </c>
      <c r="C20293" s="6" t="s">
        <v>1</v>
      </c>
    </row>
    <row r="20294" spans="1:3" s="8" customFormat="1" x14ac:dyDescent="0.2">
      <c r="A20294" s="6" t="str">
        <f>"DENND1C"</f>
        <v>DENND1C</v>
      </c>
      <c r="B20294" s="6" t="s">
        <v>1</v>
      </c>
      <c r="C20294" s="6" t="s">
        <v>1</v>
      </c>
    </row>
    <row r="20295" spans="1:3" s="8" customFormat="1" x14ac:dyDescent="0.2">
      <c r="A20295" s="6" t="str">
        <f>"LINC00910"</f>
        <v>LINC00910</v>
      </c>
      <c r="B20295" s="6" t="s">
        <v>1</v>
      </c>
      <c r="C20295" s="6" t="s">
        <v>1</v>
      </c>
    </row>
    <row r="20296" spans="1:3" s="8" customFormat="1" x14ac:dyDescent="0.2">
      <c r="A20296" s="6" t="str">
        <f>"GPRC5D-AS1"</f>
        <v>GPRC5D-AS1</v>
      </c>
      <c r="B20296" s="6" t="s">
        <v>1</v>
      </c>
      <c r="C20296" s="6" t="s">
        <v>1</v>
      </c>
    </row>
    <row r="20297" spans="1:3" s="8" customFormat="1" x14ac:dyDescent="0.2">
      <c r="A20297" s="6" t="str">
        <f>"PPFIA3"</f>
        <v>PPFIA3</v>
      </c>
      <c r="B20297" s="6" t="s">
        <v>1</v>
      </c>
      <c r="C20297" s="6" t="s">
        <v>1</v>
      </c>
    </row>
    <row r="20298" spans="1:3" s="8" customFormat="1" x14ac:dyDescent="0.2">
      <c r="A20298" s="6" t="str">
        <f>"S1PR5"</f>
        <v>S1PR5</v>
      </c>
      <c r="B20298" s="6" t="s">
        <v>1</v>
      </c>
      <c r="C20298" s="6" t="s">
        <v>1</v>
      </c>
    </row>
    <row r="20299" spans="1:3" s="8" customFormat="1" x14ac:dyDescent="0.2">
      <c r="A20299" s="6" t="str">
        <f>"PRKN"</f>
        <v>PRKN</v>
      </c>
      <c r="B20299" s="6" t="s">
        <v>1</v>
      </c>
      <c r="C20299" s="6" t="s">
        <v>1</v>
      </c>
    </row>
    <row r="20300" spans="1:3" s="8" customFormat="1" x14ac:dyDescent="0.2">
      <c r="A20300" s="6" t="str">
        <f>"WTIP"</f>
        <v>WTIP</v>
      </c>
      <c r="B20300" s="6" t="s">
        <v>1</v>
      </c>
      <c r="C20300" s="6" t="s">
        <v>1</v>
      </c>
    </row>
    <row r="20301" spans="1:3" s="8" customFormat="1" x14ac:dyDescent="0.2">
      <c r="A20301" s="6" t="str">
        <f>"OTX2"</f>
        <v>OTX2</v>
      </c>
      <c r="B20301" s="6" t="s">
        <v>1</v>
      </c>
      <c r="C20301" s="6" t="s">
        <v>1</v>
      </c>
    </row>
    <row r="20302" spans="1:3" s="8" customFormat="1" x14ac:dyDescent="0.2">
      <c r="A20302" s="6" t="str">
        <f>"ENTPD2"</f>
        <v>ENTPD2</v>
      </c>
      <c r="B20302" s="6" t="s">
        <v>1</v>
      </c>
      <c r="C20302" s="6" t="s">
        <v>1</v>
      </c>
    </row>
    <row r="20303" spans="1:3" s="8" customFormat="1" x14ac:dyDescent="0.2">
      <c r="A20303" s="6" t="str">
        <f>"RNF183"</f>
        <v>RNF183</v>
      </c>
      <c r="B20303" s="6" t="s">
        <v>1</v>
      </c>
      <c r="C20303" s="6" t="s">
        <v>1</v>
      </c>
    </row>
    <row r="20304" spans="1:3" s="8" customFormat="1" x14ac:dyDescent="0.2">
      <c r="A20304" s="6" t="str">
        <f>"PCDHGB6"</f>
        <v>PCDHGB6</v>
      </c>
      <c r="B20304" s="6" t="s">
        <v>1</v>
      </c>
      <c r="C20304" s="6" t="s">
        <v>1</v>
      </c>
    </row>
    <row r="20305" spans="1:3" s="8" customFormat="1" x14ac:dyDescent="0.2">
      <c r="A20305" s="6" t="str">
        <f>"GLDN"</f>
        <v>GLDN</v>
      </c>
      <c r="B20305" s="6" t="s">
        <v>1</v>
      </c>
      <c r="C20305" s="6" t="s">
        <v>1</v>
      </c>
    </row>
    <row r="20306" spans="1:3" s="8" customFormat="1" x14ac:dyDescent="0.2">
      <c r="A20306" s="6" t="str">
        <f>"NPEPPSP1"</f>
        <v>NPEPPSP1</v>
      </c>
      <c r="B20306" s="6" t="s">
        <v>1</v>
      </c>
      <c r="C20306" s="6" t="s">
        <v>1</v>
      </c>
    </row>
    <row r="20307" spans="1:3" s="8" customFormat="1" x14ac:dyDescent="0.2">
      <c r="A20307" s="6" t="str">
        <f>"ASPRV1"</f>
        <v>ASPRV1</v>
      </c>
      <c r="B20307" s="6" t="s">
        <v>1</v>
      </c>
      <c r="C20307" s="6" t="s">
        <v>1</v>
      </c>
    </row>
    <row r="20308" spans="1:3" s="8" customFormat="1" x14ac:dyDescent="0.2">
      <c r="A20308" s="6" t="str">
        <f>"NUP35"</f>
        <v>NUP35</v>
      </c>
      <c r="B20308" s="6" t="s">
        <v>1</v>
      </c>
      <c r="C20308" s="6" t="s">
        <v>1</v>
      </c>
    </row>
    <row r="20309" spans="1:3" s="8" customFormat="1" x14ac:dyDescent="0.2">
      <c r="A20309" s="6" t="str">
        <f>"MIR99AHG"</f>
        <v>MIR99AHG</v>
      </c>
      <c r="B20309" s="6" t="s">
        <v>1</v>
      </c>
      <c r="C20309" s="6" t="s">
        <v>1</v>
      </c>
    </row>
    <row r="20310" spans="1:3" s="8" customFormat="1" x14ac:dyDescent="0.2">
      <c r="A20310" s="6" t="str">
        <f>"MS4A4E"</f>
        <v>MS4A4E</v>
      </c>
      <c r="B20310" s="6" t="s">
        <v>1</v>
      </c>
      <c r="C20310" s="6" t="s">
        <v>1</v>
      </c>
    </row>
    <row r="20311" spans="1:3" s="8" customFormat="1" x14ac:dyDescent="0.2">
      <c r="A20311" s="6" t="str">
        <f>"BTBD8"</f>
        <v>BTBD8</v>
      </c>
      <c r="B20311" s="6" t="s">
        <v>1</v>
      </c>
      <c r="C20311" s="6" t="s">
        <v>1</v>
      </c>
    </row>
    <row r="20312" spans="1:3" s="8" customFormat="1" x14ac:dyDescent="0.2">
      <c r="A20312" s="6" t="str">
        <f>"FKBP1B"</f>
        <v>FKBP1B</v>
      </c>
      <c r="B20312" s="6" t="s">
        <v>1</v>
      </c>
      <c r="C20312" s="6" t="s">
        <v>1</v>
      </c>
    </row>
    <row r="20313" spans="1:3" s="8" customFormat="1" x14ac:dyDescent="0.2">
      <c r="A20313" s="6" t="str">
        <f>"LINC01132"</f>
        <v>LINC01132</v>
      </c>
      <c r="B20313" s="6" t="s">
        <v>1</v>
      </c>
      <c r="C20313" s="6" t="s">
        <v>1</v>
      </c>
    </row>
    <row r="20314" spans="1:3" s="8" customFormat="1" x14ac:dyDescent="0.2">
      <c r="A20314" s="6" t="str">
        <f>"FAM86EP"</f>
        <v>FAM86EP</v>
      </c>
      <c r="B20314" s="6" t="s">
        <v>1</v>
      </c>
      <c r="C20314" s="6" t="s">
        <v>1</v>
      </c>
    </row>
    <row r="20315" spans="1:3" s="8" customFormat="1" x14ac:dyDescent="0.2">
      <c r="A20315" s="6" t="str">
        <f>"VNN1"</f>
        <v>VNN1</v>
      </c>
      <c r="B20315" s="6" t="s">
        <v>1</v>
      </c>
      <c r="C20315" s="6" t="s">
        <v>1</v>
      </c>
    </row>
    <row r="20316" spans="1:3" s="8" customFormat="1" x14ac:dyDescent="0.2">
      <c r="A20316" s="6" t="str">
        <f>"SLC26A6"</f>
        <v>SLC26A6</v>
      </c>
      <c r="B20316" s="6" t="s">
        <v>1</v>
      </c>
      <c r="C20316" s="6" t="s">
        <v>1</v>
      </c>
    </row>
    <row r="20317" spans="1:3" s="8" customFormat="1" x14ac:dyDescent="0.2">
      <c r="A20317" s="6" t="str">
        <f>"MAGOHB"</f>
        <v>MAGOHB</v>
      </c>
      <c r="B20317" s="6" t="s">
        <v>1</v>
      </c>
      <c r="C20317" s="6" t="s">
        <v>1</v>
      </c>
    </row>
    <row r="20318" spans="1:3" s="8" customFormat="1" x14ac:dyDescent="0.2">
      <c r="A20318" s="6" t="str">
        <f>"CCNJ"</f>
        <v>CCNJ</v>
      </c>
      <c r="B20318" s="6" t="s">
        <v>1</v>
      </c>
      <c r="C20318" s="6" t="s">
        <v>1</v>
      </c>
    </row>
    <row r="20319" spans="1:3" s="8" customFormat="1" x14ac:dyDescent="0.2">
      <c r="A20319" s="6" t="str">
        <f>"MKX"</f>
        <v>MKX</v>
      </c>
      <c r="B20319" s="6" t="s">
        <v>1</v>
      </c>
      <c r="C20319" s="6" t="s">
        <v>1</v>
      </c>
    </row>
    <row r="20320" spans="1:3" s="8" customFormat="1" x14ac:dyDescent="0.2">
      <c r="A20320" s="6" t="str">
        <f>"BAALC"</f>
        <v>BAALC</v>
      </c>
      <c r="B20320" s="6" t="s">
        <v>1</v>
      </c>
      <c r="C20320" s="6" t="s">
        <v>1</v>
      </c>
    </row>
    <row r="20321" spans="1:3" s="8" customFormat="1" x14ac:dyDescent="0.2">
      <c r="A20321" s="6" t="str">
        <f>"AC093525.7"</f>
        <v>AC093525.7</v>
      </c>
      <c r="B20321" s="6" t="s">
        <v>1</v>
      </c>
      <c r="C20321" s="6" t="s">
        <v>1</v>
      </c>
    </row>
    <row r="20322" spans="1:3" s="8" customFormat="1" x14ac:dyDescent="0.2">
      <c r="A20322" s="6" t="str">
        <f>"ELOVL6"</f>
        <v>ELOVL6</v>
      </c>
      <c r="B20322" s="6" t="s">
        <v>1</v>
      </c>
      <c r="C20322" s="6" t="s">
        <v>1</v>
      </c>
    </row>
    <row r="20323" spans="1:3" s="8" customFormat="1" x14ac:dyDescent="0.2">
      <c r="A20323" s="6" t="str">
        <f>"TFPI"</f>
        <v>TFPI</v>
      </c>
      <c r="B20323" s="6" t="s">
        <v>1</v>
      </c>
      <c r="C20323" s="6" t="s">
        <v>1</v>
      </c>
    </row>
    <row r="20324" spans="1:3" s="8" customFormat="1" x14ac:dyDescent="0.2">
      <c r="A20324" s="6" t="str">
        <f>"ZNF248"</f>
        <v>ZNF248</v>
      </c>
      <c r="B20324" s="6" t="s">
        <v>1</v>
      </c>
      <c r="C20324" s="6" t="s">
        <v>1</v>
      </c>
    </row>
    <row r="20325" spans="1:3" s="8" customFormat="1" x14ac:dyDescent="0.2">
      <c r="A20325" s="6" t="str">
        <f>"CYP2C18"</f>
        <v>CYP2C18</v>
      </c>
      <c r="B20325" s="6" t="s">
        <v>1</v>
      </c>
      <c r="C20325" s="6" t="s">
        <v>1</v>
      </c>
    </row>
    <row r="20326" spans="1:3" s="8" customFormat="1" x14ac:dyDescent="0.2">
      <c r="A20326" s="6" t="str">
        <f>"CDNF"</f>
        <v>CDNF</v>
      </c>
      <c r="B20326" s="6" t="s">
        <v>1</v>
      </c>
      <c r="C20326" s="6" t="s">
        <v>1</v>
      </c>
    </row>
    <row r="20327" spans="1:3" s="8" customFormat="1" x14ac:dyDescent="0.2">
      <c r="A20327" s="6" t="str">
        <f>"GJD3"</f>
        <v>GJD3</v>
      </c>
      <c r="B20327" s="6" t="s">
        <v>1</v>
      </c>
      <c r="C20327" s="6" t="s">
        <v>1</v>
      </c>
    </row>
    <row r="20328" spans="1:3" s="8" customFormat="1" x14ac:dyDescent="0.2">
      <c r="A20328" s="6" t="str">
        <f>"APOBEC3B"</f>
        <v>APOBEC3B</v>
      </c>
      <c r="B20328" s="6" t="s">
        <v>1</v>
      </c>
      <c r="C20328" s="6" t="s">
        <v>1</v>
      </c>
    </row>
    <row r="20329" spans="1:3" s="8" customFormat="1" x14ac:dyDescent="0.2">
      <c r="A20329" s="6" t="str">
        <f>"AC022364.1"</f>
        <v>AC022364.1</v>
      </c>
      <c r="B20329" s="6" t="s">
        <v>1</v>
      </c>
      <c r="C20329" s="6" t="s">
        <v>1</v>
      </c>
    </row>
    <row r="20330" spans="1:3" s="8" customFormat="1" x14ac:dyDescent="0.2">
      <c r="A20330" s="6" t="str">
        <f>"ZNF283"</f>
        <v>ZNF283</v>
      </c>
      <c r="B20330" s="6" t="s">
        <v>1</v>
      </c>
      <c r="C20330" s="6" t="s">
        <v>1</v>
      </c>
    </row>
    <row r="20331" spans="1:3" s="8" customFormat="1" x14ac:dyDescent="0.2">
      <c r="A20331" s="6" t="str">
        <f>"ZCCHC24"</f>
        <v>ZCCHC24</v>
      </c>
      <c r="B20331" s="6" t="s">
        <v>1</v>
      </c>
      <c r="C20331" s="6" t="s">
        <v>1</v>
      </c>
    </row>
    <row r="20332" spans="1:3" s="8" customFormat="1" x14ac:dyDescent="0.2">
      <c r="A20332" s="6" t="str">
        <f>"CCRL2"</f>
        <v>CCRL2</v>
      </c>
      <c r="B20332" s="6" t="s">
        <v>1</v>
      </c>
      <c r="C20332" s="6" t="s">
        <v>1</v>
      </c>
    </row>
    <row r="20333" spans="1:3" s="8" customFormat="1" x14ac:dyDescent="0.2">
      <c r="A20333" s="6" t="str">
        <f>"MDP1"</f>
        <v>MDP1</v>
      </c>
      <c r="B20333" s="6" t="s">
        <v>1</v>
      </c>
      <c r="C20333" s="6" t="s">
        <v>1</v>
      </c>
    </row>
    <row r="20334" spans="1:3" s="8" customFormat="1" x14ac:dyDescent="0.2">
      <c r="A20334" s="6" t="str">
        <f>"LPAR5"</f>
        <v>LPAR5</v>
      </c>
      <c r="B20334" s="6" t="s">
        <v>1</v>
      </c>
      <c r="C20334" s="6" t="s">
        <v>1</v>
      </c>
    </row>
    <row r="20335" spans="1:3" s="8" customFormat="1" x14ac:dyDescent="0.2">
      <c r="A20335" s="6" t="str">
        <f>"AC093627.5"</f>
        <v>AC093627.5</v>
      </c>
      <c r="B20335" s="6" t="s">
        <v>1</v>
      </c>
      <c r="C20335" s="6" t="s">
        <v>1</v>
      </c>
    </row>
    <row r="20336" spans="1:3" s="8" customFormat="1" x14ac:dyDescent="0.2">
      <c r="A20336" s="6" t="str">
        <f>"NDUFA6-DT"</f>
        <v>NDUFA6-DT</v>
      </c>
      <c r="B20336" s="6" t="s">
        <v>1</v>
      </c>
      <c r="C20336" s="6" t="s">
        <v>1</v>
      </c>
    </row>
    <row r="20337" spans="1:3" s="8" customFormat="1" x14ac:dyDescent="0.2">
      <c r="A20337" s="6" t="str">
        <f>"AC093627.4"</f>
        <v>AC093627.4</v>
      </c>
      <c r="B20337" s="6" t="s">
        <v>1</v>
      </c>
      <c r="C20337" s="6" t="s">
        <v>1</v>
      </c>
    </row>
    <row r="20338" spans="1:3" s="8" customFormat="1" x14ac:dyDescent="0.2">
      <c r="A20338" s="6" t="str">
        <f>"THAP1"</f>
        <v>THAP1</v>
      </c>
      <c r="B20338" s="6" t="s">
        <v>1</v>
      </c>
      <c r="C20338" s="6" t="s">
        <v>1</v>
      </c>
    </row>
    <row r="20339" spans="1:3" s="8" customFormat="1" x14ac:dyDescent="0.2">
      <c r="A20339" s="6" t="str">
        <f>"CDSN"</f>
        <v>CDSN</v>
      </c>
      <c r="B20339" s="6" t="s">
        <v>1</v>
      </c>
      <c r="C20339" s="6" t="s">
        <v>1</v>
      </c>
    </row>
    <row r="20340" spans="1:3" s="8" customFormat="1" x14ac:dyDescent="0.2">
      <c r="A20340" s="6" t="str">
        <f>"MAGED4B"</f>
        <v>MAGED4B</v>
      </c>
      <c r="B20340" s="6" t="s">
        <v>1</v>
      </c>
      <c r="C20340" s="6" t="s">
        <v>1</v>
      </c>
    </row>
    <row r="20341" spans="1:3" s="8" customFormat="1" x14ac:dyDescent="0.2">
      <c r="A20341" s="6" t="str">
        <f>"SHISA4"</f>
        <v>SHISA4</v>
      </c>
      <c r="B20341" s="6" t="s">
        <v>1</v>
      </c>
      <c r="C20341" s="6" t="s">
        <v>1</v>
      </c>
    </row>
    <row r="20342" spans="1:3" s="8" customFormat="1" x14ac:dyDescent="0.2">
      <c r="A20342" s="6" t="str">
        <f>"HBEGF"</f>
        <v>HBEGF</v>
      </c>
      <c r="B20342" s="6" t="s">
        <v>1</v>
      </c>
      <c r="C20342" s="6" t="s">
        <v>1</v>
      </c>
    </row>
    <row r="20343" spans="1:3" s="8" customFormat="1" x14ac:dyDescent="0.2">
      <c r="A20343" s="6" t="str">
        <f>"NDUFAF4"</f>
        <v>NDUFAF4</v>
      </c>
      <c r="B20343" s="6" t="s">
        <v>1</v>
      </c>
      <c r="C20343" s="6" t="s">
        <v>1</v>
      </c>
    </row>
    <row r="20344" spans="1:3" s="8" customFormat="1" x14ac:dyDescent="0.2">
      <c r="A20344" s="6" t="str">
        <f>"RAET1E-AS1"</f>
        <v>RAET1E-AS1</v>
      </c>
      <c r="B20344" s="6" t="s">
        <v>1</v>
      </c>
      <c r="C20344" s="6" t="s">
        <v>1</v>
      </c>
    </row>
    <row r="20345" spans="1:3" s="8" customFormat="1" x14ac:dyDescent="0.2">
      <c r="A20345" s="6" t="str">
        <f>"EXO5"</f>
        <v>EXO5</v>
      </c>
      <c r="B20345" s="6" t="s">
        <v>1</v>
      </c>
      <c r="C20345" s="6" t="s">
        <v>1</v>
      </c>
    </row>
    <row r="20346" spans="1:3" s="8" customFormat="1" x14ac:dyDescent="0.2">
      <c r="A20346" s="6" t="str">
        <f>"LEF1"</f>
        <v>LEF1</v>
      </c>
      <c r="B20346" s="6" t="s">
        <v>1</v>
      </c>
      <c r="C20346" s="6" t="s">
        <v>1</v>
      </c>
    </row>
    <row r="20347" spans="1:3" s="8" customFormat="1" x14ac:dyDescent="0.2">
      <c r="A20347" s="6" t="str">
        <f>"E2F3"</f>
        <v>E2F3</v>
      </c>
      <c r="B20347" s="6" t="s">
        <v>1</v>
      </c>
      <c r="C20347" s="6" t="s">
        <v>1</v>
      </c>
    </row>
    <row r="20348" spans="1:3" s="8" customFormat="1" x14ac:dyDescent="0.2">
      <c r="A20348" s="6" t="str">
        <f>"ALG1L9P"</f>
        <v>ALG1L9P</v>
      </c>
      <c r="B20348" s="6" t="s">
        <v>1</v>
      </c>
      <c r="C20348" s="6" t="s">
        <v>1</v>
      </c>
    </row>
    <row r="20349" spans="1:3" s="8" customFormat="1" x14ac:dyDescent="0.2">
      <c r="A20349" s="6" t="str">
        <f>"AC007192.1"</f>
        <v>AC007192.1</v>
      </c>
      <c r="B20349" s="6" t="s">
        <v>1</v>
      </c>
      <c r="C20349" s="6" t="s">
        <v>1</v>
      </c>
    </row>
    <row r="20350" spans="1:3" s="8" customFormat="1" x14ac:dyDescent="0.2">
      <c r="A20350" s="6" t="str">
        <f>"PRKG1-AS1"</f>
        <v>PRKG1-AS1</v>
      </c>
      <c r="B20350" s="6" t="s">
        <v>1</v>
      </c>
      <c r="C20350" s="6" t="s">
        <v>1</v>
      </c>
    </row>
    <row r="20351" spans="1:3" s="8" customFormat="1" x14ac:dyDescent="0.2">
      <c r="A20351" s="6" t="str">
        <f>"GALNT13"</f>
        <v>GALNT13</v>
      </c>
      <c r="B20351" s="6" t="s">
        <v>1</v>
      </c>
      <c r="C20351" s="6" t="s">
        <v>1</v>
      </c>
    </row>
    <row r="20352" spans="1:3" s="8" customFormat="1" x14ac:dyDescent="0.2">
      <c r="A20352" s="6" t="str">
        <f>"F8A3"</f>
        <v>F8A3</v>
      </c>
      <c r="B20352" s="6" t="s">
        <v>1</v>
      </c>
      <c r="C20352" s="6" t="s">
        <v>1</v>
      </c>
    </row>
    <row r="20353" spans="1:3" s="8" customFormat="1" x14ac:dyDescent="0.2">
      <c r="A20353" s="6" t="str">
        <f>"LOXL1-AS1"</f>
        <v>LOXL1-AS1</v>
      </c>
      <c r="B20353" s="6" t="s">
        <v>1</v>
      </c>
      <c r="C20353" s="6" t="s">
        <v>1</v>
      </c>
    </row>
    <row r="20354" spans="1:3" s="8" customFormat="1" x14ac:dyDescent="0.2">
      <c r="A20354" s="6" t="str">
        <f>"KCNJ2-AS1"</f>
        <v>KCNJ2-AS1</v>
      </c>
      <c r="B20354" s="6" t="s">
        <v>1</v>
      </c>
      <c r="C20354" s="6" t="s">
        <v>1</v>
      </c>
    </row>
    <row r="20355" spans="1:3" s="8" customFormat="1" x14ac:dyDescent="0.2">
      <c r="A20355" s="6" t="str">
        <f>"TBC1D19"</f>
        <v>TBC1D19</v>
      </c>
      <c r="B20355" s="6" t="s">
        <v>1</v>
      </c>
      <c r="C20355" s="6" t="s">
        <v>1</v>
      </c>
    </row>
    <row r="20356" spans="1:3" s="8" customFormat="1" x14ac:dyDescent="0.2">
      <c r="A20356" s="6" t="str">
        <f>"TBC1D32"</f>
        <v>TBC1D32</v>
      </c>
      <c r="B20356" s="6" t="s">
        <v>1</v>
      </c>
      <c r="C20356" s="6" t="s">
        <v>1</v>
      </c>
    </row>
    <row r="20357" spans="1:3" s="8" customFormat="1" x14ac:dyDescent="0.2">
      <c r="A20357" s="6" t="str">
        <f>"RNF125"</f>
        <v>RNF125</v>
      </c>
      <c r="B20357" s="6" t="s">
        <v>1</v>
      </c>
      <c r="C20357" s="6" t="s">
        <v>1</v>
      </c>
    </row>
    <row r="20358" spans="1:3" s="8" customFormat="1" x14ac:dyDescent="0.2">
      <c r="A20358" s="6" t="str">
        <f>"AF111167.2"</f>
        <v>AF111167.2</v>
      </c>
      <c r="B20358" s="6" t="s">
        <v>1</v>
      </c>
      <c r="C20358" s="6" t="s">
        <v>1</v>
      </c>
    </row>
    <row r="20359" spans="1:3" s="8" customFormat="1" x14ac:dyDescent="0.2">
      <c r="A20359" s="6" t="str">
        <f>"GPR39"</f>
        <v>GPR39</v>
      </c>
      <c r="B20359" s="6" t="s">
        <v>1</v>
      </c>
      <c r="C20359" s="6" t="s">
        <v>1</v>
      </c>
    </row>
    <row r="20360" spans="1:3" s="8" customFormat="1" x14ac:dyDescent="0.2">
      <c r="A20360" s="6" t="str">
        <f>"PABPC1L"</f>
        <v>PABPC1L</v>
      </c>
      <c r="B20360" s="6" t="s">
        <v>1</v>
      </c>
      <c r="C20360" s="6" t="s">
        <v>1</v>
      </c>
    </row>
    <row r="20361" spans="1:3" s="8" customFormat="1" x14ac:dyDescent="0.2">
      <c r="A20361" s="6" t="str">
        <f>"RELL2"</f>
        <v>RELL2</v>
      </c>
      <c r="B20361" s="6" t="s">
        <v>1</v>
      </c>
      <c r="C20361" s="6" t="s">
        <v>1</v>
      </c>
    </row>
    <row r="20362" spans="1:3" s="8" customFormat="1" x14ac:dyDescent="0.2">
      <c r="A20362" s="6" t="str">
        <f>"ALDOC"</f>
        <v>ALDOC</v>
      </c>
      <c r="B20362" s="6" t="s">
        <v>1</v>
      </c>
      <c r="C20362" s="6" t="s">
        <v>1</v>
      </c>
    </row>
    <row r="20363" spans="1:3" s="8" customFormat="1" x14ac:dyDescent="0.2">
      <c r="A20363" s="6" t="str">
        <f>"GPX7"</f>
        <v>GPX7</v>
      </c>
      <c r="B20363" s="6" t="s">
        <v>1</v>
      </c>
      <c r="C20363" s="6" t="s">
        <v>1</v>
      </c>
    </row>
    <row r="20364" spans="1:3" s="8" customFormat="1" x14ac:dyDescent="0.2">
      <c r="A20364" s="6" t="str">
        <f>"LGALS1"</f>
        <v>LGALS1</v>
      </c>
      <c r="B20364" s="6" t="s">
        <v>1</v>
      </c>
      <c r="C20364" s="6" t="s">
        <v>1</v>
      </c>
    </row>
    <row r="20365" spans="1:3" s="8" customFormat="1" x14ac:dyDescent="0.2">
      <c r="A20365" s="6" t="str">
        <f>"S100A12"</f>
        <v>S100A12</v>
      </c>
      <c r="B20365" s="6" t="s">
        <v>1</v>
      </c>
      <c r="C20365" s="6" t="s">
        <v>1</v>
      </c>
    </row>
    <row r="20366" spans="1:3" s="8" customFormat="1" x14ac:dyDescent="0.2">
      <c r="A20366" s="6" t="str">
        <f>"CNTNAP3C"</f>
        <v>CNTNAP3C</v>
      </c>
      <c r="B20366" s="6" t="s">
        <v>1</v>
      </c>
      <c r="C20366" s="6" t="s">
        <v>1</v>
      </c>
    </row>
    <row r="20367" spans="1:3" s="8" customFormat="1" x14ac:dyDescent="0.2">
      <c r="A20367" s="6" t="str">
        <f>"OXSM"</f>
        <v>OXSM</v>
      </c>
      <c r="B20367" s="6" t="s">
        <v>1</v>
      </c>
      <c r="C20367" s="6" t="s">
        <v>1</v>
      </c>
    </row>
    <row r="20368" spans="1:3" s="8" customFormat="1" x14ac:dyDescent="0.2">
      <c r="A20368" s="6" t="str">
        <f>"INTS6L"</f>
        <v>INTS6L</v>
      </c>
      <c r="B20368" s="6" t="s">
        <v>1</v>
      </c>
      <c r="C20368" s="6" t="s">
        <v>1</v>
      </c>
    </row>
    <row r="20369" spans="1:3" s="8" customFormat="1" x14ac:dyDescent="0.2">
      <c r="A20369" s="6" t="str">
        <f>"MYL5"</f>
        <v>MYL5</v>
      </c>
      <c r="B20369" s="6" t="s">
        <v>1</v>
      </c>
      <c r="C20369" s="6" t="s">
        <v>1</v>
      </c>
    </row>
    <row r="20370" spans="1:3" s="8" customFormat="1" x14ac:dyDescent="0.2">
      <c r="A20370" s="6" t="str">
        <f>"AC093904.4"</f>
        <v>AC093904.4</v>
      </c>
      <c r="B20370" s="6" t="s">
        <v>1</v>
      </c>
      <c r="C20370" s="6" t="s">
        <v>1</v>
      </c>
    </row>
    <row r="20371" spans="1:3" s="8" customFormat="1" x14ac:dyDescent="0.2">
      <c r="A20371" s="6" t="str">
        <f>"EEF1A1P5"</f>
        <v>EEF1A1P5</v>
      </c>
      <c r="B20371" s="6" t="s">
        <v>1</v>
      </c>
      <c r="C20371" s="6" t="s">
        <v>1</v>
      </c>
    </row>
    <row r="20372" spans="1:3" s="8" customFormat="1" x14ac:dyDescent="0.2">
      <c r="A20372" s="6" t="str">
        <f>"ZCCHC4"</f>
        <v>ZCCHC4</v>
      </c>
      <c r="B20372" s="6" t="s">
        <v>1</v>
      </c>
      <c r="C20372" s="6" t="s">
        <v>1</v>
      </c>
    </row>
    <row r="20373" spans="1:3" s="8" customFormat="1" x14ac:dyDescent="0.2">
      <c r="A20373" s="6" t="str">
        <f>"KLF15"</f>
        <v>KLF15</v>
      </c>
      <c r="B20373" s="6" t="s">
        <v>1</v>
      </c>
      <c r="C20373" s="6" t="s">
        <v>1</v>
      </c>
    </row>
    <row r="20374" spans="1:3" s="8" customFormat="1" x14ac:dyDescent="0.2">
      <c r="A20374" s="6" t="str">
        <f>"CNTF"</f>
        <v>CNTF</v>
      </c>
      <c r="B20374" s="6" t="s">
        <v>1</v>
      </c>
      <c r="C20374" s="6" t="s">
        <v>1</v>
      </c>
    </row>
    <row r="20375" spans="1:3" s="8" customFormat="1" x14ac:dyDescent="0.2">
      <c r="A20375" s="6" t="str">
        <f>"AC013477.1"</f>
        <v>AC013477.1</v>
      </c>
      <c r="B20375" s="6" t="s">
        <v>1</v>
      </c>
      <c r="C20375" s="6" t="s">
        <v>1</v>
      </c>
    </row>
    <row r="20376" spans="1:3" s="8" customFormat="1" x14ac:dyDescent="0.2">
      <c r="A20376" s="6" t="str">
        <f>"GPR37L1"</f>
        <v>GPR37L1</v>
      </c>
      <c r="B20376" s="6" t="s">
        <v>1</v>
      </c>
      <c r="C20376" s="6" t="s">
        <v>1</v>
      </c>
    </row>
    <row r="20377" spans="1:3" s="8" customFormat="1" x14ac:dyDescent="0.2">
      <c r="A20377" s="6" t="str">
        <f>"UGT1A10"</f>
        <v>UGT1A10</v>
      </c>
      <c r="B20377" s="6" t="s">
        <v>1</v>
      </c>
      <c r="C20377" s="6" t="s">
        <v>1</v>
      </c>
    </row>
    <row r="20378" spans="1:3" s="8" customFormat="1" x14ac:dyDescent="0.2">
      <c r="A20378" s="6" t="str">
        <f>"E2F7"</f>
        <v>E2F7</v>
      </c>
      <c r="B20378" s="6" t="s">
        <v>1</v>
      </c>
      <c r="C20378" s="6" t="s">
        <v>1</v>
      </c>
    </row>
    <row r="20379" spans="1:3" s="8" customFormat="1" x14ac:dyDescent="0.2">
      <c r="A20379" s="6" t="str">
        <f>"EXOSC5"</f>
        <v>EXOSC5</v>
      </c>
      <c r="B20379" s="6" t="s">
        <v>1</v>
      </c>
      <c r="C20379" s="6" t="s">
        <v>1</v>
      </c>
    </row>
    <row r="20380" spans="1:3" s="8" customFormat="1" x14ac:dyDescent="0.2">
      <c r="A20380" s="6" t="str">
        <f>"HMGB1P5"</f>
        <v>HMGB1P5</v>
      </c>
      <c r="B20380" s="6" t="s">
        <v>1</v>
      </c>
      <c r="C20380" s="6" t="s">
        <v>1</v>
      </c>
    </row>
    <row r="20381" spans="1:3" s="8" customFormat="1" x14ac:dyDescent="0.2">
      <c r="A20381" s="6" t="str">
        <f>"STX17-AS1"</f>
        <v>STX17-AS1</v>
      </c>
      <c r="B20381" s="6" t="s">
        <v>1</v>
      </c>
      <c r="C20381" s="6" t="s">
        <v>1</v>
      </c>
    </row>
    <row r="20382" spans="1:3" s="8" customFormat="1" x14ac:dyDescent="0.2">
      <c r="A20382" s="6" t="str">
        <f>"MSH5"</f>
        <v>MSH5</v>
      </c>
      <c r="B20382" s="6" t="s">
        <v>1</v>
      </c>
      <c r="C20382" s="6" t="s">
        <v>1</v>
      </c>
    </row>
    <row r="20383" spans="1:3" s="8" customFormat="1" x14ac:dyDescent="0.2">
      <c r="A20383" s="6" t="str">
        <f>"TTC3P1"</f>
        <v>TTC3P1</v>
      </c>
      <c r="B20383" s="6" t="s">
        <v>1</v>
      </c>
      <c r="C20383" s="6" t="s">
        <v>1</v>
      </c>
    </row>
    <row r="20384" spans="1:3" s="8" customFormat="1" x14ac:dyDescent="0.2">
      <c r="A20384" s="6" t="str">
        <f>"SORBS1"</f>
        <v>SORBS1</v>
      </c>
      <c r="B20384" s="6" t="s">
        <v>1</v>
      </c>
      <c r="C20384" s="6" t="s">
        <v>1</v>
      </c>
    </row>
    <row r="20385" spans="1:3" s="8" customFormat="1" x14ac:dyDescent="0.2">
      <c r="A20385" s="6" t="str">
        <f>"PHLDB1"</f>
        <v>PHLDB1</v>
      </c>
      <c r="B20385" s="6" t="s">
        <v>1</v>
      </c>
      <c r="C20385" s="6" t="s">
        <v>1</v>
      </c>
    </row>
    <row r="20386" spans="1:3" s="8" customFormat="1" x14ac:dyDescent="0.2">
      <c r="A20386" s="6" t="str">
        <f>"ASB16-AS1"</f>
        <v>ASB16-AS1</v>
      </c>
      <c r="B20386" s="6" t="s">
        <v>1</v>
      </c>
      <c r="C20386" s="6" t="s">
        <v>1</v>
      </c>
    </row>
    <row r="20387" spans="1:3" s="8" customFormat="1" x14ac:dyDescent="0.2">
      <c r="A20387" s="6" t="str">
        <f>"CYP2T1P"</f>
        <v>CYP2T1P</v>
      </c>
      <c r="B20387" s="6" t="s">
        <v>1</v>
      </c>
      <c r="C20387" s="6" t="s">
        <v>1</v>
      </c>
    </row>
    <row r="20388" spans="1:3" s="8" customFormat="1" x14ac:dyDescent="0.2">
      <c r="A20388" s="6" t="str">
        <f>"ADORA2A"</f>
        <v>ADORA2A</v>
      </c>
      <c r="B20388" s="6" t="s">
        <v>1</v>
      </c>
      <c r="C20388" s="6" t="s">
        <v>1</v>
      </c>
    </row>
    <row r="20389" spans="1:3" s="8" customFormat="1" x14ac:dyDescent="0.2">
      <c r="A20389" s="6" t="str">
        <f>"RAET1G"</f>
        <v>RAET1G</v>
      </c>
      <c r="B20389" s="6" t="s">
        <v>1</v>
      </c>
      <c r="C20389" s="6" t="s">
        <v>1</v>
      </c>
    </row>
    <row r="20390" spans="1:3" s="8" customFormat="1" x14ac:dyDescent="0.2">
      <c r="A20390" s="6" t="str">
        <f>"BANK1"</f>
        <v>BANK1</v>
      </c>
      <c r="B20390" s="6" t="s">
        <v>1</v>
      </c>
      <c r="C20390" s="6" t="s">
        <v>1</v>
      </c>
    </row>
    <row r="20391" spans="1:3" s="8" customFormat="1" x14ac:dyDescent="0.2">
      <c r="A20391" s="6" t="str">
        <f>"MZT1"</f>
        <v>MZT1</v>
      </c>
      <c r="B20391" s="6" t="s">
        <v>1</v>
      </c>
      <c r="C20391" s="6" t="s">
        <v>1</v>
      </c>
    </row>
    <row r="20392" spans="1:3" s="8" customFormat="1" x14ac:dyDescent="0.2">
      <c r="A20392" s="6" t="str">
        <f>"F8"</f>
        <v>F8</v>
      </c>
      <c r="B20392" s="6" t="s">
        <v>1</v>
      </c>
      <c r="C20392" s="6" t="s">
        <v>1</v>
      </c>
    </row>
    <row r="20393" spans="1:3" s="8" customFormat="1" x14ac:dyDescent="0.2">
      <c r="A20393" s="6" t="str">
        <f>"PRKY"</f>
        <v>PRKY</v>
      </c>
      <c r="B20393" s="6" t="s">
        <v>1</v>
      </c>
      <c r="C20393" s="6" t="s">
        <v>1</v>
      </c>
    </row>
    <row r="20394" spans="1:3" s="8" customFormat="1" x14ac:dyDescent="0.2">
      <c r="A20394" s="6" t="str">
        <f>"EDIL3"</f>
        <v>EDIL3</v>
      </c>
      <c r="B20394" s="6" t="s">
        <v>1</v>
      </c>
      <c r="C20394" s="6" t="s">
        <v>1</v>
      </c>
    </row>
    <row r="20395" spans="1:3" s="8" customFormat="1" x14ac:dyDescent="0.2">
      <c r="A20395" s="6" t="str">
        <f>"EXTL2"</f>
        <v>EXTL2</v>
      </c>
      <c r="B20395" s="6" t="s">
        <v>1</v>
      </c>
      <c r="C20395" s="6" t="s">
        <v>1</v>
      </c>
    </row>
    <row r="20396" spans="1:3" s="8" customFormat="1" x14ac:dyDescent="0.2">
      <c r="A20396" s="6" t="str">
        <f>"AC004812.2"</f>
        <v>AC004812.2</v>
      </c>
      <c r="B20396" s="6" t="s">
        <v>1</v>
      </c>
      <c r="C20396" s="6" t="s">
        <v>1</v>
      </c>
    </row>
    <row r="20397" spans="1:3" s="8" customFormat="1" x14ac:dyDescent="0.2">
      <c r="A20397" s="6" t="str">
        <f>"ZNF586"</f>
        <v>ZNF586</v>
      </c>
      <c r="B20397" s="6" t="s">
        <v>1</v>
      </c>
      <c r="C20397" s="6" t="s">
        <v>1</v>
      </c>
    </row>
    <row r="20398" spans="1:3" s="8" customFormat="1" x14ac:dyDescent="0.2">
      <c r="A20398" s="6" t="str">
        <f>"FXYD1"</f>
        <v>FXYD1</v>
      </c>
      <c r="B20398" s="6" t="s">
        <v>1</v>
      </c>
      <c r="C20398" s="6" t="s">
        <v>1</v>
      </c>
    </row>
    <row r="20399" spans="1:3" s="8" customFormat="1" x14ac:dyDescent="0.2">
      <c r="A20399" s="6" t="str">
        <f>"PLIN4"</f>
        <v>PLIN4</v>
      </c>
      <c r="B20399" s="6" t="s">
        <v>1</v>
      </c>
      <c r="C20399" s="6" t="s">
        <v>1</v>
      </c>
    </row>
    <row r="20400" spans="1:3" s="8" customFormat="1" x14ac:dyDescent="0.2">
      <c r="A20400" s="6" t="str">
        <f>"HNRNPA1L2"</f>
        <v>HNRNPA1L2</v>
      </c>
      <c r="B20400" s="6" t="s">
        <v>1</v>
      </c>
      <c r="C20400" s="6" t="s">
        <v>1</v>
      </c>
    </row>
    <row r="20401" spans="1:3" s="8" customFormat="1" x14ac:dyDescent="0.2">
      <c r="A20401" s="6" t="str">
        <f>"RFC4"</f>
        <v>RFC4</v>
      </c>
      <c r="B20401" s="6" t="s">
        <v>1</v>
      </c>
      <c r="C20401" s="6" t="s">
        <v>1</v>
      </c>
    </row>
    <row r="20402" spans="1:3" s="8" customFormat="1" x14ac:dyDescent="0.2">
      <c r="A20402" s="6" t="str">
        <f>"AC009506.1"</f>
        <v>AC009506.1</v>
      </c>
      <c r="B20402" s="6" t="s">
        <v>1</v>
      </c>
      <c r="C20402" s="6" t="s">
        <v>1</v>
      </c>
    </row>
    <row r="20403" spans="1:3" s="8" customFormat="1" x14ac:dyDescent="0.2">
      <c r="A20403" s="6" t="str">
        <f>"ZNF594"</f>
        <v>ZNF594</v>
      </c>
      <c r="B20403" s="6" t="s">
        <v>1</v>
      </c>
      <c r="C20403" s="6" t="s">
        <v>1</v>
      </c>
    </row>
    <row r="20404" spans="1:3" s="8" customFormat="1" x14ac:dyDescent="0.2">
      <c r="A20404" s="6" t="str">
        <f>"H2BU1"</f>
        <v>H2BU1</v>
      </c>
      <c r="B20404" s="6" t="s">
        <v>1</v>
      </c>
      <c r="C20404" s="6" t="s">
        <v>1</v>
      </c>
    </row>
    <row r="20405" spans="1:3" s="8" customFormat="1" x14ac:dyDescent="0.2">
      <c r="A20405" s="6" t="str">
        <f>"G2E3"</f>
        <v>G2E3</v>
      </c>
      <c r="B20405" s="6" t="s">
        <v>1</v>
      </c>
      <c r="C20405" s="6" t="s">
        <v>1</v>
      </c>
    </row>
    <row r="20406" spans="1:3" s="8" customFormat="1" x14ac:dyDescent="0.2">
      <c r="A20406" s="6" t="str">
        <f>"HACE1"</f>
        <v>HACE1</v>
      </c>
      <c r="B20406" s="6" t="s">
        <v>1</v>
      </c>
      <c r="C20406" s="6" t="s">
        <v>1</v>
      </c>
    </row>
    <row r="20407" spans="1:3" s="8" customFormat="1" x14ac:dyDescent="0.2">
      <c r="A20407" s="6" t="str">
        <f>"DNAJC3-DT"</f>
        <v>DNAJC3-DT</v>
      </c>
      <c r="B20407" s="6" t="s">
        <v>1</v>
      </c>
      <c r="C20407" s="6" t="s">
        <v>1</v>
      </c>
    </row>
    <row r="20408" spans="1:3" s="8" customFormat="1" x14ac:dyDescent="0.2">
      <c r="A20408" s="6" t="str">
        <f>"ZNF619"</f>
        <v>ZNF619</v>
      </c>
      <c r="B20408" s="6" t="s">
        <v>1</v>
      </c>
      <c r="C20408" s="6" t="s">
        <v>1</v>
      </c>
    </row>
    <row r="20409" spans="1:3" s="8" customFormat="1" x14ac:dyDescent="0.2">
      <c r="A20409" s="6" t="str">
        <f>"THAP3"</f>
        <v>THAP3</v>
      </c>
      <c r="B20409" s="6" t="s">
        <v>1</v>
      </c>
      <c r="C20409" s="6" t="s">
        <v>1</v>
      </c>
    </row>
    <row r="20410" spans="1:3" s="8" customFormat="1" x14ac:dyDescent="0.2">
      <c r="A20410" s="6" t="str">
        <f>"KLHL3"</f>
        <v>KLHL3</v>
      </c>
      <c r="B20410" s="6" t="s">
        <v>1</v>
      </c>
      <c r="C20410" s="6" t="s">
        <v>1</v>
      </c>
    </row>
    <row r="20411" spans="1:3" s="8" customFormat="1" x14ac:dyDescent="0.2">
      <c r="A20411" s="6" t="str">
        <f>"IGHG1"</f>
        <v>IGHG1</v>
      </c>
      <c r="B20411" s="6" t="s">
        <v>1</v>
      </c>
      <c r="C20411" s="6" t="s">
        <v>1</v>
      </c>
    </row>
    <row r="20412" spans="1:3" s="8" customFormat="1" x14ac:dyDescent="0.2">
      <c r="A20412" s="6" t="str">
        <f>"RFC5"</f>
        <v>RFC5</v>
      </c>
      <c r="B20412" s="6" t="s">
        <v>1</v>
      </c>
      <c r="C20412" s="6" t="s">
        <v>1</v>
      </c>
    </row>
    <row r="20413" spans="1:3" s="8" customFormat="1" x14ac:dyDescent="0.2">
      <c r="A20413" s="6" t="str">
        <f>"NDUFAF5"</f>
        <v>NDUFAF5</v>
      </c>
      <c r="B20413" s="6" t="s">
        <v>1</v>
      </c>
      <c r="C20413" s="6" t="s">
        <v>1</v>
      </c>
    </row>
    <row r="20414" spans="1:3" s="8" customFormat="1" x14ac:dyDescent="0.2">
      <c r="A20414" s="6" t="str">
        <f>"AL031282.2"</f>
        <v>AL031282.2</v>
      </c>
      <c r="B20414" s="6" t="s">
        <v>1</v>
      </c>
      <c r="C20414" s="6" t="s">
        <v>1</v>
      </c>
    </row>
    <row r="20415" spans="1:3" s="8" customFormat="1" x14ac:dyDescent="0.2">
      <c r="A20415" s="6" t="str">
        <f>"CEACAM3"</f>
        <v>CEACAM3</v>
      </c>
      <c r="B20415" s="6" t="s">
        <v>1</v>
      </c>
      <c r="C20415" s="6" t="s">
        <v>1</v>
      </c>
    </row>
    <row r="20416" spans="1:3" s="8" customFormat="1" x14ac:dyDescent="0.2">
      <c r="A20416" s="6" t="str">
        <f>"MYPOP"</f>
        <v>MYPOP</v>
      </c>
      <c r="B20416" s="6" t="s">
        <v>1</v>
      </c>
      <c r="C20416" s="6" t="s">
        <v>1</v>
      </c>
    </row>
    <row r="20417" spans="1:3" s="8" customFormat="1" x14ac:dyDescent="0.2">
      <c r="A20417" s="6" t="str">
        <f>"FAH"</f>
        <v>FAH</v>
      </c>
      <c r="B20417" s="6" t="s">
        <v>1</v>
      </c>
      <c r="C20417" s="6" t="s">
        <v>1</v>
      </c>
    </row>
    <row r="20418" spans="1:3" s="8" customFormat="1" x14ac:dyDescent="0.2">
      <c r="A20418" s="6" t="str">
        <f>"MYZAP"</f>
        <v>MYZAP</v>
      </c>
      <c r="B20418" s="6" t="s">
        <v>1</v>
      </c>
      <c r="C20418" s="6" t="s">
        <v>1</v>
      </c>
    </row>
    <row r="20419" spans="1:3" s="8" customFormat="1" x14ac:dyDescent="0.2">
      <c r="A20419" s="6" t="str">
        <f>"EML6"</f>
        <v>EML6</v>
      </c>
      <c r="B20419" s="6" t="s">
        <v>1</v>
      </c>
      <c r="C20419" s="6" t="s">
        <v>1</v>
      </c>
    </row>
    <row r="20420" spans="1:3" s="8" customFormat="1" x14ac:dyDescent="0.2">
      <c r="A20420" s="6" t="str">
        <f>"FMNL3"</f>
        <v>FMNL3</v>
      </c>
      <c r="B20420" s="6" t="s">
        <v>1</v>
      </c>
      <c r="C20420" s="6" t="s">
        <v>1</v>
      </c>
    </row>
    <row r="20421" spans="1:3" s="8" customFormat="1" x14ac:dyDescent="0.2">
      <c r="A20421" s="6" t="str">
        <f>"LBX2-AS1"</f>
        <v>LBX2-AS1</v>
      </c>
      <c r="B20421" s="6" t="s">
        <v>1</v>
      </c>
      <c r="C20421" s="6" t="s">
        <v>1</v>
      </c>
    </row>
    <row r="20422" spans="1:3" s="8" customFormat="1" x14ac:dyDescent="0.2">
      <c r="A20422" s="6" t="str">
        <f>"ADM2"</f>
        <v>ADM2</v>
      </c>
      <c r="B20422" s="6" t="s">
        <v>1</v>
      </c>
      <c r="C20422" s="6" t="s">
        <v>1</v>
      </c>
    </row>
    <row r="20423" spans="1:3" s="8" customFormat="1" x14ac:dyDescent="0.2">
      <c r="A20423" s="6" t="str">
        <f>"CEMIP"</f>
        <v>CEMIP</v>
      </c>
      <c r="B20423" s="6" t="s">
        <v>1</v>
      </c>
      <c r="C20423" s="6" t="s">
        <v>1</v>
      </c>
    </row>
    <row r="20424" spans="1:3" s="8" customFormat="1" x14ac:dyDescent="0.2">
      <c r="A20424" s="6" t="str">
        <f>"ZNF25"</f>
        <v>ZNF25</v>
      </c>
      <c r="B20424" s="6" t="s">
        <v>1</v>
      </c>
      <c r="C20424" s="6" t="s">
        <v>1</v>
      </c>
    </row>
    <row r="20425" spans="1:3" s="8" customFormat="1" x14ac:dyDescent="0.2">
      <c r="A20425" s="6" t="str">
        <f>"RELT"</f>
        <v>RELT</v>
      </c>
      <c r="B20425" s="6" t="s">
        <v>1</v>
      </c>
      <c r="C20425" s="6" t="s">
        <v>1</v>
      </c>
    </row>
    <row r="20426" spans="1:3" s="8" customFormat="1" x14ac:dyDescent="0.2">
      <c r="A20426" s="6" t="str">
        <f>"AC064807.1"</f>
        <v>AC064807.1</v>
      </c>
      <c r="B20426" s="6" t="s">
        <v>1</v>
      </c>
      <c r="C20426" s="6" t="s">
        <v>1</v>
      </c>
    </row>
    <row r="20427" spans="1:3" s="8" customFormat="1" x14ac:dyDescent="0.2">
      <c r="A20427" s="6" t="str">
        <f>"GABRB3"</f>
        <v>GABRB3</v>
      </c>
      <c r="B20427" s="6" t="s">
        <v>1</v>
      </c>
      <c r="C20427" s="6" t="s">
        <v>1</v>
      </c>
    </row>
    <row r="20428" spans="1:3" s="8" customFormat="1" x14ac:dyDescent="0.2">
      <c r="A20428" s="6" t="str">
        <f>"ZSCAN16"</f>
        <v>ZSCAN16</v>
      </c>
      <c r="B20428" s="6" t="s">
        <v>1</v>
      </c>
      <c r="C20428" s="6" t="s">
        <v>1</v>
      </c>
    </row>
    <row r="20429" spans="1:3" s="8" customFormat="1" x14ac:dyDescent="0.2">
      <c r="A20429" s="6" t="str">
        <f>"CHN2"</f>
        <v>CHN2</v>
      </c>
      <c r="B20429" s="6" t="s">
        <v>1</v>
      </c>
      <c r="C20429" s="6" t="s">
        <v>1</v>
      </c>
    </row>
    <row r="20430" spans="1:3" s="8" customFormat="1" x14ac:dyDescent="0.2">
      <c r="A20430" s="6" t="str">
        <f>"ZSCAN26"</f>
        <v>ZSCAN26</v>
      </c>
      <c r="B20430" s="6" t="s">
        <v>1</v>
      </c>
      <c r="C20430" s="6" t="s">
        <v>1</v>
      </c>
    </row>
    <row r="20431" spans="1:3" s="8" customFormat="1" x14ac:dyDescent="0.2">
      <c r="A20431" s="6" t="str">
        <f>"MACIR"</f>
        <v>MACIR</v>
      </c>
      <c r="B20431" s="6" t="s">
        <v>1</v>
      </c>
      <c r="C20431" s="6" t="s">
        <v>1</v>
      </c>
    </row>
    <row r="20432" spans="1:3" s="8" customFormat="1" x14ac:dyDescent="0.2">
      <c r="A20432" s="6" t="str">
        <f>"CCNA1"</f>
        <v>CCNA1</v>
      </c>
      <c r="B20432" s="6" t="s">
        <v>1</v>
      </c>
      <c r="C20432" s="6" t="s">
        <v>1</v>
      </c>
    </row>
    <row r="20433" spans="1:3" s="8" customFormat="1" x14ac:dyDescent="0.2">
      <c r="A20433" s="6" t="str">
        <f>"BARD1"</f>
        <v>BARD1</v>
      </c>
      <c r="B20433" s="6" t="s">
        <v>1</v>
      </c>
      <c r="C20433" s="6" t="s">
        <v>1</v>
      </c>
    </row>
    <row r="20434" spans="1:3" s="8" customFormat="1" x14ac:dyDescent="0.2">
      <c r="A20434" s="6" t="str">
        <f>"H2BC4"</f>
        <v>H2BC4</v>
      </c>
      <c r="B20434" s="6" t="s">
        <v>1</v>
      </c>
      <c r="C20434" s="6" t="s">
        <v>1</v>
      </c>
    </row>
    <row r="20435" spans="1:3" s="8" customFormat="1" x14ac:dyDescent="0.2">
      <c r="A20435" s="6" t="str">
        <f>"KBTBD6"</f>
        <v>KBTBD6</v>
      </c>
      <c r="B20435" s="6" t="s">
        <v>1</v>
      </c>
      <c r="C20435" s="6" t="s">
        <v>1</v>
      </c>
    </row>
    <row r="20436" spans="1:3" s="8" customFormat="1" x14ac:dyDescent="0.2">
      <c r="A20436" s="6" t="str">
        <f>"ZNF234"</f>
        <v>ZNF234</v>
      </c>
      <c r="B20436" s="6" t="s">
        <v>1</v>
      </c>
      <c r="C20436" s="6" t="s">
        <v>1</v>
      </c>
    </row>
    <row r="20437" spans="1:3" s="8" customFormat="1" x14ac:dyDescent="0.2">
      <c r="A20437" s="6" t="str">
        <f>"KCNB1"</f>
        <v>KCNB1</v>
      </c>
      <c r="B20437" s="6" t="s">
        <v>1</v>
      </c>
      <c r="C20437" s="6" t="s">
        <v>1</v>
      </c>
    </row>
    <row r="20438" spans="1:3" s="8" customFormat="1" x14ac:dyDescent="0.2">
      <c r="A20438" s="6" t="str">
        <f>"KLF11"</f>
        <v>KLF11</v>
      </c>
      <c r="B20438" s="6" t="s">
        <v>1</v>
      </c>
      <c r="C20438" s="6" t="s">
        <v>1</v>
      </c>
    </row>
    <row r="20439" spans="1:3" s="8" customFormat="1" x14ac:dyDescent="0.2">
      <c r="A20439" s="6" t="str">
        <f>"ZUP1"</f>
        <v>ZUP1</v>
      </c>
      <c r="B20439" s="6" t="s">
        <v>1</v>
      </c>
      <c r="C20439" s="6" t="s">
        <v>1</v>
      </c>
    </row>
    <row r="20440" spans="1:3" s="8" customFormat="1" x14ac:dyDescent="0.2">
      <c r="A20440" s="6" t="str">
        <f>"B4GALT6"</f>
        <v>B4GALT6</v>
      </c>
      <c r="B20440" s="6" t="s">
        <v>1</v>
      </c>
      <c r="C20440" s="6" t="s">
        <v>1</v>
      </c>
    </row>
    <row r="20441" spans="1:3" s="8" customFormat="1" x14ac:dyDescent="0.2">
      <c r="A20441" s="6" t="str">
        <f>"TNFAIP8L3"</f>
        <v>TNFAIP8L3</v>
      </c>
      <c r="B20441" s="6" t="s">
        <v>1</v>
      </c>
      <c r="C20441" s="6" t="s">
        <v>1</v>
      </c>
    </row>
    <row r="20442" spans="1:3" s="8" customFormat="1" x14ac:dyDescent="0.2">
      <c r="A20442" s="6" t="str">
        <f>"LPP-AS2"</f>
        <v>LPP-AS2</v>
      </c>
      <c r="B20442" s="6" t="s">
        <v>1</v>
      </c>
      <c r="C20442" s="6" t="s">
        <v>1</v>
      </c>
    </row>
    <row r="20443" spans="1:3" s="8" customFormat="1" x14ac:dyDescent="0.2">
      <c r="A20443" s="6" t="str">
        <f>"HMBOX1"</f>
        <v>HMBOX1</v>
      </c>
      <c r="B20443" s="6" t="s">
        <v>1</v>
      </c>
      <c r="C20443" s="6" t="s">
        <v>1</v>
      </c>
    </row>
    <row r="20444" spans="1:3" s="8" customFormat="1" x14ac:dyDescent="0.2">
      <c r="A20444" s="6" t="str">
        <f>"KLLN"</f>
        <v>KLLN</v>
      </c>
      <c r="B20444" s="6" t="s">
        <v>1</v>
      </c>
      <c r="C20444" s="6" t="s">
        <v>1</v>
      </c>
    </row>
    <row r="20445" spans="1:3" s="8" customFormat="1" x14ac:dyDescent="0.2">
      <c r="A20445" s="6" t="str">
        <f>"FAXC"</f>
        <v>FAXC</v>
      </c>
      <c r="B20445" s="6" t="s">
        <v>1</v>
      </c>
      <c r="C20445" s="6" t="s">
        <v>1</v>
      </c>
    </row>
    <row r="20446" spans="1:3" s="8" customFormat="1" x14ac:dyDescent="0.2">
      <c r="A20446" s="6" t="str">
        <f>"PROC"</f>
        <v>PROC</v>
      </c>
      <c r="B20446" s="6" t="s">
        <v>1</v>
      </c>
      <c r="C20446" s="6" t="s">
        <v>1</v>
      </c>
    </row>
    <row r="20447" spans="1:3" s="8" customFormat="1" x14ac:dyDescent="0.2">
      <c r="A20447" s="6" t="str">
        <f>"ALKBH1"</f>
        <v>ALKBH1</v>
      </c>
      <c r="B20447" s="6" t="s">
        <v>1</v>
      </c>
      <c r="C20447" s="6" t="s">
        <v>1</v>
      </c>
    </row>
    <row r="20448" spans="1:3" s="8" customFormat="1" x14ac:dyDescent="0.2">
      <c r="A20448" s="6" t="str">
        <f>"ADGRG6"</f>
        <v>ADGRG6</v>
      </c>
      <c r="B20448" s="6" t="s">
        <v>1</v>
      </c>
      <c r="C20448" s="6" t="s">
        <v>1</v>
      </c>
    </row>
    <row r="20449" spans="1:3" s="8" customFormat="1" x14ac:dyDescent="0.2">
      <c r="A20449" s="6" t="str">
        <f>"GRIK2"</f>
        <v>GRIK2</v>
      </c>
      <c r="B20449" s="6" t="s">
        <v>1</v>
      </c>
      <c r="C20449" s="6" t="s">
        <v>1</v>
      </c>
    </row>
    <row r="20450" spans="1:3" s="8" customFormat="1" x14ac:dyDescent="0.2">
      <c r="A20450" s="6" t="str">
        <f>"FKBP14"</f>
        <v>FKBP14</v>
      </c>
      <c r="B20450" s="6" t="s">
        <v>1</v>
      </c>
      <c r="C20450" s="6" t="s">
        <v>1</v>
      </c>
    </row>
    <row r="20451" spans="1:3" s="8" customFormat="1" x14ac:dyDescent="0.2">
      <c r="A20451" s="6" t="str">
        <f>"LINC01003"</f>
        <v>LINC01003</v>
      </c>
      <c r="B20451" s="6" t="s">
        <v>1</v>
      </c>
      <c r="C20451" s="6" t="s">
        <v>1</v>
      </c>
    </row>
    <row r="20452" spans="1:3" s="8" customFormat="1" x14ac:dyDescent="0.2">
      <c r="A20452" s="6" t="str">
        <f>"EMILIN2"</f>
        <v>EMILIN2</v>
      </c>
      <c r="B20452" s="6" t="s">
        <v>1</v>
      </c>
      <c r="C20452" s="6" t="s">
        <v>1</v>
      </c>
    </row>
    <row r="20453" spans="1:3" s="8" customFormat="1" x14ac:dyDescent="0.2">
      <c r="A20453" s="6" t="str">
        <f>"P2RY11"</f>
        <v>P2RY11</v>
      </c>
      <c r="B20453" s="6" t="s">
        <v>1</v>
      </c>
      <c r="C20453" s="6" t="s">
        <v>1</v>
      </c>
    </row>
    <row r="20454" spans="1:3" s="8" customFormat="1" x14ac:dyDescent="0.2">
      <c r="A20454" s="6" t="str">
        <f>"ALKBH2"</f>
        <v>ALKBH2</v>
      </c>
      <c r="B20454" s="6" t="s">
        <v>1</v>
      </c>
      <c r="C20454" s="6" t="s">
        <v>1</v>
      </c>
    </row>
    <row r="20455" spans="1:3" s="8" customFormat="1" x14ac:dyDescent="0.2">
      <c r="A20455" s="6" t="str">
        <f>"REM1"</f>
        <v>REM1</v>
      </c>
      <c r="B20455" s="6" t="s">
        <v>1</v>
      </c>
      <c r="C20455" s="6" t="s">
        <v>1</v>
      </c>
    </row>
    <row r="20456" spans="1:3" s="8" customFormat="1" x14ac:dyDescent="0.2">
      <c r="A20456" s="6" t="str">
        <f>"FANCL"</f>
        <v>FANCL</v>
      </c>
      <c r="B20456" s="6" t="s">
        <v>1</v>
      </c>
      <c r="C20456" s="6" t="s">
        <v>1</v>
      </c>
    </row>
    <row r="20457" spans="1:3" s="8" customFormat="1" x14ac:dyDescent="0.2">
      <c r="A20457" s="6" t="str">
        <f>"IGF1"</f>
        <v>IGF1</v>
      </c>
      <c r="B20457" s="6" t="s">
        <v>1</v>
      </c>
      <c r="C20457" s="6" t="s">
        <v>1</v>
      </c>
    </row>
    <row r="20458" spans="1:3" s="8" customFormat="1" x14ac:dyDescent="0.2">
      <c r="A20458" s="6" t="str">
        <f>"ALKBH8"</f>
        <v>ALKBH8</v>
      </c>
      <c r="B20458" s="6" t="s">
        <v>1</v>
      </c>
      <c r="C20458" s="6" t="s">
        <v>1</v>
      </c>
    </row>
    <row r="20459" spans="1:3" s="8" customFormat="1" x14ac:dyDescent="0.2">
      <c r="A20459" s="6" t="str">
        <f>"TRIM23"</f>
        <v>TRIM23</v>
      </c>
      <c r="B20459" s="6" t="s">
        <v>1</v>
      </c>
      <c r="C20459" s="6" t="s">
        <v>1</v>
      </c>
    </row>
    <row r="20460" spans="1:3" s="8" customFormat="1" x14ac:dyDescent="0.2">
      <c r="A20460" s="6" t="str">
        <f>"DNAJC24"</f>
        <v>DNAJC24</v>
      </c>
      <c r="B20460" s="6" t="s">
        <v>1</v>
      </c>
      <c r="C20460" s="6" t="s">
        <v>1</v>
      </c>
    </row>
    <row r="20461" spans="1:3" s="8" customFormat="1" x14ac:dyDescent="0.2">
      <c r="A20461" s="6" t="str">
        <f>"SACS"</f>
        <v>SACS</v>
      </c>
      <c r="B20461" s="6" t="s">
        <v>1</v>
      </c>
      <c r="C20461" s="6" t="s">
        <v>1</v>
      </c>
    </row>
    <row r="20462" spans="1:3" s="8" customFormat="1" x14ac:dyDescent="0.2">
      <c r="A20462" s="6" t="str">
        <f>"HMGN2P5"</f>
        <v>HMGN2P5</v>
      </c>
      <c r="B20462" s="6" t="s">
        <v>1</v>
      </c>
      <c r="C20462" s="6" t="s">
        <v>1</v>
      </c>
    </row>
    <row r="20463" spans="1:3" s="8" customFormat="1" x14ac:dyDescent="0.2">
      <c r="A20463" s="6" t="str">
        <f>"H3-2"</f>
        <v>H3-2</v>
      </c>
      <c r="B20463" s="6" t="s">
        <v>1</v>
      </c>
      <c r="C20463" s="6" t="s">
        <v>1</v>
      </c>
    </row>
    <row r="20464" spans="1:3" s="8" customFormat="1" x14ac:dyDescent="0.2">
      <c r="A20464" s="6" t="str">
        <f>"NPHP3"</f>
        <v>NPHP3</v>
      </c>
      <c r="B20464" s="6" t="s">
        <v>1</v>
      </c>
      <c r="C20464" s="6" t="s">
        <v>1</v>
      </c>
    </row>
    <row r="20465" spans="1:3" s="8" customFormat="1" x14ac:dyDescent="0.2">
      <c r="A20465" s="6" t="str">
        <f>"SLC25A45"</f>
        <v>SLC25A45</v>
      </c>
      <c r="B20465" s="6" t="s">
        <v>1</v>
      </c>
      <c r="C20465" s="6" t="s">
        <v>1</v>
      </c>
    </row>
    <row r="20466" spans="1:3" s="8" customFormat="1" x14ac:dyDescent="0.2">
      <c r="A20466" s="6" t="str">
        <f>"E2F5"</f>
        <v>E2F5</v>
      </c>
      <c r="B20466" s="6" t="s">
        <v>1</v>
      </c>
      <c r="C20466" s="6" t="s">
        <v>1</v>
      </c>
    </row>
    <row r="20467" spans="1:3" s="8" customFormat="1" x14ac:dyDescent="0.2">
      <c r="A20467" s="6" t="str">
        <f>"TBC1D10C"</f>
        <v>TBC1D10C</v>
      </c>
      <c r="B20467" s="6" t="s">
        <v>1</v>
      </c>
      <c r="C20467" s="6" t="s">
        <v>1</v>
      </c>
    </row>
    <row r="20468" spans="1:3" s="8" customFormat="1" x14ac:dyDescent="0.2">
      <c r="A20468" s="6" t="str">
        <f>"GPT"</f>
        <v>GPT</v>
      </c>
      <c r="B20468" s="6" t="s">
        <v>1</v>
      </c>
      <c r="C20468" s="6" t="s">
        <v>1</v>
      </c>
    </row>
    <row r="20469" spans="1:3" s="8" customFormat="1" x14ac:dyDescent="0.2">
      <c r="A20469" s="6" t="str">
        <f>"TGFB3"</f>
        <v>TGFB3</v>
      </c>
      <c r="B20469" s="6" t="s">
        <v>1</v>
      </c>
      <c r="C20469" s="6" t="s">
        <v>1</v>
      </c>
    </row>
    <row r="20470" spans="1:3" s="8" customFormat="1" x14ac:dyDescent="0.2">
      <c r="A20470" s="6" t="str">
        <f>"THAP7-AS1"</f>
        <v>THAP7-AS1</v>
      </c>
      <c r="B20470" s="6" t="s">
        <v>1</v>
      </c>
      <c r="C20470" s="6" t="s">
        <v>1</v>
      </c>
    </row>
    <row r="20471" spans="1:3" s="8" customFormat="1" x14ac:dyDescent="0.2">
      <c r="A20471" s="6" t="str">
        <f>"FAM86C1P"</f>
        <v>FAM86C1P</v>
      </c>
      <c r="B20471" s="6" t="s">
        <v>1</v>
      </c>
      <c r="C20471" s="6" t="s">
        <v>1</v>
      </c>
    </row>
    <row r="20472" spans="1:3" s="8" customFormat="1" x14ac:dyDescent="0.2">
      <c r="A20472" s="6" t="str">
        <f>"TMEM150A"</f>
        <v>TMEM150A</v>
      </c>
      <c r="B20472" s="6" t="s">
        <v>1</v>
      </c>
      <c r="C20472" s="6" t="s">
        <v>1</v>
      </c>
    </row>
    <row r="20473" spans="1:3" s="8" customFormat="1" x14ac:dyDescent="0.2">
      <c r="A20473" s="6" t="str">
        <f>"AL031587.5"</f>
        <v>AL031587.5</v>
      </c>
      <c r="B20473" s="6" t="s">
        <v>1</v>
      </c>
      <c r="C20473" s="6" t="s">
        <v>1</v>
      </c>
    </row>
    <row r="20474" spans="1:3" s="8" customFormat="1" x14ac:dyDescent="0.2">
      <c r="A20474" s="6" t="str">
        <f>"AC007262.2"</f>
        <v>AC007262.2</v>
      </c>
      <c r="B20474" s="6" t="s">
        <v>1</v>
      </c>
      <c r="C20474" s="6" t="s">
        <v>1</v>
      </c>
    </row>
    <row r="20475" spans="1:3" s="8" customFormat="1" x14ac:dyDescent="0.2">
      <c r="A20475" s="6" t="str">
        <f>"KLHL32"</f>
        <v>KLHL32</v>
      </c>
      <c r="B20475" s="6" t="s">
        <v>1</v>
      </c>
      <c r="C20475" s="6" t="s">
        <v>1</v>
      </c>
    </row>
    <row r="20476" spans="1:3" s="8" customFormat="1" x14ac:dyDescent="0.2">
      <c r="A20476" s="6" t="str">
        <f>"KLHL15"</f>
        <v>KLHL15</v>
      </c>
      <c r="B20476" s="6" t="s">
        <v>1</v>
      </c>
      <c r="C20476" s="6" t="s">
        <v>1</v>
      </c>
    </row>
    <row r="20477" spans="1:3" s="8" customFormat="1" x14ac:dyDescent="0.2">
      <c r="A20477" s="6" t="str">
        <f>"TNFSF12"</f>
        <v>TNFSF12</v>
      </c>
      <c r="B20477" s="6" t="s">
        <v>1</v>
      </c>
      <c r="C20477" s="6" t="s">
        <v>1</v>
      </c>
    </row>
    <row r="20478" spans="1:3" s="8" customFormat="1" x14ac:dyDescent="0.2">
      <c r="A20478" s="6" t="str">
        <f>"LEKR1"</f>
        <v>LEKR1</v>
      </c>
      <c r="B20478" s="6" t="s">
        <v>1</v>
      </c>
      <c r="C20478" s="6" t="s">
        <v>1</v>
      </c>
    </row>
    <row r="20479" spans="1:3" s="8" customFormat="1" x14ac:dyDescent="0.2">
      <c r="A20479" s="6" t="str">
        <f>"SELP"</f>
        <v>SELP</v>
      </c>
      <c r="B20479" s="6" t="s">
        <v>1</v>
      </c>
      <c r="C20479" s="6" t="s">
        <v>1</v>
      </c>
    </row>
    <row r="20480" spans="1:3" s="8" customFormat="1" x14ac:dyDescent="0.2">
      <c r="A20480" s="6" t="str">
        <f>"EEF1AKMT3"</f>
        <v>EEF1AKMT3</v>
      </c>
      <c r="B20480" s="6" t="s">
        <v>1</v>
      </c>
      <c r="C20480" s="6" t="s">
        <v>1</v>
      </c>
    </row>
    <row r="20481" spans="1:3" s="8" customFormat="1" x14ac:dyDescent="0.2">
      <c r="A20481" s="6" t="str">
        <f>"TNFSF13B"</f>
        <v>TNFSF13B</v>
      </c>
      <c r="B20481" s="6" t="s">
        <v>1</v>
      </c>
      <c r="C20481" s="6" t="s">
        <v>1</v>
      </c>
    </row>
    <row r="20482" spans="1:3" s="8" customFormat="1" x14ac:dyDescent="0.2">
      <c r="A20482" s="6" t="str">
        <f>"AC007114.1"</f>
        <v>AC007114.1</v>
      </c>
      <c r="B20482" s="6" t="s">
        <v>1</v>
      </c>
      <c r="C20482" s="6" t="s">
        <v>1</v>
      </c>
    </row>
    <row r="20483" spans="1:3" s="8" customFormat="1" x14ac:dyDescent="0.2">
      <c r="A20483" s="6" t="str">
        <f>"PCGF1"</f>
        <v>PCGF1</v>
      </c>
      <c r="B20483" s="6" t="s">
        <v>1</v>
      </c>
      <c r="C20483" s="6" t="s">
        <v>1</v>
      </c>
    </row>
    <row r="20484" spans="1:3" s="8" customFormat="1" x14ac:dyDescent="0.2">
      <c r="A20484" s="6" t="str">
        <f>"AC107959.1"</f>
        <v>AC107959.1</v>
      </c>
      <c r="B20484" s="6" t="s">
        <v>1</v>
      </c>
      <c r="C20484" s="6" t="s">
        <v>1</v>
      </c>
    </row>
    <row r="20485" spans="1:3" s="8" customFormat="1" x14ac:dyDescent="0.2">
      <c r="A20485" s="6" t="str">
        <f>"MIR34AHG"</f>
        <v>MIR34AHG</v>
      </c>
      <c r="B20485" s="6" t="s">
        <v>1</v>
      </c>
      <c r="C20485" s="6" t="s">
        <v>1</v>
      </c>
    </row>
    <row r="20486" spans="1:3" s="8" customFormat="1" x14ac:dyDescent="0.2">
      <c r="A20486" s="6" t="str">
        <f>"C3orf14"</f>
        <v>C3orf14</v>
      </c>
      <c r="B20486" s="6" t="s">
        <v>1</v>
      </c>
      <c r="C20486" s="6" t="s">
        <v>1</v>
      </c>
    </row>
    <row r="20487" spans="1:3" s="8" customFormat="1" x14ac:dyDescent="0.2">
      <c r="A20487" s="6" t="str">
        <f>"ZNF626"</f>
        <v>ZNF626</v>
      </c>
      <c r="B20487" s="6" t="s">
        <v>1</v>
      </c>
      <c r="C20487" s="6" t="s">
        <v>1</v>
      </c>
    </row>
    <row r="20488" spans="1:3" s="8" customFormat="1" x14ac:dyDescent="0.2">
      <c r="A20488" s="6" t="str">
        <f>"TRDMT1"</f>
        <v>TRDMT1</v>
      </c>
      <c r="B20488" s="6" t="s">
        <v>1</v>
      </c>
      <c r="C20488" s="6" t="s">
        <v>1</v>
      </c>
    </row>
    <row r="20489" spans="1:3" s="8" customFormat="1" x14ac:dyDescent="0.2">
      <c r="A20489" s="6" t="str">
        <f>"KAZALD1"</f>
        <v>KAZALD1</v>
      </c>
      <c r="B20489" s="6" t="s">
        <v>1</v>
      </c>
      <c r="C20489" s="6" t="s">
        <v>1</v>
      </c>
    </row>
    <row r="20490" spans="1:3" s="8" customFormat="1" x14ac:dyDescent="0.2">
      <c r="A20490" s="6" t="str">
        <f>"SHF"</f>
        <v>SHF</v>
      </c>
      <c r="B20490" s="6" t="s">
        <v>1</v>
      </c>
      <c r="C20490" s="6" t="s">
        <v>1</v>
      </c>
    </row>
    <row r="20491" spans="1:3" s="8" customFormat="1" x14ac:dyDescent="0.2">
      <c r="A20491" s="6" t="str">
        <f>"ZC3HC1"</f>
        <v>ZC3HC1</v>
      </c>
      <c r="B20491" s="6" t="s">
        <v>1</v>
      </c>
      <c r="C20491" s="6" t="s">
        <v>1</v>
      </c>
    </row>
    <row r="20492" spans="1:3" s="8" customFormat="1" x14ac:dyDescent="0.2">
      <c r="A20492" s="6" t="str">
        <f>"AC068448.1"</f>
        <v>AC068448.1</v>
      </c>
      <c r="B20492" s="6" t="s">
        <v>1</v>
      </c>
      <c r="C20492" s="6" t="s">
        <v>1</v>
      </c>
    </row>
    <row r="20493" spans="1:3" s="8" customFormat="1" x14ac:dyDescent="0.2">
      <c r="A20493" s="6" t="str">
        <f>"DNAJC27"</f>
        <v>DNAJC27</v>
      </c>
      <c r="B20493" s="6" t="s">
        <v>1</v>
      </c>
      <c r="C20493" s="6" t="s">
        <v>1</v>
      </c>
    </row>
    <row r="20494" spans="1:3" s="8" customFormat="1" x14ac:dyDescent="0.2">
      <c r="A20494" s="6" t="str">
        <f>"MAFG-DT"</f>
        <v>MAFG-DT</v>
      </c>
      <c r="B20494" s="6" t="s">
        <v>1</v>
      </c>
      <c r="C20494" s="6" t="s">
        <v>1</v>
      </c>
    </row>
    <row r="20495" spans="1:3" s="8" customFormat="1" x14ac:dyDescent="0.2">
      <c r="A20495" s="6" t="str">
        <f>"TMEM126A"</f>
        <v>TMEM126A</v>
      </c>
      <c r="B20495" s="6" t="s">
        <v>1</v>
      </c>
      <c r="C20495" s="6" t="s">
        <v>1</v>
      </c>
    </row>
    <row r="20496" spans="1:3" s="8" customFormat="1" x14ac:dyDescent="0.2">
      <c r="A20496" s="6" t="str">
        <f>"AC022007.1"</f>
        <v>AC022007.1</v>
      </c>
      <c r="B20496" s="6" t="s">
        <v>1</v>
      </c>
      <c r="C20496" s="6" t="s">
        <v>1</v>
      </c>
    </row>
    <row r="20497" spans="1:3" s="8" customFormat="1" x14ac:dyDescent="0.2">
      <c r="A20497" s="6" t="str">
        <f>"NEK3"</f>
        <v>NEK3</v>
      </c>
      <c r="B20497" s="6" t="s">
        <v>1</v>
      </c>
      <c r="C20497" s="6" t="s">
        <v>1</v>
      </c>
    </row>
    <row r="20498" spans="1:3" s="8" customFormat="1" x14ac:dyDescent="0.2">
      <c r="A20498" s="6" t="str">
        <f>"POU6F1"</f>
        <v>POU6F1</v>
      </c>
      <c r="B20498" s="6" t="s">
        <v>1</v>
      </c>
      <c r="C20498" s="6" t="s">
        <v>1</v>
      </c>
    </row>
    <row r="20499" spans="1:3" s="8" customFormat="1" x14ac:dyDescent="0.2">
      <c r="A20499" s="6" t="str">
        <f>"VGLL1"</f>
        <v>VGLL1</v>
      </c>
      <c r="B20499" s="6" t="s">
        <v>1</v>
      </c>
      <c r="C20499" s="6" t="s">
        <v>1</v>
      </c>
    </row>
    <row r="20500" spans="1:3" s="8" customFormat="1" x14ac:dyDescent="0.2">
      <c r="A20500" s="6" t="str">
        <f>"ZSWIM5"</f>
        <v>ZSWIM5</v>
      </c>
      <c r="B20500" s="6" t="s">
        <v>1</v>
      </c>
      <c r="C20500" s="6" t="s">
        <v>1</v>
      </c>
    </row>
    <row r="20501" spans="1:3" s="8" customFormat="1" x14ac:dyDescent="0.2">
      <c r="A20501" s="6" t="str">
        <f>"LIAS"</f>
        <v>LIAS</v>
      </c>
      <c r="B20501" s="6" t="s">
        <v>1</v>
      </c>
      <c r="C20501" s="6" t="s">
        <v>1</v>
      </c>
    </row>
    <row r="20502" spans="1:3" s="8" customFormat="1" x14ac:dyDescent="0.2">
      <c r="A20502" s="6" t="str">
        <f>"BTBD11"</f>
        <v>BTBD11</v>
      </c>
      <c r="B20502" s="6" t="s">
        <v>1</v>
      </c>
      <c r="C20502" s="6" t="s">
        <v>1</v>
      </c>
    </row>
    <row r="20503" spans="1:3" s="8" customFormat="1" x14ac:dyDescent="0.2">
      <c r="A20503" s="6" t="str">
        <f>"MCEMP1"</f>
        <v>MCEMP1</v>
      </c>
      <c r="B20503" s="6" t="s">
        <v>1</v>
      </c>
      <c r="C20503" s="6" t="s">
        <v>1</v>
      </c>
    </row>
    <row r="20504" spans="1:3" s="8" customFormat="1" x14ac:dyDescent="0.2">
      <c r="A20504" s="6" t="str">
        <f>"CENATAC"</f>
        <v>CENATAC</v>
      </c>
      <c r="B20504" s="6" t="s">
        <v>1</v>
      </c>
      <c r="C20504" s="6" t="s">
        <v>1</v>
      </c>
    </row>
    <row r="20505" spans="1:3" s="8" customFormat="1" x14ac:dyDescent="0.2">
      <c r="A20505" s="6" t="str">
        <f>"RAD51D"</f>
        <v>RAD51D</v>
      </c>
      <c r="B20505" s="6" t="s">
        <v>1</v>
      </c>
      <c r="C20505" s="6" t="s">
        <v>1</v>
      </c>
    </row>
    <row r="20506" spans="1:3" s="8" customFormat="1" x14ac:dyDescent="0.2">
      <c r="A20506" s="6" t="str">
        <f>"EMC9"</f>
        <v>EMC9</v>
      </c>
      <c r="B20506" s="6" t="s">
        <v>1</v>
      </c>
      <c r="C20506" s="6" t="s">
        <v>1</v>
      </c>
    </row>
    <row r="20507" spans="1:3" s="8" customFormat="1" x14ac:dyDescent="0.2">
      <c r="A20507" s="6" t="str">
        <f>"MLKL"</f>
        <v>MLKL</v>
      </c>
      <c r="B20507" s="6" t="s">
        <v>1</v>
      </c>
      <c r="C20507" s="6" t="s">
        <v>1</v>
      </c>
    </row>
    <row r="20508" spans="1:3" s="8" customFormat="1" x14ac:dyDescent="0.2">
      <c r="A20508" s="6" t="str">
        <f>"EXD3"</f>
        <v>EXD3</v>
      </c>
      <c r="B20508" s="6" t="s">
        <v>1</v>
      </c>
      <c r="C20508" s="6" t="s">
        <v>1</v>
      </c>
    </row>
    <row r="20509" spans="1:3" s="8" customFormat="1" x14ac:dyDescent="0.2">
      <c r="A20509" s="6" t="str">
        <f>"AQP4-AS1"</f>
        <v>AQP4-AS1</v>
      </c>
      <c r="B20509" s="6" t="s">
        <v>1</v>
      </c>
      <c r="C20509" s="6" t="s">
        <v>1</v>
      </c>
    </row>
    <row r="20510" spans="1:3" s="8" customFormat="1" x14ac:dyDescent="0.2">
      <c r="A20510" s="6" t="str">
        <f>"EXOC3-AS1"</f>
        <v>EXOC3-AS1</v>
      </c>
      <c r="B20510" s="6" t="s">
        <v>1</v>
      </c>
      <c r="C20510" s="6" t="s">
        <v>1</v>
      </c>
    </row>
    <row r="20511" spans="1:3" s="8" customFormat="1" x14ac:dyDescent="0.2">
      <c r="A20511" s="6" t="str">
        <f>"AL353660.1"</f>
        <v>AL353660.1</v>
      </c>
      <c r="B20511" s="6" t="s">
        <v>1</v>
      </c>
      <c r="C20511" s="6" t="s">
        <v>1</v>
      </c>
    </row>
    <row r="20512" spans="1:3" s="8" customFormat="1" x14ac:dyDescent="0.2">
      <c r="A20512" s="6" t="str">
        <f>"LONRF2"</f>
        <v>LONRF2</v>
      </c>
      <c r="B20512" s="6" t="s">
        <v>1</v>
      </c>
      <c r="C20512" s="6" t="s">
        <v>1</v>
      </c>
    </row>
    <row r="20513" spans="1:3" s="8" customFormat="1" x14ac:dyDescent="0.2">
      <c r="A20513" s="6" t="str">
        <f>"SLC25A51"</f>
        <v>SLC25A51</v>
      </c>
      <c r="B20513" s="6" t="s">
        <v>1</v>
      </c>
      <c r="C20513" s="6" t="s">
        <v>1</v>
      </c>
    </row>
    <row r="20514" spans="1:3" s="8" customFormat="1" x14ac:dyDescent="0.2">
      <c r="A20514" s="6" t="str">
        <f>"GLI2"</f>
        <v>GLI2</v>
      </c>
      <c r="B20514" s="6" t="s">
        <v>1</v>
      </c>
      <c r="C20514" s="6" t="s">
        <v>1</v>
      </c>
    </row>
    <row r="20515" spans="1:3" s="8" customFormat="1" x14ac:dyDescent="0.2">
      <c r="A20515" s="6" t="str">
        <f>"DOCK11"</f>
        <v>DOCK11</v>
      </c>
      <c r="B20515" s="6" t="s">
        <v>1</v>
      </c>
      <c r="C20515" s="6" t="s">
        <v>1</v>
      </c>
    </row>
    <row r="20516" spans="1:3" s="8" customFormat="1" x14ac:dyDescent="0.2">
      <c r="A20516" s="6" t="str">
        <f>"MCIDAS"</f>
        <v>MCIDAS</v>
      </c>
      <c r="B20516" s="6" t="s">
        <v>1</v>
      </c>
      <c r="C20516" s="6" t="s">
        <v>1</v>
      </c>
    </row>
    <row r="20517" spans="1:3" s="8" customFormat="1" x14ac:dyDescent="0.2">
      <c r="A20517" s="6" t="str">
        <f>"ZSWIM9"</f>
        <v>ZSWIM9</v>
      </c>
      <c r="B20517" s="6" t="s">
        <v>1</v>
      </c>
      <c r="C20517" s="6" t="s">
        <v>1</v>
      </c>
    </row>
    <row r="20518" spans="1:3" s="8" customFormat="1" x14ac:dyDescent="0.2">
      <c r="A20518" s="6" t="str">
        <f>"FANCA"</f>
        <v>FANCA</v>
      </c>
      <c r="B20518" s="6" t="s">
        <v>1</v>
      </c>
      <c r="C20518" s="6" t="s">
        <v>1</v>
      </c>
    </row>
    <row r="20519" spans="1:3" s="8" customFormat="1" x14ac:dyDescent="0.2">
      <c r="A20519" s="6" t="str">
        <f>"B4GAT1"</f>
        <v>B4GAT1</v>
      </c>
      <c r="B20519" s="6" t="s">
        <v>1</v>
      </c>
      <c r="C20519" s="6" t="s">
        <v>1</v>
      </c>
    </row>
    <row r="20520" spans="1:3" s="8" customFormat="1" x14ac:dyDescent="0.2">
      <c r="A20520" s="6" t="str">
        <f>"CECR7"</f>
        <v>CECR7</v>
      </c>
      <c r="B20520" s="6" t="s">
        <v>1</v>
      </c>
      <c r="C20520" s="6" t="s">
        <v>1</v>
      </c>
    </row>
    <row r="20521" spans="1:3" s="8" customFormat="1" x14ac:dyDescent="0.2">
      <c r="A20521" s="6" t="str">
        <f>"ZNF585A"</f>
        <v>ZNF585A</v>
      </c>
      <c r="B20521" s="6" t="s">
        <v>1</v>
      </c>
      <c r="C20521" s="6" t="s">
        <v>1</v>
      </c>
    </row>
    <row r="20522" spans="1:3" s="8" customFormat="1" x14ac:dyDescent="0.2">
      <c r="A20522" s="6" t="str">
        <f>"P3H3"</f>
        <v>P3H3</v>
      </c>
      <c r="B20522" s="6" t="s">
        <v>1</v>
      </c>
      <c r="C20522" s="6" t="s">
        <v>1</v>
      </c>
    </row>
    <row r="20523" spans="1:3" s="8" customFormat="1" x14ac:dyDescent="0.2">
      <c r="A20523" s="6" t="str">
        <f>"ALG1L"</f>
        <v>ALG1L</v>
      </c>
      <c r="B20523" s="6" t="s">
        <v>1</v>
      </c>
      <c r="C20523" s="6" t="s">
        <v>1</v>
      </c>
    </row>
    <row r="20524" spans="1:3" s="8" customFormat="1" x14ac:dyDescent="0.2">
      <c r="A20524" s="6" t="str">
        <f>"AC013470.2"</f>
        <v>AC013470.2</v>
      </c>
      <c r="B20524" s="6" t="s">
        <v>1</v>
      </c>
      <c r="C20524" s="6" t="s">
        <v>1</v>
      </c>
    </row>
    <row r="20525" spans="1:3" s="8" customFormat="1" x14ac:dyDescent="0.2">
      <c r="A20525" s="6" t="str">
        <f>"NOS1AP"</f>
        <v>NOS1AP</v>
      </c>
      <c r="B20525" s="6" t="s">
        <v>1</v>
      </c>
      <c r="C20525" s="6" t="s">
        <v>1</v>
      </c>
    </row>
    <row r="20526" spans="1:3" s="8" customFormat="1" x14ac:dyDescent="0.2">
      <c r="A20526" s="6" t="str">
        <f>"C2orf42"</f>
        <v>C2orf42</v>
      </c>
      <c r="B20526" s="6" t="s">
        <v>1</v>
      </c>
      <c r="C20526" s="6" t="s">
        <v>1</v>
      </c>
    </row>
    <row r="20527" spans="1:3" s="8" customFormat="1" x14ac:dyDescent="0.2">
      <c r="A20527" s="6" t="str">
        <f>"BATF"</f>
        <v>BATF</v>
      </c>
      <c r="B20527" s="6" t="s">
        <v>1</v>
      </c>
      <c r="C20527" s="6" t="s">
        <v>1</v>
      </c>
    </row>
    <row r="20528" spans="1:3" s="8" customFormat="1" x14ac:dyDescent="0.2">
      <c r="A20528" s="6" t="str">
        <f>"GLT1D1"</f>
        <v>GLT1D1</v>
      </c>
      <c r="B20528" s="6" t="s">
        <v>1</v>
      </c>
      <c r="C20528" s="6" t="s">
        <v>1</v>
      </c>
    </row>
    <row r="20529" spans="1:3" s="8" customFormat="1" x14ac:dyDescent="0.2">
      <c r="A20529" s="6" t="str">
        <f>"ENTPD8"</f>
        <v>ENTPD8</v>
      </c>
      <c r="B20529" s="6" t="s">
        <v>1</v>
      </c>
      <c r="C20529" s="6" t="s">
        <v>1</v>
      </c>
    </row>
    <row r="20530" spans="1:3" s="8" customFormat="1" x14ac:dyDescent="0.2">
      <c r="A20530" s="6" t="str">
        <f>"ZWINT"</f>
        <v>ZWINT</v>
      </c>
      <c r="B20530" s="6" t="s">
        <v>1</v>
      </c>
      <c r="C20530" s="6" t="s">
        <v>1</v>
      </c>
    </row>
    <row r="20531" spans="1:3" s="8" customFormat="1" x14ac:dyDescent="0.2">
      <c r="A20531" s="6" t="str">
        <f>"AC023157.2"</f>
        <v>AC023157.2</v>
      </c>
      <c r="B20531" s="6" t="s">
        <v>1</v>
      </c>
      <c r="C20531" s="6" t="s">
        <v>1</v>
      </c>
    </row>
    <row r="20532" spans="1:3" s="8" customFormat="1" x14ac:dyDescent="0.2">
      <c r="A20532" s="6" t="str">
        <f>"GALK1"</f>
        <v>GALK1</v>
      </c>
      <c r="B20532" s="6" t="s">
        <v>1</v>
      </c>
      <c r="C20532" s="6" t="s">
        <v>1</v>
      </c>
    </row>
    <row r="20533" spans="1:3" s="8" customFormat="1" x14ac:dyDescent="0.2">
      <c r="A20533" s="6" t="str">
        <f>"MAILR"</f>
        <v>MAILR</v>
      </c>
      <c r="B20533" s="6" t="s">
        <v>1</v>
      </c>
      <c r="C20533" s="6" t="s">
        <v>1</v>
      </c>
    </row>
    <row r="20534" spans="1:3" s="8" customFormat="1" x14ac:dyDescent="0.2">
      <c r="A20534" s="6" t="str">
        <f>"E2F8"</f>
        <v>E2F8</v>
      </c>
      <c r="B20534" s="6" t="s">
        <v>1</v>
      </c>
      <c r="C20534" s="6" t="s">
        <v>1</v>
      </c>
    </row>
    <row r="20535" spans="1:3" s="8" customFormat="1" x14ac:dyDescent="0.2">
      <c r="A20535" s="6" t="str">
        <f>"MYEF2"</f>
        <v>MYEF2</v>
      </c>
      <c r="B20535" s="6" t="s">
        <v>1</v>
      </c>
      <c r="C20535" s="6" t="s">
        <v>1</v>
      </c>
    </row>
    <row r="20536" spans="1:3" s="8" customFormat="1" x14ac:dyDescent="0.2">
      <c r="A20536" s="6" t="str">
        <f>"RNF128"</f>
        <v>RNF128</v>
      </c>
      <c r="B20536" s="6" t="s">
        <v>1</v>
      </c>
      <c r="C20536" s="6" t="s">
        <v>1</v>
      </c>
    </row>
    <row r="20537" spans="1:3" s="8" customFormat="1" x14ac:dyDescent="0.2">
      <c r="A20537" s="6" t="str">
        <f>"CYP2R1"</f>
        <v>CYP2R1</v>
      </c>
      <c r="B20537" s="6" t="s">
        <v>1</v>
      </c>
      <c r="C20537" s="6" t="s">
        <v>1</v>
      </c>
    </row>
    <row r="20538" spans="1:3" s="8" customFormat="1" x14ac:dyDescent="0.2">
      <c r="A20538" s="6" t="str">
        <f>"ADRB2"</f>
        <v>ADRB2</v>
      </c>
      <c r="B20538" s="6" t="s">
        <v>1</v>
      </c>
      <c r="C20538" s="6" t="s">
        <v>1</v>
      </c>
    </row>
    <row r="20539" spans="1:3" s="8" customFormat="1" x14ac:dyDescent="0.2">
      <c r="A20539" s="6" t="str">
        <f>"TBC1D12"</f>
        <v>TBC1D12</v>
      </c>
      <c r="B20539" s="6" t="s">
        <v>1</v>
      </c>
      <c r="C20539" s="6" t="s">
        <v>1</v>
      </c>
    </row>
    <row r="20540" spans="1:3" s="8" customFormat="1" x14ac:dyDescent="0.2">
      <c r="A20540" s="6" t="str">
        <f>"PTP4A3"</f>
        <v>PTP4A3</v>
      </c>
      <c r="B20540" s="6" t="s">
        <v>1</v>
      </c>
      <c r="C20540" s="6" t="s">
        <v>1</v>
      </c>
    </row>
    <row r="20541" spans="1:3" s="8" customFormat="1" x14ac:dyDescent="0.2">
      <c r="A20541" s="6" t="str">
        <f>"CHRNB1"</f>
        <v>CHRNB1</v>
      </c>
      <c r="B20541" s="6" t="s">
        <v>1</v>
      </c>
      <c r="C20541" s="6" t="s">
        <v>1</v>
      </c>
    </row>
    <row r="20542" spans="1:3" s="8" customFormat="1" x14ac:dyDescent="0.2">
      <c r="A20542" s="6" t="str">
        <f>"LINC02210"</f>
        <v>LINC02210</v>
      </c>
      <c r="B20542" s="6" t="s">
        <v>1</v>
      </c>
      <c r="C20542" s="6" t="s">
        <v>1</v>
      </c>
    </row>
    <row r="20543" spans="1:3" s="8" customFormat="1" x14ac:dyDescent="0.2">
      <c r="A20543" s="6" t="str">
        <f>"KCND3"</f>
        <v>KCND3</v>
      </c>
      <c r="B20543" s="6" t="s">
        <v>1</v>
      </c>
      <c r="C20543" s="6" t="s">
        <v>1</v>
      </c>
    </row>
    <row r="20544" spans="1:3" s="8" customFormat="1" x14ac:dyDescent="0.2">
      <c r="A20544" s="6" t="str">
        <f>"FLI1"</f>
        <v>FLI1</v>
      </c>
      <c r="B20544" s="6" t="s">
        <v>1</v>
      </c>
      <c r="C20544" s="6" t="s">
        <v>1</v>
      </c>
    </row>
    <row r="20545" spans="1:3" s="8" customFormat="1" x14ac:dyDescent="0.2">
      <c r="A20545" s="6" t="str">
        <f>"MZF1-AS1"</f>
        <v>MZF1-AS1</v>
      </c>
      <c r="B20545" s="6" t="s">
        <v>1</v>
      </c>
      <c r="C20545" s="6" t="s">
        <v>1</v>
      </c>
    </row>
    <row r="20546" spans="1:3" s="8" customFormat="1" x14ac:dyDescent="0.2">
      <c r="A20546" s="6" t="str">
        <f>"KLHL25"</f>
        <v>KLHL25</v>
      </c>
      <c r="B20546" s="6" t="s">
        <v>1</v>
      </c>
      <c r="C20546" s="6" t="s">
        <v>1</v>
      </c>
    </row>
    <row r="20547" spans="1:3" s="8" customFormat="1" x14ac:dyDescent="0.2">
      <c r="A20547" s="6" t="str">
        <f>"ZNF595"</f>
        <v>ZNF595</v>
      </c>
      <c r="B20547" s="6" t="s">
        <v>1</v>
      </c>
      <c r="C20547" s="6" t="s">
        <v>1</v>
      </c>
    </row>
    <row r="20548" spans="1:3" s="8" customFormat="1" x14ac:dyDescent="0.2">
      <c r="A20548" s="6" t="str">
        <f>"SLC2A11"</f>
        <v>SLC2A11</v>
      </c>
      <c r="B20548" s="6" t="s">
        <v>1</v>
      </c>
      <c r="C20548" s="6" t="s">
        <v>1</v>
      </c>
    </row>
    <row r="20549" spans="1:3" s="8" customFormat="1" x14ac:dyDescent="0.2">
      <c r="A20549" s="6" t="str">
        <f>"MIS18A"</f>
        <v>MIS18A</v>
      </c>
      <c r="B20549" s="6" t="s">
        <v>1</v>
      </c>
      <c r="C20549" s="6" t="s">
        <v>1</v>
      </c>
    </row>
    <row r="20550" spans="1:3" s="8" customFormat="1" x14ac:dyDescent="0.2">
      <c r="A20550" s="6" t="str">
        <f>"FADS1"</f>
        <v>FADS1</v>
      </c>
      <c r="B20550" s="6" t="s">
        <v>1</v>
      </c>
      <c r="C20550" s="6" t="s">
        <v>1</v>
      </c>
    </row>
    <row r="20551" spans="1:3" s="8" customFormat="1" x14ac:dyDescent="0.2">
      <c r="A20551" s="6" t="str">
        <f>"DNMBP-AS1"</f>
        <v>DNMBP-AS1</v>
      </c>
      <c r="B20551" s="6" t="s">
        <v>1</v>
      </c>
      <c r="C20551" s="6" t="s">
        <v>1</v>
      </c>
    </row>
    <row r="20552" spans="1:3" s="8" customFormat="1" x14ac:dyDescent="0.2">
      <c r="A20552" s="6" t="str">
        <f>"FANCD2"</f>
        <v>FANCD2</v>
      </c>
      <c r="B20552" s="6" t="s">
        <v>1</v>
      </c>
      <c r="C20552" s="6" t="s">
        <v>1</v>
      </c>
    </row>
    <row r="20553" spans="1:3" s="8" customFormat="1" x14ac:dyDescent="0.2">
      <c r="A20553" s="6" t="str">
        <f>"PHOSPHO1"</f>
        <v>PHOSPHO1</v>
      </c>
      <c r="B20553" s="6" t="s">
        <v>1</v>
      </c>
      <c r="C20553" s="6" t="s">
        <v>1</v>
      </c>
    </row>
    <row r="20554" spans="1:3" s="8" customFormat="1" x14ac:dyDescent="0.2">
      <c r="A20554" s="6" t="str">
        <f>"SLC29A2"</f>
        <v>SLC29A2</v>
      </c>
      <c r="B20554" s="6" t="s">
        <v>1</v>
      </c>
      <c r="C20554" s="6" t="s">
        <v>1</v>
      </c>
    </row>
    <row r="20555" spans="1:3" s="8" customFormat="1" x14ac:dyDescent="0.2">
      <c r="A20555" s="6" t="str">
        <f>"AP000944.5"</f>
        <v>AP000944.5</v>
      </c>
      <c r="B20555" s="6" t="s">
        <v>1</v>
      </c>
      <c r="C20555" s="6" t="s">
        <v>1</v>
      </c>
    </row>
    <row r="20556" spans="1:3" s="8" customFormat="1" x14ac:dyDescent="0.2">
      <c r="A20556" s="6" t="str">
        <f>"CRISPLD2"</f>
        <v>CRISPLD2</v>
      </c>
      <c r="B20556" s="6" t="s">
        <v>1</v>
      </c>
      <c r="C20556" s="6" t="s">
        <v>1</v>
      </c>
    </row>
    <row r="20557" spans="1:3" s="8" customFormat="1" x14ac:dyDescent="0.2">
      <c r="A20557" s="6" t="str">
        <f>"ASPHD2"</f>
        <v>ASPHD2</v>
      </c>
      <c r="B20557" s="6" t="s">
        <v>1</v>
      </c>
      <c r="C20557" s="6" t="s">
        <v>1</v>
      </c>
    </row>
    <row r="20558" spans="1:3" s="8" customFormat="1" x14ac:dyDescent="0.2">
      <c r="A20558" s="6" t="str">
        <f>"CARD14"</f>
        <v>CARD14</v>
      </c>
      <c r="B20558" s="6" t="s">
        <v>1</v>
      </c>
      <c r="C20558" s="6" t="s">
        <v>1</v>
      </c>
    </row>
    <row r="20559" spans="1:3" s="8" customFormat="1" x14ac:dyDescent="0.2">
      <c r="A20559" s="6" t="str">
        <f>"TBC1D31"</f>
        <v>TBC1D31</v>
      </c>
      <c r="B20559" s="6" t="s">
        <v>1</v>
      </c>
      <c r="C20559" s="6" t="s">
        <v>1</v>
      </c>
    </row>
    <row r="20560" spans="1:3" s="8" customFormat="1" x14ac:dyDescent="0.2">
      <c r="A20560" s="6" t="str">
        <f>"MCUB"</f>
        <v>MCUB</v>
      </c>
      <c r="B20560" s="6" t="s">
        <v>1</v>
      </c>
      <c r="C20560" s="6" t="s">
        <v>1</v>
      </c>
    </row>
    <row r="20561" spans="1:3" s="8" customFormat="1" x14ac:dyDescent="0.2">
      <c r="A20561" s="6" t="str">
        <f>"MAIP1"</f>
        <v>MAIP1</v>
      </c>
      <c r="B20561" s="6" t="s">
        <v>1</v>
      </c>
      <c r="C20561" s="6" t="s">
        <v>1</v>
      </c>
    </row>
    <row r="20562" spans="1:3" s="8" customFormat="1" x14ac:dyDescent="0.2">
      <c r="A20562" s="6" t="str">
        <f>"ZWILCH"</f>
        <v>ZWILCH</v>
      </c>
      <c r="B20562" s="6" t="s">
        <v>1</v>
      </c>
      <c r="C20562" s="6" t="s">
        <v>1</v>
      </c>
    </row>
    <row r="20563" spans="1:3" s="8" customFormat="1" x14ac:dyDescent="0.2">
      <c r="A20563" s="6" t="str">
        <f>"KLHL13"</f>
        <v>KLHL13</v>
      </c>
      <c r="B20563" s="6" t="s">
        <v>1</v>
      </c>
      <c r="C20563" s="6" t="s">
        <v>1</v>
      </c>
    </row>
    <row r="20564" spans="1:3" s="8" customFormat="1" x14ac:dyDescent="0.2">
      <c r="A20564" s="6" t="str">
        <f>"AL133320.2"</f>
        <v>AL133320.2</v>
      </c>
      <c r="B20564" s="6" t="s">
        <v>1</v>
      </c>
      <c r="C20564" s="6" t="s">
        <v>1</v>
      </c>
    </row>
    <row r="20565" spans="1:3" s="8" customFormat="1" x14ac:dyDescent="0.2">
      <c r="A20565" s="6" t="str">
        <f>"IFITM10"</f>
        <v>IFITM10</v>
      </c>
      <c r="B20565" s="6" t="s">
        <v>1</v>
      </c>
      <c r="C20565" s="6" t="s">
        <v>1</v>
      </c>
    </row>
    <row r="20566" spans="1:3" s="8" customFormat="1" x14ac:dyDescent="0.2">
      <c r="A20566" s="6" t="str">
        <f>"LINC01123"</f>
        <v>LINC01123</v>
      </c>
      <c r="B20566" s="6" t="s">
        <v>1</v>
      </c>
      <c r="C20566" s="6" t="s">
        <v>1</v>
      </c>
    </row>
    <row r="20567" spans="1:3" s="8" customFormat="1" x14ac:dyDescent="0.2">
      <c r="A20567" s="6" t="str">
        <f>"FASTKD1"</f>
        <v>FASTKD1</v>
      </c>
      <c r="B20567" s="6" t="s">
        <v>1</v>
      </c>
      <c r="C20567" s="6" t="s">
        <v>1</v>
      </c>
    </row>
    <row r="20568" spans="1:3" s="8" customFormat="1" x14ac:dyDescent="0.2">
      <c r="A20568" s="6" t="str">
        <f>"DECR2"</f>
        <v>DECR2</v>
      </c>
      <c r="B20568" s="6" t="s">
        <v>1</v>
      </c>
      <c r="C20568" s="6" t="s">
        <v>1</v>
      </c>
    </row>
    <row r="20569" spans="1:3" s="8" customFormat="1" x14ac:dyDescent="0.2">
      <c r="A20569" s="6" t="str">
        <f>"CDT1"</f>
        <v>CDT1</v>
      </c>
      <c r="B20569" s="6" t="s">
        <v>1</v>
      </c>
      <c r="C20569" s="6" t="s">
        <v>1</v>
      </c>
    </row>
    <row r="20570" spans="1:3" s="8" customFormat="1" x14ac:dyDescent="0.2">
      <c r="A20570" s="6" t="str">
        <f>"AC108488.3"</f>
        <v>AC108488.3</v>
      </c>
      <c r="B20570" s="6" t="s">
        <v>1</v>
      </c>
      <c r="C20570" s="6" t="s">
        <v>1</v>
      </c>
    </row>
    <row r="20571" spans="1:3" s="8" customFormat="1" x14ac:dyDescent="0.2">
      <c r="A20571" s="6" t="str">
        <f>"FMC1"</f>
        <v>FMC1</v>
      </c>
      <c r="B20571" s="6" t="s">
        <v>1</v>
      </c>
      <c r="C20571" s="6" t="s">
        <v>1</v>
      </c>
    </row>
    <row r="20572" spans="1:3" s="8" customFormat="1" x14ac:dyDescent="0.2">
      <c r="A20572" s="6" t="str">
        <f>"LINC00909"</f>
        <v>LINC00909</v>
      </c>
      <c r="B20572" s="6" t="s">
        <v>1</v>
      </c>
      <c r="C20572" s="6" t="s">
        <v>1</v>
      </c>
    </row>
    <row r="20573" spans="1:3" s="8" customFormat="1" x14ac:dyDescent="0.2">
      <c r="A20573" s="6" t="str">
        <f>"LRCH1"</f>
        <v>LRCH1</v>
      </c>
      <c r="B20573" s="6" t="s">
        <v>1</v>
      </c>
      <c r="C20573" s="6" t="s">
        <v>1</v>
      </c>
    </row>
    <row r="20574" spans="1:3" s="8" customFormat="1" x14ac:dyDescent="0.2">
      <c r="A20574" s="6" t="str">
        <f>"SLX4"</f>
        <v>SLX4</v>
      </c>
      <c r="B20574" s="6" t="s">
        <v>1</v>
      </c>
      <c r="C20574" s="6" t="s">
        <v>1</v>
      </c>
    </row>
    <row r="20575" spans="1:3" s="8" customFormat="1" x14ac:dyDescent="0.2">
      <c r="A20575" s="6" t="str">
        <f>"PAG1"</f>
        <v>PAG1</v>
      </c>
      <c r="B20575" s="6" t="s">
        <v>1</v>
      </c>
      <c r="C20575" s="6" t="s">
        <v>1</v>
      </c>
    </row>
    <row r="20576" spans="1:3" s="8" customFormat="1" x14ac:dyDescent="0.2">
      <c r="A20576" s="6" t="str">
        <f>"BRF2"</f>
        <v>BRF2</v>
      </c>
      <c r="B20576" s="6" t="s">
        <v>1</v>
      </c>
      <c r="C20576" s="6" t="s">
        <v>1</v>
      </c>
    </row>
    <row r="20577" spans="1:3" s="8" customFormat="1" x14ac:dyDescent="0.2">
      <c r="A20577" s="6" t="str">
        <f>"C20orf27"</f>
        <v>C20orf27</v>
      </c>
      <c r="B20577" s="6" t="s">
        <v>1</v>
      </c>
      <c r="C20577" s="6" t="s">
        <v>1</v>
      </c>
    </row>
    <row r="20578" spans="1:3" s="8" customFormat="1" x14ac:dyDescent="0.2">
      <c r="A20578" s="6" t="str">
        <f>"AL135925.1"</f>
        <v>AL135925.1</v>
      </c>
      <c r="B20578" s="6" t="s">
        <v>1</v>
      </c>
      <c r="C20578" s="6" t="s">
        <v>1</v>
      </c>
    </row>
    <row r="20579" spans="1:3" s="8" customFormat="1" x14ac:dyDescent="0.2">
      <c r="A20579" s="6" t="str">
        <f>"BATF2"</f>
        <v>BATF2</v>
      </c>
      <c r="B20579" s="6" t="s">
        <v>1</v>
      </c>
      <c r="C20579" s="6" t="s">
        <v>1</v>
      </c>
    </row>
    <row r="20580" spans="1:3" s="8" customFormat="1" x14ac:dyDescent="0.2">
      <c r="A20580" s="6" t="str">
        <f>"LMCD1"</f>
        <v>LMCD1</v>
      </c>
      <c r="B20580" s="6" t="s">
        <v>1</v>
      </c>
      <c r="C20580" s="6" t="s">
        <v>1</v>
      </c>
    </row>
    <row r="20581" spans="1:3" s="8" customFormat="1" x14ac:dyDescent="0.2">
      <c r="A20581" s="6" t="str">
        <f>"TMEM140"</f>
        <v>TMEM140</v>
      </c>
      <c r="B20581" s="6" t="s">
        <v>1</v>
      </c>
      <c r="C20581" s="6" t="s">
        <v>1</v>
      </c>
    </row>
    <row r="20582" spans="1:3" s="8" customFormat="1" x14ac:dyDescent="0.2">
      <c r="A20582" s="6" t="str">
        <f>"AP000812.4"</f>
        <v>AP000812.4</v>
      </c>
      <c r="B20582" s="6" t="s">
        <v>1</v>
      </c>
      <c r="C20582" s="6" t="s">
        <v>1</v>
      </c>
    </row>
    <row r="20583" spans="1:3" s="8" customFormat="1" x14ac:dyDescent="0.2">
      <c r="A20583" s="6" t="str">
        <f>"ALKBH6"</f>
        <v>ALKBH6</v>
      </c>
      <c r="B20583" s="6" t="s">
        <v>1</v>
      </c>
      <c r="C20583" s="6" t="s">
        <v>1</v>
      </c>
    </row>
    <row r="20584" spans="1:3" s="8" customFormat="1" x14ac:dyDescent="0.2">
      <c r="A20584" s="6" t="str">
        <f>"AC087473.1"</f>
        <v>AC087473.1</v>
      </c>
      <c r="B20584" s="6" t="s">
        <v>1</v>
      </c>
      <c r="C20584" s="6" t="s">
        <v>1</v>
      </c>
    </row>
    <row r="20585" spans="1:3" s="8" customFormat="1" x14ac:dyDescent="0.2">
      <c r="A20585" s="6" t="str">
        <f>"LYPLAL1"</f>
        <v>LYPLAL1</v>
      </c>
      <c r="B20585" s="6" t="s">
        <v>1</v>
      </c>
      <c r="C20585" s="6" t="s">
        <v>1</v>
      </c>
    </row>
    <row r="20586" spans="1:3" s="8" customFormat="1" x14ac:dyDescent="0.2">
      <c r="A20586" s="6" t="str">
        <f>"C1S"</f>
        <v>C1S</v>
      </c>
      <c r="B20586" s="6" t="s">
        <v>1</v>
      </c>
      <c r="C20586" s="6" t="s">
        <v>1</v>
      </c>
    </row>
    <row r="20587" spans="1:3" s="8" customFormat="1" x14ac:dyDescent="0.2">
      <c r="A20587" s="6" t="str">
        <f>"TTLL6"</f>
        <v>TTLL6</v>
      </c>
      <c r="B20587" s="6" t="s">
        <v>1</v>
      </c>
      <c r="C20587" s="6" t="s">
        <v>1</v>
      </c>
    </row>
    <row r="20588" spans="1:3" s="8" customFormat="1" x14ac:dyDescent="0.2">
      <c r="A20588" s="6" t="str">
        <f>"DEFB1"</f>
        <v>DEFB1</v>
      </c>
      <c r="B20588" s="6" t="s">
        <v>1</v>
      </c>
      <c r="C20588" s="6" t="s">
        <v>1</v>
      </c>
    </row>
    <row r="20589" spans="1:3" s="8" customFormat="1" x14ac:dyDescent="0.2">
      <c r="A20589" s="6" t="str">
        <f>"P2RY13"</f>
        <v>P2RY13</v>
      </c>
      <c r="B20589" s="6" t="s">
        <v>1</v>
      </c>
      <c r="C20589" s="6" t="s">
        <v>1</v>
      </c>
    </row>
    <row r="20590" spans="1:3" s="8" customFormat="1" x14ac:dyDescent="0.2">
      <c r="A20590" s="6" t="str">
        <f>"OTULINL"</f>
        <v>OTULINL</v>
      </c>
      <c r="B20590" s="6" t="s">
        <v>1</v>
      </c>
      <c r="C20590" s="6" t="s">
        <v>1</v>
      </c>
    </row>
    <row r="20591" spans="1:3" s="8" customFormat="1" x14ac:dyDescent="0.2">
      <c r="A20591" s="6" t="str">
        <f>"CRYBB2P1"</f>
        <v>CRYBB2P1</v>
      </c>
      <c r="B20591" s="6" t="s">
        <v>1</v>
      </c>
      <c r="C20591" s="6" t="s">
        <v>1</v>
      </c>
    </row>
    <row r="20592" spans="1:3" s="8" customFormat="1" x14ac:dyDescent="0.2">
      <c r="A20592" s="6" t="str">
        <f>"ZC3H10"</f>
        <v>ZC3H10</v>
      </c>
      <c r="B20592" s="6" t="s">
        <v>1</v>
      </c>
      <c r="C20592" s="6" t="s">
        <v>1</v>
      </c>
    </row>
    <row r="20593" spans="1:3" s="8" customFormat="1" x14ac:dyDescent="0.2">
      <c r="A20593" s="6" t="str">
        <f>"IGHA1"</f>
        <v>IGHA1</v>
      </c>
      <c r="B20593" s="6" t="s">
        <v>1</v>
      </c>
      <c r="C20593" s="6" t="s">
        <v>1</v>
      </c>
    </row>
    <row r="20594" spans="1:3" s="8" customFormat="1" x14ac:dyDescent="0.2">
      <c r="A20594" s="6" t="str">
        <f>"N6AMT1"</f>
        <v>N6AMT1</v>
      </c>
      <c r="B20594" s="6" t="s">
        <v>1</v>
      </c>
      <c r="C20594" s="6" t="s">
        <v>1</v>
      </c>
    </row>
    <row r="20595" spans="1:3" s="8" customFormat="1" x14ac:dyDescent="0.2">
      <c r="A20595" s="6" t="str">
        <f>"TTC6"</f>
        <v>TTC6</v>
      </c>
      <c r="B20595" s="6" t="s">
        <v>1</v>
      </c>
      <c r="C20595" s="6" t="s">
        <v>1</v>
      </c>
    </row>
    <row r="20596" spans="1:3" s="8" customFormat="1" x14ac:dyDescent="0.2">
      <c r="A20596" s="6" t="str">
        <f>"MAD2L1"</f>
        <v>MAD2L1</v>
      </c>
      <c r="B20596" s="6" t="s">
        <v>1</v>
      </c>
      <c r="C20596" s="6" t="s">
        <v>1</v>
      </c>
    </row>
    <row r="20597" spans="1:3" s="8" customFormat="1" x14ac:dyDescent="0.2">
      <c r="A20597" s="6" t="str">
        <f>"ZNF611"</f>
        <v>ZNF611</v>
      </c>
      <c r="B20597" s="6" t="s">
        <v>1</v>
      </c>
      <c r="C20597" s="6" t="s">
        <v>1</v>
      </c>
    </row>
    <row r="20598" spans="1:3" s="8" customFormat="1" x14ac:dyDescent="0.2">
      <c r="A20598" s="6" t="str">
        <f>"N4BP2L1"</f>
        <v>N4BP2L1</v>
      </c>
      <c r="B20598" s="6" t="s">
        <v>1</v>
      </c>
      <c r="C20598" s="6" t="s">
        <v>1</v>
      </c>
    </row>
    <row r="20599" spans="1:3" s="8" customFormat="1" x14ac:dyDescent="0.2">
      <c r="A20599" s="6" t="str">
        <f>"NDUFAF7"</f>
        <v>NDUFAF7</v>
      </c>
      <c r="B20599" s="6" t="s">
        <v>1</v>
      </c>
      <c r="C20599" s="6" t="s">
        <v>1</v>
      </c>
    </row>
    <row r="20600" spans="1:3" s="8" customFormat="1" x14ac:dyDescent="0.2">
      <c r="A20600" s="6" t="str">
        <f>"GJB1"</f>
        <v>GJB1</v>
      </c>
      <c r="B20600" s="6" t="s">
        <v>1</v>
      </c>
      <c r="C20600" s="6" t="s">
        <v>1</v>
      </c>
    </row>
    <row r="20601" spans="1:3" s="8" customFormat="1" x14ac:dyDescent="0.2">
      <c r="A20601" s="6" t="str">
        <f>"TMEM143"</f>
        <v>TMEM143</v>
      </c>
      <c r="B20601" s="6" t="s">
        <v>1</v>
      </c>
      <c r="C20601" s="6" t="s">
        <v>1</v>
      </c>
    </row>
    <row r="20602" spans="1:3" s="8" customFormat="1" x14ac:dyDescent="0.2">
      <c r="A20602" s="6" t="str">
        <f>"CHST4"</f>
        <v>CHST4</v>
      </c>
      <c r="B20602" s="6" t="s">
        <v>1</v>
      </c>
      <c r="C20602" s="6" t="s">
        <v>1</v>
      </c>
    </row>
    <row r="20603" spans="1:3" s="8" customFormat="1" x14ac:dyDescent="0.2">
      <c r="A20603" s="6" t="str">
        <f>"HOMER1"</f>
        <v>HOMER1</v>
      </c>
      <c r="B20603" s="6" t="s">
        <v>1</v>
      </c>
      <c r="C20603" s="6" t="s">
        <v>1</v>
      </c>
    </row>
    <row r="20604" spans="1:3" s="8" customFormat="1" x14ac:dyDescent="0.2">
      <c r="A20604" s="6" t="str">
        <f>"GIPC2"</f>
        <v>GIPC2</v>
      </c>
      <c r="B20604" s="6" t="s">
        <v>1</v>
      </c>
      <c r="C20604" s="6" t="s">
        <v>1</v>
      </c>
    </row>
    <row r="20605" spans="1:3" s="8" customFormat="1" x14ac:dyDescent="0.2">
      <c r="A20605" s="6" t="str">
        <f>"RAD51C"</f>
        <v>RAD51C</v>
      </c>
      <c r="B20605" s="6" t="s">
        <v>1</v>
      </c>
      <c r="C20605" s="6" t="s">
        <v>1</v>
      </c>
    </row>
    <row r="20606" spans="1:3" s="8" customFormat="1" x14ac:dyDescent="0.2">
      <c r="A20606" s="6" t="str">
        <f>"AQP7"</f>
        <v>AQP7</v>
      </c>
      <c r="B20606" s="6" t="s">
        <v>1</v>
      </c>
      <c r="C20606" s="6" t="s">
        <v>1</v>
      </c>
    </row>
    <row r="20607" spans="1:3" s="8" customFormat="1" x14ac:dyDescent="0.2">
      <c r="A20607" s="6" t="str">
        <f>"IFI27L1"</f>
        <v>IFI27L1</v>
      </c>
      <c r="B20607" s="6" t="s">
        <v>1</v>
      </c>
      <c r="C20607" s="6" t="s">
        <v>1</v>
      </c>
    </row>
    <row r="20608" spans="1:3" s="8" customFormat="1" x14ac:dyDescent="0.2">
      <c r="A20608" s="6" t="str">
        <f>"ZSCAN30"</f>
        <v>ZSCAN30</v>
      </c>
      <c r="B20608" s="6" t="s">
        <v>1</v>
      </c>
      <c r="C20608" s="6" t="s">
        <v>1</v>
      </c>
    </row>
    <row r="20609" spans="1:3" s="8" customFormat="1" x14ac:dyDescent="0.2">
      <c r="A20609" s="6" t="str">
        <f>"CCNB1"</f>
        <v>CCNB1</v>
      </c>
      <c r="B20609" s="6" t="s">
        <v>1</v>
      </c>
      <c r="C20609" s="6" t="s">
        <v>1</v>
      </c>
    </row>
    <row r="20610" spans="1:3" s="8" customFormat="1" x14ac:dyDescent="0.2">
      <c r="A20610" s="6" t="str">
        <f>"NUTM2D"</f>
        <v>NUTM2D</v>
      </c>
      <c r="B20610" s="6" t="s">
        <v>1</v>
      </c>
      <c r="C20610" s="6" t="s">
        <v>1</v>
      </c>
    </row>
    <row r="20611" spans="1:3" s="8" customFormat="1" x14ac:dyDescent="0.2">
      <c r="A20611" s="6" t="str">
        <f>"NUMBL"</f>
        <v>NUMBL</v>
      </c>
      <c r="B20611" s="6" t="s">
        <v>1</v>
      </c>
      <c r="C20611" s="6" t="s">
        <v>1</v>
      </c>
    </row>
    <row r="20612" spans="1:3" s="8" customFormat="1" x14ac:dyDescent="0.2">
      <c r="A20612" s="6" t="str">
        <f>"MCEE"</f>
        <v>MCEE</v>
      </c>
      <c r="B20612" s="6" t="s">
        <v>1</v>
      </c>
      <c r="C20612" s="6" t="s">
        <v>1</v>
      </c>
    </row>
    <row r="20613" spans="1:3" s="8" customFormat="1" x14ac:dyDescent="0.2">
      <c r="A20613" s="6" t="str">
        <f>"INVS"</f>
        <v>INVS</v>
      </c>
      <c r="B20613" s="6" t="s">
        <v>1</v>
      </c>
      <c r="C20613" s="6" t="s">
        <v>1</v>
      </c>
    </row>
    <row r="20614" spans="1:3" s="8" customFormat="1" x14ac:dyDescent="0.2">
      <c r="A20614" s="6" t="str">
        <f>"CDR2L"</f>
        <v>CDR2L</v>
      </c>
      <c r="B20614" s="6" t="s">
        <v>1</v>
      </c>
      <c r="C20614" s="6" t="s">
        <v>1</v>
      </c>
    </row>
    <row r="20615" spans="1:3" s="8" customFormat="1" x14ac:dyDescent="0.2">
      <c r="A20615" s="6" t="str">
        <f>"LGALSL"</f>
        <v>LGALSL</v>
      </c>
      <c r="B20615" s="6" t="s">
        <v>1</v>
      </c>
      <c r="C20615" s="6" t="s">
        <v>1</v>
      </c>
    </row>
    <row r="20616" spans="1:3" s="8" customFormat="1" x14ac:dyDescent="0.2">
      <c r="A20616" s="6" t="str">
        <f>"LINC02035"</f>
        <v>LINC02035</v>
      </c>
      <c r="B20616" s="6" t="s">
        <v>1</v>
      </c>
      <c r="C20616" s="6" t="s">
        <v>1</v>
      </c>
    </row>
    <row r="20617" spans="1:3" s="8" customFormat="1" x14ac:dyDescent="0.2">
      <c r="A20617" s="6" t="str">
        <f>"NUFIP1"</f>
        <v>NUFIP1</v>
      </c>
      <c r="B20617" s="6" t="s">
        <v>1</v>
      </c>
      <c r="C20617" s="6" t="s">
        <v>1</v>
      </c>
    </row>
    <row r="20618" spans="1:3" s="8" customFormat="1" x14ac:dyDescent="0.2">
      <c r="A20618" s="6" t="str">
        <f>"PCSK6"</f>
        <v>PCSK6</v>
      </c>
      <c r="B20618" s="6" t="s">
        <v>1</v>
      </c>
      <c r="C20618" s="6" t="s">
        <v>1</v>
      </c>
    </row>
    <row r="20619" spans="1:3" s="8" customFormat="1" x14ac:dyDescent="0.2">
      <c r="A20619" s="6" t="str">
        <f>"MAGI2"</f>
        <v>MAGI2</v>
      </c>
      <c r="B20619" s="6" t="s">
        <v>1</v>
      </c>
      <c r="C20619" s="6" t="s">
        <v>1</v>
      </c>
    </row>
    <row r="20620" spans="1:3" s="8" customFormat="1" x14ac:dyDescent="0.2">
      <c r="A20620" s="6" t="str">
        <f>"ATAD2B"</f>
        <v>ATAD2B</v>
      </c>
      <c r="B20620" s="6" t="s">
        <v>1</v>
      </c>
      <c r="C20620" s="6" t="s">
        <v>1</v>
      </c>
    </row>
    <row r="20621" spans="1:3" s="8" customFormat="1" x14ac:dyDescent="0.2">
      <c r="A20621" s="6" t="str">
        <f>"ENTPD1-AS1"</f>
        <v>ENTPD1-AS1</v>
      </c>
      <c r="B20621" s="6" t="s">
        <v>1</v>
      </c>
      <c r="C20621" s="6" t="s">
        <v>1</v>
      </c>
    </row>
    <row r="20622" spans="1:3" s="8" customFormat="1" x14ac:dyDescent="0.2">
      <c r="A20622" s="6" t="str">
        <f>"PPCDC"</f>
        <v>PPCDC</v>
      </c>
      <c r="B20622" s="6" t="s">
        <v>1</v>
      </c>
      <c r="C20622" s="6" t="s">
        <v>1</v>
      </c>
    </row>
    <row r="20623" spans="1:3" s="8" customFormat="1" x14ac:dyDescent="0.2">
      <c r="A20623" s="6" t="str">
        <f>"GLI4"</f>
        <v>GLI4</v>
      </c>
      <c r="B20623" s="6" t="s">
        <v>1</v>
      </c>
      <c r="C20623" s="6" t="s">
        <v>1</v>
      </c>
    </row>
    <row r="20624" spans="1:3" s="8" customFormat="1" x14ac:dyDescent="0.2">
      <c r="A20624" s="6" t="str">
        <f>"SLC28A3"</f>
        <v>SLC28A3</v>
      </c>
      <c r="B20624" s="6" t="s">
        <v>1</v>
      </c>
      <c r="C20624" s="6" t="s">
        <v>1</v>
      </c>
    </row>
    <row r="20625" spans="1:3" s="8" customFormat="1" x14ac:dyDescent="0.2">
      <c r="A20625" s="6" t="str">
        <f>"ZNF600"</f>
        <v>ZNF600</v>
      </c>
      <c r="B20625" s="6" t="s">
        <v>1</v>
      </c>
      <c r="C20625" s="6" t="s">
        <v>1</v>
      </c>
    </row>
    <row r="20626" spans="1:3" s="8" customFormat="1" x14ac:dyDescent="0.2">
      <c r="A20626" s="6" t="str">
        <f>"ALG6"</f>
        <v>ALG6</v>
      </c>
      <c r="B20626" s="6" t="s">
        <v>1</v>
      </c>
      <c r="C20626" s="6" t="s">
        <v>1</v>
      </c>
    </row>
    <row r="20627" spans="1:3" s="8" customFormat="1" x14ac:dyDescent="0.2">
      <c r="A20627" s="6" t="str">
        <f>"MCTP1"</f>
        <v>MCTP1</v>
      </c>
      <c r="B20627" s="6" t="s">
        <v>1</v>
      </c>
      <c r="C20627" s="6" t="s">
        <v>1</v>
      </c>
    </row>
    <row r="20628" spans="1:3" s="8" customFormat="1" x14ac:dyDescent="0.2">
      <c r="A20628" s="6" t="str">
        <f>"P3H4"</f>
        <v>P3H4</v>
      </c>
      <c r="B20628" s="6" t="s">
        <v>1</v>
      </c>
      <c r="C20628" s="6" t="s">
        <v>1</v>
      </c>
    </row>
    <row r="20629" spans="1:3" s="8" customFormat="1" x14ac:dyDescent="0.2">
      <c r="A20629" s="6" t="str">
        <f>"ADPRH"</f>
        <v>ADPRH</v>
      </c>
      <c r="B20629" s="6" t="s">
        <v>1</v>
      </c>
      <c r="C20629" s="6" t="s">
        <v>1</v>
      </c>
    </row>
    <row r="20630" spans="1:3" s="8" customFormat="1" x14ac:dyDescent="0.2">
      <c r="A20630" s="6" t="str">
        <f>"MED7"</f>
        <v>MED7</v>
      </c>
      <c r="B20630" s="6" t="s">
        <v>1</v>
      </c>
      <c r="C20630" s="6" t="s">
        <v>1</v>
      </c>
    </row>
    <row r="20631" spans="1:3" s="8" customFormat="1" x14ac:dyDescent="0.2">
      <c r="A20631" s="6" t="str">
        <f>"GMDS-DT"</f>
        <v>GMDS-DT</v>
      </c>
      <c r="B20631" s="6" t="s">
        <v>1</v>
      </c>
      <c r="C20631" s="6" t="s">
        <v>1</v>
      </c>
    </row>
    <row r="20632" spans="1:3" s="8" customFormat="1" x14ac:dyDescent="0.2">
      <c r="A20632" s="6" t="str">
        <f>"CDRT1"</f>
        <v>CDRT1</v>
      </c>
      <c r="B20632" s="6" t="s">
        <v>1</v>
      </c>
      <c r="C20632" s="6" t="s">
        <v>1</v>
      </c>
    </row>
    <row r="20633" spans="1:3" s="8" customFormat="1" x14ac:dyDescent="0.2">
      <c r="A20633" s="6" t="str">
        <f>"INKA2"</f>
        <v>INKA2</v>
      </c>
      <c r="B20633" s="6" t="s">
        <v>1</v>
      </c>
      <c r="C20633" s="6" t="s">
        <v>1</v>
      </c>
    </row>
    <row r="20634" spans="1:3" s="8" customFormat="1" x14ac:dyDescent="0.2">
      <c r="A20634" s="6" t="str">
        <f>"OASL"</f>
        <v>OASL</v>
      </c>
      <c r="B20634" s="6" t="s">
        <v>1</v>
      </c>
      <c r="C20634" s="6" t="s">
        <v>1</v>
      </c>
    </row>
    <row r="20635" spans="1:3" s="8" customFormat="1" x14ac:dyDescent="0.2">
      <c r="A20635" s="6" t="str">
        <f>"ID3"</f>
        <v>ID3</v>
      </c>
      <c r="B20635" s="6" t="s">
        <v>1</v>
      </c>
      <c r="C20635" s="6" t="s">
        <v>1</v>
      </c>
    </row>
    <row r="20636" spans="1:3" s="8" customFormat="1" x14ac:dyDescent="0.2">
      <c r="A20636" s="6" t="str">
        <f>"HCG11"</f>
        <v>HCG11</v>
      </c>
      <c r="B20636" s="6" t="s">
        <v>1</v>
      </c>
      <c r="C20636" s="6" t="s">
        <v>1</v>
      </c>
    </row>
    <row r="20637" spans="1:3" s="8" customFormat="1" x14ac:dyDescent="0.2">
      <c r="A20637" s="6" t="str">
        <f>"NXPE3"</f>
        <v>NXPE3</v>
      </c>
      <c r="B20637" s="6" t="s">
        <v>1</v>
      </c>
      <c r="C20637" s="6" t="s">
        <v>1</v>
      </c>
    </row>
    <row r="20638" spans="1:3" s="8" customFormat="1" x14ac:dyDescent="0.2">
      <c r="A20638" s="6" t="str">
        <f>"UGT1A8"</f>
        <v>UGT1A8</v>
      </c>
      <c r="B20638" s="6" t="s">
        <v>1</v>
      </c>
      <c r="C20638" s="6" t="s">
        <v>1</v>
      </c>
    </row>
    <row r="20639" spans="1:3" s="8" customFormat="1" x14ac:dyDescent="0.2">
      <c r="A20639" s="6" t="str">
        <f>"NOTCH2NLC"</f>
        <v>NOTCH2NLC</v>
      </c>
      <c r="B20639" s="6" t="s">
        <v>1</v>
      </c>
      <c r="C20639" s="6" t="s">
        <v>1</v>
      </c>
    </row>
    <row r="20640" spans="1:3" s="8" customFormat="1" x14ac:dyDescent="0.2">
      <c r="A20640" s="6" t="str">
        <f>"EDRF1"</f>
        <v>EDRF1</v>
      </c>
      <c r="B20640" s="6" t="s">
        <v>1</v>
      </c>
      <c r="C20640" s="6" t="s">
        <v>1</v>
      </c>
    </row>
    <row r="20641" spans="1:3" s="8" customFormat="1" x14ac:dyDescent="0.2">
      <c r="A20641" s="6" t="str">
        <f>"PLGRKT"</f>
        <v>PLGRKT</v>
      </c>
      <c r="B20641" s="6" t="s">
        <v>1</v>
      </c>
      <c r="C20641" s="6" t="s">
        <v>1</v>
      </c>
    </row>
    <row r="20642" spans="1:3" s="8" customFormat="1" x14ac:dyDescent="0.2">
      <c r="A20642" s="6" t="str">
        <f>"CAPRIN2"</f>
        <v>CAPRIN2</v>
      </c>
      <c r="B20642" s="6" t="s">
        <v>1</v>
      </c>
      <c r="C20642" s="6" t="s">
        <v>1</v>
      </c>
    </row>
    <row r="20643" spans="1:3" s="8" customFormat="1" x14ac:dyDescent="0.2">
      <c r="A20643" s="6" t="str">
        <f>"INAFM1"</f>
        <v>INAFM1</v>
      </c>
      <c r="B20643" s="6" t="s">
        <v>1</v>
      </c>
      <c r="C20643" s="6" t="s">
        <v>1</v>
      </c>
    </row>
    <row r="20644" spans="1:3" s="8" customFormat="1" x14ac:dyDescent="0.2">
      <c r="A20644" s="6" t="str">
        <f>"RPP25L"</f>
        <v>RPP25L</v>
      </c>
      <c r="B20644" s="6" t="s">
        <v>1</v>
      </c>
      <c r="C20644" s="6" t="s">
        <v>1</v>
      </c>
    </row>
    <row r="20645" spans="1:3" s="8" customFormat="1" x14ac:dyDescent="0.2">
      <c r="A20645" s="6" t="str">
        <f>"NUDT7"</f>
        <v>NUDT7</v>
      </c>
      <c r="B20645" s="6" t="s">
        <v>1</v>
      </c>
      <c r="C20645" s="6" t="s">
        <v>1</v>
      </c>
    </row>
    <row r="20646" spans="1:3" s="8" customFormat="1" x14ac:dyDescent="0.2">
      <c r="A20646" s="6" t="str">
        <f>"S1PR2"</f>
        <v>S1PR2</v>
      </c>
      <c r="B20646" s="6" t="s">
        <v>1</v>
      </c>
      <c r="C20646" s="6" t="s">
        <v>1</v>
      </c>
    </row>
    <row r="20647" spans="1:3" s="8" customFormat="1" x14ac:dyDescent="0.2">
      <c r="A20647" s="6" t="str">
        <f>"KCNC4"</f>
        <v>KCNC4</v>
      </c>
      <c r="B20647" s="6" t="s">
        <v>1</v>
      </c>
      <c r="C20647" s="6" t="s">
        <v>1</v>
      </c>
    </row>
    <row r="20648" spans="1:3" s="8" customFormat="1" x14ac:dyDescent="0.2">
      <c r="A20648" s="6" t="str">
        <f>"GAL3ST2"</f>
        <v>GAL3ST2</v>
      </c>
      <c r="B20648" s="6" t="s">
        <v>1</v>
      </c>
      <c r="C20648" s="6" t="s">
        <v>1</v>
      </c>
    </row>
    <row r="20649" spans="1:3" s="8" customFormat="1" x14ac:dyDescent="0.2">
      <c r="A20649" s="6" t="str">
        <f>"KLHL26"</f>
        <v>KLHL26</v>
      </c>
      <c r="B20649" s="6" t="s">
        <v>1</v>
      </c>
      <c r="C20649" s="6" t="s">
        <v>1</v>
      </c>
    </row>
    <row r="20650" spans="1:3" s="8" customFormat="1" x14ac:dyDescent="0.2">
      <c r="A20650" s="6" t="str">
        <f>"LENG1"</f>
        <v>LENG1</v>
      </c>
      <c r="B20650" s="6" t="s">
        <v>1</v>
      </c>
      <c r="C20650" s="6" t="s">
        <v>1</v>
      </c>
    </row>
    <row r="20651" spans="1:3" s="8" customFormat="1" x14ac:dyDescent="0.2">
      <c r="A20651" s="6" t="str">
        <f>"DNAJC25"</f>
        <v>DNAJC25</v>
      </c>
      <c r="B20651" s="6" t="s">
        <v>1</v>
      </c>
      <c r="C20651" s="6" t="s">
        <v>1</v>
      </c>
    </row>
    <row r="20652" spans="1:3" s="8" customFormat="1" x14ac:dyDescent="0.2">
      <c r="A20652" s="6" t="str">
        <f>"KBTBD7"</f>
        <v>KBTBD7</v>
      </c>
      <c r="B20652" s="6" t="s">
        <v>1</v>
      </c>
      <c r="C20652" s="6" t="s">
        <v>1</v>
      </c>
    </row>
    <row r="20653" spans="1:3" s="8" customFormat="1" x14ac:dyDescent="0.2">
      <c r="A20653" s="6" t="str">
        <f>"ZNF253"</f>
        <v>ZNF253</v>
      </c>
      <c r="B20653" s="6" t="s">
        <v>1</v>
      </c>
      <c r="C20653" s="6" t="s">
        <v>1</v>
      </c>
    </row>
    <row r="20654" spans="1:3" s="8" customFormat="1" x14ac:dyDescent="0.2">
      <c r="A20654" s="6" t="str">
        <f>"MED30"</f>
        <v>MED30</v>
      </c>
      <c r="B20654" s="6" t="s">
        <v>1</v>
      </c>
      <c r="C20654" s="6" t="s">
        <v>1</v>
      </c>
    </row>
    <row r="20655" spans="1:3" s="8" customFormat="1" x14ac:dyDescent="0.2">
      <c r="A20655" s="6" t="str">
        <f>"MLH3"</f>
        <v>MLH3</v>
      </c>
      <c r="B20655" s="6" t="s">
        <v>1</v>
      </c>
      <c r="C20655" s="6" t="s">
        <v>1</v>
      </c>
    </row>
    <row r="20656" spans="1:3" s="8" customFormat="1" x14ac:dyDescent="0.2">
      <c r="A20656" s="6" t="str">
        <f>"ZBTB6"</f>
        <v>ZBTB6</v>
      </c>
      <c r="B20656" s="6" t="s">
        <v>1</v>
      </c>
      <c r="C20656" s="6" t="s">
        <v>1</v>
      </c>
    </row>
    <row r="20657" spans="1:3" s="8" customFormat="1" x14ac:dyDescent="0.2">
      <c r="A20657" s="6" t="str">
        <f>"GLRX2"</f>
        <v>GLRX2</v>
      </c>
      <c r="B20657" s="6" t="s">
        <v>1</v>
      </c>
      <c r="C20657" s="6" t="s">
        <v>1</v>
      </c>
    </row>
    <row r="20658" spans="1:3" s="8" customFormat="1" x14ac:dyDescent="0.2">
      <c r="A20658" s="6" t="str">
        <f>"OTUD3"</f>
        <v>OTUD3</v>
      </c>
      <c r="B20658" s="6" t="s">
        <v>1</v>
      </c>
      <c r="C20658" s="6" t="s">
        <v>1</v>
      </c>
    </row>
    <row r="20659" spans="1:3" s="8" customFormat="1" x14ac:dyDescent="0.2">
      <c r="A20659" s="6" t="str">
        <f>"TGDS"</f>
        <v>TGDS</v>
      </c>
      <c r="B20659" s="6" t="s">
        <v>1</v>
      </c>
      <c r="C20659" s="6" t="s">
        <v>1</v>
      </c>
    </row>
    <row r="20660" spans="1:3" s="8" customFormat="1" x14ac:dyDescent="0.2">
      <c r="A20660" s="6" t="str">
        <f>"TBC1D4"</f>
        <v>TBC1D4</v>
      </c>
      <c r="B20660" s="6" t="s">
        <v>1</v>
      </c>
      <c r="C20660" s="6" t="s">
        <v>1</v>
      </c>
    </row>
    <row r="20661" spans="1:3" s="8" customFormat="1" x14ac:dyDescent="0.2">
      <c r="A20661" s="6" t="str">
        <f>"SEMA3B"</f>
        <v>SEMA3B</v>
      </c>
      <c r="B20661" s="6" t="s">
        <v>1</v>
      </c>
      <c r="C20661" s="6" t="s">
        <v>1</v>
      </c>
    </row>
    <row r="20662" spans="1:3" s="8" customFormat="1" x14ac:dyDescent="0.2">
      <c r="A20662" s="6" t="str">
        <f>"IFNLR1"</f>
        <v>IFNLR1</v>
      </c>
      <c r="B20662" s="6" t="s">
        <v>1</v>
      </c>
      <c r="C20662" s="6" t="s">
        <v>1</v>
      </c>
    </row>
    <row r="20663" spans="1:3" s="8" customFormat="1" x14ac:dyDescent="0.2">
      <c r="A20663" s="6" t="str">
        <f>"SMAD7"</f>
        <v>SMAD7</v>
      </c>
      <c r="B20663" s="6" t="s">
        <v>1</v>
      </c>
      <c r="C20663" s="6" t="s">
        <v>1</v>
      </c>
    </row>
    <row r="20664" spans="1:3" s="8" customFormat="1" x14ac:dyDescent="0.2">
      <c r="A20664" s="6" t="str">
        <f>"MAD2L2"</f>
        <v>MAD2L2</v>
      </c>
      <c r="B20664" s="6" t="s">
        <v>1</v>
      </c>
      <c r="C20664" s="6" t="s">
        <v>1</v>
      </c>
    </row>
    <row r="20665" spans="1:3" s="8" customFormat="1" x14ac:dyDescent="0.2">
      <c r="A20665" s="6" t="str">
        <f>"MS4A6A"</f>
        <v>MS4A6A</v>
      </c>
      <c r="B20665" s="6" t="s">
        <v>1</v>
      </c>
      <c r="C20665" s="6" t="s">
        <v>1</v>
      </c>
    </row>
    <row r="20666" spans="1:3" s="8" customFormat="1" x14ac:dyDescent="0.2">
      <c r="A20666" s="6" t="str">
        <f>"STX18-AS1"</f>
        <v>STX18-AS1</v>
      </c>
      <c r="B20666" s="6" t="s">
        <v>1</v>
      </c>
      <c r="C20666" s="6" t="s">
        <v>1</v>
      </c>
    </row>
    <row r="20667" spans="1:3" s="8" customFormat="1" x14ac:dyDescent="0.2">
      <c r="A20667" s="6" t="str">
        <f>"ZNF26"</f>
        <v>ZNF26</v>
      </c>
      <c r="B20667" s="6" t="s">
        <v>1</v>
      </c>
      <c r="C20667" s="6" t="s">
        <v>1</v>
      </c>
    </row>
    <row r="20668" spans="1:3" s="8" customFormat="1" x14ac:dyDescent="0.2">
      <c r="A20668" s="6" t="str">
        <f>"S100PBP"</f>
        <v>S100PBP</v>
      </c>
      <c r="B20668" s="6" t="s">
        <v>1</v>
      </c>
      <c r="C20668" s="6" t="s">
        <v>1</v>
      </c>
    </row>
    <row r="20669" spans="1:3" s="8" customFormat="1" x14ac:dyDescent="0.2">
      <c r="A20669" s="6" t="str">
        <f>"FAM76B"</f>
        <v>FAM76B</v>
      </c>
      <c r="B20669" s="6" t="s">
        <v>1</v>
      </c>
      <c r="C20669" s="6" t="s">
        <v>1</v>
      </c>
    </row>
    <row r="20670" spans="1:3" s="8" customFormat="1" x14ac:dyDescent="0.2">
      <c r="A20670" s="6" t="str">
        <f>"FICD"</f>
        <v>FICD</v>
      </c>
      <c r="B20670" s="6" t="s">
        <v>1</v>
      </c>
      <c r="C20670" s="6" t="s">
        <v>1</v>
      </c>
    </row>
    <row r="20671" spans="1:3" s="8" customFormat="1" x14ac:dyDescent="0.2">
      <c r="A20671" s="6" t="str">
        <f>"HNF4G"</f>
        <v>HNF4G</v>
      </c>
      <c r="B20671" s="6" t="s">
        <v>1</v>
      </c>
      <c r="C20671" s="6" t="s">
        <v>1</v>
      </c>
    </row>
    <row r="20672" spans="1:3" s="8" customFormat="1" x14ac:dyDescent="0.2">
      <c r="A20672" s="6" t="str">
        <f>"VMAC"</f>
        <v>VMAC</v>
      </c>
      <c r="B20672" s="6" t="s">
        <v>1</v>
      </c>
      <c r="C20672" s="6" t="s">
        <v>1</v>
      </c>
    </row>
    <row r="20673" spans="1:3" s="8" customFormat="1" x14ac:dyDescent="0.2">
      <c r="A20673" s="6" t="str">
        <f>"GABPB1"</f>
        <v>GABPB1</v>
      </c>
      <c r="B20673" s="6" t="s">
        <v>1</v>
      </c>
      <c r="C20673" s="6" t="s">
        <v>1</v>
      </c>
    </row>
    <row r="20674" spans="1:3" s="8" customFormat="1" x14ac:dyDescent="0.2">
      <c r="A20674" s="6" t="str">
        <f>"ING3"</f>
        <v>ING3</v>
      </c>
      <c r="B20674" s="6" t="s">
        <v>1</v>
      </c>
      <c r="C20674" s="6" t="s">
        <v>1</v>
      </c>
    </row>
    <row r="20675" spans="1:3" s="8" customFormat="1" x14ac:dyDescent="0.2">
      <c r="A20675" s="6" t="str">
        <f>"CARD16"</f>
        <v>CARD16</v>
      </c>
      <c r="B20675" s="6" t="s">
        <v>1</v>
      </c>
      <c r="C20675" s="6" t="s">
        <v>1</v>
      </c>
    </row>
    <row r="20676" spans="1:3" s="8" customFormat="1" x14ac:dyDescent="0.2">
      <c r="A20676" s="6" t="str">
        <f>"EEF1E1"</f>
        <v>EEF1E1</v>
      </c>
      <c r="B20676" s="6" t="s">
        <v>1</v>
      </c>
      <c r="C20676" s="6" t="s">
        <v>1</v>
      </c>
    </row>
    <row r="20677" spans="1:3" s="8" customFormat="1" x14ac:dyDescent="0.2">
      <c r="A20677" s="6" t="str">
        <f>"NEK2"</f>
        <v>NEK2</v>
      </c>
      <c r="B20677" s="6" t="s">
        <v>1</v>
      </c>
      <c r="C20677" s="6" t="s">
        <v>1</v>
      </c>
    </row>
    <row r="20678" spans="1:3" s="8" customFormat="1" x14ac:dyDescent="0.2">
      <c r="A20678" s="6" t="str">
        <f>"LCORL"</f>
        <v>LCORL</v>
      </c>
      <c r="B20678" s="6" t="s">
        <v>1</v>
      </c>
      <c r="C20678" s="6" t="s">
        <v>1</v>
      </c>
    </row>
    <row r="20679" spans="1:3" s="8" customFormat="1" x14ac:dyDescent="0.2">
      <c r="A20679" s="6" t="str">
        <f>"PLEKHO1"</f>
        <v>PLEKHO1</v>
      </c>
      <c r="B20679" s="6" t="s">
        <v>1</v>
      </c>
      <c r="C20679" s="6" t="s">
        <v>1</v>
      </c>
    </row>
    <row r="20680" spans="1:3" s="8" customFormat="1" x14ac:dyDescent="0.2">
      <c r="A20680" s="6" t="str">
        <f>"FLRT3"</f>
        <v>FLRT3</v>
      </c>
      <c r="B20680" s="6" t="s">
        <v>1</v>
      </c>
      <c r="C20680" s="6" t="s">
        <v>1</v>
      </c>
    </row>
    <row r="20681" spans="1:3" s="8" customFormat="1" x14ac:dyDescent="0.2">
      <c r="A20681" s="6" t="str">
        <f>"PRMT9"</f>
        <v>PRMT9</v>
      </c>
      <c r="B20681" s="6" t="s">
        <v>1</v>
      </c>
      <c r="C20681" s="6" t="s">
        <v>1</v>
      </c>
    </row>
    <row r="20682" spans="1:3" s="8" customFormat="1" x14ac:dyDescent="0.2">
      <c r="A20682" s="6" t="str">
        <f>"GPR89B"</f>
        <v>GPR89B</v>
      </c>
      <c r="B20682" s="6" t="s">
        <v>1</v>
      </c>
      <c r="C20682" s="6" t="s">
        <v>1</v>
      </c>
    </row>
    <row r="20683" spans="1:3" s="8" customFormat="1" x14ac:dyDescent="0.2">
      <c r="A20683" s="6" t="str">
        <f>"LGI1"</f>
        <v>LGI1</v>
      </c>
      <c r="B20683" s="6" t="s">
        <v>1</v>
      </c>
      <c r="C20683" s="6" t="s">
        <v>1</v>
      </c>
    </row>
    <row r="20684" spans="1:3" s="8" customFormat="1" x14ac:dyDescent="0.2">
      <c r="A20684" s="6" t="str">
        <f>"MIR200CHG"</f>
        <v>MIR200CHG</v>
      </c>
      <c r="B20684" s="6" t="s">
        <v>1</v>
      </c>
      <c r="C20684" s="6" t="s">
        <v>1</v>
      </c>
    </row>
    <row r="20685" spans="1:3" s="8" customFormat="1" x14ac:dyDescent="0.2">
      <c r="A20685" s="6" t="str">
        <f>"NOD2"</f>
        <v>NOD2</v>
      </c>
      <c r="B20685" s="6" t="s">
        <v>1</v>
      </c>
      <c r="C20685" s="6" t="s">
        <v>1</v>
      </c>
    </row>
    <row r="20686" spans="1:3" s="8" customFormat="1" x14ac:dyDescent="0.2">
      <c r="A20686" s="6" t="str">
        <f>"AL133216.2"</f>
        <v>AL133216.2</v>
      </c>
      <c r="B20686" s="6" t="s">
        <v>1</v>
      </c>
      <c r="C20686" s="6" t="s">
        <v>1</v>
      </c>
    </row>
    <row r="20687" spans="1:3" s="8" customFormat="1" x14ac:dyDescent="0.2">
      <c r="A20687" s="6" t="str">
        <f>"VEGFC"</f>
        <v>VEGFC</v>
      </c>
      <c r="B20687" s="6" t="s">
        <v>1</v>
      </c>
      <c r="C20687" s="6" t="s">
        <v>1</v>
      </c>
    </row>
    <row r="20688" spans="1:3" s="8" customFormat="1" x14ac:dyDescent="0.2">
      <c r="A20688" s="6" t="str">
        <f>"FYB2"</f>
        <v>FYB2</v>
      </c>
      <c r="B20688" s="6" t="s">
        <v>1</v>
      </c>
      <c r="C20688" s="6" t="s">
        <v>1</v>
      </c>
    </row>
    <row r="20689" spans="1:3" s="8" customFormat="1" x14ac:dyDescent="0.2">
      <c r="A20689" s="6" t="str">
        <f>"RAI2"</f>
        <v>RAI2</v>
      </c>
      <c r="B20689" s="6" t="s">
        <v>1</v>
      </c>
      <c r="C20689" s="6" t="s">
        <v>1</v>
      </c>
    </row>
    <row r="20690" spans="1:3" s="8" customFormat="1" x14ac:dyDescent="0.2">
      <c r="A20690" s="6" t="str">
        <f>"CRYZ"</f>
        <v>CRYZ</v>
      </c>
      <c r="B20690" s="6" t="s">
        <v>1</v>
      </c>
      <c r="C20690" s="6" t="s">
        <v>1</v>
      </c>
    </row>
    <row r="20691" spans="1:3" s="8" customFormat="1" x14ac:dyDescent="0.2">
      <c r="A20691" s="6" t="str">
        <f>"IPO5P1"</f>
        <v>IPO5P1</v>
      </c>
      <c r="B20691" s="6" t="s">
        <v>1</v>
      </c>
      <c r="C20691" s="6" t="s">
        <v>1</v>
      </c>
    </row>
    <row r="20692" spans="1:3" s="8" customFormat="1" x14ac:dyDescent="0.2">
      <c r="A20692" s="6" t="str">
        <f>"ASTN2"</f>
        <v>ASTN2</v>
      </c>
      <c r="B20692" s="6" t="s">
        <v>1</v>
      </c>
      <c r="C20692" s="6" t="s">
        <v>1</v>
      </c>
    </row>
    <row r="20693" spans="1:3" s="8" customFormat="1" x14ac:dyDescent="0.2">
      <c r="A20693" s="6" t="str">
        <f>"ZNF616"</f>
        <v>ZNF616</v>
      </c>
      <c r="B20693" s="6" t="s">
        <v>1</v>
      </c>
      <c r="C20693" s="6" t="s">
        <v>1</v>
      </c>
    </row>
    <row r="20694" spans="1:3" s="8" customFormat="1" x14ac:dyDescent="0.2">
      <c r="A20694" s="6" t="str">
        <f>"AC023300.2"</f>
        <v>AC023300.2</v>
      </c>
      <c r="B20694" s="6" t="s">
        <v>1</v>
      </c>
      <c r="C20694" s="6" t="s">
        <v>1</v>
      </c>
    </row>
    <row r="20695" spans="1:3" s="8" customFormat="1" x14ac:dyDescent="0.2">
      <c r="A20695" s="6" t="str">
        <f>"TBC1D7"</f>
        <v>TBC1D7</v>
      </c>
      <c r="B20695" s="6" t="s">
        <v>1</v>
      </c>
      <c r="C20695" s="6" t="s">
        <v>1</v>
      </c>
    </row>
    <row r="20696" spans="1:3" s="8" customFormat="1" x14ac:dyDescent="0.2">
      <c r="A20696" s="6" t="str">
        <f>"AC107871.1"</f>
        <v>AC107871.1</v>
      </c>
      <c r="B20696" s="6" t="s">
        <v>1</v>
      </c>
      <c r="C20696" s="6" t="s">
        <v>1</v>
      </c>
    </row>
    <row r="20697" spans="1:3" s="8" customFormat="1" x14ac:dyDescent="0.2">
      <c r="A20697" s="6" t="str">
        <f>"ZNF589"</f>
        <v>ZNF589</v>
      </c>
      <c r="B20697" s="6" t="s">
        <v>1</v>
      </c>
      <c r="C20697" s="6" t="s">
        <v>1</v>
      </c>
    </row>
    <row r="20698" spans="1:3" s="8" customFormat="1" x14ac:dyDescent="0.2">
      <c r="A20698" s="6" t="str">
        <f>"MSANTD3"</f>
        <v>MSANTD3</v>
      </c>
      <c r="B20698" s="6" t="s">
        <v>1</v>
      </c>
      <c r="C20698" s="6" t="s">
        <v>1</v>
      </c>
    </row>
    <row r="20699" spans="1:3" s="8" customFormat="1" x14ac:dyDescent="0.2">
      <c r="A20699" s="6" t="str">
        <f>"NOC3L"</f>
        <v>NOC3L</v>
      </c>
      <c r="B20699" s="6" t="s">
        <v>1</v>
      </c>
      <c r="C20699" s="6" t="s">
        <v>1</v>
      </c>
    </row>
    <row r="20700" spans="1:3" s="8" customFormat="1" x14ac:dyDescent="0.2">
      <c r="A20700" s="6" t="str">
        <f>"SLC29A3"</f>
        <v>SLC29A3</v>
      </c>
      <c r="B20700" s="6" t="s">
        <v>1</v>
      </c>
      <c r="C20700" s="6" t="s">
        <v>1</v>
      </c>
    </row>
    <row r="20701" spans="1:3" s="8" customFormat="1" x14ac:dyDescent="0.2">
      <c r="A20701" s="6" t="str">
        <f>"WWC2"</f>
        <v>WWC2</v>
      </c>
      <c r="B20701" s="6" t="s">
        <v>1</v>
      </c>
      <c r="C20701" s="6" t="s">
        <v>1</v>
      </c>
    </row>
    <row r="20702" spans="1:3" s="8" customFormat="1" x14ac:dyDescent="0.2">
      <c r="A20702" s="6" t="str">
        <f>"TTI2"</f>
        <v>TTI2</v>
      </c>
      <c r="B20702" s="6" t="s">
        <v>1</v>
      </c>
      <c r="C20702" s="6" t="s">
        <v>1</v>
      </c>
    </row>
    <row r="20703" spans="1:3" s="8" customFormat="1" x14ac:dyDescent="0.2">
      <c r="A20703" s="6" t="str">
        <f>"TTC9C"</f>
        <v>TTC9C</v>
      </c>
      <c r="B20703" s="6" t="s">
        <v>1</v>
      </c>
      <c r="C20703" s="6" t="s">
        <v>1</v>
      </c>
    </row>
    <row r="20704" spans="1:3" s="8" customFormat="1" x14ac:dyDescent="0.2">
      <c r="A20704" s="6" t="str">
        <f>"GLIS2"</f>
        <v>GLIS2</v>
      </c>
      <c r="B20704" s="6" t="s">
        <v>1</v>
      </c>
      <c r="C20704" s="6" t="s">
        <v>1</v>
      </c>
    </row>
    <row r="20705" spans="1:3" s="8" customFormat="1" x14ac:dyDescent="0.2">
      <c r="A20705" s="6" t="str">
        <f>"AC004943.2"</f>
        <v>AC004943.2</v>
      </c>
      <c r="B20705" s="6" t="s">
        <v>1</v>
      </c>
      <c r="C20705" s="6" t="s">
        <v>1</v>
      </c>
    </row>
    <row r="20706" spans="1:3" s="8" customFormat="1" x14ac:dyDescent="0.2">
      <c r="A20706" s="6" t="str">
        <f>"MKRN2OS"</f>
        <v>MKRN2OS</v>
      </c>
      <c r="B20706" s="6" t="s">
        <v>1</v>
      </c>
      <c r="C20706" s="6" t="s">
        <v>1</v>
      </c>
    </row>
    <row r="20707" spans="1:3" s="8" customFormat="1" x14ac:dyDescent="0.2">
      <c r="A20707" s="6" t="str">
        <f>"MCM6"</f>
        <v>MCM6</v>
      </c>
      <c r="B20707" s="6" t="s">
        <v>1</v>
      </c>
      <c r="C20707" s="6" t="s">
        <v>1</v>
      </c>
    </row>
    <row r="20708" spans="1:3" s="8" customFormat="1" x14ac:dyDescent="0.2">
      <c r="A20708" s="6" t="str">
        <f>"ALDH1B1"</f>
        <v>ALDH1B1</v>
      </c>
      <c r="B20708" s="6" t="s">
        <v>1</v>
      </c>
      <c r="C20708" s="6" t="s">
        <v>1</v>
      </c>
    </row>
    <row r="20709" spans="1:3" s="8" customFormat="1" x14ac:dyDescent="0.2">
      <c r="A20709" s="6" t="str">
        <f>"ELP4"</f>
        <v>ELP4</v>
      </c>
      <c r="B20709" s="6" t="s">
        <v>1</v>
      </c>
      <c r="C20709" s="6" t="s">
        <v>1</v>
      </c>
    </row>
    <row r="20710" spans="1:3" s="8" customFormat="1" x14ac:dyDescent="0.2">
      <c r="A20710" s="6" t="str">
        <f>"NXT1"</f>
        <v>NXT1</v>
      </c>
      <c r="B20710" s="6" t="s">
        <v>1</v>
      </c>
      <c r="C20710" s="6" t="s">
        <v>1</v>
      </c>
    </row>
    <row r="20711" spans="1:3" s="8" customFormat="1" x14ac:dyDescent="0.2">
      <c r="A20711" s="6" t="str">
        <f>"TREML2"</f>
        <v>TREML2</v>
      </c>
      <c r="B20711" s="6" t="s">
        <v>1</v>
      </c>
      <c r="C20711" s="6" t="s">
        <v>1</v>
      </c>
    </row>
    <row r="20712" spans="1:3" s="8" customFormat="1" x14ac:dyDescent="0.2">
      <c r="A20712" s="6" t="str">
        <f>"CASP8AP2"</f>
        <v>CASP8AP2</v>
      </c>
      <c r="B20712" s="6" t="s">
        <v>1</v>
      </c>
      <c r="C20712" s="6" t="s">
        <v>1</v>
      </c>
    </row>
    <row r="20713" spans="1:3" s="8" customFormat="1" x14ac:dyDescent="0.2">
      <c r="A20713" s="6" t="str">
        <f>"WNT5A"</f>
        <v>WNT5A</v>
      </c>
      <c r="B20713" s="6" t="s">
        <v>1</v>
      </c>
      <c r="C20713" s="6" t="s">
        <v>1</v>
      </c>
    </row>
    <row r="20714" spans="1:3" s="8" customFormat="1" x14ac:dyDescent="0.2">
      <c r="A20714" s="6" t="str">
        <f>"AL353770.4"</f>
        <v>AL353770.4</v>
      </c>
      <c r="B20714" s="6" t="s">
        <v>1</v>
      </c>
      <c r="C20714" s="6" t="s">
        <v>1</v>
      </c>
    </row>
    <row r="20715" spans="1:3" s="8" customFormat="1" x14ac:dyDescent="0.2">
      <c r="A20715" s="6" t="str">
        <f>"BRCA1"</f>
        <v>BRCA1</v>
      </c>
      <c r="B20715" s="6" t="s">
        <v>1</v>
      </c>
      <c r="C20715" s="6" t="s">
        <v>1</v>
      </c>
    </row>
    <row r="20716" spans="1:3" s="8" customFormat="1" x14ac:dyDescent="0.2">
      <c r="A20716" s="6" t="str">
        <f>"PLEKHH2"</f>
        <v>PLEKHH2</v>
      </c>
      <c r="B20716" s="6" t="s">
        <v>1</v>
      </c>
      <c r="C20716" s="6" t="s">
        <v>1</v>
      </c>
    </row>
    <row r="20717" spans="1:3" s="8" customFormat="1" x14ac:dyDescent="0.2">
      <c r="A20717" s="6" t="str">
        <f>"NOP16"</f>
        <v>NOP16</v>
      </c>
      <c r="B20717" s="6" t="s">
        <v>1</v>
      </c>
      <c r="C20717" s="6" t="s">
        <v>1</v>
      </c>
    </row>
    <row r="20718" spans="1:3" s="8" customFormat="1" x14ac:dyDescent="0.2">
      <c r="A20718" s="6" t="str">
        <f>"NOXA1"</f>
        <v>NOXA1</v>
      </c>
      <c r="B20718" s="6" t="s">
        <v>1</v>
      </c>
      <c r="C20718" s="6" t="s">
        <v>1</v>
      </c>
    </row>
    <row r="20719" spans="1:3" s="8" customFormat="1" x14ac:dyDescent="0.2">
      <c r="A20719" s="6" t="str">
        <f>"MITD1"</f>
        <v>MITD1</v>
      </c>
      <c r="B20719" s="6" t="s">
        <v>1</v>
      </c>
      <c r="C20719" s="6" t="s">
        <v>1</v>
      </c>
    </row>
    <row r="20720" spans="1:3" s="8" customFormat="1" x14ac:dyDescent="0.2">
      <c r="A20720" s="6" t="str">
        <f>"FAM86DP"</f>
        <v>FAM86DP</v>
      </c>
      <c r="B20720" s="6" t="s">
        <v>1</v>
      </c>
      <c r="C20720" s="6" t="s">
        <v>1</v>
      </c>
    </row>
    <row r="20721" spans="1:3" s="8" customFormat="1" x14ac:dyDescent="0.2">
      <c r="A20721" s="6" t="str">
        <f>"ZSWIM7"</f>
        <v>ZSWIM7</v>
      </c>
      <c r="B20721" s="6" t="s">
        <v>1</v>
      </c>
      <c r="C20721" s="6" t="s">
        <v>1</v>
      </c>
    </row>
    <row r="20722" spans="1:3" s="8" customFormat="1" x14ac:dyDescent="0.2">
      <c r="A20722" s="6" t="str">
        <f>"MAF"</f>
        <v>MAF</v>
      </c>
      <c r="B20722" s="6" t="s">
        <v>1</v>
      </c>
      <c r="C20722" s="6" t="s">
        <v>1</v>
      </c>
    </row>
    <row r="20723" spans="1:3" s="8" customFormat="1" x14ac:dyDescent="0.2">
      <c r="A20723" s="6" t="str">
        <f>"GLIDR"</f>
        <v>GLIDR</v>
      </c>
      <c r="B20723" s="6" t="s">
        <v>1</v>
      </c>
      <c r="C20723" s="6" t="s">
        <v>1</v>
      </c>
    </row>
    <row r="20724" spans="1:3" s="8" customFormat="1" x14ac:dyDescent="0.2">
      <c r="A20724" s="6" t="str">
        <f>"BST1"</f>
        <v>BST1</v>
      </c>
      <c r="B20724" s="6" t="s">
        <v>1</v>
      </c>
      <c r="C20724" s="6" t="s">
        <v>1</v>
      </c>
    </row>
    <row r="20725" spans="1:3" s="8" customFormat="1" x14ac:dyDescent="0.2">
      <c r="A20725" s="6" t="str">
        <f>"FAM86C2P"</f>
        <v>FAM86C2P</v>
      </c>
      <c r="B20725" s="6" t="s">
        <v>1</v>
      </c>
      <c r="C20725" s="6" t="s">
        <v>1</v>
      </c>
    </row>
    <row r="20726" spans="1:3" s="8" customFormat="1" x14ac:dyDescent="0.2">
      <c r="A20726" s="6" t="str">
        <f>"LINC00958"</f>
        <v>LINC00958</v>
      </c>
      <c r="B20726" s="6" t="s">
        <v>1</v>
      </c>
      <c r="C20726" s="6" t="s">
        <v>1</v>
      </c>
    </row>
    <row r="20727" spans="1:3" s="8" customFormat="1" x14ac:dyDescent="0.2">
      <c r="A20727" s="6" t="str">
        <f>"GAB1"</f>
        <v>GAB1</v>
      </c>
      <c r="B20727" s="6" t="s">
        <v>1</v>
      </c>
      <c r="C20727" s="6" t="s">
        <v>1</v>
      </c>
    </row>
    <row r="20728" spans="1:3" s="8" customFormat="1" x14ac:dyDescent="0.2">
      <c r="A20728" s="6" t="str">
        <f>"INSIG2"</f>
        <v>INSIG2</v>
      </c>
      <c r="B20728" s="6" t="s">
        <v>1</v>
      </c>
      <c r="C20728" s="6" t="s">
        <v>1</v>
      </c>
    </row>
    <row r="20729" spans="1:3" s="8" customFormat="1" x14ac:dyDescent="0.2">
      <c r="A20729" s="6" t="str">
        <f>"BBC3"</f>
        <v>BBC3</v>
      </c>
      <c r="B20729" s="6" t="s">
        <v>1</v>
      </c>
      <c r="C20729" s="6" t="s">
        <v>1</v>
      </c>
    </row>
    <row r="20730" spans="1:3" s="8" customFormat="1" x14ac:dyDescent="0.2">
      <c r="A20730" s="6" t="str">
        <f>"CARF"</f>
        <v>CARF</v>
      </c>
      <c r="B20730" s="6" t="s">
        <v>1</v>
      </c>
      <c r="C20730" s="6" t="s">
        <v>1</v>
      </c>
    </row>
    <row r="20731" spans="1:3" s="8" customFormat="1" x14ac:dyDescent="0.2">
      <c r="A20731" s="6" t="str">
        <f>"CRLF3"</f>
        <v>CRLF3</v>
      </c>
      <c r="B20731" s="6" t="s">
        <v>1</v>
      </c>
      <c r="C20731" s="6" t="s">
        <v>1</v>
      </c>
    </row>
    <row r="20732" spans="1:3" s="8" customFormat="1" x14ac:dyDescent="0.2">
      <c r="A20732" s="6" t="str">
        <f>"TMEM139"</f>
        <v>TMEM139</v>
      </c>
      <c r="B20732" s="6" t="s">
        <v>1</v>
      </c>
      <c r="C20732" s="6" t="s">
        <v>1</v>
      </c>
    </row>
    <row r="20733" spans="1:3" s="8" customFormat="1" x14ac:dyDescent="0.2">
      <c r="A20733" s="6" t="str">
        <f>"CHRNA7"</f>
        <v>CHRNA7</v>
      </c>
      <c r="B20733" s="6" t="s">
        <v>1</v>
      </c>
      <c r="C20733" s="6" t="s">
        <v>1</v>
      </c>
    </row>
    <row r="20734" spans="1:3" s="8" customFormat="1" x14ac:dyDescent="0.2">
      <c r="A20734" s="6" t="str">
        <f>"AC005831.1"</f>
        <v>AC005831.1</v>
      </c>
      <c r="B20734" s="6" t="s">
        <v>1</v>
      </c>
      <c r="C20734" s="6" t="s">
        <v>1</v>
      </c>
    </row>
    <row r="20735" spans="1:3" s="8" customFormat="1" x14ac:dyDescent="0.2">
      <c r="A20735" s="6" t="str">
        <f>"IFI27L2"</f>
        <v>IFI27L2</v>
      </c>
      <c r="B20735" s="6" t="s">
        <v>1</v>
      </c>
      <c r="C20735" s="6" t="s">
        <v>1</v>
      </c>
    </row>
    <row r="20736" spans="1:3" s="8" customFormat="1" x14ac:dyDescent="0.2">
      <c r="A20736" s="6" t="str">
        <f>"AC015802.6"</f>
        <v>AC015802.6</v>
      </c>
      <c r="B20736" s="6" t="s">
        <v>1</v>
      </c>
      <c r="C20736" s="6" t="s">
        <v>1</v>
      </c>
    </row>
    <row r="20737" spans="1:3" s="8" customFormat="1" x14ac:dyDescent="0.2">
      <c r="A20737" s="6" t="str">
        <f>"ZNF251"</f>
        <v>ZNF251</v>
      </c>
      <c r="B20737" s="6" t="s">
        <v>1</v>
      </c>
      <c r="C20737" s="6" t="s">
        <v>1</v>
      </c>
    </row>
    <row r="20738" spans="1:3" s="8" customFormat="1" x14ac:dyDescent="0.2">
      <c r="A20738" s="6" t="str">
        <f>"OVOL1"</f>
        <v>OVOL1</v>
      </c>
      <c r="B20738" s="6" t="s">
        <v>1</v>
      </c>
      <c r="C20738" s="6" t="s">
        <v>1</v>
      </c>
    </row>
    <row r="20739" spans="1:3" s="8" customFormat="1" x14ac:dyDescent="0.2">
      <c r="A20739" s="6" t="str">
        <f>"NUP37"</f>
        <v>NUP37</v>
      </c>
      <c r="B20739" s="6" t="s">
        <v>1</v>
      </c>
      <c r="C20739" s="6" t="s">
        <v>1</v>
      </c>
    </row>
    <row r="20740" spans="1:3" s="8" customFormat="1" x14ac:dyDescent="0.2">
      <c r="A20740" s="6" t="str">
        <f>"FMO4"</f>
        <v>FMO4</v>
      </c>
      <c r="B20740" s="6" t="s">
        <v>1</v>
      </c>
      <c r="C20740" s="6" t="s">
        <v>1</v>
      </c>
    </row>
    <row r="20741" spans="1:3" s="8" customFormat="1" x14ac:dyDescent="0.2">
      <c r="A20741" s="6" t="str">
        <f>"LINC02166"</f>
        <v>LINC02166</v>
      </c>
      <c r="B20741" s="6" t="s">
        <v>1</v>
      </c>
      <c r="C20741" s="6" t="s">
        <v>1</v>
      </c>
    </row>
    <row r="20742" spans="1:3" s="8" customFormat="1" x14ac:dyDescent="0.2">
      <c r="A20742" s="6" t="str">
        <f>"EME2"</f>
        <v>EME2</v>
      </c>
      <c r="B20742" s="6" t="s">
        <v>1</v>
      </c>
      <c r="C20742" s="6" t="s">
        <v>1</v>
      </c>
    </row>
    <row r="20743" spans="1:3" s="8" customFormat="1" x14ac:dyDescent="0.2">
      <c r="A20743" s="6" t="str">
        <f>"DNASE1"</f>
        <v>DNASE1</v>
      </c>
      <c r="B20743" s="6" t="s">
        <v>1</v>
      </c>
      <c r="C20743" s="6" t="s">
        <v>1</v>
      </c>
    </row>
    <row r="20744" spans="1:3" s="8" customFormat="1" x14ac:dyDescent="0.2">
      <c r="A20744" s="6" t="str">
        <f>"HMGN5"</f>
        <v>HMGN5</v>
      </c>
      <c r="B20744" s="6" t="s">
        <v>1</v>
      </c>
      <c r="C20744" s="6" t="s">
        <v>1</v>
      </c>
    </row>
    <row r="20745" spans="1:3" s="8" customFormat="1" x14ac:dyDescent="0.2">
      <c r="A20745" s="6" t="str">
        <f>"TGM1"</f>
        <v>TGM1</v>
      </c>
      <c r="B20745" s="6" t="s">
        <v>1</v>
      </c>
      <c r="C20745" s="6" t="s">
        <v>1</v>
      </c>
    </row>
    <row r="20746" spans="1:3" s="8" customFormat="1" x14ac:dyDescent="0.2">
      <c r="A20746" s="6" t="str">
        <f>"E2F6"</f>
        <v>E2F6</v>
      </c>
      <c r="B20746" s="6" t="s">
        <v>1</v>
      </c>
      <c r="C20746" s="6" t="s">
        <v>1</v>
      </c>
    </row>
    <row r="20747" spans="1:3" s="8" customFormat="1" x14ac:dyDescent="0.2">
      <c r="A20747" s="6" t="str">
        <f>"DDX55"</f>
        <v>DDX55</v>
      </c>
      <c r="B20747" s="6" t="s">
        <v>1</v>
      </c>
      <c r="C20747" s="6" t="s">
        <v>1</v>
      </c>
    </row>
    <row r="20748" spans="1:3" s="8" customFormat="1" x14ac:dyDescent="0.2">
      <c r="A20748" s="6" t="str">
        <f>"ADTRP"</f>
        <v>ADTRP</v>
      </c>
      <c r="B20748" s="6" t="s">
        <v>1</v>
      </c>
      <c r="C20748" s="6" t="s">
        <v>1</v>
      </c>
    </row>
    <row r="20749" spans="1:3" s="8" customFormat="1" x14ac:dyDescent="0.2">
      <c r="A20749" s="6" t="str">
        <f>"ZXDB"</f>
        <v>ZXDB</v>
      </c>
      <c r="B20749" s="6" t="s">
        <v>1</v>
      </c>
      <c r="C20749" s="6" t="s">
        <v>1</v>
      </c>
    </row>
    <row r="20750" spans="1:3" s="8" customFormat="1" x14ac:dyDescent="0.2">
      <c r="A20750" s="6" t="str">
        <f>"HAUS1"</f>
        <v>HAUS1</v>
      </c>
      <c r="B20750" s="6" t="s">
        <v>1</v>
      </c>
      <c r="C20750" s="6" t="s">
        <v>1</v>
      </c>
    </row>
    <row r="20751" spans="1:3" s="8" customFormat="1" x14ac:dyDescent="0.2">
      <c r="A20751" s="6" t="str">
        <f>"MRPS17"</f>
        <v>MRPS17</v>
      </c>
      <c r="B20751" s="6" t="s">
        <v>1</v>
      </c>
      <c r="C20751" s="6" t="s">
        <v>1</v>
      </c>
    </row>
    <row r="20752" spans="1:3" s="8" customFormat="1" x14ac:dyDescent="0.2">
      <c r="A20752" s="6" t="str">
        <f>"APOBEC3D"</f>
        <v>APOBEC3D</v>
      </c>
      <c r="B20752" s="6" t="s">
        <v>1</v>
      </c>
      <c r="C20752" s="6" t="s">
        <v>1</v>
      </c>
    </row>
    <row r="20753" spans="1:3" s="8" customFormat="1" x14ac:dyDescent="0.2">
      <c r="A20753" s="6" t="str">
        <f>"ZBTB47"</f>
        <v>ZBTB47</v>
      </c>
      <c r="B20753" s="6" t="s">
        <v>1</v>
      </c>
      <c r="C20753" s="6" t="s">
        <v>1</v>
      </c>
    </row>
    <row r="20754" spans="1:3" s="8" customFormat="1" x14ac:dyDescent="0.2">
      <c r="A20754" s="6" t="str">
        <f>"DNAJC22"</f>
        <v>DNAJC22</v>
      </c>
      <c r="B20754" s="6" t="s">
        <v>1</v>
      </c>
      <c r="C20754" s="6" t="s">
        <v>1</v>
      </c>
    </row>
    <row r="20755" spans="1:3" s="8" customFormat="1" x14ac:dyDescent="0.2">
      <c r="A20755" s="6" t="str">
        <f>"CHTF18"</f>
        <v>CHTF18</v>
      </c>
      <c r="B20755" s="6" t="s">
        <v>1</v>
      </c>
      <c r="C20755" s="6" t="s">
        <v>1</v>
      </c>
    </row>
    <row r="20756" spans="1:3" s="8" customFormat="1" x14ac:dyDescent="0.2">
      <c r="A20756" s="6" t="str">
        <f>"LINC01128"</f>
        <v>LINC01128</v>
      </c>
      <c r="B20756" s="6" t="s">
        <v>1</v>
      </c>
      <c r="C20756" s="6" t="s">
        <v>1</v>
      </c>
    </row>
    <row r="20757" spans="1:3" s="8" customFormat="1" x14ac:dyDescent="0.2">
      <c r="A20757" s="6" t="str">
        <f>"MIR600HG"</f>
        <v>MIR600HG</v>
      </c>
      <c r="B20757" s="6" t="s">
        <v>1</v>
      </c>
      <c r="C20757" s="6" t="s">
        <v>1</v>
      </c>
    </row>
    <row r="20758" spans="1:3" s="8" customFormat="1" x14ac:dyDescent="0.2">
      <c r="A20758" s="6" t="str">
        <f>"NXT2"</f>
        <v>NXT2</v>
      </c>
      <c r="B20758" s="6" t="s">
        <v>1</v>
      </c>
      <c r="C20758" s="6" t="s">
        <v>1</v>
      </c>
    </row>
    <row r="20759" spans="1:3" s="8" customFormat="1" x14ac:dyDescent="0.2">
      <c r="A20759" s="6" t="str">
        <f>"RPS10-NUDT3"</f>
        <v>RPS10-NUDT3</v>
      </c>
      <c r="B20759" s="6" t="s">
        <v>1</v>
      </c>
      <c r="C20759" s="6" t="s">
        <v>1</v>
      </c>
    </row>
    <row r="20760" spans="1:3" s="8" customFormat="1" x14ac:dyDescent="0.2">
      <c r="A20760" s="6" t="str">
        <f>"LGALS7B"</f>
        <v>LGALS7B</v>
      </c>
      <c r="B20760" s="6" t="s">
        <v>1</v>
      </c>
      <c r="C20760" s="6" t="s">
        <v>1</v>
      </c>
    </row>
    <row r="20761" spans="1:3" s="8" customFormat="1" x14ac:dyDescent="0.2">
      <c r="A20761" s="6" t="str">
        <f>"FAHD2B"</f>
        <v>FAHD2B</v>
      </c>
      <c r="B20761" s="6" t="s">
        <v>1</v>
      </c>
      <c r="C20761" s="6" t="s">
        <v>1</v>
      </c>
    </row>
    <row r="20762" spans="1:3" s="8" customFormat="1" x14ac:dyDescent="0.2">
      <c r="A20762" s="6" t="str">
        <f>"PLIN2"</f>
        <v>PLIN2</v>
      </c>
      <c r="B20762" s="6" t="s">
        <v>1</v>
      </c>
      <c r="C20762" s="6" t="s">
        <v>1</v>
      </c>
    </row>
    <row r="20763" spans="1:3" s="8" customFormat="1" x14ac:dyDescent="0.2">
      <c r="A20763" s="6" t="str">
        <f>"ADGRV1"</f>
        <v>ADGRV1</v>
      </c>
      <c r="B20763" s="6" t="s">
        <v>1</v>
      </c>
      <c r="C20763" s="6" t="s">
        <v>1</v>
      </c>
    </row>
    <row r="20764" spans="1:3" s="8" customFormat="1" x14ac:dyDescent="0.2">
      <c r="A20764" s="6" t="str">
        <f>"PCYOX1L"</f>
        <v>PCYOX1L</v>
      </c>
      <c r="B20764" s="6" t="s">
        <v>1</v>
      </c>
      <c r="C20764" s="6" t="s">
        <v>1</v>
      </c>
    </row>
    <row r="20765" spans="1:3" s="8" customFormat="1" x14ac:dyDescent="0.2">
      <c r="A20765" s="6" t="str">
        <f>"ZC3H8"</f>
        <v>ZC3H8</v>
      </c>
      <c r="B20765" s="6" t="s">
        <v>1</v>
      </c>
      <c r="C20765" s="6" t="s">
        <v>1</v>
      </c>
    </row>
    <row r="20766" spans="1:3" s="8" customFormat="1" x14ac:dyDescent="0.2">
      <c r="A20766" s="6" t="str">
        <f>"BANP"</f>
        <v>BANP</v>
      </c>
      <c r="B20766" s="6" t="s">
        <v>1</v>
      </c>
      <c r="C20766" s="6" t="s">
        <v>1</v>
      </c>
    </row>
    <row r="20767" spans="1:3" s="8" customFormat="1" x14ac:dyDescent="0.2">
      <c r="A20767" s="6" t="str">
        <f>"ZCCHC10"</f>
        <v>ZCCHC10</v>
      </c>
      <c r="B20767" s="6" t="s">
        <v>1</v>
      </c>
      <c r="C20767" s="6" t="s">
        <v>1</v>
      </c>
    </row>
    <row r="20768" spans="1:3" s="8" customFormat="1" x14ac:dyDescent="0.2">
      <c r="A20768" s="6" t="str">
        <f>"AC022916.1"</f>
        <v>AC022916.1</v>
      </c>
      <c r="B20768" s="6" t="s">
        <v>1</v>
      </c>
      <c r="C20768" s="6" t="s">
        <v>1</v>
      </c>
    </row>
    <row r="20769" spans="1:3" s="8" customFormat="1" x14ac:dyDescent="0.2">
      <c r="A20769" s="6" t="str">
        <f>"ENG"</f>
        <v>ENG</v>
      </c>
      <c r="B20769" s="6" t="s">
        <v>1</v>
      </c>
      <c r="C20769" s="6" t="s">
        <v>1</v>
      </c>
    </row>
    <row r="20770" spans="1:3" s="8" customFormat="1" x14ac:dyDescent="0.2">
      <c r="A20770" s="6" t="str">
        <f>"DERL3"</f>
        <v>DERL3</v>
      </c>
      <c r="B20770" s="6" t="s">
        <v>1</v>
      </c>
      <c r="C20770" s="6" t="s">
        <v>1</v>
      </c>
    </row>
    <row r="20771" spans="1:3" s="8" customFormat="1" x14ac:dyDescent="0.2">
      <c r="A20771" s="6" t="str">
        <f>"PLEKHG2"</f>
        <v>PLEKHG2</v>
      </c>
      <c r="B20771" s="6" t="s">
        <v>1</v>
      </c>
      <c r="C20771" s="6" t="s">
        <v>1</v>
      </c>
    </row>
    <row r="20772" spans="1:3" s="8" customFormat="1" x14ac:dyDescent="0.2">
      <c r="A20772" s="6" t="str">
        <f>"GABRE"</f>
        <v>GABRE</v>
      </c>
      <c r="B20772" s="6" t="s">
        <v>1</v>
      </c>
      <c r="C20772" s="6" t="s">
        <v>1</v>
      </c>
    </row>
    <row r="20773" spans="1:3" s="8" customFormat="1" x14ac:dyDescent="0.2">
      <c r="A20773" s="6" t="str">
        <f>"ZSWIM1"</f>
        <v>ZSWIM1</v>
      </c>
      <c r="B20773" s="6" t="s">
        <v>1</v>
      </c>
      <c r="C20773" s="6" t="s">
        <v>1</v>
      </c>
    </row>
    <row r="20774" spans="1:3" s="8" customFormat="1" x14ac:dyDescent="0.2">
      <c r="A20774" s="6" t="str">
        <f>"CRYZL1"</f>
        <v>CRYZL1</v>
      </c>
      <c r="B20774" s="6" t="s">
        <v>1</v>
      </c>
      <c r="C20774" s="6" t="s">
        <v>1</v>
      </c>
    </row>
    <row r="20775" spans="1:3" s="8" customFormat="1" x14ac:dyDescent="0.2">
      <c r="A20775" s="6" t="str">
        <f>"TBC1D24"</f>
        <v>TBC1D24</v>
      </c>
      <c r="B20775" s="6" t="s">
        <v>1</v>
      </c>
      <c r="C20775" s="6" t="s">
        <v>1</v>
      </c>
    </row>
    <row r="20776" spans="1:3" s="8" customFormat="1" x14ac:dyDescent="0.2">
      <c r="A20776" s="6" t="str">
        <f>"LINC02018"</f>
        <v>LINC02018</v>
      </c>
      <c r="B20776" s="6" t="s">
        <v>1</v>
      </c>
      <c r="C20776" s="6" t="s">
        <v>1</v>
      </c>
    </row>
    <row r="20777" spans="1:3" s="8" customFormat="1" x14ac:dyDescent="0.2">
      <c r="A20777" s="6" t="str">
        <f>"TMEM161A"</f>
        <v>TMEM161A</v>
      </c>
      <c r="B20777" s="6" t="s">
        <v>1</v>
      </c>
      <c r="C20777" s="6" t="s">
        <v>1</v>
      </c>
    </row>
    <row r="20778" spans="1:3" s="8" customFormat="1" x14ac:dyDescent="0.2">
      <c r="A20778" s="6" t="str">
        <f>"ALKBH4"</f>
        <v>ALKBH4</v>
      </c>
      <c r="B20778" s="6" t="s">
        <v>1</v>
      </c>
      <c r="C20778" s="6" t="s">
        <v>1</v>
      </c>
    </row>
    <row r="20779" spans="1:3" s="8" customFormat="1" x14ac:dyDescent="0.2">
      <c r="A20779" s="6" t="str">
        <f>"LRFN3"</f>
        <v>LRFN3</v>
      </c>
      <c r="B20779" s="6" t="s">
        <v>1</v>
      </c>
      <c r="C20779" s="6" t="s">
        <v>1</v>
      </c>
    </row>
    <row r="20780" spans="1:3" s="8" customFormat="1" x14ac:dyDescent="0.2">
      <c r="A20780" s="6" t="str">
        <f>"MED26"</f>
        <v>MED26</v>
      </c>
      <c r="B20780" s="6" t="s">
        <v>1</v>
      </c>
      <c r="C20780" s="6" t="s">
        <v>1</v>
      </c>
    </row>
    <row r="20781" spans="1:3" s="8" customFormat="1" x14ac:dyDescent="0.2">
      <c r="A20781" s="6" t="str">
        <f>"DNHD1"</f>
        <v>DNHD1</v>
      </c>
      <c r="B20781" s="6" t="s">
        <v>1</v>
      </c>
      <c r="C20781" s="6" t="s">
        <v>1</v>
      </c>
    </row>
    <row r="20782" spans="1:3" s="8" customFormat="1" x14ac:dyDescent="0.2">
      <c r="A20782" s="6" t="str">
        <f>"HAUS3"</f>
        <v>HAUS3</v>
      </c>
      <c r="B20782" s="6" t="s">
        <v>1</v>
      </c>
      <c r="C20782" s="6" t="s">
        <v>1</v>
      </c>
    </row>
    <row r="20783" spans="1:3" s="8" customFormat="1" x14ac:dyDescent="0.2">
      <c r="A20783" s="6" t="str">
        <f>"FHOD3"</f>
        <v>FHOD3</v>
      </c>
      <c r="B20783" s="6" t="s">
        <v>1</v>
      </c>
      <c r="C20783" s="6" t="s">
        <v>1</v>
      </c>
    </row>
    <row r="20784" spans="1:3" s="8" customFormat="1" x14ac:dyDescent="0.2">
      <c r="A20784" s="6" t="str">
        <f>"AL512274.1"</f>
        <v>AL512274.1</v>
      </c>
      <c r="B20784" s="6" t="s">
        <v>1</v>
      </c>
      <c r="C20784" s="6" t="s">
        <v>1</v>
      </c>
    </row>
    <row r="20785" spans="1:3" s="8" customFormat="1" x14ac:dyDescent="0.2">
      <c r="A20785" s="6" t="str">
        <f>"REXO5"</f>
        <v>REXO5</v>
      </c>
      <c r="B20785" s="6" t="s">
        <v>1</v>
      </c>
      <c r="C20785" s="6" t="s">
        <v>1</v>
      </c>
    </row>
    <row r="20786" spans="1:3" s="8" customFormat="1" x14ac:dyDescent="0.2">
      <c r="A20786" s="6" t="str">
        <f>"ALG10B"</f>
        <v>ALG10B</v>
      </c>
      <c r="B20786" s="6" t="s">
        <v>1</v>
      </c>
      <c r="C20786" s="6" t="s">
        <v>1</v>
      </c>
    </row>
    <row r="20787" spans="1:3" s="8" customFormat="1" x14ac:dyDescent="0.2">
      <c r="A20787" s="6" t="str">
        <f>"LPAR1"</f>
        <v>LPAR1</v>
      </c>
      <c r="B20787" s="6" t="s">
        <v>1</v>
      </c>
      <c r="C20787" s="6" t="s">
        <v>1</v>
      </c>
    </row>
    <row r="20788" spans="1:3" s="8" customFormat="1" x14ac:dyDescent="0.2">
      <c r="A20788" s="6" t="str">
        <f>"HAUS6"</f>
        <v>HAUS6</v>
      </c>
      <c r="B20788" s="6" t="s">
        <v>1</v>
      </c>
      <c r="C20788" s="6" t="s">
        <v>1</v>
      </c>
    </row>
    <row r="20789" spans="1:3" s="8" customFormat="1" x14ac:dyDescent="0.2">
      <c r="A20789" s="6" t="str">
        <f>"ZNF628"</f>
        <v>ZNF628</v>
      </c>
      <c r="B20789" s="6" t="s">
        <v>1</v>
      </c>
      <c r="C20789" s="6" t="s">
        <v>1</v>
      </c>
    </row>
    <row r="20790" spans="1:3" s="8" customFormat="1" x14ac:dyDescent="0.2">
      <c r="A20790" s="6" t="str">
        <f>"TNFRSF18"</f>
        <v>TNFRSF18</v>
      </c>
      <c r="B20790" s="6" t="s">
        <v>1</v>
      </c>
      <c r="C20790" s="6" t="s">
        <v>1</v>
      </c>
    </row>
    <row r="20791" spans="1:3" s="8" customFormat="1" x14ac:dyDescent="0.2">
      <c r="A20791" s="6" t="str">
        <f>"TMEM161B-AS1"</f>
        <v>TMEM161B-AS1</v>
      </c>
      <c r="B20791" s="6" t="s">
        <v>1</v>
      </c>
      <c r="C20791" s="6" t="s">
        <v>1</v>
      </c>
    </row>
    <row r="20792" spans="1:3" s="8" customFormat="1" x14ac:dyDescent="0.2">
      <c r="A20792" s="6" t="str">
        <f>"ZSCAN5A"</f>
        <v>ZSCAN5A</v>
      </c>
      <c r="B20792" s="6" t="s">
        <v>1</v>
      </c>
      <c r="C20792" s="6" t="s">
        <v>1</v>
      </c>
    </row>
    <row r="20793" spans="1:3" s="8" customFormat="1" x14ac:dyDescent="0.2">
      <c r="A20793" s="6" t="str">
        <f>"PHF7"</f>
        <v>PHF7</v>
      </c>
      <c r="B20793" s="6" t="s">
        <v>1</v>
      </c>
      <c r="C20793" s="6" t="s">
        <v>1</v>
      </c>
    </row>
    <row r="20794" spans="1:3" s="8" customFormat="1" x14ac:dyDescent="0.2">
      <c r="A20794" s="6" t="str">
        <f>"ALG14"</f>
        <v>ALG14</v>
      </c>
      <c r="B20794" s="6" t="s">
        <v>1</v>
      </c>
      <c r="C20794" s="6" t="s">
        <v>1</v>
      </c>
    </row>
    <row r="20795" spans="1:3" s="8" customFormat="1" x14ac:dyDescent="0.2">
      <c r="A20795" s="6" t="str">
        <f>"CCNJL"</f>
        <v>CCNJL</v>
      </c>
      <c r="B20795" s="6" t="s">
        <v>1</v>
      </c>
      <c r="C20795" s="6" t="s">
        <v>1</v>
      </c>
    </row>
    <row r="20796" spans="1:3" s="8" customFormat="1" x14ac:dyDescent="0.2">
      <c r="A20796" s="6" t="str">
        <f>"OXNAD1"</f>
        <v>OXNAD1</v>
      </c>
      <c r="B20796" s="6" t="s">
        <v>1</v>
      </c>
      <c r="C20796" s="6" t="s">
        <v>1</v>
      </c>
    </row>
    <row r="20797" spans="1:3" s="8" customFormat="1" x14ac:dyDescent="0.2">
      <c r="A20797" s="6" t="str">
        <f>"SLX4IP"</f>
        <v>SLX4IP</v>
      </c>
      <c r="B20797" s="6" t="s">
        <v>1</v>
      </c>
      <c r="C20797" s="6" t="s">
        <v>1</v>
      </c>
    </row>
    <row r="20798" spans="1:3" s="8" customFormat="1" x14ac:dyDescent="0.2">
      <c r="A20798" s="6" t="str">
        <f>"ZNF599"</f>
        <v>ZNF599</v>
      </c>
      <c r="B20798" s="6" t="s">
        <v>1</v>
      </c>
      <c r="C20798" s="6" t="s">
        <v>1</v>
      </c>
    </row>
    <row r="20799" spans="1:3" s="8" customFormat="1" x14ac:dyDescent="0.2">
      <c r="A20799" s="6" t="str">
        <f>"LMTK3"</f>
        <v>LMTK3</v>
      </c>
      <c r="B20799" s="6" t="s">
        <v>1</v>
      </c>
      <c r="C20799" s="6" t="s">
        <v>1</v>
      </c>
    </row>
    <row r="20800" spans="1:3" s="8" customFormat="1" x14ac:dyDescent="0.2">
      <c r="A20800" s="6" t="str">
        <f>"LHFPL2"</f>
        <v>LHFPL2</v>
      </c>
      <c r="B20800" s="6" t="s">
        <v>1</v>
      </c>
      <c r="C20800" s="6" t="s">
        <v>1</v>
      </c>
    </row>
    <row r="20801" spans="1:3" s="8" customFormat="1" x14ac:dyDescent="0.2">
      <c r="A20801" s="6" t="str">
        <f>"FADS2"</f>
        <v>FADS2</v>
      </c>
      <c r="B20801" s="6" t="s">
        <v>1</v>
      </c>
      <c r="C20801" s="6" t="s">
        <v>1</v>
      </c>
    </row>
    <row r="20802" spans="1:3" s="8" customFormat="1" x14ac:dyDescent="0.2">
      <c r="A20802" s="6" t="str">
        <f>"EXOSC1"</f>
        <v>EXOSC1</v>
      </c>
      <c r="B20802" s="6" t="s">
        <v>1</v>
      </c>
      <c r="C20802" s="6" t="s">
        <v>1</v>
      </c>
    </row>
    <row r="20803" spans="1:3" s="8" customFormat="1" x14ac:dyDescent="0.2">
      <c r="A20803" s="6" t="str">
        <f>"LINC01145"</f>
        <v>LINC01145</v>
      </c>
      <c r="B20803" s="6" t="s">
        <v>1</v>
      </c>
      <c r="C20803" s="6" t="s">
        <v>1</v>
      </c>
    </row>
    <row r="20804" spans="1:3" s="8" customFormat="1" x14ac:dyDescent="0.2">
      <c r="A20804" s="6" t="str">
        <f>"LYSMD2"</f>
        <v>LYSMD2</v>
      </c>
      <c r="B20804" s="6" t="s">
        <v>1</v>
      </c>
      <c r="C20804" s="6" t="s">
        <v>1</v>
      </c>
    </row>
    <row r="20805" spans="1:3" s="8" customFormat="1" x14ac:dyDescent="0.2">
      <c r="A20805" s="6" t="str">
        <f>"CDKN2AIPNL"</f>
        <v>CDKN2AIPNL</v>
      </c>
      <c r="B20805" s="6" t="s">
        <v>1</v>
      </c>
      <c r="C20805" s="6" t="s">
        <v>1</v>
      </c>
    </row>
    <row r="20806" spans="1:3" s="8" customFormat="1" x14ac:dyDescent="0.2">
      <c r="A20806" s="6" t="str">
        <f>"MRPL46"</f>
        <v>MRPL46</v>
      </c>
      <c r="B20806" s="6" t="s">
        <v>1</v>
      </c>
      <c r="C20806" s="6" t="s">
        <v>1</v>
      </c>
    </row>
    <row r="20807" spans="1:3" s="8" customFormat="1" x14ac:dyDescent="0.2">
      <c r="A20807" s="6" t="str">
        <f>"AEN"</f>
        <v>AEN</v>
      </c>
      <c r="B20807" s="6" t="s">
        <v>1</v>
      </c>
      <c r="C20807" s="6" t="s">
        <v>1</v>
      </c>
    </row>
    <row r="20808" spans="1:3" s="8" customFormat="1" x14ac:dyDescent="0.2">
      <c r="A20808" s="6" t="str">
        <f>"LYRM4"</f>
        <v>LYRM4</v>
      </c>
      <c r="B20808" s="6" t="s">
        <v>1</v>
      </c>
      <c r="C20808" s="6" t="s">
        <v>1</v>
      </c>
    </row>
    <row r="20809" spans="1:3" s="8" customFormat="1" x14ac:dyDescent="0.2">
      <c r="A20809" s="6" t="str">
        <f>"DEUP1"</f>
        <v>DEUP1</v>
      </c>
      <c r="B20809" s="6" t="s">
        <v>1</v>
      </c>
      <c r="C20809" s="6" t="s">
        <v>1</v>
      </c>
    </row>
    <row r="20810" spans="1:3" s="8" customFormat="1" x14ac:dyDescent="0.2">
      <c r="A20810" s="6" t="str">
        <f>"EZH2"</f>
        <v>EZH2</v>
      </c>
      <c r="B20810" s="6" t="s">
        <v>1</v>
      </c>
      <c r="C20810" s="6" t="s">
        <v>1</v>
      </c>
    </row>
    <row r="20811" spans="1:3" s="8" customFormat="1" x14ac:dyDescent="0.2">
      <c r="A20811" s="6" t="str">
        <f>"IDNK"</f>
        <v>IDNK</v>
      </c>
      <c r="B20811" s="6" t="s">
        <v>1</v>
      </c>
      <c r="C20811" s="6" t="s">
        <v>1</v>
      </c>
    </row>
    <row r="20812" spans="1:3" s="8" customFormat="1" x14ac:dyDescent="0.2">
      <c r="A20812" s="6" t="str">
        <f>"OBI1"</f>
        <v>OBI1</v>
      </c>
      <c r="B20812" s="6" t="s">
        <v>1</v>
      </c>
      <c r="C20812" s="6" t="s">
        <v>1</v>
      </c>
    </row>
    <row r="20813" spans="1:3" s="8" customFormat="1" x14ac:dyDescent="0.2">
      <c r="A20813" s="6" t="str">
        <f>"LINC01133"</f>
        <v>LINC01133</v>
      </c>
      <c r="B20813" s="6" t="s">
        <v>1</v>
      </c>
      <c r="C20813" s="6" t="s">
        <v>1</v>
      </c>
    </row>
    <row r="20814" spans="1:3" s="8" customFormat="1" x14ac:dyDescent="0.2">
      <c r="A20814" s="6" t="str">
        <f>"LENG9"</f>
        <v>LENG9</v>
      </c>
      <c r="B20814" s="6" t="s">
        <v>1</v>
      </c>
      <c r="C20814" s="6" t="s">
        <v>1</v>
      </c>
    </row>
    <row r="20815" spans="1:3" s="8" customFormat="1" x14ac:dyDescent="0.2">
      <c r="A20815" s="6" t="str">
        <f>"MED17"</f>
        <v>MED17</v>
      </c>
      <c r="B20815" s="6" t="s">
        <v>1</v>
      </c>
      <c r="C20815" s="6" t="s">
        <v>1</v>
      </c>
    </row>
    <row r="20816" spans="1:3" s="8" customFormat="1" x14ac:dyDescent="0.2">
      <c r="A20816" s="6" t="str">
        <f>"ZNF625-ZNF20"</f>
        <v>ZNF625-ZNF20</v>
      </c>
      <c r="B20816" s="6" t="s">
        <v>1</v>
      </c>
      <c r="C20816" s="6" t="s">
        <v>1</v>
      </c>
    </row>
    <row r="20817" spans="1:3" s="8" customFormat="1" x14ac:dyDescent="0.2">
      <c r="A20817" s="6" t="str">
        <f>"CRYBG2"</f>
        <v>CRYBG2</v>
      </c>
      <c r="B20817" s="6" t="s">
        <v>1</v>
      </c>
      <c r="C20817" s="6" t="s">
        <v>1</v>
      </c>
    </row>
    <row r="20818" spans="1:3" s="8" customFormat="1" x14ac:dyDescent="0.2">
      <c r="A20818" s="6" t="str">
        <f>"SAA2-SAA4"</f>
        <v>SAA2-SAA4</v>
      </c>
      <c r="B20818" s="6" t="s">
        <v>1</v>
      </c>
      <c r="C20818" s="6" t="s">
        <v>1</v>
      </c>
    </row>
    <row r="20819" spans="1:3" s="8" customFormat="1" x14ac:dyDescent="0.2">
      <c r="A20819" s="6" t="str">
        <f>"SRR"</f>
        <v>SRR</v>
      </c>
      <c r="B20819" s="6" t="s">
        <v>1</v>
      </c>
      <c r="C20819" s="6" t="s">
        <v>1</v>
      </c>
    </row>
    <row r="20820" spans="1:3" s="8" customFormat="1" x14ac:dyDescent="0.2">
      <c r="A20820" s="6" t="str">
        <f>"M1AP"</f>
        <v>M1AP</v>
      </c>
      <c r="B20820" s="6" t="s">
        <v>1</v>
      </c>
      <c r="C20820" s="6" t="s">
        <v>1</v>
      </c>
    </row>
    <row r="20821" spans="1:3" s="8" customFormat="1" x14ac:dyDescent="0.2">
      <c r="A20821" s="6" t="str">
        <f>"KANSL2"</f>
        <v>KANSL2</v>
      </c>
      <c r="B20821" s="6" t="s">
        <v>1</v>
      </c>
      <c r="C20821" s="6" t="s">
        <v>1</v>
      </c>
    </row>
    <row r="20822" spans="1:3" s="8" customFormat="1" x14ac:dyDescent="0.2">
      <c r="A20822" s="6" t="str">
        <f>"CASS4"</f>
        <v>CASS4</v>
      </c>
      <c r="B20822" s="6" t="s">
        <v>1</v>
      </c>
      <c r="C20822" s="6" t="s">
        <v>1</v>
      </c>
    </row>
    <row r="20823" spans="1:3" s="8" customFormat="1" x14ac:dyDescent="0.2">
      <c r="A20823" s="6" t="str">
        <f>"AC093512.2"</f>
        <v>AC093512.2</v>
      </c>
      <c r="B20823" s="6" t="s">
        <v>1</v>
      </c>
      <c r="C20823" s="6" t="s">
        <v>1</v>
      </c>
    </row>
    <row r="20824" spans="1:3" s="8" customFormat="1" x14ac:dyDescent="0.2">
      <c r="A20824" s="6" t="str">
        <f>"CCR1"</f>
        <v>CCR1</v>
      </c>
      <c r="B20824" s="6" t="s">
        <v>1</v>
      </c>
      <c r="C20824" s="6" t="s">
        <v>1</v>
      </c>
    </row>
    <row r="20825" spans="1:3" s="8" customFormat="1" x14ac:dyDescent="0.2">
      <c r="A20825" s="6" t="str">
        <f>"MED20"</f>
        <v>MED20</v>
      </c>
      <c r="B20825" s="6" t="s">
        <v>1</v>
      </c>
      <c r="C20825" s="6" t="s">
        <v>1</v>
      </c>
    </row>
    <row r="20826" spans="1:3" s="8" customFormat="1" x14ac:dyDescent="0.2">
      <c r="A20826" s="6" t="str">
        <f>"EXOSC8"</f>
        <v>EXOSC8</v>
      </c>
      <c r="B20826" s="6" t="s">
        <v>1</v>
      </c>
      <c r="C20826" s="6" t="s">
        <v>1</v>
      </c>
    </row>
    <row r="20827" spans="1:3" s="8" customFormat="1" x14ac:dyDescent="0.2">
      <c r="A20827" s="6" t="str">
        <f>"LNC-LBCS"</f>
        <v>LNC-LBCS</v>
      </c>
      <c r="B20827" s="6" t="s">
        <v>1</v>
      </c>
      <c r="C20827" s="6" t="s">
        <v>1</v>
      </c>
    </row>
    <row r="20828" spans="1:3" s="8" customFormat="1" x14ac:dyDescent="0.2">
      <c r="A20828" s="6" t="str">
        <f>"TMEM126B"</f>
        <v>TMEM126B</v>
      </c>
      <c r="B20828" s="6" t="s">
        <v>1</v>
      </c>
      <c r="C20828" s="6" t="s">
        <v>1</v>
      </c>
    </row>
    <row r="20829" spans="1:3" s="8" customFormat="1" x14ac:dyDescent="0.2">
      <c r="A20829" s="6" t="str">
        <f>"TTC7B"</f>
        <v>TTC7B</v>
      </c>
      <c r="B20829" s="6" t="s">
        <v>1</v>
      </c>
      <c r="C20829" s="6" t="s">
        <v>1</v>
      </c>
    </row>
    <row r="20830" spans="1:3" s="8" customFormat="1" x14ac:dyDescent="0.2">
      <c r="A20830" s="6" t="str">
        <f>"LCMT2"</f>
        <v>LCMT2</v>
      </c>
      <c r="B20830" s="6" t="s">
        <v>1</v>
      </c>
      <c r="C20830" s="6" t="s">
        <v>1</v>
      </c>
    </row>
    <row r="20831" spans="1:3" s="8" customFormat="1" x14ac:dyDescent="0.2">
      <c r="A20831" s="6" t="str">
        <f>"PCDHGB7"</f>
        <v>PCDHGB7</v>
      </c>
      <c r="B20831" s="6" t="s">
        <v>1</v>
      </c>
      <c r="C20831" s="6" t="s">
        <v>1</v>
      </c>
    </row>
    <row r="20832" spans="1:3" s="8" customFormat="1" x14ac:dyDescent="0.2">
      <c r="A20832" s="6" t="str">
        <f>"GJB4"</f>
        <v>GJB4</v>
      </c>
      <c r="B20832" s="6" t="s">
        <v>1</v>
      </c>
      <c r="C20832" s="6" t="s">
        <v>1</v>
      </c>
    </row>
    <row r="20833" spans="1:3" s="8" customFormat="1" x14ac:dyDescent="0.2">
      <c r="A20833" s="6" t="str">
        <f>"FYN"</f>
        <v>FYN</v>
      </c>
      <c r="B20833" s="6" t="s">
        <v>1</v>
      </c>
      <c r="C20833" s="6" t="s">
        <v>1</v>
      </c>
    </row>
    <row r="20834" spans="1:3" s="8" customFormat="1" x14ac:dyDescent="0.2">
      <c r="A20834" s="6" t="str">
        <f>"SAMD10"</f>
        <v>SAMD10</v>
      </c>
      <c r="B20834" s="6" t="s">
        <v>1</v>
      </c>
      <c r="C20834" s="6" t="s">
        <v>1</v>
      </c>
    </row>
    <row r="20835" spans="1:3" s="8" customFormat="1" x14ac:dyDescent="0.2">
      <c r="A20835" s="6" t="str">
        <f>"CNTLN"</f>
        <v>CNTLN</v>
      </c>
      <c r="B20835" s="6" t="s">
        <v>1</v>
      </c>
      <c r="C20835" s="6" t="s">
        <v>1</v>
      </c>
    </row>
    <row r="20836" spans="1:3" s="8" customFormat="1" x14ac:dyDescent="0.2">
      <c r="A20836" s="6" t="str">
        <f>"LMNTD1"</f>
        <v>LMNTD1</v>
      </c>
      <c r="B20836" s="6" t="s">
        <v>1</v>
      </c>
      <c r="C20836" s="6" t="s">
        <v>1</v>
      </c>
    </row>
    <row r="20837" spans="1:3" s="8" customFormat="1" x14ac:dyDescent="0.2">
      <c r="A20837" s="6" t="str">
        <f>"MCM8"</f>
        <v>MCM8</v>
      </c>
      <c r="B20837" s="6" t="s">
        <v>1</v>
      </c>
      <c r="C20837" s="6" t="s">
        <v>1</v>
      </c>
    </row>
    <row r="20838" spans="1:3" s="8" customFormat="1" x14ac:dyDescent="0.2">
      <c r="A20838" s="6" t="str">
        <f>"RPP21"</f>
        <v>RPP21</v>
      </c>
      <c r="B20838" s="6" t="s">
        <v>1</v>
      </c>
      <c r="C20838" s="6" t="s">
        <v>1</v>
      </c>
    </row>
    <row r="20839" spans="1:3" s="8" customFormat="1" x14ac:dyDescent="0.2">
      <c r="A20839" s="6" t="str">
        <f>"INTS2"</f>
        <v>INTS2</v>
      </c>
      <c r="B20839" s="6" t="s">
        <v>1</v>
      </c>
      <c r="C20839" s="6" t="s">
        <v>1</v>
      </c>
    </row>
    <row r="20840" spans="1:3" s="8" customFormat="1" x14ac:dyDescent="0.2">
      <c r="A20840" s="6" t="str">
        <f>"KLK6"</f>
        <v>KLK6</v>
      </c>
      <c r="B20840" s="6" t="s">
        <v>1</v>
      </c>
      <c r="C20840" s="6" t="s">
        <v>1</v>
      </c>
    </row>
    <row r="20841" spans="1:3" s="8" customFormat="1" x14ac:dyDescent="0.2">
      <c r="A20841" s="6" t="str">
        <f>"MITF"</f>
        <v>MITF</v>
      </c>
      <c r="B20841" s="6" t="s">
        <v>1</v>
      </c>
      <c r="C20841" s="6" t="s">
        <v>1</v>
      </c>
    </row>
    <row r="20842" spans="1:3" s="8" customFormat="1" x14ac:dyDescent="0.2">
      <c r="A20842" s="6" t="str">
        <f>"MYCT1"</f>
        <v>MYCT1</v>
      </c>
      <c r="B20842" s="6" t="s">
        <v>1</v>
      </c>
      <c r="C20842" s="6" t="s">
        <v>1</v>
      </c>
    </row>
    <row r="20843" spans="1:3" s="8" customFormat="1" x14ac:dyDescent="0.2">
      <c r="A20843" s="6" t="str">
        <f>"GMFG"</f>
        <v>GMFG</v>
      </c>
      <c r="B20843" s="6" t="s">
        <v>1</v>
      </c>
      <c r="C20843" s="6" t="s">
        <v>1</v>
      </c>
    </row>
    <row r="20844" spans="1:3" s="8" customFormat="1" x14ac:dyDescent="0.2">
      <c r="A20844" s="6" t="str">
        <f>"NDUFAF8"</f>
        <v>NDUFAF8</v>
      </c>
      <c r="B20844" s="6" t="s">
        <v>1</v>
      </c>
      <c r="C20844" s="6" t="s">
        <v>1</v>
      </c>
    </row>
    <row r="20845" spans="1:3" s="8" customFormat="1" x14ac:dyDescent="0.2">
      <c r="A20845" s="6" t="str">
        <f>"LINC01106"</f>
        <v>LINC01106</v>
      </c>
      <c r="B20845" s="6" t="s">
        <v>1</v>
      </c>
      <c r="C20845" s="6" t="s">
        <v>1</v>
      </c>
    </row>
    <row r="20846" spans="1:3" s="8" customFormat="1" x14ac:dyDescent="0.2">
      <c r="A20846" s="6" t="str">
        <f>"ATAD2"</f>
        <v>ATAD2</v>
      </c>
      <c r="B20846" s="6" t="s">
        <v>1</v>
      </c>
      <c r="C20846" s="6" t="s">
        <v>1</v>
      </c>
    </row>
    <row r="20847" spans="1:3" s="8" customFormat="1" x14ac:dyDescent="0.2">
      <c r="A20847" s="6" t="str">
        <f>"ZNF605"</f>
        <v>ZNF605</v>
      </c>
      <c r="B20847" s="6" t="s">
        <v>1</v>
      </c>
      <c r="C20847" s="6" t="s">
        <v>1</v>
      </c>
    </row>
    <row r="20848" spans="1:3" s="8" customFormat="1" x14ac:dyDescent="0.2">
      <c r="A20848" s="6" t="str">
        <f>"TNFRSF10A"</f>
        <v>TNFRSF10A</v>
      </c>
      <c r="B20848" s="6" t="s">
        <v>1</v>
      </c>
      <c r="C20848" s="6" t="s">
        <v>1</v>
      </c>
    </row>
    <row r="20849" spans="1:3" s="8" customFormat="1" x14ac:dyDescent="0.2">
      <c r="A20849" s="6" t="str">
        <f>"SRFBP1"</f>
        <v>SRFBP1</v>
      </c>
      <c r="B20849" s="6" t="s">
        <v>1</v>
      </c>
      <c r="C20849" s="6" t="s">
        <v>1</v>
      </c>
    </row>
    <row r="20850" spans="1:3" s="8" customFormat="1" x14ac:dyDescent="0.2">
      <c r="A20850" s="6" t="str">
        <f>"MED31"</f>
        <v>MED31</v>
      </c>
      <c r="B20850" s="6" t="s">
        <v>1</v>
      </c>
      <c r="C20850" s="6" t="s">
        <v>1</v>
      </c>
    </row>
    <row r="20851" spans="1:3" s="8" customFormat="1" x14ac:dyDescent="0.2">
      <c r="A20851" s="6" t="str">
        <f>"VIPAS39"</f>
        <v>VIPAS39</v>
      </c>
      <c r="B20851" s="6" t="s">
        <v>1</v>
      </c>
      <c r="C20851" s="6" t="s">
        <v>1</v>
      </c>
    </row>
    <row r="20852" spans="1:3" s="8" customFormat="1" x14ac:dyDescent="0.2">
      <c r="A20852" s="6" t="str">
        <f>"CREB5"</f>
        <v>CREB5</v>
      </c>
      <c r="B20852" s="6" t="s">
        <v>1</v>
      </c>
      <c r="C20852" s="6" t="s">
        <v>1</v>
      </c>
    </row>
    <row r="20853" spans="1:3" s="8" customFormat="1" x14ac:dyDescent="0.2">
      <c r="A20853" s="6" t="str">
        <f>"WNT5B"</f>
        <v>WNT5B</v>
      </c>
      <c r="B20853" s="6" t="s">
        <v>1</v>
      </c>
      <c r="C20853" s="6" t="s">
        <v>1</v>
      </c>
    </row>
    <row r="20854" spans="1:3" s="8" customFormat="1" x14ac:dyDescent="0.2">
      <c r="A20854" s="6" t="str">
        <f>"CYP2U1"</f>
        <v>CYP2U1</v>
      </c>
      <c r="B20854" s="6" t="s">
        <v>1</v>
      </c>
      <c r="C20854" s="6" t="s">
        <v>1</v>
      </c>
    </row>
    <row r="20855" spans="1:3" s="8" customFormat="1" x14ac:dyDescent="0.2">
      <c r="A20855" s="6" t="str">
        <f>"SMARCAL1"</f>
        <v>SMARCAL1</v>
      </c>
      <c r="B20855" s="6" t="s">
        <v>1</v>
      </c>
      <c r="C20855" s="6" t="s">
        <v>1</v>
      </c>
    </row>
    <row r="20856" spans="1:3" s="8" customFormat="1" x14ac:dyDescent="0.2">
      <c r="A20856" s="6" t="str">
        <f>"GRB10"</f>
        <v>GRB10</v>
      </c>
      <c r="B20856" s="6" t="s">
        <v>1</v>
      </c>
      <c r="C20856" s="6" t="s">
        <v>1</v>
      </c>
    </row>
    <row r="20857" spans="1:3" s="8" customFormat="1" x14ac:dyDescent="0.2">
      <c r="A20857" s="6" t="str">
        <f>"EXOSC3"</f>
        <v>EXOSC3</v>
      </c>
      <c r="B20857" s="6" t="s">
        <v>1</v>
      </c>
      <c r="C20857" s="6" t="s">
        <v>1</v>
      </c>
    </row>
    <row r="20858" spans="1:3" s="8" customFormat="1" x14ac:dyDescent="0.2">
      <c r="A20858" s="6" t="str">
        <f>"KLHDC8A"</f>
        <v>KLHDC8A</v>
      </c>
      <c r="B20858" s="6" t="s">
        <v>1</v>
      </c>
      <c r="C20858" s="6" t="s">
        <v>1</v>
      </c>
    </row>
    <row r="20859" spans="1:3" s="8" customFormat="1" x14ac:dyDescent="0.2">
      <c r="A20859" s="6" t="str">
        <f>"ZNF606"</f>
        <v>ZNF606</v>
      </c>
      <c r="B20859" s="6" t="s">
        <v>1</v>
      </c>
      <c r="C20859" s="6" t="s">
        <v>1</v>
      </c>
    </row>
    <row r="20860" spans="1:3" s="8" customFormat="1" x14ac:dyDescent="0.2">
      <c r="A20860" s="6" t="str">
        <f>"TRIAP1"</f>
        <v>TRIAP1</v>
      </c>
      <c r="B20860" s="6" t="s">
        <v>1</v>
      </c>
      <c r="C20860" s="6" t="s">
        <v>1</v>
      </c>
    </row>
    <row r="20861" spans="1:3" s="8" customFormat="1" x14ac:dyDescent="0.2">
      <c r="A20861" s="6" t="str">
        <f>"GRHL3"</f>
        <v>GRHL3</v>
      </c>
      <c r="B20861" s="6" t="s">
        <v>1</v>
      </c>
      <c r="C20861" s="6" t="s">
        <v>1</v>
      </c>
    </row>
    <row r="20862" spans="1:3" s="8" customFormat="1" x14ac:dyDescent="0.2">
      <c r="A20862" s="6" t="str">
        <f>"CARNMT1"</f>
        <v>CARNMT1</v>
      </c>
      <c r="B20862" s="6" t="s">
        <v>1</v>
      </c>
      <c r="C20862" s="6" t="s">
        <v>1</v>
      </c>
    </row>
    <row r="20863" spans="1:3" s="8" customFormat="1" x14ac:dyDescent="0.2">
      <c r="A20863" s="6" t="str">
        <f>"DOCK2"</f>
        <v>DOCK2</v>
      </c>
      <c r="B20863" s="6" t="s">
        <v>1</v>
      </c>
      <c r="C20863" s="6" t="s">
        <v>1</v>
      </c>
    </row>
    <row r="20864" spans="1:3" s="8" customFormat="1" x14ac:dyDescent="0.2">
      <c r="A20864" s="6" t="str">
        <f>"EXOSC2"</f>
        <v>EXOSC2</v>
      </c>
      <c r="B20864" s="6" t="s">
        <v>1</v>
      </c>
      <c r="C20864" s="6" t="s">
        <v>1</v>
      </c>
    </row>
    <row r="20865" spans="1:3" s="8" customFormat="1" x14ac:dyDescent="0.2">
      <c r="A20865" s="6" t="str">
        <f>"LONRF1"</f>
        <v>LONRF1</v>
      </c>
      <c r="B20865" s="6" t="s">
        <v>1</v>
      </c>
      <c r="C20865" s="6" t="s">
        <v>1</v>
      </c>
    </row>
    <row r="20866" spans="1:3" s="8" customFormat="1" x14ac:dyDescent="0.2">
      <c r="A20866" s="6" t="str">
        <f>"LGR6"</f>
        <v>LGR6</v>
      </c>
      <c r="B20866" s="6" t="s">
        <v>1</v>
      </c>
      <c r="C20866" s="6" t="s">
        <v>1</v>
      </c>
    </row>
    <row r="20867" spans="1:3" s="8" customFormat="1" x14ac:dyDescent="0.2">
      <c r="A20867" s="6" t="str">
        <f>"INTS12"</f>
        <v>INTS12</v>
      </c>
      <c r="B20867" s="6" t="s">
        <v>1</v>
      </c>
      <c r="C20867" s="6" t="s">
        <v>1</v>
      </c>
    </row>
    <row r="20868" spans="1:3" s="8" customFormat="1" x14ac:dyDescent="0.2">
      <c r="A20868" s="6" t="str">
        <f>"PLIN5"</f>
        <v>PLIN5</v>
      </c>
      <c r="B20868" s="6" t="s">
        <v>1</v>
      </c>
      <c r="C20868" s="6" t="s">
        <v>1</v>
      </c>
    </row>
    <row r="20869" spans="1:3" s="8" customFormat="1" x14ac:dyDescent="0.2">
      <c r="A20869" s="6" t="str">
        <f>"S100A7"</f>
        <v>S100A7</v>
      </c>
      <c r="B20869" s="6" t="s">
        <v>1</v>
      </c>
      <c r="C20869" s="6" t="s">
        <v>1</v>
      </c>
    </row>
    <row r="20870" spans="1:3" s="8" customFormat="1" x14ac:dyDescent="0.2">
      <c r="A20870" s="6" t="str">
        <f>"CRISPLD1"</f>
        <v>CRISPLD1</v>
      </c>
      <c r="B20870" s="6" t="s">
        <v>1</v>
      </c>
      <c r="C20870" s="6" t="s">
        <v>1</v>
      </c>
    </row>
    <row r="20871" spans="1:3" s="8" customFormat="1" x14ac:dyDescent="0.2">
      <c r="A20871" s="6" t="str">
        <f>"TBC1D30"</f>
        <v>TBC1D30</v>
      </c>
      <c r="B20871" s="6" t="s">
        <v>1</v>
      </c>
      <c r="C20871" s="6" t="s">
        <v>1</v>
      </c>
    </row>
    <row r="20872" spans="1:3" s="8" customFormat="1" x14ac:dyDescent="0.2">
      <c r="A20872" s="6" t="str">
        <f>"ID4"</f>
        <v>ID4</v>
      </c>
      <c r="B20872" s="6" t="s">
        <v>1</v>
      </c>
      <c r="C20872" s="6" t="s">
        <v>1</v>
      </c>
    </row>
    <row r="20873" spans="1:3" s="8" customFormat="1" x14ac:dyDescent="0.2">
      <c r="A20873" s="6" t="str">
        <f>"PAFAH1B3"</f>
        <v>PAFAH1B3</v>
      </c>
      <c r="B20873" s="6" t="s">
        <v>1</v>
      </c>
      <c r="C20873" s="6" t="s">
        <v>1</v>
      </c>
    </row>
    <row r="20874" spans="1:3" s="8" customFormat="1" x14ac:dyDescent="0.2">
      <c r="A20874" s="6" t="str">
        <f>"GLIPR1"</f>
        <v>GLIPR1</v>
      </c>
      <c r="B20874" s="6" t="s">
        <v>1</v>
      </c>
      <c r="C20874" s="6" t="s">
        <v>1</v>
      </c>
    </row>
    <row r="20875" spans="1:3" s="8" customFormat="1" x14ac:dyDescent="0.2">
      <c r="A20875" s="6" t="str">
        <f>"MKI67"</f>
        <v>MKI67</v>
      </c>
      <c r="B20875" s="6" t="s">
        <v>1</v>
      </c>
      <c r="C20875" s="6" t="s">
        <v>1</v>
      </c>
    </row>
    <row r="20876" spans="1:3" s="8" customFormat="1" x14ac:dyDescent="0.2">
      <c r="A20876" s="6" t="str">
        <f>"EED"</f>
        <v>EED</v>
      </c>
      <c r="B20876" s="6" t="s">
        <v>1</v>
      </c>
      <c r="C20876" s="6" t="s">
        <v>1</v>
      </c>
    </row>
    <row r="20877" spans="1:3" s="8" customFormat="1" x14ac:dyDescent="0.2">
      <c r="A20877" s="6" t="str">
        <f>"ZNF275"</f>
        <v>ZNF275</v>
      </c>
      <c r="B20877" s="6" t="s">
        <v>1</v>
      </c>
      <c r="C20877" s="6" t="s">
        <v>1</v>
      </c>
    </row>
    <row r="20878" spans="1:3" s="8" customFormat="1" x14ac:dyDescent="0.2">
      <c r="A20878" s="6" t="str">
        <f>"CCNB1IP1"</f>
        <v>CCNB1IP1</v>
      </c>
      <c r="B20878" s="6" t="s">
        <v>1</v>
      </c>
      <c r="C20878" s="6" t="s">
        <v>1</v>
      </c>
    </row>
    <row r="20879" spans="1:3" s="8" customFormat="1" x14ac:dyDescent="0.2">
      <c r="A20879" s="6" t="str">
        <f>"SRRD"</f>
        <v>SRRD</v>
      </c>
      <c r="B20879" s="6" t="s">
        <v>1</v>
      </c>
      <c r="C20879" s="6" t="s">
        <v>1</v>
      </c>
    </row>
    <row r="20880" spans="1:3" s="8" customFormat="1" x14ac:dyDescent="0.2">
      <c r="A20880" s="6" t="str">
        <f>"PPARGC1B"</f>
        <v>PPARGC1B</v>
      </c>
      <c r="B20880" s="6" t="s">
        <v>1</v>
      </c>
      <c r="C20880" s="6" t="s">
        <v>1</v>
      </c>
    </row>
    <row r="20881" spans="1:3" s="8" customFormat="1" x14ac:dyDescent="0.2">
      <c r="A20881" s="6" t="str">
        <f>"IQCC"</f>
        <v>IQCC</v>
      </c>
      <c r="B20881" s="6" t="s">
        <v>1</v>
      </c>
      <c r="C20881" s="6" t="s">
        <v>1</v>
      </c>
    </row>
    <row r="20882" spans="1:3" s="8" customFormat="1" x14ac:dyDescent="0.2">
      <c r="A20882" s="6" t="str">
        <f>"LDHD"</f>
        <v>LDHD</v>
      </c>
      <c r="B20882" s="6" t="s">
        <v>1</v>
      </c>
      <c r="C20882" s="6" t="s">
        <v>1</v>
      </c>
    </row>
    <row r="20883" spans="1:3" s="8" customFormat="1" x14ac:dyDescent="0.2">
      <c r="A20883" s="6" t="str">
        <f>"TGFB2"</f>
        <v>TGFB2</v>
      </c>
      <c r="B20883" s="6" t="s">
        <v>1</v>
      </c>
      <c r="C20883" s="6" t="s">
        <v>1</v>
      </c>
    </row>
    <row r="20884" spans="1:3" s="8" customFormat="1" x14ac:dyDescent="0.2">
      <c r="A20884" s="6" t="str">
        <f>"HAS3"</f>
        <v>HAS3</v>
      </c>
      <c r="B20884" s="6" t="s">
        <v>1</v>
      </c>
      <c r="C20884" s="6" t="s">
        <v>1</v>
      </c>
    </row>
    <row r="20885" spans="1:3" s="8" customFormat="1" x14ac:dyDescent="0.2">
      <c r="A20885" s="6" t="str">
        <f>"NDUFAF2"</f>
        <v>NDUFAF2</v>
      </c>
      <c r="B20885" s="6" t="s">
        <v>1</v>
      </c>
      <c r="C20885" s="6" t="s">
        <v>1</v>
      </c>
    </row>
    <row r="20886" spans="1:3" s="8" customFormat="1" x14ac:dyDescent="0.2">
      <c r="A20886" s="6" t="str">
        <f>"SLC25A43"</f>
        <v>SLC25A43</v>
      </c>
      <c r="B20886" s="6" t="s">
        <v>1</v>
      </c>
      <c r="C20886" s="6" t="s">
        <v>1</v>
      </c>
    </row>
    <row r="20887" spans="1:3" s="8" customFormat="1" x14ac:dyDescent="0.2">
      <c r="A20887" s="6" t="str">
        <f>"MIS12"</f>
        <v>MIS12</v>
      </c>
      <c r="B20887" s="6" t="s">
        <v>1</v>
      </c>
      <c r="C20887" s="6" t="s">
        <v>1</v>
      </c>
    </row>
    <row r="20888" spans="1:3" s="8" customFormat="1" x14ac:dyDescent="0.2">
      <c r="A20888" s="6" t="str">
        <f>"INO80C"</f>
        <v>INO80C</v>
      </c>
      <c r="B20888" s="6" t="s">
        <v>1</v>
      </c>
      <c r="C20888" s="6" t="s">
        <v>1</v>
      </c>
    </row>
    <row r="20889" spans="1:3" s="8" customFormat="1" x14ac:dyDescent="0.2">
      <c r="A20889" s="6" t="str">
        <f>"FMO5"</f>
        <v>FMO5</v>
      </c>
      <c r="B20889" s="6" t="s">
        <v>1</v>
      </c>
      <c r="C20889" s="6" t="s">
        <v>1</v>
      </c>
    </row>
    <row r="20890" spans="1:3" s="8" customFormat="1" x14ac:dyDescent="0.2">
      <c r="A20890" s="6" t="str">
        <f>"VKORC1"</f>
        <v>VKORC1</v>
      </c>
      <c r="B20890" s="6" t="s">
        <v>1</v>
      </c>
      <c r="C20890" s="6" t="s">
        <v>1</v>
      </c>
    </row>
    <row r="20891" spans="1:3" s="8" customFormat="1" x14ac:dyDescent="0.2">
      <c r="A20891" s="6" t="str">
        <f>"FANCI"</f>
        <v>FANCI</v>
      </c>
      <c r="B20891" s="6" t="s">
        <v>1</v>
      </c>
      <c r="C20891" s="6" t="s">
        <v>1</v>
      </c>
    </row>
    <row r="20892" spans="1:3" s="8" customFormat="1" x14ac:dyDescent="0.2">
      <c r="A20892" s="6" t="str">
        <f>"GPR180"</f>
        <v>GPR180</v>
      </c>
      <c r="B20892" s="6" t="s">
        <v>1</v>
      </c>
      <c r="C20892" s="6" t="s">
        <v>1</v>
      </c>
    </row>
    <row r="20893" spans="1:3" s="8" customFormat="1" x14ac:dyDescent="0.2">
      <c r="A20893" s="6" t="str">
        <f>"FKBP6"</f>
        <v>FKBP6</v>
      </c>
      <c r="B20893" s="6" t="s">
        <v>1</v>
      </c>
      <c r="C20893" s="6" t="s">
        <v>1</v>
      </c>
    </row>
    <row r="20894" spans="1:3" s="8" customFormat="1" x14ac:dyDescent="0.2">
      <c r="A20894" s="6" t="str">
        <f>"KLK7"</f>
        <v>KLK7</v>
      </c>
      <c r="B20894" s="6" t="s">
        <v>1</v>
      </c>
      <c r="C20894" s="6" t="s">
        <v>1</v>
      </c>
    </row>
    <row r="20895" spans="1:3" s="8" customFormat="1" x14ac:dyDescent="0.2">
      <c r="A20895" s="6" t="str">
        <f>"MAK16"</f>
        <v>MAK16</v>
      </c>
      <c r="B20895" s="6" t="s">
        <v>1</v>
      </c>
      <c r="C20895" s="6" t="s">
        <v>1</v>
      </c>
    </row>
    <row r="20896" spans="1:3" s="8" customFormat="1" x14ac:dyDescent="0.2">
      <c r="A20896" s="6" t="str">
        <f>"TNFRSF6B"</f>
        <v>TNFRSF6B</v>
      </c>
      <c r="B20896" s="6" t="s">
        <v>1</v>
      </c>
      <c r="C20896" s="6" t="s">
        <v>1</v>
      </c>
    </row>
    <row r="20897" spans="1:3" s="8" customFormat="1" x14ac:dyDescent="0.2">
      <c r="A20897" s="6" t="str">
        <f>"MYL6B"</f>
        <v>MYL6B</v>
      </c>
      <c r="B20897" s="6" t="s">
        <v>1</v>
      </c>
      <c r="C20897" s="6" t="s">
        <v>1</v>
      </c>
    </row>
    <row r="20898" spans="1:3" s="8" customFormat="1" x14ac:dyDescent="0.2">
      <c r="A20898" s="6" t="str">
        <f>"AC060780.1"</f>
        <v>AC060780.1</v>
      </c>
      <c r="B20898" s="6" t="s">
        <v>1</v>
      </c>
      <c r="C20898" s="6" t="s">
        <v>1</v>
      </c>
    </row>
    <row r="20899" spans="1:3" s="8" customFormat="1" x14ac:dyDescent="0.2">
      <c r="A20899" s="6" t="str">
        <f>"NOL12"</f>
        <v>NOL12</v>
      </c>
      <c r="B20899" s="6" t="s">
        <v>1</v>
      </c>
      <c r="C20899" s="6" t="s">
        <v>1</v>
      </c>
    </row>
    <row r="20900" spans="1:3" s="8" customFormat="1" x14ac:dyDescent="0.2">
      <c r="A20900" s="6" t="str">
        <f>"PCSK4"</f>
        <v>PCSK4</v>
      </c>
      <c r="B20900" s="6" t="s">
        <v>1</v>
      </c>
      <c r="C20900" s="6" t="s">
        <v>1</v>
      </c>
    </row>
    <row r="20901" spans="1:3" s="8" customFormat="1" x14ac:dyDescent="0.2">
      <c r="A20901" s="6" t="str">
        <f>"INAFM2"</f>
        <v>INAFM2</v>
      </c>
      <c r="B20901" s="6" t="s">
        <v>1</v>
      </c>
      <c r="C20901" s="6" t="s">
        <v>1</v>
      </c>
    </row>
    <row r="20902" spans="1:3" s="8" customFormat="1" x14ac:dyDescent="0.2">
      <c r="A20902" s="6" t="str">
        <f>"STXBP4"</f>
        <v>STXBP4</v>
      </c>
      <c r="B20902" s="6" t="s">
        <v>1</v>
      </c>
      <c r="C20902" s="6" t="s">
        <v>1</v>
      </c>
    </row>
    <row r="20903" spans="1:3" s="8" customFormat="1" x14ac:dyDescent="0.2">
      <c r="A20903" s="6" t="str">
        <f>"RPP30"</f>
        <v>RPP30</v>
      </c>
      <c r="B20903" s="6" t="s">
        <v>1</v>
      </c>
      <c r="C20903" s="6" t="s">
        <v>1</v>
      </c>
    </row>
    <row r="20904" spans="1:3" s="8" customFormat="1" x14ac:dyDescent="0.2">
      <c r="A20904" s="6" t="str">
        <f>"SLC26A4-AS1"</f>
        <v>SLC26A4-AS1</v>
      </c>
      <c r="B20904" s="6" t="s">
        <v>1</v>
      </c>
      <c r="C20904" s="6" t="s">
        <v>1</v>
      </c>
    </row>
    <row r="20905" spans="1:3" s="8" customFormat="1" x14ac:dyDescent="0.2">
      <c r="A20905" s="6" t="str">
        <f>"OTULIN"</f>
        <v>OTULIN</v>
      </c>
      <c r="B20905" s="6" t="s">
        <v>1</v>
      </c>
      <c r="C20905" s="6" t="s">
        <v>1</v>
      </c>
    </row>
    <row r="20906" spans="1:3" s="8" customFormat="1" x14ac:dyDescent="0.2">
      <c r="A20906" s="6" t="str">
        <f>"SHANK3"</f>
        <v>SHANK3</v>
      </c>
      <c r="B20906" s="6" t="s">
        <v>1</v>
      </c>
      <c r="C20906" s="6" t="s">
        <v>1</v>
      </c>
    </row>
    <row r="20907" spans="1:3" s="8" customFormat="1" x14ac:dyDescent="0.2">
      <c r="A20907" s="6" t="str">
        <f>"MLLT3"</f>
        <v>MLLT3</v>
      </c>
      <c r="B20907" s="6" t="s">
        <v>1</v>
      </c>
      <c r="C20907" s="6" t="s">
        <v>1</v>
      </c>
    </row>
    <row r="20908" spans="1:3" s="8" customFormat="1" x14ac:dyDescent="0.2">
      <c r="A20908" s="6" t="str">
        <f>"UGGT2"</f>
        <v>UGGT2</v>
      </c>
      <c r="B20908" s="6" t="s">
        <v>1</v>
      </c>
      <c r="C20908" s="6" t="s">
        <v>1</v>
      </c>
    </row>
    <row r="20909" spans="1:3" s="8" customFormat="1" x14ac:dyDescent="0.2">
      <c r="A20909" s="6" t="str">
        <f>"HABP4"</f>
        <v>HABP4</v>
      </c>
      <c r="B20909" s="6" t="s">
        <v>1</v>
      </c>
      <c r="C20909" s="6" t="s">
        <v>1</v>
      </c>
    </row>
    <row r="20910" spans="1:3" s="8" customFormat="1" x14ac:dyDescent="0.2">
      <c r="A20910" s="6" t="str">
        <f>"WNT4"</f>
        <v>WNT4</v>
      </c>
      <c r="B20910" s="6" t="s">
        <v>1</v>
      </c>
      <c r="C20910" s="6" t="s">
        <v>1</v>
      </c>
    </row>
    <row r="20911" spans="1:3" s="8" customFormat="1" x14ac:dyDescent="0.2">
      <c r="A20911" s="6" t="str">
        <f>"RPP25"</f>
        <v>RPP25</v>
      </c>
      <c r="B20911" s="6" t="s">
        <v>1</v>
      </c>
      <c r="C20911" s="6" t="s">
        <v>1</v>
      </c>
    </row>
    <row r="20912" spans="1:3" s="8" customFormat="1" x14ac:dyDescent="0.2">
      <c r="A20912" s="6" t="str">
        <f>"N4BP3"</f>
        <v>N4BP3</v>
      </c>
      <c r="B20912" s="6" t="s">
        <v>1</v>
      </c>
      <c r="C20912" s="6" t="s">
        <v>1</v>
      </c>
    </row>
    <row r="20913" spans="1:3" s="8" customFormat="1" x14ac:dyDescent="0.2">
      <c r="A20913" s="6" t="str">
        <f>"COA7"</f>
        <v>COA7</v>
      </c>
      <c r="B20913" s="6" t="s">
        <v>1</v>
      </c>
      <c r="C20913" s="6" t="s">
        <v>1</v>
      </c>
    </row>
    <row r="20914" spans="1:3" s="8" customFormat="1" x14ac:dyDescent="0.2">
      <c r="A20914" s="6" t="str">
        <f>"GPR87"</f>
        <v>GPR87</v>
      </c>
      <c r="B20914" s="6" t="s">
        <v>1</v>
      </c>
      <c r="C20914" s="6" t="s">
        <v>1</v>
      </c>
    </row>
    <row r="20915" spans="1:3" s="8" customFormat="1" x14ac:dyDescent="0.2">
      <c r="A20915" s="6" t="str">
        <f>"MED19"</f>
        <v>MED19</v>
      </c>
      <c r="B20915" s="6" t="s">
        <v>1</v>
      </c>
      <c r="C20915" s="6" t="s">
        <v>1</v>
      </c>
    </row>
    <row r="20916" spans="1:3" s="8" customFormat="1" x14ac:dyDescent="0.2">
      <c r="A20916" s="6" t="str">
        <f>"ZSCAN32"</f>
        <v>ZSCAN32</v>
      </c>
      <c r="B20916" s="6" t="s">
        <v>1</v>
      </c>
      <c r="C20916" s="6" t="s">
        <v>1</v>
      </c>
    </row>
    <row r="20917" spans="1:3" s="8" customFormat="1" x14ac:dyDescent="0.2">
      <c r="A20917" s="6" t="str">
        <f>"CHST14"</f>
        <v>CHST14</v>
      </c>
      <c r="B20917" s="6" t="s">
        <v>1</v>
      </c>
      <c r="C20917" s="6" t="s">
        <v>1</v>
      </c>
    </row>
    <row r="20918" spans="1:3" s="8" customFormat="1" x14ac:dyDescent="0.2">
      <c r="A20918" s="6" t="str">
        <f>"CARD8"</f>
        <v>CARD8</v>
      </c>
      <c r="B20918" s="6" t="s">
        <v>1</v>
      </c>
      <c r="C20918" s="6" t="s">
        <v>1</v>
      </c>
    </row>
    <row r="20919" spans="1:3" s="8" customFormat="1" x14ac:dyDescent="0.2">
      <c r="A20919" s="6" t="str">
        <f>"KLHL11"</f>
        <v>KLHL11</v>
      </c>
      <c r="B20919" s="6" t="s">
        <v>1</v>
      </c>
      <c r="C20919" s="6" t="s">
        <v>1</v>
      </c>
    </row>
    <row r="20920" spans="1:3" s="8" customFormat="1" x14ac:dyDescent="0.2">
      <c r="A20920" s="6" t="str">
        <f>"ZNF593"</f>
        <v>ZNF593</v>
      </c>
      <c r="B20920" s="6" t="s">
        <v>1</v>
      </c>
      <c r="C20920" s="6" t="s">
        <v>1</v>
      </c>
    </row>
    <row r="20921" spans="1:3" s="8" customFormat="1" x14ac:dyDescent="0.2">
      <c r="A20921" s="6" t="str">
        <f>"JRKL"</f>
        <v>JRKL</v>
      </c>
      <c r="B20921" s="6" t="s">
        <v>1</v>
      </c>
      <c r="C20921" s="6" t="s">
        <v>1</v>
      </c>
    </row>
    <row r="20922" spans="1:3" s="8" customFormat="1" x14ac:dyDescent="0.2">
      <c r="A20922" s="6" t="str">
        <f>"MCAM"</f>
        <v>MCAM</v>
      </c>
      <c r="B20922" s="6" t="s">
        <v>1</v>
      </c>
      <c r="C20922" s="6" t="s">
        <v>1</v>
      </c>
    </row>
    <row r="20923" spans="1:3" s="8" customFormat="1" x14ac:dyDescent="0.2">
      <c r="A20923" s="6" t="str">
        <f>"FAM83B"</f>
        <v>FAM83B</v>
      </c>
      <c r="B20923" s="6" t="s">
        <v>1</v>
      </c>
      <c r="C20923" s="6" t="s">
        <v>1</v>
      </c>
    </row>
    <row r="20924" spans="1:3" s="8" customFormat="1" x14ac:dyDescent="0.2">
      <c r="A20924" s="6" t="str">
        <f>"RETREG1"</f>
        <v>RETREG1</v>
      </c>
      <c r="B20924" s="6" t="s">
        <v>1</v>
      </c>
      <c r="C20924" s="6" t="s">
        <v>1</v>
      </c>
    </row>
    <row r="20925" spans="1:3" s="8" customFormat="1" x14ac:dyDescent="0.2">
      <c r="A20925" s="6" t="str">
        <f>"THAP6"</f>
        <v>THAP6</v>
      </c>
      <c r="B20925" s="6" t="s">
        <v>1</v>
      </c>
      <c r="C20925" s="6" t="s">
        <v>1</v>
      </c>
    </row>
    <row r="20926" spans="1:3" s="8" customFormat="1" x14ac:dyDescent="0.2">
      <c r="A20926" s="6" t="str">
        <f>"C2orf69"</f>
        <v>C2orf69</v>
      </c>
      <c r="B20926" s="6" t="s">
        <v>1</v>
      </c>
      <c r="C20926" s="6" t="s">
        <v>1</v>
      </c>
    </row>
    <row r="20927" spans="1:3" s="8" customFormat="1" x14ac:dyDescent="0.2">
      <c r="A20927" s="6" t="str">
        <f>"H2BC5"</f>
        <v>H2BC5</v>
      </c>
      <c r="B20927" s="6" t="s">
        <v>1</v>
      </c>
      <c r="C20927" s="6" t="s">
        <v>1</v>
      </c>
    </row>
    <row r="20928" spans="1:3" s="8" customFormat="1" x14ac:dyDescent="0.2">
      <c r="A20928" s="6" t="str">
        <f>"AC004832.1"</f>
        <v>AC004832.1</v>
      </c>
      <c r="B20928" s="6" t="s">
        <v>1</v>
      </c>
      <c r="C20928" s="6" t="s">
        <v>1</v>
      </c>
    </row>
    <row r="20929" spans="1:3" s="8" customFormat="1" x14ac:dyDescent="0.2">
      <c r="A20929" s="6" t="str">
        <f>"MED27"</f>
        <v>MED27</v>
      </c>
      <c r="B20929" s="6" t="s">
        <v>1</v>
      </c>
      <c r="C20929" s="6" t="s">
        <v>1</v>
      </c>
    </row>
    <row r="20930" spans="1:3" s="8" customFormat="1" x14ac:dyDescent="0.2">
      <c r="A20930" s="6" t="str">
        <f>"KATNAL1"</f>
        <v>KATNAL1</v>
      </c>
      <c r="B20930" s="6" t="s">
        <v>1</v>
      </c>
      <c r="C20930" s="6" t="s">
        <v>1</v>
      </c>
    </row>
    <row r="20931" spans="1:3" s="8" customFormat="1" x14ac:dyDescent="0.2">
      <c r="A20931" s="6" t="str">
        <f>"TBC1D3L"</f>
        <v>TBC1D3L</v>
      </c>
      <c r="B20931" s="6" t="s">
        <v>1</v>
      </c>
      <c r="C20931" s="6" t="s">
        <v>1</v>
      </c>
    </row>
    <row r="20932" spans="1:3" s="8" customFormat="1" x14ac:dyDescent="0.2">
      <c r="A20932" s="6" t="str">
        <f>"DNAJC17"</f>
        <v>DNAJC17</v>
      </c>
      <c r="B20932" s="6" t="s">
        <v>1</v>
      </c>
      <c r="C20932" s="6" t="s">
        <v>1</v>
      </c>
    </row>
    <row r="20933" spans="1:3" s="8" customFormat="1" x14ac:dyDescent="0.2">
      <c r="A20933" s="6" t="str">
        <f>"SH3RF3"</f>
        <v>SH3RF3</v>
      </c>
      <c r="B20933" s="6" t="s">
        <v>1</v>
      </c>
      <c r="C20933" s="6" t="s">
        <v>1</v>
      </c>
    </row>
    <row r="20934" spans="1:3" s="8" customFormat="1" x14ac:dyDescent="0.2">
      <c r="A20934" s="6" t="str">
        <f>"AC022107.1"</f>
        <v>AC022107.1</v>
      </c>
      <c r="B20934" s="6" t="s">
        <v>1</v>
      </c>
      <c r="C20934" s="6" t="s">
        <v>1</v>
      </c>
    </row>
    <row r="20935" spans="1:3" s="8" customFormat="1" x14ac:dyDescent="0.2">
      <c r="A20935" s="6" t="str">
        <f>"TMEM128"</f>
        <v>TMEM128</v>
      </c>
      <c r="B20935" s="6" t="s">
        <v>1</v>
      </c>
      <c r="C20935" s="6" t="s">
        <v>1</v>
      </c>
    </row>
    <row r="20936" spans="1:3" s="8" customFormat="1" x14ac:dyDescent="0.2">
      <c r="A20936" s="6" t="str">
        <f>"NDUFAF6"</f>
        <v>NDUFAF6</v>
      </c>
      <c r="B20936" s="6" t="s">
        <v>1</v>
      </c>
      <c r="C20936" s="6" t="s">
        <v>1</v>
      </c>
    </row>
    <row r="20937" spans="1:3" s="8" customFormat="1" x14ac:dyDescent="0.2">
      <c r="A20937" s="6" t="str">
        <f>"HMBS"</f>
        <v>HMBS</v>
      </c>
      <c r="B20937" s="6" t="s">
        <v>1</v>
      </c>
      <c r="C20937" s="6" t="s">
        <v>1</v>
      </c>
    </row>
    <row r="20938" spans="1:3" s="8" customFormat="1" x14ac:dyDescent="0.2">
      <c r="A20938" s="6" t="str">
        <f>"FHOD1"</f>
        <v>FHOD1</v>
      </c>
      <c r="B20938" s="6" t="s">
        <v>1</v>
      </c>
      <c r="C20938" s="6" t="s">
        <v>1</v>
      </c>
    </row>
    <row r="20939" spans="1:3" s="8" customFormat="1" x14ac:dyDescent="0.2">
      <c r="A20939" s="6" t="str">
        <f>"COA6"</f>
        <v>COA6</v>
      </c>
      <c r="B20939" s="6" t="s">
        <v>1</v>
      </c>
      <c r="C20939" s="6" t="s">
        <v>1</v>
      </c>
    </row>
    <row r="20940" spans="1:3" s="8" customFormat="1" x14ac:dyDescent="0.2">
      <c r="A20940" s="6" t="str">
        <f>"LDAH"</f>
        <v>LDAH</v>
      </c>
      <c r="B20940" s="6" t="s">
        <v>1</v>
      </c>
      <c r="C20940" s="6" t="s">
        <v>1</v>
      </c>
    </row>
    <row r="20941" spans="1:3" s="8" customFormat="1" x14ac:dyDescent="0.2">
      <c r="A20941" s="6" t="str">
        <f>"LYRM9"</f>
        <v>LYRM9</v>
      </c>
      <c r="B20941" s="6" t="s">
        <v>1</v>
      </c>
      <c r="C20941" s="6" t="s">
        <v>1</v>
      </c>
    </row>
    <row r="20942" spans="1:3" s="8" customFormat="1" x14ac:dyDescent="0.2">
      <c r="A20942" s="6" t="str">
        <f>"COA8"</f>
        <v>COA8</v>
      </c>
      <c r="B20942" s="6" t="s">
        <v>1</v>
      </c>
      <c r="C20942" s="6" t="s">
        <v>1</v>
      </c>
    </row>
    <row r="20943" spans="1:3" s="8" customFormat="1" x14ac:dyDescent="0.2">
      <c r="A20943" s="6" t="str">
        <f>"TGIF2"</f>
        <v>TGIF2</v>
      </c>
      <c r="B20943" s="6" t="s">
        <v>1</v>
      </c>
      <c r="C20943" s="6" t="s">
        <v>1</v>
      </c>
    </row>
    <row r="20944" spans="1:3" s="8" customFormat="1" x14ac:dyDescent="0.2">
      <c r="A20944" s="6" t="str">
        <f>"DNAJC19"</f>
        <v>DNAJC19</v>
      </c>
      <c r="B20944" s="6" t="s">
        <v>1</v>
      </c>
      <c r="C20944" s="6" t="s">
        <v>1</v>
      </c>
    </row>
    <row r="20945" spans="1:3" s="8" customFormat="1" x14ac:dyDescent="0.2">
      <c r="A20945" s="6" t="str">
        <f>"PRMT3"</f>
        <v>PRMT3</v>
      </c>
      <c r="B20945" s="6" t="s">
        <v>1</v>
      </c>
      <c r="C20945" s="6" t="s">
        <v>1</v>
      </c>
    </row>
    <row r="20946" spans="1:3" s="8" customFormat="1" x14ac:dyDescent="0.2">
      <c r="A20946" s="6" t="str">
        <f>"LINC02188"</f>
        <v>LINC02188</v>
      </c>
      <c r="B20946" s="6" t="s">
        <v>1</v>
      </c>
      <c r="C20946" s="6" t="s">
        <v>1</v>
      </c>
    </row>
    <row r="20947" spans="1:3" s="8" customFormat="1" x14ac:dyDescent="0.2">
      <c r="A20947" s="6" t="str">
        <f>"INTS9"</f>
        <v>INTS9</v>
      </c>
      <c r="B20947" s="6" t="s">
        <v>1</v>
      </c>
      <c r="C20947" s="6" t="s">
        <v>1</v>
      </c>
    </row>
    <row r="20948" spans="1:3" s="8" customFormat="1" x14ac:dyDescent="0.2">
      <c r="A20948" s="6" t="str">
        <f>"ZBTB9"</f>
        <v>ZBTB9</v>
      </c>
      <c r="B20948" s="6" t="s">
        <v>1</v>
      </c>
      <c r="C20948" s="6" t="s">
        <v>1</v>
      </c>
    </row>
    <row r="20949" spans="1:3" s="8" customFormat="1" x14ac:dyDescent="0.2">
      <c r="A20949" s="6" t="str">
        <f>"RERG"</f>
        <v>RERG</v>
      </c>
      <c r="B20949" s="6" t="s">
        <v>1</v>
      </c>
      <c r="C20949" s="6" t="s">
        <v>1</v>
      </c>
    </row>
    <row r="20950" spans="1:3" s="8" customFormat="1" x14ac:dyDescent="0.2">
      <c r="A20950" s="6" t="str">
        <f>"ZNF281"</f>
        <v>ZNF281</v>
      </c>
      <c r="B20950" s="6" t="s">
        <v>1</v>
      </c>
      <c r="C20950" s="6" t="s">
        <v>1</v>
      </c>
    </row>
    <row r="20951" spans="1:3" s="8" customFormat="1" x14ac:dyDescent="0.2">
      <c r="A20951" s="6" t="str">
        <f>"BARX2"</f>
        <v>BARX2</v>
      </c>
      <c r="B20951" s="6" t="s">
        <v>1</v>
      </c>
      <c r="C20951" s="6" t="s">
        <v>1</v>
      </c>
    </row>
    <row r="20952" spans="1:3" s="8" customFormat="1" x14ac:dyDescent="0.2">
      <c r="A20952" s="6" t="str">
        <f>"MYNN"</f>
        <v>MYNN</v>
      </c>
      <c r="B20952" s="6" t="s">
        <v>1</v>
      </c>
      <c r="C20952" s="6" t="s">
        <v>1</v>
      </c>
    </row>
    <row r="20953" spans="1:3" s="8" customFormat="1" x14ac:dyDescent="0.2">
      <c r="A20953" s="6" t="str">
        <f>"FKTN"</f>
        <v>FKTN</v>
      </c>
      <c r="B20953" s="6" t="s">
        <v>1</v>
      </c>
      <c r="C20953" s="6" t="s">
        <v>1</v>
      </c>
    </row>
    <row r="20954" spans="1:3" s="8" customFormat="1" x14ac:dyDescent="0.2">
      <c r="A20954" s="6" t="str">
        <f>"NUP42"</f>
        <v>NUP42</v>
      </c>
      <c r="B20954" s="6" t="s">
        <v>1</v>
      </c>
      <c r="C20954" s="6" t="s">
        <v>1</v>
      </c>
    </row>
    <row r="20955" spans="1:3" s="8" customFormat="1" x14ac:dyDescent="0.2">
      <c r="A20955" s="6" t="str">
        <f>"ENTPD1"</f>
        <v>ENTPD1</v>
      </c>
      <c r="B20955" s="6" t="s">
        <v>1</v>
      </c>
      <c r="C20955" s="6" t="s">
        <v>1</v>
      </c>
    </row>
    <row r="20956" spans="1:3" s="8" customFormat="1" x14ac:dyDescent="0.2">
      <c r="A20956" s="6" t="str">
        <f>"EBF4"</f>
        <v>EBF4</v>
      </c>
      <c r="B20956" s="6" t="s">
        <v>1</v>
      </c>
      <c r="C20956" s="6" t="s">
        <v>1</v>
      </c>
    </row>
    <row r="20957" spans="1:3" s="8" customFormat="1" x14ac:dyDescent="0.2">
      <c r="A20957" s="6" t="str">
        <f>"CRELD1"</f>
        <v>CRELD1</v>
      </c>
      <c r="B20957" s="6" t="s">
        <v>1</v>
      </c>
      <c r="C20957" s="6" t="s">
        <v>1</v>
      </c>
    </row>
    <row r="20958" spans="1:3" s="8" customFormat="1" x14ac:dyDescent="0.2">
      <c r="A20958" s="6" t="str">
        <f>"MYL9"</f>
        <v>MYL9</v>
      </c>
      <c r="B20958" s="6" t="s">
        <v>1</v>
      </c>
      <c r="C20958" s="6" t="s">
        <v>1</v>
      </c>
    </row>
    <row r="20959" spans="1:3" s="8" customFormat="1" x14ac:dyDescent="0.2">
      <c r="A20959" s="6" t="str">
        <f>"HAUS2"</f>
        <v>HAUS2</v>
      </c>
      <c r="B20959" s="6" t="s">
        <v>1</v>
      </c>
      <c r="C20959" s="6" t="s">
        <v>1</v>
      </c>
    </row>
    <row r="20960" spans="1:3" s="8" customFormat="1" x14ac:dyDescent="0.2">
      <c r="A20960" s="6" t="str">
        <f>"TMEM161B"</f>
        <v>TMEM161B</v>
      </c>
      <c r="B20960" s="6" t="s">
        <v>1</v>
      </c>
      <c r="C20960" s="6" t="s">
        <v>1</v>
      </c>
    </row>
    <row r="20961" spans="1:3" s="8" customFormat="1" x14ac:dyDescent="0.2">
      <c r="A20961" s="6" t="str">
        <f>"NUDT8"</f>
        <v>NUDT8</v>
      </c>
      <c r="B20961" s="6" t="s">
        <v>1</v>
      </c>
      <c r="C20961" s="6" t="s">
        <v>1</v>
      </c>
    </row>
    <row r="20962" spans="1:3" s="8" customFormat="1" x14ac:dyDescent="0.2">
      <c r="A20962" s="6" t="str">
        <f>"MRPL48"</f>
        <v>MRPL48</v>
      </c>
      <c r="B20962" s="6" t="s">
        <v>1</v>
      </c>
      <c r="C20962" s="6" t="s">
        <v>1</v>
      </c>
    </row>
    <row r="20963" spans="1:3" s="8" customFormat="1" x14ac:dyDescent="0.2">
      <c r="A20963" s="6" t="str">
        <f>"ASB3"</f>
        <v>ASB3</v>
      </c>
      <c r="B20963" s="6" t="s">
        <v>1</v>
      </c>
      <c r="C20963" s="6" t="s">
        <v>1</v>
      </c>
    </row>
    <row r="20964" spans="1:3" s="8" customFormat="1" x14ac:dyDescent="0.2">
      <c r="A20964" s="6" t="str">
        <f>"OVOL2"</f>
        <v>OVOL2</v>
      </c>
      <c r="B20964" s="6" t="s">
        <v>1</v>
      </c>
      <c r="C20964" s="6" t="s">
        <v>1</v>
      </c>
    </row>
    <row r="20965" spans="1:3" s="8" customFormat="1" x14ac:dyDescent="0.2">
      <c r="A20965" s="6" t="str">
        <f>"CASP6"</f>
        <v>CASP6</v>
      </c>
      <c r="B20965" s="6" t="s">
        <v>1</v>
      </c>
      <c r="C20965" s="6" t="s">
        <v>1</v>
      </c>
    </row>
    <row r="20966" spans="1:3" s="8" customFormat="1" x14ac:dyDescent="0.2">
      <c r="A20966" s="6" t="str">
        <f>"KLHL28"</f>
        <v>KLHL28</v>
      </c>
      <c r="B20966" s="6" t="s">
        <v>1</v>
      </c>
      <c r="C20966" s="6" t="s">
        <v>1</v>
      </c>
    </row>
    <row r="20967" spans="1:3" s="8" customFormat="1" x14ac:dyDescent="0.2">
      <c r="A20967" s="6" t="str">
        <f>"CNTNAP3B"</f>
        <v>CNTNAP3B</v>
      </c>
      <c r="B20967" s="6" t="s">
        <v>1</v>
      </c>
      <c r="C20967" s="6" t="s">
        <v>1</v>
      </c>
    </row>
    <row r="20968" spans="1:3" s="8" customFormat="1" x14ac:dyDescent="0.2">
      <c r="A20968" s="6" t="str">
        <f>"SLC26A11"</f>
        <v>SLC26A11</v>
      </c>
      <c r="B20968" s="6" t="s">
        <v>1</v>
      </c>
      <c r="C20968" s="6" t="s">
        <v>1</v>
      </c>
    </row>
    <row r="20969" spans="1:3" s="8" customFormat="1" x14ac:dyDescent="0.2">
      <c r="A20969" s="6" t="str">
        <f>"AC022034.1"</f>
        <v>AC022034.1</v>
      </c>
      <c r="B20969" s="6" t="s">
        <v>1</v>
      </c>
      <c r="C20969" s="6" t="s">
        <v>1</v>
      </c>
    </row>
    <row r="20970" spans="1:3" s="8" customFormat="1" x14ac:dyDescent="0.2">
      <c r="A20970" s="6" t="str">
        <f>"MYCBPAP"</f>
        <v>MYCBPAP</v>
      </c>
      <c r="B20970" s="6" t="s">
        <v>1</v>
      </c>
      <c r="C20970" s="6" t="s">
        <v>1</v>
      </c>
    </row>
    <row r="20971" spans="1:3" s="8" customFormat="1" x14ac:dyDescent="0.2">
      <c r="A20971" s="6" t="str">
        <f>"WRAP73"</f>
        <v>WRAP73</v>
      </c>
      <c r="B20971" s="6" t="s">
        <v>1</v>
      </c>
      <c r="C20971" s="6" t="s">
        <v>1</v>
      </c>
    </row>
    <row r="20972" spans="1:3" s="8" customFormat="1" x14ac:dyDescent="0.2">
      <c r="A20972" s="6" t="str">
        <f>"ZW10"</f>
        <v>ZW10</v>
      </c>
      <c r="B20972" s="6" t="s">
        <v>1</v>
      </c>
      <c r="C20972" s="6" t="s">
        <v>1</v>
      </c>
    </row>
    <row r="20973" spans="1:3" s="8" customFormat="1" x14ac:dyDescent="0.2">
      <c r="A20973" s="6" t="str">
        <f>"C2orf73"</f>
        <v>C2orf73</v>
      </c>
      <c r="B20973" s="6" t="s">
        <v>1</v>
      </c>
      <c r="C20973" s="6" t="s">
        <v>1</v>
      </c>
    </row>
    <row r="20974" spans="1:3" s="8" customFormat="1" x14ac:dyDescent="0.2">
      <c r="A20974" s="6" t="str">
        <f>"H4C14"</f>
        <v>H4C14</v>
      </c>
      <c r="B20974" s="6" t="s">
        <v>1</v>
      </c>
      <c r="C20974" s="6" t="s">
        <v>1</v>
      </c>
    </row>
    <row r="20975" spans="1:3" s="8" customFormat="1" x14ac:dyDescent="0.2">
      <c r="A20975" s="6" t="str">
        <f>"ZNF236"</f>
        <v>ZNF236</v>
      </c>
      <c r="B20975" s="6" t="s">
        <v>1</v>
      </c>
      <c r="C20975" s="6" t="s">
        <v>1</v>
      </c>
    </row>
    <row r="20976" spans="1:3" s="8" customFormat="1" x14ac:dyDescent="0.2">
      <c r="A20976" s="6" t="str">
        <f>"INTS7"</f>
        <v>INTS7</v>
      </c>
      <c r="B20976" s="6" t="s">
        <v>1</v>
      </c>
      <c r="C20976" s="6" t="s">
        <v>1</v>
      </c>
    </row>
    <row r="20977" spans="1:3" s="8" customFormat="1" x14ac:dyDescent="0.2">
      <c r="A20977" s="6" t="str">
        <f>"FAM76A"</f>
        <v>FAM76A</v>
      </c>
      <c r="B20977" s="6" t="s">
        <v>1</v>
      </c>
      <c r="C20977" s="6" t="s">
        <v>1</v>
      </c>
    </row>
    <row r="20978" spans="1:3" s="8" customFormat="1" x14ac:dyDescent="0.2">
      <c r="A20978" s="6" t="str">
        <f>"HCFC1R1"</f>
        <v>HCFC1R1</v>
      </c>
      <c r="B20978" s="6" t="s">
        <v>1</v>
      </c>
      <c r="C20978" s="6" t="s">
        <v>1</v>
      </c>
    </row>
    <row r="20979" spans="1:3" s="8" customFormat="1" x14ac:dyDescent="0.2">
      <c r="A20979" s="6" t="str">
        <f>"LRIF1"</f>
        <v>LRIF1</v>
      </c>
      <c r="B20979" s="6" t="s">
        <v>1</v>
      </c>
      <c r="C20979" s="6" t="s">
        <v>1</v>
      </c>
    </row>
    <row r="20980" spans="1:3" s="8" customFormat="1" x14ac:dyDescent="0.2">
      <c r="A20980" s="6" t="str">
        <f>"CYP26A1"</f>
        <v>CYP26A1</v>
      </c>
      <c r="B20980" s="6" t="s">
        <v>1</v>
      </c>
      <c r="C20980" s="6" t="s">
        <v>1</v>
      </c>
    </row>
    <row r="20981" spans="1:3" s="8" customFormat="1" x14ac:dyDescent="0.2">
      <c r="A20981" s="6" t="str">
        <f>"EXOSC9"</f>
        <v>EXOSC9</v>
      </c>
      <c r="B20981" s="6" t="s">
        <v>1</v>
      </c>
      <c r="C20981" s="6" t="s">
        <v>1</v>
      </c>
    </row>
    <row r="20982" spans="1:3" s="8" customFormat="1" x14ac:dyDescent="0.2">
      <c r="A20982" s="6" t="str">
        <f>"MACROH2A2"</f>
        <v>MACROH2A2</v>
      </c>
      <c r="B20982" s="6" t="s">
        <v>1</v>
      </c>
      <c r="C20982" s="6" t="s">
        <v>1</v>
      </c>
    </row>
    <row r="20983" spans="1:3" s="8" customFormat="1" x14ac:dyDescent="0.2">
      <c r="A20983" s="6" t="str">
        <f>"AC245100.7"</f>
        <v>AC245100.7</v>
      </c>
      <c r="B20983" s="6" t="s">
        <v>1</v>
      </c>
      <c r="C20983" s="6" t="s">
        <v>1</v>
      </c>
    </row>
    <row r="20984" spans="1:3" s="8" customFormat="1" x14ac:dyDescent="0.2">
      <c r="A20984" s="6" t="str">
        <f>"TTI1"</f>
        <v>TTI1</v>
      </c>
      <c r="B20984" s="6" t="s">
        <v>1</v>
      </c>
      <c r="C20984" s="6" t="s">
        <v>1</v>
      </c>
    </row>
    <row r="20985" spans="1:3" s="8" customFormat="1" x14ac:dyDescent="0.2">
      <c r="A20985" s="6" t="str">
        <f>"LPIN3"</f>
        <v>LPIN3</v>
      </c>
      <c r="B20985" s="6" t="s">
        <v>1</v>
      </c>
      <c r="C20985" s="6" t="s">
        <v>1</v>
      </c>
    </row>
    <row r="20986" spans="1:3" s="8" customFormat="1" x14ac:dyDescent="0.2">
      <c r="A20986" s="6" t="str">
        <f>"PADI2"</f>
        <v>PADI2</v>
      </c>
      <c r="B20986" s="6" t="s">
        <v>1</v>
      </c>
      <c r="C20986" s="6" t="s">
        <v>1</v>
      </c>
    </row>
    <row r="20987" spans="1:3" s="8" customFormat="1" x14ac:dyDescent="0.2">
      <c r="A20987" s="6" t="str">
        <f>"MRPS36"</f>
        <v>MRPS36</v>
      </c>
      <c r="B20987" s="6" t="s">
        <v>1</v>
      </c>
      <c r="C20987" s="6" t="s">
        <v>1</v>
      </c>
    </row>
    <row r="20988" spans="1:3" s="8" customFormat="1" x14ac:dyDescent="0.2">
      <c r="A20988" s="6" t="str">
        <f>"ENDOV"</f>
        <v>ENDOV</v>
      </c>
      <c r="B20988" s="6" t="s">
        <v>1</v>
      </c>
      <c r="C20988" s="6" t="s">
        <v>1</v>
      </c>
    </row>
    <row r="20989" spans="1:3" s="8" customFormat="1" x14ac:dyDescent="0.2">
      <c r="A20989" s="6" t="str">
        <f>"SOCS5"</f>
        <v>SOCS5</v>
      </c>
      <c r="B20989" s="6" t="s">
        <v>1</v>
      </c>
      <c r="C20989" s="6" t="s">
        <v>1</v>
      </c>
    </row>
    <row r="20990" spans="1:3" s="8" customFormat="1" x14ac:dyDescent="0.2">
      <c r="A20990" s="6" t="str">
        <f>"PCNX2"</f>
        <v>PCNX2</v>
      </c>
      <c r="B20990" s="6" t="s">
        <v>1</v>
      </c>
      <c r="C20990" s="6" t="s">
        <v>1</v>
      </c>
    </row>
    <row r="20991" spans="1:3" s="8" customFormat="1" x14ac:dyDescent="0.2">
      <c r="A20991" s="6" t="str">
        <f>"AC010132.3"</f>
        <v>AC010132.3</v>
      </c>
      <c r="B20991" s="6" t="s">
        <v>1</v>
      </c>
      <c r="C20991" s="6" t="s">
        <v>1</v>
      </c>
    </row>
    <row r="20992" spans="1:3" s="8" customFormat="1" x14ac:dyDescent="0.2">
      <c r="A20992" s="6" t="str">
        <f>"EXOSC4"</f>
        <v>EXOSC4</v>
      </c>
      <c r="B20992" s="6" t="s">
        <v>1</v>
      </c>
      <c r="C20992" s="6" t="s">
        <v>1</v>
      </c>
    </row>
    <row r="20993" spans="1:3" s="8" customFormat="1" x14ac:dyDescent="0.2">
      <c r="A20993" s="6" t="str">
        <f>"KCNJ2"</f>
        <v>KCNJ2</v>
      </c>
      <c r="B20993" s="6" t="s">
        <v>1</v>
      </c>
      <c r="C20993" s="6" t="s">
        <v>1</v>
      </c>
    </row>
    <row r="20994" spans="1:3" s="8" customFormat="1" x14ac:dyDescent="0.2">
      <c r="A20994" s="6" t="str">
        <f>"FAAH2"</f>
        <v>FAAH2</v>
      </c>
      <c r="B20994" s="6" t="s">
        <v>1</v>
      </c>
      <c r="C20994" s="6" t="s">
        <v>1</v>
      </c>
    </row>
    <row r="20995" spans="1:3" s="8" customFormat="1" x14ac:dyDescent="0.2">
      <c r="A20995" s="6" t="str">
        <f>"FAM81A"</f>
        <v>FAM81A</v>
      </c>
      <c r="B20995" s="6" t="s">
        <v>1</v>
      </c>
      <c r="C20995" s="6" t="s">
        <v>1</v>
      </c>
    </row>
    <row r="20996" spans="1:3" s="8" customFormat="1" x14ac:dyDescent="0.2">
      <c r="A20996" s="6" t="str">
        <f>"PROSER2"</f>
        <v>PROSER2</v>
      </c>
      <c r="B20996" s="6" t="s">
        <v>1</v>
      </c>
      <c r="C20996" s="6" t="s">
        <v>1</v>
      </c>
    </row>
    <row r="20997" spans="1:3" s="8" customFormat="1" x14ac:dyDescent="0.2">
      <c r="A20997" s="6" t="str">
        <f>"ZNF280D"</f>
        <v>ZNF280D</v>
      </c>
      <c r="B20997" s="6" t="s">
        <v>1</v>
      </c>
      <c r="C20997" s="6" t="s">
        <v>1</v>
      </c>
    </row>
    <row r="20998" spans="1:3" s="8" customFormat="1" x14ac:dyDescent="0.2">
      <c r="A20998" s="6" t="str">
        <f>"NUTM2B-AS1"</f>
        <v>NUTM2B-AS1</v>
      </c>
      <c r="B20998" s="6" t="s">
        <v>1</v>
      </c>
      <c r="C20998" s="6" t="s">
        <v>1</v>
      </c>
    </row>
    <row r="20999" spans="1:3" s="8" customFormat="1" x14ac:dyDescent="0.2">
      <c r="A20999" s="6" t="str">
        <f>"INPP5B"</f>
        <v>INPP5B</v>
      </c>
      <c r="B20999" s="6" t="s">
        <v>1</v>
      </c>
      <c r="C20999" s="6" t="s">
        <v>1</v>
      </c>
    </row>
    <row r="21000" spans="1:3" s="8" customFormat="1" x14ac:dyDescent="0.2">
      <c r="A21000" s="6" t="str">
        <f>"FAM102B"</f>
        <v>FAM102B</v>
      </c>
      <c r="B21000" s="6" t="s">
        <v>1</v>
      </c>
      <c r="C21000" s="6" t="s">
        <v>1</v>
      </c>
    </row>
    <row r="21001" spans="1:3" s="8" customFormat="1" x14ac:dyDescent="0.2">
      <c r="A21001" s="6" t="str">
        <f>"FABP5P7"</f>
        <v>FABP5P7</v>
      </c>
      <c r="B21001" s="6" t="s">
        <v>1</v>
      </c>
      <c r="C21001" s="6" t="s">
        <v>1</v>
      </c>
    </row>
    <row r="21002" spans="1:3" s="8" customFormat="1" x14ac:dyDescent="0.2">
      <c r="A21002" s="6" t="str">
        <f>"SELENOM"</f>
        <v>SELENOM</v>
      </c>
      <c r="B21002" s="6" t="s">
        <v>1</v>
      </c>
      <c r="C21002" s="6" t="s">
        <v>1</v>
      </c>
    </row>
    <row r="21003" spans="1:3" s="8" customFormat="1" x14ac:dyDescent="0.2">
      <c r="A21003" s="6" t="str">
        <f>"TNFRSF11A"</f>
        <v>TNFRSF11A</v>
      </c>
      <c r="B21003" s="6" t="s">
        <v>1</v>
      </c>
      <c r="C21003" s="6" t="s">
        <v>1</v>
      </c>
    </row>
    <row r="21004" spans="1:3" s="8" customFormat="1" x14ac:dyDescent="0.2">
      <c r="A21004" s="6" t="str">
        <f>"ASF1A"</f>
        <v>ASF1A</v>
      </c>
      <c r="B21004" s="6" t="s">
        <v>1</v>
      </c>
      <c r="C21004" s="6" t="s">
        <v>1</v>
      </c>
    </row>
    <row r="21005" spans="1:3" s="8" customFormat="1" x14ac:dyDescent="0.2">
      <c r="A21005" s="6" t="str">
        <f>"FAHD2A"</f>
        <v>FAHD2A</v>
      </c>
      <c r="B21005" s="6" t="s">
        <v>1</v>
      </c>
      <c r="C21005" s="6" t="s">
        <v>1</v>
      </c>
    </row>
    <row r="21006" spans="1:3" s="8" customFormat="1" x14ac:dyDescent="0.2">
      <c r="A21006" s="6" t="str">
        <f>"UCHL3"</f>
        <v>UCHL3</v>
      </c>
      <c r="B21006" s="6" t="s">
        <v>1</v>
      </c>
      <c r="C21006" s="6" t="s">
        <v>1</v>
      </c>
    </row>
    <row r="21007" spans="1:3" s="8" customFormat="1" x14ac:dyDescent="0.2">
      <c r="A21007" s="6" t="str">
        <f>"KLHL42"</f>
        <v>KLHL42</v>
      </c>
      <c r="B21007" s="6" t="s">
        <v>1</v>
      </c>
      <c r="C21007" s="6" t="s">
        <v>1</v>
      </c>
    </row>
    <row r="21008" spans="1:3" s="8" customFormat="1" x14ac:dyDescent="0.2">
      <c r="A21008" s="6" t="str">
        <f>"EEF1AKMT2"</f>
        <v>EEF1AKMT2</v>
      </c>
      <c r="B21008" s="6" t="s">
        <v>1</v>
      </c>
      <c r="C21008" s="6" t="s">
        <v>1</v>
      </c>
    </row>
    <row r="21009" spans="1:3" s="8" customFormat="1" x14ac:dyDescent="0.2">
      <c r="A21009" s="6" t="str">
        <f>"MALSU1"</f>
        <v>MALSU1</v>
      </c>
      <c r="B21009" s="6" t="s">
        <v>1</v>
      </c>
      <c r="C21009" s="6" t="s">
        <v>1</v>
      </c>
    </row>
    <row r="21010" spans="1:3" s="8" customFormat="1" x14ac:dyDescent="0.2">
      <c r="A21010" s="6" t="str">
        <f>"HCFC2"</f>
        <v>HCFC2</v>
      </c>
      <c r="B21010" s="6" t="s">
        <v>1</v>
      </c>
      <c r="C21010" s="6" t="s">
        <v>1</v>
      </c>
    </row>
    <row r="21011" spans="1:3" s="8" customFormat="1" x14ac:dyDescent="0.2">
      <c r="A21011" s="6" t="str">
        <f>"KLHL20"</f>
        <v>KLHL20</v>
      </c>
      <c r="B21011" s="6" t="s">
        <v>1</v>
      </c>
      <c r="C21011" s="6" t="s">
        <v>1</v>
      </c>
    </row>
    <row r="21012" spans="1:3" s="8" customFormat="1" x14ac:dyDescent="0.2">
      <c r="A21012" s="6" t="str">
        <f>"EOLA2"</f>
        <v>EOLA2</v>
      </c>
      <c r="B21012" s="6" t="s">
        <v>1</v>
      </c>
      <c r="C21012" s="6" t="s">
        <v>1</v>
      </c>
    </row>
    <row r="21013" spans="1:3" s="8" customFormat="1" x14ac:dyDescent="0.2">
      <c r="A21013" s="6" t="str">
        <f>"MSANTD4"</f>
        <v>MSANTD4</v>
      </c>
      <c r="B21013" s="6" t="s">
        <v>1</v>
      </c>
      <c r="C21013" s="6" t="s">
        <v>1</v>
      </c>
    </row>
    <row r="21014" spans="1:3" s="8" customFormat="1" x14ac:dyDescent="0.2">
      <c r="A21014" s="6" t="str">
        <f>"LRP12"</f>
        <v>LRP12</v>
      </c>
      <c r="B21014" s="6" t="s">
        <v>1</v>
      </c>
      <c r="C21014" s="6" t="s">
        <v>1</v>
      </c>
    </row>
    <row r="21015" spans="1:3" s="8" customFormat="1" x14ac:dyDescent="0.2">
      <c r="A21015" s="6" t="str">
        <f>"CASKIN2"</f>
        <v>CASKIN2</v>
      </c>
      <c r="B21015" s="6" t="s">
        <v>1</v>
      </c>
      <c r="C21015" s="6" t="s">
        <v>1</v>
      </c>
    </row>
    <row r="21016" spans="1:3" s="8" customFormat="1" x14ac:dyDescent="0.2">
      <c r="A21016" s="6" t="str">
        <f>"DNAJB4"</f>
        <v>DNAJB4</v>
      </c>
      <c r="B21016" s="6" t="s">
        <v>1</v>
      </c>
      <c r="C21016" s="6" t="s">
        <v>1</v>
      </c>
    </row>
    <row r="21017" spans="1:3" s="8" customFormat="1" x14ac:dyDescent="0.2">
      <c r="A21017" s="6" t="str">
        <f>"ALG9"</f>
        <v>ALG9</v>
      </c>
      <c r="B21017" s="6" t="s">
        <v>1</v>
      </c>
      <c r="C21017" s="6" t="s">
        <v>1</v>
      </c>
    </row>
    <row r="21018" spans="1:3" s="8" customFormat="1" x14ac:dyDescent="0.2">
      <c r="A21018" s="6" t="str">
        <f>"FLVCR1"</f>
        <v>FLVCR1</v>
      </c>
      <c r="B21018" s="6" t="s">
        <v>1</v>
      </c>
      <c r="C21018" s="6" t="s">
        <v>1</v>
      </c>
    </row>
    <row r="21019" spans="1:3" s="8" customFormat="1" x14ac:dyDescent="0.2">
      <c r="A21019" s="6" t="str">
        <f>"IPPK"</f>
        <v>IPPK</v>
      </c>
      <c r="B21019" s="6" t="s">
        <v>1</v>
      </c>
      <c r="C21019" s="6" t="s">
        <v>1</v>
      </c>
    </row>
    <row r="21020" spans="1:3" s="8" customFormat="1" x14ac:dyDescent="0.2">
      <c r="A21020" s="6" t="str">
        <f>"TNFRSF10D"</f>
        <v>TNFRSF10D</v>
      </c>
      <c r="B21020" s="6" t="s">
        <v>1</v>
      </c>
      <c r="C21020" s="6" t="s">
        <v>1</v>
      </c>
    </row>
    <row r="21021" spans="1:3" s="8" customFormat="1" x14ac:dyDescent="0.2">
      <c r="A21021" s="6" t="str">
        <f>"ZSCAN25"</f>
        <v>ZSCAN25</v>
      </c>
      <c r="B21021" s="6" t="s">
        <v>1</v>
      </c>
      <c r="C21021" s="6" t="s">
        <v>1</v>
      </c>
    </row>
    <row r="21022" spans="1:3" s="8" customFormat="1" x14ac:dyDescent="0.2">
      <c r="A21022" s="6" t="str">
        <f>"NUP43"</f>
        <v>NUP43</v>
      </c>
      <c r="B21022" s="6" t="s">
        <v>1</v>
      </c>
      <c r="C21022" s="6" t="s">
        <v>1</v>
      </c>
    </row>
    <row r="21023" spans="1:3" s="8" customFormat="1" x14ac:dyDescent="0.2">
      <c r="A21023" s="6" t="str">
        <f>"PHYKPL"</f>
        <v>PHYKPL</v>
      </c>
      <c r="B21023" s="6" t="s">
        <v>1</v>
      </c>
      <c r="C21023" s="6" t="s">
        <v>1</v>
      </c>
    </row>
    <row r="21024" spans="1:3" s="8" customFormat="1" x14ac:dyDescent="0.2">
      <c r="A21024" s="6" t="str">
        <f>"ZNF274"</f>
        <v>ZNF274</v>
      </c>
      <c r="B21024" s="6" t="s">
        <v>1</v>
      </c>
      <c r="C21024" s="6" t="s">
        <v>1</v>
      </c>
    </row>
    <row r="21025" spans="1:3" s="8" customFormat="1" x14ac:dyDescent="0.2">
      <c r="A21025" s="6" t="str">
        <f>"GADD45G"</f>
        <v>GADD45G</v>
      </c>
      <c r="B21025" s="6" t="s">
        <v>1</v>
      </c>
      <c r="C21025" s="6" t="s">
        <v>1</v>
      </c>
    </row>
    <row r="21026" spans="1:3" s="8" customFormat="1" x14ac:dyDescent="0.2">
      <c r="A21026" s="6" t="str">
        <f>"CDKN2D"</f>
        <v>CDKN2D</v>
      </c>
      <c r="B21026" s="6" t="s">
        <v>1</v>
      </c>
      <c r="C21026" s="6" t="s">
        <v>1</v>
      </c>
    </row>
    <row r="21027" spans="1:3" s="8" customFormat="1" x14ac:dyDescent="0.2">
      <c r="A21027" s="6" t="str">
        <f>"CASD1"</f>
        <v>CASD1</v>
      </c>
      <c r="B21027" s="6" t="s">
        <v>1</v>
      </c>
      <c r="C21027" s="6" t="s">
        <v>1</v>
      </c>
    </row>
    <row r="21028" spans="1:3" s="8" customFormat="1" x14ac:dyDescent="0.2">
      <c r="A21028" s="6" t="str">
        <f>"SLC28A2"</f>
        <v>SLC28A2</v>
      </c>
      <c r="B21028" s="6" t="s">
        <v>1</v>
      </c>
      <c r="C21028" s="6" t="s">
        <v>1</v>
      </c>
    </row>
    <row r="21029" spans="1:3" s="8" customFormat="1" x14ac:dyDescent="0.2">
      <c r="A21029" s="6" t="str">
        <f>"AC004990.1"</f>
        <v>AC004990.1</v>
      </c>
      <c r="B21029" s="6" t="s">
        <v>1</v>
      </c>
      <c r="C21029" s="6" t="s">
        <v>1</v>
      </c>
    </row>
    <row r="21030" spans="1:3" s="8" customFormat="1" x14ac:dyDescent="0.2">
      <c r="A21030" s="6" t="str">
        <f>"INTS13"</f>
        <v>INTS13</v>
      </c>
      <c r="B21030" s="6" t="s">
        <v>1</v>
      </c>
      <c r="C21030" s="6" t="s">
        <v>1</v>
      </c>
    </row>
    <row r="21031" spans="1:3" s="8" customFormat="1" x14ac:dyDescent="0.2">
      <c r="A21031" s="6" t="str">
        <f>"ALG8"</f>
        <v>ALG8</v>
      </c>
      <c r="B21031" s="6" t="s">
        <v>1</v>
      </c>
      <c r="C21031" s="6" t="s">
        <v>1</v>
      </c>
    </row>
    <row r="21032" spans="1:3" s="8" customFormat="1" x14ac:dyDescent="0.2">
      <c r="A21032" s="6" t="str">
        <f>"NEIL1"</f>
        <v>NEIL1</v>
      </c>
      <c r="B21032" s="6" t="s">
        <v>1</v>
      </c>
      <c r="C21032" s="6" t="s">
        <v>1</v>
      </c>
    </row>
    <row r="21033" spans="1:3" s="8" customFormat="1" x14ac:dyDescent="0.2">
      <c r="A21033" s="6" t="str">
        <f>"ZNF254"</f>
        <v>ZNF254</v>
      </c>
      <c r="B21033" s="6" t="s">
        <v>1</v>
      </c>
      <c r="C21033" s="6" t="s">
        <v>1</v>
      </c>
    </row>
    <row r="21034" spans="1:3" s="8" customFormat="1" x14ac:dyDescent="0.2">
      <c r="A21034" s="6" t="str">
        <f>"BAG4"</f>
        <v>BAG4</v>
      </c>
      <c r="B21034" s="6" t="s">
        <v>1</v>
      </c>
      <c r="C21034" s="6" t="s">
        <v>1</v>
      </c>
    </row>
    <row r="21035" spans="1:3" s="8" customFormat="1" x14ac:dyDescent="0.2">
      <c r="A21035" s="6" t="str">
        <f>"MAGI2-AS3"</f>
        <v>MAGI2-AS3</v>
      </c>
      <c r="B21035" s="6" t="s">
        <v>1</v>
      </c>
      <c r="C21035" s="6" t="s">
        <v>1</v>
      </c>
    </row>
    <row r="21036" spans="1:3" s="8" customFormat="1" x14ac:dyDescent="0.2">
      <c r="A21036" s="6" t="str">
        <f>"NPAT"</f>
        <v>NPAT</v>
      </c>
      <c r="B21036" s="6" t="s">
        <v>1</v>
      </c>
      <c r="C21036" s="6" t="s">
        <v>1</v>
      </c>
    </row>
    <row r="21037" spans="1:3" s="8" customFormat="1" x14ac:dyDescent="0.2">
      <c r="A21037" s="6" t="str">
        <f>"LYRM1"</f>
        <v>LYRM1</v>
      </c>
      <c r="B21037" s="6" t="s">
        <v>1</v>
      </c>
      <c r="C21037" s="6" t="s">
        <v>1</v>
      </c>
    </row>
    <row r="21038" spans="1:3" s="8" customFormat="1" x14ac:dyDescent="0.2">
      <c r="A21038" s="6" t="str">
        <f>"CRIPT"</f>
        <v>CRIPT</v>
      </c>
      <c r="B21038" s="6" t="s">
        <v>1</v>
      </c>
      <c r="C21038" s="6" t="s">
        <v>1</v>
      </c>
    </row>
    <row r="21039" spans="1:3" s="8" customFormat="1" x14ac:dyDescent="0.2">
      <c r="A21039" s="6" t="str">
        <f>"MAD2L1BP"</f>
        <v>MAD2L1BP</v>
      </c>
      <c r="B21039" s="6" t="s">
        <v>1</v>
      </c>
      <c r="C21039" s="6" t="s">
        <v>1</v>
      </c>
    </row>
    <row r="21040" spans="1:3" s="8" customFormat="1" x14ac:dyDescent="0.2">
      <c r="A21040" s="6" t="str">
        <f>"H4C15"</f>
        <v>H4C15</v>
      </c>
      <c r="B21040" s="6" t="s">
        <v>1</v>
      </c>
      <c r="C21040" s="6" t="s">
        <v>1</v>
      </c>
    </row>
    <row r="21041" spans="1:3" s="8" customFormat="1" x14ac:dyDescent="0.2">
      <c r="A21041" s="6" t="str">
        <f>"C2orf74"</f>
        <v>C2orf74</v>
      </c>
      <c r="B21041" s="6" t="s">
        <v>1</v>
      </c>
      <c r="C21041" s="6" t="s">
        <v>1</v>
      </c>
    </row>
    <row r="21042" spans="1:3" s="8" customFormat="1" x14ac:dyDescent="0.2">
      <c r="A21042" s="6" t="str">
        <f>"NECAB3"</f>
        <v>NECAB3</v>
      </c>
      <c r="B21042" s="6" t="s">
        <v>1</v>
      </c>
      <c r="C21042" s="6" t="s">
        <v>1</v>
      </c>
    </row>
    <row r="21043" spans="1:3" s="8" customFormat="1" x14ac:dyDescent="0.2">
      <c r="A21043" s="6" t="str">
        <f>"PHF6"</f>
        <v>PHF6</v>
      </c>
      <c r="B21043" s="6" t="s">
        <v>1</v>
      </c>
      <c r="C21043" s="6" t="s">
        <v>1</v>
      </c>
    </row>
    <row r="21044" spans="1:3" s="8" customFormat="1" x14ac:dyDescent="0.2">
      <c r="A21044" s="6" t="str">
        <f>"DEPTOR"</f>
        <v>DEPTOR</v>
      </c>
      <c r="B21044" s="6" t="s">
        <v>1</v>
      </c>
      <c r="C21044" s="6" t="s">
        <v>1</v>
      </c>
    </row>
    <row r="21045" spans="1:3" s="8" customFormat="1" x14ac:dyDescent="0.2">
      <c r="A21045" s="6" t="str">
        <f>"ENO2"</f>
        <v>ENO2</v>
      </c>
      <c r="B21045" s="6" t="s">
        <v>1</v>
      </c>
      <c r="C21045" s="6" t="s">
        <v>1</v>
      </c>
    </row>
    <row r="21046" spans="1:3" s="8" customFormat="1" x14ac:dyDescent="0.2">
      <c r="A21046" s="6" t="str">
        <f>"FITM2"</f>
        <v>FITM2</v>
      </c>
      <c r="B21046" s="6" t="s">
        <v>1</v>
      </c>
      <c r="C21046" s="6" t="s">
        <v>1</v>
      </c>
    </row>
    <row r="21047" spans="1:3" s="8" customFormat="1" x14ac:dyDescent="0.2">
      <c r="A21047" s="6" t="str">
        <f>"UGT1A6"</f>
        <v>UGT1A6</v>
      </c>
      <c r="B21047" s="6" t="s">
        <v>1</v>
      </c>
      <c r="C21047" s="6" t="s">
        <v>1</v>
      </c>
    </row>
    <row r="21048" spans="1:3" s="8" customFormat="1" x14ac:dyDescent="0.2">
      <c r="A21048" s="6" t="str">
        <f>"MECR"</f>
        <v>MECR</v>
      </c>
      <c r="B21048" s="6" t="s">
        <v>1</v>
      </c>
      <c r="C21048" s="6" t="s">
        <v>1</v>
      </c>
    </row>
    <row r="21049" spans="1:3" s="8" customFormat="1" x14ac:dyDescent="0.2">
      <c r="A21049" s="6" t="str">
        <f>"KATNA1"</f>
        <v>KATNA1</v>
      </c>
      <c r="B21049" s="6" t="s">
        <v>1</v>
      </c>
      <c r="C21049" s="6" t="s">
        <v>1</v>
      </c>
    </row>
    <row r="21050" spans="1:3" s="8" customFormat="1" x14ac:dyDescent="0.2">
      <c r="A21050" s="6" t="str">
        <f>"ENGASE"</f>
        <v>ENGASE</v>
      </c>
      <c r="B21050" s="6" t="s">
        <v>1</v>
      </c>
      <c r="C21050" s="6" t="s">
        <v>1</v>
      </c>
    </row>
    <row r="21051" spans="1:3" s="8" customFormat="1" x14ac:dyDescent="0.2">
      <c r="A21051" s="6" t="str">
        <f>"MIPOL1"</f>
        <v>MIPOL1</v>
      </c>
      <c r="B21051" s="6" t="s">
        <v>1</v>
      </c>
      <c r="C21051" s="6" t="s">
        <v>1</v>
      </c>
    </row>
    <row r="21052" spans="1:3" s="8" customFormat="1" x14ac:dyDescent="0.2">
      <c r="A21052" s="6" t="str">
        <f>"ZNF277"</f>
        <v>ZNF277</v>
      </c>
      <c r="B21052" s="6" t="s">
        <v>1</v>
      </c>
      <c r="C21052" s="6" t="s">
        <v>1</v>
      </c>
    </row>
    <row r="21053" spans="1:3" s="8" customFormat="1" x14ac:dyDescent="0.2">
      <c r="A21053" s="6" t="str">
        <f>"MED21"</f>
        <v>MED21</v>
      </c>
      <c r="B21053" s="6" t="s">
        <v>1</v>
      </c>
      <c r="C21053" s="6" t="s">
        <v>1</v>
      </c>
    </row>
    <row r="21054" spans="1:3" s="8" customFormat="1" x14ac:dyDescent="0.2">
      <c r="A21054" s="6" t="str">
        <f>"PCSK1N"</f>
        <v>PCSK1N</v>
      </c>
      <c r="B21054" s="6" t="s">
        <v>1</v>
      </c>
      <c r="C21054" s="6" t="s">
        <v>1</v>
      </c>
    </row>
    <row r="21055" spans="1:3" s="8" customFormat="1" x14ac:dyDescent="0.2">
      <c r="A21055" s="6" t="str">
        <f>"STXBP6"</f>
        <v>STXBP6</v>
      </c>
      <c r="B21055" s="6" t="s">
        <v>1</v>
      </c>
      <c r="C21055" s="6" t="s">
        <v>1</v>
      </c>
    </row>
    <row r="21056" spans="1:3" s="8" customFormat="1" x14ac:dyDescent="0.2">
      <c r="A21056" s="6" t="str">
        <f>"TTF1"</f>
        <v>TTF1</v>
      </c>
      <c r="B21056" s="6" t="s">
        <v>1</v>
      </c>
      <c r="C21056" s="6" t="s">
        <v>1</v>
      </c>
    </row>
    <row r="21057" spans="1:3" s="8" customFormat="1" x14ac:dyDescent="0.2">
      <c r="A21057" s="6" t="str">
        <f>"KLHL18"</f>
        <v>KLHL18</v>
      </c>
      <c r="B21057" s="6" t="s">
        <v>1</v>
      </c>
      <c r="C21057" s="6" t="s">
        <v>1</v>
      </c>
    </row>
    <row r="21058" spans="1:3" s="8" customFormat="1" x14ac:dyDescent="0.2">
      <c r="A21058" s="6" t="str">
        <f>"PCTP"</f>
        <v>PCTP</v>
      </c>
      <c r="B21058" s="6" t="s">
        <v>1</v>
      </c>
      <c r="C21058" s="6" t="s">
        <v>1</v>
      </c>
    </row>
    <row r="21059" spans="1:3" s="8" customFormat="1" x14ac:dyDescent="0.2">
      <c r="A21059" s="6" t="str">
        <f>"KAT2A"</f>
        <v>KAT2A</v>
      </c>
      <c r="B21059" s="6" t="s">
        <v>1</v>
      </c>
      <c r="C21059" s="6" t="s">
        <v>1</v>
      </c>
    </row>
    <row r="21060" spans="1:3" s="8" customFormat="1" x14ac:dyDescent="0.2">
      <c r="A21060" s="6" t="str">
        <f>"MRPL39"</f>
        <v>MRPL39</v>
      </c>
      <c r="B21060" s="6" t="s">
        <v>1</v>
      </c>
      <c r="C21060" s="6" t="s">
        <v>1</v>
      </c>
    </row>
    <row r="21061" spans="1:3" s="8" customFormat="1" x14ac:dyDescent="0.2">
      <c r="A21061" s="6" t="str">
        <f>"ECT2"</f>
        <v>ECT2</v>
      </c>
      <c r="B21061" s="6" t="s">
        <v>1</v>
      </c>
      <c r="C21061" s="6" t="s">
        <v>1</v>
      </c>
    </row>
    <row r="21062" spans="1:3" s="8" customFormat="1" x14ac:dyDescent="0.2">
      <c r="A21062" s="6" t="str">
        <f>"ZC3H12C"</f>
        <v>ZC3H12C</v>
      </c>
      <c r="B21062" s="6" t="s">
        <v>1</v>
      </c>
      <c r="C21062" s="6" t="s">
        <v>1</v>
      </c>
    </row>
    <row r="21063" spans="1:3" s="8" customFormat="1" x14ac:dyDescent="0.2">
      <c r="A21063" s="6" t="str">
        <f>"INPP5A"</f>
        <v>INPP5A</v>
      </c>
      <c r="B21063" s="6" t="s">
        <v>1</v>
      </c>
      <c r="C21063" s="6" t="s">
        <v>1</v>
      </c>
    </row>
    <row r="21064" spans="1:3" s="8" customFormat="1" x14ac:dyDescent="0.2">
      <c r="A21064" s="6" t="str">
        <f>"CRYZL2P"</f>
        <v>CRYZL2P</v>
      </c>
      <c r="B21064" s="6" t="s">
        <v>1</v>
      </c>
      <c r="C21064" s="6" t="s">
        <v>1</v>
      </c>
    </row>
    <row r="21065" spans="1:3" s="8" customFormat="1" x14ac:dyDescent="0.2">
      <c r="A21065" s="6" t="str">
        <f>"P2RY1"</f>
        <v>P2RY1</v>
      </c>
      <c r="B21065" s="6" t="s">
        <v>1</v>
      </c>
      <c r="C21065" s="6" t="s">
        <v>1</v>
      </c>
    </row>
    <row r="21066" spans="1:3" s="8" customFormat="1" x14ac:dyDescent="0.2">
      <c r="A21066" s="6" t="str">
        <f>"CARD10"</f>
        <v>CARD10</v>
      </c>
      <c r="B21066" s="6" t="s">
        <v>1</v>
      </c>
      <c r="C21066" s="6" t="s">
        <v>1</v>
      </c>
    </row>
    <row r="21067" spans="1:3" s="8" customFormat="1" x14ac:dyDescent="0.2">
      <c r="A21067" s="6" t="str">
        <f>"INTU"</f>
        <v>INTU</v>
      </c>
      <c r="B21067" s="6" t="s">
        <v>1</v>
      </c>
      <c r="C21067" s="6" t="s">
        <v>1</v>
      </c>
    </row>
    <row r="21068" spans="1:3" s="8" customFormat="1" x14ac:dyDescent="0.2">
      <c r="A21068" s="6" t="str">
        <f>"STYX"</f>
        <v>STYX</v>
      </c>
      <c r="B21068" s="6" t="s">
        <v>1</v>
      </c>
      <c r="C21068" s="6" t="s">
        <v>1</v>
      </c>
    </row>
    <row r="21069" spans="1:3" s="8" customFormat="1" x14ac:dyDescent="0.2">
      <c r="A21069" s="6" t="str">
        <f>"P3H1"</f>
        <v>P3H1</v>
      </c>
      <c r="B21069" s="6" t="s">
        <v>1</v>
      </c>
      <c r="C21069" s="6" t="s">
        <v>1</v>
      </c>
    </row>
    <row r="21070" spans="1:3" s="8" customFormat="1" x14ac:dyDescent="0.2">
      <c r="A21070" s="6" t="str">
        <f>"NUP210"</f>
        <v>NUP210</v>
      </c>
      <c r="B21070" s="6" t="s">
        <v>1</v>
      </c>
      <c r="C21070" s="6" t="s">
        <v>1</v>
      </c>
    </row>
    <row r="21071" spans="1:3" s="8" customFormat="1" x14ac:dyDescent="0.2">
      <c r="A21071" s="6" t="str">
        <f>"DZIP1"</f>
        <v>DZIP1</v>
      </c>
      <c r="B21071" s="6" t="s">
        <v>1</v>
      </c>
      <c r="C21071" s="6" t="s">
        <v>1</v>
      </c>
    </row>
    <row r="21072" spans="1:3" s="8" customFormat="1" x14ac:dyDescent="0.2">
      <c r="A21072" s="6" t="str">
        <f>"FHDC1"</f>
        <v>FHDC1</v>
      </c>
      <c r="B21072" s="6" t="s">
        <v>1</v>
      </c>
      <c r="C21072" s="6" t="s">
        <v>1</v>
      </c>
    </row>
    <row r="21073" spans="1:3" s="8" customFormat="1" x14ac:dyDescent="0.2">
      <c r="A21073" s="6" t="str">
        <f>"AL163051.1"</f>
        <v>AL163051.1</v>
      </c>
      <c r="B21073" s="6" t="s">
        <v>1</v>
      </c>
      <c r="C21073" s="6" t="s">
        <v>1</v>
      </c>
    </row>
    <row r="21074" spans="1:3" s="8" customFormat="1" x14ac:dyDescent="0.2">
      <c r="A21074" s="6" t="str">
        <f>"SEH1L"</f>
        <v>SEH1L</v>
      </c>
      <c r="B21074" s="6" t="s">
        <v>1</v>
      </c>
      <c r="C21074" s="6" t="s">
        <v>1</v>
      </c>
    </row>
    <row r="21075" spans="1:3" s="8" customFormat="1" x14ac:dyDescent="0.2">
      <c r="A21075" s="6" t="str">
        <f>"ENOX2"</f>
        <v>ENOX2</v>
      </c>
      <c r="B21075" s="6" t="s">
        <v>1</v>
      </c>
      <c r="C21075" s="6" t="s">
        <v>1</v>
      </c>
    </row>
    <row r="21076" spans="1:3" s="8" customFormat="1" x14ac:dyDescent="0.2">
      <c r="A21076" s="6" t="str">
        <f>"OAF"</f>
        <v>OAF</v>
      </c>
      <c r="B21076" s="6" t="s">
        <v>1</v>
      </c>
      <c r="C21076" s="6" t="s">
        <v>1</v>
      </c>
    </row>
    <row r="21077" spans="1:3" s="8" customFormat="1" x14ac:dyDescent="0.2">
      <c r="A21077" s="6" t="str">
        <f>"GLI3"</f>
        <v>GLI3</v>
      </c>
      <c r="B21077" s="6" t="s">
        <v>1</v>
      </c>
      <c r="C21077" s="6" t="s">
        <v>1</v>
      </c>
    </row>
    <row r="21078" spans="1:3" s="8" customFormat="1" x14ac:dyDescent="0.2">
      <c r="A21078" s="6" t="str">
        <f>"LINC01001"</f>
        <v>LINC01001</v>
      </c>
      <c r="B21078" s="6" t="s">
        <v>1</v>
      </c>
      <c r="C21078" s="6" t="s">
        <v>1</v>
      </c>
    </row>
    <row r="21079" spans="1:3" s="8" customFormat="1" x14ac:dyDescent="0.2">
      <c r="A21079" s="6" t="str">
        <f>"POLD1"</f>
        <v>POLD1</v>
      </c>
      <c r="B21079" s="6" t="s">
        <v>1</v>
      </c>
      <c r="C21079" s="6" t="s">
        <v>1</v>
      </c>
    </row>
    <row r="21080" spans="1:3" s="8" customFormat="1" x14ac:dyDescent="0.2">
      <c r="A21080" s="6" t="str">
        <f>"PCID2"</f>
        <v>PCID2</v>
      </c>
      <c r="B21080" s="6" t="s">
        <v>1</v>
      </c>
      <c r="C21080" s="6" t="s">
        <v>1</v>
      </c>
    </row>
    <row r="21081" spans="1:3" s="8" customFormat="1" x14ac:dyDescent="0.2">
      <c r="A21081" s="6" t="str">
        <f>"AC127526.5"</f>
        <v>AC127526.5</v>
      </c>
      <c r="B21081" s="6" t="s">
        <v>1</v>
      </c>
      <c r="C21081" s="6" t="s">
        <v>1</v>
      </c>
    </row>
    <row r="21082" spans="1:3" s="8" customFormat="1" x14ac:dyDescent="0.2">
      <c r="A21082" s="6" t="str">
        <f>"EOLA1"</f>
        <v>EOLA1</v>
      </c>
      <c r="B21082" s="6" t="s">
        <v>1</v>
      </c>
      <c r="C21082" s="6" t="s">
        <v>1</v>
      </c>
    </row>
    <row r="21083" spans="1:3" s="8" customFormat="1" x14ac:dyDescent="0.2">
      <c r="A21083" s="6" t="str">
        <f>"PLEKHF1"</f>
        <v>PLEKHF1</v>
      </c>
      <c r="B21083" s="6" t="s">
        <v>1</v>
      </c>
      <c r="C21083" s="6" t="s">
        <v>1</v>
      </c>
    </row>
    <row r="21084" spans="1:3" s="8" customFormat="1" x14ac:dyDescent="0.2">
      <c r="A21084" s="6" t="str">
        <f>"VLDLR"</f>
        <v>VLDLR</v>
      </c>
      <c r="B21084" s="6" t="s">
        <v>1</v>
      </c>
      <c r="C21084" s="6" t="s">
        <v>1</v>
      </c>
    </row>
    <row r="21085" spans="1:3" s="8" customFormat="1" x14ac:dyDescent="0.2">
      <c r="A21085" s="6" t="str">
        <f>"PTPN14"</f>
        <v>PTPN14</v>
      </c>
      <c r="B21085" s="6" t="s">
        <v>1</v>
      </c>
      <c r="C21085" s="6" t="s">
        <v>1</v>
      </c>
    </row>
    <row r="21086" spans="1:3" s="8" customFormat="1" x14ac:dyDescent="0.2">
      <c r="A21086" s="6" t="str">
        <f>"DENND1B"</f>
        <v>DENND1B</v>
      </c>
      <c r="B21086" s="6" t="s">
        <v>1</v>
      </c>
      <c r="C21086" s="6" t="s">
        <v>1</v>
      </c>
    </row>
    <row r="21087" spans="1:3" s="8" customFormat="1" x14ac:dyDescent="0.2">
      <c r="A21087" s="6" t="str">
        <f>"TTF2"</f>
        <v>TTF2</v>
      </c>
      <c r="B21087" s="6" t="s">
        <v>1</v>
      </c>
      <c r="C21087" s="6" t="s">
        <v>1</v>
      </c>
    </row>
    <row r="21088" spans="1:3" s="8" customFormat="1" x14ac:dyDescent="0.2">
      <c r="A21088" s="6" t="str">
        <f>"TNFRSF14-AS1"</f>
        <v>TNFRSF14-AS1</v>
      </c>
      <c r="B21088" s="6" t="s">
        <v>1</v>
      </c>
      <c r="C21088" s="6" t="s">
        <v>1</v>
      </c>
    </row>
    <row r="21089" spans="1:3" s="8" customFormat="1" x14ac:dyDescent="0.2">
      <c r="A21089" s="6" t="str">
        <f>"SH3TC1"</f>
        <v>SH3TC1</v>
      </c>
      <c r="B21089" s="6" t="s">
        <v>1</v>
      </c>
      <c r="C21089" s="6" t="s">
        <v>1</v>
      </c>
    </row>
    <row r="21090" spans="1:3" s="8" customFormat="1" x14ac:dyDescent="0.2">
      <c r="A21090" s="6" t="str">
        <f>"EDA"</f>
        <v>EDA</v>
      </c>
      <c r="B21090" s="6" t="s">
        <v>1</v>
      </c>
      <c r="C21090" s="6" t="s">
        <v>1</v>
      </c>
    </row>
    <row r="21091" spans="1:3" s="8" customFormat="1" x14ac:dyDescent="0.2">
      <c r="A21091" s="6" t="str">
        <f>"ZNF607"</f>
        <v>ZNF607</v>
      </c>
      <c r="B21091" s="6" t="s">
        <v>1</v>
      </c>
      <c r="C21091" s="6" t="s">
        <v>1</v>
      </c>
    </row>
    <row r="21092" spans="1:3" s="8" customFormat="1" x14ac:dyDescent="0.2">
      <c r="A21092" s="6" t="str">
        <f>"ZBTB8OS"</f>
        <v>ZBTB8OS</v>
      </c>
      <c r="B21092" s="6" t="s">
        <v>1</v>
      </c>
      <c r="C21092" s="6" t="s">
        <v>1</v>
      </c>
    </row>
    <row r="21093" spans="1:3" s="8" customFormat="1" x14ac:dyDescent="0.2">
      <c r="A21093" s="6" t="str">
        <f>"PAAF1"</f>
        <v>PAAF1</v>
      </c>
      <c r="B21093" s="6" t="s">
        <v>1</v>
      </c>
      <c r="C21093" s="6" t="s">
        <v>1</v>
      </c>
    </row>
    <row r="21094" spans="1:3" s="8" customFormat="1" x14ac:dyDescent="0.2">
      <c r="A21094" s="6" t="str">
        <f>"PKD1P6"</f>
        <v>PKD1P6</v>
      </c>
      <c r="B21094" s="6" t="s">
        <v>1</v>
      </c>
      <c r="C21094" s="6" t="s">
        <v>1</v>
      </c>
    </row>
    <row r="21095" spans="1:3" s="8" customFormat="1" x14ac:dyDescent="0.2">
      <c r="A21095" s="6" t="str">
        <f>"MACROD1"</f>
        <v>MACROD1</v>
      </c>
      <c r="B21095" s="6" t="s">
        <v>1</v>
      </c>
      <c r="C21095" s="6" t="s">
        <v>1</v>
      </c>
    </row>
    <row r="21096" spans="1:3" s="8" customFormat="1" x14ac:dyDescent="0.2">
      <c r="A21096" s="6" t="str">
        <f>"MAGEH1"</f>
        <v>MAGEH1</v>
      </c>
      <c r="B21096" s="6" t="s">
        <v>1</v>
      </c>
      <c r="C21096" s="6" t="s">
        <v>1</v>
      </c>
    </row>
    <row r="21097" spans="1:3" s="8" customFormat="1" x14ac:dyDescent="0.2">
      <c r="A21097" s="6" t="str">
        <f>"PLEKHM3"</f>
        <v>PLEKHM3</v>
      </c>
      <c r="B21097" s="6" t="s">
        <v>1</v>
      </c>
      <c r="C21097" s="6" t="s">
        <v>1</v>
      </c>
    </row>
    <row r="21098" spans="1:3" s="8" customFormat="1" x14ac:dyDescent="0.2">
      <c r="A21098" s="6" t="str">
        <f>"HMOX1"</f>
        <v>HMOX1</v>
      </c>
      <c r="B21098" s="6" t="s">
        <v>1</v>
      </c>
      <c r="C21098" s="6" t="s">
        <v>1</v>
      </c>
    </row>
    <row r="21099" spans="1:3" s="8" customFormat="1" x14ac:dyDescent="0.2">
      <c r="A21099" s="6" t="str">
        <f>"INPP4A"</f>
        <v>INPP4A</v>
      </c>
      <c r="B21099" s="6" t="s">
        <v>1</v>
      </c>
      <c r="C21099" s="6" t="s">
        <v>1</v>
      </c>
    </row>
    <row r="21100" spans="1:3" s="8" customFormat="1" x14ac:dyDescent="0.2">
      <c r="A21100" s="6" t="str">
        <f>"CHORDC1"</f>
        <v>CHORDC1</v>
      </c>
      <c r="B21100" s="6" t="s">
        <v>1</v>
      </c>
      <c r="C21100" s="6" t="s">
        <v>1</v>
      </c>
    </row>
    <row r="21101" spans="1:3" s="8" customFormat="1" x14ac:dyDescent="0.2">
      <c r="A21101" s="6" t="str">
        <f>"ING2"</f>
        <v>ING2</v>
      </c>
      <c r="B21101" s="6" t="s">
        <v>1</v>
      </c>
      <c r="C21101" s="6" t="s">
        <v>1</v>
      </c>
    </row>
    <row r="21102" spans="1:3" s="8" customFormat="1" x14ac:dyDescent="0.2">
      <c r="A21102" s="6" t="str">
        <f>"PTPN4"</f>
        <v>PTPN4</v>
      </c>
      <c r="B21102" s="6" t="s">
        <v>1</v>
      </c>
      <c r="C21102" s="6" t="s">
        <v>1</v>
      </c>
    </row>
    <row r="21103" spans="1:3" s="8" customFormat="1" x14ac:dyDescent="0.2">
      <c r="A21103" s="6" t="str">
        <f>"IDUA"</f>
        <v>IDUA</v>
      </c>
      <c r="B21103" s="6" t="s">
        <v>1</v>
      </c>
      <c r="C21103" s="6" t="s">
        <v>1</v>
      </c>
    </row>
    <row r="21104" spans="1:3" s="8" customFormat="1" x14ac:dyDescent="0.2">
      <c r="A21104" s="6" t="str">
        <f>"FIZ1"</f>
        <v>FIZ1</v>
      </c>
      <c r="B21104" s="6" t="s">
        <v>1</v>
      </c>
      <c r="C21104" s="6" t="s">
        <v>1</v>
      </c>
    </row>
    <row r="21105" spans="1:3" s="8" customFormat="1" x14ac:dyDescent="0.2">
      <c r="A21105" s="6" t="str">
        <f>"VIM-AS1"</f>
        <v>VIM-AS1</v>
      </c>
      <c r="B21105" s="6" t="s">
        <v>1</v>
      </c>
      <c r="C21105" s="6" t="s">
        <v>1</v>
      </c>
    </row>
    <row r="21106" spans="1:3" s="8" customFormat="1" x14ac:dyDescent="0.2">
      <c r="A21106" s="6" t="str">
        <f>"AC244197.3"</f>
        <v>AC244197.3</v>
      </c>
      <c r="B21106" s="6" t="s">
        <v>1</v>
      </c>
      <c r="C21106" s="6" t="s">
        <v>1</v>
      </c>
    </row>
    <row r="21107" spans="1:3" s="8" customFormat="1" x14ac:dyDescent="0.2">
      <c r="A21107" s="6" t="str">
        <f>"MRPS12"</f>
        <v>MRPS12</v>
      </c>
      <c r="B21107" s="6" t="s">
        <v>1</v>
      </c>
      <c r="C21107" s="6" t="s">
        <v>1</v>
      </c>
    </row>
    <row r="21108" spans="1:3" s="8" customFormat="1" x14ac:dyDescent="0.2">
      <c r="A21108" s="6" t="str">
        <f>"ATAD3B"</f>
        <v>ATAD3B</v>
      </c>
      <c r="B21108" s="6" t="s">
        <v>1</v>
      </c>
      <c r="C21108" s="6" t="s">
        <v>1</v>
      </c>
    </row>
    <row r="21109" spans="1:3" s="8" customFormat="1" x14ac:dyDescent="0.2">
      <c r="A21109" s="6" t="str">
        <f>"NDUFAF1"</f>
        <v>NDUFAF1</v>
      </c>
      <c r="B21109" s="6" t="s">
        <v>1</v>
      </c>
      <c r="C21109" s="6" t="s">
        <v>1</v>
      </c>
    </row>
    <row r="21110" spans="1:3" s="8" customFormat="1" x14ac:dyDescent="0.2">
      <c r="A21110" s="6" t="str">
        <f>"PHLDA2"</f>
        <v>PHLDA2</v>
      </c>
      <c r="B21110" s="6" t="s">
        <v>1</v>
      </c>
      <c r="C21110" s="6" t="s">
        <v>1</v>
      </c>
    </row>
    <row r="21111" spans="1:3" s="8" customFormat="1" x14ac:dyDescent="0.2">
      <c r="A21111" s="6" t="str">
        <f>"FAS"</f>
        <v>FAS</v>
      </c>
      <c r="B21111" s="6" t="s">
        <v>1</v>
      </c>
      <c r="C21111" s="6" t="s">
        <v>1</v>
      </c>
    </row>
    <row r="21112" spans="1:3" s="8" customFormat="1" x14ac:dyDescent="0.2">
      <c r="A21112" s="6" t="str">
        <f>"APTR"</f>
        <v>APTR</v>
      </c>
      <c r="B21112" s="6" t="s">
        <v>1</v>
      </c>
      <c r="C21112" s="6" t="s">
        <v>1</v>
      </c>
    </row>
    <row r="21113" spans="1:3" s="8" customFormat="1" x14ac:dyDescent="0.2">
      <c r="A21113" s="6" t="str">
        <f>"TNFRSF12A"</f>
        <v>TNFRSF12A</v>
      </c>
      <c r="B21113" s="6" t="s">
        <v>1</v>
      </c>
      <c r="C21113" s="6" t="s">
        <v>1</v>
      </c>
    </row>
    <row r="21114" spans="1:3" s="8" customFormat="1" x14ac:dyDescent="0.2">
      <c r="A21114" s="6" t="str">
        <f>"ADK"</f>
        <v>ADK</v>
      </c>
      <c r="B21114" s="6" t="s">
        <v>1</v>
      </c>
      <c r="C21114" s="6" t="s">
        <v>1</v>
      </c>
    </row>
    <row r="21115" spans="1:3" s="8" customFormat="1" x14ac:dyDescent="0.2">
      <c r="A21115" s="6" t="str">
        <f>"MALT1"</f>
        <v>MALT1</v>
      </c>
      <c r="B21115" s="6" t="s">
        <v>1</v>
      </c>
      <c r="C21115" s="6" t="s">
        <v>1</v>
      </c>
    </row>
    <row r="21116" spans="1:3" s="8" customFormat="1" x14ac:dyDescent="0.2">
      <c r="A21116" s="6" t="str">
        <f>"MYLK"</f>
        <v>MYLK</v>
      </c>
      <c r="B21116" s="6" t="s">
        <v>1</v>
      </c>
      <c r="C21116" s="6" t="s">
        <v>1</v>
      </c>
    </row>
    <row r="21117" spans="1:3" s="8" customFormat="1" x14ac:dyDescent="0.2">
      <c r="A21117" s="6" t="str">
        <f>"ZNF273"</f>
        <v>ZNF273</v>
      </c>
      <c r="B21117" s="6" t="s">
        <v>1</v>
      </c>
      <c r="C21117" s="6" t="s">
        <v>1</v>
      </c>
    </row>
    <row r="21118" spans="1:3" s="8" customFormat="1" x14ac:dyDescent="0.2">
      <c r="A21118" s="6" t="str">
        <f>"LRIG2"</f>
        <v>LRIG2</v>
      </c>
      <c r="B21118" s="6" t="s">
        <v>1</v>
      </c>
      <c r="C21118" s="6" t="s">
        <v>1</v>
      </c>
    </row>
    <row r="21119" spans="1:3" s="8" customFormat="1" x14ac:dyDescent="0.2">
      <c r="A21119" s="6" t="str">
        <f>"MISP3"</f>
        <v>MISP3</v>
      </c>
      <c r="B21119" s="6" t="s">
        <v>1</v>
      </c>
      <c r="C21119" s="6" t="s">
        <v>1</v>
      </c>
    </row>
    <row r="21120" spans="1:3" s="8" customFormat="1" x14ac:dyDescent="0.2">
      <c r="A21120" s="6" t="str">
        <f>"LPAR2"</f>
        <v>LPAR2</v>
      </c>
      <c r="B21120" s="6" t="s">
        <v>1</v>
      </c>
      <c r="C21120" s="6" t="s">
        <v>1</v>
      </c>
    </row>
    <row r="21121" spans="1:3" s="8" customFormat="1" x14ac:dyDescent="0.2">
      <c r="A21121" s="6" t="str">
        <f>"INPP5F"</f>
        <v>INPP5F</v>
      </c>
      <c r="B21121" s="6" t="s">
        <v>1</v>
      </c>
      <c r="C21121" s="6" t="s">
        <v>1</v>
      </c>
    </row>
    <row r="21122" spans="1:3" s="8" customFormat="1" x14ac:dyDescent="0.2">
      <c r="A21122" s="6" t="str">
        <f>"GJB2"</f>
        <v>GJB2</v>
      </c>
      <c r="B21122" s="6" t="s">
        <v>1</v>
      </c>
      <c r="C21122" s="6" t="s">
        <v>1</v>
      </c>
    </row>
    <row r="21123" spans="1:3" s="8" customFormat="1" x14ac:dyDescent="0.2">
      <c r="A21123" s="6" t="str">
        <f>"MACROD2"</f>
        <v>MACROD2</v>
      </c>
      <c r="B21123" s="6" t="s">
        <v>1</v>
      </c>
      <c r="C21123" s="6" t="s">
        <v>1</v>
      </c>
    </row>
    <row r="21124" spans="1:3" s="8" customFormat="1" x14ac:dyDescent="0.2">
      <c r="A21124" s="6" t="str">
        <f>"DEPDC5"</f>
        <v>DEPDC5</v>
      </c>
      <c r="B21124" s="6" t="s">
        <v>1</v>
      </c>
      <c r="C21124" s="6" t="s">
        <v>1</v>
      </c>
    </row>
    <row r="21125" spans="1:3" s="8" customFormat="1" x14ac:dyDescent="0.2">
      <c r="A21125" s="6" t="str">
        <f>"WRN"</f>
        <v>WRN</v>
      </c>
      <c r="B21125" s="6" t="s">
        <v>1</v>
      </c>
      <c r="C21125" s="6" t="s">
        <v>1</v>
      </c>
    </row>
    <row r="21126" spans="1:3" s="8" customFormat="1" x14ac:dyDescent="0.2">
      <c r="A21126" s="6" t="str">
        <f>"GMFB"</f>
        <v>GMFB</v>
      </c>
      <c r="B21126" s="6" t="s">
        <v>1</v>
      </c>
      <c r="C21126" s="6" t="s">
        <v>1</v>
      </c>
    </row>
    <row r="21127" spans="1:3" s="8" customFormat="1" x14ac:dyDescent="0.2">
      <c r="A21127" s="6" t="str">
        <f>"CDR2"</f>
        <v>CDR2</v>
      </c>
      <c r="B21127" s="6" t="s">
        <v>1</v>
      </c>
      <c r="C21127" s="6" t="s">
        <v>1</v>
      </c>
    </row>
    <row r="21128" spans="1:3" s="8" customFormat="1" x14ac:dyDescent="0.2">
      <c r="A21128" s="6" t="str">
        <f>"CDON"</f>
        <v>CDON</v>
      </c>
      <c r="B21128" s="6" t="s">
        <v>1</v>
      </c>
      <c r="C21128" s="6" t="s">
        <v>1</v>
      </c>
    </row>
    <row r="21129" spans="1:3" s="8" customFormat="1" x14ac:dyDescent="0.2">
      <c r="A21129" s="6" t="str">
        <f>"APOBEC3F"</f>
        <v>APOBEC3F</v>
      </c>
      <c r="B21129" s="6" t="s">
        <v>1</v>
      </c>
      <c r="C21129" s="6" t="s">
        <v>1</v>
      </c>
    </row>
    <row r="21130" spans="1:3" s="8" customFormat="1" x14ac:dyDescent="0.2">
      <c r="A21130" s="6" t="str">
        <f>"MAFB"</f>
        <v>MAFB</v>
      </c>
      <c r="B21130" s="6" t="s">
        <v>1</v>
      </c>
      <c r="C21130" s="6" t="s">
        <v>1</v>
      </c>
    </row>
    <row r="21131" spans="1:3" s="8" customFormat="1" x14ac:dyDescent="0.2">
      <c r="A21131" s="6" t="str">
        <f>"ALDH4A1"</f>
        <v>ALDH4A1</v>
      </c>
      <c r="B21131" s="6" t="s">
        <v>1</v>
      </c>
      <c r="C21131" s="6" t="s">
        <v>1</v>
      </c>
    </row>
    <row r="21132" spans="1:3" s="8" customFormat="1" x14ac:dyDescent="0.2">
      <c r="A21132" s="6" t="str">
        <f>"ZNF618"</f>
        <v>ZNF618</v>
      </c>
      <c r="B21132" s="6" t="s">
        <v>1</v>
      </c>
      <c r="C21132" s="6" t="s">
        <v>1</v>
      </c>
    </row>
    <row r="21133" spans="1:3" s="8" customFormat="1" x14ac:dyDescent="0.2">
      <c r="A21133" s="6" t="str">
        <f>"MIR4435-2HG"</f>
        <v>MIR4435-2HG</v>
      </c>
      <c r="B21133" s="6" t="s">
        <v>1</v>
      </c>
      <c r="C21133" s="6" t="s">
        <v>1</v>
      </c>
    </row>
    <row r="21134" spans="1:3" s="8" customFormat="1" x14ac:dyDescent="0.2">
      <c r="A21134" s="6" t="str">
        <f>"NPIPB4"</f>
        <v>NPIPB4</v>
      </c>
      <c r="B21134" s="6" t="s">
        <v>1</v>
      </c>
      <c r="C21134" s="6" t="s">
        <v>1</v>
      </c>
    </row>
    <row r="21135" spans="1:3" s="8" customFormat="1" x14ac:dyDescent="0.2">
      <c r="A21135" s="6" t="str">
        <f>"HMG20A"</f>
        <v>HMG20A</v>
      </c>
      <c r="B21135" s="6" t="s">
        <v>1</v>
      </c>
      <c r="C21135" s="6" t="s">
        <v>1</v>
      </c>
    </row>
    <row r="21136" spans="1:3" s="8" customFormat="1" x14ac:dyDescent="0.2">
      <c r="A21136" s="6" t="str">
        <f>"LPCAT2"</f>
        <v>LPCAT2</v>
      </c>
      <c r="B21136" s="6" t="s">
        <v>1</v>
      </c>
      <c r="C21136" s="6" t="s">
        <v>1</v>
      </c>
    </row>
    <row r="21137" spans="1:3" s="8" customFormat="1" x14ac:dyDescent="0.2">
      <c r="A21137" s="6" t="str">
        <f>"TFPI2"</f>
        <v>TFPI2</v>
      </c>
      <c r="B21137" s="6" t="s">
        <v>1</v>
      </c>
      <c r="C21137" s="6" t="s">
        <v>1</v>
      </c>
    </row>
    <row r="21138" spans="1:3" s="8" customFormat="1" x14ac:dyDescent="0.2">
      <c r="A21138" s="6" t="str">
        <f>"ING4"</f>
        <v>ING4</v>
      </c>
      <c r="B21138" s="6" t="s">
        <v>1</v>
      </c>
      <c r="C21138" s="6" t="s">
        <v>1</v>
      </c>
    </row>
    <row r="21139" spans="1:3" s="8" customFormat="1" x14ac:dyDescent="0.2">
      <c r="A21139" s="6" t="str">
        <f>"CCNQ"</f>
        <v>CCNQ</v>
      </c>
      <c r="B21139" s="6" t="s">
        <v>1</v>
      </c>
      <c r="C21139" s="6" t="s">
        <v>1</v>
      </c>
    </row>
    <row r="21140" spans="1:3" s="8" customFormat="1" x14ac:dyDescent="0.2">
      <c r="A21140" s="6" t="str">
        <f>"LMF1"</f>
        <v>LMF1</v>
      </c>
      <c r="B21140" s="6" t="s">
        <v>1</v>
      </c>
      <c r="C21140" s="6" t="s">
        <v>1</v>
      </c>
    </row>
    <row r="21141" spans="1:3" s="8" customFormat="1" x14ac:dyDescent="0.2">
      <c r="A21141" s="6" t="str">
        <f>"UCKL1"</f>
        <v>UCKL1</v>
      </c>
      <c r="B21141" s="6" t="s">
        <v>1</v>
      </c>
      <c r="C21141" s="6" t="s">
        <v>1</v>
      </c>
    </row>
    <row r="21142" spans="1:3" s="8" customFormat="1" x14ac:dyDescent="0.2">
      <c r="A21142" s="6" t="str">
        <f>"GPR89A"</f>
        <v>GPR89A</v>
      </c>
      <c r="B21142" s="6" t="s">
        <v>1</v>
      </c>
      <c r="C21142" s="6" t="s">
        <v>1</v>
      </c>
    </row>
    <row r="21143" spans="1:3" s="8" customFormat="1" x14ac:dyDescent="0.2">
      <c r="A21143" s="6" t="str">
        <f>"EDEM2"</f>
        <v>EDEM2</v>
      </c>
      <c r="B21143" s="6" t="s">
        <v>1</v>
      </c>
      <c r="C21143" s="6" t="s">
        <v>1</v>
      </c>
    </row>
    <row r="21144" spans="1:3" s="8" customFormat="1" x14ac:dyDescent="0.2">
      <c r="A21144" s="6" t="str">
        <f>"ZBTB5"</f>
        <v>ZBTB5</v>
      </c>
      <c r="B21144" s="6" t="s">
        <v>1</v>
      </c>
      <c r="C21144" s="6" t="s">
        <v>1</v>
      </c>
    </row>
    <row r="21145" spans="1:3" s="8" customFormat="1" x14ac:dyDescent="0.2">
      <c r="A21145" s="6" t="str">
        <f>"CASP9"</f>
        <v>CASP9</v>
      </c>
      <c r="B21145" s="6" t="s">
        <v>1</v>
      </c>
      <c r="C21145" s="6" t="s">
        <v>1</v>
      </c>
    </row>
    <row r="21146" spans="1:3" s="8" customFormat="1" x14ac:dyDescent="0.2">
      <c r="A21146" s="6" t="str">
        <f>"TTLL7"</f>
        <v>TTLL7</v>
      </c>
      <c r="B21146" s="6" t="s">
        <v>1</v>
      </c>
      <c r="C21146" s="6" t="s">
        <v>1</v>
      </c>
    </row>
    <row r="21147" spans="1:3" s="8" customFormat="1" x14ac:dyDescent="0.2">
      <c r="A21147" s="6" t="str">
        <f>"GPR65"</f>
        <v>GPR65</v>
      </c>
      <c r="B21147" s="6" t="s">
        <v>1</v>
      </c>
      <c r="C21147" s="6" t="s">
        <v>1</v>
      </c>
    </row>
    <row r="21148" spans="1:3" s="8" customFormat="1" x14ac:dyDescent="0.2">
      <c r="A21148" s="6" t="str">
        <f>"F5"</f>
        <v>F5</v>
      </c>
      <c r="B21148" s="6" t="s">
        <v>1</v>
      </c>
      <c r="C21148" s="6" t="s">
        <v>1</v>
      </c>
    </row>
    <row r="21149" spans="1:3" s="8" customFormat="1" x14ac:dyDescent="0.2">
      <c r="A21149" s="6" t="str">
        <f>"MINDY3"</f>
        <v>MINDY3</v>
      </c>
      <c r="B21149" s="6" t="s">
        <v>1</v>
      </c>
      <c r="C21149" s="6" t="s">
        <v>1</v>
      </c>
    </row>
    <row r="21150" spans="1:3" s="8" customFormat="1" x14ac:dyDescent="0.2">
      <c r="A21150" s="6" t="str">
        <f>"LYSMD3"</f>
        <v>LYSMD3</v>
      </c>
      <c r="B21150" s="6" t="s">
        <v>1</v>
      </c>
      <c r="C21150" s="6" t="s">
        <v>1</v>
      </c>
    </row>
    <row r="21151" spans="1:3" s="8" customFormat="1" x14ac:dyDescent="0.2">
      <c r="A21151" s="6" t="str">
        <f>"TTLL9"</f>
        <v>TTLL9</v>
      </c>
      <c r="B21151" s="6" t="s">
        <v>1</v>
      </c>
      <c r="C21151" s="6" t="s">
        <v>1</v>
      </c>
    </row>
    <row r="21152" spans="1:3" s="8" customFormat="1" x14ac:dyDescent="0.2">
      <c r="A21152" s="6" t="str">
        <f>"UCHL5"</f>
        <v>UCHL5</v>
      </c>
      <c r="B21152" s="6" t="s">
        <v>1</v>
      </c>
      <c r="C21152" s="6" t="s">
        <v>1</v>
      </c>
    </row>
    <row r="21153" spans="1:3" s="8" customFormat="1" x14ac:dyDescent="0.2">
      <c r="A21153" s="6" t="str">
        <f>"RNF113A"</f>
        <v>RNF113A</v>
      </c>
      <c r="B21153" s="6" t="s">
        <v>1</v>
      </c>
      <c r="C21153" s="6" t="s">
        <v>1</v>
      </c>
    </row>
    <row r="21154" spans="1:3" s="8" customFormat="1" x14ac:dyDescent="0.2">
      <c r="A21154" s="6" t="str">
        <f>"PP7080"</f>
        <v>PP7080</v>
      </c>
      <c r="B21154" s="6" t="s">
        <v>1</v>
      </c>
      <c r="C21154" s="6" t="s">
        <v>1</v>
      </c>
    </row>
    <row r="21155" spans="1:3" s="8" customFormat="1" x14ac:dyDescent="0.2">
      <c r="A21155" s="6" t="str">
        <f>"AC007405.3"</f>
        <v>AC007405.3</v>
      </c>
      <c r="B21155" s="6" t="s">
        <v>1</v>
      </c>
      <c r="C21155" s="6" t="s">
        <v>1</v>
      </c>
    </row>
    <row r="21156" spans="1:3" s="8" customFormat="1" x14ac:dyDescent="0.2">
      <c r="A21156" s="6" t="str">
        <f>"ADO"</f>
        <v>ADO</v>
      </c>
      <c r="B21156" s="6" t="s">
        <v>1</v>
      </c>
      <c r="C21156" s="6" t="s">
        <v>1</v>
      </c>
    </row>
    <row r="21157" spans="1:3" s="8" customFormat="1" x14ac:dyDescent="0.2">
      <c r="A21157" s="6" t="str">
        <f>"TTC4"</f>
        <v>TTC4</v>
      </c>
      <c r="B21157" s="6" t="s">
        <v>1</v>
      </c>
      <c r="C21157" s="6" t="s">
        <v>1</v>
      </c>
    </row>
    <row r="21158" spans="1:3" s="8" customFormat="1" x14ac:dyDescent="0.2">
      <c r="A21158" s="6" t="str">
        <f>"GMEB1"</f>
        <v>GMEB1</v>
      </c>
      <c r="B21158" s="6" t="s">
        <v>1</v>
      </c>
      <c r="C21158" s="6" t="s">
        <v>1</v>
      </c>
    </row>
    <row r="21159" spans="1:3" s="8" customFormat="1" x14ac:dyDescent="0.2">
      <c r="A21159" s="6" t="str">
        <f>"PPFIBP1"</f>
        <v>PPFIBP1</v>
      </c>
      <c r="B21159" s="6" t="s">
        <v>1</v>
      </c>
      <c r="C21159" s="6" t="s">
        <v>1</v>
      </c>
    </row>
    <row r="21160" spans="1:3" s="8" customFormat="1" x14ac:dyDescent="0.2">
      <c r="A21160" s="6" t="str">
        <f>"THAP5"</f>
        <v>THAP5</v>
      </c>
      <c r="B21160" s="6" t="s">
        <v>1</v>
      </c>
      <c r="C21160" s="6" t="s">
        <v>1</v>
      </c>
    </row>
    <row r="21161" spans="1:3" s="8" customFormat="1" x14ac:dyDescent="0.2">
      <c r="A21161" s="6" t="str">
        <f>"KLF7"</f>
        <v>KLF7</v>
      </c>
      <c r="B21161" s="6" t="s">
        <v>1</v>
      </c>
      <c r="C21161" s="6" t="s">
        <v>1</v>
      </c>
    </row>
    <row r="21162" spans="1:3" s="8" customFormat="1" x14ac:dyDescent="0.2">
      <c r="A21162" s="6" t="str">
        <f>"ZNF623"</f>
        <v>ZNF623</v>
      </c>
      <c r="B21162" s="6" t="s">
        <v>1</v>
      </c>
      <c r="C21162" s="6" t="s">
        <v>1</v>
      </c>
    </row>
    <row r="21163" spans="1:3" s="8" customFormat="1" x14ac:dyDescent="0.2">
      <c r="A21163" s="6" t="str">
        <f>"TMEM131L"</f>
        <v>TMEM131L</v>
      </c>
      <c r="B21163" s="6" t="s">
        <v>1</v>
      </c>
      <c r="C21163" s="6" t="s">
        <v>1</v>
      </c>
    </row>
    <row r="21164" spans="1:3" s="8" customFormat="1" x14ac:dyDescent="0.2">
      <c r="A21164" s="6" t="str">
        <f>"UFSP2"</f>
        <v>UFSP2</v>
      </c>
      <c r="B21164" s="6" t="s">
        <v>1</v>
      </c>
      <c r="C21164" s="6" t="s">
        <v>1</v>
      </c>
    </row>
    <row r="21165" spans="1:3" s="8" customFormat="1" x14ac:dyDescent="0.2">
      <c r="A21165" s="6" t="str">
        <f>"ZNF584"</f>
        <v>ZNF584</v>
      </c>
      <c r="B21165" s="6" t="s">
        <v>1</v>
      </c>
      <c r="C21165" s="6" t="s">
        <v>1</v>
      </c>
    </row>
    <row r="21166" spans="1:3" s="8" customFormat="1" x14ac:dyDescent="0.2">
      <c r="A21166" s="6" t="str">
        <f>"C2orf49"</f>
        <v>C2orf49</v>
      </c>
      <c r="B21166" s="6" t="s">
        <v>1</v>
      </c>
      <c r="C21166" s="6" t="s">
        <v>1</v>
      </c>
    </row>
    <row r="21167" spans="1:3" s="8" customFormat="1" x14ac:dyDescent="0.2">
      <c r="A21167" s="6" t="str">
        <f>"FAAH"</f>
        <v>FAAH</v>
      </c>
      <c r="B21167" s="6" t="s">
        <v>1</v>
      </c>
      <c r="C21167" s="6" t="s">
        <v>1</v>
      </c>
    </row>
    <row r="21168" spans="1:3" s="8" customFormat="1" x14ac:dyDescent="0.2">
      <c r="A21168" s="6" t="str">
        <f>"EXOC8"</f>
        <v>EXOC8</v>
      </c>
      <c r="B21168" s="6" t="s">
        <v>1</v>
      </c>
      <c r="C21168" s="6" t="s">
        <v>1</v>
      </c>
    </row>
    <row r="21169" spans="1:3" s="8" customFormat="1" x14ac:dyDescent="0.2">
      <c r="A21169" s="6" t="str">
        <f>"SEMA3E"</f>
        <v>SEMA3E</v>
      </c>
      <c r="B21169" s="6" t="s">
        <v>1</v>
      </c>
      <c r="C21169" s="6" t="s">
        <v>1</v>
      </c>
    </row>
    <row r="21170" spans="1:3" s="8" customFormat="1" x14ac:dyDescent="0.2">
      <c r="A21170" s="6" t="str">
        <f>"NUTM2A-AS1"</f>
        <v>NUTM2A-AS1</v>
      </c>
      <c r="B21170" s="6" t="s">
        <v>1</v>
      </c>
      <c r="C21170" s="6" t="s">
        <v>1</v>
      </c>
    </row>
    <row r="21171" spans="1:3" s="8" customFormat="1" x14ac:dyDescent="0.2">
      <c r="A21171" s="6" t="str">
        <f>"C22orf23"</f>
        <v>C22orf23</v>
      </c>
      <c r="B21171" s="6" t="s">
        <v>1</v>
      </c>
      <c r="C21171" s="6" t="s">
        <v>1</v>
      </c>
    </row>
    <row r="21172" spans="1:3" s="8" customFormat="1" x14ac:dyDescent="0.2">
      <c r="A21172" s="6" t="str">
        <f>"ADPRHL1"</f>
        <v>ADPRHL1</v>
      </c>
      <c r="B21172" s="6" t="s">
        <v>1</v>
      </c>
      <c r="C21172" s="6" t="s">
        <v>1</v>
      </c>
    </row>
    <row r="21173" spans="1:3" s="8" customFormat="1" x14ac:dyDescent="0.2">
      <c r="A21173" s="6" t="str">
        <f>"CYP24A1"</f>
        <v>CYP24A1</v>
      </c>
      <c r="B21173" s="6" t="s">
        <v>1</v>
      </c>
      <c r="C21173" s="6" t="s">
        <v>1</v>
      </c>
    </row>
    <row r="21174" spans="1:3" s="8" customFormat="1" x14ac:dyDescent="0.2">
      <c r="A21174" s="6" t="str">
        <f>"NOL10"</f>
        <v>NOL10</v>
      </c>
      <c r="B21174" s="6" t="s">
        <v>1</v>
      </c>
      <c r="C21174" s="6" t="s">
        <v>1</v>
      </c>
    </row>
    <row r="21175" spans="1:3" s="8" customFormat="1" x14ac:dyDescent="0.2">
      <c r="A21175" s="6" t="str">
        <f>"TTLL1"</f>
        <v>TTLL1</v>
      </c>
      <c r="B21175" s="6" t="s">
        <v>1</v>
      </c>
      <c r="C21175" s="6" t="s">
        <v>1</v>
      </c>
    </row>
    <row r="21176" spans="1:3" s="8" customFormat="1" x14ac:dyDescent="0.2">
      <c r="A21176" s="6" t="str">
        <f>"KATNBL1"</f>
        <v>KATNBL1</v>
      </c>
      <c r="B21176" s="6" t="s">
        <v>1</v>
      </c>
      <c r="C21176" s="6" t="s">
        <v>1</v>
      </c>
    </row>
    <row r="21177" spans="1:3" s="8" customFormat="1" x14ac:dyDescent="0.2">
      <c r="A21177" s="6" t="str">
        <f>"MDFI"</f>
        <v>MDFI</v>
      </c>
      <c r="B21177" s="6" t="s">
        <v>1</v>
      </c>
      <c r="C21177" s="6" t="s">
        <v>1</v>
      </c>
    </row>
    <row r="21178" spans="1:3" s="8" customFormat="1" x14ac:dyDescent="0.2">
      <c r="A21178" s="6" t="str">
        <f>"GLS"</f>
        <v>GLS</v>
      </c>
      <c r="B21178" s="6" t="s">
        <v>1</v>
      </c>
      <c r="C21178" s="6" t="s">
        <v>1</v>
      </c>
    </row>
    <row r="21179" spans="1:3" s="8" customFormat="1" x14ac:dyDescent="0.2">
      <c r="A21179" s="6" t="str">
        <f>"ZSCAN31"</f>
        <v>ZSCAN31</v>
      </c>
      <c r="B21179" s="6" t="s">
        <v>1</v>
      </c>
      <c r="C21179" s="6" t="s">
        <v>1</v>
      </c>
    </row>
    <row r="21180" spans="1:3" s="8" customFormat="1" x14ac:dyDescent="0.2">
      <c r="A21180" s="6" t="str">
        <f>"LRFN4"</f>
        <v>LRFN4</v>
      </c>
      <c r="B21180" s="6" t="s">
        <v>1</v>
      </c>
      <c r="C21180" s="6" t="s">
        <v>1</v>
      </c>
    </row>
    <row r="21181" spans="1:3" s="8" customFormat="1" x14ac:dyDescent="0.2">
      <c r="A21181" s="6" t="str">
        <f>"CRLF1"</f>
        <v>CRLF1</v>
      </c>
      <c r="B21181" s="6" t="s">
        <v>1</v>
      </c>
      <c r="C21181" s="6" t="s">
        <v>1</v>
      </c>
    </row>
    <row r="21182" spans="1:3" s="8" customFormat="1" x14ac:dyDescent="0.2">
      <c r="A21182" s="6" t="str">
        <f>"CELF2"</f>
        <v>CELF2</v>
      </c>
      <c r="B21182" s="6" t="s">
        <v>1</v>
      </c>
      <c r="C21182" s="6" t="s">
        <v>1</v>
      </c>
    </row>
    <row r="21183" spans="1:3" s="8" customFormat="1" x14ac:dyDescent="0.2">
      <c r="A21183" s="6" t="str">
        <f>"PHF5A"</f>
        <v>PHF5A</v>
      </c>
      <c r="B21183" s="6" t="s">
        <v>1</v>
      </c>
      <c r="C21183" s="6" t="s">
        <v>1</v>
      </c>
    </row>
    <row r="21184" spans="1:3" s="8" customFormat="1" x14ac:dyDescent="0.2">
      <c r="A21184" s="6" t="str">
        <f>"RNF121"</f>
        <v>RNF121</v>
      </c>
      <c r="B21184" s="6" t="s">
        <v>1</v>
      </c>
      <c r="C21184" s="6" t="s">
        <v>1</v>
      </c>
    </row>
    <row r="21185" spans="1:3" s="8" customFormat="1" x14ac:dyDescent="0.2">
      <c r="A21185" s="6" t="str">
        <f>"SMARCA1"</f>
        <v>SMARCA1</v>
      </c>
      <c r="B21185" s="6" t="s">
        <v>1</v>
      </c>
      <c r="C21185" s="6" t="s">
        <v>1</v>
      </c>
    </row>
    <row r="21186" spans="1:3" s="8" customFormat="1" x14ac:dyDescent="0.2">
      <c r="A21186" s="6" t="str">
        <f>"ZNF585B"</f>
        <v>ZNF585B</v>
      </c>
      <c r="B21186" s="6" t="s">
        <v>1</v>
      </c>
      <c r="C21186" s="6" t="s">
        <v>1</v>
      </c>
    </row>
    <row r="21187" spans="1:3" s="8" customFormat="1" x14ac:dyDescent="0.2">
      <c r="A21187" s="6" t="str">
        <f>"STYK1"</f>
        <v>STYK1</v>
      </c>
      <c r="B21187" s="6" t="s">
        <v>1</v>
      </c>
      <c r="C21187" s="6" t="s">
        <v>1</v>
      </c>
    </row>
    <row r="21188" spans="1:3" s="8" customFormat="1" x14ac:dyDescent="0.2">
      <c r="A21188" s="6" t="str">
        <f>"PHTF2"</f>
        <v>PHTF2</v>
      </c>
      <c r="B21188" s="6" t="s">
        <v>1</v>
      </c>
      <c r="C21188" s="6" t="s">
        <v>1</v>
      </c>
    </row>
    <row r="21189" spans="1:3" s="8" customFormat="1" x14ac:dyDescent="0.2">
      <c r="A21189" s="6" t="str">
        <f>"NOM1"</f>
        <v>NOM1</v>
      </c>
      <c r="B21189" s="6" t="s">
        <v>1</v>
      </c>
      <c r="C21189" s="6" t="s">
        <v>1</v>
      </c>
    </row>
    <row r="21190" spans="1:3" s="8" customFormat="1" x14ac:dyDescent="0.2">
      <c r="A21190" s="6" t="str">
        <f>"NEDD1"</f>
        <v>NEDD1</v>
      </c>
      <c r="B21190" s="6" t="s">
        <v>1</v>
      </c>
      <c r="C21190" s="6" t="s">
        <v>1</v>
      </c>
    </row>
    <row r="21191" spans="1:3" s="8" customFormat="1" x14ac:dyDescent="0.2">
      <c r="A21191" s="6" t="str">
        <f>"TBC1D25"</f>
        <v>TBC1D25</v>
      </c>
      <c r="B21191" s="6" t="s">
        <v>1</v>
      </c>
      <c r="C21191" s="6" t="s">
        <v>1</v>
      </c>
    </row>
    <row r="21192" spans="1:3" s="8" customFormat="1" x14ac:dyDescent="0.2">
      <c r="A21192" s="6" t="str">
        <f>"OVCA2"</f>
        <v>OVCA2</v>
      </c>
      <c r="B21192" s="6" t="s">
        <v>1</v>
      </c>
      <c r="C21192" s="6" t="s">
        <v>1</v>
      </c>
    </row>
    <row r="21193" spans="1:3" s="8" customFormat="1" x14ac:dyDescent="0.2">
      <c r="A21193" s="6" t="str">
        <f>"ZNF587B"</f>
        <v>ZNF587B</v>
      </c>
      <c r="B21193" s="6" t="s">
        <v>1</v>
      </c>
      <c r="C21193" s="6" t="s">
        <v>1</v>
      </c>
    </row>
    <row r="21194" spans="1:3" s="8" customFormat="1" x14ac:dyDescent="0.2">
      <c r="A21194" s="6" t="str">
        <f>"ELP6"</f>
        <v>ELP6</v>
      </c>
      <c r="B21194" s="6" t="s">
        <v>1</v>
      </c>
      <c r="C21194" s="6" t="s">
        <v>1</v>
      </c>
    </row>
    <row r="21195" spans="1:3" s="8" customFormat="1" x14ac:dyDescent="0.2">
      <c r="A21195" s="6" t="str">
        <f>"NPIPA5"</f>
        <v>NPIPA5</v>
      </c>
      <c r="B21195" s="6" t="s">
        <v>1</v>
      </c>
      <c r="C21195" s="6" t="s">
        <v>1</v>
      </c>
    </row>
    <row r="21196" spans="1:3" s="8" customFormat="1" x14ac:dyDescent="0.2">
      <c r="A21196" s="6" t="str">
        <f>"FLACC1"</f>
        <v>FLACC1</v>
      </c>
      <c r="B21196" s="6" t="s">
        <v>1</v>
      </c>
      <c r="C21196" s="6" t="s">
        <v>1</v>
      </c>
    </row>
    <row r="21197" spans="1:3" s="8" customFormat="1" x14ac:dyDescent="0.2">
      <c r="A21197" s="6" t="str">
        <f>"STX8"</f>
        <v>STX8</v>
      </c>
      <c r="B21197" s="6" t="s">
        <v>1</v>
      </c>
      <c r="C21197" s="6" t="s">
        <v>1</v>
      </c>
    </row>
    <row r="21198" spans="1:3" s="8" customFormat="1" x14ac:dyDescent="0.2">
      <c r="A21198" s="6" t="str">
        <f>"PDCL"</f>
        <v>PDCL</v>
      </c>
      <c r="B21198" s="6" t="s">
        <v>1</v>
      </c>
      <c r="C21198" s="6" t="s">
        <v>1</v>
      </c>
    </row>
    <row r="21199" spans="1:3" s="8" customFormat="1" x14ac:dyDescent="0.2">
      <c r="A21199" s="6" t="str">
        <f>"MIS18BP1"</f>
        <v>MIS18BP1</v>
      </c>
      <c r="B21199" s="6" t="s">
        <v>1</v>
      </c>
      <c r="C21199" s="6" t="s">
        <v>1</v>
      </c>
    </row>
    <row r="21200" spans="1:3" s="8" customFormat="1" x14ac:dyDescent="0.2">
      <c r="A21200" s="6" t="str">
        <f>"C1R"</f>
        <v>C1R</v>
      </c>
      <c r="B21200" s="6" t="s">
        <v>1</v>
      </c>
      <c r="C21200" s="6" t="s">
        <v>1</v>
      </c>
    </row>
    <row r="21201" spans="1:3" s="8" customFormat="1" x14ac:dyDescent="0.2">
      <c r="A21201" s="6" t="str">
        <f>"RNF166"</f>
        <v>RNF166</v>
      </c>
      <c r="B21201" s="6" t="s">
        <v>1</v>
      </c>
      <c r="C21201" s="6" t="s">
        <v>1</v>
      </c>
    </row>
    <row r="21202" spans="1:3" s="8" customFormat="1" x14ac:dyDescent="0.2">
      <c r="A21202" s="6" t="str">
        <f>"APIP"</f>
        <v>APIP</v>
      </c>
      <c r="B21202" s="6" t="s">
        <v>1</v>
      </c>
      <c r="C21202" s="6" t="s">
        <v>1</v>
      </c>
    </row>
    <row r="21203" spans="1:3" s="8" customFormat="1" x14ac:dyDescent="0.2">
      <c r="A21203" s="6" t="str">
        <f>"DEAF1"</f>
        <v>DEAF1</v>
      </c>
      <c r="B21203" s="6" t="s">
        <v>1</v>
      </c>
      <c r="C21203" s="6" t="s">
        <v>1</v>
      </c>
    </row>
    <row r="21204" spans="1:3" s="8" customFormat="1" x14ac:dyDescent="0.2">
      <c r="A21204" s="6" t="str">
        <f>"MLYCD"</f>
        <v>MLYCD</v>
      </c>
      <c r="B21204" s="6" t="s">
        <v>1</v>
      </c>
      <c r="C21204" s="6" t="s">
        <v>1</v>
      </c>
    </row>
    <row r="21205" spans="1:3" s="8" customFormat="1" x14ac:dyDescent="0.2">
      <c r="A21205" s="6" t="str">
        <f>"NEK8"</f>
        <v>NEK8</v>
      </c>
      <c r="B21205" s="6" t="s">
        <v>1</v>
      </c>
      <c r="C21205" s="6" t="s">
        <v>1</v>
      </c>
    </row>
    <row r="21206" spans="1:3" s="8" customFormat="1" x14ac:dyDescent="0.2">
      <c r="A21206" s="6" t="str">
        <f>"IP6K3"</f>
        <v>IP6K3</v>
      </c>
      <c r="B21206" s="6" t="s">
        <v>1</v>
      </c>
      <c r="C21206" s="6" t="s">
        <v>1</v>
      </c>
    </row>
    <row r="21207" spans="1:3" s="8" customFormat="1" x14ac:dyDescent="0.2">
      <c r="A21207" s="6" t="str">
        <f>"TMEM14A"</f>
        <v>TMEM14A</v>
      </c>
      <c r="B21207" s="6" t="s">
        <v>1</v>
      </c>
      <c r="C21207" s="6" t="s">
        <v>1</v>
      </c>
    </row>
    <row r="21208" spans="1:3" s="8" customFormat="1" x14ac:dyDescent="0.2">
      <c r="A21208" s="6" t="str">
        <f>"IER5L"</f>
        <v>IER5L</v>
      </c>
      <c r="B21208" s="6" t="s">
        <v>1</v>
      </c>
      <c r="C21208" s="6" t="s">
        <v>1</v>
      </c>
    </row>
    <row r="21209" spans="1:3" s="8" customFormat="1" x14ac:dyDescent="0.2">
      <c r="A21209" s="6" t="str">
        <f>"KIZ"</f>
        <v>KIZ</v>
      </c>
      <c r="B21209" s="6" t="s">
        <v>1</v>
      </c>
      <c r="C21209" s="6" t="s">
        <v>1</v>
      </c>
    </row>
    <row r="21210" spans="1:3" s="8" customFormat="1" x14ac:dyDescent="0.2">
      <c r="A21210" s="6" t="str">
        <f>"TMEM135"</f>
        <v>TMEM135</v>
      </c>
      <c r="B21210" s="6" t="s">
        <v>1</v>
      </c>
      <c r="C21210" s="6" t="s">
        <v>1</v>
      </c>
    </row>
    <row r="21211" spans="1:3" s="8" customFormat="1" x14ac:dyDescent="0.2">
      <c r="A21211" s="6" t="str">
        <f>"MRPS18C"</f>
        <v>MRPS18C</v>
      </c>
      <c r="B21211" s="6" t="s">
        <v>1</v>
      </c>
      <c r="C21211" s="6" t="s">
        <v>1</v>
      </c>
    </row>
    <row r="21212" spans="1:3" s="8" customFormat="1" x14ac:dyDescent="0.2">
      <c r="A21212" s="6" t="str">
        <f>"PPARGC1A"</f>
        <v>PPARGC1A</v>
      </c>
      <c r="B21212" s="6" t="s">
        <v>1</v>
      </c>
      <c r="C21212" s="6" t="s">
        <v>1</v>
      </c>
    </row>
    <row r="21213" spans="1:3" s="8" customFormat="1" x14ac:dyDescent="0.2">
      <c r="A21213" s="6" t="str">
        <f>"EXOSC7"</f>
        <v>EXOSC7</v>
      </c>
      <c r="B21213" s="6" t="s">
        <v>1</v>
      </c>
      <c r="C21213" s="6" t="s">
        <v>1</v>
      </c>
    </row>
    <row r="21214" spans="1:3" s="8" customFormat="1" x14ac:dyDescent="0.2">
      <c r="A21214" s="6" t="str">
        <f>"ARAP3"</f>
        <v>ARAP3</v>
      </c>
      <c r="B21214" s="6" t="s">
        <v>1</v>
      </c>
      <c r="C21214" s="6" t="s">
        <v>1</v>
      </c>
    </row>
    <row r="21215" spans="1:3" s="8" customFormat="1" x14ac:dyDescent="0.2">
      <c r="A21215" s="6" t="str">
        <f>"SLC27A3"</f>
        <v>SLC27A3</v>
      </c>
      <c r="B21215" s="6" t="s">
        <v>1</v>
      </c>
      <c r="C21215" s="6" t="s">
        <v>1</v>
      </c>
    </row>
    <row r="21216" spans="1:3" s="8" customFormat="1" x14ac:dyDescent="0.2">
      <c r="A21216" s="6" t="str">
        <f>"EDARADD"</f>
        <v>EDARADD</v>
      </c>
      <c r="B21216" s="6" t="s">
        <v>1</v>
      </c>
      <c r="C21216" s="6" t="s">
        <v>1</v>
      </c>
    </row>
    <row r="21217" spans="1:3" s="8" customFormat="1" x14ac:dyDescent="0.2">
      <c r="A21217" s="6" t="str">
        <f>"MRPL50"</f>
        <v>MRPL50</v>
      </c>
      <c r="B21217" s="6" t="s">
        <v>1</v>
      </c>
      <c r="C21217" s="6" t="s">
        <v>1</v>
      </c>
    </row>
    <row r="21218" spans="1:3" s="8" customFormat="1" x14ac:dyDescent="0.2">
      <c r="A21218" s="6" t="str">
        <f>"TGFBR3"</f>
        <v>TGFBR3</v>
      </c>
      <c r="B21218" s="6" t="s">
        <v>1</v>
      </c>
      <c r="C21218" s="6" t="s">
        <v>1</v>
      </c>
    </row>
    <row r="21219" spans="1:3" s="8" customFormat="1" x14ac:dyDescent="0.2">
      <c r="A21219" s="6" t="str">
        <f>"OXLD1"</f>
        <v>OXLD1</v>
      </c>
      <c r="B21219" s="6" t="s">
        <v>1</v>
      </c>
      <c r="C21219" s="6" t="s">
        <v>1</v>
      </c>
    </row>
    <row r="21220" spans="1:3" s="8" customFormat="1" x14ac:dyDescent="0.2">
      <c r="A21220" s="6" t="str">
        <f>"MED6"</f>
        <v>MED6</v>
      </c>
      <c r="B21220" s="6" t="s">
        <v>1</v>
      </c>
      <c r="C21220" s="6" t="s">
        <v>1</v>
      </c>
    </row>
    <row r="21221" spans="1:3" s="8" customFormat="1" x14ac:dyDescent="0.2">
      <c r="A21221" s="6" t="str">
        <f>"GMEB2"</f>
        <v>GMEB2</v>
      </c>
      <c r="B21221" s="6" t="s">
        <v>1</v>
      </c>
      <c r="C21221" s="6" t="s">
        <v>1</v>
      </c>
    </row>
    <row r="21222" spans="1:3" s="8" customFormat="1" x14ac:dyDescent="0.2">
      <c r="A21222" s="6" t="str">
        <f>"N4BP2"</f>
        <v>N4BP2</v>
      </c>
      <c r="B21222" s="6" t="s">
        <v>1</v>
      </c>
      <c r="C21222" s="6" t="s">
        <v>1</v>
      </c>
    </row>
    <row r="21223" spans="1:3" s="8" customFormat="1" x14ac:dyDescent="0.2">
      <c r="A21223" s="6" t="str">
        <f>"C21orf91"</f>
        <v>C21orf91</v>
      </c>
      <c r="B21223" s="6" t="s">
        <v>1</v>
      </c>
      <c r="C21223" s="6" t="s">
        <v>1</v>
      </c>
    </row>
    <row r="21224" spans="1:3" s="8" customFormat="1" x14ac:dyDescent="0.2">
      <c r="A21224" s="6" t="str">
        <f>"ZNF627"</f>
        <v>ZNF627</v>
      </c>
      <c r="B21224" s="6" t="s">
        <v>1</v>
      </c>
      <c r="C21224" s="6" t="s">
        <v>1</v>
      </c>
    </row>
    <row r="21225" spans="1:3" s="8" customFormat="1" x14ac:dyDescent="0.2">
      <c r="A21225" s="6" t="str">
        <f>"INIP"</f>
        <v>INIP</v>
      </c>
      <c r="B21225" s="6" t="s">
        <v>1</v>
      </c>
      <c r="C21225" s="6" t="s">
        <v>1</v>
      </c>
    </row>
    <row r="21226" spans="1:3" s="8" customFormat="1" x14ac:dyDescent="0.2">
      <c r="A21226" s="6" t="str">
        <f>"SUFU"</f>
        <v>SUFU</v>
      </c>
      <c r="B21226" s="6" t="s">
        <v>1</v>
      </c>
      <c r="C21226" s="6" t="s">
        <v>1</v>
      </c>
    </row>
    <row r="21227" spans="1:3" s="8" customFormat="1" x14ac:dyDescent="0.2">
      <c r="A21227" s="6" t="str">
        <f>"ING1"</f>
        <v>ING1</v>
      </c>
      <c r="B21227" s="6" t="s">
        <v>1</v>
      </c>
      <c r="C21227" s="6" t="s">
        <v>1</v>
      </c>
    </row>
    <row r="21228" spans="1:3" s="8" customFormat="1" x14ac:dyDescent="0.2">
      <c r="A21228" s="6" t="str">
        <f>"HAUS5"</f>
        <v>HAUS5</v>
      </c>
      <c r="B21228" s="6" t="s">
        <v>1</v>
      </c>
      <c r="C21228" s="6" t="s">
        <v>1</v>
      </c>
    </row>
    <row r="21229" spans="1:3" s="8" customFormat="1" x14ac:dyDescent="0.2">
      <c r="A21229" s="6" t="str">
        <f>"MCTS1"</f>
        <v>MCTS1</v>
      </c>
      <c r="B21229" s="6" t="s">
        <v>1</v>
      </c>
      <c r="C21229" s="6" t="s">
        <v>1</v>
      </c>
    </row>
    <row r="21230" spans="1:3" s="8" customFormat="1" x14ac:dyDescent="0.2">
      <c r="A21230" s="6" t="str">
        <f>"NUP85"</f>
        <v>NUP85</v>
      </c>
      <c r="B21230" s="6" t="s">
        <v>1</v>
      </c>
      <c r="C21230" s="6" t="s">
        <v>1</v>
      </c>
    </row>
    <row r="21231" spans="1:3" s="8" customFormat="1" x14ac:dyDescent="0.2">
      <c r="A21231" s="6" t="str">
        <f>"NOP14-AS1"</f>
        <v>NOP14-AS1</v>
      </c>
      <c r="B21231" s="6" t="s">
        <v>1</v>
      </c>
      <c r="C21231" s="6" t="s">
        <v>1</v>
      </c>
    </row>
    <row r="21232" spans="1:3" s="8" customFormat="1" x14ac:dyDescent="0.2">
      <c r="A21232" s="6" t="str">
        <f>"LPIN1"</f>
        <v>LPIN1</v>
      </c>
      <c r="B21232" s="6" t="s">
        <v>1</v>
      </c>
      <c r="C21232" s="6" t="s">
        <v>1</v>
      </c>
    </row>
    <row r="21233" spans="1:3" s="8" customFormat="1" x14ac:dyDescent="0.2">
      <c r="A21233" s="6" t="str">
        <f>"APOL3"</f>
        <v>APOL3</v>
      </c>
      <c r="B21233" s="6" t="s">
        <v>1</v>
      </c>
      <c r="C21233" s="6" t="s">
        <v>1</v>
      </c>
    </row>
    <row r="21234" spans="1:3" s="8" customFormat="1" x14ac:dyDescent="0.2">
      <c r="A21234" s="6" t="str">
        <f>"INTS4"</f>
        <v>INTS4</v>
      </c>
      <c r="B21234" s="6" t="s">
        <v>1</v>
      </c>
      <c r="C21234" s="6" t="s">
        <v>1</v>
      </c>
    </row>
    <row r="21235" spans="1:3" s="8" customFormat="1" x14ac:dyDescent="0.2">
      <c r="A21235" s="6" t="str">
        <f>"CDKN2AIP"</f>
        <v>CDKN2AIP</v>
      </c>
      <c r="B21235" s="6" t="s">
        <v>1</v>
      </c>
      <c r="C21235" s="6" t="s">
        <v>1</v>
      </c>
    </row>
    <row r="21236" spans="1:3" s="8" customFormat="1" x14ac:dyDescent="0.2">
      <c r="A21236" s="6" t="str">
        <f>"BAALC-AS1"</f>
        <v>BAALC-AS1</v>
      </c>
      <c r="B21236" s="6" t="s">
        <v>1</v>
      </c>
      <c r="C21236" s="6" t="s">
        <v>1</v>
      </c>
    </row>
    <row r="21237" spans="1:3" s="8" customFormat="1" x14ac:dyDescent="0.2">
      <c r="A21237" s="6" t="str">
        <f>"PAGR1"</f>
        <v>PAGR1</v>
      </c>
      <c r="B21237" s="6" t="s">
        <v>1</v>
      </c>
      <c r="C21237" s="6" t="s">
        <v>1</v>
      </c>
    </row>
    <row r="21238" spans="1:3" s="8" customFormat="1" x14ac:dyDescent="0.2">
      <c r="A21238" s="6" t="str">
        <f>"MAL"</f>
        <v>MAL</v>
      </c>
      <c r="B21238" s="6" t="s">
        <v>1</v>
      </c>
      <c r="C21238" s="6" t="s">
        <v>1</v>
      </c>
    </row>
    <row r="21239" spans="1:3" s="8" customFormat="1" x14ac:dyDescent="0.2">
      <c r="A21239" s="6" t="str">
        <f>"CHUK"</f>
        <v>CHUK</v>
      </c>
      <c r="B21239" s="6" t="s">
        <v>1</v>
      </c>
      <c r="C21239" s="6" t="s">
        <v>1</v>
      </c>
    </row>
    <row r="21240" spans="1:3" s="8" customFormat="1" x14ac:dyDescent="0.2">
      <c r="A21240" s="6" t="str">
        <f>"NOL9"</f>
        <v>NOL9</v>
      </c>
      <c r="B21240" s="6" t="s">
        <v>1</v>
      </c>
      <c r="C21240" s="6" t="s">
        <v>1</v>
      </c>
    </row>
    <row r="21241" spans="1:3" s="8" customFormat="1" x14ac:dyDescent="0.2">
      <c r="A21241" s="6" t="str">
        <f>"CYP1B1"</f>
        <v>CYP1B1</v>
      </c>
      <c r="B21241" s="6" t="s">
        <v>1</v>
      </c>
      <c r="C21241" s="6" t="s">
        <v>1</v>
      </c>
    </row>
    <row r="21242" spans="1:3" s="8" customFormat="1" x14ac:dyDescent="0.2">
      <c r="A21242" s="6" t="str">
        <f>"KCNAB2"</f>
        <v>KCNAB2</v>
      </c>
      <c r="B21242" s="6" t="s">
        <v>1</v>
      </c>
      <c r="C21242" s="6" t="s">
        <v>1</v>
      </c>
    </row>
    <row r="21243" spans="1:3" s="8" customFormat="1" x14ac:dyDescent="0.2">
      <c r="A21243" s="6" t="str">
        <f>"PLEKHG5"</f>
        <v>PLEKHG5</v>
      </c>
      <c r="B21243" s="6" t="s">
        <v>1</v>
      </c>
      <c r="C21243" s="6" t="s">
        <v>1</v>
      </c>
    </row>
    <row r="21244" spans="1:3" s="8" customFormat="1" x14ac:dyDescent="0.2">
      <c r="A21244" s="6" t="str">
        <f>"B4GALT3"</f>
        <v>B4GALT3</v>
      </c>
      <c r="B21244" s="6" t="s">
        <v>1</v>
      </c>
      <c r="C21244" s="6" t="s">
        <v>1</v>
      </c>
    </row>
    <row r="21245" spans="1:3" s="8" customFormat="1" x14ac:dyDescent="0.2">
      <c r="A21245" s="6" t="str">
        <f>"MRPS28"</f>
        <v>MRPS28</v>
      </c>
      <c r="B21245" s="6" t="s">
        <v>1</v>
      </c>
      <c r="C21245" s="6" t="s">
        <v>1</v>
      </c>
    </row>
    <row r="21246" spans="1:3" s="8" customFormat="1" x14ac:dyDescent="0.2">
      <c r="A21246" s="6" t="str">
        <f>"CASP10"</f>
        <v>CASP10</v>
      </c>
      <c r="B21246" s="6" t="s">
        <v>1</v>
      </c>
      <c r="C21246" s="6" t="s">
        <v>1</v>
      </c>
    </row>
    <row r="21247" spans="1:3" s="8" customFormat="1" x14ac:dyDescent="0.2">
      <c r="A21247" s="6" t="str">
        <f>"DGAT2"</f>
        <v>DGAT2</v>
      </c>
      <c r="B21247" s="6" t="s">
        <v>1</v>
      </c>
      <c r="C21247" s="6" t="s">
        <v>1</v>
      </c>
    </row>
    <row r="21248" spans="1:3" s="8" customFormat="1" x14ac:dyDescent="0.2">
      <c r="A21248" s="6" t="str">
        <f>"MAGIX"</f>
        <v>MAGIX</v>
      </c>
      <c r="B21248" s="6" t="s">
        <v>1</v>
      </c>
      <c r="C21248" s="6" t="s">
        <v>1</v>
      </c>
    </row>
    <row r="21249" spans="1:3" s="8" customFormat="1" x14ac:dyDescent="0.2">
      <c r="A21249" s="6" t="str">
        <f>"COA5"</f>
        <v>COA5</v>
      </c>
      <c r="B21249" s="6" t="s">
        <v>1</v>
      </c>
      <c r="C21249" s="6" t="s">
        <v>1</v>
      </c>
    </row>
    <row r="21250" spans="1:3" s="8" customFormat="1" x14ac:dyDescent="0.2">
      <c r="A21250" s="6" t="str">
        <f>"AP000547.3"</f>
        <v>AP000547.3</v>
      </c>
      <c r="B21250" s="6" t="s">
        <v>1</v>
      </c>
      <c r="C21250" s="6" t="s">
        <v>1</v>
      </c>
    </row>
    <row r="21251" spans="1:3" s="8" customFormat="1" x14ac:dyDescent="0.2">
      <c r="A21251" s="6" t="str">
        <f>"OBSCN"</f>
        <v>OBSCN</v>
      </c>
      <c r="B21251" s="6" t="s">
        <v>1</v>
      </c>
      <c r="C21251" s="6" t="s">
        <v>1</v>
      </c>
    </row>
    <row r="21252" spans="1:3" s="8" customFormat="1" x14ac:dyDescent="0.2">
      <c r="A21252" s="6" t="str">
        <f>"INCENP"</f>
        <v>INCENP</v>
      </c>
      <c r="B21252" s="6" t="s">
        <v>1</v>
      </c>
      <c r="C21252" s="6" t="s">
        <v>1</v>
      </c>
    </row>
    <row r="21253" spans="1:3" s="8" customFormat="1" x14ac:dyDescent="0.2">
      <c r="A21253" s="6" t="str">
        <f>"NDUFB6"</f>
        <v>NDUFB6</v>
      </c>
      <c r="B21253" s="6" t="s">
        <v>1</v>
      </c>
      <c r="C21253" s="6" t="s">
        <v>1</v>
      </c>
    </row>
    <row r="21254" spans="1:3" s="8" customFormat="1" x14ac:dyDescent="0.2">
      <c r="A21254" s="6" t="str">
        <f>"GABPB1-IT1"</f>
        <v>GABPB1-IT1</v>
      </c>
      <c r="B21254" s="6" t="s">
        <v>1</v>
      </c>
      <c r="C21254" s="6" t="s">
        <v>1</v>
      </c>
    </row>
    <row r="21255" spans="1:3" s="8" customFormat="1" x14ac:dyDescent="0.2">
      <c r="A21255" s="6" t="str">
        <f>"SLC26A4"</f>
        <v>SLC26A4</v>
      </c>
      <c r="B21255" s="6" t="s">
        <v>1</v>
      </c>
      <c r="C21255" s="6" t="s">
        <v>1</v>
      </c>
    </row>
    <row r="21256" spans="1:3" s="8" customFormat="1" x14ac:dyDescent="0.2">
      <c r="A21256" s="6" t="str">
        <f>"DDX59"</f>
        <v>DDX59</v>
      </c>
      <c r="B21256" s="6" t="s">
        <v>1</v>
      </c>
      <c r="C21256" s="6" t="s">
        <v>1</v>
      </c>
    </row>
    <row r="21257" spans="1:3" s="8" customFormat="1" x14ac:dyDescent="0.2">
      <c r="A21257" s="6" t="str">
        <f>"CRNN"</f>
        <v>CRNN</v>
      </c>
      <c r="B21257" s="6" t="s">
        <v>1</v>
      </c>
      <c r="C21257" s="6" t="s">
        <v>1</v>
      </c>
    </row>
    <row r="21258" spans="1:3" s="8" customFormat="1" x14ac:dyDescent="0.2">
      <c r="A21258" s="6" t="str">
        <f>"KLHDC8B"</f>
        <v>KLHDC8B</v>
      </c>
      <c r="B21258" s="6" t="s">
        <v>1</v>
      </c>
      <c r="C21258" s="6" t="s">
        <v>1</v>
      </c>
    </row>
    <row r="21259" spans="1:3" s="8" customFormat="1" x14ac:dyDescent="0.2">
      <c r="A21259" s="6" t="str">
        <f>"DOCK4"</f>
        <v>DOCK4</v>
      </c>
      <c r="B21259" s="6" t="s">
        <v>1</v>
      </c>
      <c r="C21259" s="6" t="s">
        <v>1</v>
      </c>
    </row>
    <row r="21260" spans="1:3" s="8" customFormat="1" x14ac:dyDescent="0.2">
      <c r="A21260" s="6" t="str">
        <f>"GPX8"</f>
        <v>GPX8</v>
      </c>
      <c r="B21260" s="6" t="s">
        <v>1</v>
      </c>
      <c r="C21260" s="6" t="s">
        <v>1</v>
      </c>
    </row>
    <row r="21261" spans="1:3" s="8" customFormat="1" x14ac:dyDescent="0.2">
      <c r="A21261" s="6" t="str">
        <f>"KLHL22"</f>
        <v>KLHL22</v>
      </c>
      <c r="B21261" s="6" t="s">
        <v>1</v>
      </c>
      <c r="C21261" s="6" t="s">
        <v>1</v>
      </c>
    </row>
    <row r="21262" spans="1:3" s="8" customFormat="1" x14ac:dyDescent="0.2">
      <c r="A21262" s="6" t="str">
        <f>"ZNF260"</f>
        <v>ZNF260</v>
      </c>
      <c r="B21262" s="6" t="s">
        <v>1</v>
      </c>
      <c r="C21262" s="6" t="s">
        <v>1</v>
      </c>
    </row>
    <row r="21263" spans="1:3" s="8" customFormat="1" x14ac:dyDescent="0.2">
      <c r="A21263" s="6" t="str">
        <f>"ALG13"</f>
        <v>ALG13</v>
      </c>
      <c r="B21263" s="6" t="s">
        <v>1</v>
      </c>
      <c r="C21263" s="6" t="s">
        <v>1</v>
      </c>
    </row>
    <row r="21264" spans="1:3" s="8" customFormat="1" x14ac:dyDescent="0.2">
      <c r="A21264" s="6" t="str">
        <f>"CHST12"</f>
        <v>CHST12</v>
      </c>
      <c r="B21264" s="6" t="s">
        <v>1</v>
      </c>
      <c r="C21264" s="6" t="s">
        <v>1</v>
      </c>
    </row>
    <row r="21265" spans="1:3" s="8" customFormat="1" x14ac:dyDescent="0.2">
      <c r="A21265" s="6" t="str">
        <f>"NVL"</f>
        <v>NVL</v>
      </c>
      <c r="B21265" s="6" t="s">
        <v>1</v>
      </c>
      <c r="C21265" s="6" t="s">
        <v>1</v>
      </c>
    </row>
    <row r="21266" spans="1:3" s="8" customFormat="1" x14ac:dyDescent="0.2">
      <c r="A21266" s="6" t="str">
        <f>"FAHD1"</f>
        <v>FAHD1</v>
      </c>
      <c r="B21266" s="6" t="s">
        <v>1</v>
      </c>
      <c r="C21266" s="6" t="s">
        <v>1</v>
      </c>
    </row>
    <row r="21267" spans="1:3" s="8" customFormat="1" x14ac:dyDescent="0.2">
      <c r="A21267" s="6" t="str">
        <f>"LCLAT1"</f>
        <v>LCLAT1</v>
      </c>
      <c r="B21267" s="6" t="s">
        <v>1</v>
      </c>
      <c r="C21267" s="6" t="s">
        <v>1</v>
      </c>
    </row>
    <row r="21268" spans="1:3" s="8" customFormat="1" x14ac:dyDescent="0.2">
      <c r="A21268" s="6" t="str">
        <f>"GLA"</f>
        <v>GLA</v>
      </c>
      <c r="B21268" s="6" t="s">
        <v>1</v>
      </c>
      <c r="C21268" s="6" t="s">
        <v>1</v>
      </c>
    </row>
    <row r="21269" spans="1:3" s="8" customFormat="1" x14ac:dyDescent="0.2">
      <c r="A21269" s="6" t="str">
        <f>"CHST11"</f>
        <v>CHST11</v>
      </c>
      <c r="B21269" s="6" t="s">
        <v>1</v>
      </c>
      <c r="C21269" s="6" t="s">
        <v>1</v>
      </c>
    </row>
    <row r="21270" spans="1:3" s="8" customFormat="1" x14ac:dyDescent="0.2">
      <c r="A21270" s="6" t="str">
        <f>"KLHDC9"</f>
        <v>KLHDC9</v>
      </c>
      <c r="B21270" s="6" t="s">
        <v>1</v>
      </c>
      <c r="C21270" s="6" t="s">
        <v>1</v>
      </c>
    </row>
    <row r="21271" spans="1:3" s="8" customFormat="1" x14ac:dyDescent="0.2">
      <c r="A21271" s="6" t="str">
        <f>"ZC2HC1C"</f>
        <v>ZC2HC1C</v>
      </c>
      <c r="B21271" s="6" t="s">
        <v>1</v>
      </c>
      <c r="C21271" s="6" t="s">
        <v>1</v>
      </c>
    </row>
    <row r="21272" spans="1:3" s="8" customFormat="1" x14ac:dyDescent="0.2">
      <c r="A21272" s="6" t="str">
        <f>"PCYT1B"</f>
        <v>PCYT1B</v>
      </c>
      <c r="B21272" s="6" t="s">
        <v>1</v>
      </c>
      <c r="C21272" s="6" t="s">
        <v>1</v>
      </c>
    </row>
    <row r="21273" spans="1:3" s="8" customFormat="1" x14ac:dyDescent="0.2">
      <c r="A21273" s="6" t="str">
        <f>"GRB7"</f>
        <v>GRB7</v>
      </c>
      <c r="B21273" s="6" t="s">
        <v>1</v>
      </c>
      <c r="C21273" s="6" t="s">
        <v>1</v>
      </c>
    </row>
    <row r="21274" spans="1:3" s="8" customFormat="1" x14ac:dyDescent="0.2">
      <c r="A21274" s="6" t="str">
        <f>"CHST3"</f>
        <v>CHST3</v>
      </c>
      <c r="B21274" s="6" t="s">
        <v>1</v>
      </c>
      <c r="C21274" s="6" t="s">
        <v>1</v>
      </c>
    </row>
    <row r="21275" spans="1:3" s="8" customFormat="1" x14ac:dyDescent="0.2">
      <c r="A21275" s="6" t="str">
        <f>"ENTR1"</f>
        <v>ENTR1</v>
      </c>
      <c r="B21275" s="6" t="s">
        <v>1</v>
      </c>
      <c r="C21275" s="6" t="s">
        <v>1</v>
      </c>
    </row>
    <row r="21276" spans="1:3" s="8" customFormat="1" x14ac:dyDescent="0.2">
      <c r="A21276" s="6" t="str">
        <f>"BRIX1"</f>
        <v>BRIX1</v>
      </c>
      <c r="B21276" s="6" t="s">
        <v>1</v>
      </c>
      <c r="C21276" s="6" t="s">
        <v>1</v>
      </c>
    </row>
    <row r="21277" spans="1:3" s="8" customFormat="1" x14ac:dyDescent="0.2">
      <c r="A21277" s="6" t="str">
        <f>"ALDH6A1"</f>
        <v>ALDH6A1</v>
      </c>
      <c r="B21277" s="6" t="s">
        <v>1</v>
      </c>
      <c r="C21277" s="6" t="s">
        <v>1</v>
      </c>
    </row>
    <row r="21278" spans="1:3" s="8" customFormat="1" x14ac:dyDescent="0.2">
      <c r="A21278" s="6" t="str">
        <f>"SRM"</f>
        <v>SRM</v>
      </c>
      <c r="B21278" s="6" t="s">
        <v>1</v>
      </c>
      <c r="C21278" s="6" t="s">
        <v>1</v>
      </c>
    </row>
    <row r="21279" spans="1:3" s="8" customFormat="1" x14ac:dyDescent="0.2">
      <c r="A21279" s="6" t="str">
        <f>"INO80D"</f>
        <v>INO80D</v>
      </c>
      <c r="B21279" s="6" t="s">
        <v>1</v>
      </c>
      <c r="C21279" s="6" t="s">
        <v>1</v>
      </c>
    </row>
    <row r="21280" spans="1:3" s="8" customFormat="1" x14ac:dyDescent="0.2">
      <c r="A21280" s="6" t="str">
        <f>"ZSCAN29"</f>
        <v>ZSCAN29</v>
      </c>
      <c r="B21280" s="6" t="s">
        <v>1</v>
      </c>
      <c r="C21280" s="6" t="s">
        <v>1</v>
      </c>
    </row>
    <row r="21281" spans="1:3" s="8" customFormat="1" x14ac:dyDescent="0.2">
      <c r="A21281" s="6" t="str">
        <f>"FANCF"</f>
        <v>FANCF</v>
      </c>
      <c r="B21281" s="6" t="s">
        <v>1</v>
      </c>
      <c r="C21281" s="6" t="s">
        <v>1</v>
      </c>
    </row>
    <row r="21282" spans="1:3" s="8" customFormat="1" x14ac:dyDescent="0.2">
      <c r="A21282" s="6" t="str">
        <f>"MINPP1"</f>
        <v>MINPP1</v>
      </c>
      <c r="B21282" s="6" t="s">
        <v>1</v>
      </c>
      <c r="C21282" s="6" t="s">
        <v>1</v>
      </c>
    </row>
    <row r="21283" spans="1:3" s="8" customFormat="1" x14ac:dyDescent="0.2">
      <c r="A21283" s="6" t="str">
        <f>"SRGAP2C"</f>
        <v>SRGAP2C</v>
      </c>
      <c r="B21283" s="6" t="s">
        <v>1</v>
      </c>
      <c r="C21283" s="6" t="s">
        <v>1</v>
      </c>
    </row>
    <row r="21284" spans="1:3" s="8" customFormat="1" x14ac:dyDescent="0.2">
      <c r="A21284" s="6" t="str">
        <f>"MRPL58"</f>
        <v>MRPL58</v>
      </c>
      <c r="B21284" s="6" t="s">
        <v>1</v>
      </c>
      <c r="C21284" s="6" t="s">
        <v>1</v>
      </c>
    </row>
    <row r="21285" spans="1:3" s="8" customFormat="1" x14ac:dyDescent="0.2">
      <c r="A21285" s="6" t="str">
        <f>"PPAN"</f>
        <v>PPAN</v>
      </c>
      <c r="B21285" s="6" t="s">
        <v>1</v>
      </c>
      <c r="C21285" s="6" t="s">
        <v>1</v>
      </c>
    </row>
    <row r="21286" spans="1:3" s="8" customFormat="1" x14ac:dyDescent="0.2">
      <c r="A21286" s="6" t="str">
        <f>"NOC4L"</f>
        <v>NOC4L</v>
      </c>
      <c r="B21286" s="6" t="s">
        <v>1</v>
      </c>
      <c r="C21286" s="6" t="s">
        <v>1</v>
      </c>
    </row>
    <row r="21287" spans="1:3" s="8" customFormat="1" x14ac:dyDescent="0.2">
      <c r="A21287" s="6" t="str">
        <f>"MAD1L1"</f>
        <v>MAD1L1</v>
      </c>
      <c r="B21287" s="6" t="s">
        <v>1</v>
      </c>
      <c r="C21287" s="6" t="s">
        <v>1</v>
      </c>
    </row>
    <row r="21288" spans="1:3" s="8" customFormat="1" x14ac:dyDescent="0.2">
      <c r="A21288" s="6" t="str">
        <f>"TTL"</f>
        <v>TTL</v>
      </c>
      <c r="B21288" s="6" t="s">
        <v>1</v>
      </c>
      <c r="C21288" s="6" t="s">
        <v>1</v>
      </c>
    </row>
    <row r="21289" spans="1:3" s="8" customFormat="1" x14ac:dyDescent="0.2">
      <c r="A21289" s="6" t="str">
        <f>"LDOC1"</f>
        <v>LDOC1</v>
      </c>
      <c r="B21289" s="6" t="s">
        <v>1</v>
      </c>
      <c r="C21289" s="6" t="s">
        <v>1</v>
      </c>
    </row>
    <row r="21290" spans="1:3" s="8" customFormat="1" x14ac:dyDescent="0.2">
      <c r="A21290" s="6" t="str">
        <f>"ALKBH3"</f>
        <v>ALKBH3</v>
      </c>
      <c r="B21290" s="6" t="s">
        <v>1</v>
      </c>
      <c r="C21290" s="6" t="s">
        <v>1</v>
      </c>
    </row>
    <row r="21291" spans="1:3" s="8" customFormat="1" x14ac:dyDescent="0.2">
      <c r="A21291" s="6" t="str">
        <f>"EXOC6"</f>
        <v>EXOC6</v>
      </c>
      <c r="B21291" s="6" t="s">
        <v>1</v>
      </c>
      <c r="C21291" s="6" t="s">
        <v>1</v>
      </c>
    </row>
    <row r="21292" spans="1:3" s="8" customFormat="1" x14ac:dyDescent="0.2">
      <c r="A21292" s="6" t="str">
        <f>"LRGUK"</f>
        <v>LRGUK</v>
      </c>
      <c r="B21292" s="6" t="s">
        <v>1</v>
      </c>
      <c r="C21292" s="6" t="s">
        <v>1</v>
      </c>
    </row>
    <row r="21293" spans="1:3" s="8" customFormat="1" x14ac:dyDescent="0.2">
      <c r="A21293" s="6" t="str">
        <f>"CHST2"</f>
        <v>CHST2</v>
      </c>
      <c r="B21293" s="6" t="s">
        <v>1</v>
      </c>
      <c r="C21293" s="6" t="s">
        <v>1</v>
      </c>
    </row>
    <row r="21294" spans="1:3" s="8" customFormat="1" x14ac:dyDescent="0.2">
      <c r="A21294" s="6" t="str">
        <f>"GRK3"</f>
        <v>GRK3</v>
      </c>
      <c r="B21294" s="6" t="s">
        <v>1</v>
      </c>
      <c r="C21294" s="6" t="s">
        <v>1</v>
      </c>
    </row>
    <row r="21295" spans="1:3" s="8" customFormat="1" x14ac:dyDescent="0.2">
      <c r="A21295" s="6" t="str">
        <f>"EYA3"</f>
        <v>EYA3</v>
      </c>
      <c r="B21295" s="6" t="s">
        <v>1</v>
      </c>
      <c r="C21295" s="6" t="s">
        <v>1</v>
      </c>
    </row>
    <row r="21296" spans="1:3" s="8" customFormat="1" x14ac:dyDescent="0.2">
      <c r="A21296" s="6" t="str">
        <f>"LPAR6"</f>
        <v>LPAR6</v>
      </c>
      <c r="B21296" s="6" t="s">
        <v>1</v>
      </c>
      <c r="C21296" s="6" t="s">
        <v>1</v>
      </c>
    </row>
    <row r="21297" spans="1:3" s="8" customFormat="1" x14ac:dyDescent="0.2">
      <c r="A21297" s="6" t="str">
        <f>"MED22"</f>
        <v>MED22</v>
      </c>
      <c r="B21297" s="6" t="s">
        <v>1</v>
      </c>
      <c r="C21297" s="6" t="s">
        <v>1</v>
      </c>
    </row>
    <row r="21298" spans="1:3" s="8" customFormat="1" x14ac:dyDescent="0.2">
      <c r="A21298" s="6" t="str">
        <f>"FKRP"</f>
        <v>FKRP</v>
      </c>
      <c r="B21298" s="6" t="s">
        <v>1</v>
      </c>
      <c r="C21298" s="6" t="s">
        <v>1</v>
      </c>
    </row>
    <row r="21299" spans="1:3" s="8" customFormat="1" x14ac:dyDescent="0.2">
      <c r="A21299" s="6" t="str">
        <f>"FXYD5"</f>
        <v>FXYD5</v>
      </c>
      <c r="B21299" s="6" t="s">
        <v>1</v>
      </c>
      <c r="C21299" s="6" t="s">
        <v>1</v>
      </c>
    </row>
    <row r="21300" spans="1:3" s="8" customFormat="1" x14ac:dyDescent="0.2">
      <c r="A21300" s="6" t="str">
        <f>"MYSM1"</f>
        <v>MYSM1</v>
      </c>
      <c r="B21300" s="6" t="s">
        <v>1</v>
      </c>
      <c r="C21300" s="6" t="s">
        <v>1</v>
      </c>
    </row>
    <row r="21301" spans="1:3" s="8" customFormat="1" x14ac:dyDescent="0.2">
      <c r="A21301" s="6" t="str">
        <f>"PROK2"</f>
        <v>PROK2</v>
      </c>
      <c r="B21301" s="6" t="s">
        <v>1</v>
      </c>
      <c r="C21301" s="6" t="s">
        <v>1</v>
      </c>
    </row>
    <row r="21302" spans="1:3" s="8" customFormat="1" x14ac:dyDescent="0.2">
      <c r="A21302" s="6" t="str">
        <f>"ASB7"</f>
        <v>ASB7</v>
      </c>
      <c r="B21302" s="6" t="s">
        <v>1</v>
      </c>
      <c r="C21302" s="6" t="s">
        <v>1</v>
      </c>
    </row>
    <row r="21303" spans="1:3" s="8" customFormat="1" x14ac:dyDescent="0.2">
      <c r="A21303" s="6" t="str">
        <f>"MYO5A"</f>
        <v>MYO5A</v>
      </c>
      <c r="B21303" s="6" t="s">
        <v>1</v>
      </c>
      <c r="C21303" s="6" t="s">
        <v>1</v>
      </c>
    </row>
    <row r="21304" spans="1:3" s="8" customFormat="1" x14ac:dyDescent="0.2">
      <c r="A21304" s="6" t="str">
        <f>"RPP14"</f>
        <v>RPP14</v>
      </c>
      <c r="B21304" s="6" t="s">
        <v>1</v>
      </c>
      <c r="C21304" s="6" t="s">
        <v>1</v>
      </c>
    </row>
    <row r="21305" spans="1:3" s="8" customFormat="1" x14ac:dyDescent="0.2">
      <c r="A21305" s="6" t="str">
        <f>"CCN1"</f>
        <v>CCN1</v>
      </c>
      <c r="B21305" s="6" t="s">
        <v>1</v>
      </c>
      <c r="C21305" s="6" t="s">
        <v>1</v>
      </c>
    </row>
    <row r="21306" spans="1:3" s="8" customFormat="1" x14ac:dyDescent="0.2">
      <c r="A21306" s="6" t="str">
        <f>"ZBTB48"</f>
        <v>ZBTB48</v>
      </c>
      <c r="B21306" s="6" t="s">
        <v>1</v>
      </c>
      <c r="C21306" s="6" t="s">
        <v>1</v>
      </c>
    </row>
    <row r="21307" spans="1:3" s="8" customFormat="1" x14ac:dyDescent="0.2">
      <c r="A21307" s="6" t="str">
        <f>"RNF146"</f>
        <v>RNF146</v>
      </c>
      <c r="B21307" s="6" t="s">
        <v>1</v>
      </c>
      <c r="C21307" s="6" t="s">
        <v>1</v>
      </c>
    </row>
    <row r="21308" spans="1:3" s="8" customFormat="1" x14ac:dyDescent="0.2">
      <c r="A21308" s="6" t="str">
        <f>"MED18"</f>
        <v>MED18</v>
      </c>
      <c r="B21308" s="6" t="s">
        <v>1</v>
      </c>
      <c r="C21308" s="6" t="s">
        <v>1</v>
      </c>
    </row>
    <row r="21309" spans="1:3" s="8" customFormat="1" x14ac:dyDescent="0.2">
      <c r="A21309" s="6" t="str">
        <f>"SLC27A4"</f>
        <v>SLC27A4</v>
      </c>
      <c r="B21309" s="6" t="s">
        <v>1</v>
      </c>
      <c r="C21309" s="6" t="s">
        <v>1</v>
      </c>
    </row>
    <row r="21310" spans="1:3" s="8" customFormat="1" x14ac:dyDescent="0.2">
      <c r="A21310" s="6" t="str">
        <f>"NOL3"</f>
        <v>NOL3</v>
      </c>
      <c r="B21310" s="6" t="s">
        <v>1</v>
      </c>
      <c r="C21310" s="6" t="s">
        <v>1</v>
      </c>
    </row>
    <row r="21311" spans="1:3" s="8" customFormat="1" x14ac:dyDescent="0.2">
      <c r="A21311" s="6" t="str">
        <f>"BAMBI"</f>
        <v>BAMBI</v>
      </c>
      <c r="B21311" s="6" t="s">
        <v>1</v>
      </c>
      <c r="C21311" s="6" t="s">
        <v>1</v>
      </c>
    </row>
    <row r="21312" spans="1:3" s="8" customFormat="1" x14ac:dyDescent="0.2">
      <c r="A21312" s="6" t="str">
        <f>"EMC8"</f>
        <v>EMC8</v>
      </c>
      <c r="B21312" s="6" t="s">
        <v>1</v>
      </c>
      <c r="C21312" s="6" t="s">
        <v>1</v>
      </c>
    </row>
    <row r="21313" spans="1:3" s="8" customFormat="1" x14ac:dyDescent="0.2">
      <c r="A21313" s="6" t="str">
        <f>"ZCCHC17"</f>
        <v>ZCCHC17</v>
      </c>
      <c r="B21313" s="6" t="s">
        <v>1</v>
      </c>
      <c r="C21313" s="6" t="s">
        <v>1</v>
      </c>
    </row>
    <row r="21314" spans="1:3" s="8" customFormat="1" x14ac:dyDescent="0.2">
      <c r="A21314" s="6" t="str">
        <f>"PLEKHM1P1"</f>
        <v>PLEKHM1P1</v>
      </c>
      <c r="B21314" s="6" t="s">
        <v>1</v>
      </c>
      <c r="C21314" s="6" t="s">
        <v>1</v>
      </c>
    </row>
    <row r="21315" spans="1:3" s="8" customFormat="1" x14ac:dyDescent="0.2">
      <c r="A21315" s="6" t="str">
        <f>"HARS2"</f>
        <v>HARS2</v>
      </c>
      <c r="B21315" s="6" t="s">
        <v>1</v>
      </c>
      <c r="C21315" s="6" t="s">
        <v>1</v>
      </c>
    </row>
    <row r="21316" spans="1:3" s="8" customFormat="1" x14ac:dyDescent="0.2">
      <c r="A21316" s="6" t="str">
        <f>"FMNL2"</f>
        <v>FMNL2</v>
      </c>
      <c r="B21316" s="6" t="s">
        <v>1</v>
      </c>
      <c r="C21316" s="6" t="s">
        <v>1</v>
      </c>
    </row>
    <row r="21317" spans="1:3" s="8" customFormat="1" x14ac:dyDescent="0.2">
      <c r="A21317" s="6" t="str">
        <f>"RNF150"</f>
        <v>RNF150</v>
      </c>
      <c r="B21317" s="6" t="s">
        <v>1</v>
      </c>
      <c r="C21317" s="6" t="s">
        <v>1</v>
      </c>
    </row>
    <row r="21318" spans="1:3" s="8" customFormat="1" x14ac:dyDescent="0.2">
      <c r="A21318" s="6" t="str">
        <f>"EBPL"</f>
        <v>EBPL</v>
      </c>
      <c r="B21318" s="6" t="s">
        <v>1</v>
      </c>
      <c r="C21318" s="6" t="s">
        <v>1</v>
      </c>
    </row>
    <row r="21319" spans="1:3" s="8" customFormat="1" x14ac:dyDescent="0.2">
      <c r="A21319" s="6" t="str">
        <f>"EARS2"</f>
        <v>EARS2</v>
      </c>
      <c r="B21319" s="6" t="s">
        <v>1</v>
      </c>
      <c r="C21319" s="6" t="s">
        <v>1</v>
      </c>
    </row>
    <row r="21320" spans="1:3" s="8" customFormat="1" x14ac:dyDescent="0.2">
      <c r="A21320" s="6" t="str">
        <f>"HMGN4"</f>
        <v>HMGN4</v>
      </c>
      <c r="B21320" s="6" t="s">
        <v>1</v>
      </c>
      <c r="C21320" s="6" t="s">
        <v>1</v>
      </c>
    </row>
    <row r="21321" spans="1:3" s="8" customFormat="1" x14ac:dyDescent="0.2">
      <c r="A21321" s="6" t="str">
        <f>"DDX51"</f>
        <v>DDX51</v>
      </c>
      <c r="B21321" s="6" t="s">
        <v>1</v>
      </c>
      <c r="C21321" s="6" t="s">
        <v>1</v>
      </c>
    </row>
    <row r="21322" spans="1:3" s="8" customFormat="1" x14ac:dyDescent="0.2">
      <c r="A21322" s="6" t="str">
        <f>"GABPA"</f>
        <v>GABPA</v>
      </c>
      <c r="B21322" s="6" t="s">
        <v>1</v>
      </c>
      <c r="C21322" s="6" t="s">
        <v>1</v>
      </c>
    </row>
    <row r="21323" spans="1:3" s="8" customFormat="1" x14ac:dyDescent="0.2">
      <c r="A21323" s="6" t="str">
        <f>"DESI1"</f>
        <v>DESI1</v>
      </c>
      <c r="B21323" s="6" t="s">
        <v>1</v>
      </c>
      <c r="C21323" s="6" t="s">
        <v>1</v>
      </c>
    </row>
    <row r="21324" spans="1:3" s="8" customFormat="1" x14ac:dyDescent="0.2">
      <c r="A21324" s="6" t="str">
        <f>"MRPS22"</f>
        <v>MRPS22</v>
      </c>
      <c r="B21324" s="6" t="s">
        <v>1</v>
      </c>
      <c r="C21324" s="6" t="s">
        <v>1</v>
      </c>
    </row>
    <row r="21325" spans="1:3" s="8" customFormat="1" x14ac:dyDescent="0.2">
      <c r="A21325" s="6" t="str">
        <f>"MKKS"</f>
        <v>MKKS</v>
      </c>
      <c r="B21325" s="6" t="s">
        <v>1</v>
      </c>
      <c r="C21325" s="6" t="s">
        <v>1</v>
      </c>
    </row>
    <row r="21326" spans="1:3" s="8" customFormat="1" x14ac:dyDescent="0.2">
      <c r="A21326" s="6" t="str">
        <f>"MZT2A"</f>
        <v>MZT2A</v>
      </c>
      <c r="B21326" s="6" t="s">
        <v>1</v>
      </c>
      <c r="C21326" s="6" t="s">
        <v>1</v>
      </c>
    </row>
    <row r="21327" spans="1:3" s="8" customFormat="1" x14ac:dyDescent="0.2">
      <c r="A21327" s="6" t="str">
        <f>"MED10"</f>
        <v>MED10</v>
      </c>
      <c r="B21327" s="6" t="s">
        <v>1</v>
      </c>
      <c r="C21327" s="6" t="s">
        <v>1</v>
      </c>
    </row>
    <row r="21328" spans="1:3" s="8" customFormat="1" x14ac:dyDescent="0.2">
      <c r="A21328" s="6" t="str">
        <f>"RNF168"</f>
        <v>RNF168</v>
      </c>
      <c r="B21328" s="6" t="s">
        <v>1</v>
      </c>
      <c r="C21328" s="6" t="s">
        <v>1</v>
      </c>
    </row>
    <row r="21329" spans="1:3" s="8" customFormat="1" x14ac:dyDescent="0.2">
      <c r="A21329" s="6" t="str">
        <f>"CRTC3"</f>
        <v>CRTC3</v>
      </c>
      <c r="B21329" s="6" t="s">
        <v>1</v>
      </c>
      <c r="C21329" s="6" t="s">
        <v>1</v>
      </c>
    </row>
    <row r="21330" spans="1:3" s="8" customFormat="1" x14ac:dyDescent="0.2">
      <c r="A21330" s="6" t="str">
        <f>"CHMP6"</f>
        <v>CHMP6</v>
      </c>
      <c r="B21330" s="6" t="s">
        <v>1</v>
      </c>
      <c r="C21330" s="6" t="s">
        <v>1</v>
      </c>
    </row>
    <row r="21331" spans="1:3" s="8" customFormat="1" x14ac:dyDescent="0.2">
      <c r="A21331" s="6" t="str">
        <f>"MIOS"</f>
        <v>MIOS</v>
      </c>
      <c r="B21331" s="6" t="s">
        <v>1</v>
      </c>
      <c r="C21331" s="6" t="s">
        <v>1</v>
      </c>
    </row>
    <row r="21332" spans="1:3" s="8" customFormat="1" x14ac:dyDescent="0.2">
      <c r="A21332" s="6" t="str">
        <f>"GLCCI1"</f>
        <v>GLCCI1</v>
      </c>
      <c r="B21332" s="6" t="s">
        <v>1</v>
      </c>
      <c r="C21332" s="6" t="s">
        <v>1</v>
      </c>
    </row>
    <row r="21333" spans="1:3" s="8" customFormat="1" x14ac:dyDescent="0.2">
      <c r="A21333" s="6" t="str">
        <f>"GRAMD2A"</f>
        <v>GRAMD2A</v>
      </c>
      <c r="B21333" s="6" t="s">
        <v>1</v>
      </c>
      <c r="C21333" s="6" t="s">
        <v>1</v>
      </c>
    </row>
    <row r="21334" spans="1:3" s="8" customFormat="1" x14ac:dyDescent="0.2">
      <c r="A21334" s="6" t="str">
        <f>"ADGRL2"</f>
        <v>ADGRL2</v>
      </c>
      <c r="B21334" s="6" t="s">
        <v>1</v>
      </c>
      <c r="C21334" s="6" t="s">
        <v>1</v>
      </c>
    </row>
    <row r="21335" spans="1:3" s="8" customFormat="1" x14ac:dyDescent="0.2">
      <c r="A21335" s="6" t="str">
        <f>"TFPT"</f>
        <v>TFPT</v>
      </c>
      <c r="B21335" s="6" t="s">
        <v>1</v>
      </c>
      <c r="C21335" s="6" t="s">
        <v>1</v>
      </c>
    </row>
    <row r="21336" spans="1:3" s="8" customFormat="1" x14ac:dyDescent="0.2">
      <c r="A21336" s="6" t="str">
        <f>"KANK1"</f>
        <v>KANK1</v>
      </c>
      <c r="B21336" s="6" t="s">
        <v>1</v>
      </c>
      <c r="C21336" s="6" t="s">
        <v>1</v>
      </c>
    </row>
    <row r="21337" spans="1:3" s="8" customFormat="1" x14ac:dyDescent="0.2">
      <c r="A21337" s="6" t="str">
        <f>"KAT14"</f>
        <v>KAT14</v>
      </c>
      <c r="B21337" s="6" t="s">
        <v>1</v>
      </c>
      <c r="C21337" s="6" t="s">
        <v>1</v>
      </c>
    </row>
    <row r="21338" spans="1:3" s="8" customFormat="1" x14ac:dyDescent="0.2">
      <c r="A21338" s="6" t="str">
        <f>"FASTKD5"</f>
        <v>FASTKD5</v>
      </c>
      <c r="B21338" s="6" t="s">
        <v>1</v>
      </c>
      <c r="C21338" s="6" t="s">
        <v>1</v>
      </c>
    </row>
    <row r="21339" spans="1:3" s="8" customFormat="1" x14ac:dyDescent="0.2">
      <c r="A21339" s="6" t="str">
        <f>"IPP"</f>
        <v>IPP</v>
      </c>
      <c r="B21339" s="6" t="s">
        <v>1</v>
      </c>
      <c r="C21339" s="6" t="s">
        <v>1</v>
      </c>
    </row>
    <row r="21340" spans="1:3" s="8" customFormat="1" x14ac:dyDescent="0.2">
      <c r="A21340" s="6" t="str">
        <f>"CCS"</f>
        <v>CCS</v>
      </c>
      <c r="B21340" s="6" t="s">
        <v>1</v>
      </c>
      <c r="C21340" s="6" t="s">
        <v>1</v>
      </c>
    </row>
    <row r="21341" spans="1:3" s="8" customFormat="1" x14ac:dyDescent="0.2">
      <c r="A21341" s="6" t="str">
        <f>"AC067852.2"</f>
        <v>AC067852.2</v>
      </c>
      <c r="B21341" s="6" t="s">
        <v>1</v>
      </c>
      <c r="C21341" s="6" t="s">
        <v>1</v>
      </c>
    </row>
    <row r="21342" spans="1:3" s="8" customFormat="1" x14ac:dyDescent="0.2">
      <c r="A21342" s="6" t="str">
        <f>"HMGXB4"</f>
        <v>HMGXB4</v>
      </c>
      <c r="B21342" s="6" t="s">
        <v>1</v>
      </c>
      <c r="C21342" s="6" t="s">
        <v>1</v>
      </c>
    </row>
    <row r="21343" spans="1:3" s="8" customFormat="1" x14ac:dyDescent="0.2">
      <c r="A21343" s="6" t="str">
        <f>"LZTR1"</f>
        <v>LZTR1</v>
      </c>
      <c r="B21343" s="6" t="s">
        <v>1</v>
      </c>
      <c r="C21343" s="6" t="s">
        <v>1</v>
      </c>
    </row>
    <row r="21344" spans="1:3" s="8" customFormat="1" x14ac:dyDescent="0.2">
      <c r="A21344" s="6" t="str">
        <f>"FAM89B"</f>
        <v>FAM89B</v>
      </c>
      <c r="B21344" s="6" t="s">
        <v>1</v>
      </c>
      <c r="C21344" s="6" t="s">
        <v>1</v>
      </c>
    </row>
    <row r="21345" spans="1:3" s="8" customFormat="1" x14ac:dyDescent="0.2">
      <c r="A21345" s="6" t="str">
        <f>"KLHL5"</f>
        <v>KLHL5</v>
      </c>
      <c r="B21345" s="6" t="s">
        <v>1</v>
      </c>
      <c r="C21345" s="6" t="s">
        <v>1</v>
      </c>
    </row>
    <row r="21346" spans="1:3" s="8" customFormat="1" x14ac:dyDescent="0.2">
      <c r="A21346" s="6" t="str">
        <f>"AL163636.1"</f>
        <v>AL163636.1</v>
      </c>
      <c r="B21346" s="6" t="s">
        <v>1</v>
      </c>
      <c r="C21346" s="6" t="s">
        <v>1</v>
      </c>
    </row>
    <row r="21347" spans="1:3" s="8" customFormat="1" x14ac:dyDescent="0.2">
      <c r="A21347" s="6" t="str">
        <f>"TTPAL"</f>
        <v>TTPAL</v>
      </c>
      <c r="B21347" s="6" t="s">
        <v>1</v>
      </c>
      <c r="C21347" s="6" t="s">
        <v>1</v>
      </c>
    </row>
    <row r="21348" spans="1:3" s="8" customFormat="1" x14ac:dyDescent="0.2">
      <c r="A21348" s="6" t="str">
        <f>"IFIT5"</f>
        <v>IFIT5</v>
      </c>
      <c r="B21348" s="6" t="s">
        <v>1</v>
      </c>
      <c r="C21348" s="6" t="s">
        <v>1</v>
      </c>
    </row>
    <row r="21349" spans="1:3" s="8" customFormat="1" x14ac:dyDescent="0.2">
      <c r="A21349" s="6" t="str">
        <f>"DNAJC30"</f>
        <v>DNAJC30</v>
      </c>
      <c r="B21349" s="6" t="s">
        <v>1</v>
      </c>
      <c r="C21349" s="6" t="s">
        <v>1</v>
      </c>
    </row>
    <row r="21350" spans="1:3" s="8" customFormat="1" x14ac:dyDescent="0.2">
      <c r="A21350" s="6" t="str">
        <f>"DNAJC9"</f>
        <v>DNAJC9</v>
      </c>
      <c r="B21350" s="6" t="s">
        <v>1</v>
      </c>
      <c r="C21350" s="6" t="s">
        <v>1</v>
      </c>
    </row>
    <row r="21351" spans="1:3" s="8" customFormat="1" x14ac:dyDescent="0.2">
      <c r="A21351" s="6" t="str">
        <f>"LINC01184"</f>
        <v>LINC01184</v>
      </c>
      <c r="B21351" s="6" t="s">
        <v>1</v>
      </c>
      <c r="C21351" s="6" t="s">
        <v>1</v>
      </c>
    </row>
    <row r="21352" spans="1:3" s="8" customFormat="1" x14ac:dyDescent="0.2">
      <c r="A21352" s="6" t="str">
        <f>"RAET1E"</f>
        <v>RAET1E</v>
      </c>
      <c r="B21352" s="6" t="s">
        <v>1</v>
      </c>
      <c r="C21352" s="6" t="s">
        <v>1</v>
      </c>
    </row>
    <row r="21353" spans="1:3" s="8" customFormat="1" x14ac:dyDescent="0.2">
      <c r="A21353" s="6" t="str">
        <f>"KLHL7"</f>
        <v>KLHL7</v>
      </c>
      <c r="B21353" s="6" t="s">
        <v>1</v>
      </c>
      <c r="C21353" s="6" t="s">
        <v>1</v>
      </c>
    </row>
    <row r="21354" spans="1:3" s="8" customFormat="1" x14ac:dyDescent="0.2">
      <c r="A21354" s="6" t="str">
        <f>"TMEM132A"</f>
        <v>TMEM132A</v>
      </c>
      <c r="B21354" s="6" t="s">
        <v>1</v>
      </c>
      <c r="C21354" s="6" t="s">
        <v>1</v>
      </c>
    </row>
    <row r="21355" spans="1:3" s="8" customFormat="1" x14ac:dyDescent="0.2">
      <c r="A21355" s="6" t="str">
        <f>"NOTCH2NLA"</f>
        <v>NOTCH2NLA</v>
      </c>
      <c r="B21355" s="6" t="s">
        <v>1</v>
      </c>
      <c r="C21355" s="6" t="s">
        <v>1</v>
      </c>
    </row>
    <row r="21356" spans="1:3" s="8" customFormat="1" x14ac:dyDescent="0.2">
      <c r="A21356" s="6" t="str">
        <f>"MED11"</f>
        <v>MED11</v>
      </c>
      <c r="B21356" s="6" t="s">
        <v>1</v>
      </c>
      <c r="C21356" s="6" t="s">
        <v>1</v>
      </c>
    </row>
    <row r="21357" spans="1:3" s="8" customFormat="1" x14ac:dyDescent="0.2">
      <c r="A21357" s="6" t="str">
        <f>"PHLDB3"</f>
        <v>PHLDB3</v>
      </c>
      <c r="B21357" s="6" t="s">
        <v>1</v>
      </c>
      <c r="C21357" s="6" t="s">
        <v>1</v>
      </c>
    </row>
    <row r="21358" spans="1:3" s="8" customFormat="1" x14ac:dyDescent="0.2">
      <c r="A21358" s="6" t="str">
        <f>"GABPB1-AS1"</f>
        <v>GABPB1-AS1</v>
      </c>
      <c r="B21358" s="6" t="s">
        <v>1</v>
      </c>
      <c r="C21358" s="6" t="s">
        <v>1</v>
      </c>
    </row>
    <row r="21359" spans="1:3" s="8" customFormat="1" x14ac:dyDescent="0.2">
      <c r="A21359" s="6" t="str">
        <f>"CNTNAP3"</f>
        <v>CNTNAP3</v>
      </c>
      <c r="B21359" s="6" t="s">
        <v>1</v>
      </c>
      <c r="C21359" s="6" t="s">
        <v>1</v>
      </c>
    </row>
    <row r="21360" spans="1:3" s="8" customFormat="1" x14ac:dyDescent="0.2">
      <c r="A21360" s="6" t="str">
        <f>"SOCS7"</f>
        <v>SOCS7</v>
      </c>
      <c r="B21360" s="6" t="s">
        <v>1</v>
      </c>
      <c r="C21360" s="6" t="s">
        <v>1</v>
      </c>
    </row>
    <row r="21361" spans="1:3" s="8" customFormat="1" x14ac:dyDescent="0.2">
      <c r="A21361" s="6" t="str">
        <f>"TMEM160"</f>
        <v>TMEM160</v>
      </c>
      <c r="B21361" s="6" t="s">
        <v>1</v>
      </c>
      <c r="C21361" s="6" t="s">
        <v>1</v>
      </c>
    </row>
    <row r="21362" spans="1:3" s="8" customFormat="1" x14ac:dyDescent="0.2">
      <c r="A21362" s="6" t="str">
        <f>"DDX58"</f>
        <v>DDX58</v>
      </c>
      <c r="B21362" s="6" t="s">
        <v>1</v>
      </c>
      <c r="C21362" s="6" t="s">
        <v>1</v>
      </c>
    </row>
    <row r="21363" spans="1:3" s="8" customFormat="1" x14ac:dyDescent="0.2">
      <c r="A21363" s="6" t="str">
        <f>"SEC61G"</f>
        <v>SEC61G</v>
      </c>
      <c r="B21363" s="6" t="s">
        <v>1</v>
      </c>
      <c r="C21363" s="6" t="s">
        <v>1</v>
      </c>
    </row>
    <row r="21364" spans="1:3" s="8" customFormat="1" x14ac:dyDescent="0.2">
      <c r="A21364" s="6" t="str">
        <f>"FIG4"</f>
        <v>FIG4</v>
      </c>
      <c r="B21364" s="6" t="s">
        <v>1</v>
      </c>
      <c r="C21364" s="6" t="s">
        <v>1</v>
      </c>
    </row>
    <row r="21365" spans="1:3" s="8" customFormat="1" x14ac:dyDescent="0.2">
      <c r="A21365" s="6" t="str">
        <f>"SHISA2"</f>
        <v>SHISA2</v>
      </c>
      <c r="B21365" s="6" t="s">
        <v>1</v>
      </c>
      <c r="C21365" s="6" t="s">
        <v>1</v>
      </c>
    </row>
    <row r="21366" spans="1:3" s="8" customFormat="1" x14ac:dyDescent="0.2">
      <c r="A21366" s="6" t="str">
        <f>"CDKN2C"</f>
        <v>CDKN2C</v>
      </c>
      <c r="B21366" s="6" t="s">
        <v>1</v>
      </c>
      <c r="C21366" s="6" t="s">
        <v>1</v>
      </c>
    </row>
    <row r="21367" spans="1:3" s="8" customFormat="1" x14ac:dyDescent="0.2">
      <c r="A21367" s="6" t="str">
        <f>"MDM4"</f>
        <v>MDM4</v>
      </c>
      <c r="B21367" s="6" t="s">
        <v>1</v>
      </c>
      <c r="C21367" s="6" t="s">
        <v>1</v>
      </c>
    </row>
    <row r="21368" spans="1:3" s="8" customFormat="1" x14ac:dyDescent="0.2">
      <c r="A21368" s="6" t="str">
        <f>"FZD4"</f>
        <v>FZD4</v>
      </c>
      <c r="B21368" s="6" t="s">
        <v>1</v>
      </c>
      <c r="C21368" s="6" t="s">
        <v>1</v>
      </c>
    </row>
    <row r="21369" spans="1:3" s="8" customFormat="1" x14ac:dyDescent="0.2">
      <c r="A21369" s="6" t="str">
        <f>"COA4"</f>
        <v>COA4</v>
      </c>
      <c r="B21369" s="6" t="s">
        <v>1</v>
      </c>
      <c r="C21369" s="6" t="s">
        <v>1</v>
      </c>
    </row>
    <row r="21370" spans="1:3" s="8" customFormat="1" x14ac:dyDescent="0.2">
      <c r="A21370" s="6" t="str">
        <f>"ENO4"</f>
        <v>ENO4</v>
      </c>
      <c r="B21370" s="6" t="s">
        <v>1</v>
      </c>
      <c r="C21370" s="6" t="s">
        <v>1</v>
      </c>
    </row>
    <row r="21371" spans="1:3" s="8" customFormat="1" x14ac:dyDescent="0.2">
      <c r="A21371" s="6" t="str">
        <f>"UCK2"</f>
        <v>UCK2</v>
      </c>
      <c r="B21371" s="6" t="s">
        <v>1</v>
      </c>
      <c r="C21371" s="6" t="s">
        <v>1</v>
      </c>
    </row>
    <row r="21372" spans="1:3" s="8" customFormat="1" x14ac:dyDescent="0.2">
      <c r="A21372" s="6" t="str">
        <f>"LOXL1"</f>
        <v>LOXL1</v>
      </c>
      <c r="B21372" s="6" t="s">
        <v>1</v>
      </c>
      <c r="C21372" s="6" t="s">
        <v>1</v>
      </c>
    </row>
    <row r="21373" spans="1:3" s="8" customFormat="1" x14ac:dyDescent="0.2">
      <c r="A21373" s="6" t="str">
        <f>"FAM86B1"</f>
        <v>FAM86B1</v>
      </c>
      <c r="B21373" s="6" t="s">
        <v>1</v>
      </c>
      <c r="C21373" s="6" t="s">
        <v>1</v>
      </c>
    </row>
    <row r="21374" spans="1:3" s="8" customFormat="1" x14ac:dyDescent="0.2">
      <c r="A21374" s="6" t="str">
        <f>"GALK2"</f>
        <v>GALK2</v>
      </c>
      <c r="B21374" s="6" t="s">
        <v>1</v>
      </c>
      <c r="C21374" s="6" t="s">
        <v>1</v>
      </c>
    </row>
    <row r="21375" spans="1:3" s="8" customFormat="1" x14ac:dyDescent="0.2">
      <c r="A21375" s="6" t="str">
        <f>"RFC2"</f>
        <v>RFC2</v>
      </c>
      <c r="B21375" s="6" t="s">
        <v>1</v>
      </c>
      <c r="C21375" s="6" t="s">
        <v>1</v>
      </c>
    </row>
    <row r="21376" spans="1:3" s="8" customFormat="1" x14ac:dyDescent="0.2">
      <c r="A21376" s="6" t="str">
        <f>"TRIM16L"</f>
        <v>TRIM16L</v>
      </c>
      <c r="B21376" s="6" t="s">
        <v>1</v>
      </c>
      <c r="C21376" s="6" t="s">
        <v>1</v>
      </c>
    </row>
    <row r="21377" spans="1:3" s="8" customFormat="1" x14ac:dyDescent="0.2">
      <c r="A21377" s="6" t="str">
        <f>"FARS2"</f>
        <v>FARS2</v>
      </c>
      <c r="B21377" s="6" t="s">
        <v>1</v>
      </c>
      <c r="C21377" s="6" t="s">
        <v>1</v>
      </c>
    </row>
    <row r="21378" spans="1:3" s="8" customFormat="1" x14ac:dyDescent="0.2">
      <c r="A21378" s="6" t="str">
        <f>"MRPS11"</f>
        <v>MRPS11</v>
      </c>
      <c r="B21378" s="6" t="s">
        <v>1</v>
      </c>
      <c r="C21378" s="6" t="s">
        <v>1</v>
      </c>
    </row>
    <row r="21379" spans="1:3" s="8" customFormat="1" x14ac:dyDescent="0.2">
      <c r="A21379" s="6" t="str">
        <f>"EIF1B-AS1"</f>
        <v>EIF1B-AS1</v>
      </c>
      <c r="B21379" s="6" t="s">
        <v>1</v>
      </c>
      <c r="C21379" s="6" t="s">
        <v>1</v>
      </c>
    </row>
    <row r="21380" spans="1:3" s="8" customFormat="1" x14ac:dyDescent="0.2">
      <c r="A21380" s="6" t="str">
        <f>"THAP11"</f>
        <v>THAP11</v>
      </c>
      <c r="B21380" s="6" t="s">
        <v>1</v>
      </c>
      <c r="C21380" s="6" t="s">
        <v>1</v>
      </c>
    </row>
    <row r="21381" spans="1:3" s="8" customFormat="1" x14ac:dyDescent="0.2">
      <c r="A21381" s="6" t="str">
        <f>"REXO4"</f>
        <v>REXO4</v>
      </c>
      <c r="B21381" s="6" t="s">
        <v>1</v>
      </c>
      <c r="C21381" s="6" t="s">
        <v>1</v>
      </c>
    </row>
    <row r="21382" spans="1:3" s="8" customFormat="1" x14ac:dyDescent="0.2">
      <c r="A21382" s="6" t="str">
        <f>"NOP2"</f>
        <v>NOP2</v>
      </c>
      <c r="B21382" s="6" t="s">
        <v>1</v>
      </c>
      <c r="C21382" s="6" t="s">
        <v>1</v>
      </c>
    </row>
    <row r="21383" spans="1:3" s="8" customFormat="1" x14ac:dyDescent="0.2">
      <c r="A21383" s="6" t="str">
        <f>"MYO9A"</f>
        <v>MYO9A</v>
      </c>
      <c r="B21383" s="6" t="s">
        <v>1</v>
      </c>
      <c r="C21383" s="6" t="s">
        <v>1</v>
      </c>
    </row>
    <row r="21384" spans="1:3" s="8" customFormat="1" x14ac:dyDescent="0.2">
      <c r="A21384" s="6" t="str">
        <f>"SNX30"</f>
        <v>SNX30</v>
      </c>
      <c r="B21384" s="6" t="s">
        <v>1</v>
      </c>
      <c r="C21384" s="6" t="s">
        <v>1</v>
      </c>
    </row>
    <row r="21385" spans="1:3" s="8" customFormat="1" x14ac:dyDescent="0.2">
      <c r="A21385" s="6" t="str">
        <f>"NPIPA9"</f>
        <v>NPIPA9</v>
      </c>
      <c r="B21385" s="6" t="s">
        <v>1</v>
      </c>
      <c r="C21385" s="6" t="s">
        <v>1</v>
      </c>
    </row>
    <row r="21386" spans="1:3" s="8" customFormat="1" x14ac:dyDescent="0.2">
      <c r="A21386" s="6" t="str">
        <f>"LCMT1"</f>
        <v>LCMT1</v>
      </c>
      <c r="B21386" s="6" t="s">
        <v>1</v>
      </c>
      <c r="C21386" s="6" t="s">
        <v>1</v>
      </c>
    </row>
    <row r="21387" spans="1:3" s="8" customFormat="1" x14ac:dyDescent="0.2">
      <c r="A21387" s="6" t="str">
        <f>"ZNF267"</f>
        <v>ZNF267</v>
      </c>
      <c r="B21387" s="6" t="s">
        <v>1</v>
      </c>
      <c r="C21387" s="6" t="s">
        <v>1</v>
      </c>
    </row>
    <row r="21388" spans="1:3" s="8" customFormat="1" x14ac:dyDescent="0.2">
      <c r="A21388" s="6" t="str">
        <f>"DNAJB9"</f>
        <v>DNAJB9</v>
      </c>
      <c r="B21388" s="6" t="s">
        <v>1</v>
      </c>
      <c r="C21388" s="6" t="s">
        <v>1</v>
      </c>
    </row>
    <row r="21389" spans="1:3" s="8" customFormat="1" x14ac:dyDescent="0.2">
      <c r="A21389" s="6" t="str">
        <f>"STX11"</f>
        <v>STX11</v>
      </c>
      <c r="B21389" s="6" t="s">
        <v>1</v>
      </c>
      <c r="C21389" s="6" t="s">
        <v>1</v>
      </c>
    </row>
    <row r="21390" spans="1:3" s="8" customFormat="1" x14ac:dyDescent="0.2">
      <c r="A21390" s="6" t="str">
        <f>"ADH6"</f>
        <v>ADH6</v>
      </c>
      <c r="B21390" s="6" t="s">
        <v>1</v>
      </c>
      <c r="C21390" s="6" t="s">
        <v>1</v>
      </c>
    </row>
    <row r="21391" spans="1:3" s="8" customFormat="1" x14ac:dyDescent="0.2">
      <c r="A21391" s="6" t="str">
        <f>"FBF1"</f>
        <v>FBF1</v>
      </c>
      <c r="B21391" s="6" t="s">
        <v>1</v>
      </c>
      <c r="C21391" s="6" t="s">
        <v>1</v>
      </c>
    </row>
    <row r="21392" spans="1:3" s="8" customFormat="1" x14ac:dyDescent="0.2">
      <c r="A21392" s="6" t="str">
        <f>"IFI44L"</f>
        <v>IFI44L</v>
      </c>
      <c r="B21392" s="6" t="s">
        <v>1</v>
      </c>
      <c r="C21392" s="6" t="s">
        <v>1</v>
      </c>
    </row>
    <row r="21393" spans="1:3" s="8" customFormat="1" x14ac:dyDescent="0.2">
      <c r="A21393" s="6" t="str">
        <f>"PDCD7"</f>
        <v>PDCD7</v>
      </c>
      <c r="B21393" s="6" t="s">
        <v>1</v>
      </c>
      <c r="C21393" s="6" t="s">
        <v>1</v>
      </c>
    </row>
    <row r="21394" spans="1:3" s="8" customFormat="1" x14ac:dyDescent="0.2">
      <c r="A21394" s="6" t="str">
        <f>"PHKA1"</f>
        <v>PHKA1</v>
      </c>
      <c r="B21394" s="6" t="s">
        <v>1</v>
      </c>
      <c r="C21394" s="6" t="s">
        <v>1</v>
      </c>
    </row>
    <row r="21395" spans="1:3" s="8" customFormat="1" x14ac:dyDescent="0.2">
      <c r="A21395" s="6" t="str">
        <f>"FADD"</f>
        <v>FADD</v>
      </c>
      <c r="B21395" s="6" t="s">
        <v>1</v>
      </c>
      <c r="C21395" s="6" t="s">
        <v>1</v>
      </c>
    </row>
    <row r="21396" spans="1:3" s="8" customFormat="1" x14ac:dyDescent="0.2">
      <c r="A21396" s="6" t="str">
        <f>"APOOL"</f>
        <v>APOOL</v>
      </c>
      <c r="B21396" s="6" t="s">
        <v>1</v>
      </c>
      <c r="C21396" s="6" t="s">
        <v>1</v>
      </c>
    </row>
    <row r="21397" spans="1:3" s="8" customFormat="1" x14ac:dyDescent="0.2">
      <c r="A21397" s="6" t="str">
        <f>"TBC1D13"</f>
        <v>TBC1D13</v>
      </c>
      <c r="B21397" s="6" t="s">
        <v>1</v>
      </c>
      <c r="C21397" s="6" t="s">
        <v>1</v>
      </c>
    </row>
    <row r="21398" spans="1:3" s="8" customFormat="1" x14ac:dyDescent="0.2">
      <c r="A21398" s="6" t="str">
        <f>"PCED1A"</f>
        <v>PCED1A</v>
      </c>
      <c r="B21398" s="6" t="s">
        <v>1</v>
      </c>
      <c r="C21398" s="6" t="s">
        <v>1</v>
      </c>
    </row>
    <row r="21399" spans="1:3" s="8" customFormat="1" x14ac:dyDescent="0.2">
      <c r="A21399" s="6" t="str">
        <f>"LETMD1"</f>
        <v>LETMD1</v>
      </c>
      <c r="B21399" s="6" t="s">
        <v>1</v>
      </c>
      <c r="C21399" s="6" t="s">
        <v>1</v>
      </c>
    </row>
    <row r="21400" spans="1:3" s="8" customFormat="1" x14ac:dyDescent="0.2">
      <c r="A21400" s="6" t="str">
        <f>"ZNF28"</f>
        <v>ZNF28</v>
      </c>
      <c r="B21400" s="6" t="s">
        <v>1</v>
      </c>
      <c r="C21400" s="6" t="s">
        <v>1</v>
      </c>
    </row>
    <row r="21401" spans="1:3" s="8" customFormat="1" x14ac:dyDescent="0.2">
      <c r="A21401" s="6" t="str">
        <f>"RNF135"</f>
        <v>RNF135</v>
      </c>
      <c r="B21401" s="6" t="s">
        <v>1</v>
      </c>
      <c r="C21401" s="6" t="s">
        <v>1</v>
      </c>
    </row>
    <row r="21402" spans="1:3" s="8" customFormat="1" x14ac:dyDescent="0.2">
      <c r="A21402" s="6" t="str">
        <f>"B4GALT7"</f>
        <v>B4GALT7</v>
      </c>
      <c r="B21402" s="6" t="s">
        <v>1</v>
      </c>
      <c r="C21402" s="6" t="s">
        <v>1</v>
      </c>
    </row>
    <row r="21403" spans="1:3" s="8" customFormat="1" x14ac:dyDescent="0.2">
      <c r="A21403" s="6" t="str">
        <f>"FAR2"</f>
        <v>FAR2</v>
      </c>
      <c r="B21403" s="6" t="s">
        <v>1</v>
      </c>
      <c r="C21403" s="6" t="s">
        <v>1</v>
      </c>
    </row>
    <row r="21404" spans="1:3" s="8" customFormat="1" x14ac:dyDescent="0.2">
      <c r="A21404" s="6" t="str">
        <f>"ELP5"</f>
        <v>ELP5</v>
      </c>
      <c r="B21404" s="6" t="s">
        <v>1</v>
      </c>
      <c r="C21404" s="6" t="s">
        <v>1</v>
      </c>
    </row>
    <row r="21405" spans="1:3" s="8" customFormat="1" x14ac:dyDescent="0.2">
      <c r="A21405" s="6" t="str">
        <f>"FGR"</f>
        <v>FGR</v>
      </c>
      <c r="B21405" s="6" t="s">
        <v>1</v>
      </c>
      <c r="C21405" s="6" t="s">
        <v>1</v>
      </c>
    </row>
    <row r="21406" spans="1:3" s="8" customFormat="1" x14ac:dyDescent="0.2">
      <c r="A21406" s="6" t="str">
        <f>"TGS1"</f>
        <v>TGS1</v>
      </c>
      <c r="B21406" s="6" t="s">
        <v>1</v>
      </c>
      <c r="C21406" s="6" t="s">
        <v>1</v>
      </c>
    </row>
    <row r="21407" spans="1:3" s="8" customFormat="1" x14ac:dyDescent="0.2">
      <c r="A21407" s="6" t="str">
        <f>"SOBP"</f>
        <v>SOBP</v>
      </c>
      <c r="B21407" s="6" t="s">
        <v>1</v>
      </c>
      <c r="C21407" s="6" t="s">
        <v>1</v>
      </c>
    </row>
    <row r="21408" spans="1:3" s="8" customFormat="1" x14ac:dyDescent="0.2">
      <c r="A21408" s="6" t="str">
        <f>"DENND1A"</f>
        <v>DENND1A</v>
      </c>
      <c r="B21408" s="6" t="s">
        <v>1</v>
      </c>
      <c r="C21408" s="6" t="s">
        <v>1</v>
      </c>
    </row>
    <row r="21409" spans="1:3" s="8" customFormat="1" x14ac:dyDescent="0.2">
      <c r="A21409" s="6" t="str">
        <f>"INPP5D"</f>
        <v>INPP5D</v>
      </c>
      <c r="B21409" s="6" t="s">
        <v>1</v>
      </c>
      <c r="C21409" s="6" t="s">
        <v>1</v>
      </c>
    </row>
    <row r="21410" spans="1:3" s="8" customFormat="1" x14ac:dyDescent="0.2">
      <c r="A21410" s="6" t="str">
        <f>"SELENOO"</f>
        <v>SELENOO</v>
      </c>
      <c r="B21410" s="6" t="s">
        <v>1</v>
      </c>
      <c r="C21410" s="6" t="s">
        <v>1</v>
      </c>
    </row>
    <row r="21411" spans="1:3" s="8" customFormat="1" x14ac:dyDescent="0.2">
      <c r="A21411" s="6" t="str">
        <f>"MRRF"</f>
        <v>MRRF</v>
      </c>
      <c r="B21411" s="6" t="s">
        <v>1</v>
      </c>
      <c r="C21411" s="6" t="s">
        <v>1</v>
      </c>
    </row>
    <row r="21412" spans="1:3" s="8" customFormat="1" x14ac:dyDescent="0.2">
      <c r="A21412" s="6" t="str">
        <f>"CAPS2"</f>
        <v>CAPS2</v>
      </c>
      <c r="B21412" s="6" t="s">
        <v>1</v>
      </c>
      <c r="C21412" s="6" t="s">
        <v>1</v>
      </c>
    </row>
    <row r="21413" spans="1:3" s="8" customFormat="1" x14ac:dyDescent="0.2">
      <c r="A21413" s="6" t="str">
        <f>"MRPS14"</f>
        <v>MRPS14</v>
      </c>
      <c r="B21413" s="6" t="s">
        <v>1</v>
      </c>
      <c r="C21413" s="6" t="s">
        <v>1</v>
      </c>
    </row>
    <row r="21414" spans="1:3" s="8" customFormat="1" x14ac:dyDescent="0.2">
      <c r="A21414" s="6" t="str">
        <f>"CRY1"</f>
        <v>CRY1</v>
      </c>
      <c r="B21414" s="6" t="s">
        <v>1</v>
      </c>
      <c r="C21414" s="6" t="s">
        <v>1</v>
      </c>
    </row>
    <row r="21415" spans="1:3" s="8" customFormat="1" x14ac:dyDescent="0.2">
      <c r="A21415" s="6" t="str">
        <f>"APOL4"</f>
        <v>APOL4</v>
      </c>
      <c r="B21415" s="6" t="s">
        <v>1</v>
      </c>
      <c r="C21415" s="6" t="s">
        <v>1</v>
      </c>
    </row>
    <row r="21416" spans="1:3" s="8" customFormat="1" x14ac:dyDescent="0.2">
      <c r="A21416" s="6" t="str">
        <f>"CHMP4C"</f>
        <v>CHMP4C</v>
      </c>
      <c r="B21416" s="6" t="s">
        <v>1</v>
      </c>
      <c r="C21416" s="6" t="s">
        <v>1</v>
      </c>
    </row>
    <row r="21417" spans="1:3" s="8" customFormat="1" x14ac:dyDescent="0.2">
      <c r="A21417" s="6" t="str">
        <f>"PRKD3"</f>
        <v>PRKD3</v>
      </c>
      <c r="B21417" s="6" t="s">
        <v>1</v>
      </c>
      <c r="C21417" s="6" t="s">
        <v>1</v>
      </c>
    </row>
    <row r="21418" spans="1:3" s="8" customFormat="1" x14ac:dyDescent="0.2">
      <c r="A21418" s="6" t="str">
        <f>"SHMT1"</f>
        <v>SHMT1</v>
      </c>
      <c r="B21418" s="6" t="s">
        <v>1</v>
      </c>
      <c r="C21418" s="6" t="s">
        <v>1</v>
      </c>
    </row>
    <row r="21419" spans="1:3" s="8" customFormat="1" x14ac:dyDescent="0.2">
      <c r="A21419" s="6" t="str">
        <f>"DEGS1"</f>
        <v>DEGS1</v>
      </c>
      <c r="B21419" s="6" t="s">
        <v>1</v>
      </c>
      <c r="C21419" s="6" t="s">
        <v>1</v>
      </c>
    </row>
    <row r="21420" spans="1:3" s="8" customFormat="1" x14ac:dyDescent="0.2">
      <c r="A21420" s="6" t="str">
        <f>"SH3RF2"</f>
        <v>SH3RF2</v>
      </c>
      <c r="B21420" s="6" t="s">
        <v>1</v>
      </c>
      <c r="C21420" s="6" t="s">
        <v>1</v>
      </c>
    </row>
    <row r="21421" spans="1:3" s="8" customFormat="1" x14ac:dyDescent="0.2">
      <c r="A21421" s="6" t="str">
        <f>"TMEM144"</f>
        <v>TMEM144</v>
      </c>
      <c r="B21421" s="6" t="s">
        <v>1</v>
      </c>
      <c r="C21421" s="6" t="s">
        <v>1</v>
      </c>
    </row>
    <row r="21422" spans="1:3" s="8" customFormat="1" x14ac:dyDescent="0.2">
      <c r="A21422" s="6" t="str">
        <f>"CCNH"</f>
        <v>CCNH</v>
      </c>
      <c r="B21422" s="6" t="s">
        <v>1</v>
      </c>
      <c r="C21422" s="6" t="s">
        <v>1</v>
      </c>
    </row>
    <row r="21423" spans="1:3" s="8" customFormat="1" x14ac:dyDescent="0.2">
      <c r="A21423" s="6" t="str">
        <f>"TGFBI"</f>
        <v>TGFBI</v>
      </c>
      <c r="B21423" s="6" t="s">
        <v>1</v>
      </c>
      <c r="C21423" s="6" t="s">
        <v>1</v>
      </c>
    </row>
    <row r="21424" spans="1:3" s="8" customFormat="1" x14ac:dyDescent="0.2">
      <c r="A21424" s="6" t="str">
        <f>"MCM2"</f>
        <v>MCM2</v>
      </c>
      <c r="B21424" s="6" t="s">
        <v>1</v>
      </c>
      <c r="C21424" s="6" t="s">
        <v>1</v>
      </c>
    </row>
    <row r="21425" spans="1:3" s="8" customFormat="1" x14ac:dyDescent="0.2">
      <c r="A21425" s="6" t="str">
        <f>"FAM98B"</f>
        <v>FAM98B</v>
      </c>
      <c r="B21425" s="6" t="s">
        <v>1</v>
      </c>
      <c r="C21425" s="6" t="s">
        <v>1</v>
      </c>
    </row>
    <row r="21426" spans="1:3" s="8" customFormat="1" x14ac:dyDescent="0.2">
      <c r="A21426" s="6" t="str">
        <f>"GALNT14"</f>
        <v>GALNT14</v>
      </c>
      <c r="B21426" s="6" t="s">
        <v>1</v>
      </c>
      <c r="C21426" s="6" t="s">
        <v>1</v>
      </c>
    </row>
    <row r="21427" spans="1:3" s="8" customFormat="1" x14ac:dyDescent="0.2">
      <c r="A21427" s="6" t="str">
        <f>"MRPL55"</f>
        <v>MRPL55</v>
      </c>
      <c r="B21427" s="6" t="s">
        <v>1</v>
      </c>
      <c r="C21427" s="6" t="s">
        <v>1</v>
      </c>
    </row>
    <row r="21428" spans="1:3" s="8" customFormat="1" x14ac:dyDescent="0.2">
      <c r="A21428" s="6" t="str">
        <f>"KBTBD2"</f>
        <v>KBTBD2</v>
      </c>
      <c r="B21428" s="6" t="s">
        <v>1</v>
      </c>
      <c r="C21428" s="6" t="s">
        <v>1</v>
      </c>
    </row>
    <row r="21429" spans="1:3" s="8" customFormat="1" x14ac:dyDescent="0.2">
      <c r="A21429" s="6" t="str">
        <f>"NOL8"</f>
        <v>NOL8</v>
      </c>
      <c r="B21429" s="6" t="s">
        <v>1</v>
      </c>
      <c r="C21429" s="6" t="s">
        <v>1</v>
      </c>
    </row>
    <row r="21430" spans="1:3" s="8" customFormat="1" x14ac:dyDescent="0.2">
      <c r="A21430" s="6" t="str">
        <f>"CREBRF"</f>
        <v>CREBRF</v>
      </c>
      <c r="B21430" s="6" t="s">
        <v>1</v>
      </c>
      <c r="C21430" s="6" t="s">
        <v>1</v>
      </c>
    </row>
    <row r="21431" spans="1:3" s="8" customFormat="1" x14ac:dyDescent="0.2">
      <c r="A21431" s="6" t="str">
        <f>"MSL2"</f>
        <v>MSL2</v>
      </c>
      <c r="B21431" s="6" t="s">
        <v>1</v>
      </c>
      <c r="C21431" s="6" t="s">
        <v>1</v>
      </c>
    </row>
    <row r="21432" spans="1:3" s="8" customFormat="1" x14ac:dyDescent="0.2">
      <c r="A21432" s="6" t="str">
        <f>"FAN1"</f>
        <v>FAN1</v>
      </c>
      <c r="B21432" s="6" t="s">
        <v>1</v>
      </c>
      <c r="C21432" s="6" t="s">
        <v>1</v>
      </c>
    </row>
    <row r="21433" spans="1:3" s="8" customFormat="1" x14ac:dyDescent="0.2">
      <c r="A21433" s="6" t="str">
        <f>"ECI2"</f>
        <v>ECI2</v>
      </c>
      <c r="B21433" s="6" t="s">
        <v>1</v>
      </c>
      <c r="C21433" s="6" t="s">
        <v>1</v>
      </c>
    </row>
    <row r="21434" spans="1:3" s="8" customFormat="1" x14ac:dyDescent="0.2">
      <c r="A21434" s="6" t="str">
        <f>"MSH2"</f>
        <v>MSH2</v>
      </c>
      <c r="B21434" s="6" t="s">
        <v>1</v>
      </c>
      <c r="C21434" s="6" t="s">
        <v>1</v>
      </c>
    </row>
    <row r="21435" spans="1:3" s="8" customFormat="1" x14ac:dyDescent="0.2">
      <c r="A21435" s="6" t="str">
        <f>"SOCS4"</f>
        <v>SOCS4</v>
      </c>
      <c r="B21435" s="6" t="s">
        <v>1</v>
      </c>
      <c r="C21435" s="6" t="s">
        <v>1</v>
      </c>
    </row>
    <row r="21436" spans="1:3" s="8" customFormat="1" x14ac:dyDescent="0.2">
      <c r="A21436" s="6" t="str">
        <f>"ADSL"</f>
        <v>ADSL</v>
      </c>
      <c r="B21436" s="6" t="s">
        <v>1</v>
      </c>
      <c r="C21436" s="6" t="s">
        <v>1</v>
      </c>
    </row>
    <row r="21437" spans="1:3" s="8" customFormat="1" x14ac:dyDescent="0.2">
      <c r="A21437" s="6" t="str">
        <f>"PHYH"</f>
        <v>PHYH</v>
      </c>
      <c r="B21437" s="6" t="s">
        <v>1</v>
      </c>
      <c r="C21437" s="6" t="s">
        <v>1</v>
      </c>
    </row>
    <row r="21438" spans="1:3" s="8" customFormat="1" x14ac:dyDescent="0.2">
      <c r="A21438" s="6" t="str">
        <f>"RAE1"</f>
        <v>RAE1</v>
      </c>
      <c r="B21438" s="6" t="s">
        <v>1</v>
      </c>
      <c r="C21438" s="6" t="s">
        <v>1</v>
      </c>
    </row>
    <row r="21439" spans="1:3" s="8" customFormat="1" x14ac:dyDescent="0.2">
      <c r="A21439" s="6" t="str">
        <f>"C22orf15"</f>
        <v>C22orf15</v>
      </c>
      <c r="B21439" s="6" t="s">
        <v>1</v>
      </c>
      <c r="C21439" s="6" t="s">
        <v>1</v>
      </c>
    </row>
    <row r="21440" spans="1:3" s="8" customFormat="1" x14ac:dyDescent="0.2">
      <c r="A21440" s="6" t="str">
        <f>"MRS2"</f>
        <v>MRS2</v>
      </c>
      <c r="B21440" s="6" t="s">
        <v>1</v>
      </c>
      <c r="C21440" s="6" t="s">
        <v>1</v>
      </c>
    </row>
    <row r="21441" spans="1:3" s="8" customFormat="1" x14ac:dyDescent="0.2">
      <c r="A21441" s="6" t="str">
        <f>"CARS2"</f>
        <v>CARS2</v>
      </c>
      <c r="B21441" s="6" t="s">
        <v>1</v>
      </c>
      <c r="C21441" s="6" t="s">
        <v>1</v>
      </c>
    </row>
    <row r="21442" spans="1:3" s="8" customFormat="1" x14ac:dyDescent="0.2">
      <c r="A21442" s="6" t="str">
        <f>"DNAJB14"</f>
        <v>DNAJB14</v>
      </c>
      <c r="B21442" s="6" t="s">
        <v>1</v>
      </c>
      <c r="C21442" s="6" t="s">
        <v>1</v>
      </c>
    </row>
    <row r="21443" spans="1:3" s="8" customFormat="1" x14ac:dyDescent="0.2">
      <c r="A21443" s="6" t="str">
        <f>"NDUFS4"</f>
        <v>NDUFS4</v>
      </c>
      <c r="B21443" s="6" t="s">
        <v>1</v>
      </c>
      <c r="C21443" s="6" t="s">
        <v>1</v>
      </c>
    </row>
    <row r="21444" spans="1:3" s="8" customFormat="1" x14ac:dyDescent="0.2">
      <c r="A21444" s="6" t="str">
        <f>"FAM110A"</f>
        <v>FAM110A</v>
      </c>
      <c r="B21444" s="6" t="s">
        <v>1</v>
      </c>
      <c r="C21444" s="6" t="s">
        <v>1</v>
      </c>
    </row>
    <row r="21445" spans="1:3" s="8" customFormat="1" x14ac:dyDescent="0.2">
      <c r="A21445" s="6" t="str">
        <f>"ZC3H6"</f>
        <v>ZC3H6</v>
      </c>
      <c r="B21445" s="6" t="s">
        <v>1</v>
      </c>
      <c r="C21445" s="6" t="s">
        <v>1</v>
      </c>
    </row>
    <row r="21446" spans="1:3" s="8" customFormat="1" x14ac:dyDescent="0.2">
      <c r="A21446" s="6" t="str">
        <f>"CEL"</f>
        <v>CEL</v>
      </c>
      <c r="B21446" s="6" t="s">
        <v>1</v>
      </c>
      <c r="C21446" s="6" t="s">
        <v>1</v>
      </c>
    </row>
    <row r="21447" spans="1:3" s="8" customFormat="1" x14ac:dyDescent="0.2">
      <c r="A21447" s="6" t="str">
        <f>"SRGAP2B"</f>
        <v>SRGAP2B</v>
      </c>
      <c r="B21447" s="6" t="s">
        <v>1</v>
      </c>
      <c r="C21447" s="6" t="s">
        <v>1</v>
      </c>
    </row>
    <row r="21448" spans="1:3" s="8" customFormat="1" x14ac:dyDescent="0.2">
      <c r="A21448" s="6" t="str">
        <f>"MCM5"</f>
        <v>MCM5</v>
      </c>
      <c r="B21448" s="6" t="s">
        <v>1</v>
      </c>
      <c r="C21448" s="6" t="s">
        <v>1</v>
      </c>
    </row>
    <row r="21449" spans="1:3" s="8" customFormat="1" x14ac:dyDescent="0.2">
      <c r="A21449" s="6" t="str">
        <f>"ACAD10"</f>
        <v>ACAD10</v>
      </c>
      <c r="B21449" s="6" t="s">
        <v>1</v>
      </c>
      <c r="C21449" s="6" t="s">
        <v>1</v>
      </c>
    </row>
    <row r="21450" spans="1:3" s="8" customFormat="1" x14ac:dyDescent="0.2">
      <c r="A21450" s="6" t="str">
        <f>"MRPL47"</f>
        <v>MRPL47</v>
      </c>
      <c r="B21450" s="6" t="s">
        <v>1</v>
      </c>
      <c r="C21450" s="6" t="s">
        <v>1</v>
      </c>
    </row>
    <row r="21451" spans="1:3" s="8" customFormat="1" x14ac:dyDescent="0.2">
      <c r="A21451" s="6" t="str">
        <f>"BRPF1"</f>
        <v>BRPF1</v>
      </c>
      <c r="B21451" s="6" t="s">
        <v>1</v>
      </c>
      <c r="C21451" s="6" t="s">
        <v>1</v>
      </c>
    </row>
    <row r="21452" spans="1:3" s="8" customFormat="1" x14ac:dyDescent="0.2">
      <c r="A21452" s="6" t="str">
        <f>"KLHDC4"</f>
        <v>KLHDC4</v>
      </c>
      <c r="B21452" s="6" t="s">
        <v>1</v>
      </c>
      <c r="C21452" s="6" t="s">
        <v>1</v>
      </c>
    </row>
    <row r="21453" spans="1:3" s="8" customFormat="1" x14ac:dyDescent="0.2">
      <c r="A21453" s="6" t="str">
        <f>"BTC"</f>
        <v>BTC</v>
      </c>
      <c r="B21453" s="6" t="s">
        <v>1</v>
      </c>
      <c r="C21453" s="6" t="s">
        <v>1</v>
      </c>
    </row>
    <row r="21454" spans="1:3" s="8" customFormat="1" x14ac:dyDescent="0.2">
      <c r="A21454" s="6" t="str">
        <f>"MCOLN1"</f>
        <v>MCOLN1</v>
      </c>
      <c r="B21454" s="6" t="s">
        <v>1</v>
      </c>
      <c r="C21454" s="6" t="s">
        <v>1</v>
      </c>
    </row>
    <row r="21455" spans="1:3" s="8" customFormat="1" x14ac:dyDescent="0.2">
      <c r="A21455" s="6" t="str">
        <f>"MCPH1"</f>
        <v>MCPH1</v>
      </c>
      <c r="B21455" s="6" t="s">
        <v>1</v>
      </c>
      <c r="C21455" s="6" t="s">
        <v>1</v>
      </c>
    </row>
    <row r="21456" spans="1:3" s="8" customFormat="1" x14ac:dyDescent="0.2">
      <c r="A21456" s="6" t="str">
        <f>"EMSY"</f>
        <v>EMSY</v>
      </c>
      <c r="B21456" s="6" t="s">
        <v>1</v>
      </c>
      <c r="C21456" s="6" t="s">
        <v>1</v>
      </c>
    </row>
    <row r="21457" spans="1:3" s="8" customFormat="1" x14ac:dyDescent="0.2">
      <c r="A21457" s="6" t="str">
        <f>"SLC2A12"</f>
        <v>SLC2A12</v>
      </c>
      <c r="B21457" s="6" t="s">
        <v>1</v>
      </c>
      <c r="C21457" s="6" t="s">
        <v>1</v>
      </c>
    </row>
    <row r="21458" spans="1:3" s="8" customFormat="1" x14ac:dyDescent="0.2">
      <c r="A21458" s="6" t="str">
        <f>"PRORP"</f>
        <v>PRORP</v>
      </c>
      <c r="B21458" s="6" t="s">
        <v>1</v>
      </c>
      <c r="C21458" s="6" t="s">
        <v>1</v>
      </c>
    </row>
    <row r="21459" spans="1:3" s="8" customFormat="1" x14ac:dyDescent="0.2">
      <c r="A21459" s="6" t="str">
        <f>"ZCCHC3"</f>
        <v>ZCCHC3</v>
      </c>
      <c r="B21459" s="6" t="s">
        <v>1</v>
      </c>
      <c r="C21459" s="6" t="s">
        <v>1</v>
      </c>
    </row>
    <row r="21460" spans="1:3" s="8" customFormat="1" x14ac:dyDescent="0.2">
      <c r="A21460" s="6" t="str">
        <f>"KLHL8"</f>
        <v>KLHL8</v>
      </c>
      <c r="B21460" s="6" t="s">
        <v>1</v>
      </c>
      <c r="C21460" s="6" t="s">
        <v>1</v>
      </c>
    </row>
    <row r="21461" spans="1:3" s="8" customFormat="1" x14ac:dyDescent="0.2">
      <c r="A21461" s="6" t="str">
        <f>"TMX3"</f>
        <v>TMX3</v>
      </c>
      <c r="B21461" s="6" t="s">
        <v>1</v>
      </c>
      <c r="C21461" s="6" t="s">
        <v>1</v>
      </c>
    </row>
    <row r="21462" spans="1:3" s="8" customFormat="1" x14ac:dyDescent="0.2">
      <c r="A21462" s="6" t="str">
        <f>"UBXN2A"</f>
        <v>UBXN2A</v>
      </c>
      <c r="B21462" s="6" t="s">
        <v>1</v>
      </c>
      <c r="C21462" s="6" t="s">
        <v>1</v>
      </c>
    </row>
    <row r="21463" spans="1:3" s="8" customFormat="1" x14ac:dyDescent="0.2">
      <c r="A21463" s="6" t="str">
        <f>"GPSM2"</f>
        <v>GPSM2</v>
      </c>
      <c r="B21463" s="6" t="s">
        <v>1</v>
      </c>
      <c r="C21463" s="6" t="s">
        <v>1</v>
      </c>
    </row>
    <row r="21464" spans="1:3" s="8" customFormat="1" x14ac:dyDescent="0.2">
      <c r="A21464" s="6" t="str">
        <f>"RNF139"</f>
        <v>RNF139</v>
      </c>
      <c r="B21464" s="6" t="s">
        <v>1</v>
      </c>
      <c r="C21464" s="6" t="s">
        <v>1</v>
      </c>
    </row>
    <row r="21465" spans="1:3" s="8" customFormat="1" x14ac:dyDescent="0.2">
      <c r="A21465" s="6" t="str">
        <f>"CHRAC1"</f>
        <v>CHRAC1</v>
      </c>
      <c r="B21465" s="6" t="s">
        <v>1</v>
      </c>
      <c r="C21465" s="6" t="s">
        <v>1</v>
      </c>
    </row>
    <row r="21466" spans="1:3" s="8" customFormat="1" x14ac:dyDescent="0.2">
      <c r="A21466" s="6" t="str">
        <f>"AC093323.1"</f>
        <v>AC093323.1</v>
      </c>
      <c r="B21466" s="6" t="s">
        <v>1</v>
      </c>
      <c r="C21466" s="6" t="s">
        <v>1</v>
      </c>
    </row>
    <row r="21467" spans="1:3" s="8" customFormat="1" x14ac:dyDescent="0.2">
      <c r="A21467" s="6" t="str">
        <f>"PHKA2"</f>
        <v>PHKA2</v>
      </c>
      <c r="B21467" s="6" t="s">
        <v>1</v>
      </c>
      <c r="C21467" s="6" t="s">
        <v>1</v>
      </c>
    </row>
    <row r="21468" spans="1:3" s="8" customFormat="1" x14ac:dyDescent="0.2">
      <c r="A21468" s="6" t="str">
        <f>"ADRA2A"</f>
        <v>ADRA2A</v>
      </c>
      <c r="B21468" s="6" t="s">
        <v>1</v>
      </c>
      <c r="C21468" s="6" t="s">
        <v>1</v>
      </c>
    </row>
    <row r="21469" spans="1:3" s="8" customFormat="1" x14ac:dyDescent="0.2">
      <c r="A21469" s="6" t="str">
        <f>"AP000356.5"</f>
        <v>AP000356.5</v>
      </c>
      <c r="B21469" s="6" t="s">
        <v>1</v>
      </c>
      <c r="C21469" s="6" t="s">
        <v>1</v>
      </c>
    </row>
    <row r="21470" spans="1:3" s="8" customFormat="1" x14ac:dyDescent="0.2">
      <c r="A21470" s="6" t="str">
        <f>"MEAK7"</f>
        <v>MEAK7</v>
      </c>
      <c r="B21470" s="6" t="s">
        <v>1</v>
      </c>
      <c r="C21470" s="6" t="s">
        <v>1</v>
      </c>
    </row>
    <row r="21471" spans="1:3" s="8" customFormat="1" x14ac:dyDescent="0.2">
      <c r="A21471" s="6" t="str">
        <f>"RPP38"</f>
        <v>RPP38</v>
      </c>
      <c r="B21471" s="6" t="s">
        <v>1</v>
      </c>
      <c r="C21471" s="6" t="s">
        <v>1</v>
      </c>
    </row>
    <row r="21472" spans="1:3" s="8" customFormat="1" x14ac:dyDescent="0.2">
      <c r="A21472" s="6" t="str">
        <f>"MYO19"</f>
        <v>MYO19</v>
      </c>
      <c r="B21472" s="6" t="s">
        <v>1</v>
      </c>
      <c r="C21472" s="6" t="s">
        <v>1</v>
      </c>
    </row>
    <row r="21473" spans="1:3" s="8" customFormat="1" x14ac:dyDescent="0.2">
      <c r="A21473" s="6" t="str">
        <f>"FAM98C"</f>
        <v>FAM98C</v>
      </c>
      <c r="B21473" s="6" t="s">
        <v>1</v>
      </c>
      <c r="C21473" s="6" t="s">
        <v>1</v>
      </c>
    </row>
    <row r="21474" spans="1:3" s="8" customFormat="1" x14ac:dyDescent="0.2">
      <c r="A21474" s="6" t="str">
        <f>"NPDC1"</f>
        <v>NPDC1</v>
      </c>
      <c r="B21474" s="6" t="s">
        <v>1</v>
      </c>
      <c r="C21474" s="6" t="s">
        <v>1</v>
      </c>
    </row>
    <row r="21475" spans="1:3" s="8" customFormat="1" x14ac:dyDescent="0.2">
      <c r="A21475" s="6" t="str">
        <f>"CCNG1"</f>
        <v>CCNG1</v>
      </c>
      <c r="B21475" s="6" t="s">
        <v>1</v>
      </c>
      <c r="C21475" s="6" t="s">
        <v>1</v>
      </c>
    </row>
    <row r="21476" spans="1:3" s="8" customFormat="1" x14ac:dyDescent="0.2">
      <c r="A21476" s="6" t="str">
        <f>"MRPS25"</f>
        <v>MRPS25</v>
      </c>
      <c r="B21476" s="6" t="s">
        <v>1</v>
      </c>
      <c r="C21476" s="6" t="s">
        <v>1</v>
      </c>
    </row>
    <row r="21477" spans="1:3" s="8" customFormat="1" x14ac:dyDescent="0.2">
      <c r="A21477" s="6" t="str">
        <f>"ZCCHC2"</f>
        <v>ZCCHC2</v>
      </c>
      <c r="B21477" s="6" t="s">
        <v>1</v>
      </c>
      <c r="C21477" s="6" t="s">
        <v>1</v>
      </c>
    </row>
    <row r="21478" spans="1:3" s="8" customFormat="1" x14ac:dyDescent="0.2">
      <c r="A21478" s="6" t="str">
        <f>"PCP4L1"</f>
        <v>PCP4L1</v>
      </c>
      <c r="B21478" s="6" t="s">
        <v>1</v>
      </c>
      <c r="C21478" s="6" t="s">
        <v>1</v>
      </c>
    </row>
    <row r="21479" spans="1:3" s="8" customFormat="1" x14ac:dyDescent="0.2">
      <c r="A21479" s="6" t="str">
        <f>"DENND6A"</f>
        <v>DENND6A</v>
      </c>
      <c r="B21479" s="6" t="s">
        <v>1</v>
      </c>
      <c r="C21479" s="6" t="s">
        <v>1</v>
      </c>
    </row>
    <row r="21480" spans="1:3" s="8" customFormat="1" x14ac:dyDescent="0.2">
      <c r="A21480" s="6" t="str">
        <f>"RAD54L2"</f>
        <v>RAD54L2</v>
      </c>
      <c r="B21480" s="6" t="s">
        <v>1</v>
      </c>
      <c r="C21480" s="6" t="s">
        <v>1</v>
      </c>
    </row>
    <row r="21481" spans="1:3" s="8" customFormat="1" x14ac:dyDescent="0.2">
      <c r="A21481" s="6" t="str">
        <f>"HACL1"</f>
        <v>HACL1</v>
      </c>
      <c r="B21481" s="6" t="s">
        <v>1</v>
      </c>
      <c r="C21481" s="6" t="s">
        <v>1</v>
      </c>
    </row>
    <row r="21482" spans="1:3" s="8" customFormat="1" x14ac:dyDescent="0.2">
      <c r="A21482" s="6" t="str">
        <f>"HAUS4"</f>
        <v>HAUS4</v>
      </c>
      <c r="B21482" s="6" t="s">
        <v>1</v>
      </c>
      <c r="C21482" s="6" t="s">
        <v>1</v>
      </c>
    </row>
    <row r="21483" spans="1:3" s="8" customFormat="1" x14ac:dyDescent="0.2">
      <c r="A21483" s="6" t="str">
        <f>"CASC2"</f>
        <v>CASC2</v>
      </c>
      <c r="B21483" s="6" t="s">
        <v>1</v>
      </c>
      <c r="C21483" s="6" t="s">
        <v>1</v>
      </c>
    </row>
    <row r="21484" spans="1:3" s="8" customFormat="1" x14ac:dyDescent="0.2">
      <c r="A21484" s="6" t="str">
        <f>"ALG12"</f>
        <v>ALG12</v>
      </c>
      <c r="B21484" s="6" t="s">
        <v>1</v>
      </c>
      <c r="C21484" s="6" t="s">
        <v>1</v>
      </c>
    </row>
    <row r="21485" spans="1:3" s="8" customFormat="1" x14ac:dyDescent="0.2">
      <c r="A21485" s="6" t="str">
        <f>"FBLIM1"</f>
        <v>FBLIM1</v>
      </c>
      <c r="B21485" s="6" t="s">
        <v>1</v>
      </c>
      <c r="C21485" s="6" t="s">
        <v>1</v>
      </c>
    </row>
    <row r="21486" spans="1:3" s="8" customFormat="1" x14ac:dyDescent="0.2">
      <c r="A21486" s="6" t="str">
        <f>"LOX"</f>
        <v>LOX</v>
      </c>
      <c r="B21486" s="6" t="s">
        <v>1</v>
      </c>
      <c r="C21486" s="6" t="s">
        <v>1</v>
      </c>
    </row>
    <row r="21487" spans="1:3" s="8" customFormat="1" x14ac:dyDescent="0.2">
      <c r="A21487" s="6" t="str">
        <f>"NUP54"</f>
        <v>NUP54</v>
      </c>
      <c r="B21487" s="6" t="s">
        <v>1</v>
      </c>
      <c r="C21487" s="6" t="s">
        <v>1</v>
      </c>
    </row>
    <row r="21488" spans="1:3" s="8" customFormat="1" x14ac:dyDescent="0.2">
      <c r="A21488" s="6" t="str">
        <f>"CARD6"</f>
        <v>CARD6</v>
      </c>
      <c r="B21488" s="6" t="s">
        <v>1</v>
      </c>
      <c r="C21488" s="6" t="s">
        <v>1</v>
      </c>
    </row>
    <row r="21489" spans="1:3" s="8" customFormat="1" x14ac:dyDescent="0.2">
      <c r="A21489" s="6" t="str">
        <f>"KLK13"</f>
        <v>KLK13</v>
      </c>
      <c r="B21489" s="6" t="s">
        <v>1</v>
      </c>
      <c r="C21489" s="6" t="s">
        <v>1</v>
      </c>
    </row>
    <row r="21490" spans="1:3" s="8" customFormat="1" x14ac:dyDescent="0.2">
      <c r="A21490" s="6" t="str">
        <f>"ZNF608"</f>
        <v>ZNF608</v>
      </c>
      <c r="B21490" s="6" t="s">
        <v>1</v>
      </c>
      <c r="C21490" s="6" t="s">
        <v>1</v>
      </c>
    </row>
    <row r="21491" spans="1:3" s="8" customFormat="1" x14ac:dyDescent="0.2">
      <c r="A21491" s="6" t="str">
        <f>"MRPS30"</f>
        <v>MRPS30</v>
      </c>
      <c r="B21491" s="6" t="s">
        <v>1</v>
      </c>
      <c r="C21491" s="6" t="s">
        <v>1</v>
      </c>
    </row>
    <row r="21492" spans="1:3" s="8" customFormat="1" x14ac:dyDescent="0.2">
      <c r="A21492" s="6" t="str">
        <f>"ZNF252P"</f>
        <v>ZNF252P</v>
      </c>
      <c r="B21492" s="6" t="s">
        <v>1</v>
      </c>
      <c r="C21492" s="6" t="s">
        <v>1</v>
      </c>
    </row>
    <row r="21493" spans="1:3" s="8" customFormat="1" x14ac:dyDescent="0.2">
      <c r="A21493" s="6" t="str">
        <f>"MLLT10"</f>
        <v>MLLT10</v>
      </c>
      <c r="B21493" s="6" t="s">
        <v>1</v>
      </c>
      <c r="C21493" s="6" t="s">
        <v>1</v>
      </c>
    </row>
    <row r="21494" spans="1:3" s="8" customFormat="1" x14ac:dyDescent="0.2">
      <c r="A21494" s="6" t="str">
        <f>"ENPP3"</f>
        <v>ENPP3</v>
      </c>
      <c r="B21494" s="6" t="s">
        <v>1</v>
      </c>
      <c r="C21494" s="6" t="s">
        <v>1</v>
      </c>
    </row>
    <row r="21495" spans="1:3" s="8" customFormat="1" x14ac:dyDescent="0.2">
      <c r="A21495" s="6" t="str">
        <f>"LRCH3"</f>
        <v>LRCH3</v>
      </c>
      <c r="B21495" s="6" t="s">
        <v>1</v>
      </c>
      <c r="C21495" s="6" t="s">
        <v>1</v>
      </c>
    </row>
    <row r="21496" spans="1:3" s="8" customFormat="1" x14ac:dyDescent="0.2">
      <c r="A21496" s="6" t="str">
        <f>"NUP107"</f>
        <v>NUP107</v>
      </c>
      <c r="B21496" s="6" t="s">
        <v>1</v>
      </c>
      <c r="C21496" s="6" t="s">
        <v>1</v>
      </c>
    </row>
    <row r="21497" spans="1:3" s="8" customFormat="1" x14ac:dyDescent="0.2">
      <c r="A21497" s="6" t="str">
        <f>"INPP1"</f>
        <v>INPP1</v>
      </c>
      <c r="B21497" s="6" t="s">
        <v>1</v>
      </c>
      <c r="C21497" s="6" t="s">
        <v>1</v>
      </c>
    </row>
    <row r="21498" spans="1:3" s="8" customFormat="1" x14ac:dyDescent="0.2">
      <c r="A21498" s="6" t="str">
        <f>"MYCL"</f>
        <v>MYCL</v>
      </c>
      <c r="B21498" s="6" t="s">
        <v>1</v>
      </c>
      <c r="C21498" s="6" t="s">
        <v>1</v>
      </c>
    </row>
    <row r="21499" spans="1:3" s="8" customFormat="1" x14ac:dyDescent="0.2">
      <c r="A21499" s="6" t="str">
        <f>"PACRGL"</f>
        <v>PACRGL</v>
      </c>
      <c r="B21499" s="6" t="s">
        <v>1</v>
      </c>
      <c r="C21499" s="6" t="s">
        <v>1</v>
      </c>
    </row>
    <row r="21500" spans="1:3" s="8" customFormat="1" x14ac:dyDescent="0.2">
      <c r="A21500" s="6" t="str">
        <f>"PLEKHG6"</f>
        <v>PLEKHG6</v>
      </c>
      <c r="B21500" s="6" t="s">
        <v>1</v>
      </c>
      <c r="C21500" s="6" t="s">
        <v>1</v>
      </c>
    </row>
    <row r="21501" spans="1:3" s="8" customFormat="1" x14ac:dyDescent="0.2">
      <c r="A21501" s="6" t="str">
        <f>"INTS6"</f>
        <v>INTS6</v>
      </c>
      <c r="B21501" s="6" t="s">
        <v>1</v>
      </c>
      <c r="C21501" s="6" t="s">
        <v>1</v>
      </c>
    </row>
    <row r="21502" spans="1:3" s="8" customFormat="1" x14ac:dyDescent="0.2">
      <c r="A21502" s="6" t="str">
        <f>"CCNYL1"</f>
        <v>CCNYL1</v>
      </c>
      <c r="B21502" s="6" t="s">
        <v>1</v>
      </c>
      <c r="C21502" s="6" t="s">
        <v>1</v>
      </c>
    </row>
    <row r="21503" spans="1:3" s="8" customFormat="1" x14ac:dyDescent="0.2">
      <c r="A21503" s="6" t="str">
        <f>"EXOC6B"</f>
        <v>EXOC6B</v>
      </c>
      <c r="B21503" s="6" t="s">
        <v>1</v>
      </c>
      <c r="C21503" s="6" t="s">
        <v>1</v>
      </c>
    </row>
    <row r="21504" spans="1:3" s="8" customFormat="1" x14ac:dyDescent="0.2">
      <c r="A21504" s="6" t="str">
        <f>"INTS8"</f>
        <v>INTS8</v>
      </c>
      <c r="B21504" s="6" t="s">
        <v>1</v>
      </c>
      <c r="C21504" s="6" t="s">
        <v>1</v>
      </c>
    </row>
    <row r="21505" spans="1:3" s="8" customFormat="1" x14ac:dyDescent="0.2">
      <c r="A21505" s="6" t="str">
        <f>"LYRM7"</f>
        <v>LYRM7</v>
      </c>
      <c r="B21505" s="6" t="s">
        <v>1</v>
      </c>
      <c r="C21505" s="6" t="s">
        <v>1</v>
      </c>
    </row>
    <row r="21506" spans="1:3" s="8" customFormat="1" x14ac:dyDescent="0.2">
      <c r="A21506" s="6" t="str">
        <f>"APTX"</f>
        <v>APTX</v>
      </c>
      <c r="B21506" s="6" t="s">
        <v>1</v>
      </c>
      <c r="C21506" s="6" t="s">
        <v>1</v>
      </c>
    </row>
    <row r="21507" spans="1:3" s="8" customFormat="1" x14ac:dyDescent="0.2">
      <c r="A21507" s="6" t="str">
        <f>"C2"</f>
        <v>C2</v>
      </c>
      <c r="B21507" s="6" t="s">
        <v>1</v>
      </c>
      <c r="C21507" s="6" t="s">
        <v>1</v>
      </c>
    </row>
    <row r="21508" spans="1:3" s="8" customFormat="1" x14ac:dyDescent="0.2">
      <c r="A21508" s="6" t="str">
        <f>"BACE1"</f>
        <v>BACE1</v>
      </c>
      <c r="B21508" s="6" t="s">
        <v>1</v>
      </c>
      <c r="C21508" s="6" t="s">
        <v>1</v>
      </c>
    </row>
    <row r="21509" spans="1:3" s="8" customFormat="1" x14ac:dyDescent="0.2">
      <c r="A21509" s="6" t="str">
        <f>"PRMT6"</f>
        <v>PRMT6</v>
      </c>
      <c r="B21509" s="6" t="s">
        <v>1</v>
      </c>
      <c r="C21509" s="6" t="s">
        <v>1</v>
      </c>
    </row>
    <row r="21510" spans="1:3" s="8" customFormat="1" x14ac:dyDescent="0.2">
      <c r="A21510" s="6" t="str">
        <f>"ASB6"</f>
        <v>ASB6</v>
      </c>
      <c r="B21510" s="6" t="s">
        <v>1</v>
      </c>
      <c r="C21510" s="6" t="s">
        <v>1</v>
      </c>
    </row>
    <row r="21511" spans="1:3" s="8" customFormat="1" x14ac:dyDescent="0.2">
      <c r="A21511" s="6" t="str">
        <f>"GALNT18"</f>
        <v>GALNT18</v>
      </c>
      <c r="B21511" s="6" t="s">
        <v>1</v>
      </c>
      <c r="C21511" s="6" t="s">
        <v>1</v>
      </c>
    </row>
    <row r="21512" spans="1:3" s="8" customFormat="1" x14ac:dyDescent="0.2">
      <c r="A21512" s="6" t="str">
        <f>"CYP4F12"</f>
        <v>CYP4F12</v>
      </c>
      <c r="B21512" s="6" t="s">
        <v>1</v>
      </c>
      <c r="C21512" s="6" t="s">
        <v>1</v>
      </c>
    </row>
    <row r="21513" spans="1:3" s="8" customFormat="1" x14ac:dyDescent="0.2">
      <c r="A21513" s="6" t="str">
        <f>"NEIL2"</f>
        <v>NEIL2</v>
      </c>
      <c r="B21513" s="6" t="s">
        <v>1</v>
      </c>
      <c r="C21513" s="6" t="s">
        <v>1</v>
      </c>
    </row>
    <row r="21514" spans="1:3" s="8" customFormat="1" x14ac:dyDescent="0.2">
      <c r="A21514" s="6" t="str">
        <f>"GJB5"</f>
        <v>GJB5</v>
      </c>
      <c r="B21514" s="6" t="s">
        <v>1</v>
      </c>
      <c r="C21514" s="6" t="s">
        <v>1</v>
      </c>
    </row>
    <row r="21515" spans="1:3" s="8" customFormat="1" x14ac:dyDescent="0.2">
      <c r="A21515" s="6" t="str">
        <f>"FZD3"</f>
        <v>FZD3</v>
      </c>
      <c r="B21515" s="6" t="s">
        <v>1</v>
      </c>
      <c r="C21515" s="6" t="s">
        <v>1</v>
      </c>
    </row>
    <row r="21516" spans="1:3" s="8" customFormat="1" x14ac:dyDescent="0.2">
      <c r="A21516" s="6" t="str">
        <f>"ASCC1"</f>
        <v>ASCC1</v>
      </c>
      <c r="B21516" s="6" t="s">
        <v>1</v>
      </c>
      <c r="C21516" s="6" t="s">
        <v>1</v>
      </c>
    </row>
    <row r="21517" spans="1:3" s="8" customFormat="1" x14ac:dyDescent="0.2">
      <c r="A21517" s="6" t="str">
        <f>"ELP3"</f>
        <v>ELP3</v>
      </c>
      <c r="B21517" s="6" t="s">
        <v>1</v>
      </c>
      <c r="C21517" s="6" t="s">
        <v>1</v>
      </c>
    </row>
    <row r="21518" spans="1:3" s="8" customFormat="1" x14ac:dyDescent="0.2">
      <c r="A21518" s="6" t="str">
        <f>"MRPS9"</f>
        <v>MRPS9</v>
      </c>
      <c r="B21518" s="6" t="s">
        <v>1</v>
      </c>
      <c r="C21518" s="6" t="s">
        <v>1</v>
      </c>
    </row>
    <row r="21519" spans="1:3" s="8" customFormat="1" x14ac:dyDescent="0.2">
      <c r="A21519" s="6" t="str">
        <f>"KAT2B"</f>
        <v>KAT2B</v>
      </c>
      <c r="B21519" s="6" t="s">
        <v>1</v>
      </c>
      <c r="C21519" s="6" t="s">
        <v>1</v>
      </c>
    </row>
    <row r="21520" spans="1:3" s="8" customFormat="1" x14ac:dyDescent="0.2">
      <c r="A21520" s="6" t="str">
        <f>"MCRIP2"</f>
        <v>MCRIP2</v>
      </c>
      <c r="B21520" s="6" t="s">
        <v>1</v>
      </c>
      <c r="C21520" s="6" t="s">
        <v>1</v>
      </c>
    </row>
    <row r="21521" spans="1:3" s="8" customFormat="1" x14ac:dyDescent="0.2">
      <c r="A21521" s="6" t="str">
        <f>"PDCL3"</f>
        <v>PDCL3</v>
      </c>
      <c r="B21521" s="6" t="s">
        <v>1</v>
      </c>
      <c r="C21521" s="6" t="s">
        <v>1</v>
      </c>
    </row>
    <row r="21522" spans="1:3" s="8" customFormat="1" x14ac:dyDescent="0.2">
      <c r="A21522" s="6" t="str">
        <f>"GRAMD2B"</f>
        <v>GRAMD2B</v>
      </c>
      <c r="B21522" s="6" t="s">
        <v>1</v>
      </c>
      <c r="C21522" s="6" t="s">
        <v>1</v>
      </c>
    </row>
    <row r="21523" spans="1:3" s="8" customFormat="1" x14ac:dyDescent="0.2">
      <c r="A21523" s="6" t="str">
        <f>"PHKG2"</f>
        <v>PHKG2</v>
      </c>
      <c r="B21523" s="6" t="s">
        <v>1</v>
      </c>
      <c r="C21523" s="6" t="s">
        <v>1</v>
      </c>
    </row>
    <row r="21524" spans="1:3" s="8" customFormat="1" x14ac:dyDescent="0.2">
      <c r="A21524" s="6" t="str">
        <f>"MKNK1"</f>
        <v>MKNK1</v>
      </c>
      <c r="B21524" s="6" t="s">
        <v>1</v>
      </c>
      <c r="C21524" s="6" t="s">
        <v>1</v>
      </c>
    </row>
    <row r="21525" spans="1:3" s="8" customFormat="1" x14ac:dyDescent="0.2">
      <c r="A21525" s="6" t="str">
        <f>"BRD9"</f>
        <v>BRD9</v>
      </c>
      <c r="B21525" s="6" t="s">
        <v>1</v>
      </c>
      <c r="C21525" s="6" t="s">
        <v>1</v>
      </c>
    </row>
    <row r="21526" spans="1:3" s="8" customFormat="1" x14ac:dyDescent="0.2">
      <c r="A21526" s="6" t="str">
        <f>"ADRB1"</f>
        <v>ADRB1</v>
      </c>
      <c r="B21526" s="6" t="s">
        <v>1</v>
      </c>
      <c r="C21526" s="6" t="s">
        <v>1</v>
      </c>
    </row>
    <row r="21527" spans="1:3" s="8" customFormat="1" x14ac:dyDescent="0.2">
      <c r="A21527" s="6" t="str">
        <f>"C22orf46"</f>
        <v>C22orf46</v>
      </c>
      <c r="B21527" s="6" t="s">
        <v>1</v>
      </c>
      <c r="C21527" s="6" t="s">
        <v>1</v>
      </c>
    </row>
    <row r="21528" spans="1:3" s="8" customFormat="1" x14ac:dyDescent="0.2">
      <c r="A21528" s="6" t="str">
        <f>"ID2"</f>
        <v>ID2</v>
      </c>
      <c r="B21528" s="6" t="s">
        <v>1</v>
      </c>
      <c r="C21528" s="6" t="s">
        <v>1</v>
      </c>
    </row>
    <row r="21529" spans="1:3" s="8" customFormat="1" x14ac:dyDescent="0.2">
      <c r="A21529" s="6" t="str">
        <f>"ADGRG3"</f>
        <v>ADGRG3</v>
      </c>
      <c r="B21529" s="6" t="s">
        <v>1</v>
      </c>
      <c r="C21529" s="6" t="s">
        <v>1</v>
      </c>
    </row>
    <row r="21530" spans="1:3" s="8" customFormat="1" x14ac:dyDescent="0.2">
      <c r="A21530" s="6" t="str">
        <f>"TMEM159"</f>
        <v>TMEM159</v>
      </c>
      <c r="B21530" s="6" t="s">
        <v>1</v>
      </c>
      <c r="C21530" s="6" t="s">
        <v>1</v>
      </c>
    </row>
    <row r="21531" spans="1:3" s="8" customFormat="1" x14ac:dyDescent="0.2">
      <c r="A21531" s="6" t="str">
        <f>"BABAM2"</f>
        <v>BABAM2</v>
      </c>
      <c r="B21531" s="6" t="s">
        <v>1</v>
      </c>
      <c r="C21531" s="6" t="s">
        <v>1</v>
      </c>
    </row>
    <row r="21532" spans="1:3" s="8" customFormat="1" x14ac:dyDescent="0.2">
      <c r="A21532" s="6" t="str">
        <f>"ME3"</f>
        <v>ME3</v>
      </c>
      <c r="B21532" s="6" t="s">
        <v>1</v>
      </c>
      <c r="C21532" s="6" t="s">
        <v>1</v>
      </c>
    </row>
    <row r="21533" spans="1:3" s="8" customFormat="1" x14ac:dyDescent="0.2">
      <c r="A21533" s="6" t="str">
        <f>"PDCD5"</f>
        <v>PDCD5</v>
      </c>
      <c r="B21533" s="6" t="s">
        <v>1</v>
      </c>
      <c r="C21533" s="6" t="s">
        <v>1</v>
      </c>
    </row>
    <row r="21534" spans="1:3" s="8" customFormat="1" x14ac:dyDescent="0.2">
      <c r="A21534" s="6" t="str">
        <f>"FKBP3"</f>
        <v>FKBP3</v>
      </c>
      <c r="B21534" s="6" t="s">
        <v>1</v>
      </c>
      <c r="C21534" s="6" t="s">
        <v>1</v>
      </c>
    </row>
    <row r="21535" spans="1:3" s="8" customFormat="1" x14ac:dyDescent="0.2">
      <c r="A21535" s="6" t="str">
        <f>"E4F1"</f>
        <v>E4F1</v>
      </c>
      <c r="B21535" s="6" t="s">
        <v>1</v>
      </c>
      <c r="C21535" s="6" t="s">
        <v>1</v>
      </c>
    </row>
    <row r="21536" spans="1:3" s="8" customFormat="1" x14ac:dyDescent="0.2">
      <c r="A21536" s="6" t="str">
        <f>"EXOC2"</f>
        <v>EXOC2</v>
      </c>
      <c r="B21536" s="6" t="s">
        <v>1</v>
      </c>
      <c r="C21536" s="6" t="s">
        <v>1</v>
      </c>
    </row>
    <row r="21537" spans="1:3" s="8" customFormat="1" x14ac:dyDescent="0.2">
      <c r="A21537" s="6" t="str">
        <f>"ZZZ3"</f>
        <v>ZZZ3</v>
      </c>
      <c r="B21537" s="6" t="s">
        <v>1</v>
      </c>
      <c r="C21537" s="6" t="s">
        <v>1</v>
      </c>
    </row>
    <row r="21538" spans="1:3" s="8" customFormat="1" x14ac:dyDescent="0.2">
      <c r="A21538" s="6" t="str">
        <f>"ACAD11"</f>
        <v>ACAD11</v>
      </c>
      <c r="B21538" s="6" t="s">
        <v>1</v>
      </c>
      <c r="C21538" s="6" t="s">
        <v>1</v>
      </c>
    </row>
    <row r="21539" spans="1:3" s="8" customFormat="1" x14ac:dyDescent="0.2">
      <c r="A21539" s="6" t="str">
        <f>"CCNT2"</f>
        <v>CCNT2</v>
      </c>
      <c r="B21539" s="6" t="s">
        <v>1</v>
      </c>
      <c r="C21539" s="6" t="s">
        <v>1</v>
      </c>
    </row>
    <row r="21540" spans="1:3" s="8" customFormat="1" x14ac:dyDescent="0.2">
      <c r="A21540" s="6" t="str">
        <f>"ZSWIM4"</f>
        <v>ZSWIM4</v>
      </c>
      <c r="B21540" s="6" t="s">
        <v>1</v>
      </c>
      <c r="C21540" s="6" t="s">
        <v>1</v>
      </c>
    </row>
    <row r="21541" spans="1:3" s="8" customFormat="1" x14ac:dyDescent="0.2">
      <c r="A21541" s="6" t="str">
        <f>"ASB13"</f>
        <v>ASB13</v>
      </c>
      <c r="B21541" s="6" t="s">
        <v>1</v>
      </c>
      <c r="C21541" s="6" t="s">
        <v>1</v>
      </c>
    </row>
    <row r="21542" spans="1:3" s="8" customFormat="1" x14ac:dyDescent="0.2">
      <c r="A21542" s="6" t="str">
        <f>"DEDD"</f>
        <v>DEDD</v>
      </c>
      <c r="B21542" s="6" t="s">
        <v>1</v>
      </c>
      <c r="C21542" s="6" t="s">
        <v>1</v>
      </c>
    </row>
    <row r="21543" spans="1:3" s="8" customFormat="1" x14ac:dyDescent="0.2">
      <c r="A21543" s="6" t="str">
        <f>"MYO15B"</f>
        <v>MYO15B</v>
      </c>
      <c r="B21543" s="6" t="s">
        <v>1</v>
      </c>
      <c r="C21543" s="6" t="s">
        <v>1</v>
      </c>
    </row>
    <row r="21544" spans="1:3" s="8" customFormat="1" x14ac:dyDescent="0.2">
      <c r="A21544" s="6" t="str">
        <f>"LMO2"</f>
        <v>LMO2</v>
      </c>
      <c r="B21544" s="6" t="s">
        <v>1</v>
      </c>
      <c r="C21544" s="6" t="s">
        <v>1</v>
      </c>
    </row>
    <row r="21545" spans="1:3" s="8" customFormat="1" x14ac:dyDescent="0.2">
      <c r="A21545" s="6" t="str">
        <f>"COA1"</f>
        <v>COA1</v>
      </c>
      <c r="B21545" s="6" t="s">
        <v>1</v>
      </c>
      <c r="C21545" s="6" t="s">
        <v>1</v>
      </c>
    </row>
    <row r="21546" spans="1:3" s="8" customFormat="1" x14ac:dyDescent="0.2">
      <c r="A21546" s="6" t="str">
        <f>"RAMAC"</f>
        <v>RAMAC</v>
      </c>
      <c r="B21546" s="6" t="s">
        <v>1</v>
      </c>
      <c r="C21546" s="6" t="s">
        <v>1</v>
      </c>
    </row>
    <row r="21547" spans="1:3" s="8" customFormat="1" x14ac:dyDescent="0.2">
      <c r="A21547" s="6" t="str">
        <f>"PHYHD1"</f>
        <v>PHYHD1</v>
      </c>
      <c r="B21547" s="6" t="s">
        <v>1</v>
      </c>
      <c r="C21547" s="6" t="s">
        <v>1</v>
      </c>
    </row>
    <row r="21548" spans="1:3" s="8" customFormat="1" x14ac:dyDescent="0.2">
      <c r="A21548" s="6" t="str">
        <f>"CDKN2A"</f>
        <v>CDKN2A</v>
      </c>
      <c r="B21548" s="6" t="s">
        <v>1</v>
      </c>
      <c r="C21548" s="6" t="s">
        <v>1</v>
      </c>
    </row>
    <row r="21549" spans="1:3" s="8" customFormat="1" x14ac:dyDescent="0.2">
      <c r="A21549" s="6" t="str">
        <f>"MRPL45"</f>
        <v>MRPL45</v>
      </c>
      <c r="B21549" s="6" t="s">
        <v>1</v>
      </c>
      <c r="C21549" s="6" t="s">
        <v>1</v>
      </c>
    </row>
    <row r="21550" spans="1:3" s="8" customFormat="1" x14ac:dyDescent="0.2">
      <c r="A21550" s="6" t="str">
        <f>"ADORA2B"</f>
        <v>ADORA2B</v>
      </c>
      <c r="B21550" s="6" t="s">
        <v>1</v>
      </c>
      <c r="C21550" s="6" t="s">
        <v>1</v>
      </c>
    </row>
    <row r="21551" spans="1:3" s="8" customFormat="1" x14ac:dyDescent="0.2">
      <c r="A21551" s="6" t="str">
        <f>"ZNF621"</f>
        <v>ZNF621</v>
      </c>
      <c r="B21551" s="6" t="s">
        <v>1</v>
      </c>
      <c r="C21551" s="6" t="s">
        <v>1</v>
      </c>
    </row>
    <row r="21552" spans="1:3" s="8" customFormat="1" x14ac:dyDescent="0.2">
      <c r="A21552" s="6" t="str">
        <f>"HLTF"</f>
        <v>HLTF</v>
      </c>
      <c r="B21552" s="6" t="s">
        <v>1</v>
      </c>
      <c r="C21552" s="6" t="s">
        <v>1</v>
      </c>
    </row>
    <row r="21553" spans="1:3" s="8" customFormat="1" x14ac:dyDescent="0.2">
      <c r="A21553" s="6" t="str">
        <f>"DENND4B"</f>
        <v>DENND4B</v>
      </c>
      <c r="B21553" s="6" t="s">
        <v>1</v>
      </c>
      <c r="C21553" s="6" t="s">
        <v>1</v>
      </c>
    </row>
    <row r="21554" spans="1:3" s="8" customFormat="1" x14ac:dyDescent="0.2">
      <c r="A21554" s="6" t="str">
        <f>"CROCCP2"</f>
        <v>CROCCP2</v>
      </c>
      <c r="B21554" s="6" t="s">
        <v>1</v>
      </c>
      <c r="C21554" s="6" t="s">
        <v>1</v>
      </c>
    </row>
    <row r="21555" spans="1:3" s="8" customFormat="1" x14ac:dyDescent="0.2">
      <c r="A21555" s="6" t="str">
        <f>"LOXL4"</f>
        <v>LOXL4</v>
      </c>
      <c r="B21555" s="6" t="s">
        <v>1</v>
      </c>
      <c r="C21555" s="6" t="s">
        <v>1</v>
      </c>
    </row>
    <row r="21556" spans="1:3" s="8" customFormat="1" x14ac:dyDescent="0.2">
      <c r="A21556" s="6" t="str">
        <f>"CYP4F11"</f>
        <v>CYP4F11</v>
      </c>
      <c r="B21556" s="6" t="s">
        <v>1</v>
      </c>
      <c r="C21556" s="6" t="s">
        <v>1</v>
      </c>
    </row>
    <row r="21557" spans="1:3" s="8" customFormat="1" x14ac:dyDescent="0.2">
      <c r="A21557" s="6" t="str">
        <f>"MAK"</f>
        <v>MAK</v>
      </c>
      <c r="B21557" s="6" t="s">
        <v>1</v>
      </c>
      <c r="C21557" s="6" t="s">
        <v>1</v>
      </c>
    </row>
    <row r="21558" spans="1:3" s="8" customFormat="1" x14ac:dyDescent="0.2">
      <c r="A21558" s="6" t="str">
        <f>"CREB3L4"</f>
        <v>CREB3L4</v>
      </c>
      <c r="B21558" s="6" t="s">
        <v>1</v>
      </c>
      <c r="C21558" s="6" t="s">
        <v>1</v>
      </c>
    </row>
    <row r="21559" spans="1:3" s="8" customFormat="1" x14ac:dyDescent="0.2">
      <c r="A21559" s="6" t="str">
        <f>"APOBEC3A"</f>
        <v>APOBEC3A</v>
      </c>
      <c r="B21559" s="6" t="s">
        <v>1</v>
      </c>
      <c r="C21559" s="6" t="s">
        <v>1</v>
      </c>
    </row>
    <row r="21560" spans="1:3" s="8" customFormat="1" x14ac:dyDescent="0.2">
      <c r="A21560" s="6" t="str">
        <f>"STX2"</f>
        <v>STX2</v>
      </c>
      <c r="B21560" s="6" t="s">
        <v>1</v>
      </c>
      <c r="C21560" s="6" t="s">
        <v>1</v>
      </c>
    </row>
    <row r="21561" spans="1:3" s="8" customFormat="1" x14ac:dyDescent="0.2">
      <c r="A21561" s="6" t="str">
        <f>"ASNSD1"</f>
        <v>ASNSD1</v>
      </c>
      <c r="B21561" s="6" t="s">
        <v>1</v>
      </c>
      <c r="C21561" s="6" t="s">
        <v>1</v>
      </c>
    </row>
    <row r="21562" spans="1:3" s="8" customFormat="1" x14ac:dyDescent="0.2">
      <c r="A21562" s="6" t="str">
        <f>"MRPS2"</f>
        <v>MRPS2</v>
      </c>
      <c r="B21562" s="6" t="s">
        <v>1</v>
      </c>
      <c r="C21562" s="6" t="s">
        <v>1</v>
      </c>
    </row>
    <row r="21563" spans="1:3" s="8" customFormat="1" x14ac:dyDescent="0.2">
      <c r="A21563" s="6" t="str">
        <f>"HACD2"</f>
        <v>HACD2</v>
      </c>
      <c r="B21563" s="6" t="s">
        <v>1</v>
      </c>
      <c r="C21563" s="6" t="s">
        <v>1</v>
      </c>
    </row>
    <row r="21564" spans="1:3" s="8" customFormat="1" x14ac:dyDescent="0.2">
      <c r="A21564" s="6" t="str">
        <f>"FAAP20"</f>
        <v>FAAP20</v>
      </c>
      <c r="B21564" s="6" t="s">
        <v>1</v>
      </c>
      <c r="C21564" s="6" t="s">
        <v>1</v>
      </c>
    </row>
    <row r="21565" spans="1:3" s="8" customFormat="1" x14ac:dyDescent="0.2">
      <c r="A21565" s="6" t="str">
        <f>"REPS2"</f>
        <v>REPS2</v>
      </c>
      <c r="B21565" s="6" t="s">
        <v>1</v>
      </c>
      <c r="C21565" s="6" t="s">
        <v>1</v>
      </c>
    </row>
    <row r="21566" spans="1:3" s="8" customFormat="1" x14ac:dyDescent="0.2">
      <c r="A21566" s="6" t="str">
        <f>"ZNF266"</f>
        <v>ZNF266</v>
      </c>
      <c r="B21566" s="6" t="s">
        <v>1</v>
      </c>
      <c r="C21566" s="6" t="s">
        <v>1</v>
      </c>
    </row>
    <row r="21567" spans="1:3" s="8" customFormat="1" x14ac:dyDescent="0.2">
      <c r="A21567" s="6" t="str">
        <f>"C22orf39"</f>
        <v>C22orf39</v>
      </c>
      <c r="B21567" s="6" t="s">
        <v>1</v>
      </c>
      <c r="C21567" s="6" t="s">
        <v>1</v>
      </c>
    </row>
    <row r="21568" spans="1:3" s="8" customFormat="1" x14ac:dyDescent="0.2">
      <c r="A21568" s="6" t="str">
        <f>"MCRIP1"</f>
        <v>MCRIP1</v>
      </c>
      <c r="B21568" s="6" t="s">
        <v>1</v>
      </c>
      <c r="C21568" s="6" t="s">
        <v>1</v>
      </c>
    </row>
    <row r="21569" spans="1:3" s="8" customFormat="1" x14ac:dyDescent="0.2">
      <c r="A21569" s="6" t="str">
        <f>"ZNF587"</f>
        <v>ZNF587</v>
      </c>
      <c r="B21569" s="6" t="s">
        <v>1</v>
      </c>
      <c r="C21569" s="6" t="s">
        <v>1</v>
      </c>
    </row>
    <row r="21570" spans="1:3" s="8" customFormat="1" x14ac:dyDescent="0.2">
      <c r="A21570" s="6" t="str">
        <f>"LCA5L"</f>
        <v>LCA5L</v>
      </c>
      <c r="B21570" s="6" t="s">
        <v>1</v>
      </c>
      <c r="C21570" s="6" t="s">
        <v>1</v>
      </c>
    </row>
    <row r="21571" spans="1:3" s="8" customFormat="1" x14ac:dyDescent="0.2">
      <c r="A21571" s="6" t="str">
        <f>"PCK2"</f>
        <v>PCK2</v>
      </c>
      <c r="B21571" s="6" t="s">
        <v>1</v>
      </c>
      <c r="C21571" s="6" t="s">
        <v>1</v>
      </c>
    </row>
    <row r="21572" spans="1:3" s="8" customFormat="1" x14ac:dyDescent="0.2">
      <c r="A21572" s="6" t="str">
        <f>"MRPS23"</f>
        <v>MRPS23</v>
      </c>
      <c r="B21572" s="6" t="s">
        <v>1</v>
      </c>
      <c r="C21572" s="6" t="s">
        <v>1</v>
      </c>
    </row>
    <row r="21573" spans="1:3" s="8" customFormat="1" x14ac:dyDescent="0.2">
      <c r="A21573" s="6" t="str">
        <f>"BRAP"</f>
        <v>BRAP</v>
      </c>
      <c r="B21573" s="6" t="s">
        <v>1</v>
      </c>
      <c r="C21573" s="6" t="s">
        <v>1</v>
      </c>
    </row>
    <row r="21574" spans="1:3" s="8" customFormat="1" x14ac:dyDescent="0.2">
      <c r="A21574" s="6" t="str">
        <f>"FARSB"</f>
        <v>FARSB</v>
      </c>
      <c r="B21574" s="6" t="s">
        <v>1</v>
      </c>
      <c r="C21574" s="6" t="s">
        <v>1</v>
      </c>
    </row>
    <row r="21575" spans="1:3" s="8" customFormat="1" x14ac:dyDescent="0.2">
      <c r="A21575" s="6" t="str">
        <f>"ENDOG"</f>
        <v>ENDOG</v>
      </c>
      <c r="B21575" s="6" t="s">
        <v>1</v>
      </c>
      <c r="C21575" s="6" t="s">
        <v>1</v>
      </c>
    </row>
    <row r="21576" spans="1:3" s="8" customFormat="1" x14ac:dyDescent="0.2">
      <c r="A21576" s="6" t="str">
        <f>"LMBRD2"</f>
        <v>LMBRD2</v>
      </c>
      <c r="B21576" s="6" t="s">
        <v>1</v>
      </c>
      <c r="C21576" s="6" t="s">
        <v>1</v>
      </c>
    </row>
    <row r="21577" spans="1:3" s="8" customFormat="1" x14ac:dyDescent="0.2">
      <c r="A21577" s="6" t="str">
        <f>"MCCC1"</f>
        <v>MCCC1</v>
      </c>
      <c r="B21577" s="6" t="s">
        <v>1</v>
      </c>
      <c r="C21577" s="6" t="s">
        <v>1</v>
      </c>
    </row>
    <row r="21578" spans="1:3" s="8" customFormat="1" x14ac:dyDescent="0.2">
      <c r="A21578" s="6" t="str">
        <f>"GABPB2"</f>
        <v>GABPB2</v>
      </c>
      <c r="B21578" s="6" t="s">
        <v>1</v>
      </c>
      <c r="C21578" s="6" t="s">
        <v>1</v>
      </c>
    </row>
    <row r="21579" spans="1:3" s="8" customFormat="1" x14ac:dyDescent="0.2">
      <c r="A21579" s="6" t="str">
        <f>"VIPR1"</f>
        <v>VIPR1</v>
      </c>
      <c r="B21579" s="6" t="s">
        <v>1</v>
      </c>
      <c r="C21579" s="6" t="s">
        <v>1</v>
      </c>
    </row>
    <row r="21580" spans="1:3" s="8" customFormat="1" x14ac:dyDescent="0.2">
      <c r="A21580" s="6" t="str">
        <f>"TREX1"</f>
        <v>TREX1</v>
      </c>
      <c r="B21580" s="6" t="s">
        <v>1</v>
      </c>
      <c r="C21580" s="6" t="s">
        <v>1</v>
      </c>
    </row>
    <row r="21581" spans="1:3" s="8" customFormat="1" x14ac:dyDescent="0.2">
      <c r="A21581" s="6" t="str">
        <f>"FAM104B"</f>
        <v>FAM104B</v>
      </c>
      <c r="B21581" s="6" t="s">
        <v>1</v>
      </c>
      <c r="C21581" s="6" t="s">
        <v>1</v>
      </c>
    </row>
    <row r="21582" spans="1:3" s="8" customFormat="1" x14ac:dyDescent="0.2">
      <c r="A21582" s="6" t="str">
        <f>"MKRN2"</f>
        <v>MKRN2</v>
      </c>
      <c r="B21582" s="6" t="s">
        <v>1</v>
      </c>
      <c r="C21582" s="6" t="s">
        <v>1</v>
      </c>
    </row>
    <row r="21583" spans="1:3" s="8" customFormat="1" x14ac:dyDescent="0.2">
      <c r="A21583" s="6" t="str">
        <f>"EBAG9"</f>
        <v>EBAG9</v>
      </c>
      <c r="B21583" s="6" t="s">
        <v>1</v>
      </c>
      <c r="C21583" s="6" t="s">
        <v>1</v>
      </c>
    </row>
    <row r="21584" spans="1:3" s="8" customFormat="1" x14ac:dyDescent="0.2">
      <c r="A21584" s="6" t="str">
        <f>"THAP7"</f>
        <v>THAP7</v>
      </c>
      <c r="B21584" s="6" t="s">
        <v>1</v>
      </c>
      <c r="C21584" s="6" t="s">
        <v>1</v>
      </c>
    </row>
    <row r="21585" spans="1:3" s="8" customFormat="1" x14ac:dyDescent="0.2">
      <c r="A21585" s="6" t="str">
        <f>"IFI35"</f>
        <v>IFI35</v>
      </c>
      <c r="B21585" s="6" t="s">
        <v>1</v>
      </c>
      <c r="C21585" s="6" t="s">
        <v>1</v>
      </c>
    </row>
    <row r="21586" spans="1:3" s="8" customFormat="1" x14ac:dyDescent="0.2">
      <c r="A21586" s="6" t="str">
        <f>"KITLG"</f>
        <v>KITLG</v>
      </c>
      <c r="B21586" s="6" t="s">
        <v>1</v>
      </c>
      <c r="C21586" s="6" t="s">
        <v>1</v>
      </c>
    </row>
    <row r="21587" spans="1:3" s="8" customFormat="1" x14ac:dyDescent="0.2">
      <c r="A21587" s="6" t="str">
        <f>"SMARCAD1"</f>
        <v>SMARCAD1</v>
      </c>
      <c r="B21587" s="6" t="s">
        <v>1</v>
      </c>
      <c r="C21587" s="6" t="s">
        <v>1</v>
      </c>
    </row>
    <row r="21588" spans="1:3" s="8" customFormat="1" x14ac:dyDescent="0.2">
      <c r="A21588" s="6" t="str">
        <f>"TMEM138"</f>
        <v>TMEM138</v>
      </c>
      <c r="B21588" s="6" t="s">
        <v>1</v>
      </c>
      <c r="C21588" s="6" t="s">
        <v>1</v>
      </c>
    </row>
    <row r="21589" spans="1:3" s="8" customFormat="1" x14ac:dyDescent="0.2">
      <c r="A21589" s="6" t="str">
        <f>"GIPR"</f>
        <v>GIPR</v>
      </c>
      <c r="B21589" s="6" t="s">
        <v>1</v>
      </c>
      <c r="C21589" s="6" t="s">
        <v>1</v>
      </c>
    </row>
    <row r="21590" spans="1:3" s="8" customFormat="1" x14ac:dyDescent="0.2">
      <c r="A21590" s="6" t="str">
        <f>"MRPL53"</f>
        <v>MRPL53</v>
      </c>
      <c r="B21590" s="6" t="s">
        <v>1</v>
      </c>
      <c r="C21590" s="6" t="s">
        <v>1</v>
      </c>
    </row>
    <row r="21591" spans="1:3" s="8" customFormat="1" x14ac:dyDescent="0.2">
      <c r="A21591" s="6" t="str">
        <f>"BBIP1"</f>
        <v>BBIP1</v>
      </c>
      <c r="B21591" s="6" t="s">
        <v>1</v>
      </c>
      <c r="C21591" s="6" t="s">
        <v>1</v>
      </c>
    </row>
    <row r="21592" spans="1:3" s="8" customFormat="1" x14ac:dyDescent="0.2">
      <c r="A21592" s="6" t="str">
        <f>"TTC5"</f>
        <v>TTC5</v>
      </c>
      <c r="B21592" s="6" t="s">
        <v>1</v>
      </c>
      <c r="C21592" s="6" t="s">
        <v>1</v>
      </c>
    </row>
    <row r="21593" spans="1:3" s="8" customFormat="1" x14ac:dyDescent="0.2">
      <c r="A21593" s="6" t="str">
        <f>"KATNAL2"</f>
        <v>KATNAL2</v>
      </c>
      <c r="B21593" s="6" t="s">
        <v>1</v>
      </c>
      <c r="C21593" s="6" t="s">
        <v>1</v>
      </c>
    </row>
    <row r="21594" spans="1:3" s="8" customFormat="1" x14ac:dyDescent="0.2">
      <c r="A21594" s="6" t="str">
        <f>"EMG1"</f>
        <v>EMG1</v>
      </c>
      <c r="B21594" s="6" t="s">
        <v>1</v>
      </c>
      <c r="C21594" s="6" t="s">
        <v>1</v>
      </c>
    </row>
    <row r="21595" spans="1:3" s="8" customFormat="1" x14ac:dyDescent="0.2">
      <c r="A21595" s="6" t="str">
        <f>"B9D2"</f>
        <v>B9D2</v>
      </c>
      <c r="B21595" s="6" t="s">
        <v>1</v>
      </c>
      <c r="C21595" s="6" t="s">
        <v>1</v>
      </c>
    </row>
    <row r="21596" spans="1:3" s="8" customFormat="1" x14ac:dyDescent="0.2">
      <c r="A21596" s="6" t="str">
        <f>"LEO1"</f>
        <v>LEO1</v>
      </c>
      <c r="B21596" s="6" t="s">
        <v>1</v>
      </c>
      <c r="C21596" s="6" t="s">
        <v>1</v>
      </c>
    </row>
    <row r="21597" spans="1:3" s="8" customFormat="1" x14ac:dyDescent="0.2">
      <c r="A21597" s="6" t="str">
        <f>"RPRM"</f>
        <v>RPRM</v>
      </c>
      <c r="B21597" s="6" t="s">
        <v>1</v>
      </c>
      <c r="C21597" s="6" t="s">
        <v>1</v>
      </c>
    </row>
    <row r="21598" spans="1:3" s="8" customFormat="1" x14ac:dyDescent="0.2">
      <c r="A21598" s="6" t="str">
        <f>"EZH1"</f>
        <v>EZH1</v>
      </c>
      <c r="B21598" s="6" t="s">
        <v>1</v>
      </c>
      <c r="C21598" s="6" t="s">
        <v>1</v>
      </c>
    </row>
    <row r="21599" spans="1:3" s="8" customFormat="1" x14ac:dyDescent="0.2">
      <c r="A21599" s="6" t="str">
        <f>"HNMT"</f>
        <v>HNMT</v>
      </c>
      <c r="B21599" s="6" t="s">
        <v>1</v>
      </c>
      <c r="C21599" s="6" t="s">
        <v>1</v>
      </c>
    </row>
    <row r="21600" spans="1:3" s="8" customFormat="1" x14ac:dyDescent="0.2">
      <c r="A21600" s="6" t="str">
        <f>"TRIM21"</f>
        <v>TRIM21</v>
      </c>
      <c r="B21600" s="6" t="s">
        <v>1</v>
      </c>
      <c r="C21600" s="6" t="s">
        <v>1</v>
      </c>
    </row>
    <row r="21601" spans="1:3" s="8" customFormat="1" x14ac:dyDescent="0.2">
      <c r="A21601" s="6" t="str">
        <f>"FASTKD2"</f>
        <v>FASTKD2</v>
      </c>
      <c r="B21601" s="6" t="s">
        <v>1</v>
      </c>
      <c r="C21601" s="6" t="s">
        <v>1</v>
      </c>
    </row>
    <row r="21602" spans="1:3" s="8" customFormat="1" x14ac:dyDescent="0.2">
      <c r="A21602" s="6" t="str">
        <f>"PROSER3"</f>
        <v>PROSER3</v>
      </c>
      <c r="B21602" s="6" t="s">
        <v>1</v>
      </c>
      <c r="C21602" s="6" t="s">
        <v>1</v>
      </c>
    </row>
    <row r="21603" spans="1:3" s="8" customFormat="1" x14ac:dyDescent="0.2">
      <c r="A21603" s="6" t="str">
        <f>"RNF138"</f>
        <v>RNF138</v>
      </c>
      <c r="B21603" s="6" t="s">
        <v>1</v>
      </c>
      <c r="C21603" s="6" t="s">
        <v>1</v>
      </c>
    </row>
    <row r="21604" spans="1:3" s="8" customFormat="1" x14ac:dyDescent="0.2">
      <c r="A21604" s="6" t="str">
        <f>"RFK"</f>
        <v>RFK</v>
      </c>
      <c r="B21604" s="6" t="s">
        <v>1</v>
      </c>
      <c r="C21604" s="6" t="s">
        <v>1</v>
      </c>
    </row>
    <row r="21605" spans="1:3" s="8" customFormat="1" x14ac:dyDescent="0.2">
      <c r="A21605" s="6" t="str">
        <f>"CCNT1"</f>
        <v>CCNT1</v>
      </c>
      <c r="B21605" s="6" t="s">
        <v>1</v>
      </c>
      <c r="C21605" s="6" t="s">
        <v>1</v>
      </c>
    </row>
    <row r="21606" spans="1:3" s="8" customFormat="1" x14ac:dyDescent="0.2">
      <c r="A21606" s="6" t="str">
        <f>"MRPL44"</f>
        <v>MRPL44</v>
      </c>
      <c r="B21606" s="6" t="s">
        <v>1</v>
      </c>
      <c r="C21606" s="6" t="s">
        <v>1</v>
      </c>
    </row>
    <row r="21607" spans="1:3" s="8" customFormat="1" x14ac:dyDescent="0.2">
      <c r="A21607" s="6" t="str">
        <f>"CRNKL1"</f>
        <v>CRNKL1</v>
      </c>
      <c r="B21607" s="6" t="s">
        <v>1</v>
      </c>
      <c r="C21607" s="6" t="s">
        <v>1</v>
      </c>
    </row>
    <row r="21608" spans="1:3" s="8" customFormat="1" x14ac:dyDescent="0.2">
      <c r="A21608" s="6" t="str">
        <f>"PAFAH2"</f>
        <v>PAFAH2</v>
      </c>
      <c r="B21608" s="6" t="s">
        <v>1</v>
      </c>
      <c r="C21608" s="6" t="s">
        <v>1</v>
      </c>
    </row>
    <row r="21609" spans="1:3" s="8" customFormat="1" x14ac:dyDescent="0.2">
      <c r="A21609" s="6" t="str">
        <f>"SAMD1"</f>
        <v>SAMD1</v>
      </c>
      <c r="B21609" s="6" t="s">
        <v>1</v>
      </c>
      <c r="C21609" s="6" t="s">
        <v>1</v>
      </c>
    </row>
    <row r="21610" spans="1:3" s="8" customFormat="1" x14ac:dyDescent="0.2">
      <c r="A21610" s="6" t="str">
        <f>"GLRX5"</f>
        <v>GLRX5</v>
      </c>
      <c r="B21610" s="6" t="s">
        <v>1</v>
      </c>
      <c r="C21610" s="6" t="s">
        <v>1</v>
      </c>
    </row>
    <row r="21611" spans="1:3" s="8" customFormat="1" x14ac:dyDescent="0.2">
      <c r="A21611" s="6" t="str">
        <f>"ALG5"</f>
        <v>ALG5</v>
      </c>
      <c r="B21611" s="6" t="s">
        <v>1</v>
      </c>
      <c r="C21611" s="6" t="s">
        <v>1</v>
      </c>
    </row>
    <row r="21612" spans="1:3" s="8" customFormat="1" x14ac:dyDescent="0.2">
      <c r="A21612" s="6" t="str">
        <f>"DDX50"</f>
        <v>DDX50</v>
      </c>
      <c r="B21612" s="6" t="s">
        <v>1</v>
      </c>
      <c r="C21612" s="6" t="s">
        <v>1</v>
      </c>
    </row>
    <row r="21613" spans="1:3" s="8" customFormat="1" x14ac:dyDescent="0.2">
      <c r="A21613" s="6" t="str">
        <f>"DDX52"</f>
        <v>DDX52</v>
      </c>
      <c r="B21613" s="6" t="s">
        <v>1</v>
      </c>
      <c r="C21613" s="6" t="s">
        <v>1</v>
      </c>
    </row>
    <row r="21614" spans="1:3" s="8" customFormat="1" x14ac:dyDescent="0.2">
      <c r="A21614" s="6" t="str">
        <f>"PRMT7"</f>
        <v>PRMT7</v>
      </c>
      <c r="B21614" s="6" t="s">
        <v>1</v>
      </c>
      <c r="C21614" s="6" t="s">
        <v>1</v>
      </c>
    </row>
    <row r="21615" spans="1:3" s="8" customFormat="1" x14ac:dyDescent="0.2">
      <c r="A21615" s="6" t="str">
        <f>"FBLN1"</f>
        <v>FBLN1</v>
      </c>
      <c r="B21615" s="6" t="s">
        <v>1</v>
      </c>
      <c r="C21615" s="6" t="s">
        <v>1</v>
      </c>
    </row>
    <row r="21616" spans="1:3" s="8" customFormat="1" x14ac:dyDescent="0.2">
      <c r="A21616" s="6" t="str">
        <f>"TTC8"</f>
        <v>TTC8</v>
      </c>
      <c r="B21616" s="6" t="s">
        <v>1</v>
      </c>
      <c r="C21616" s="6" t="s">
        <v>1</v>
      </c>
    </row>
    <row r="21617" spans="1:3" s="8" customFormat="1" x14ac:dyDescent="0.2">
      <c r="A21617" s="6" t="str">
        <f>"RNF169"</f>
        <v>RNF169</v>
      </c>
      <c r="B21617" s="6" t="s">
        <v>1</v>
      </c>
      <c r="C21617" s="6" t="s">
        <v>1</v>
      </c>
    </row>
    <row r="21618" spans="1:3" s="8" customFormat="1" x14ac:dyDescent="0.2">
      <c r="A21618" s="6" t="str">
        <f>"TGFBR1"</f>
        <v>TGFBR1</v>
      </c>
      <c r="B21618" s="6" t="s">
        <v>1</v>
      </c>
      <c r="C21618" s="6" t="s">
        <v>1</v>
      </c>
    </row>
    <row r="21619" spans="1:3" s="8" customFormat="1" x14ac:dyDescent="0.2">
      <c r="A21619" s="6" t="str">
        <f>"MCM9"</f>
        <v>MCM9</v>
      </c>
      <c r="B21619" s="6" t="s">
        <v>1</v>
      </c>
      <c r="C21619" s="6" t="s">
        <v>1</v>
      </c>
    </row>
    <row r="21620" spans="1:3" s="8" customFormat="1" x14ac:dyDescent="0.2">
      <c r="A21620" s="6" t="str">
        <f>"NOL11"</f>
        <v>NOL11</v>
      </c>
      <c r="B21620" s="6" t="s">
        <v>1</v>
      </c>
      <c r="C21620" s="6" t="s">
        <v>1</v>
      </c>
    </row>
    <row r="21621" spans="1:3" s="8" customFormat="1" x14ac:dyDescent="0.2">
      <c r="A21621" s="6" t="str">
        <f>"EDC3"</f>
        <v>EDC3</v>
      </c>
      <c r="B21621" s="6" t="s">
        <v>1</v>
      </c>
      <c r="C21621" s="6" t="s">
        <v>1</v>
      </c>
    </row>
    <row r="21622" spans="1:3" s="8" customFormat="1" x14ac:dyDescent="0.2">
      <c r="A21622" s="6" t="str">
        <f>"DEXI"</f>
        <v>DEXI</v>
      </c>
      <c r="B21622" s="6" t="s">
        <v>1</v>
      </c>
      <c r="C21622" s="6" t="s">
        <v>1</v>
      </c>
    </row>
    <row r="21623" spans="1:3" s="8" customFormat="1" x14ac:dyDescent="0.2">
      <c r="A21623" s="6" t="str">
        <f>"DNAJC4"</f>
        <v>DNAJC4</v>
      </c>
      <c r="B21623" s="6" t="s">
        <v>1</v>
      </c>
      <c r="C21623" s="6" t="s">
        <v>1</v>
      </c>
    </row>
    <row r="21624" spans="1:3" s="8" customFormat="1" x14ac:dyDescent="0.2">
      <c r="A21624" s="6" t="str">
        <f>"IQCH"</f>
        <v>IQCH</v>
      </c>
      <c r="B21624" s="6" t="s">
        <v>1</v>
      </c>
      <c r="C21624" s="6" t="s">
        <v>1</v>
      </c>
    </row>
    <row r="21625" spans="1:3" s="8" customFormat="1" x14ac:dyDescent="0.2">
      <c r="A21625" s="6" t="str">
        <f>"ENOPH1"</f>
        <v>ENOPH1</v>
      </c>
      <c r="B21625" s="6" t="s">
        <v>1</v>
      </c>
      <c r="C21625" s="6" t="s">
        <v>1</v>
      </c>
    </row>
    <row r="21626" spans="1:3" s="8" customFormat="1" x14ac:dyDescent="0.2">
      <c r="A21626" s="6" t="str">
        <f>"PCGF2"</f>
        <v>PCGF2</v>
      </c>
      <c r="B21626" s="6" t="s">
        <v>1</v>
      </c>
      <c r="C21626" s="6" t="s">
        <v>1</v>
      </c>
    </row>
    <row r="21627" spans="1:3" s="8" customFormat="1" x14ac:dyDescent="0.2">
      <c r="A21627" s="6" t="str">
        <f>"CEBPA"</f>
        <v>CEBPA</v>
      </c>
      <c r="B21627" s="6" t="s">
        <v>1</v>
      </c>
      <c r="C21627" s="6" t="s">
        <v>1</v>
      </c>
    </row>
    <row r="21628" spans="1:3" s="8" customFormat="1" x14ac:dyDescent="0.2">
      <c r="A21628" s="6" t="str">
        <f>"ZXDC"</f>
        <v>ZXDC</v>
      </c>
      <c r="B21628" s="6" t="s">
        <v>1</v>
      </c>
      <c r="C21628" s="6" t="s">
        <v>1</v>
      </c>
    </row>
    <row r="21629" spans="1:3" s="8" customFormat="1" x14ac:dyDescent="0.2">
      <c r="A21629" s="6" t="str">
        <f>"SHFL"</f>
        <v>SHFL</v>
      </c>
      <c r="B21629" s="6" t="s">
        <v>1</v>
      </c>
      <c r="C21629" s="6" t="s">
        <v>1</v>
      </c>
    </row>
    <row r="21630" spans="1:3" s="8" customFormat="1" x14ac:dyDescent="0.2">
      <c r="A21630" s="6" t="str">
        <f>"ZYG11B"</f>
        <v>ZYG11B</v>
      </c>
      <c r="B21630" s="6" t="s">
        <v>1</v>
      </c>
      <c r="C21630" s="6" t="s">
        <v>1</v>
      </c>
    </row>
    <row r="21631" spans="1:3" s="8" customFormat="1" x14ac:dyDescent="0.2">
      <c r="A21631" s="6" t="str">
        <f>"RELL1"</f>
        <v>RELL1</v>
      </c>
      <c r="B21631" s="6" t="s">
        <v>1</v>
      </c>
      <c r="C21631" s="6" t="s">
        <v>1</v>
      </c>
    </row>
    <row r="21632" spans="1:3" s="8" customFormat="1" x14ac:dyDescent="0.2">
      <c r="A21632" s="6" t="str">
        <f>"APOBEC3G"</f>
        <v>APOBEC3G</v>
      </c>
      <c r="B21632" s="6" t="s">
        <v>1</v>
      </c>
      <c r="C21632" s="6" t="s">
        <v>1</v>
      </c>
    </row>
    <row r="21633" spans="1:3" s="8" customFormat="1" x14ac:dyDescent="0.2">
      <c r="A21633" s="6" t="str">
        <f>"HCG18"</f>
        <v>HCG18</v>
      </c>
      <c r="B21633" s="6" t="s">
        <v>1</v>
      </c>
      <c r="C21633" s="6" t="s">
        <v>1</v>
      </c>
    </row>
    <row r="21634" spans="1:3" s="8" customFormat="1" x14ac:dyDescent="0.2">
      <c r="A21634" s="6" t="str">
        <f>"RNF181"</f>
        <v>RNF181</v>
      </c>
      <c r="B21634" s="6" t="s">
        <v>1</v>
      </c>
      <c r="C21634" s="6" t="s">
        <v>1</v>
      </c>
    </row>
    <row r="21635" spans="1:3" s="8" customFormat="1" x14ac:dyDescent="0.2">
      <c r="A21635" s="6" t="str">
        <f>"ECSIT"</f>
        <v>ECSIT</v>
      </c>
      <c r="B21635" s="6" t="s">
        <v>1</v>
      </c>
      <c r="C21635" s="6" t="s">
        <v>1</v>
      </c>
    </row>
    <row r="21636" spans="1:3" s="8" customFormat="1" x14ac:dyDescent="0.2">
      <c r="A21636" s="6" t="str">
        <f>"FLAD1"</f>
        <v>FLAD1</v>
      </c>
      <c r="B21636" s="6" t="s">
        <v>1</v>
      </c>
      <c r="C21636" s="6" t="s">
        <v>1</v>
      </c>
    </row>
    <row r="21637" spans="1:3" s="8" customFormat="1" x14ac:dyDescent="0.2">
      <c r="A21637" s="6" t="str">
        <f>"MRPL52"</f>
        <v>MRPL52</v>
      </c>
      <c r="B21637" s="6" t="s">
        <v>1</v>
      </c>
      <c r="C21637" s="6" t="s">
        <v>1</v>
      </c>
    </row>
    <row r="21638" spans="1:3" s="8" customFormat="1" x14ac:dyDescent="0.2">
      <c r="A21638" s="6" t="str">
        <f>"ZNF271P"</f>
        <v>ZNF271P</v>
      </c>
      <c r="B21638" s="6" t="s">
        <v>1</v>
      </c>
      <c r="C21638" s="6" t="s">
        <v>1</v>
      </c>
    </row>
    <row r="21639" spans="1:3" s="8" customFormat="1" x14ac:dyDescent="0.2">
      <c r="A21639" s="6" t="str">
        <f>"HCCS"</f>
        <v>HCCS</v>
      </c>
      <c r="B21639" s="6" t="s">
        <v>1</v>
      </c>
      <c r="C21639" s="6" t="s">
        <v>1</v>
      </c>
    </row>
    <row r="21640" spans="1:3" s="8" customFormat="1" x14ac:dyDescent="0.2">
      <c r="A21640" s="6" t="str">
        <f>"FLCN"</f>
        <v>FLCN</v>
      </c>
      <c r="B21640" s="6" t="s">
        <v>1</v>
      </c>
      <c r="C21640" s="6" t="s">
        <v>1</v>
      </c>
    </row>
    <row r="21641" spans="1:3" s="8" customFormat="1" x14ac:dyDescent="0.2">
      <c r="A21641" s="6" t="str">
        <f>"RALGPS1"</f>
        <v>RALGPS1</v>
      </c>
      <c r="B21641" s="6" t="s">
        <v>1</v>
      </c>
      <c r="C21641" s="6" t="s">
        <v>1</v>
      </c>
    </row>
    <row r="21642" spans="1:3" s="8" customFormat="1" x14ac:dyDescent="0.2">
      <c r="A21642" s="6" t="str">
        <f>"NUP50-DT"</f>
        <v>NUP50-DT</v>
      </c>
      <c r="B21642" s="6" t="s">
        <v>1</v>
      </c>
      <c r="C21642" s="6" t="s">
        <v>1</v>
      </c>
    </row>
    <row r="21643" spans="1:3" s="8" customFormat="1" x14ac:dyDescent="0.2">
      <c r="A21643" s="6" t="str">
        <f>"TBC1D22B"</f>
        <v>TBC1D22B</v>
      </c>
      <c r="B21643" s="6" t="s">
        <v>1</v>
      </c>
      <c r="C21643" s="6" t="s">
        <v>1</v>
      </c>
    </row>
    <row r="21644" spans="1:3" s="8" customFormat="1" x14ac:dyDescent="0.2">
      <c r="A21644" s="6" t="str">
        <f>"DENND2C"</f>
        <v>DENND2C</v>
      </c>
      <c r="B21644" s="6" t="s">
        <v>1</v>
      </c>
      <c r="C21644" s="6" t="s">
        <v>1</v>
      </c>
    </row>
    <row r="21645" spans="1:3" s="8" customFormat="1" x14ac:dyDescent="0.2">
      <c r="A21645" s="6" t="str">
        <f>"BAX"</f>
        <v>BAX</v>
      </c>
      <c r="B21645" s="6" t="s">
        <v>1</v>
      </c>
      <c r="C21645" s="6" t="s">
        <v>1</v>
      </c>
    </row>
    <row r="21646" spans="1:3" s="8" customFormat="1" x14ac:dyDescent="0.2">
      <c r="A21646" s="6" t="str">
        <f>"GJB3"</f>
        <v>GJB3</v>
      </c>
      <c r="B21646" s="6" t="s">
        <v>1</v>
      </c>
      <c r="C21646" s="6" t="s">
        <v>1</v>
      </c>
    </row>
    <row r="21647" spans="1:3" s="8" customFormat="1" x14ac:dyDescent="0.2">
      <c r="A21647" s="6" t="str">
        <f>"LNPK"</f>
        <v>LNPK</v>
      </c>
      <c r="B21647" s="6" t="s">
        <v>1</v>
      </c>
      <c r="C21647" s="6" t="s">
        <v>1</v>
      </c>
    </row>
    <row r="21648" spans="1:3" s="8" customFormat="1" x14ac:dyDescent="0.2">
      <c r="A21648" s="6" t="str">
        <f>"ZC3H3"</f>
        <v>ZC3H3</v>
      </c>
      <c r="B21648" s="6" t="s">
        <v>1</v>
      </c>
      <c r="C21648" s="6" t="s">
        <v>1</v>
      </c>
    </row>
    <row r="21649" spans="1:3" s="8" customFormat="1" x14ac:dyDescent="0.2">
      <c r="A21649" s="6" t="str">
        <f>"MRPL9"</f>
        <v>MRPL9</v>
      </c>
      <c r="B21649" s="6" t="s">
        <v>1</v>
      </c>
      <c r="C21649" s="6" t="s">
        <v>1</v>
      </c>
    </row>
    <row r="21650" spans="1:3" s="8" customFormat="1" x14ac:dyDescent="0.2">
      <c r="A21650" s="6" t="str">
        <f>"SACM1L"</f>
        <v>SACM1L</v>
      </c>
      <c r="B21650" s="6" t="s">
        <v>1</v>
      </c>
      <c r="C21650" s="6" t="s">
        <v>1</v>
      </c>
    </row>
    <row r="21651" spans="1:3" s="8" customFormat="1" x14ac:dyDescent="0.2">
      <c r="A21651" s="6" t="str">
        <f>"NUP155"</f>
        <v>NUP155</v>
      </c>
      <c r="B21651" s="6" t="s">
        <v>1</v>
      </c>
      <c r="C21651" s="6" t="s">
        <v>1</v>
      </c>
    </row>
    <row r="21652" spans="1:3" s="8" customFormat="1" x14ac:dyDescent="0.2">
      <c r="A21652" s="6" t="str">
        <f>"MCC"</f>
        <v>MCC</v>
      </c>
      <c r="B21652" s="6" t="s">
        <v>1</v>
      </c>
      <c r="C21652" s="6" t="s">
        <v>1</v>
      </c>
    </row>
    <row r="21653" spans="1:3" s="8" customFormat="1" x14ac:dyDescent="0.2">
      <c r="A21653" s="6" t="str">
        <f>"FZD1"</f>
        <v>FZD1</v>
      </c>
      <c r="B21653" s="6" t="s">
        <v>1</v>
      </c>
      <c r="C21653" s="6" t="s">
        <v>1</v>
      </c>
    </row>
    <row r="21654" spans="1:3" s="8" customFormat="1" x14ac:dyDescent="0.2">
      <c r="A21654" s="6" t="str">
        <f>"MRPS33"</f>
        <v>MRPS33</v>
      </c>
      <c r="B21654" s="6" t="s">
        <v>1</v>
      </c>
      <c r="C21654" s="6" t="s">
        <v>1</v>
      </c>
    </row>
    <row r="21655" spans="1:3" s="8" customFormat="1" x14ac:dyDescent="0.2">
      <c r="A21655" s="6" t="str">
        <f>"ADNP2"</f>
        <v>ADNP2</v>
      </c>
      <c r="B21655" s="6" t="s">
        <v>1</v>
      </c>
      <c r="C21655" s="6" t="s">
        <v>1</v>
      </c>
    </row>
    <row r="21656" spans="1:3" s="8" customFormat="1" x14ac:dyDescent="0.2">
      <c r="A21656" s="6" t="str">
        <f>"SHLD2"</f>
        <v>SHLD2</v>
      </c>
      <c r="B21656" s="6" t="s">
        <v>1</v>
      </c>
      <c r="C21656" s="6" t="s">
        <v>1</v>
      </c>
    </row>
    <row r="21657" spans="1:3" s="8" customFormat="1" x14ac:dyDescent="0.2">
      <c r="A21657" s="6" t="str">
        <f>"MRTO4"</f>
        <v>MRTO4</v>
      </c>
      <c r="B21657" s="6" t="s">
        <v>1</v>
      </c>
      <c r="C21657" s="6" t="s">
        <v>1</v>
      </c>
    </row>
    <row r="21658" spans="1:3" s="8" customFormat="1" x14ac:dyDescent="0.2">
      <c r="A21658" s="6" t="str">
        <f>"UGDH-AS1"</f>
        <v>UGDH-AS1</v>
      </c>
      <c r="B21658" s="6" t="s">
        <v>1</v>
      </c>
      <c r="C21658" s="6" t="s">
        <v>1</v>
      </c>
    </row>
    <row r="21659" spans="1:3" s="8" customFormat="1" x14ac:dyDescent="0.2">
      <c r="A21659" s="6" t="str">
        <f>"TBC1D23"</f>
        <v>TBC1D23</v>
      </c>
      <c r="B21659" s="6" t="s">
        <v>1</v>
      </c>
      <c r="C21659" s="6" t="s">
        <v>1</v>
      </c>
    </row>
    <row r="21660" spans="1:3" s="8" customFormat="1" x14ac:dyDescent="0.2">
      <c r="A21660" s="6" t="str">
        <f>"PRKRIP1"</f>
        <v>PRKRIP1</v>
      </c>
      <c r="B21660" s="6" t="s">
        <v>1</v>
      </c>
      <c r="C21660" s="6" t="s">
        <v>1</v>
      </c>
    </row>
    <row r="21661" spans="1:3" s="8" customFormat="1" x14ac:dyDescent="0.2">
      <c r="A21661" s="6" t="str">
        <f>"ZNF263"</f>
        <v>ZNF263</v>
      </c>
      <c r="B21661" s="6" t="s">
        <v>1</v>
      </c>
      <c r="C21661" s="6" t="s">
        <v>1</v>
      </c>
    </row>
    <row r="21662" spans="1:3" s="8" customFormat="1" x14ac:dyDescent="0.2">
      <c r="A21662" s="6" t="str">
        <f>"ZNF268"</f>
        <v>ZNF268</v>
      </c>
      <c r="B21662" s="6" t="s">
        <v>1</v>
      </c>
      <c r="C21662" s="6" t="s">
        <v>1</v>
      </c>
    </row>
    <row r="21663" spans="1:3" s="8" customFormat="1" x14ac:dyDescent="0.2">
      <c r="A21663" s="6" t="str">
        <f>"DESI2"</f>
        <v>DESI2</v>
      </c>
      <c r="B21663" s="6" t="s">
        <v>1</v>
      </c>
      <c r="C21663" s="6" t="s">
        <v>1</v>
      </c>
    </row>
    <row r="21664" spans="1:3" s="8" customFormat="1" x14ac:dyDescent="0.2">
      <c r="A21664" s="6" t="str">
        <f>"STX17"</f>
        <v>STX17</v>
      </c>
      <c r="B21664" s="6" t="s">
        <v>1</v>
      </c>
      <c r="C21664" s="6" t="s">
        <v>1</v>
      </c>
    </row>
    <row r="21665" spans="1:3" s="8" customFormat="1" x14ac:dyDescent="0.2">
      <c r="A21665" s="6" t="str">
        <f>"ECM1"</f>
        <v>ECM1</v>
      </c>
      <c r="B21665" s="6" t="s">
        <v>1</v>
      </c>
      <c r="C21665" s="6" t="s">
        <v>1</v>
      </c>
    </row>
    <row r="21666" spans="1:3" s="8" customFormat="1" x14ac:dyDescent="0.2">
      <c r="A21666" s="6" t="str">
        <f>"IFRD1"</f>
        <v>IFRD1</v>
      </c>
      <c r="B21666" s="6" t="s">
        <v>1</v>
      </c>
      <c r="C21666" s="6" t="s">
        <v>1</v>
      </c>
    </row>
    <row r="21667" spans="1:3" s="8" customFormat="1" x14ac:dyDescent="0.2">
      <c r="A21667" s="6" t="str">
        <f>"GALM"</f>
        <v>GALM</v>
      </c>
      <c r="B21667" s="6" t="s">
        <v>1</v>
      </c>
      <c r="C21667" s="6" t="s">
        <v>1</v>
      </c>
    </row>
    <row r="21668" spans="1:3" s="8" customFormat="1" x14ac:dyDescent="0.2">
      <c r="A21668" s="6" t="str">
        <f>"LINC01002"</f>
        <v>LINC01002</v>
      </c>
      <c r="B21668" s="6" t="s">
        <v>1</v>
      </c>
      <c r="C21668" s="6" t="s">
        <v>1</v>
      </c>
    </row>
    <row r="21669" spans="1:3" s="8" customFormat="1" x14ac:dyDescent="0.2">
      <c r="A21669" s="6" t="str">
        <f>"GRAMD1A"</f>
        <v>GRAMD1A</v>
      </c>
      <c r="B21669" s="6" t="s">
        <v>1</v>
      </c>
      <c r="C21669" s="6" t="s">
        <v>1</v>
      </c>
    </row>
    <row r="21670" spans="1:3" s="8" customFormat="1" x14ac:dyDescent="0.2">
      <c r="A21670" s="6" t="str">
        <f>"PTPN2"</f>
        <v>PTPN2</v>
      </c>
      <c r="B21670" s="6" t="s">
        <v>1</v>
      </c>
      <c r="C21670" s="6" t="s">
        <v>1</v>
      </c>
    </row>
    <row r="21671" spans="1:3" s="8" customFormat="1" x14ac:dyDescent="0.2">
      <c r="A21671" s="6" t="str">
        <f>"CCL5"</f>
        <v>CCL5</v>
      </c>
      <c r="B21671" s="6" t="s">
        <v>1</v>
      </c>
      <c r="C21671" s="6" t="s">
        <v>1</v>
      </c>
    </row>
    <row r="21672" spans="1:3" s="8" customFormat="1" x14ac:dyDescent="0.2">
      <c r="A21672" s="6" t="str">
        <f>"NDUFA7"</f>
        <v>NDUFA7</v>
      </c>
      <c r="B21672" s="6" t="s">
        <v>1</v>
      </c>
      <c r="C21672" s="6" t="s">
        <v>1</v>
      </c>
    </row>
    <row r="21673" spans="1:3" s="8" customFormat="1" x14ac:dyDescent="0.2">
      <c r="A21673" s="6" t="str">
        <f>"MAFG"</f>
        <v>MAFG</v>
      </c>
      <c r="B21673" s="6" t="s">
        <v>1</v>
      </c>
      <c r="C21673" s="6" t="s">
        <v>1</v>
      </c>
    </row>
    <row r="21674" spans="1:3" s="8" customFormat="1" x14ac:dyDescent="0.2">
      <c r="A21674" s="6" t="str">
        <f>"DERA"</f>
        <v>DERA</v>
      </c>
      <c r="B21674" s="6" t="s">
        <v>1</v>
      </c>
      <c r="C21674" s="6" t="s">
        <v>1</v>
      </c>
    </row>
    <row r="21675" spans="1:3" s="8" customFormat="1" x14ac:dyDescent="0.2">
      <c r="A21675" s="6" t="str">
        <f>"PHGDH"</f>
        <v>PHGDH</v>
      </c>
      <c r="B21675" s="6" t="s">
        <v>1</v>
      </c>
      <c r="C21675" s="6" t="s">
        <v>1</v>
      </c>
    </row>
    <row r="21676" spans="1:3" s="8" customFormat="1" x14ac:dyDescent="0.2">
      <c r="A21676" s="6" t="str">
        <f>"CREM"</f>
        <v>CREM</v>
      </c>
      <c r="B21676" s="6" t="s">
        <v>1</v>
      </c>
      <c r="C21676" s="6" t="s">
        <v>1</v>
      </c>
    </row>
    <row r="21677" spans="1:3" s="8" customFormat="1" x14ac:dyDescent="0.2">
      <c r="A21677" s="6" t="str">
        <f>"ASB1"</f>
        <v>ASB1</v>
      </c>
      <c r="B21677" s="6" t="s">
        <v>1</v>
      </c>
      <c r="C21677" s="6" t="s">
        <v>1</v>
      </c>
    </row>
    <row r="21678" spans="1:3" s="8" customFormat="1" x14ac:dyDescent="0.2">
      <c r="A21678" s="6" t="str">
        <f>"LNX1"</f>
        <v>LNX1</v>
      </c>
      <c r="B21678" s="6" t="s">
        <v>1</v>
      </c>
      <c r="C21678" s="6" t="s">
        <v>1</v>
      </c>
    </row>
    <row r="21679" spans="1:3" s="8" customFormat="1" x14ac:dyDescent="0.2">
      <c r="A21679" s="6" t="str">
        <f>"SLC29A1"</f>
        <v>SLC29A1</v>
      </c>
      <c r="B21679" s="6" t="s">
        <v>1</v>
      </c>
      <c r="C21679" s="6" t="s">
        <v>1</v>
      </c>
    </row>
    <row r="21680" spans="1:3" s="8" customFormat="1" x14ac:dyDescent="0.2">
      <c r="A21680" s="6" t="str">
        <f>"ENTPD3"</f>
        <v>ENTPD3</v>
      </c>
      <c r="B21680" s="6" t="s">
        <v>1</v>
      </c>
      <c r="C21680" s="6" t="s">
        <v>1</v>
      </c>
    </row>
    <row r="21681" spans="1:3" s="8" customFormat="1" x14ac:dyDescent="0.2">
      <c r="A21681" s="6" t="str">
        <f>"NPHP4"</f>
        <v>NPHP4</v>
      </c>
      <c r="B21681" s="6" t="s">
        <v>1</v>
      </c>
      <c r="C21681" s="6" t="s">
        <v>1</v>
      </c>
    </row>
    <row r="21682" spans="1:3" s="8" customFormat="1" x14ac:dyDescent="0.2">
      <c r="A21682" s="6" t="str">
        <f>"BRWD3"</f>
        <v>BRWD3</v>
      </c>
      <c r="B21682" s="6" t="s">
        <v>1</v>
      </c>
      <c r="C21682" s="6" t="s">
        <v>1</v>
      </c>
    </row>
    <row r="21683" spans="1:3" s="8" customFormat="1" x14ac:dyDescent="0.2">
      <c r="A21683" s="6" t="str">
        <f>"TNFRSF10C"</f>
        <v>TNFRSF10C</v>
      </c>
      <c r="B21683" s="6" t="s">
        <v>1</v>
      </c>
      <c r="C21683" s="6" t="s">
        <v>1</v>
      </c>
    </row>
    <row r="21684" spans="1:3" s="8" customFormat="1" x14ac:dyDescent="0.2">
      <c r="A21684" s="6" t="str">
        <f>"MAGOH"</f>
        <v>MAGOH</v>
      </c>
      <c r="B21684" s="6" t="s">
        <v>1</v>
      </c>
      <c r="C21684" s="6" t="s">
        <v>1</v>
      </c>
    </row>
    <row r="21685" spans="1:3" s="8" customFormat="1" x14ac:dyDescent="0.2">
      <c r="A21685" s="6" t="str">
        <f>"MRPS6"</f>
        <v>MRPS6</v>
      </c>
      <c r="B21685" s="6" t="s">
        <v>1</v>
      </c>
      <c r="C21685" s="6" t="s">
        <v>1</v>
      </c>
    </row>
    <row r="21686" spans="1:3" s="8" customFormat="1" x14ac:dyDescent="0.2">
      <c r="A21686" s="6" t="str">
        <f>"DENND2D"</f>
        <v>DENND2D</v>
      </c>
      <c r="B21686" s="6" t="s">
        <v>1</v>
      </c>
      <c r="C21686" s="6" t="s">
        <v>1</v>
      </c>
    </row>
    <row r="21687" spans="1:3" s="8" customFormat="1" x14ac:dyDescent="0.2">
      <c r="A21687" s="6" t="str">
        <f>"FAAP100"</f>
        <v>FAAP100</v>
      </c>
      <c r="B21687" s="6" t="s">
        <v>1</v>
      </c>
      <c r="C21687" s="6" t="s">
        <v>1</v>
      </c>
    </row>
    <row r="21688" spans="1:3" s="8" customFormat="1" x14ac:dyDescent="0.2">
      <c r="A21688" s="6" t="str">
        <f>"FAIM"</f>
        <v>FAIM</v>
      </c>
      <c r="B21688" s="6" t="s">
        <v>1</v>
      </c>
      <c r="C21688" s="6" t="s">
        <v>1</v>
      </c>
    </row>
    <row r="21689" spans="1:3" s="8" customFormat="1" x14ac:dyDescent="0.2">
      <c r="A21689" s="6" t="str">
        <f>"LEMD3"</f>
        <v>LEMD3</v>
      </c>
      <c r="B21689" s="6" t="s">
        <v>1</v>
      </c>
      <c r="C21689" s="6" t="s">
        <v>1</v>
      </c>
    </row>
    <row r="21690" spans="1:3" s="8" customFormat="1" x14ac:dyDescent="0.2">
      <c r="A21690" s="6" t="str">
        <f>"DDX60L"</f>
        <v>DDX60L</v>
      </c>
      <c r="B21690" s="6" t="s">
        <v>1</v>
      </c>
      <c r="C21690" s="6" t="s">
        <v>1</v>
      </c>
    </row>
    <row r="21691" spans="1:3" s="8" customFormat="1" x14ac:dyDescent="0.2">
      <c r="A21691" s="6" t="str">
        <f>"ZNF282"</f>
        <v>ZNF282</v>
      </c>
      <c r="B21691" s="6" t="s">
        <v>1</v>
      </c>
      <c r="C21691" s="6" t="s">
        <v>1</v>
      </c>
    </row>
    <row r="21692" spans="1:3" s="8" customFormat="1" x14ac:dyDescent="0.2">
      <c r="A21692" s="6" t="str">
        <f>"UCA1"</f>
        <v>UCA1</v>
      </c>
      <c r="B21692" s="6" t="s">
        <v>1</v>
      </c>
      <c r="C21692" s="6" t="s">
        <v>1</v>
      </c>
    </row>
    <row r="21693" spans="1:3" s="8" customFormat="1" x14ac:dyDescent="0.2">
      <c r="A21693" s="6" t="str">
        <f>"FZD5"</f>
        <v>FZD5</v>
      </c>
      <c r="B21693" s="6" t="s">
        <v>1</v>
      </c>
      <c r="C21693" s="6" t="s">
        <v>1</v>
      </c>
    </row>
    <row r="21694" spans="1:3" s="8" customFormat="1" x14ac:dyDescent="0.2">
      <c r="A21694" s="6" t="str">
        <f>"DIS3L"</f>
        <v>DIS3L</v>
      </c>
      <c r="B21694" s="6" t="s">
        <v>1</v>
      </c>
      <c r="C21694" s="6" t="s">
        <v>1</v>
      </c>
    </row>
    <row r="21695" spans="1:3" s="8" customFormat="1" x14ac:dyDescent="0.2">
      <c r="A21695" s="6" t="str">
        <f>"GALNT10"</f>
        <v>GALNT10</v>
      </c>
      <c r="B21695" s="6" t="s">
        <v>1</v>
      </c>
      <c r="C21695" s="6" t="s">
        <v>1</v>
      </c>
    </row>
    <row r="21696" spans="1:3" s="8" customFormat="1" x14ac:dyDescent="0.2">
      <c r="A21696" s="6" t="str">
        <f>"CASP2"</f>
        <v>CASP2</v>
      </c>
      <c r="B21696" s="6" t="s">
        <v>1</v>
      </c>
      <c r="C21696" s="6" t="s">
        <v>1</v>
      </c>
    </row>
    <row r="21697" spans="1:3" s="8" customFormat="1" x14ac:dyDescent="0.2">
      <c r="A21697" s="6" t="str">
        <f>"GADD45A"</f>
        <v>GADD45A</v>
      </c>
      <c r="B21697" s="6" t="s">
        <v>1</v>
      </c>
      <c r="C21697" s="6" t="s">
        <v>1</v>
      </c>
    </row>
    <row r="21698" spans="1:3" s="8" customFormat="1" x14ac:dyDescent="0.2">
      <c r="A21698" s="6" t="str">
        <f>"CRTC1"</f>
        <v>CRTC1</v>
      </c>
      <c r="B21698" s="6" t="s">
        <v>1</v>
      </c>
      <c r="C21698" s="6" t="s">
        <v>1</v>
      </c>
    </row>
    <row r="21699" spans="1:3" s="8" customFormat="1" x14ac:dyDescent="0.2">
      <c r="A21699" s="6" t="str">
        <f>"FLYWCH2"</f>
        <v>FLYWCH2</v>
      </c>
      <c r="B21699" s="6" t="s">
        <v>1</v>
      </c>
      <c r="C21699" s="6" t="s">
        <v>1</v>
      </c>
    </row>
    <row r="21700" spans="1:3" s="8" customFormat="1" x14ac:dyDescent="0.2">
      <c r="A21700" s="6" t="str">
        <f>"KALRN"</f>
        <v>KALRN</v>
      </c>
      <c r="B21700" s="6" t="s">
        <v>1</v>
      </c>
      <c r="C21700" s="6" t="s">
        <v>1</v>
      </c>
    </row>
    <row r="21701" spans="1:3" s="8" customFormat="1" x14ac:dyDescent="0.2">
      <c r="A21701" s="6" t="str">
        <f>"MCAT"</f>
        <v>MCAT</v>
      </c>
      <c r="B21701" s="6" t="s">
        <v>1</v>
      </c>
      <c r="C21701" s="6" t="s">
        <v>1</v>
      </c>
    </row>
    <row r="21702" spans="1:3" s="8" customFormat="1" x14ac:dyDescent="0.2">
      <c r="A21702" s="6" t="str">
        <f>"BTBD10"</f>
        <v>BTBD10</v>
      </c>
      <c r="B21702" s="6" t="s">
        <v>1</v>
      </c>
      <c r="C21702" s="6" t="s">
        <v>1</v>
      </c>
    </row>
    <row r="21703" spans="1:3" s="8" customFormat="1" x14ac:dyDescent="0.2">
      <c r="A21703" s="6" t="str">
        <f>"MLST8"</f>
        <v>MLST8</v>
      </c>
      <c r="B21703" s="6" t="s">
        <v>1</v>
      </c>
      <c r="C21703" s="6" t="s">
        <v>1</v>
      </c>
    </row>
    <row r="21704" spans="1:3" s="8" customFormat="1" x14ac:dyDescent="0.2">
      <c r="A21704" s="6" t="str">
        <f>"ENY2"</f>
        <v>ENY2</v>
      </c>
      <c r="B21704" s="6" t="s">
        <v>1</v>
      </c>
      <c r="C21704" s="6" t="s">
        <v>1</v>
      </c>
    </row>
    <row r="21705" spans="1:3" s="8" customFormat="1" x14ac:dyDescent="0.2">
      <c r="A21705" s="6" t="str">
        <f>"KIT"</f>
        <v>KIT</v>
      </c>
      <c r="B21705" s="6" t="s">
        <v>1</v>
      </c>
      <c r="C21705" s="6" t="s">
        <v>1</v>
      </c>
    </row>
    <row r="21706" spans="1:3" s="8" customFormat="1" x14ac:dyDescent="0.2">
      <c r="A21706" s="6" t="str">
        <f>"TBC1D10A"</f>
        <v>TBC1D10A</v>
      </c>
      <c r="B21706" s="6" t="s">
        <v>1</v>
      </c>
      <c r="C21706" s="6" t="s">
        <v>1</v>
      </c>
    </row>
    <row r="21707" spans="1:3" s="8" customFormat="1" x14ac:dyDescent="0.2">
      <c r="A21707" s="6" t="str">
        <f>"NOSIP"</f>
        <v>NOSIP</v>
      </c>
      <c r="B21707" s="6" t="s">
        <v>1</v>
      </c>
      <c r="C21707" s="6" t="s">
        <v>1</v>
      </c>
    </row>
    <row r="21708" spans="1:3" s="8" customFormat="1" x14ac:dyDescent="0.2">
      <c r="A21708" s="6" t="str">
        <f>"GLRX"</f>
        <v>GLRX</v>
      </c>
      <c r="B21708" s="6" t="s">
        <v>1</v>
      </c>
      <c r="C21708" s="6" t="s">
        <v>1</v>
      </c>
    </row>
    <row r="21709" spans="1:3" s="8" customFormat="1" x14ac:dyDescent="0.2">
      <c r="A21709" s="6" t="str">
        <f>"CARD19"</f>
        <v>CARD19</v>
      </c>
      <c r="B21709" s="6" t="s">
        <v>1</v>
      </c>
      <c r="C21709" s="6" t="s">
        <v>1</v>
      </c>
    </row>
    <row r="21710" spans="1:3" s="8" customFormat="1" x14ac:dyDescent="0.2">
      <c r="A21710" s="6" t="str">
        <f>"ECD"</f>
        <v>ECD</v>
      </c>
      <c r="B21710" s="6" t="s">
        <v>1</v>
      </c>
      <c r="C21710" s="6" t="s">
        <v>1</v>
      </c>
    </row>
    <row r="21711" spans="1:3" s="8" customFormat="1" x14ac:dyDescent="0.2">
      <c r="A21711" s="6" t="str">
        <f>"IFT20"</f>
        <v>IFT20</v>
      </c>
      <c r="B21711" s="6" t="s">
        <v>1</v>
      </c>
      <c r="C21711" s="6" t="s">
        <v>1</v>
      </c>
    </row>
    <row r="21712" spans="1:3" s="8" customFormat="1" x14ac:dyDescent="0.2">
      <c r="A21712" s="6" t="str">
        <f>"ZNF276"</f>
        <v>ZNF276</v>
      </c>
      <c r="B21712" s="6" t="s">
        <v>1</v>
      </c>
      <c r="C21712" s="6" t="s">
        <v>1</v>
      </c>
    </row>
    <row r="21713" spans="1:3" s="8" customFormat="1" x14ac:dyDescent="0.2">
      <c r="A21713" s="6" t="str">
        <f>"CNOT4"</f>
        <v>CNOT4</v>
      </c>
      <c r="B21713" s="6" t="s">
        <v>1</v>
      </c>
      <c r="C21713" s="6" t="s">
        <v>1</v>
      </c>
    </row>
    <row r="21714" spans="1:3" s="8" customFormat="1" x14ac:dyDescent="0.2">
      <c r="A21714" s="6" t="str">
        <f>"APOBR"</f>
        <v>APOBR</v>
      </c>
      <c r="B21714" s="6" t="s">
        <v>1</v>
      </c>
      <c r="C21714" s="6" t="s">
        <v>1</v>
      </c>
    </row>
    <row r="21715" spans="1:3" s="8" customFormat="1" x14ac:dyDescent="0.2">
      <c r="A21715" s="6" t="str">
        <f>"DERL2"</f>
        <v>DERL2</v>
      </c>
      <c r="B21715" s="6" t="s">
        <v>1</v>
      </c>
      <c r="C21715" s="6" t="s">
        <v>1</v>
      </c>
    </row>
    <row r="21716" spans="1:3" s="8" customFormat="1" x14ac:dyDescent="0.2">
      <c r="A21716" s="6" t="str">
        <f>"TRERF1"</f>
        <v>TRERF1</v>
      </c>
      <c r="B21716" s="6" t="s">
        <v>1</v>
      </c>
      <c r="C21716" s="6" t="s">
        <v>1</v>
      </c>
    </row>
    <row r="21717" spans="1:3" s="8" customFormat="1" x14ac:dyDescent="0.2">
      <c r="A21717" s="6" t="str">
        <f>"MZF1"</f>
        <v>MZF1</v>
      </c>
      <c r="B21717" s="6" t="s">
        <v>1</v>
      </c>
      <c r="C21717" s="6" t="s">
        <v>1</v>
      </c>
    </row>
    <row r="21718" spans="1:3" s="8" customFormat="1" x14ac:dyDescent="0.2">
      <c r="A21718" s="6" t="str">
        <f>"CCM2"</f>
        <v>CCM2</v>
      </c>
      <c r="B21718" s="6" t="s">
        <v>1</v>
      </c>
      <c r="C21718" s="6" t="s">
        <v>1</v>
      </c>
    </row>
    <row r="21719" spans="1:3" s="8" customFormat="1" x14ac:dyDescent="0.2">
      <c r="A21719" s="6" t="str">
        <f>"STXBP5"</f>
        <v>STXBP5</v>
      </c>
      <c r="B21719" s="6" t="s">
        <v>1</v>
      </c>
      <c r="C21719" s="6" t="s">
        <v>1</v>
      </c>
    </row>
    <row r="21720" spans="1:3" s="8" customFormat="1" x14ac:dyDescent="0.2">
      <c r="A21720" s="6" t="str">
        <f>"BAHCC1"</f>
        <v>BAHCC1</v>
      </c>
      <c r="B21720" s="6" t="s">
        <v>1</v>
      </c>
      <c r="C21720" s="6" t="s">
        <v>1</v>
      </c>
    </row>
    <row r="21721" spans="1:3" s="8" customFormat="1" x14ac:dyDescent="0.2">
      <c r="A21721" s="6" t="str">
        <f>"PCSK5"</f>
        <v>PCSK5</v>
      </c>
      <c r="B21721" s="6" t="s">
        <v>1</v>
      </c>
      <c r="C21721" s="6" t="s">
        <v>1</v>
      </c>
    </row>
    <row r="21722" spans="1:3" s="8" customFormat="1" x14ac:dyDescent="0.2">
      <c r="A21722" s="6" t="str">
        <f>"MED4"</f>
        <v>MED4</v>
      </c>
      <c r="B21722" s="6" t="s">
        <v>1</v>
      </c>
      <c r="C21722" s="6" t="s">
        <v>1</v>
      </c>
    </row>
    <row r="21723" spans="1:3" s="8" customFormat="1" x14ac:dyDescent="0.2">
      <c r="A21723" s="6" t="str">
        <f>"TTLL4"</f>
        <v>TTLL4</v>
      </c>
      <c r="B21723" s="6" t="s">
        <v>1</v>
      </c>
      <c r="C21723" s="6" t="s">
        <v>1</v>
      </c>
    </row>
    <row r="21724" spans="1:3" s="8" customFormat="1" x14ac:dyDescent="0.2">
      <c r="A21724" s="6" t="str">
        <f>"MCUR1"</f>
        <v>MCUR1</v>
      </c>
      <c r="B21724" s="6" t="s">
        <v>1</v>
      </c>
      <c r="C21724" s="6" t="s">
        <v>1</v>
      </c>
    </row>
    <row r="21725" spans="1:3" s="8" customFormat="1" x14ac:dyDescent="0.2">
      <c r="A21725" s="6" t="str">
        <f>"VDR"</f>
        <v>VDR</v>
      </c>
      <c r="B21725" s="6" t="s">
        <v>1</v>
      </c>
      <c r="C21725" s="6" t="s">
        <v>1</v>
      </c>
    </row>
    <row r="21726" spans="1:3" s="8" customFormat="1" x14ac:dyDescent="0.2">
      <c r="A21726" s="6" t="str">
        <f>"DOCK7"</f>
        <v>DOCK7</v>
      </c>
      <c r="B21726" s="6" t="s">
        <v>1</v>
      </c>
      <c r="C21726" s="6" t="s">
        <v>1</v>
      </c>
    </row>
    <row r="21727" spans="1:3" s="8" customFormat="1" x14ac:dyDescent="0.2">
      <c r="A21727" s="6" t="str">
        <f>"SUCLA2"</f>
        <v>SUCLA2</v>
      </c>
      <c r="B21727" s="6" t="s">
        <v>1</v>
      </c>
      <c r="C21727" s="6" t="s">
        <v>1</v>
      </c>
    </row>
    <row r="21728" spans="1:3" s="8" customFormat="1" x14ac:dyDescent="0.2">
      <c r="A21728" s="6" t="str">
        <f>"ALG3"</f>
        <v>ALG3</v>
      </c>
      <c r="B21728" s="6" t="s">
        <v>1</v>
      </c>
      <c r="C21728" s="6" t="s">
        <v>1</v>
      </c>
    </row>
    <row r="21729" spans="1:3" s="8" customFormat="1" x14ac:dyDescent="0.2">
      <c r="A21729" s="6" t="str">
        <f>"TGFBRAP1"</f>
        <v>TGFBRAP1</v>
      </c>
      <c r="B21729" s="6" t="s">
        <v>1</v>
      </c>
      <c r="C21729" s="6" t="s">
        <v>1</v>
      </c>
    </row>
    <row r="21730" spans="1:3" s="8" customFormat="1" x14ac:dyDescent="0.2">
      <c r="A21730" s="6" t="str">
        <f>"ZSWIM6"</f>
        <v>ZSWIM6</v>
      </c>
      <c r="B21730" s="6" t="s">
        <v>1</v>
      </c>
      <c r="C21730" s="6" t="s">
        <v>1</v>
      </c>
    </row>
    <row r="21731" spans="1:3" s="8" customFormat="1" x14ac:dyDescent="0.2">
      <c r="A21731" s="6" t="str">
        <f>"DIS3L2"</f>
        <v>DIS3L2</v>
      </c>
      <c r="B21731" s="6" t="s">
        <v>1</v>
      </c>
      <c r="C21731" s="6" t="s">
        <v>1</v>
      </c>
    </row>
    <row r="21732" spans="1:3" s="8" customFormat="1" x14ac:dyDescent="0.2">
      <c r="A21732" s="6" t="str">
        <f>"NPC1"</f>
        <v>NPC1</v>
      </c>
      <c r="B21732" s="6" t="s">
        <v>1</v>
      </c>
      <c r="C21732" s="6" t="s">
        <v>1</v>
      </c>
    </row>
    <row r="21733" spans="1:3" s="8" customFormat="1" x14ac:dyDescent="0.2">
      <c r="A21733" s="6" t="str">
        <f>"DNAJC2"</f>
        <v>DNAJC2</v>
      </c>
      <c r="B21733" s="6" t="s">
        <v>1</v>
      </c>
      <c r="C21733" s="6" t="s">
        <v>1</v>
      </c>
    </row>
    <row r="21734" spans="1:3" s="8" customFormat="1" x14ac:dyDescent="0.2">
      <c r="A21734" s="6" t="str">
        <f>"KLHDC7B"</f>
        <v>KLHDC7B</v>
      </c>
      <c r="B21734" s="6" t="s">
        <v>1</v>
      </c>
      <c r="C21734" s="6" t="s">
        <v>1</v>
      </c>
    </row>
    <row r="21735" spans="1:3" s="8" customFormat="1" x14ac:dyDescent="0.2">
      <c r="A21735" s="6" t="str">
        <f>"MINDY4"</f>
        <v>MINDY4</v>
      </c>
      <c r="B21735" s="6" t="s">
        <v>1</v>
      </c>
      <c r="C21735" s="6" t="s">
        <v>1</v>
      </c>
    </row>
    <row r="21736" spans="1:3" s="8" customFormat="1" x14ac:dyDescent="0.2">
      <c r="A21736" s="6" t="str">
        <f>"UCK1"</f>
        <v>UCK1</v>
      </c>
      <c r="B21736" s="6" t="s">
        <v>1</v>
      </c>
      <c r="C21736" s="6" t="s">
        <v>1</v>
      </c>
    </row>
    <row r="21737" spans="1:3" s="8" customFormat="1" x14ac:dyDescent="0.2">
      <c r="A21737" s="6" t="str">
        <f>"GRAMD1B"</f>
        <v>GRAMD1B</v>
      </c>
      <c r="B21737" s="6" t="s">
        <v>1</v>
      </c>
      <c r="C21737" s="6" t="s">
        <v>1</v>
      </c>
    </row>
    <row r="21738" spans="1:3" s="8" customFormat="1" x14ac:dyDescent="0.2">
      <c r="A21738" s="6" t="str">
        <f>"NDUFA12"</f>
        <v>NDUFA12</v>
      </c>
      <c r="B21738" s="6" t="s">
        <v>1</v>
      </c>
      <c r="C21738" s="6" t="s">
        <v>1</v>
      </c>
    </row>
    <row r="21739" spans="1:3" s="8" customFormat="1" x14ac:dyDescent="0.2">
      <c r="A21739" s="6" t="str">
        <f>"KANSL1L"</f>
        <v>KANSL1L</v>
      </c>
      <c r="B21739" s="6" t="s">
        <v>1</v>
      </c>
      <c r="C21739" s="6" t="s">
        <v>1</v>
      </c>
    </row>
    <row r="21740" spans="1:3" s="8" customFormat="1" x14ac:dyDescent="0.2">
      <c r="A21740" s="6" t="str">
        <f>"PLEKHJ1"</f>
        <v>PLEKHJ1</v>
      </c>
      <c r="B21740" s="6" t="s">
        <v>1</v>
      </c>
      <c r="C21740" s="6" t="s">
        <v>1</v>
      </c>
    </row>
    <row r="21741" spans="1:3" s="8" customFormat="1" x14ac:dyDescent="0.2">
      <c r="A21741" s="6" t="str">
        <f>"INPP5K"</f>
        <v>INPP5K</v>
      </c>
      <c r="B21741" s="6" t="s">
        <v>1</v>
      </c>
      <c r="C21741" s="6" t="s">
        <v>1</v>
      </c>
    </row>
    <row r="21742" spans="1:3" s="8" customFormat="1" x14ac:dyDescent="0.2">
      <c r="A21742" s="6" t="str">
        <f>"KLF16"</f>
        <v>KLF16</v>
      </c>
      <c r="B21742" s="6" t="s">
        <v>1</v>
      </c>
      <c r="C21742" s="6" t="s">
        <v>1</v>
      </c>
    </row>
    <row r="21743" spans="1:3" s="8" customFormat="1" x14ac:dyDescent="0.2">
      <c r="A21743" s="6" t="str">
        <f>"LZIC"</f>
        <v>LZIC</v>
      </c>
      <c r="B21743" s="6" t="s">
        <v>1</v>
      </c>
      <c r="C21743" s="6" t="s">
        <v>1</v>
      </c>
    </row>
    <row r="21744" spans="1:3" s="8" customFormat="1" x14ac:dyDescent="0.2">
      <c r="A21744" s="6" t="str">
        <f>"CARD11"</f>
        <v>CARD11</v>
      </c>
      <c r="B21744" s="6" t="s">
        <v>1</v>
      </c>
      <c r="C21744" s="6" t="s">
        <v>1</v>
      </c>
    </row>
    <row r="21745" spans="1:3" s="8" customFormat="1" x14ac:dyDescent="0.2">
      <c r="A21745" s="6" t="str">
        <f>"HNRNPLL"</f>
        <v>HNRNPLL</v>
      </c>
      <c r="B21745" s="6" t="s">
        <v>1</v>
      </c>
      <c r="C21745" s="6" t="s">
        <v>1</v>
      </c>
    </row>
    <row r="21746" spans="1:3" s="8" customFormat="1" x14ac:dyDescent="0.2">
      <c r="A21746" s="6" t="str">
        <f>"APPL1"</f>
        <v>APPL1</v>
      </c>
      <c r="B21746" s="6" t="s">
        <v>1</v>
      </c>
      <c r="C21746" s="6" t="s">
        <v>1</v>
      </c>
    </row>
    <row r="21747" spans="1:3" s="8" customFormat="1" x14ac:dyDescent="0.2">
      <c r="A21747" s="6" t="str">
        <f>"BRI3BP"</f>
        <v>BRI3BP</v>
      </c>
      <c r="B21747" s="6" t="s">
        <v>1</v>
      </c>
      <c r="C21747" s="6" t="s">
        <v>1</v>
      </c>
    </row>
    <row r="21748" spans="1:3" s="8" customFormat="1" x14ac:dyDescent="0.2">
      <c r="A21748" s="6" t="str">
        <f>"PHLDA3"</f>
        <v>PHLDA3</v>
      </c>
      <c r="B21748" s="6" t="s">
        <v>1</v>
      </c>
      <c r="C21748" s="6" t="s">
        <v>1</v>
      </c>
    </row>
    <row r="21749" spans="1:3" s="8" customFormat="1" x14ac:dyDescent="0.2">
      <c r="A21749" s="6" t="str">
        <f>"CHMP7"</f>
        <v>CHMP7</v>
      </c>
      <c r="B21749" s="6" t="s">
        <v>1</v>
      </c>
      <c r="C21749" s="6" t="s">
        <v>1</v>
      </c>
    </row>
    <row r="21750" spans="1:3" s="8" customFormat="1" x14ac:dyDescent="0.2">
      <c r="A21750" s="6" t="str">
        <f>"DENND4A"</f>
        <v>DENND4A</v>
      </c>
      <c r="B21750" s="6" t="s">
        <v>1</v>
      </c>
      <c r="C21750" s="6" t="s">
        <v>1</v>
      </c>
    </row>
    <row r="21751" spans="1:3" s="8" customFormat="1" x14ac:dyDescent="0.2">
      <c r="A21751" s="6" t="str">
        <f>"ASPSCR1"</f>
        <v>ASPSCR1</v>
      </c>
      <c r="B21751" s="6" t="s">
        <v>1</v>
      </c>
      <c r="C21751" s="6" t="s">
        <v>1</v>
      </c>
    </row>
    <row r="21752" spans="1:3" s="8" customFormat="1" x14ac:dyDescent="0.2">
      <c r="A21752" s="6" t="str">
        <f>"SELENOK"</f>
        <v>SELENOK</v>
      </c>
      <c r="B21752" s="6" t="s">
        <v>1</v>
      </c>
      <c r="C21752" s="6" t="s">
        <v>1</v>
      </c>
    </row>
    <row r="21753" spans="1:3" s="8" customFormat="1" x14ac:dyDescent="0.2">
      <c r="A21753" s="6" t="str">
        <f>"CASP1"</f>
        <v>CASP1</v>
      </c>
      <c r="B21753" s="6" t="s">
        <v>1</v>
      </c>
      <c r="C21753" s="6" t="s">
        <v>1</v>
      </c>
    </row>
    <row r="21754" spans="1:3" s="8" customFormat="1" x14ac:dyDescent="0.2">
      <c r="A21754" s="6" t="str">
        <f>"ZC2HC1A"</f>
        <v>ZC2HC1A</v>
      </c>
      <c r="B21754" s="6" t="s">
        <v>1</v>
      </c>
      <c r="C21754" s="6" t="s">
        <v>1</v>
      </c>
    </row>
    <row r="21755" spans="1:3" s="8" customFormat="1" x14ac:dyDescent="0.2">
      <c r="A21755" s="6" t="str">
        <f>"CNOT10"</f>
        <v>CNOT10</v>
      </c>
      <c r="B21755" s="6" t="s">
        <v>1</v>
      </c>
      <c r="C21755" s="6" t="s">
        <v>1</v>
      </c>
    </row>
    <row r="21756" spans="1:3" s="8" customFormat="1" x14ac:dyDescent="0.2">
      <c r="A21756" s="6" t="str">
        <f>"PTP4A1"</f>
        <v>PTP4A1</v>
      </c>
      <c r="B21756" s="6" t="s">
        <v>1</v>
      </c>
      <c r="C21756" s="6" t="s">
        <v>1</v>
      </c>
    </row>
    <row r="21757" spans="1:3" s="8" customFormat="1" x14ac:dyDescent="0.2">
      <c r="A21757" s="6" t="str">
        <f>"BRAF"</f>
        <v>BRAF</v>
      </c>
      <c r="B21757" s="6" t="s">
        <v>1</v>
      </c>
      <c r="C21757" s="6" t="s">
        <v>1</v>
      </c>
    </row>
    <row r="21758" spans="1:3" s="8" customFormat="1" x14ac:dyDescent="0.2">
      <c r="A21758" s="6" t="str">
        <f>"PHPT1"</f>
        <v>PHPT1</v>
      </c>
      <c r="B21758" s="6" t="s">
        <v>1</v>
      </c>
      <c r="C21758" s="6" t="s">
        <v>1</v>
      </c>
    </row>
    <row r="21759" spans="1:3" s="8" customFormat="1" x14ac:dyDescent="0.2">
      <c r="A21759" s="6" t="str">
        <f>"LNX2"</f>
        <v>LNX2</v>
      </c>
      <c r="B21759" s="6" t="s">
        <v>1</v>
      </c>
      <c r="C21759" s="6" t="s">
        <v>1</v>
      </c>
    </row>
    <row r="21760" spans="1:3" s="8" customFormat="1" x14ac:dyDescent="0.2">
      <c r="A21760" s="6" t="str">
        <f>"KANK2"</f>
        <v>KANK2</v>
      </c>
      <c r="B21760" s="6" t="s">
        <v>1</v>
      </c>
      <c r="C21760" s="6" t="s">
        <v>1</v>
      </c>
    </row>
    <row r="21761" spans="1:3" s="8" customFormat="1" x14ac:dyDescent="0.2">
      <c r="A21761" s="6" t="str">
        <f>"SUGP1"</f>
        <v>SUGP1</v>
      </c>
      <c r="B21761" s="6" t="s">
        <v>1</v>
      </c>
      <c r="C21761" s="6" t="s">
        <v>1</v>
      </c>
    </row>
    <row r="21762" spans="1:3" s="8" customFormat="1" x14ac:dyDescent="0.2">
      <c r="A21762" s="6" t="str">
        <f>"FAM83G"</f>
        <v>FAM83G</v>
      </c>
      <c r="B21762" s="6" t="s">
        <v>1</v>
      </c>
      <c r="C21762" s="6" t="s">
        <v>1</v>
      </c>
    </row>
    <row r="21763" spans="1:3" s="8" customFormat="1" x14ac:dyDescent="0.2">
      <c r="A21763" s="6" t="str">
        <f>"EYA4"</f>
        <v>EYA4</v>
      </c>
      <c r="B21763" s="6" t="s">
        <v>1</v>
      </c>
      <c r="C21763" s="6" t="s">
        <v>1</v>
      </c>
    </row>
    <row r="21764" spans="1:3" s="8" customFormat="1" x14ac:dyDescent="0.2">
      <c r="A21764" s="6" t="str">
        <f>"UBXN2B"</f>
        <v>UBXN2B</v>
      </c>
      <c r="B21764" s="6" t="s">
        <v>1</v>
      </c>
      <c r="C21764" s="6" t="s">
        <v>1</v>
      </c>
    </row>
    <row r="21765" spans="1:3" s="8" customFormat="1" x14ac:dyDescent="0.2">
      <c r="A21765" s="6" t="str">
        <f>"ELOC"</f>
        <v>ELOC</v>
      </c>
      <c r="B21765" s="6" t="s">
        <v>1</v>
      </c>
      <c r="C21765" s="6" t="s">
        <v>1</v>
      </c>
    </row>
    <row r="21766" spans="1:3" s="8" customFormat="1" x14ac:dyDescent="0.2">
      <c r="A21766" s="6" t="str">
        <f>"REV1"</f>
        <v>REV1</v>
      </c>
      <c r="B21766" s="6" t="s">
        <v>1</v>
      </c>
      <c r="C21766" s="6" t="s">
        <v>1</v>
      </c>
    </row>
    <row r="21767" spans="1:3" s="8" customFormat="1" x14ac:dyDescent="0.2">
      <c r="A21767" s="6" t="str">
        <f>"INTS5"</f>
        <v>INTS5</v>
      </c>
      <c r="B21767" s="6" t="s">
        <v>1</v>
      </c>
      <c r="C21767" s="6" t="s">
        <v>1</v>
      </c>
    </row>
    <row r="21768" spans="1:3" s="8" customFormat="1" x14ac:dyDescent="0.2">
      <c r="A21768" s="6" t="str">
        <f>"LMNB1"</f>
        <v>LMNB1</v>
      </c>
      <c r="B21768" s="6" t="s">
        <v>1</v>
      </c>
      <c r="C21768" s="6" t="s">
        <v>1</v>
      </c>
    </row>
    <row r="21769" spans="1:3" s="8" customFormat="1" x14ac:dyDescent="0.2">
      <c r="A21769" s="6" t="str">
        <f>"ASB8"</f>
        <v>ASB8</v>
      </c>
      <c r="B21769" s="6" t="s">
        <v>1</v>
      </c>
      <c r="C21769" s="6" t="s">
        <v>1</v>
      </c>
    </row>
    <row r="21770" spans="1:3" s="8" customFormat="1" x14ac:dyDescent="0.2">
      <c r="A21770" s="6" t="str">
        <f>"PHF23"</f>
        <v>PHF23</v>
      </c>
      <c r="B21770" s="6" t="s">
        <v>1</v>
      </c>
      <c r="C21770" s="6" t="s">
        <v>1</v>
      </c>
    </row>
    <row r="21771" spans="1:3" s="8" customFormat="1" x14ac:dyDescent="0.2">
      <c r="A21771" s="6" t="str">
        <f>"IER5"</f>
        <v>IER5</v>
      </c>
      <c r="B21771" s="6" t="s">
        <v>1</v>
      </c>
      <c r="C21771" s="6" t="s">
        <v>1</v>
      </c>
    </row>
    <row r="21772" spans="1:3" s="8" customFormat="1" x14ac:dyDescent="0.2">
      <c r="A21772" s="6" t="str">
        <f>"OCRL"</f>
        <v>OCRL</v>
      </c>
      <c r="B21772" s="6" t="s">
        <v>1</v>
      </c>
      <c r="C21772" s="6" t="s">
        <v>1</v>
      </c>
    </row>
    <row r="21773" spans="1:3" s="8" customFormat="1" x14ac:dyDescent="0.2">
      <c r="A21773" s="6" t="str">
        <f>"PDE12"</f>
        <v>PDE12</v>
      </c>
      <c r="B21773" s="6" t="s">
        <v>1</v>
      </c>
      <c r="C21773" s="6" t="s">
        <v>1</v>
      </c>
    </row>
    <row r="21774" spans="1:3" s="8" customFormat="1" x14ac:dyDescent="0.2">
      <c r="A21774" s="6" t="str">
        <f>"MRPS5"</f>
        <v>MRPS5</v>
      </c>
      <c r="B21774" s="6" t="s">
        <v>1</v>
      </c>
      <c r="C21774" s="6" t="s">
        <v>1</v>
      </c>
    </row>
    <row r="21775" spans="1:3" s="8" customFormat="1" x14ac:dyDescent="0.2">
      <c r="A21775" s="6" t="str">
        <f>"LYST"</f>
        <v>LYST</v>
      </c>
      <c r="B21775" s="6" t="s">
        <v>1</v>
      </c>
      <c r="C21775" s="6" t="s">
        <v>1</v>
      </c>
    </row>
    <row r="21776" spans="1:3" s="8" customFormat="1" x14ac:dyDescent="0.2">
      <c r="A21776" s="6" t="str">
        <f>"IFRD2"</f>
        <v>IFRD2</v>
      </c>
      <c r="B21776" s="6" t="s">
        <v>1</v>
      </c>
      <c r="C21776" s="6" t="s">
        <v>1</v>
      </c>
    </row>
    <row r="21777" spans="1:3" s="8" customFormat="1" x14ac:dyDescent="0.2">
      <c r="A21777" s="6" t="str">
        <f>"CASP8"</f>
        <v>CASP8</v>
      </c>
      <c r="B21777" s="6" t="s">
        <v>1</v>
      </c>
      <c r="C21777" s="6" t="s">
        <v>1</v>
      </c>
    </row>
    <row r="21778" spans="1:3" s="8" customFormat="1" x14ac:dyDescent="0.2">
      <c r="A21778" s="6" t="str">
        <f>"DGAT1"</f>
        <v>DGAT1</v>
      </c>
      <c r="B21778" s="6" t="s">
        <v>1</v>
      </c>
      <c r="C21778" s="6" t="s">
        <v>1</v>
      </c>
    </row>
    <row r="21779" spans="1:3" s="8" customFormat="1" x14ac:dyDescent="0.2">
      <c r="A21779" s="6" t="str">
        <f>"PKD1P5"</f>
        <v>PKD1P5</v>
      </c>
      <c r="B21779" s="6" t="s">
        <v>1</v>
      </c>
      <c r="C21779" s="6" t="s">
        <v>1</v>
      </c>
    </row>
    <row r="21780" spans="1:3" s="8" customFormat="1" x14ac:dyDescent="0.2">
      <c r="A21780" s="6" t="str">
        <f>"EMC6"</f>
        <v>EMC6</v>
      </c>
      <c r="B21780" s="6" t="s">
        <v>1</v>
      </c>
      <c r="C21780" s="6" t="s">
        <v>1</v>
      </c>
    </row>
    <row r="21781" spans="1:3" s="8" customFormat="1" x14ac:dyDescent="0.2">
      <c r="A21781" s="6" t="str">
        <f>"MRPS18A"</f>
        <v>MRPS18A</v>
      </c>
      <c r="B21781" s="6" t="s">
        <v>1</v>
      </c>
      <c r="C21781" s="6" t="s">
        <v>1</v>
      </c>
    </row>
    <row r="21782" spans="1:3" s="8" customFormat="1" x14ac:dyDescent="0.2">
      <c r="A21782" s="6" t="str">
        <f>"DENND3"</f>
        <v>DENND3</v>
      </c>
      <c r="B21782" s="6" t="s">
        <v>1</v>
      </c>
      <c r="C21782" s="6" t="s">
        <v>1</v>
      </c>
    </row>
    <row r="21783" spans="1:3" s="8" customFormat="1" x14ac:dyDescent="0.2">
      <c r="A21783" s="6" t="str">
        <f>"CRNDE"</f>
        <v>CRNDE</v>
      </c>
      <c r="B21783" s="6" t="s">
        <v>1</v>
      </c>
      <c r="C21783" s="6" t="s">
        <v>1</v>
      </c>
    </row>
    <row r="21784" spans="1:3" s="8" customFormat="1" x14ac:dyDescent="0.2">
      <c r="A21784" s="6" t="str">
        <f>"PLEKHH3"</f>
        <v>PLEKHH3</v>
      </c>
      <c r="B21784" s="6" t="s">
        <v>1</v>
      </c>
      <c r="C21784" s="6" t="s">
        <v>1</v>
      </c>
    </row>
    <row r="21785" spans="1:3" s="8" customFormat="1" x14ac:dyDescent="0.2">
      <c r="A21785" s="6" t="str">
        <f>"MAML3"</f>
        <v>MAML3</v>
      </c>
      <c r="B21785" s="6" t="s">
        <v>1</v>
      </c>
      <c r="C21785" s="6" t="s">
        <v>1</v>
      </c>
    </row>
    <row r="21786" spans="1:3" s="8" customFormat="1" x14ac:dyDescent="0.2">
      <c r="A21786" s="6" t="str">
        <f>"GRAMD1C"</f>
        <v>GRAMD1C</v>
      </c>
      <c r="B21786" s="6" t="s">
        <v>1</v>
      </c>
      <c r="C21786" s="6" t="s">
        <v>1</v>
      </c>
    </row>
    <row r="21787" spans="1:3" s="8" customFormat="1" x14ac:dyDescent="0.2">
      <c r="A21787" s="6" t="str">
        <f>"NUP58"</f>
        <v>NUP58</v>
      </c>
      <c r="B21787" s="6" t="s">
        <v>1</v>
      </c>
      <c r="C21787" s="6" t="s">
        <v>1</v>
      </c>
    </row>
    <row r="21788" spans="1:3" s="8" customFormat="1" x14ac:dyDescent="0.2">
      <c r="A21788" s="6" t="str">
        <f>"REPS1"</f>
        <v>REPS1</v>
      </c>
      <c r="B21788" s="6" t="s">
        <v>1</v>
      </c>
      <c r="C21788" s="6" t="s">
        <v>1</v>
      </c>
    </row>
    <row r="21789" spans="1:3" s="8" customFormat="1" x14ac:dyDescent="0.2">
      <c r="A21789" s="6" t="str">
        <f>"CROT"</f>
        <v>CROT</v>
      </c>
      <c r="B21789" s="6" t="s">
        <v>1</v>
      </c>
      <c r="C21789" s="6" t="s">
        <v>1</v>
      </c>
    </row>
    <row r="21790" spans="1:3" s="8" customFormat="1" x14ac:dyDescent="0.2">
      <c r="A21790" s="6" t="str">
        <f>"ADM"</f>
        <v>ADM</v>
      </c>
      <c r="B21790" s="6" t="s">
        <v>1</v>
      </c>
      <c r="C21790" s="6" t="s">
        <v>1</v>
      </c>
    </row>
    <row r="21791" spans="1:3" s="8" customFormat="1" x14ac:dyDescent="0.2">
      <c r="A21791" s="6" t="str">
        <f>"PPARA"</f>
        <v>PPARA</v>
      </c>
      <c r="B21791" s="6" t="s">
        <v>1</v>
      </c>
      <c r="C21791" s="6" t="s">
        <v>1</v>
      </c>
    </row>
    <row r="21792" spans="1:3" s="8" customFormat="1" x14ac:dyDescent="0.2">
      <c r="A21792" s="6" t="str">
        <f>"CCNG2"</f>
        <v>CCNG2</v>
      </c>
      <c r="B21792" s="6" t="s">
        <v>1</v>
      </c>
      <c r="C21792" s="6" t="s">
        <v>1</v>
      </c>
    </row>
    <row r="21793" spans="1:3" s="8" customFormat="1" x14ac:dyDescent="0.2">
      <c r="A21793" s="6" t="str">
        <f>"BRAT1"</f>
        <v>BRAT1</v>
      </c>
      <c r="B21793" s="6" t="s">
        <v>1</v>
      </c>
      <c r="C21793" s="6" t="s">
        <v>1</v>
      </c>
    </row>
    <row r="21794" spans="1:3" s="8" customFormat="1" x14ac:dyDescent="0.2">
      <c r="A21794" s="6" t="str">
        <f>"COA3"</f>
        <v>COA3</v>
      </c>
      <c r="B21794" s="6" t="s">
        <v>1</v>
      </c>
      <c r="C21794" s="6" t="s">
        <v>1</v>
      </c>
    </row>
    <row r="21795" spans="1:3" s="8" customFormat="1" x14ac:dyDescent="0.2">
      <c r="A21795" s="6" t="str">
        <f>"EAF1"</f>
        <v>EAF1</v>
      </c>
      <c r="B21795" s="6" t="s">
        <v>1</v>
      </c>
      <c r="C21795" s="6" t="s">
        <v>1</v>
      </c>
    </row>
    <row r="21796" spans="1:3" s="8" customFormat="1" x14ac:dyDescent="0.2">
      <c r="A21796" s="6" t="str">
        <f>"F2R"</f>
        <v>F2R</v>
      </c>
      <c r="B21796" s="6" t="s">
        <v>1</v>
      </c>
      <c r="C21796" s="6" t="s">
        <v>1</v>
      </c>
    </row>
    <row r="21797" spans="1:3" s="8" customFormat="1" x14ac:dyDescent="0.2">
      <c r="A21797" s="6" t="str">
        <f>"NDUFB1"</f>
        <v>NDUFB1</v>
      </c>
      <c r="B21797" s="6" t="s">
        <v>1</v>
      </c>
      <c r="C21797" s="6" t="s">
        <v>1</v>
      </c>
    </row>
    <row r="21798" spans="1:3" s="8" customFormat="1" x14ac:dyDescent="0.2">
      <c r="A21798" s="6" t="str">
        <f>"REX1BD"</f>
        <v>REX1BD</v>
      </c>
      <c r="B21798" s="6" t="s">
        <v>1</v>
      </c>
      <c r="C21798" s="6" t="s">
        <v>1</v>
      </c>
    </row>
    <row r="21799" spans="1:3" s="8" customFormat="1" x14ac:dyDescent="0.2">
      <c r="A21799" s="6" t="str">
        <f>"SOCS6"</f>
        <v>SOCS6</v>
      </c>
      <c r="B21799" s="6" t="s">
        <v>1</v>
      </c>
      <c r="C21799" s="6" t="s">
        <v>1</v>
      </c>
    </row>
    <row r="21800" spans="1:3" s="8" customFormat="1" x14ac:dyDescent="0.2">
      <c r="A21800" s="6" t="str">
        <f>"BRCC3"</f>
        <v>BRCC3</v>
      </c>
      <c r="B21800" s="6" t="s">
        <v>1</v>
      </c>
      <c r="C21800" s="6" t="s">
        <v>1</v>
      </c>
    </row>
    <row r="21801" spans="1:3" s="8" customFormat="1" x14ac:dyDescent="0.2">
      <c r="A21801" s="6" t="str">
        <f>"ADPRS"</f>
        <v>ADPRS</v>
      </c>
      <c r="B21801" s="6" t="s">
        <v>1</v>
      </c>
      <c r="C21801" s="6" t="s">
        <v>1</v>
      </c>
    </row>
    <row r="21802" spans="1:3" s="8" customFormat="1" x14ac:dyDescent="0.2">
      <c r="A21802" s="6" t="str">
        <f>"C20orf194"</f>
        <v>C20orf194</v>
      </c>
      <c r="B21802" s="6" t="s">
        <v>1</v>
      </c>
      <c r="C21802" s="6" t="s">
        <v>1</v>
      </c>
    </row>
    <row r="21803" spans="1:3" s="8" customFormat="1" x14ac:dyDescent="0.2">
      <c r="A21803" s="6" t="str">
        <f>"JRK"</f>
        <v>JRK</v>
      </c>
      <c r="B21803" s="6" t="s">
        <v>1</v>
      </c>
      <c r="C21803" s="6" t="s">
        <v>1</v>
      </c>
    </row>
    <row r="21804" spans="1:3" s="8" customFormat="1" x14ac:dyDescent="0.2">
      <c r="A21804" s="6" t="str">
        <f>"GLRX3"</f>
        <v>GLRX3</v>
      </c>
      <c r="B21804" s="6" t="s">
        <v>1</v>
      </c>
      <c r="C21804" s="6" t="s">
        <v>1</v>
      </c>
    </row>
    <row r="21805" spans="1:3" s="8" customFormat="1" x14ac:dyDescent="0.2">
      <c r="A21805" s="6" t="str">
        <f>"BAK1"</f>
        <v>BAK1</v>
      </c>
      <c r="B21805" s="6" t="s">
        <v>1</v>
      </c>
      <c r="C21805" s="6" t="s">
        <v>1</v>
      </c>
    </row>
    <row r="21806" spans="1:3" s="8" customFormat="1" x14ac:dyDescent="0.2">
      <c r="A21806" s="6" t="str">
        <f>"RNF170"</f>
        <v>RNF170</v>
      </c>
      <c r="B21806" s="6" t="s">
        <v>1</v>
      </c>
      <c r="C21806" s="6" t="s">
        <v>1</v>
      </c>
    </row>
    <row r="21807" spans="1:3" s="8" customFormat="1" x14ac:dyDescent="0.2">
      <c r="A21807" s="6" t="str">
        <f>"GMCL1"</f>
        <v>GMCL1</v>
      </c>
      <c r="B21807" s="6" t="s">
        <v>1</v>
      </c>
      <c r="C21807" s="6" t="s">
        <v>1</v>
      </c>
    </row>
    <row r="21808" spans="1:3" s="8" customFormat="1" x14ac:dyDescent="0.2">
      <c r="A21808" s="6" t="str">
        <f>"ENOSF1"</f>
        <v>ENOSF1</v>
      </c>
      <c r="B21808" s="6" t="s">
        <v>1</v>
      </c>
      <c r="C21808" s="6" t="s">
        <v>1</v>
      </c>
    </row>
    <row r="21809" spans="1:3" s="8" customFormat="1" x14ac:dyDescent="0.2">
      <c r="A21809" s="6" t="str">
        <f>"MYRF"</f>
        <v>MYRF</v>
      </c>
      <c r="B21809" s="6" t="s">
        <v>1</v>
      </c>
      <c r="C21809" s="6" t="s">
        <v>1</v>
      </c>
    </row>
    <row r="21810" spans="1:3" s="8" customFormat="1" x14ac:dyDescent="0.2">
      <c r="A21810" s="6" t="str">
        <f>"DZIP1L"</f>
        <v>DZIP1L</v>
      </c>
      <c r="B21810" s="6" t="s">
        <v>1</v>
      </c>
      <c r="C21810" s="6" t="s">
        <v>1</v>
      </c>
    </row>
    <row r="21811" spans="1:3" s="8" customFormat="1" x14ac:dyDescent="0.2">
      <c r="A21811" s="6" t="str">
        <f>"VMA21"</f>
        <v>VMA21</v>
      </c>
      <c r="B21811" s="6" t="s">
        <v>1</v>
      </c>
      <c r="C21811" s="6" t="s">
        <v>1</v>
      </c>
    </row>
    <row r="21812" spans="1:3" s="8" customFormat="1" x14ac:dyDescent="0.2">
      <c r="A21812" s="6" t="str">
        <f>"PCLO"</f>
        <v>PCLO</v>
      </c>
      <c r="B21812" s="6" t="s">
        <v>1</v>
      </c>
      <c r="C21812" s="6" t="s">
        <v>1</v>
      </c>
    </row>
    <row r="21813" spans="1:3" s="8" customFormat="1" x14ac:dyDescent="0.2">
      <c r="A21813" s="6" t="str">
        <f>"SRP19"</f>
        <v>SRP19</v>
      </c>
      <c r="B21813" s="6" t="s">
        <v>1</v>
      </c>
      <c r="C21813" s="6" t="s">
        <v>1</v>
      </c>
    </row>
    <row r="21814" spans="1:3" s="8" customFormat="1" x14ac:dyDescent="0.2">
      <c r="A21814" s="6" t="str">
        <f>"EOGT"</f>
        <v>EOGT</v>
      </c>
      <c r="B21814" s="6" t="s">
        <v>1</v>
      </c>
      <c r="C21814" s="6" t="s">
        <v>1</v>
      </c>
    </row>
    <row r="21815" spans="1:3" s="8" customFormat="1" x14ac:dyDescent="0.2">
      <c r="A21815" s="6" t="str">
        <f>"RALGAPA1"</f>
        <v>RALGAPA1</v>
      </c>
      <c r="B21815" s="6" t="s">
        <v>1</v>
      </c>
      <c r="C21815" s="6" t="s">
        <v>1</v>
      </c>
    </row>
    <row r="21816" spans="1:3" s="8" customFormat="1" x14ac:dyDescent="0.2">
      <c r="A21816" s="6" t="str">
        <f>"RAD9A"</f>
        <v>RAD9A</v>
      </c>
      <c r="B21816" s="6" t="s">
        <v>1</v>
      </c>
      <c r="C21816" s="6" t="s">
        <v>1</v>
      </c>
    </row>
    <row r="21817" spans="1:3" s="8" customFormat="1" x14ac:dyDescent="0.2">
      <c r="A21817" s="6" t="str">
        <f>"NOL4L"</f>
        <v>NOL4L</v>
      </c>
      <c r="B21817" s="6" t="s">
        <v>1</v>
      </c>
      <c r="C21817" s="6" t="s">
        <v>1</v>
      </c>
    </row>
    <row r="21818" spans="1:3" s="8" customFormat="1" x14ac:dyDescent="0.2">
      <c r="A21818" s="6" t="str">
        <f>"AEBP2"</f>
        <v>AEBP2</v>
      </c>
      <c r="B21818" s="6" t="s">
        <v>1</v>
      </c>
      <c r="C21818" s="6" t="s">
        <v>1</v>
      </c>
    </row>
    <row r="21819" spans="1:3" s="8" customFormat="1" x14ac:dyDescent="0.2">
      <c r="A21819" s="6" t="str">
        <f>"DEF6"</f>
        <v>DEF6</v>
      </c>
      <c r="B21819" s="6" t="s">
        <v>1</v>
      </c>
      <c r="C21819" s="6" t="s">
        <v>1</v>
      </c>
    </row>
    <row r="21820" spans="1:3" s="8" customFormat="1" x14ac:dyDescent="0.2">
      <c r="A21820" s="6" t="str">
        <f>"PTPN21"</f>
        <v>PTPN21</v>
      </c>
      <c r="B21820" s="6" t="s">
        <v>1</v>
      </c>
      <c r="C21820" s="6" t="s">
        <v>1</v>
      </c>
    </row>
    <row r="21821" spans="1:3" s="8" customFormat="1" x14ac:dyDescent="0.2">
      <c r="A21821" s="6" t="str">
        <f>"ZNF622"</f>
        <v>ZNF622</v>
      </c>
      <c r="B21821" s="6" t="s">
        <v>1</v>
      </c>
      <c r="C21821" s="6" t="s">
        <v>1</v>
      </c>
    </row>
    <row r="21822" spans="1:3" s="8" customFormat="1" x14ac:dyDescent="0.2">
      <c r="A21822" s="6" t="str">
        <f>"WRAP53"</f>
        <v>WRAP53</v>
      </c>
      <c r="B21822" s="6" t="s">
        <v>1</v>
      </c>
      <c r="C21822" s="6" t="s">
        <v>1</v>
      </c>
    </row>
    <row r="21823" spans="1:3" s="8" customFormat="1" x14ac:dyDescent="0.2">
      <c r="A21823" s="6" t="str">
        <f>"MRPL54"</f>
        <v>MRPL54</v>
      </c>
      <c r="B21823" s="6" t="s">
        <v>1</v>
      </c>
      <c r="C21823" s="6" t="s">
        <v>1</v>
      </c>
    </row>
    <row r="21824" spans="1:3" s="8" customFormat="1" x14ac:dyDescent="0.2">
      <c r="A21824" s="6" t="str">
        <f>"MRPS10"</f>
        <v>MRPS10</v>
      </c>
      <c r="B21824" s="6" t="s">
        <v>1</v>
      </c>
      <c r="C21824" s="6" t="s">
        <v>1</v>
      </c>
    </row>
    <row r="21825" spans="1:3" s="8" customFormat="1" x14ac:dyDescent="0.2">
      <c r="A21825" s="6" t="str">
        <f>"SMAD1"</f>
        <v>SMAD1</v>
      </c>
      <c r="B21825" s="6" t="s">
        <v>1</v>
      </c>
      <c r="C21825" s="6" t="s">
        <v>1</v>
      </c>
    </row>
    <row r="21826" spans="1:3" s="8" customFormat="1" x14ac:dyDescent="0.2">
      <c r="A21826" s="6" t="str">
        <f>"MAB21L4"</f>
        <v>MAB21L4</v>
      </c>
      <c r="B21826" s="6" t="s">
        <v>1</v>
      </c>
      <c r="C21826" s="6" t="s">
        <v>1</v>
      </c>
    </row>
    <row r="21827" spans="1:3" s="8" customFormat="1" x14ac:dyDescent="0.2">
      <c r="A21827" s="6" t="str">
        <f>"DDX56"</f>
        <v>DDX56</v>
      </c>
      <c r="B21827" s="6" t="s">
        <v>1</v>
      </c>
      <c r="C21827" s="6" t="s">
        <v>1</v>
      </c>
    </row>
    <row r="21828" spans="1:3" s="8" customFormat="1" x14ac:dyDescent="0.2">
      <c r="A21828" s="6" t="str">
        <f>"IFIT1"</f>
        <v>IFIT1</v>
      </c>
      <c r="B21828" s="6" t="s">
        <v>1</v>
      </c>
      <c r="C21828" s="6" t="s">
        <v>1</v>
      </c>
    </row>
    <row r="21829" spans="1:3" s="8" customFormat="1" x14ac:dyDescent="0.2">
      <c r="A21829" s="6" t="str">
        <f>"ASAP3"</f>
        <v>ASAP3</v>
      </c>
      <c r="B21829" s="6" t="s">
        <v>1</v>
      </c>
      <c r="C21829" s="6" t="s">
        <v>1</v>
      </c>
    </row>
    <row r="21830" spans="1:3" s="8" customFormat="1" x14ac:dyDescent="0.2">
      <c r="A21830" s="6" t="str">
        <f>"ENTPD5"</f>
        <v>ENTPD5</v>
      </c>
      <c r="B21830" s="6" t="s">
        <v>1</v>
      </c>
      <c r="C21830" s="6" t="s">
        <v>1</v>
      </c>
    </row>
    <row r="21831" spans="1:3" s="8" customFormat="1" x14ac:dyDescent="0.2">
      <c r="A21831" s="6" t="str">
        <f>"IFTAP"</f>
        <v>IFTAP</v>
      </c>
      <c r="B21831" s="6" t="s">
        <v>1</v>
      </c>
      <c r="C21831" s="6" t="s">
        <v>1</v>
      </c>
    </row>
    <row r="21832" spans="1:3" s="8" customFormat="1" x14ac:dyDescent="0.2">
      <c r="A21832" s="6" t="str">
        <f>"ING5"</f>
        <v>ING5</v>
      </c>
      <c r="B21832" s="6" t="s">
        <v>1</v>
      </c>
      <c r="C21832" s="6" t="s">
        <v>1</v>
      </c>
    </row>
    <row r="21833" spans="1:3" s="8" customFormat="1" x14ac:dyDescent="0.2">
      <c r="A21833" s="6" t="str">
        <f>"LPCAT1"</f>
        <v>LPCAT1</v>
      </c>
      <c r="B21833" s="6" t="s">
        <v>1</v>
      </c>
      <c r="C21833" s="6" t="s">
        <v>1</v>
      </c>
    </row>
    <row r="21834" spans="1:3" s="8" customFormat="1" x14ac:dyDescent="0.2">
      <c r="A21834" s="6" t="str">
        <f>"ACACB"</f>
        <v>ACACB</v>
      </c>
      <c r="B21834" s="6" t="s">
        <v>1</v>
      </c>
      <c r="C21834" s="6" t="s">
        <v>1</v>
      </c>
    </row>
    <row r="21835" spans="1:3" s="8" customFormat="1" x14ac:dyDescent="0.2">
      <c r="A21835" s="6" t="str">
        <f>"CRYL1"</f>
        <v>CRYL1</v>
      </c>
      <c r="B21835" s="6" t="s">
        <v>1</v>
      </c>
      <c r="C21835" s="6" t="s">
        <v>1</v>
      </c>
    </row>
    <row r="21836" spans="1:3" s="8" customFormat="1" x14ac:dyDescent="0.2">
      <c r="A21836" s="6" t="str">
        <f>"F8A1"</f>
        <v>F8A1</v>
      </c>
      <c r="B21836" s="6" t="s">
        <v>1</v>
      </c>
      <c r="C21836" s="6" t="s">
        <v>1</v>
      </c>
    </row>
    <row r="21837" spans="1:3" s="8" customFormat="1" x14ac:dyDescent="0.2">
      <c r="A21837" s="6" t="str">
        <f>"CDYL"</f>
        <v>CDYL</v>
      </c>
      <c r="B21837" s="6" t="s">
        <v>1</v>
      </c>
      <c r="C21837" s="6" t="s">
        <v>1</v>
      </c>
    </row>
    <row r="21838" spans="1:3" s="8" customFormat="1" x14ac:dyDescent="0.2">
      <c r="A21838" s="6" t="str">
        <f>"COG2"</f>
        <v>COG2</v>
      </c>
      <c r="B21838" s="6" t="s">
        <v>1</v>
      </c>
      <c r="C21838" s="6" t="s">
        <v>1</v>
      </c>
    </row>
    <row r="21839" spans="1:3" s="8" customFormat="1" x14ac:dyDescent="0.2">
      <c r="A21839" s="6" t="str">
        <f>"DDX47"</f>
        <v>DDX47</v>
      </c>
      <c r="B21839" s="6" t="s">
        <v>1</v>
      </c>
      <c r="C21839" s="6" t="s">
        <v>1</v>
      </c>
    </row>
    <row r="21840" spans="1:3" s="8" customFormat="1" x14ac:dyDescent="0.2">
      <c r="A21840" s="6" t="str">
        <f>"ASMTL"</f>
        <v>ASMTL</v>
      </c>
      <c r="B21840" s="6" t="s">
        <v>1</v>
      </c>
      <c r="C21840" s="6" t="s">
        <v>1</v>
      </c>
    </row>
    <row r="21841" spans="1:3" s="8" customFormat="1" x14ac:dyDescent="0.2">
      <c r="A21841" s="6" t="str">
        <f>"RPRD1A"</f>
        <v>RPRD1A</v>
      </c>
      <c r="B21841" s="6" t="s">
        <v>1</v>
      </c>
      <c r="C21841" s="6" t="s">
        <v>1</v>
      </c>
    </row>
    <row r="21842" spans="1:3" s="8" customFormat="1" x14ac:dyDescent="0.2">
      <c r="A21842" s="6" t="str">
        <f>"RPRD1B"</f>
        <v>RPRD1B</v>
      </c>
      <c r="B21842" s="6" t="s">
        <v>1</v>
      </c>
      <c r="C21842" s="6" t="s">
        <v>1</v>
      </c>
    </row>
    <row r="21843" spans="1:3" s="8" customFormat="1" x14ac:dyDescent="0.2">
      <c r="A21843" s="6" t="str">
        <f>"ENTPD7"</f>
        <v>ENTPD7</v>
      </c>
      <c r="B21843" s="6" t="s">
        <v>1</v>
      </c>
      <c r="C21843" s="6" t="s">
        <v>1</v>
      </c>
    </row>
    <row r="21844" spans="1:3" s="8" customFormat="1" x14ac:dyDescent="0.2">
      <c r="A21844" s="6" t="str">
        <f>"DNASE1L1"</f>
        <v>DNASE1L1</v>
      </c>
      <c r="B21844" s="6" t="s">
        <v>1</v>
      </c>
      <c r="C21844" s="6" t="s">
        <v>1</v>
      </c>
    </row>
    <row r="21845" spans="1:3" s="8" customFormat="1" x14ac:dyDescent="0.2">
      <c r="A21845" s="6" t="str">
        <f>"KLF9"</f>
        <v>KLF9</v>
      </c>
      <c r="B21845" s="6" t="s">
        <v>1</v>
      </c>
      <c r="C21845" s="6" t="s">
        <v>1</v>
      </c>
    </row>
    <row r="21846" spans="1:3" s="8" customFormat="1" x14ac:dyDescent="0.2">
      <c r="A21846" s="6" t="str">
        <f>"EEF1AKNMT"</f>
        <v>EEF1AKNMT</v>
      </c>
      <c r="B21846" s="6" t="s">
        <v>1</v>
      </c>
      <c r="C21846" s="6" t="s">
        <v>1</v>
      </c>
    </row>
    <row r="21847" spans="1:3" s="8" customFormat="1" x14ac:dyDescent="0.2">
      <c r="A21847" s="6" t="str">
        <f>"PI4K2A"</f>
        <v>PI4K2A</v>
      </c>
      <c r="B21847" s="6" t="s">
        <v>1</v>
      </c>
      <c r="C21847" s="6" t="s">
        <v>1</v>
      </c>
    </row>
    <row r="21848" spans="1:3" s="8" customFormat="1" x14ac:dyDescent="0.2">
      <c r="A21848" s="6" t="str">
        <f>"BTAF1"</f>
        <v>BTAF1</v>
      </c>
      <c r="B21848" s="6" t="s">
        <v>1</v>
      </c>
      <c r="C21848" s="6" t="s">
        <v>1</v>
      </c>
    </row>
    <row r="21849" spans="1:3" s="8" customFormat="1" x14ac:dyDescent="0.2">
      <c r="A21849" s="6" t="str">
        <f>"MED28"</f>
        <v>MED28</v>
      </c>
      <c r="B21849" s="6" t="s">
        <v>1</v>
      </c>
      <c r="C21849" s="6" t="s">
        <v>1</v>
      </c>
    </row>
    <row r="21850" spans="1:3" s="8" customFormat="1" x14ac:dyDescent="0.2">
      <c r="A21850" s="6" t="str">
        <f>"SLC25A44"</f>
        <v>SLC25A44</v>
      </c>
      <c r="B21850" s="6" t="s">
        <v>1</v>
      </c>
      <c r="C21850" s="6" t="s">
        <v>1</v>
      </c>
    </row>
    <row r="21851" spans="1:3" s="8" customFormat="1" x14ac:dyDescent="0.2">
      <c r="A21851" s="6" t="str">
        <f>"CNTROB"</f>
        <v>CNTROB</v>
      </c>
      <c r="B21851" s="6" t="s">
        <v>1</v>
      </c>
      <c r="C21851" s="6" t="s">
        <v>1</v>
      </c>
    </row>
    <row r="21852" spans="1:3" s="8" customFormat="1" x14ac:dyDescent="0.2">
      <c r="A21852" s="6" t="str">
        <f>"PTK6"</f>
        <v>PTK6</v>
      </c>
      <c r="B21852" s="6" t="s">
        <v>1</v>
      </c>
      <c r="C21852" s="6" t="s">
        <v>1</v>
      </c>
    </row>
    <row r="21853" spans="1:3" s="8" customFormat="1" x14ac:dyDescent="0.2">
      <c r="A21853" s="6" t="str">
        <f>"DNMT3A"</f>
        <v>DNMT3A</v>
      </c>
      <c r="B21853" s="6" t="s">
        <v>1</v>
      </c>
      <c r="C21853" s="6" t="s">
        <v>1</v>
      </c>
    </row>
    <row r="21854" spans="1:3" s="8" customFormat="1" x14ac:dyDescent="0.2">
      <c r="A21854" s="6" t="str">
        <f>"ZC3H7A"</f>
        <v>ZC3H7A</v>
      </c>
      <c r="B21854" s="6" t="s">
        <v>1</v>
      </c>
      <c r="C21854" s="6" t="s">
        <v>1</v>
      </c>
    </row>
    <row r="21855" spans="1:3" s="8" customFormat="1" x14ac:dyDescent="0.2">
      <c r="A21855" s="6" t="str">
        <f>"ME2"</f>
        <v>ME2</v>
      </c>
      <c r="B21855" s="6" t="s">
        <v>1</v>
      </c>
      <c r="C21855" s="6" t="s">
        <v>1</v>
      </c>
    </row>
    <row r="21856" spans="1:3" s="8" customFormat="1" x14ac:dyDescent="0.2">
      <c r="A21856" s="6" t="str">
        <f>"FZD8"</f>
        <v>FZD8</v>
      </c>
      <c r="B21856" s="6" t="s">
        <v>1</v>
      </c>
      <c r="C21856" s="6" t="s">
        <v>1</v>
      </c>
    </row>
    <row r="21857" spans="1:3" s="8" customFormat="1" x14ac:dyDescent="0.2">
      <c r="A21857" s="6" t="str">
        <f>"TMEM147"</f>
        <v>TMEM147</v>
      </c>
      <c r="B21857" s="6" t="s">
        <v>1</v>
      </c>
      <c r="C21857" s="6" t="s">
        <v>1</v>
      </c>
    </row>
    <row r="21858" spans="1:3" s="8" customFormat="1" x14ac:dyDescent="0.2">
      <c r="A21858" s="6" t="str">
        <f>"CNST"</f>
        <v>CNST</v>
      </c>
      <c r="B21858" s="6" t="s">
        <v>1</v>
      </c>
      <c r="C21858" s="6" t="s">
        <v>1</v>
      </c>
    </row>
    <row r="21859" spans="1:3" s="8" customFormat="1" x14ac:dyDescent="0.2">
      <c r="A21859" s="6" t="str">
        <f>"FKBP11"</f>
        <v>FKBP11</v>
      </c>
      <c r="B21859" s="6" t="s">
        <v>1</v>
      </c>
      <c r="C21859" s="6" t="s">
        <v>1</v>
      </c>
    </row>
    <row r="21860" spans="1:3" s="8" customFormat="1" x14ac:dyDescent="0.2">
      <c r="A21860" s="6" t="str">
        <f>"KAT8"</f>
        <v>KAT8</v>
      </c>
      <c r="B21860" s="6" t="s">
        <v>1</v>
      </c>
      <c r="C21860" s="6" t="s">
        <v>1</v>
      </c>
    </row>
    <row r="21861" spans="1:3" s="8" customFormat="1" x14ac:dyDescent="0.2">
      <c r="A21861" s="6" t="str">
        <f>"TMEM134"</f>
        <v>TMEM134</v>
      </c>
      <c r="B21861" s="6" t="s">
        <v>1</v>
      </c>
      <c r="C21861" s="6" t="s">
        <v>1</v>
      </c>
    </row>
    <row r="21862" spans="1:3" s="8" customFormat="1" x14ac:dyDescent="0.2">
      <c r="A21862" s="6" t="str">
        <f>"FAXDC2"</f>
        <v>FAXDC2</v>
      </c>
      <c r="B21862" s="6" t="s">
        <v>1</v>
      </c>
      <c r="C21862" s="6" t="s">
        <v>1</v>
      </c>
    </row>
    <row r="21863" spans="1:3" s="8" customFormat="1" x14ac:dyDescent="0.2">
      <c r="A21863" s="6" t="str">
        <f>"CHPT1"</f>
        <v>CHPT1</v>
      </c>
      <c r="B21863" s="6" t="s">
        <v>1</v>
      </c>
      <c r="C21863" s="6" t="s">
        <v>1</v>
      </c>
    </row>
    <row r="21864" spans="1:3" s="8" customFormat="1" x14ac:dyDescent="0.2">
      <c r="A21864" s="6" t="str">
        <f>"RNF14"</f>
        <v>RNF14</v>
      </c>
      <c r="B21864" s="6" t="s">
        <v>1</v>
      </c>
      <c r="C21864" s="6" t="s">
        <v>1</v>
      </c>
    </row>
    <row r="21865" spans="1:3" s="8" customFormat="1" x14ac:dyDescent="0.2">
      <c r="A21865" s="6" t="str">
        <f>"C2orf68"</f>
        <v>C2orf68</v>
      </c>
      <c r="B21865" s="6" t="s">
        <v>1</v>
      </c>
      <c r="C21865" s="6" t="s">
        <v>1</v>
      </c>
    </row>
    <row r="21866" spans="1:3" s="8" customFormat="1" x14ac:dyDescent="0.2">
      <c r="A21866" s="6" t="str">
        <f>"DDX49"</f>
        <v>DDX49</v>
      </c>
      <c r="B21866" s="6" t="s">
        <v>1</v>
      </c>
      <c r="C21866" s="6" t="s">
        <v>1</v>
      </c>
    </row>
    <row r="21867" spans="1:3" s="8" customFormat="1" x14ac:dyDescent="0.2">
      <c r="A21867" s="6" t="str">
        <f>"TMEM141"</f>
        <v>TMEM141</v>
      </c>
      <c r="B21867" s="6" t="s">
        <v>1</v>
      </c>
      <c r="C21867" s="6" t="s">
        <v>1</v>
      </c>
    </row>
    <row r="21868" spans="1:3" s="8" customFormat="1" x14ac:dyDescent="0.2">
      <c r="A21868" s="6" t="str">
        <f>"STX6"</f>
        <v>STX6</v>
      </c>
      <c r="B21868" s="6" t="s">
        <v>1</v>
      </c>
      <c r="C21868" s="6" t="s">
        <v>1</v>
      </c>
    </row>
    <row r="21869" spans="1:3" s="8" customFormat="1" x14ac:dyDescent="0.2">
      <c r="A21869" s="6" t="str">
        <f>"FMC1-LUC7L2"</f>
        <v>FMC1-LUC7L2</v>
      </c>
      <c r="B21869" s="6" t="s">
        <v>1</v>
      </c>
      <c r="C21869" s="6" t="s">
        <v>1</v>
      </c>
    </row>
    <row r="21870" spans="1:3" s="8" customFormat="1" x14ac:dyDescent="0.2">
      <c r="A21870" s="6" t="str">
        <f>"NAA10"</f>
        <v>NAA10</v>
      </c>
      <c r="B21870" s="6" t="s">
        <v>1</v>
      </c>
      <c r="C21870" s="6" t="s">
        <v>1</v>
      </c>
    </row>
    <row r="21871" spans="1:3" s="8" customFormat="1" x14ac:dyDescent="0.2">
      <c r="A21871" s="6" t="str">
        <f>"NOP58"</f>
        <v>NOP58</v>
      </c>
      <c r="B21871" s="6" t="s">
        <v>1</v>
      </c>
      <c r="C21871" s="6" t="s">
        <v>1</v>
      </c>
    </row>
    <row r="21872" spans="1:3" s="8" customFormat="1" x14ac:dyDescent="0.2">
      <c r="A21872" s="6" t="str">
        <f>"VEGFB"</f>
        <v>VEGFB</v>
      </c>
      <c r="B21872" s="6" t="s">
        <v>1</v>
      </c>
      <c r="C21872" s="6" t="s">
        <v>1</v>
      </c>
    </row>
    <row r="21873" spans="1:3" s="8" customFormat="1" x14ac:dyDescent="0.2">
      <c r="A21873" s="6" t="str">
        <f>"LHPP"</f>
        <v>LHPP</v>
      </c>
      <c r="B21873" s="6" t="s">
        <v>1</v>
      </c>
      <c r="C21873" s="6" t="s">
        <v>1</v>
      </c>
    </row>
    <row r="21874" spans="1:3" s="8" customFormat="1" x14ac:dyDescent="0.2">
      <c r="A21874" s="6" t="str">
        <f>"PPFIBP2"</f>
        <v>PPFIBP2</v>
      </c>
      <c r="B21874" s="6" t="s">
        <v>1</v>
      </c>
      <c r="C21874" s="6" t="s">
        <v>1</v>
      </c>
    </row>
    <row r="21875" spans="1:3" s="8" customFormat="1" x14ac:dyDescent="0.2">
      <c r="A21875" s="6" t="str">
        <f>"PLEKHO2"</f>
        <v>PLEKHO2</v>
      </c>
      <c r="B21875" s="6" t="s">
        <v>1</v>
      </c>
      <c r="C21875" s="6" t="s">
        <v>1</v>
      </c>
    </row>
    <row r="21876" spans="1:3" s="8" customFormat="1" x14ac:dyDescent="0.2">
      <c r="A21876" s="6" t="str">
        <f>"PDCD10"</f>
        <v>PDCD10</v>
      </c>
      <c r="B21876" s="6" t="s">
        <v>1</v>
      </c>
      <c r="C21876" s="6" t="s">
        <v>1</v>
      </c>
    </row>
    <row r="21877" spans="1:3" s="8" customFormat="1" x14ac:dyDescent="0.2">
      <c r="A21877" s="6" t="str">
        <f>"BACH1"</f>
        <v>BACH1</v>
      </c>
      <c r="B21877" s="6" t="s">
        <v>1</v>
      </c>
      <c r="C21877" s="6" t="s">
        <v>1</v>
      </c>
    </row>
    <row r="21878" spans="1:3" s="8" customFormat="1" x14ac:dyDescent="0.2">
      <c r="A21878" s="6" t="str">
        <f>"MCTP2"</f>
        <v>MCTP2</v>
      </c>
      <c r="B21878" s="6" t="s">
        <v>1</v>
      </c>
      <c r="C21878" s="6" t="s">
        <v>1</v>
      </c>
    </row>
    <row r="21879" spans="1:3" s="8" customFormat="1" x14ac:dyDescent="0.2">
      <c r="A21879" s="6" t="str">
        <f>"F2RL1"</f>
        <v>F2RL1</v>
      </c>
      <c r="B21879" s="6" t="s">
        <v>1</v>
      </c>
      <c r="C21879" s="6" t="s">
        <v>1</v>
      </c>
    </row>
    <row r="21880" spans="1:3" s="8" customFormat="1" x14ac:dyDescent="0.2">
      <c r="A21880" s="6" t="str">
        <f>"DDX60"</f>
        <v>DDX60</v>
      </c>
      <c r="B21880" s="6" t="s">
        <v>1</v>
      </c>
      <c r="C21880" s="6" t="s">
        <v>1</v>
      </c>
    </row>
    <row r="21881" spans="1:3" s="8" customFormat="1" x14ac:dyDescent="0.2">
      <c r="A21881" s="6" t="str">
        <f>"RALGPS2"</f>
        <v>RALGPS2</v>
      </c>
      <c r="B21881" s="6" t="s">
        <v>1</v>
      </c>
      <c r="C21881" s="6" t="s">
        <v>1</v>
      </c>
    </row>
    <row r="21882" spans="1:3" s="8" customFormat="1" x14ac:dyDescent="0.2">
      <c r="A21882" s="6" t="str">
        <f>"MLH1"</f>
        <v>MLH1</v>
      </c>
      <c r="B21882" s="6" t="s">
        <v>1</v>
      </c>
      <c r="C21882" s="6" t="s">
        <v>1</v>
      </c>
    </row>
    <row r="21883" spans="1:3" s="8" customFormat="1" x14ac:dyDescent="0.2">
      <c r="A21883" s="6" t="str">
        <f>"PRKRA"</f>
        <v>PRKRA</v>
      </c>
      <c r="B21883" s="6" t="s">
        <v>1</v>
      </c>
      <c r="C21883" s="6" t="s">
        <v>1</v>
      </c>
    </row>
    <row r="21884" spans="1:3" s="8" customFormat="1" x14ac:dyDescent="0.2">
      <c r="A21884" s="6" t="str">
        <f>"C2CD2"</f>
        <v>C2CD2</v>
      </c>
      <c r="B21884" s="6" t="s">
        <v>1</v>
      </c>
      <c r="C21884" s="6" t="s">
        <v>1</v>
      </c>
    </row>
    <row r="21885" spans="1:3" s="8" customFormat="1" x14ac:dyDescent="0.2">
      <c r="A21885" s="6" t="str">
        <f>"MCM7"</f>
        <v>MCM7</v>
      </c>
      <c r="B21885" s="6" t="s">
        <v>1</v>
      </c>
      <c r="C21885" s="6" t="s">
        <v>1</v>
      </c>
    </row>
    <row r="21886" spans="1:3" s="8" customFormat="1" x14ac:dyDescent="0.2">
      <c r="A21886" s="6" t="str">
        <f>"CNNM3"</f>
        <v>CNNM3</v>
      </c>
      <c r="B21886" s="6" t="s">
        <v>1</v>
      </c>
      <c r="C21886" s="6" t="s">
        <v>1</v>
      </c>
    </row>
    <row r="21887" spans="1:3" s="8" customFormat="1" x14ac:dyDescent="0.2">
      <c r="A21887" s="6" t="str">
        <f>"OCEL1"</f>
        <v>OCEL1</v>
      </c>
      <c r="B21887" s="6" t="s">
        <v>1</v>
      </c>
      <c r="C21887" s="6" t="s">
        <v>1</v>
      </c>
    </row>
    <row r="21888" spans="1:3" s="8" customFormat="1" x14ac:dyDescent="0.2">
      <c r="A21888" s="6" t="str">
        <f>"PROSER1"</f>
        <v>PROSER1</v>
      </c>
      <c r="B21888" s="6" t="s">
        <v>1</v>
      </c>
      <c r="C21888" s="6" t="s">
        <v>1</v>
      </c>
    </row>
    <row r="21889" spans="1:3" s="8" customFormat="1" x14ac:dyDescent="0.2">
      <c r="A21889" s="6" t="str">
        <f>"KLHL9"</f>
        <v>KLHL9</v>
      </c>
      <c r="B21889" s="6" t="s">
        <v>1</v>
      </c>
      <c r="C21889" s="6" t="s">
        <v>1</v>
      </c>
    </row>
    <row r="21890" spans="1:3" s="8" customFormat="1" x14ac:dyDescent="0.2">
      <c r="A21890" s="6" t="str">
        <f>"HMGCL"</f>
        <v>HMGCL</v>
      </c>
      <c r="B21890" s="6" t="s">
        <v>1</v>
      </c>
      <c r="C21890" s="6" t="s">
        <v>1</v>
      </c>
    </row>
    <row r="21891" spans="1:3" s="8" customFormat="1" x14ac:dyDescent="0.2">
      <c r="A21891" s="6" t="str">
        <f>"GALNT11"</f>
        <v>GALNT11</v>
      </c>
      <c r="B21891" s="6" t="s">
        <v>1</v>
      </c>
      <c r="C21891" s="6" t="s">
        <v>1</v>
      </c>
    </row>
    <row r="21892" spans="1:3" s="8" customFormat="1" x14ac:dyDescent="0.2">
      <c r="A21892" s="6" t="str">
        <f>"SELENOI"</f>
        <v>SELENOI</v>
      </c>
      <c r="B21892" s="6" t="s">
        <v>1</v>
      </c>
      <c r="C21892" s="6" t="s">
        <v>1</v>
      </c>
    </row>
    <row r="21893" spans="1:3" s="8" customFormat="1" x14ac:dyDescent="0.2">
      <c r="A21893" s="6" t="str">
        <f>"IER3IP1"</f>
        <v>IER3IP1</v>
      </c>
      <c r="B21893" s="6" t="s">
        <v>1</v>
      </c>
      <c r="C21893" s="6" t="s">
        <v>1</v>
      </c>
    </row>
    <row r="21894" spans="1:3" s="8" customFormat="1" x14ac:dyDescent="0.2">
      <c r="A21894" s="6" t="str">
        <f>"IFIT2"</f>
        <v>IFIT2</v>
      </c>
      <c r="B21894" s="6" t="s">
        <v>1</v>
      </c>
      <c r="C21894" s="6" t="s">
        <v>1</v>
      </c>
    </row>
    <row r="21895" spans="1:3" s="8" customFormat="1" x14ac:dyDescent="0.2">
      <c r="A21895" s="6" t="str">
        <f>"SRGAP1"</f>
        <v>SRGAP1</v>
      </c>
      <c r="B21895" s="6" t="s">
        <v>1</v>
      </c>
      <c r="C21895" s="6" t="s">
        <v>1</v>
      </c>
    </row>
    <row r="21896" spans="1:3" s="8" customFormat="1" x14ac:dyDescent="0.2">
      <c r="A21896" s="6" t="str">
        <f>"MDM1"</f>
        <v>MDM1</v>
      </c>
      <c r="B21896" s="6" t="s">
        <v>1</v>
      </c>
      <c r="C21896" s="6" t="s">
        <v>1</v>
      </c>
    </row>
    <row r="21897" spans="1:3" s="8" customFormat="1" x14ac:dyDescent="0.2">
      <c r="A21897" s="6" t="str">
        <f>"CREBZF"</f>
        <v>CREBZF</v>
      </c>
      <c r="B21897" s="6" t="s">
        <v>1</v>
      </c>
      <c r="C21897" s="6" t="s">
        <v>1</v>
      </c>
    </row>
    <row r="21898" spans="1:3" s="8" customFormat="1" x14ac:dyDescent="0.2">
      <c r="A21898" s="6" t="str">
        <f>"DENND5A"</f>
        <v>DENND5A</v>
      </c>
      <c r="B21898" s="6" t="s">
        <v>1</v>
      </c>
      <c r="C21898" s="6" t="s">
        <v>1</v>
      </c>
    </row>
    <row r="21899" spans="1:3" s="8" customFormat="1" x14ac:dyDescent="0.2">
      <c r="A21899" s="6" t="str">
        <f>"THAP12"</f>
        <v>THAP12</v>
      </c>
      <c r="B21899" s="6" t="s">
        <v>1</v>
      </c>
      <c r="C21899" s="6" t="s">
        <v>1</v>
      </c>
    </row>
    <row r="21900" spans="1:3" s="8" customFormat="1" x14ac:dyDescent="0.2">
      <c r="A21900" s="6" t="str">
        <f>"PCIF1"</f>
        <v>PCIF1</v>
      </c>
      <c r="B21900" s="6" t="s">
        <v>1</v>
      </c>
      <c r="C21900" s="6" t="s">
        <v>1</v>
      </c>
    </row>
    <row r="21901" spans="1:3" s="8" customFormat="1" x14ac:dyDescent="0.2">
      <c r="A21901" s="6" t="str">
        <f>"ENDOD1"</f>
        <v>ENDOD1</v>
      </c>
      <c r="B21901" s="6" t="s">
        <v>1</v>
      </c>
      <c r="C21901" s="6" t="s">
        <v>1</v>
      </c>
    </row>
    <row r="21902" spans="1:3" s="8" customFormat="1" x14ac:dyDescent="0.2">
      <c r="A21902" s="6" t="str">
        <f>"P4HA1"</f>
        <v>P4HA1</v>
      </c>
      <c r="B21902" s="6" t="s">
        <v>1</v>
      </c>
      <c r="C21902" s="6" t="s">
        <v>1</v>
      </c>
    </row>
    <row r="21903" spans="1:3" s="8" customFormat="1" x14ac:dyDescent="0.2">
      <c r="A21903" s="6" t="str">
        <f>"COG8"</f>
        <v>COG8</v>
      </c>
      <c r="B21903" s="6" t="s">
        <v>1</v>
      </c>
      <c r="C21903" s="6" t="s">
        <v>1</v>
      </c>
    </row>
    <row r="21904" spans="1:3" s="8" customFormat="1" x14ac:dyDescent="0.2">
      <c r="A21904" s="6" t="str">
        <f>"HAGHL"</f>
        <v>HAGHL</v>
      </c>
      <c r="B21904" s="6" t="s">
        <v>1</v>
      </c>
      <c r="C21904" s="6" t="s">
        <v>1</v>
      </c>
    </row>
    <row r="21905" spans="1:3" s="8" customFormat="1" x14ac:dyDescent="0.2">
      <c r="A21905" s="6" t="str">
        <f>"CNOT6L"</f>
        <v>CNOT6L</v>
      </c>
      <c r="B21905" s="6" t="s">
        <v>1</v>
      </c>
      <c r="C21905" s="6" t="s">
        <v>1</v>
      </c>
    </row>
    <row r="21906" spans="1:3" s="8" customFormat="1" x14ac:dyDescent="0.2">
      <c r="A21906" s="6" t="str">
        <f>"PHLDA1"</f>
        <v>PHLDA1</v>
      </c>
      <c r="B21906" s="6" t="s">
        <v>1</v>
      </c>
      <c r="C21906" s="6" t="s">
        <v>1</v>
      </c>
    </row>
    <row r="21907" spans="1:3" s="8" customFormat="1" x14ac:dyDescent="0.2">
      <c r="A21907" s="6" t="str">
        <f>"C2orf50"</f>
        <v>C2orf50</v>
      </c>
      <c r="B21907" s="6" t="s">
        <v>1</v>
      </c>
      <c r="C21907" s="6" t="s">
        <v>1</v>
      </c>
    </row>
    <row r="21908" spans="1:3" s="8" customFormat="1" x14ac:dyDescent="0.2">
      <c r="A21908" s="6" t="str">
        <f>"INO80E"</f>
        <v>INO80E</v>
      </c>
      <c r="B21908" s="6" t="s">
        <v>1</v>
      </c>
      <c r="C21908" s="6" t="s">
        <v>1</v>
      </c>
    </row>
    <row r="21909" spans="1:3" s="8" customFormat="1" x14ac:dyDescent="0.2">
      <c r="A21909" s="6" t="str">
        <f>"SMARCD1"</f>
        <v>SMARCD1</v>
      </c>
      <c r="B21909" s="6" t="s">
        <v>1</v>
      </c>
      <c r="C21909" s="6" t="s">
        <v>1</v>
      </c>
    </row>
    <row r="21910" spans="1:3" s="8" customFormat="1" x14ac:dyDescent="0.2">
      <c r="A21910" s="6" t="str">
        <f>"TUB"</f>
        <v>TUB</v>
      </c>
      <c r="B21910" s="6" t="s">
        <v>1</v>
      </c>
      <c r="C21910" s="6" t="s">
        <v>1</v>
      </c>
    </row>
    <row r="21911" spans="1:3" s="8" customFormat="1" x14ac:dyDescent="0.2">
      <c r="A21911" s="6" t="str">
        <f>"NDUFB2"</f>
        <v>NDUFB2</v>
      </c>
      <c r="B21911" s="6" t="s">
        <v>1</v>
      </c>
      <c r="C21911" s="6" t="s">
        <v>1</v>
      </c>
    </row>
    <row r="21912" spans="1:3" s="8" customFormat="1" x14ac:dyDescent="0.2">
      <c r="A21912" s="6" t="str">
        <f>"NUDT9"</f>
        <v>NUDT9</v>
      </c>
      <c r="B21912" s="6" t="s">
        <v>1</v>
      </c>
      <c r="C21912" s="6" t="s">
        <v>1</v>
      </c>
    </row>
    <row r="21913" spans="1:3" s="8" customFormat="1" x14ac:dyDescent="0.2">
      <c r="A21913" s="6" t="str">
        <f>"PLEKHG1"</f>
        <v>PLEKHG1</v>
      </c>
      <c r="B21913" s="6" t="s">
        <v>1</v>
      </c>
      <c r="C21913" s="6" t="s">
        <v>1</v>
      </c>
    </row>
    <row r="21914" spans="1:3" s="8" customFormat="1" x14ac:dyDescent="0.2">
      <c r="A21914" s="6" t="str">
        <f>"MIR205HG"</f>
        <v>MIR205HG</v>
      </c>
      <c r="B21914" s="6" t="s">
        <v>1</v>
      </c>
      <c r="C21914" s="6" t="s">
        <v>1</v>
      </c>
    </row>
    <row r="21915" spans="1:3" s="8" customFormat="1" x14ac:dyDescent="0.2">
      <c r="A21915" s="6" t="str">
        <f>"DENND10"</f>
        <v>DENND10</v>
      </c>
      <c r="B21915" s="6" t="s">
        <v>1</v>
      </c>
      <c r="C21915" s="6" t="s">
        <v>1</v>
      </c>
    </row>
    <row r="21916" spans="1:3" s="8" customFormat="1" x14ac:dyDescent="0.2">
      <c r="A21916" s="6" t="str">
        <f>"PTPMT1"</f>
        <v>PTPMT1</v>
      </c>
      <c r="B21916" s="6" t="s">
        <v>1</v>
      </c>
      <c r="C21916" s="6" t="s">
        <v>1</v>
      </c>
    </row>
    <row r="21917" spans="1:3" s="8" customFormat="1" x14ac:dyDescent="0.2">
      <c r="A21917" s="6" t="str">
        <f>"NECAP1"</f>
        <v>NECAP1</v>
      </c>
      <c r="B21917" s="6" t="s">
        <v>1</v>
      </c>
      <c r="C21917" s="6" t="s">
        <v>1</v>
      </c>
    </row>
    <row r="21918" spans="1:3" s="8" customFormat="1" x14ac:dyDescent="0.2">
      <c r="A21918" s="6" t="str">
        <f>"ALDH5A1"</f>
        <v>ALDH5A1</v>
      </c>
      <c r="B21918" s="6" t="s">
        <v>1</v>
      </c>
      <c r="C21918" s="6" t="s">
        <v>1</v>
      </c>
    </row>
    <row r="21919" spans="1:3" s="8" customFormat="1" x14ac:dyDescent="0.2">
      <c r="A21919" s="6" t="str">
        <f>"FLNC"</f>
        <v>FLNC</v>
      </c>
      <c r="B21919" s="6" t="s">
        <v>1</v>
      </c>
      <c r="C21919" s="6" t="s">
        <v>1</v>
      </c>
    </row>
    <row r="21920" spans="1:3" s="8" customFormat="1" x14ac:dyDescent="0.2">
      <c r="A21920" s="6" t="str">
        <f>"MIR22HG"</f>
        <v>MIR22HG</v>
      </c>
      <c r="B21920" s="6" t="s">
        <v>1</v>
      </c>
      <c r="C21920" s="6" t="s">
        <v>1</v>
      </c>
    </row>
    <row r="21921" spans="1:3" s="8" customFormat="1" x14ac:dyDescent="0.2">
      <c r="A21921" s="6" t="str">
        <f>"MDC1"</f>
        <v>MDC1</v>
      </c>
      <c r="B21921" s="6" t="s">
        <v>1</v>
      </c>
      <c r="C21921" s="6" t="s">
        <v>1</v>
      </c>
    </row>
    <row r="21922" spans="1:3" s="8" customFormat="1" x14ac:dyDescent="0.2">
      <c r="A21922" s="6" t="str">
        <f>"LGALS9C"</f>
        <v>LGALS9C</v>
      </c>
      <c r="B21922" s="6" t="s">
        <v>1</v>
      </c>
      <c r="C21922" s="6" t="s">
        <v>1</v>
      </c>
    </row>
    <row r="21923" spans="1:3" s="8" customFormat="1" x14ac:dyDescent="0.2">
      <c r="A21923" s="6" t="str">
        <f>"FYB1"</f>
        <v>FYB1</v>
      </c>
      <c r="B21923" s="6" t="s">
        <v>1</v>
      </c>
      <c r="C21923" s="6" t="s">
        <v>1</v>
      </c>
    </row>
    <row r="21924" spans="1:3" s="8" customFormat="1" x14ac:dyDescent="0.2">
      <c r="A21924" s="6" t="str">
        <f>"INPP5E"</f>
        <v>INPP5E</v>
      </c>
      <c r="B21924" s="6" t="s">
        <v>1</v>
      </c>
      <c r="C21924" s="6" t="s">
        <v>1</v>
      </c>
    </row>
    <row r="21925" spans="1:3" s="8" customFormat="1" x14ac:dyDescent="0.2">
      <c r="A21925" s="6" t="str">
        <f>"ALG1"</f>
        <v>ALG1</v>
      </c>
      <c r="B21925" s="6" t="s">
        <v>1</v>
      </c>
      <c r="C21925" s="6" t="s">
        <v>1</v>
      </c>
    </row>
    <row r="21926" spans="1:3" s="8" customFormat="1" x14ac:dyDescent="0.2">
      <c r="A21926" s="6" t="str">
        <f>"FAM98A"</f>
        <v>FAM98A</v>
      </c>
      <c r="B21926" s="6" t="s">
        <v>1</v>
      </c>
      <c r="C21926" s="6" t="s">
        <v>1</v>
      </c>
    </row>
    <row r="21927" spans="1:3" s="8" customFormat="1" x14ac:dyDescent="0.2">
      <c r="A21927" s="6" t="str">
        <f>"TRIM11"</f>
        <v>TRIM11</v>
      </c>
      <c r="B21927" s="6" t="s">
        <v>1</v>
      </c>
      <c r="C21927" s="6" t="s">
        <v>1</v>
      </c>
    </row>
    <row r="21928" spans="1:3" s="8" customFormat="1" x14ac:dyDescent="0.2">
      <c r="A21928" s="6" t="str">
        <f>"SRGAP2"</f>
        <v>SRGAP2</v>
      </c>
      <c r="B21928" s="6" t="s">
        <v>1</v>
      </c>
      <c r="C21928" s="6" t="s">
        <v>1</v>
      </c>
    </row>
    <row r="21929" spans="1:3" s="8" customFormat="1" x14ac:dyDescent="0.2">
      <c r="A21929" s="6" t="str">
        <f>"FAM83A"</f>
        <v>FAM83A</v>
      </c>
      <c r="B21929" s="6" t="s">
        <v>1</v>
      </c>
      <c r="C21929" s="6" t="s">
        <v>1</v>
      </c>
    </row>
    <row r="21930" spans="1:3" s="8" customFormat="1" x14ac:dyDescent="0.2">
      <c r="A21930" s="6" t="str">
        <f>"ADSS1"</f>
        <v>ADSS1</v>
      </c>
      <c r="B21930" s="6" t="s">
        <v>1</v>
      </c>
      <c r="C21930" s="6" t="s">
        <v>1</v>
      </c>
    </row>
    <row r="21931" spans="1:3" s="8" customFormat="1" x14ac:dyDescent="0.2">
      <c r="A21931" s="6" t="str">
        <f>"ALG2"</f>
        <v>ALG2</v>
      </c>
      <c r="B21931" s="6" t="s">
        <v>1</v>
      </c>
      <c r="C21931" s="6" t="s">
        <v>1</v>
      </c>
    </row>
    <row r="21932" spans="1:3" s="8" customFormat="1" x14ac:dyDescent="0.2">
      <c r="A21932" s="6" t="str">
        <f>"CNPY2"</f>
        <v>CNPY2</v>
      </c>
      <c r="B21932" s="6" t="s">
        <v>1</v>
      </c>
      <c r="C21932" s="6" t="s">
        <v>1</v>
      </c>
    </row>
    <row r="21933" spans="1:3" s="8" customFormat="1" x14ac:dyDescent="0.2">
      <c r="A21933" s="6" t="str">
        <f>"CRLS1"</f>
        <v>CRLS1</v>
      </c>
      <c r="B21933" s="6" t="s">
        <v>1</v>
      </c>
      <c r="C21933" s="6" t="s">
        <v>1</v>
      </c>
    </row>
    <row r="21934" spans="1:3" s="8" customFormat="1" x14ac:dyDescent="0.2">
      <c r="A21934" s="6" t="str">
        <f>"SELPLG"</f>
        <v>SELPLG</v>
      </c>
      <c r="B21934" s="6" t="s">
        <v>1</v>
      </c>
      <c r="C21934" s="6" t="s">
        <v>1</v>
      </c>
    </row>
    <row r="21935" spans="1:3" s="8" customFormat="1" x14ac:dyDescent="0.2">
      <c r="A21935" s="6" t="str">
        <f>"LGR4"</f>
        <v>LGR4</v>
      </c>
      <c r="B21935" s="6" t="s">
        <v>1</v>
      </c>
      <c r="C21935" s="6" t="s">
        <v>1</v>
      </c>
    </row>
    <row r="21936" spans="1:3" s="8" customFormat="1" x14ac:dyDescent="0.2">
      <c r="A21936" s="6" t="str">
        <f>"DOC2B"</f>
        <v>DOC2B</v>
      </c>
      <c r="B21936" s="6" t="s">
        <v>1</v>
      </c>
      <c r="C21936" s="6" t="s">
        <v>1</v>
      </c>
    </row>
    <row r="21937" spans="1:3" s="8" customFormat="1" x14ac:dyDescent="0.2">
      <c r="A21937" s="6" t="str">
        <f>"MAFF"</f>
        <v>MAFF</v>
      </c>
      <c r="B21937" s="6" t="s">
        <v>1</v>
      </c>
      <c r="C21937" s="6" t="s">
        <v>1</v>
      </c>
    </row>
    <row r="21938" spans="1:3" s="8" customFormat="1" x14ac:dyDescent="0.2">
      <c r="A21938" s="6" t="str">
        <f>"VCPIP1"</f>
        <v>VCPIP1</v>
      </c>
      <c r="B21938" s="6" t="s">
        <v>1</v>
      </c>
      <c r="C21938" s="6" t="s">
        <v>1</v>
      </c>
    </row>
    <row r="21939" spans="1:3" s="8" customFormat="1" x14ac:dyDescent="0.2">
      <c r="A21939" s="6" t="str">
        <f>"IFIH1"</f>
        <v>IFIH1</v>
      </c>
      <c r="B21939" s="6" t="s">
        <v>1</v>
      </c>
      <c r="C21939" s="6" t="s">
        <v>1</v>
      </c>
    </row>
    <row r="21940" spans="1:3" s="8" customFormat="1" x14ac:dyDescent="0.2">
      <c r="A21940" s="6" t="str">
        <f>"COBLL1"</f>
        <v>COBLL1</v>
      </c>
      <c r="B21940" s="6" t="s">
        <v>1</v>
      </c>
      <c r="C21940" s="6" t="s">
        <v>1</v>
      </c>
    </row>
    <row r="21941" spans="1:3" s="8" customFormat="1" x14ac:dyDescent="0.2">
      <c r="A21941" s="6" t="str">
        <f>"CHSY1"</f>
        <v>CHSY1</v>
      </c>
      <c r="B21941" s="6" t="s">
        <v>1</v>
      </c>
      <c r="C21941" s="6" t="s">
        <v>1</v>
      </c>
    </row>
    <row r="21942" spans="1:3" s="8" customFormat="1" x14ac:dyDescent="0.2">
      <c r="A21942" s="6" t="str">
        <f>"LGALS9B"</f>
        <v>LGALS9B</v>
      </c>
      <c r="B21942" s="6" t="s">
        <v>1</v>
      </c>
      <c r="C21942" s="6" t="s">
        <v>1</v>
      </c>
    </row>
    <row r="21943" spans="1:3" s="8" customFormat="1" x14ac:dyDescent="0.2">
      <c r="A21943" s="6" t="str">
        <f>"POLD3"</f>
        <v>POLD3</v>
      </c>
      <c r="B21943" s="6" t="s">
        <v>1</v>
      </c>
      <c r="C21943" s="6" t="s">
        <v>1</v>
      </c>
    </row>
    <row r="21944" spans="1:3" s="8" customFormat="1" x14ac:dyDescent="0.2">
      <c r="A21944" s="6" t="str">
        <f>"LFNG"</f>
        <v>LFNG</v>
      </c>
      <c r="B21944" s="6" t="s">
        <v>1</v>
      </c>
      <c r="C21944" s="6" t="s">
        <v>1</v>
      </c>
    </row>
    <row r="21945" spans="1:3" s="8" customFormat="1" x14ac:dyDescent="0.2">
      <c r="A21945" s="6" t="str">
        <f>"SOGA1"</f>
        <v>SOGA1</v>
      </c>
      <c r="B21945" s="6" t="s">
        <v>1</v>
      </c>
      <c r="C21945" s="6" t="s">
        <v>1</v>
      </c>
    </row>
    <row r="21946" spans="1:3" s="8" customFormat="1" x14ac:dyDescent="0.2">
      <c r="A21946" s="6" t="str">
        <f>"ASIC1"</f>
        <v>ASIC1</v>
      </c>
      <c r="B21946" s="6" t="s">
        <v>1</v>
      </c>
      <c r="C21946" s="6" t="s">
        <v>1</v>
      </c>
    </row>
    <row r="21947" spans="1:3" s="8" customFormat="1" x14ac:dyDescent="0.2">
      <c r="A21947" s="6" t="str">
        <f>"KLK10"</f>
        <v>KLK10</v>
      </c>
      <c r="B21947" s="6" t="s">
        <v>1</v>
      </c>
      <c r="C21947" s="6" t="s">
        <v>1</v>
      </c>
    </row>
    <row r="21948" spans="1:3" s="8" customFormat="1" x14ac:dyDescent="0.2">
      <c r="A21948" s="6" t="str">
        <f>"MRPS15"</f>
        <v>MRPS15</v>
      </c>
      <c r="B21948" s="6" t="s">
        <v>1</v>
      </c>
      <c r="C21948" s="6" t="s">
        <v>1</v>
      </c>
    </row>
    <row r="21949" spans="1:3" s="8" customFormat="1" x14ac:dyDescent="0.2">
      <c r="A21949" s="6" t="str">
        <f>"OTUD6B-AS1"</f>
        <v>OTUD6B-AS1</v>
      </c>
      <c r="B21949" s="6" t="s">
        <v>1</v>
      </c>
      <c r="C21949" s="6" t="s">
        <v>1</v>
      </c>
    </row>
    <row r="21950" spans="1:3" s="8" customFormat="1" x14ac:dyDescent="0.2">
      <c r="A21950" s="6" t="str">
        <f>"NDUFA3"</f>
        <v>NDUFA3</v>
      </c>
      <c r="B21950" s="6" t="s">
        <v>1</v>
      </c>
      <c r="C21950" s="6" t="s">
        <v>1</v>
      </c>
    </row>
    <row r="21951" spans="1:3" s="8" customFormat="1" x14ac:dyDescent="0.2">
      <c r="A21951" s="6" t="str">
        <f>"CHST15"</f>
        <v>CHST15</v>
      </c>
      <c r="B21951" s="6" t="s">
        <v>1</v>
      </c>
      <c r="C21951" s="6" t="s">
        <v>1</v>
      </c>
    </row>
    <row r="21952" spans="1:3" s="8" customFormat="1" x14ac:dyDescent="0.2">
      <c r="A21952" s="6" t="str">
        <f>"NAA15"</f>
        <v>NAA15</v>
      </c>
      <c r="B21952" s="6" t="s">
        <v>1</v>
      </c>
      <c r="C21952" s="6" t="s">
        <v>1</v>
      </c>
    </row>
    <row r="21953" spans="1:3" s="8" customFormat="1" x14ac:dyDescent="0.2">
      <c r="A21953" s="6" t="str">
        <f>"INO80B"</f>
        <v>INO80B</v>
      </c>
      <c r="B21953" s="6" t="s">
        <v>1</v>
      </c>
      <c r="C21953" s="6" t="s">
        <v>1</v>
      </c>
    </row>
    <row r="21954" spans="1:3" s="8" customFormat="1" x14ac:dyDescent="0.2">
      <c r="A21954" s="6" t="str">
        <f>"APOE"</f>
        <v>APOE</v>
      </c>
      <c r="B21954" s="6" t="s">
        <v>1</v>
      </c>
      <c r="C21954" s="6" t="s">
        <v>1</v>
      </c>
    </row>
    <row r="21955" spans="1:3" s="8" customFormat="1" x14ac:dyDescent="0.2">
      <c r="A21955" s="6" t="str">
        <f>"MED23"</f>
        <v>MED23</v>
      </c>
      <c r="B21955" s="6" t="s">
        <v>1</v>
      </c>
      <c r="C21955" s="6" t="s">
        <v>1</v>
      </c>
    </row>
    <row r="21956" spans="1:3" s="8" customFormat="1" x14ac:dyDescent="0.2">
      <c r="A21956" s="6" t="str">
        <f>"ADGRL1"</f>
        <v>ADGRL1</v>
      </c>
      <c r="B21956" s="6" t="s">
        <v>1</v>
      </c>
      <c r="C21956" s="6" t="s">
        <v>1</v>
      </c>
    </row>
    <row r="21957" spans="1:3" s="8" customFormat="1" x14ac:dyDescent="0.2">
      <c r="A21957" s="6" t="str">
        <f>"OXCT1"</f>
        <v>OXCT1</v>
      </c>
      <c r="B21957" s="6" t="s">
        <v>1</v>
      </c>
      <c r="C21957" s="6" t="s">
        <v>1</v>
      </c>
    </row>
    <row r="21958" spans="1:3" s="8" customFormat="1" x14ac:dyDescent="0.2">
      <c r="A21958" s="6" t="str">
        <f>"STXBP3"</f>
        <v>STXBP3</v>
      </c>
      <c r="B21958" s="6" t="s">
        <v>1</v>
      </c>
      <c r="C21958" s="6" t="s">
        <v>1</v>
      </c>
    </row>
    <row r="21959" spans="1:3" s="8" customFormat="1" x14ac:dyDescent="0.2">
      <c r="A21959" s="6" t="str">
        <f>"CEBPZOS"</f>
        <v>CEBPZOS</v>
      </c>
      <c r="B21959" s="6" t="s">
        <v>1</v>
      </c>
      <c r="C21959" s="6" t="s">
        <v>1</v>
      </c>
    </row>
    <row r="21960" spans="1:3" s="8" customFormat="1" x14ac:dyDescent="0.2">
      <c r="A21960" s="6" t="str">
        <f>"RFFL"</f>
        <v>RFFL</v>
      </c>
      <c r="B21960" s="6" t="s">
        <v>1</v>
      </c>
      <c r="C21960" s="6" t="s">
        <v>1</v>
      </c>
    </row>
    <row r="21961" spans="1:3" s="8" customFormat="1" x14ac:dyDescent="0.2">
      <c r="A21961" s="6" t="str">
        <f>"CEBPG"</f>
        <v>CEBPG</v>
      </c>
      <c r="B21961" s="6" t="s">
        <v>1</v>
      </c>
      <c r="C21961" s="6" t="s">
        <v>1</v>
      </c>
    </row>
    <row r="21962" spans="1:3" s="8" customFormat="1" x14ac:dyDescent="0.2">
      <c r="A21962" s="6" t="str">
        <f>"AC108519.1"</f>
        <v>AC108519.1</v>
      </c>
      <c r="B21962" s="6" t="s">
        <v>1</v>
      </c>
      <c r="C21962" s="6" t="s">
        <v>1</v>
      </c>
    </row>
    <row r="21963" spans="1:3" s="8" customFormat="1" x14ac:dyDescent="0.2">
      <c r="A21963" s="6" t="str">
        <f>"DNAJC21"</f>
        <v>DNAJC21</v>
      </c>
      <c r="B21963" s="6" t="s">
        <v>1</v>
      </c>
      <c r="C21963" s="6" t="s">
        <v>1</v>
      </c>
    </row>
    <row r="21964" spans="1:3" s="8" customFormat="1" x14ac:dyDescent="0.2">
      <c r="A21964" s="6" t="str">
        <f>"APPBP2"</f>
        <v>APPBP2</v>
      </c>
      <c r="B21964" s="6" t="s">
        <v>1</v>
      </c>
      <c r="C21964" s="6" t="s">
        <v>1</v>
      </c>
    </row>
    <row r="21965" spans="1:3" s="8" customFormat="1" x14ac:dyDescent="0.2">
      <c r="A21965" s="6" t="str">
        <f>"MYG1"</f>
        <v>MYG1</v>
      </c>
      <c r="B21965" s="6" t="s">
        <v>1</v>
      </c>
      <c r="C21965" s="6" t="s">
        <v>1</v>
      </c>
    </row>
    <row r="21966" spans="1:3" s="8" customFormat="1" x14ac:dyDescent="0.2">
      <c r="A21966" s="6" t="str">
        <f>"TNFAIP8"</f>
        <v>TNFAIP8</v>
      </c>
      <c r="B21966" s="6" t="s">
        <v>1</v>
      </c>
      <c r="C21966" s="6" t="s">
        <v>1</v>
      </c>
    </row>
    <row r="21967" spans="1:3" s="8" customFormat="1" x14ac:dyDescent="0.2">
      <c r="A21967" s="6" t="str">
        <f>"APOO"</f>
        <v>APOO</v>
      </c>
      <c r="B21967" s="6" t="s">
        <v>1</v>
      </c>
      <c r="C21967" s="6" t="s">
        <v>1</v>
      </c>
    </row>
    <row r="21968" spans="1:3" s="8" customFormat="1" x14ac:dyDescent="0.2">
      <c r="A21968" s="6" t="str">
        <f>"TMEM150C"</f>
        <v>TMEM150C</v>
      </c>
      <c r="B21968" s="6" t="s">
        <v>1</v>
      </c>
      <c r="C21968" s="6" t="s">
        <v>1</v>
      </c>
    </row>
    <row r="21969" spans="1:3" s="8" customFormat="1" x14ac:dyDescent="0.2">
      <c r="A21969" s="6" t="str">
        <f>"GAB2"</f>
        <v>GAB2</v>
      </c>
      <c r="B21969" s="6" t="s">
        <v>1</v>
      </c>
      <c r="C21969" s="6" t="s">
        <v>1</v>
      </c>
    </row>
    <row r="21970" spans="1:3" s="8" customFormat="1" x14ac:dyDescent="0.2">
      <c r="A21970" s="6" t="str">
        <f>"N4BP2L2"</f>
        <v>N4BP2L2</v>
      </c>
      <c r="B21970" s="6" t="s">
        <v>1</v>
      </c>
      <c r="C21970" s="6" t="s">
        <v>1</v>
      </c>
    </row>
    <row r="21971" spans="1:3" s="8" customFormat="1" x14ac:dyDescent="0.2">
      <c r="A21971" s="6" t="str">
        <f>"IGF2BP2"</f>
        <v>IGF2BP2</v>
      </c>
      <c r="B21971" s="6" t="s">
        <v>1</v>
      </c>
      <c r="C21971" s="6" t="s">
        <v>1</v>
      </c>
    </row>
    <row r="21972" spans="1:3" s="8" customFormat="1" x14ac:dyDescent="0.2">
      <c r="A21972" s="6" t="str">
        <f>"NOMO3"</f>
        <v>NOMO3</v>
      </c>
      <c r="B21972" s="6" t="s">
        <v>1</v>
      </c>
      <c r="C21972" s="6" t="s">
        <v>1</v>
      </c>
    </row>
    <row r="21973" spans="1:3" s="8" customFormat="1" x14ac:dyDescent="0.2">
      <c r="A21973" s="6" t="str">
        <f>"TBC1D8B"</f>
        <v>TBC1D8B</v>
      </c>
      <c r="B21973" s="6" t="s">
        <v>1</v>
      </c>
      <c r="C21973" s="6" t="s">
        <v>1</v>
      </c>
    </row>
    <row r="21974" spans="1:3" s="8" customFormat="1" x14ac:dyDescent="0.2">
      <c r="A21974" s="6" t="str">
        <f>"E2F4"</f>
        <v>E2F4</v>
      </c>
      <c r="B21974" s="6" t="s">
        <v>1</v>
      </c>
      <c r="C21974" s="6" t="s">
        <v>1</v>
      </c>
    </row>
    <row r="21975" spans="1:3" s="8" customFormat="1" x14ac:dyDescent="0.2">
      <c r="A21975" s="6" t="str">
        <f>"TTLL3"</f>
        <v>TTLL3</v>
      </c>
      <c r="B21975" s="6" t="s">
        <v>1</v>
      </c>
      <c r="C21975" s="6" t="s">
        <v>1</v>
      </c>
    </row>
    <row r="21976" spans="1:3" s="8" customFormat="1" x14ac:dyDescent="0.2">
      <c r="A21976" s="6" t="str">
        <f>"PCNA"</f>
        <v>PCNA</v>
      </c>
      <c r="B21976" s="6" t="s">
        <v>1</v>
      </c>
      <c r="C21976" s="6" t="s">
        <v>1</v>
      </c>
    </row>
    <row r="21977" spans="1:3" s="8" customFormat="1" x14ac:dyDescent="0.2">
      <c r="A21977" s="6" t="str">
        <f>"COG3"</f>
        <v>COG3</v>
      </c>
      <c r="B21977" s="6" t="s">
        <v>1</v>
      </c>
      <c r="C21977" s="6" t="s">
        <v>1</v>
      </c>
    </row>
    <row r="21978" spans="1:3" s="8" customFormat="1" x14ac:dyDescent="0.2">
      <c r="A21978" s="6" t="str">
        <f>"P2RX4"</f>
        <v>P2RX4</v>
      </c>
      <c r="B21978" s="6" t="s">
        <v>1</v>
      </c>
      <c r="C21978" s="6" t="s">
        <v>1</v>
      </c>
    </row>
    <row r="21979" spans="1:3" s="8" customFormat="1" x14ac:dyDescent="0.2">
      <c r="A21979" s="6" t="str">
        <f>"NEK6"</f>
        <v>NEK6</v>
      </c>
      <c r="B21979" s="6" t="s">
        <v>1</v>
      </c>
      <c r="C21979" s="6" t="s">
        <v>1</v>
      </c>
    </row>
    <row r="21980" spans="1:3" s="8" customFormat="1" x14ac:dyDescent="0.2">
      <c r="A21980" s="6" t="str">
        <f>"ME1"</f>
        <v>ME1</v>
      </c>
      <c r="B21980" s="6" t="s">
        <v>1</v>
      </c>
      <c r="C21980" s="6" t="s">
        <v>1</v>
      </c>
    </row>
    <row r="21981" spans="1:3" s="8" customFormat="1" x14ac:dyDescent="0.2">
      <c r="A21981" s="6" t="str">
        <f>"PTN"</f>
        <v>PTN</v>
      </c>
      <c r="B21981" s="6" t="s">
        <v>1</v>
      </c>
      <c r="C21981" s="6" t="s">
        <v>1</v>
      </c>
    </row>
    <row r="21982" spans="1:3" s="8" customFormat="1" x14ac:dyDescent="0.2">
      <c r="A21982" s="6" t="str">
        <f>"PPA2"</f>
        <v>PPA2</v>
      </c>
      <c r="B21982" s="6" t="s">
        <v>1</v>
      </c>
      <c r="C21982" s="6" t="s">
        <v>1</v>
      </c>
    </row>
    <row r="21983" spans="1:3" s="8" customFormat="1" x14ac:dyDescent="0.2">
      <c r="A21983" s="6" t="str">
        <f>"GIT2"</f>
        <v>GIT2</v>
      </c>
      <c r="B21983" s="6" t="s">
        <v>1</v>
      </c>
      <c r="C21983" s="6" t="s">
        <v>1</v>
      </c>
    </row>
    <row r="21984" spans="1:3" s="8" customFormat="1" x14ac:dyDescent="0.2">
      <c r="A21984" s="6" t="str">
        <f>"IFI44"</f>
        <v>IFI44</v>
      </c>
      <c r="B21984" s="6" t="s">
        <v>1</v>
      </c>
      <c r="C21984" s="6" t="s">
        <v>1</v>
      </c>
    </row>
    <row r="21985" spans="1:3" s="8" customFormat="1" x14ac:dyDescent="0.2">
      <c r="A21985" s="6" t="str">
        <f>"PTPN12"</f>
        <v>PTPN12</v>
      </c>
      <c r="B21985" s="6" t="s">
        <v>1</v>
      </c>
      <c r="C21985" s="6" t="s">
        <v>1</v>
      </c>
    </row>
    <row r="21986" spans="1:3" s="8" customFormat="1" x14ac:dyDescent="0.2">
      <c r="A21986" s="6" t="str">
        <f>"SNX4"</f>
        <v>SNX4</v>
      </c>
      <c r="B21986" s="6" t="s">
        <v>1</v>
      </c>
      <c r="C21986" s="6" t="s">
        <v>1</v>
      </c>
    </row>
    <row r="21987" spans="1:3" s="8" customFormat="1" x14ac:dyDescent="0.2">
      <c r="A21987" s="6" t="str">
        <f>"EMC1"</f>
        <v>EMC1</v>
      </c>
      <c r="B21987" s="6" t="s">
        <v>1</v>
      </c>
      <c r="C21987" s="6" t="s">
        <v>1</v>
      </c>
    </row>
    <row r="21988" spans="1:3" s="8" customFormat="1" x14ac:dyDescent="0.2">
      <c r="A21988" s="6" t="str">
        <f>"IFT52"</f>
        <v>IFT52</v>
      </c>
      <c r="B21988" s="6" t="s">
        <v>1</v>
      </c>
      <c r="C21988" s="6" t="s">
        <v>1</v>
      </c>
    </row>
    <row r="21989" spans="1:3" s="8" customFormat="1" x14ac:dyDescent="0.2">
      <c r="A21989" s="6" t="str">
        <f>"MRPS31"</f>
        <v>MRPS31</v>
      </c>
      <c r="B21989" s="6" t="s">
        <v>1</v>
      </c>
      <c r="C21989" s="6" t="s">
        <v>1</v>
      </c>
    </row>
    <row r="21990" spans="1:3" s="8" customFormat="1" x14ac:dyDescent="0.2">
      <c r="A21990" s="6" t="str">
        <f>"BTD"</f>
        <v>BTD</v>
      </c>
      <c r="B21990" s="6" t="s">
        <v>1</v>
      </c>
      <c r="C21990" s="6" t="s">
        <v>1</v>
      </c>
    </row>
    <row r="21991" spans="1:3" s="8" customFormat="1" x14ac:dyDescent="0.2">
      <c r="A21991" s="6" t="str">
        <f>"MDN1"</f>
        <v>MDN1</v>
      </c>
      <c r="B21991" s="6" t="s">
        <v>1</v>
      </c>
      <c r="C21991" s="6" t="s">
        <v>1</v>
      </c>
    </row>
    <row r="21992" spans="1:3" s="8" customFormat="1" x14ac:dyDescent="0.2">
      <c r="A21992" s="6" t="str">
        <f>"RANBP10"</f>
        <v>RANBP10</v>
      </c>
      <c r="B21992" s="6" t="s">
        <v>1</v>
      </c>
      <c r="C21992" s="6" t="s">
        <v>1</v>
      </c>
    </row>
    <row r="21993" spans="1:3" s="8" customFormat="1" x14ac:dyDescent="0.2">
      <c r="A21993" s="6" t="str">
        <f>"REV3L"</f>
        <v>REV3L</v>
      </c>
      <c r="B21993" s="6" t="s">
        <v>1</v>
      </c>
      <c r="C21993" s="6" t="s">
        <v>1</v>
      </c>
    </row>
    <row r="21994" spans="1:3" s="8" customFormat="1" x14ac:dyDescent="0.2">
      <c r="A21994" s="6" t="str">
        <f>"MDH1B"</f>
        <v>MDH1B</v>
      </c>
      <c r="B21994" s="6" t="s">
        <v>1</v>
      </c>
      <c r="C21994" s="6" t="s">
        <v>1</v>
      </c>
    </row>
    <row r="21995" spans="1:3" s="8" customFormat="1" x14ac:dyDescent="0.2">
      <c r="A21995" s="6" t="str">
        <f>"SHARPIN"</f>
        <v>SHARPIN</v>
      </c>
      <c r="B21995" s="6" t="s">
        <v>1</v>
      </c>
      <c r="C21995" s="6" t="s">
        <v>1</v>
      </c>
    </row>
    <row r="21996" spans="1:3" s="8" customFormat="1" x14ac:dyDescent="0.2">
      <c r="A21996" s="6" t="str">
        <f>"TRIM13"</f>
        <v>TRIM13</v>
      </c>
      <c r="B21996" s="6" t="s">
        <v>1</v>
      </c>
      <c r="C21996" s="6" t="s">
        <v>1</v>
      </c>
    </row>
    <row r="21997" spans="1:3" s="8" customFormat="1" x14ac:dyDescent="0.2">
      <c r="A21997" s="6" t="str">
        <f>"NEK7"</f>
        <v>NEK7</v>
      </c>
      <c r="B21997" s="6" t="s">
        <v>1</v>
      </c>
      <c r="C21997" s="6" t="s">
        <v>1</v>
      </c>
    </row>
    <row r="21998" spans="1:3" s="8" customFormat="1" x14ac:dyDescent="0.2">
      <c r="A21998" s="6" t="str">
        <f>"KLHL12"</f>
        <v>KLHL12</v>
      </c>
      <c r="B21998" s="6" t="s">
        <v>1</v>
      </c>
      <c r="C21998" s="6" t="s">
        <v>1</v>
      </c>
    </row>
    <row r="21999" spans="1:3" s="8" customFormat="1" x14ac:dyDescent="0.2">
      <c r="A21999" s="6" t="str">
        <f>"MSL3"</f>
        <v>MSL3</v>
      </c>
      <c r="B21999" s="6" t="s">
        <v>1</v>
      </c>
      <c r="C21999" s="6" t="s">
        <v>1</v>
      </c>
    </row>
    <row r="22000" spans="1:3" s="8" customFormat="1" x14ac:dyDescent="0.2">
      <c r="A22000" s="6" t="str">
        <f>"NELFA"</f>
        <v>NELFA</v>
      </c>
      <c r="B22000" s="6" t="s">
        <v>1</v>
      </c>
      <c r="C22000" s="6" t="s">
        <v>1</v>
      </c>
    </row>
    <row r="22001" spans="1:3" s="8" customFormat="1" x14ac:dyDescent="0.2">
      <c r="A22001" s="6" t="str">
        <f>"NEMF"</f>
        <v>NEMF</v>
      </c>
      <c r="B22001" s="6" t="s">
        <v>1</v>
      </c>
      <c r="C22001" s="6" t="s">
        <v>1</v>
      </c>
    </row>
    <row r="22002" spans="1:3" s="8" customFormat="1" x14ac:dyDescent="0.2">
      <c r="A22002" s="6" t="str">
        <f>"IPMK"</f>
        <v>IPMK</v>
      </c>
      <c r="B22002" s="6" t="s">
        <v>1</v>
      </c>
      <c r="C22002" s="6" t="s">
        <v>1</v>
      </c>
    </row>
    <row r="22003" spans="1:3" s="8" customFormat="1" x14ac:dyDescent="0.2">
      <c r="A22003" s="6" t="str">
        <f>"FAM104A"</f>
        <v>FAM104A</v>
      </c>
      <c r="B22003" s="6" t="s">
        <v>1</v>
      </c>
      <c r="C22003" s="6" t="s">
        <v>1</v>
      </c>
    </row>
    <row r="22004" spans="1:3" s="8" customFormat="1" x14ac:dyDescent="0.2">
      <c r="A22004" s="6" t="str">
        <f>"EXTL3"</f>
        <v>EXTL3</v>
      </c>
      <c r="B22004" s="6" t="s">
        <v>1</v>
      </c>
      <c r="C22004" s="6" t="s">
        <v>1</v>
      </c>
    </row>
    <row r="22005" spans="1:3" s="8" customFormat="1" x14ac:dyDescent="0.2">
      <c r="A22005" s="6" t="str">
        <f>"DOCK6"</f>
        <v>DOCK6</v>
      </c>
      <c r="B22005" s="6" t="s">
        <v>1</v>
      </c>
      <c r="C22005" s="6" t="s">
        <v>1</v>
      </c>
    </row>
    <row r="22006" spans="1:3" s="8" customFormat="1" x14ac:dyDescent="0.2">
      <c r="A22006" s="6" t="str">
        <f>"VEZT"</f>
        <v>VEZT</v>
      </c>
      <c r="B22006" s="6" t="s">
        <v>1</v>
      </c>
      <c r="C22006" s="6" t="s">
        <v>1</v>
      </c>
    </row>
    <row r="22007" spans="1:3" s="8" customFormat="1" x14ac:dyDescent="0.2">
      <c r="A22007" s="6" t="str">
        <f>"RNF185"</f>
        <v>RNF185</v>
      </c>
      <c r="B22007" s="6" t="s">
        <v>1</v>
      </c>
      <c r="C22007" s="6" t="s">
        <v>1</v>
      </c>
    </row>
    <row r="22008" spans="1:3" s="8" customFormat="1" x14ac:dyDescent="0.2">
      <c r="A22008" s="6" t="str">
        <f>"OARD1"</f>
        <v>OARD1</v>
      </c>
      <c r="B22008" s="6" t="s">
        <v>1</v>
      </c>
      <c r="C22008" s="6" t="s">
        <v>1</v>
      </c>
    </row>
    <row r="22009" spans="1:3" s="8" customFormat="1" x14ac:dyDescent="0.2">
      <c r="A22009" s="6" t="str">
        <f>"ECHDC2"</f>
        <v>ECHDC2</v>
      </c>
      <c r="B22009" s="6" t="s">
        <v>1</v>
      </c>
      <c r="C22009" s="6" t="s">
        <v>1</v>
      </c>
    </row>
    <row r="22010" spans="1:3" s="8" customFormat="1" x14ac:dyDescent="0.2">
      <c r="A22010" s="6" t="str">
        <f>"DNM1L"</f>
        <v>DNM1L</v>
      </c>
      <c r="B22010" s="6" t="s">
        <v>1</v>
      </c>
      <c r="C22010" s="6" t="s">
        <v>1</v>
      </c>
    </row>
    <row r="22011" spans="1:3" s="8" customFormat="1" x14ac:dyDescent="0.2">
      <c r="A22011" s="6" t="str">
        <f>"CRYBG3"</f>
        <v>CRYBG3</v>
      </c>
      <c r="B22011" s="6" t="s">
        <v>1</v>
      </c>
      <c r="C22011" s="6" t="s">
        <v>1</v>
      </c>
    </row>
    <row r="22012" spans="1:3" s="8" customFormat="1" x14ac:dyDescent="0.2">
      <c r="A22012" s="6" t="str">
        <f>"DELE1"</f>
        <v>DELE1</v>
      </c>
      <c r="B22012" s="6" t="s">
        <v>1</v>
      </c>
      <c r="C22012" s="6" t="s">
        <v>1</v>
      </c>
    </row>
    <row r="22013" spans="1:3" s="8" customFormat="1" x14ac:dyDescent="0.2">
      <c r="A22013" s="6" t="str">
        <f>"INPP4B"</f>
        <v>INPP4B</v>
      </c>
      <c r="B22013" s="6" t="s">
        <v>1</v>
      </c>
      <c r="C22013" s="6" t="s">
        <v>1</v>
      </c>
    </row>
    <row r="22014" spans="1:3" s="8" customFormat="1" x14ac:dyDescent="0.2">
      <c r="A22014" s="6" t="str">
        <f>"PTPN9"</f>
        <v>PTPN9</v>
      </c>
      <c r="B22014" s="6" t="s">
        <v>1</v>
      </c>
      <c r="C22014" s="6" t="s">
        <v>1</v>
      </c>
    </row>
    <row r="22015" spans="1:3" s="8" customFormat="1" x14ac:dyDescent="0.2">
      <c r="A22015" s="6" t="str">
        <f>"PCMTD2"</f>
        <v>PCMTD2</v>
      </c>
      <c r="B22015" s="6" t="s">
        <v>1</v>
      </c>
      <c r="C22015" s="6" t="s">
        <v>1</v>
      </c>
    </row>
    <row r="22016" spans="1:3" s="8" customFormat="1" x14ac:dyDescent="0.2">
      <c r="A22016" s="6" t="str">
        <f>"VKORC1L1"</f>
        <v>VKORC1L1</v>
      </c>
      <c r="B22016" s="6" t="s">
        <v>1</v>
      </c>
      <c r="C22016" s="6" t="s">
        <v>1</v>
      </c>
    </row>
    <row r="22017" spans="1:3" s="8" customFormat="1" x14ac:dyDescent="0.2">
      <c r="A22017" s="6" t="str">
        <f>"INSIG1"</f>
        <v>INSIG1</v>
      </c>
      <c r="B22017" s="6" t="s">
        <v>1</v>
      </c>
      <c r="C22017" s="6" t="s">
        <v>1</v>
      </c>
    </row>
    <row r="22018" spans="1:3" s="8" customFormat="1" x14ac:dyDescent="0.2">
      <c r="A22018" s="6" t="str">
        <f>"PLEKHG3"</f>
        <v>PLEKHG3</v>
      </c>
      <c r="B22018" s="6" t="s">
        <v>1</v>
      </c>
      <c r="C22018" s="6" t="s">
        <v>1</v>
      </c>
    </row>
    <row r="22019" spans="1:3" s="8" customFormat="1" x14ac:dyDescent="0.2">
      <c r="A22019" s="6" t="str">
        <f>"NDUFAB1"</f>
        <v>NDUFAB1</v>
      </c>
      <c r="B22019" s="6" t="s">
        <v>1</v>
      </c>
      <c r="C22019" s="6" t="s">
        <v>1</v>
      </c>
    </row>
    <row r="22020" spans="1:3" s="8" customFormat="1" x14ac:dyDescent="0.2">
      <c r="A22020" s="6" t="str">
        <f>"HLCS"</f>
        <v>HLCS</v>
      </c>
      <c r="B22020" s="6" t="s">
        <v>1</v>
      </c>
      <c r="C22020" s="6" t="s">
        <v>1</v>
      </c>
    </row>
    <row r="22021" spans="1:3" s="8" customFormat="1" x14ac:dyDescent="0.2">
      <c r="A22021" s="6" t="str">
        <f>"SHB"</f>
        <v>SHB</v>
      </c>
      <c r="B22021" s="6" t="s">
        <v>1</v>
      </c>
      <c r="C22021" s="6" t="s">
        <v>1</v>
      </c>
    </row>
    <row r="22022" spans="1:3" s="8" customFormat="1" x14ac:dyDescent="0.2">
      <c r="A22022" s="6" t="str">
        <f>"NUP160"</f>
        <v>NUP160</v>
      </c>
      <c r="B22022" s="6" t="s">
        <v>1</v>
      </c>
      <c r="C22022" s="6" t="s">
        <v>1</v>
      </c>
    </row>
    <row r="22023" spans="1:3" s="8" customFormat="1" x14ac:dyDescent="0.2">
      <c r="A22023" s="6" t="str">
        <f>"PPIC"</f>
        <v>PPIC</v>
      </c>
      <c r="B22023" s="6" t="s">
        <v>1</v>
      </c>
      <c r="C22023" s="6" t="s">
        <v>1</v>
      </c>
    </row>
    <row r="22024" spans="1:3" s="8" customFormat="1" x14ac:dyDescent="0.2">
      <c r="A22024" s="6" t="str">
        <f>"HAT1"</f>
        <v>HAT1</v>
      </c>
      <c r="B22024" s="6" t="s">
        <v>1</v>
      </c>
      <c r="C22024" s="6" t="s">
        <v>1</v>
      </c>
    </row>
    <row r="22025" spans="1:3" s="8" customFormat="1" x14ac:dyDescent="0.2">
      <c r="A22025" s="6" t="str">
        <f>"SLC25A46"</f>
        <v>SLC25A46</v>
      </c>
      <c r="B22025" s="6" t="s">
        <v>1</v>
      </c>
      <c r="C22025" s="6" t="s">
        <v>1</v>
      </c>
    </row>
    <row r="22026" spans="1:3" s="8" customFormat="1" x14ac:dyDescent="0.2">
      <c r="A22026" s="6" t="str">
        <f>"PCMT1"</f>
        <v>PCMT1</v>
      </c>
      <c r="B22026" s="6" t="s">
        <v>1</v>
      </c>
      <c r="C22026" s="6" t="s">
        <v>1</v>
      </c>
    </row>
    <row r="22027" spans="1:3" s="8" customFormat="1" x14ac:dyDescent="0.2">
      <c r="A22027" s="6" t="str">
        <f>"NDUFB11"</f>
        <v>NDUFB11</v>
      </c>
      <c r="B22027" s="6" t="s">
        <v>1</v>
      </c>
      <c r="C22027" s="6" t="s">
        <v>1</v>
      </c>
    </row>
    <row r="22028" spans="1:3" s="8" customFormat="1" x14ac:dyDescent="0.2">
      <c r="A22028" s="6" t="str">
        <f>"PDCD11"</f>
        <v>PDCD11</v>
      </c>
      <c r="B22028" s="6" t="s">
        <v>1</v>
      </c>
      <c r="C22028" s="6" t="s">
        <v>1</v>
      </c>
    </row>
    <row r="22029" spans="1:3" s="8" customFormat="1" x14ac:dyDescent="0.2">
      <c r="A22029" s="6" t="str">
        <f>"KLC2"</f>
        <v>KLC2</v>
      </c>
      <c r="B22029" s="6" t="s">
        <v>1</v>
      </c>
      <c r="C22029" s="6" t="s">
        <v>1</v>
      </c>
    </row>
    <row r="22030" spans="1:3" s="8" customFormat="1" x14ac:dyDescent="0.2">
      <c r="A22030" s="6" t="str">
        <f>"SMAD5"</f>
        <v>SMAD5</v>
      </c>
      <c r="B22030" s="6" t="s">
        <v>1</v>
      </c>
      <c r="C22030" s="6" t="s">
        <v>1</v>
      </c>
    </row>
    <row r="22031" spans="1:3" s="8" customFormat="1" x14ac:dyDescent="0.2">
      <c r="A22031" s="6" t="str">
        <f>"EXOC5"</f>
        <v>EXOC5</v>
      </c>
      <c r="B22031" s="6" t="s">
        <v>1</v>
      </c>
      <c r="C22031" s="6" t="s">
        <v>1</v>
      </c>
    </row>
    <row r="22032" spans="1:3" s="8" customFormat="1" x14ac:dyDescent="0.2">
      <c r="A22032" s="6" t="str">
        <f>"LEPROTL1"</f>
        <v>LEPROTL1</v>
      </c>
      <c r="B22032" s="6" t="s">
        <v>1</v>
      </c>
      <c r="C22032" s="6" t="s">
        <v>1</v>
      </c>
    </row>
    <row r="22033" spans="1:3" s="8" customFormat="1" x14ac:dyDescent="0.2">
      <c r="A22033" s="6" t="str">
        <f>"TGFA"</f>
        <v>TGFA</v>
      </c>
      <c r="B22033" s="6" t="s">
        <v>1</v>
      </c>
      <c r="C22033" s="6" t="s">
        <v>1</v>
      </c>
    </row>
    <row r="22034" spans="1:3" s="8" customFormat="1" x14ac:dyDescent="0.2">
      <c r="A22034" s="6" t="str">
        <f>"KLC4"</f>
        <v>KLC4</v>
      </c>
      <c r="B22034" s="6" t="s">
        <v>1</v>
      </c>
      <c r="C22034" s="6" t="s">
        <v>1</v>
      </c>
    </row>
    <row r="22035" spans="1:3" s="8" customFormat="1" x14ac:dyDescent="0.2">
      <c r="A22035" s="6" t="str">
        <f>"SNX7"</f>
        <v>SNX7</v>
      </c>
      <c r="B22035" s="6" t="s">
        <v>1</v>
      </c>
      <c r="C22035" s="6" t="s">
        <v>1</v>
      </c>
    </row>
    <row r="22036" spans="1:3" s="8" customFormat="1" x14ac:dyDescent="0.2">
      <c r="A22036" s="6" t="str">
        <f>"COG6"</f>
        <v>COG6</v>
      </c>
      <c r="B22036" s="6" t="s">
        <v>1</v>
      </c>
      <c r="C22036" s="6" t="s">
        <v>1</v>
      </c>
    </row>
    <row r="22037" spans="1:3" s="8" customFormat="1" x14ac:dyDescent="0.2">
      <c r="A22037" s="6" t="str">
        <f>"HADH"</f>
        <v>HADH</v>
      </c>
      <c r="B22037" s="6" t="s">
        <v>1</v>
      </c>
      <c r="C22037" s="6" t="s">
        <v>1</v>
      </c>
    </row>
    <row r="22038" spans="1:3" s="8" customFormat="1" x14ac:dyDescent="0.2">
      <c r="A22038" s="6" t="str">
        <f>"EXD2"</f>
        <v>EXD2</v>
      </c>
      <c r="B22038" s="6" t="s">
        <v>1</v>
      </c>
      <c r="C22038" s="6" t="s">
        <v>1</v>
      </c>
    </row>
    <row r="22039" spans="1:3" s="8" customFormat="1" x14ac:dyDescent="0.2">
      <c r="A22039" s="6" t="str">
        <f>"ALDH16A1"</f>
        <v>ALDH16A1</v>
      </c>
      <c r="B22039" s="6" t="s">
        <v>1</v>
      </c>
      <c r="C22039" s="6" t="s">
        <v>1</v>
      </c>
    </row>
    <row r="22040" spans="1:3" s="8" customFormat="1" x14ac:dyDescent="0.2">
      <c r="A22040" s="6" t="str">
        <f>"ADPGK"</f>
        <v>ADPGK</v>
      </c>
      <c r="B22040" s="6" t="s">
        <v>1</v>
      </c>
      <c r="C22040" s="6" t="s">
        <v>1</v>
      </c>
    </row>
    <row r="22041" spans="1:3" s="8" customFormat="1" x14ac:dyDescent="0.2">
      <c r="A22041" s="6" t="str">
        <f>"TGIF1"</f>
        <v>TGIF1</v>
      </c>
      <c r="B22041" s="6" t="s">
        <v>1</v>
      </c>
      <c r="C22041" s="6" t="s">
        <v>1</v>
      </c>
    </row>
    <row r="22042" spans="1:3" s="8" customFormat="1" x14ac:dyDescent="0.2">
      <c r="A22042" s="6" t="str">
        <f>"MRPS26"</f>
        <v>MRPS26</v>
      </c>
      <c r="B22042" s="6" t="s">
        <v>1</v>
      </c>
      <c r="C22042" s="6" t="s">
        <v>1</v>
      </c>
    </row>
    <row r="22043" spans="1:3" s="8" customFormat="1" x14ac:dyDescent="0.2">
      <c r="A22043" s="6" t="str">
        <f>"IPO11"</f>
        <v>IPO11</v>
      </c>
      <c r="B22043" s="6" t="s">
        <v>1</v>
      </c>
      <c r="C22043" s="6" t="s">
        <v>1</v>
      </c>
    </row>
    <row r="22044" spans="1:3" s="8" customFormat="1" x14ac:dyDescent="0.2">
      <c r="A22044" s="6" t="str">
        <f>"BTF3L4"</f>
        <v>BTF3L4</v>
      </c>
      <c r="B22044" s="6" t="s">
        <v>1</v>
      </c>
      <c r="C22044" s="6" t="s">
        <v>1</v>
      </c>
    </row>
    <row r="22045" spans="1:3" s="8" customFormat="1" x14ac:dyDescent="0.2">
      <c r="A22045" s="6" t="str">
        <f>"MKS1"</f>
        <v>MKS1</v>
      </c>
      <c r="B22045" s="6" t="s">
        <v>1</v>
      </c>
      <c r="C22045" s="6" t="s">
        <v>1</v>
      </c>
    </row>
    <row r="22046" spans="1:3" s="8" customFormat="1" x14ac:dyDescent="0.2">
      <c r="A22046" s="6" t="str">
        <f>"EMC2"</f>
        <v>EMC2</v>
      </c>
      <c r="B22046" s="6" t="s">
        <v>1</v>
      </c>
      <c r="C22046" s="6" t="s">
        <v>1</v>
      </c>
    </row>
    <row r="22047" spans="1:3" s="8" customFormat="1" x14ac:dyDescent="0.2">
      <c r="A22047" s="6" t="str">
        <f>"PACSIN3"</f>
        <v>PACSIN3</v>
      </c>
      <c r="B22047" s="6" t="s">
        <v>1</v>
      </c>
      <c r="C22047" s="6" t="s">
        <v>1</v>
      </c>
    </row>
    <row r="22048" spans="1:3" s="8" customFormat="1" x14ac:dyDescent="0.2">
      <c r="A22048" s="6" t="str">
        <f>"EXT1"</f>
        <v>EXT1</v>
      </c>
      <c r="B22048" s="6" t="s">
        <v>1</v>
      </c>
      <c r="C22048" s="6" t="s">
        <v>1</v>
      </c>
    </row>
    <row r="22049" spans="1:3" s="8" customFormat="1" x14ac:dyDescent="0.2">
      <c r="A22049" s="6" t="str">
        <f>"CCSER2"</f>
        <v>CCSER2</v>
      </c>
      <c r="B22049" s="6" t="s">
        <v>1</v>
      </c>
      <c r="C22049" s="6" t="s">
        <v>1</v>
      </c>
    </row>
    <row r="22050" spans="1:3" s="8" customFormat="1" x14ac:dyDescent="0.2">
      <c r="A22050" s="6" t="str">
        <f>"DNAJC15"</f>
        <v>DNAJC15</v>
      </c>
      <c r="B22050" s="6" t="s">
        <v>1</v>
      </c>
      <c r="C22050" s="6" t="s">
        <v>1</v>
      </c>
    </row>
    <row r="22051" spans="1:3" s="8" customFormat="1" x14ac:dyDescent="0.2">
      <c r="A22051" s="6" t="str">
        <f>"STXBP1"</f>
        <v>STXBP1</v>
      </c>
      <c r="B22051" s="6" t="s">
        <v>1</v>
      </c>
      <c r="C22051" s="6" t="s">
        <v>1</v>
      </c>
    </row>
    <row r="22052" spans="1:3" s="8" customFormat="1" x14ac:dyDescent="0.2">
      <c r="A22052" s="6" t="str">
        <f>"PCMTD1"</f>
        <v>PCMTD1</v>
      </c>
      <c r="B22052" s="6" t="s">
        <v>1</v>
      </c>
      <c r="C22052" s="6" t="s">
        <v>1</v>
      </c>
    </row>
    <row r="22053" spans="1:3" s="8" customFormat="1" x14ac:dyDescent="0.2">
      <c r="A22053" s="6" t="str">
        <f>"STYXL1"</f>
        <v>STYXL1</v>
      </c>
      <c r="B22053" s="6" t="s">
        <v>1</v>
      </c>
      <c r="C22053" s="6" t="s">
        <v>1</v>
      </c>
    </row>
    <row r="22054" spans="1:3" s="8" customFormat="1" x14ac:dyDescent="0.2">
      <c r="A22054" s="6" t="str">
        <f>"HMGCS2"</f>
        <v>HMGCS2</v>
      </c>
      <c r="B22054" s="6" t="s">
        <v>1</v>
      </c>
      <c r="C22054" s="6" t="s">
        <v>1</v>
      </c>
    </row>
    <row r="22055" spans="1:3" s="8" customFormat="1" x14ac:dyDescent="0.2">
      <c r="A22055" s="6" t="str">
        <f>"MAFK"</f>
        <v>MAFK</v>
      </c>
      <c r="B22055" s="6" t="s">
        <v>1</v>
      </c>
      <c r="C22055" s="6" t="s">
        <v>1</v>
      </c>
    </row>
    <row r="22056" spans="1:3" s="8" customFormat="1" x14ac:dyDescent="0.2">
      <c r="A22056" s="6" t="str">
        <f>"UBXN7"</f>
        <v>UBXN7</v>
      </c>
      <c r="B22056" s="6" t="s">
        <v>1</v>
      </c>
      <c r="C22056" s="6" t="s">
        <v>1</v>
      </c>
    </row>
    <row r="22057" spans="1:3" s="8" customFormat="1" x14ac:dyDescent="0.2">
      <c r="A22057" s="6" t="str">
        <f>"NXN"</f>
        <v>NXN</v>
      </c>
      <c r="B22057" s="6" t="s">
        <v>1</v>
      </c>
      <c r="C22057" s="6" t="s">
        <v>1</v>
      </c>
    </row>
    <row r="22058" spans="1:3" s="8" customFormat="1" x14ac:dyDescent="0.2">
      <c r="A22058" s="6" t="str">
        <f>"DEF8"</f>
        <v>DEF8</v>
      </c>
      <c r="B22058" s="6" t="s">
        <v>1</v>
      </c>
      <c r="C22058" s="6" t="s">
        <v>1</v>
      </c>
    </row>
    <row r="22059" spans="1:3" s="8" customFormat="1" x14ac:dyDescent="0.2">
      <c r="A22059" s="6" t="str">
        <f>"SUGT1"</f>
        <v>SUGT1</v>
      </c>
      <c r="B22059" s="6" t="s">
        <v>1</v>
      </c>
      <c r="C22059" s="6" t="s">
        <v>1</v>
      </c>
    </row>
    <row r="22060" spans="1:3" s="8" customFormat="1" x14ac:dyDescent="0.2">
      <c r="A22060" s="6" t="str">
        <f>"CYP20A1"</f>
        <v>CYP20A1</v>
      </c>
      <c r="B22060" s="6" t="s">
        <v>1</v>
      </c>
      <c r="C22060" s="6" t="s">
        <v>1</v>
      </c>
    </row>
    <row r="22061" spans="1:3" s="8" customFormat="1" x14ac:dyDescent="0.2">
      <c r="A22061" s="6" t="str">
        <f>"MED14"</f>
        <v>MED14</v>
      </c>
      <c r="B22061" s="6" t="s">
        <v>1</v>
      </c>
      <c r="C22061" s="6" t="s">
        <v>1</v>
      </c>
    </row>
    <row r="22062" spans="1:3" s="8" customFormat="1" x14ac:dyDescent="0.2">
      <c r="A22062" s="6" t="str">
        <f>"MKLN1"</f>
        <v>MKLN1</v>
      </c>
      <c r="B22062" s="6" t="s">
        <v>1</v>
      </c>
      <c r="C22062" s="6" t="s">
        <v>1</v>
      </c>
    </row>
    <row r="22063" spans="1:3" s="8" customFormat="1" x14ac:dyDescent="0.2">
      <c r="A22063" s="6" t="str">
        <f>"MYH10"</f>
        <v>MYH10</v>
      </c>
      <c r="B22063" s="6" t="s">
        <v>1</v>
      </c>
      <c r="C22063" s="6" t="s">
        <v>1</v>
      </c>
    </row>
    <row r="22064" spans="1:3" s="8" customFormat="1" x14ac:dyDescent="0.2">
      <c r="A22064" s="6" t="str">
        <f>"NDUFV3"</f>
        <v>NDUFV3</v>
      </c>
      <c r="B22064" s="6" t="s">
        <v>1</v>
      </c>
      <c r="C22064" s="6" t="s">
        <v>1</v>
      </c>
    </row>
    <row r="22065" spans="1:3" s="8" customFormat="1" x14ac:dyDescent="0.2">
      <c r="A22065" s="6" t="str">
        <f>"MRPL40"</f>
        <v>MRPL40</v>
      </c>
      <c r="B22065" s="6" t="s">
        <v>1</v>
      </c>
      <c r="C22065" s="6" t="s">
        <v>1</v>
      </c>
    </row>
    <row r="22066" spans="1:3" s="8" customFormat="1" x14ac:dyDescent="0.2">
      <c r="A22066" s="6" t="str">
        <f>"MRPL57"</f>
        <v>MRPL57</v>
      </c>
      <c r="B22066" s="6" t="s">
        <v>1</v>
      </c>
      <c r="C22066" s="6" t="s">
        <v>1</v>
      </c>
    </row>
    <row r="22067" spans="1:3" s="8" customFormat="1" x14ac:dyDescent="0.2">
      <c r="A22067" s="6" t="str">
        <f>"COG4"</f>
        <v>COG4</v>
      </c>
      <c r="B22067" s="6" t="s">
        <v>1</v>
      </c>
      <c r="C22067" s="6" t="s">
        <v>1</v>
      </c>
    </row>
    <row r="22068" spans="1:3" s="8" customFormat="1" x14ac:dyDescent="0.2">
      <c r="A22068" s="6" t="str">
        <f>"NDUFS7"</f>
        <v>NDUFS7</v>
      </c>
      <c r="B22068" s="6" t="s">
        <v>1</v>
      </c>
      <c r="C22068" s="6" t="s">
        <v>1</v>
      </c>
    </row>
    <row r="22069" spans="1:3" s="8" customFormat="1" x14ac:dyDescent="0.2">
      <c r="A22069" s="6" t="str">
        <f>"CDKN2B"</f>
        <v>CDKN2B</v>
      </c>
      <c r="B22069" s="6" t="s">
        <v>1</v>
      </c>
      <c r="C22069" s="6" t="s">
        <v>1</v>
      </c>
    </row>
    <row r="22070" spans="1:3" s="8" customFormat="1" x14ac:dyDescent="0.2">
      <c r="A22070" s="6" t="str">
        <f>"MACO1"</f>
        <v>MACO1</v>
      </c>
      <c r="B22070" s="6" t="s">
        <v>1</v>
      </c>
      <c r="C22070" s="6" t="s">
        <v>1</v>
      </c>
    </row>
    <row r="22071" spans="1:3" s="8" customFormat="1" x14ac:dyDescent="0.2">
      <c r="A22071" s="6" t="str">
        <f>"CCNL1"</f>
        <v>CCNL1</v>
      </c>
      <c r="B22071" s="6" t="s">
        <v>1</v>
      </c>
      <c r="C22071" s="6" t="s">
        <v>1</v>
      </c>
    </row>
    <row r="22072" spans="1:3" s="8" customFormat="1" x14ac:dyDescent="0.2">
      <c r="A22072" s="6" t="str">
        <f>"SOS2"</f>
        <v>SOS2</v>
      </c>
      <c r="B22072" s="6" t="s">
        <v>1</v>
      </c>
      <c r="C22072" s="6" t="s">
        <v>1</v>
      </c>
    </row>
    <row r="22073" spans="1:3" s="8" customFormat="1" x14ac:dyDescent="0.2">
      <c r="A22073" s="6" t="str">
        <f>"NUP88"</f>
        <v>NUP88</v>
      </c>
      <c r="B22073" s="6" t="s">
        <v>1</v>
      </c>
      <c r="C22073" s="6" t="s">
        <v>1</v>
      </c>
    </row>
    <row r="22074" spans="1:3" s="8" customFormat="1" x14ac:dyDescent="0.2">
      <c r="A22074" s="6" t="str">
        <f>"PPHLN1"</f>
        <v>PPHLN1</v>
      </c>
      <c r="B22074" s="6" t="s">
        <v>1</v>
      </c>
      <c r="C22074" s="6" t="s">
        <v>1</v>
      </c>
    </row>
    <row r="22075" spans="1:3" s="8" customFormat="1" x14ac:dyDescent="0.2">
      <c r="A22075" s="6" t="str">
        <f>"EEA1"</f>
        <v>EEA1</v>
      </c>
      <c r="B22075" s="6" t="s">
        <v>1</v>
      </c>
      <c r="C22075" s="6" t="s">
        <v>1</v>
      </c>
    </row>
    <row r="22076" spans="1:3" s="8" customFormat="1" x14ac:dyDescent="0.2">
      <c r="A22076" s="6" t="str">
        <f>"MRPS27"</f>
        <v>MRPS27</v>
      </c>
      <c r="B22076" s="6" t="s">
        <v>1</v>
      </c>
      <c r="C22076" s="6" t="s">
        <v>1</v>
      </c>
    </row>
    <row r="22077" spans="1:3" s="8" customFormat="1" x14ac:dyDescent="0.2">
      <c r="A22077" s="6" t="str">
        <f>"BRD3"</f>
        <v>BRD3</v>
      </c>
      <c r="B22077" s="6" t="s">
        <v>1</v>
      </c>
      <c r="C22077" s="6" t="s">
        <v>1</v>
      </c>
    </row>
    <row r="22078" spans="1:3" s="8" customFormat="1" x14ac:dyDescent="0.2">
      <c r="A22078" s="6" t="str">
        <f>"RAMP1"</f>
        <v>RAMP1</v>
      </c>
      <c r="B22078" s="6" t="s">
        <v>1</v>
      </c>
      <c r="C22078" s="6" t="s">
        <v>1</v>
      </c>
    </row>
    <row r="22079" spans="1:3" s="8" customFormat="1" x14ac:dyDescent="0.2">
      <c r="A22079" s="6" t="str">
        <f>"BRD8"</f>
        <v>BRD8</v>
      </c>
      <c r="B22079" s="6" t="s">
        <v>1</v>
      </c>
      <c r="C22079" s="6" t="s">
        <v>1</v>
      </c>
    </row>
    <row r="22080" spans="1:3" s="8" customFormat="1" x14ac:dyDescent="0.2">
      <c r="A22080" s="6" t="str">
        <f>"KLHDC7A"</f>
        <v>KLHDC7A</v>
      </c>
      <c r="B22080" s="6" t="s">
        <v>1</v>
      </c>
      <c r="C22080" s="6" t="s">
        <v>1</v>
      </c>
    </row>
    <row r="22081" spans="1:3" s="8" customFormat="1" x14ac:dyDescent="0.2">
      <c r="A22081" s="6" t="str">
        <f>"NDUFB3"</f>
        <v>NDUFB3</v>
      </c>
      <c r="B22081" s="6" t="s">
        <v>1</v>
      </c>
      <c r="C22081" s="6" t="s">
        <v>1</v>
      </c>
    </row>
    <row r="22082" spans="1:3" s="8" customFormat="1" x14ac:dyDescent="0.2">
      <c r="A22082" s="6" t="str">
        <f>"MRTFA"</f>
        <v>MRTFA</v>
      </c>
      <c r="B22082" s="6" t="s">
        <v>1</v>
      </c>
      <c r="C22082" s="6" t="s">
        <v>1</v>
      </c>
    </row>
    <row r="22083" spans="1:3" s="8" customFormat="1" x14ac:dyDescent="0.2">
      <c r="A22083" s="6" t="str">
        <f>"DNAJB13"</f>
        <v>DNAJB13</v>
      </c>
      <c r="B22083" s="6" t="s">
        <v>1</v>
      </c>
      <c r="C22083" s="6" t="s">
        <v>1</v>
      </c>
    </row>
    <row r="22084" spans="1:3" s="8" customFormat="1" x14ac:dyDescent="0.2">
      <c r="A22084" s="6" t="str">
        <f>"IGBP1"</f>
        <v>IGBP1</v>
      </c>
      <c r="B22084" s="6" t="s">
        <v>1</v>
      </c>
      <c r="C22084" s="6" t="s">
        <v>1</v>
      </c>
    </row>
    <row r="22085" spans="1:3" s="8" customFormat="1" x14ac:dyDescent="0.2">
      <c r="A22085" s="6" t="str">
        <f>"SUCO"</f>
        <v>SUCO</v>
      </c>
      <c r="B22085" s="6" t="s">
        <v>1</v>
      </c>
      <c r="C22085" s="6" t="s">
        <v>1</v>
      </c>
    </row>
    <row r="22086" spans="1:3" s="8" customFormat="1" x14ac:dyDescent="0.2">
      <c r="A22086" s="6" t="str">
        <f>"MAML1"</f>
        <v>MAML1</v>
      </c>
      <c r="B22086" s="6" t="s">
        <v>1</v>
      </c>
      <c r="C22086" s="6" t="s">
        <v>1</v>
      </c>
    </row>
    <row r="22087" spans="1:3" s="8" customFormat="1" x14ac:dyDescent="0.2">
      <c r="A22087" s="6" t="str">
        <f>"GLE1"</f>
        <v>GLE1</v>
      </c>
      <c r="B22087" s="6" t="s">
        <v>1</v>
      </c>
      <c r="C22087" s="6" t="s">
        <v>1</v>
      </c>
    </row>
    <row r="22088" spans="1:3" s="8" customFormat="1" x14ac:dyDescent="0.2">
      <c r="A22088" s="6" t="str">
        <f>"CYHR1"</f>
        <v>CYHR1</v>
      </c>
      <c r="B22088" s="6" t="s">
        <v>1</v>
      </c>
      <c r="C22088" s="6" t="s">
        <v>1</v>
      </c>
    </row>
    <row r="22089" spans="1:3" s="8" customFormat="1" x14ac:dyDescent="0.2">
      <c r="A22089" s="6" t="str">
        <f>"FILIP1"</f>
        <v>FILIP1</v>
      </c>
      <c r="B22089" s="6" t="s">
        <v>1</v>
      </c>
      <c r="C22089" s="6" t="s">
        <v>1</v>
      </c>
    </row>
    <row r="22090" spans="1:3" s="8" customFormat="1" x14ac:dyDescent="0.2">
      <c r="A22090" s="6" t="str">
        <f>"C2CD5"</f>
        <v>C2CD5</v>
      </c>
      <c r="B22090" s="6" t="s">
        <v>1</v>
      </c>
      <c r="C22090" s="6" t="s">
        <v>1</v>
      </c>
    </row>
    <row r="22091" spans="1:3" s="8" customFormat="1" x14ac:dyDescent="0.2">
      <c r="A22091" s="6" t="str">
        <f>"LYPLA1"</f>
        <v>LYPLA1</v>
      </c>
      <c r="B22091" s="6" t="s">
        <v>1</v>
      </c>
      <c r="C22091" s="6" t="s">
        <v>1</v>
      </c>
    </row>
    <row r="22092" spans="1:3" s="8" customFormat="1" x14ac:dyDescent="0.2">
      <c r="A22092" s="6" t="str">
        <f>"HLF"</f>
        <v>HLF</v>
      </c>
      <c r="B22092" s="6" t="s">
        <v>1</v>
      </c>
      <c r="C22092" s="6" t="s">
        <v>1</v>
      </c>
    </row>
    <row r="22093" spans="1:3" s="8" customFormat="1" x14ac:dyDescent="0.2">
      <c r="A22093" s="6" t="str">
        <f>"KCNE1"</f>
        <v>KCNE1</v>
      </c>
      <c r="B22093" s="6" t="s">
        <v>1</v>
      </c>
      <c r="C22093" s="6" t="s">
        <v>1</v>
      </c>
    </row>
    <row r="22094" spans="1:3" s="8" customFormat="1" x14ac:dyDescent="0.2">
      <c r="A22094" s="6" t="str">
        <f>"INTS14"</f>
        <v>INTS14</v>
      </c>
      <c r="B22094" s="6" t="s">
        <v>1</v>
      </c>
      <c r="C22094" s="6" t="s">
        <v>1</v>
      </c>
    </row>
    <row r="22095" spans="1:3" s="8" customFormat="1" x14ac:dyDescent="0.2">
      <c r="A22095" s="6" t="str">
        <f>"LDLRAD4"</f>
        <v>LDLRAD4</v>
      </c>
      <c r="B22095" s="6" t="s">
        <v>1</v>
      </c>
      <c r="C22095" s="6" t="s">
        <v>1</v>
      </c>
    </row>
    <row r="22096" spans="1:3" s="8" customFormat="1" x14ac:dyDescent="0.2">
      <c r="A22096" s="6" t="str">
        <f>"OXSR1"</f>
        <v>OXSR1</v>
      </c>
      <c r="B22096" s="6" t="s">
        <v>1</v>
      </c>
      <c r="C22096" s="6" t="s">
        <v>1</v>
      </c>
    </row>
    <row r="22097" spans="1:3" s="8" customFormat="1" x14ac:dyDescent="0.2">
      <c r="A22097" s="6" t="str">
        <f>"TBC1D17"</f>
        <v>TBC1D17</v>
      </c>
      <c r="B22097" s="6" t="s">
        <v>1</v>
      </c>
      <c r="C22097" s="6" t="s">
        <v>1</v>
      </c>
    </row>
    <row r="22098" spans="1:3" s="8" customFormat="1" x14ac:dyDescent="0.2">
      <c r="A22098" s="6" t="str">
        <f>"TNFRSF10B"</f>
        <v>TNFRSF10B</v>
      </c>
      <c r="B22098" s="6" t="s">
        <v>1</v>
      </c>
      <c r="C22098" s="6" t="s">
        <v>1</v>
      </c>
    </row>
    <row r="22099" spans="1:3" s="8" customFormat="1" x14ac:dyDescent="0.2">
      <c r="A22099" s="6" t="str">
        <f>"SLX1A"</f>
        <v>SLX1A</v>
      </c>
      <c r="B22099" s="6" t="s">
        <v>1</v>
      </c>
      <c r="C22099" s="6" t="s">
        <v>1</v>
      </c>
    </row>
    <row r="22100" spans="1:3" s="8" customFormat="1" x14ac:dyDescent="0.2">
      <c r="A22100" s="6" t="str">
        <f>"NAXE"</f>
        <v>NAXE</v>
      </c>
      <c r="B22100" s="6" t="s">
        <v>1</v>
      </c>
      <c r="C22100" s="6" t="s">
        <v>1</v>
      </c>
    </row>
    <row r="22101" spans="1:3" s="8" customFormat="1" x14ac:dyDescent="0.2">
      <c r="A22101" s="6" t="str">
        <f>"GPSM3"</f>
        <v>GPSM3</v>
      </c>
      <c r="B22101" s="6" t="s">
        <v>1</v>
      </c>
      <c r="C22101" s="6" t="s">
        <v>1</v>
      </c>
    </row>
    <row r="22102" spans="1:3" s="8" customFormat="1" x14ac:dyDescent="0.2">
      <c r="A22102" s="6" t="str">
        <f>"FIBP"</f>
        <v>FIBP</v>
      </c>
      <c r="B22102" s="6" t="s">
        <v>1</v>
      </c>
      <c r="C22102" s="6" t="s">
        <v>1</v>
      </c>
    </row>
    <row r="22103" spans="1:3" s="8" customFormat="1" x14ac:dyDescent="0.2">
      <c r="A22103" s="6" t="str">
        <f>"BAHD1"</f>
        <v>BAHD1</v>
      </c>
      <c r="B22103" s="6" t="s">
        <v>1</v>
      </c>
      <c r="C22103" s="6" t="s">
        <v>1</v>
      </c>
    </row>
    <row r="22104" spans="1:3" s="8" customFormat="1" x14ac:dyDescent="0.2">
      <c r="A22104" s="6" t="str">
        <f>"PPARD"</f>
        <v>PPARD</v>
      </c>
      <c r="B22104" s="6" t="s">
        <v>1</v>
      </c>
      <c r="C22104" s="6" t="s">
        <v>1</v>
      </c>
    </row>
    <row r="22105" spans="1:3" s="8" customFormat="1" x14ac:dyDescent="0.2">
      <c r="A22105" s="6" t="str">
        <f>"DNAJC13"</f>
        <v>DNAJC13</v>
      </c>
      <c r="B22105" s="6" t="s">
        <v>1</v>
      </c>
      <c r="C22105" s="6" t="s">
        <v>1</v>
      </c>
    </row>
    <row r="22106" spans="1:3" s="8" customFormat="1" x14ac:dyDescent="0.2">
      <c r="A22106" s="6" t="str">
        <f>"RNF123"</f>
        <v>RNF123</v>
      </c>
      <c r="B22106" s="6" t="s">
        <v>1</v>
      </c>
      <c r="C22106" s="6" t="s">
        <v>1</v>
      </c>
    </row>
    <row r="22107" spans="1:3" s="8" customFormat="1" x14ac:dyDescent="0.2">
      <c r="A22107" s="6" t="str">
        <f>"OBSL1"</f>
        <v>OBSL1</v>
      </c>
      <c r="B22107" s="6" t="s">
        <v>1</v>
      </c>
      <c r="C22107" s="6" t="s">
        <v>1</v>
      </c>
    </row>
    <row r="22108" spans="1:3" s="8" customFormat="1" x14ac:dyDescent="0.2">
      <c r="A22108" s="6" t="str">
        <f>"MCM3"</f>
        <v>MCM3</v>
      </c>
      <c r="B22108" s="6" t="s">
        <v>1</v>
      </c>
      <c r="C22108" s="6" t="s">
        <v>1</v>
      </c>
    </row>
    <row r="22109" spans="1:3" s="8" customFormat="1" x14ac:dyDescent="0.2">
      <c r="A22109" s="6" t="str">
        <f>"PHF8"</f>
        <v>PHF8</v>
      </c>
      <c r="B22109" s="6" t="s">
        <v>1</v>
      </c>
      <c r="C22109" s="6" t="s">
        <v>1</v>
      </c>
    </row>
    <row r="22110" spans="1:3" s="8" customFormat="1" x14ac:dyDescent="0.2">
      <c r="A22110" s="6" t="str">
        <f>"EYA1"</f>
        <v>EYA1</v>
      </c>
      <c r="B22110" s="6" t="s">
        <v>1</v>
      </c>
      <c r="C22110" s="6" t="s">
        <v>1</v>
      </c>
    </row>
    <row r="22111" spans="1:3" s="8" customFormat="1" x14ac:dyDescent="0.2">
      <c r="A22111" s="6" t="str">
        <f>"RNF144B"</f>
        <v>RNF144B</v>
      </c>
      <c r="B22111" s="6" t="s">
        <v>1</v>
      </c>
      <c r="C22111" s="6" t="s">
        <v>1</v>
      </c>
    </row>
    <row r="22112" spans="1:3" s="8" customFormat="1" x14ac:dyDescent="0.2">
      <c r="A22112" s="6" t="str">
        <f>"MLX"</f>
        <v>MLX</v>
      </c>
      <c r="B22112" s="6" t="s">
        <v>1</v>
      </c>
      <c r="C22112" s="6" t="s">
        <v>1</v>
      </c>
    </row>
    <row r="22113" spans="1:3" s="8" customFormat="1" x14ac:dyDescent="0.2">
      <c r="A22113" s="6" t="str">
        <f>"DNER"</f>
        <v>DNER</v>
      </c>
      <c r="B22113" s="6" t="s">
        <v>1</v>
      </c>
      <c r="C22113" s="6" t="s">
        <v>1</v>
      </c>
    </row>
    <row r="22114" spans="1:3" s="8" customFormat="1" x14ac:dyDescent="0.2">
      <c r="A22114" s="6" t="str">
        <f>"IFT88"</f>
        <v>IFT88</v>
      </c>
      <c r="B22114" s="6" t="s">
        <v>1</v>
      </c>
      <c r="C22114" s="6" t="s">
        <v>1</v>
      </c>
    </row>
    <row r="22115" spans="1:3" s="8" customFormat="1" x14ac:dyDescent="0.2">
      <c r="A22115" s="6" t="str">
        <f>"CCNC"</f>
        <v>CCNC</v>
      </c>
      <c r="B22115" s="6" t="s">
        <v>1</v>
      </c>
      <c r="C22115" s="6" t="s">
        <v>1</v>
      </c>
    </row>
    <row r="22116" spans="1:3" s="8" customFormat="1" x14ac:dyDescent="0.2">
      <c r="A22116" s="6" t="str">
        <f>"BRWD1"</f>
        <v>BRWD1</v>
      </c>
      <c r="B22116" s="6" t="s">
        <v>1</v>
      </c>
      <c r="C22116" s="6" t="s">
        <v>1</v>
      </c>
    </row>
    <row r="22117" spans="1:3" s="8" customFormat="1" x14ac:dyDescent="0.2">
      <c r="A22117" s="6" t="str">
        <f>"NEK1"</f>
        <v>NEK1</v>
      </c>
      <c r="B22117" s="6" t="s">
        <v>1</v>
      </c>
      <c r="C22117" s="6" t="s">
        <v>1</v>
      </c>
    </row>
    <row r="22118" spans="1:3" s="8" customFormat="1" x14ac:dyDescent="0.2">
      <c r="A22118" s="6" t="str">
        <f>"ECI1"</f>
        <v>ECI1</v>
      </c>
      <c r="B22118" s="6" t="s">
        <v>1</v>
      </c>
      <c r="C22118" s="6" t="s">
        <v>1</v>
      </c>
    </row>
    <row r="22119" spans="1:3" s="8" customFormat="1" x14ac:dyDescent="0.2">
      <c r="A22119" s="6" t="str">
        <f>"GRHL1"</f>
        <v>GRHL1</v>
      </c>
      <c r="B22119" s="6" t="s">
        <v>1</v>
      </c>
      <c r="C22119" s="6" t="s">
        <v>1</v>
      </c>
    </row>
    <row r="22120" spans="1:3" s="8" customFormat="1" x14ac:dyDescent="0.2">
      <c r="A22120" s="6" t="str">
        <f>"LPAR3"</f>
        <v>LPAR3</v>
      </c>
      <c r="B22120" s="6" t="s">
        <v>1</v>
      </c>
      <c r="C22120" s="6" t="s">
        <v>1</v>
      </c>
    </row>
    <row r="22121" spans="1:3" s="8" customFormat="1" x14ac:dyDescent="0.2">
      <c r="A22121" s="6" t="str">
        <f>"BRMS1"</f>
        <v>BRMS1</v>
      </c>
      <c r="B22121" s="6" t="s">
        <v>1</v>
      </c>
      <c r="C22121" s="6" t="s">
        <v>1</v>
      </c>
    </row>
    <row r="22122" spans="1:3" s="8" customFormat="1" x14ac:dyDescent="0.2">
      <c r="A22122" s="6" t="str">
        <f>"FH"</f>
        <v>FH</v>
      </c>
      <c r="B22122" s="6" t="s">
        <v>1</v>
      </c>
      <c r="C22122" s="6" t="s">
        <v>1</v>
      </c>
    </row>
    <row r="22123" spans="1:3" s="8" customFormat="1" x14ac:dyDescent="0.2">
      <c r="A22123" s="6" t="str">
        <f>"LEMD2"</f>
        <v>LEMD2</v>
      </c>
      <c r="B22123" s="6" t="s">
        <v>1</v>
      </c>
      <c r="C22123" s="6" t="s">
        <v>1</v>
      </c>
    </row>
    <row r="22124" spans="1:3" s="8" customFormat="1" x14ac:dyDescent="0.2">
      <c r="A22124" s="6" t="str">
        <f>"ZC3H15"</f>
        <v>ZC3H15</v>
      </c>
      <c r="B22124" s="6" t="s">
        <v>1</v>
      </c>
      <c r="C22124" s="6" t="s">
        <v>1</v>
      </c>
    </row>
    <row r="22125" spans="1:3" s="8" customFormat="1" x14ac:dyDescent="0.2">
      <c r="A22125" s="6" t="str">
        <f>"IQANK1"</f>
        <v>IQANK1</v>
      </c>
      <c r="B22125" s="6" t="s">
        <v>1</v>
      </c>
      <c r="C22125" s="6" t="s">
        <v>1</v>
      </c>
    </row>
    <row r="22126" spans="1:3" s="8" customFormat="1" x14ac:dyDescent="0.2">
      <c r="A22126" s="6" t="str">
        <f>"STX4"</f>
        <v>STX4</v>
      </c>
      <c r="B22126" s="6" t="s">
        <v>1</v>
      </c>
      <c r="C22126" s="6" t="s">
        <v>1</v>
      </c>
    </row>
    <row r="22127" spans="1:3" s="8" customFormat="1" x14ac:dyDescent="0.2">
      <c r="A22127" s="6" t="str">
        <f>"LINC02185"</f>
        <v>LINC02185</v>
      </c>
      <c r="B22127" s="6" t="s">
        <v>1</v>
      </c>
      <c r="C22127" s="6" t="s">
        <v>1</v>
      </c>
    </row>
    <row r="22128" spans="1:3" s="8" customFormat="1" x14ac:dyDescent="0.2">
      <c r="A22128" s="6" t="str">
        <f>"PROS1"</f>
        <v>PROS1</v>
      </c>
      <c r="B22128" s="6" t="s">
        <v>1</v>
      </c>
      <c r="C22128" s="6" t="s">
        <v>1</v>
      </c>
    </row>
    <row r="22129" spans="1:3" s="8" customFormat="1" x14ac:dyDescent="0.2">
      <c r="A22129" s="6" t="str">
        <f>"MRPS18B"</f>
        <v>MRPS18B</v>
      </c>
      <c r="B22129" s="6" t="s">
        <v>1</v>
      </c>
      <c r="C22129" s="6" t="s">
        <v>1</v>
      </c>
    </row>
    <row r="22130" spans="1:3" s="8" customFormat="1" x14ac:dyDescent="0.2">
      <c r="A22130" s="6" t="str">
        <f>"EXOSC6"</f>
        <v>EXOSC6</v>
      </c>
      <c r="B22130" s="6" t="s">
        <v>1</v>
      </c>
      <c r="C22130" s="6" t="s">
        <v>1</v>
      </c>
    </row>
    <row r="22131" spans="1:3" s="8" customFormat="1" x14ac:dyDescent="0.2">
      <c r="A22131" s="6" t="str">
        <f>"HMOX2"</f>
        <v>HMOX2</v>
      </c>
      <c r="B22131" s="6" t="s">
        <v>1</v>
      </c>
      <c r="C22131" s="6" t="s">
        <v>1</v>
      </c>
    </row>
    <row r="22132" spans="1:3" s="8" customFormat="1" x14ac:dyDescent="0.2">
      <c r="A22132" s="6" t="str">
        <f>"WIPI1"</f>
        <v>WIPI1</v>
      </c>
      <c r="B22132" s="6" t="s">
        <v>1</v>
      </c>
      <c r="C22132" s="6" t="s">
        <v>1</v>
      </c>
    </row>
    <row r="22133" spans="1:3" s="8" customFormat="1" x14ac:dyDescent="0.2">
      <c r="A22133" s="6" t="str">
        <f>"ELOF1"</f>
        <v>ELOF1</v>
      </c>
      <c r="B22133" s="6" t="s">
        <v>1</v>
      </c>
      <c r="C22133" s="6" t="s">
        <v>1</v>
      </c>
    </row>
    <row r="22134" spans="1:3" s="8" customFormat="1" x14ac:dyDescent="0.2">
      <c r="A22134" s="6" t="str">
        <f>"MYLIP"</f>
        <v>MYLIP</v>
      </c>
      <c r="B22134" s="6" t="s">
        <v>1</v>
      </c>
      <c r="C22134" s="6" t="s">
        <v>1</v>
      </c>
    </row>
    <row r="22135" spans="1:3" s="8" customFormat="1" x14ac:dyDescent="0.2">
      <c r="A22135" s="6" t="str">
        <f>"B4GALT2"</f>
        <v>B4GALT2</v>
      </c>
      <c r="B22135" s="6" t="s">
        <v>1</v>
      </c>
      <c r="C22135" s="6" t="s">
        <v>1</v>
      </c>
    </row>
    <row r="22136" spans="1:3" s="8" customFormat="1" x14ac:dyDescent="0.2">
      <c r="A22136" s="6" t="str">
        <f>"DNAJA3"</f>
        <v>DNAJA3</v>
      </c>
      <c r="B22136" s="6" t="s">
        <v>1</v>
      </c>
      <c r="C22136" s="6" t="s">
        <v>1</v>
      </c>
    </row>
    <row r="22137" spans="1:3" s="8" customFormat="1" x14ac:dyDescent="0.2">
      <c r="A22137" s="6" t="str">
        <f>"PCNT"</f>
        <v>PCNT</v>
      </c>
      <c r="B22137" s="6" t="s">
        <v>1</v>
      </c>
      <c r="C22137" s="6" t="s">
        <v>1</v>
      </c>
    </row>
    <row r="22138" spans="1:3" s="8" customFormat="1" x14ac:dyDescent="0.2">
      <c r="A22138" s="6" t="str">
        <f>"SEMA3A"</f>
        <v>SEMA3A</v>
      </c>
      <c r="B22138" s="6" t="s">
        <v>1</v>
      </c>
      <c r="C22138" s="6" t="s">
        <v>1</v>
      </c>
    </row>
    <row r="22139" spans="1:3" s="8" customFormat="1" x14ac:dyDescent="0.2">
      <c r="A22139" s="6" t="str">
        <f>"NOP10"</f>
        <v>NOP10</v>
      </c>
      <c r="B22139" s="6" t="s">
        <v>1</v>
      </c>
      <c r="C22139" s="6" t="s">
        <v>1</v>
      </c>
    </row>
    <row r="22140" spans="1:3" s="8" customFormat="1" x14ac:dyDescent="0.2">
      <c r="A22140" s="6" t="str">
        <f>"ZNF598"</f>
        <v>ZNF598</v>
      </c>
      <c r="B22140" s="6" t="s">
        <v>1</v>
      </c>
      <c r="C22140" s="6" t="s">
        <v>1</v>
      </c>
    </row>
    <row r="22141" spans="1:3" s="8" customFormat="1" x14ac:dyDescent="0.2">
      <c r="A22141" s="6" t="str">
        <f>"SUCLG1"</f>
        <v>SUCLG1</v>
      </c>
      <c r="B22141" s="6" t="s">
        <v>1</v>
      </c>
      <c r="C22141" s="6" t="s">
        <v>1</v>
      </c>
    </row>
    <row r="22142" spans="1:3" s="8" customFormat="1" x14ac:dyDescent="0.2">
      <c r="A22142" s="6" t="str">
        <f>"RALA"</f>
        <v>RALA</v>
      </c>
      <c r="B22142" s="6" t="s">
        <v>1</v>
      </c>
      <c r="C22142" s="6" t="s">
        <v>1</v>
      </c>
    </row>
    <row r="22143" spans="1:3" s="8" customFormat="1" x14ac:dyDescent="0.2">
      <c r="A22143" s="6" t="str">
        <f>"PDCD2"</f>
        <v>PDCD2</v>
      </c>
      <c r="B22143" s="6" t="s">
        <v>1</v>
      </c>
      <c r="C22143" s="6" t="s">
        <v>1</v>
      </c>
    </row>
    <row r="22144" spans="1:3" s="8" customFormat="1" x14ac:dyDescent="0.2">
      <c r="A22144" s="6" t="str">
        <f>"CYP27A1"</f>
        <v>CYP27A1</v>
      </c>
      <c r="B22144" s="6" t="s">
        <v>1</v>
      </c>
      <c r="C22144" s="6" t="s">
        <v>1</v>
      </c>
    </row>
    <row r="22145" spans="1:3" s="8" customFormat="1" x14ac:dyDescent="0.2">
      <c r="A22145" s="6" t="str">
        <f>"PLEKHH1"</f>
        <v>PLEKHH1</v>
      </c>
      <c r="B22145" s="6" t="s">
        <v>1</v>
      </c>
      <c r="C22145" s="6" t="s">
        <v>1</v>
      </c>
    </row>
    <row r="22146" spans="1:3" s="8" customFormat="1" x14ac:dyDescent="0.2">
      <c r="A22146" s="6" t="str">
        <f>"IQCB1"</f>
        <v>IQCB1</v>
      </c>
      <c r="B22146" s="6" t="s">
        <v>1</v>
      </c>
      <c r="C22146" s="6" t="s">
        <v>1</v>
      </c>
    </row>
    <row r="22147" spans="1:3" s="8" customFormat="1" x14ac:dyDescent="0.2">
      <c r="A22147" s="6" t="str">
        <f>"ZCCHC14"</f>
        <v>ZCCHC14</v>
      </c>
      <c r="B22147" s="6" t="s">
        <v>1</v>
      </c>
      <c r="C22147" s="6" t="s">
        <v>1</v>
      </c>
    </row>
    <row r="22148" spans="1:3" s="8" customFormat="1" x14ac:dyDescent="0.2">
      <c r="A22148" s="6" t="str">
        <f>"FLYWCH1"</f>
        <v>FLYWCH1</v>
      </c>
      <c r="B22148" s="6" t="s">
        <v>1</v>
      </c>
      <c r="C22148" s="6" t="s">
        <v>1</v>
      </c>
    </row>
    <row r="22149" spans="1:3" s="8" customFormat="1" x14ac:dyDescent="0.2">
      <c r="A22149" s="6" t="str">
        <f>"PRKX"</f>
        <v>PRKX</v>
      </c>
      <c r="B22149" s="6" t="s">
        <v>1</v>
      </c>
      <c r="C22149" s="6" t="s">
        <v>1</v>
      </c>
    </row>
    <row r="22150" spans="1:3" s="8" customFormat="1" x14ac:dyDescent="0.2">
      <c r="A22150" s="6" t="str">
        <f>"MCMBP"</f>
        <v>MCMBP</v>
      </c>
      <c r="B22150" s="6" t="s">
        <v>1</v>
      </c>
      <c r="C22150" s="6" t="s">
        <v>1</v>
      </c>
    </row>
    <row r="22151" spans="1:3" s="8" customFormat="1" x14ac:dyDescent="0.2">
      <c r="A22151" s="6" t="str">
        <f>"IPO13"</f>
        <v>IPO13</v>
      </c>
      <c r="B22151" s="6" t="s">
        <v>1</v>
      </c>
      <c r="C22151" s="6" t="s">
        <v>1</v>
      </c>
    </row>
    <row r="22152" spans="1:3" s="8" customFormat="1" x14ac:dyDescent="0.2">
      <c r="A22152" s="6" t="str">
        <f>"GLMP"</f>
        <v>GLMP</v>
      </c>
      <c r="B22152" s="6" t="s">
        <v>1</v>
      </c>
      <c r="C22152" s="6" t="s">
        <v>1</v>
      </c>
    </row>
    <row r="22153" spans="1:3" s="8" customFormat="1" x14ac:dyDescent="0.2">
      <c r="A22153" s="6" t="str">
        <f>"NUP133"</f>
        <v>NUP133</v>
      </c>
      <c r="B22153" s="6" t="s">
        <v>1</v>
      </c>
      <c r="C22153" s="6" t="s">
        <v>1</v>
      </c>
    </row>
    <row r="22154" spans="1:3" s="8" customFormat="1" x14ac:dyDescent="0.2">
      <c r="A22154" s="6" t="str">
        <f>"TFIP11"</f>
        <v>TFIP11</v>
      </c>
      <c r="B22154" s="6" t="s">
        <v>1</v>
      </c>
      <c r="C22154" s="6" t="s">
        <v>1</v>
      </c>
    </row>
    <row r="22155" spans="1:3" s="8" customFormat="1" x14ac:dyDescent="0.2">
      <c r="A22155" s="6" t="str">
        <f>"ASH2L"</f>
        <v>ASH2L</v>
      </c>
      <c r="B22155" s="6" t="s">
        <v>1</v>
      </c>
      <c r="C22155" s="6" t="s">
        <v>1</v>
      </c>
    </row>
    <row r="22156" spans="1:3" s="8" customFormat="1" x14ac:dyDescent="0.2">
      <c r="A22156" s="6" t="str">
        <f>"KCNH3"</f>
        <v>KCNH3</v>
      </c>
      <c r="B22156" s="6" t="s">
        <v>1</v>
      </c>
      <c r="C22156" s="6" t="s">
        <v>1</v>
      </c>
    </row>
    <row r="22157" spans="1:3" s="8" customFormat="1" x14ac:dyDescent="0.2">
      <c r="A22157" s="6" t="str">
        <f>"LMLN"</f>
        <v>LMLN</v>
      </c>
      <c r="B22157" s="6" t="s">
        <v>1</v>
      </c>
      <c r="C22157" s="6" t="s">
        <v>1</v>
      </c>
    </row>
    <row r="22158" spans="1:3" s="8" customFormat="1" x14ac:dyDescent="0.2">
      <c r="A22158" s="6" t="str">
        <f>"MRPS35"</f>
        <v>MRPS35</v>
      </c>
      <c r="B22158" s="6" t="s">
        <v>1</v>
      </c>
      <c r="C22158" s="6" t="s">
        <v>1</v>
      </c>
    </row>
    <row r="22159" spans="1:3" s="8" customFormat="1" x14ac:dyDescent="0.2">
      <c r="A22159" s="6" t="str">
        <f>"ASXL1"</f>
        <v>ASXL1</v>
      </c>
      <c r="B22159" s="6" t="s">
        <v>1</v>
      </c>
      <c r="C22159" s="6" t="s">
        <v>1</v>
      </c>
    </row>
    <row r="22160" spans="1:3" s="8" customFormat="1" x14ac:dyDescent="0.2">
      <c r="A22160" s="6" t="str">
        <f>"EBP"</f>
        <v>EBP</v>
      </c>
      <c r="B22160" s="6" t="s">
        <v>1</v>
      </c>
      <c r="C22160" s="6" t="s">
        <v>1</v>
      </c>
    </row>
    <row r="22161" spans="1:3" s="8" customFormat="1" x14ac:dyDescent="0.2">
      <c r="A22161" s="6" t="str">
        <f>"DIS3"</f>
        <v>DIS3</v>
      </c>
      <c r="B22161" s="6" t="s">
        <v>1</v>
      </c>
      <c r="C22161" s="6" t="s">
        <v>1</v>
      </c>
    </row>
    <row r="22162" spans="1:3" s="8" customFormat="1" x14ac:dyDescent="0.2">
      <c r="A22162" s="6" t="str">
        <f>"FXR2"</f>
        <v>FXR2</v>
      </c>
      <c r="B22162" s="6" t="s">
        <v>1</v>
      </c>
      <c r="C22162" s="6" t="s">
        <v>1</v>
      </c>
    </row>
    <row r="22163" spans="1:3" s="8" customFormat="1" x14ac:dyDescent="0.2">
      <c r="A22163" s="6" t="str">
        <f>"SRF"</f>
        <v>SRF</v>
      </c>
      <c r="B22163" s="6" t="s">
        <v>1</v>
      </c>
      <c r="C22163" s="6" t="s">
        <v>1</v>
      </c>
    </row>
    <row r="22164" spans="1:3" s="8" customFormat="1" x14ac:dyDescent="0.2">
      <c r="A22164" s="6" t="str">
        <f>"TBC1D2B"</f>
        <v>TBC1D2B</v>
      </c>
      <c r="B22164" s="6" t="s">
        <v>1</v>
      </c>
      <c r="C22164" s="6" t="s">
        <v>1</v>
      </c>
    </row>
    <row r="22165" spans="1:3" s="8" customFormat="1" x14ac:dyDescent="0.2">
      <c r="A22165" s="6" t="str">
        <f>"BTBD7"</f>
        <v>BTBD7</v>
      </c>
      <c r="B22165" s="6" t="s">
        <v>1</v>
      </c>
      <c r="C22165" s="6" t="s">
        <v>1</v>
      </c>
    </row>
    <row r="22166" spans="1:3" s="8" customFormat="1" x14ac:dyDescent="0.2">
      <c r="A22166" s="6" t="str">
        <f>"HBS1L"</f>
        <v>HBS1L</v>
      </c>
      <c r="B22166" s="6" t="s">
        <v>1</v>
      </c>
      <c r="C22166" s="6" t="s">
        <v>1</v>
      </c>
    </row>
    <row r="22167" spans="1:3" s="8" customFormat="1" x14ac:dyDescent="0.2">
      <c r="A22167" s="6" t="str">
        <f>"TNFAIP1"</f>
        <v>TNFAIP1</v>
      </c>
      <c r="B22167" s="6" t="s">
        <v>1</v>
      </c>
      <c r="C22167" s="6" t="s">
        <v>1</v>
      </c>
    </row>
    <row r="22168" spans="1:3" s="8" customFormat="1" x14ac:dyDescent="0.2">
      <c r="A22168" s="6" t="str">
        <f>"CRTC2"</f>
        <v>CRTC2</v>
      </c>
      <c r="B22168" s="6" t="s">
        <v>1</v>
      </c>
      <c r="C22168" s="6" t="s">
        <v>1</v>
      </c>
    </row>
    <row r="22169" spans="1:3" s="8" customFormat="1" x14ac:dyDescent="0.2">
      <c r="A22169" s="6" t="str">
        <f>"DNTTIP1"</f>
        <v>DNTTIP1</v>
      </c>
      <c r="B22169" s="6" t="s">
        <v>1</v>
      </c>
      <c r="C22169" s="6" t="s">
        <v>1</v>
      </c>
    </row>
    <row r="22170" spans="1:3" s="8" customFormat="1" x14ac:dyDescent="0.2">
      <c r="A22170" s="6" t="str">
        <f>"NDUFAF3"</f>
        <v>NDUFAF3</v>
      </c>
      <c r="B22170" s="6" t="s">
        <v>1</v>
      </c>
      <c r="C22170" s="6" t="s">
        <v>1</v>
      </c>
    </row>
    <row r="22171" spans="1:3" s="8" customFormat="1" x14ac:dyDescent="0.2">
      <c r="A22171" s="6" t="str">
        <f>"FAR1"</f>
        <v>FAR1</v>
      </c>
      <c r="B22171" s="6" t="s">
        <v>1</v>
      </c>
      <c r="C22171" s="6" t="s">
        <v>1</v>
      </c>
    </row>
    <row r="22172" spans="1:3" s="8" customFormat="1" x14ac:dyDescent="0.2">
      <c r="A22172" s="6" t="str">
        <f>"ODC1"</f>
        <v>ODC1</v>
      </c>
      <c r="B22172" s="6" t="s">
        <v>1</v>
      </c>
      <c r="C22172" s="6" t="s">
        <v>1</v>
      </c>
    </row>
    <row r="22173" spans="1:3" s="8" customFormat="1" x14ac:dyDescent="0.2">
      <c r="A22173" s="6" t="str">
        <f>"GLCE"</f>
        <v>GLCE</v>
      </c>
      <c r="B22173" s="6" t="s">
        <v>1</v>
      </c>
      <c r="C22173" s="6" t="s">
        <v>1</v>
      </c>
    </row>
    <row r="22174" spans="1:3" s="8" customFormat="1" x14ac:dyDescent="0.2">
      <c r="A22174" s="6" t="str">
        <f>"BABAM1"</f>
        <v>BABAM1</v>
      </c>
      <c r="B22174" s="6" t="s">
        <v>1</v>
      </c>
      <c r="C22174" s="6" t="s">
        <v>1</v>
      </c>
    </row>
    <row r="22175" spans="1:3" s="8" customFormat="1" x14ac:dyDescent="0.2">
      <c r="A22175" s="6" t="str">
        <f>"PADI1"</f>
        <v>PADI1</v>
      </c>
      <c r="B22175" s="6" t="s">
        <v>1</v>
      </c>
      <c r="C22175" s="6" t="s">
        <v>1</v>
      </c>
    </row>
    <row r="22176" spans="1:3" s="8" customFormat="1" x14ac:dyDescent="0.2">
      <c r="A22176" s="6" t="str">
        <f>"TBC1D2"</f>
        <v>TBC1D2</v>
      </c>
      <c r="B22176" s="6" t="s">
        <v>1</v>
      </c>
      <c r="C22176" s="6" t="s">
        <v>1</v>
      </c>
    </row>
    <row r="22177" spans="1:3" s="8" customFormat="1" x14ac:dyDescent="0.2">
      <c r="A22177" s="6" t="str">
        <f>"FAM91A1"</f>
        <v>FAM91A1</v>
      </c>
      <c r="B22177" s="6" t="s">
        <v>1</v>
      </c>
      <c r="C22177" s="6" t="s">
        <v>1</v>
      </c>
    </row>
    <row r="22178" spans="1:3" s="8" customFormat="1" x14ac:dyDescent="0.2">
      <c r="A22178" s="6" t="str">
        <f>"INHBB"</f>
        <v>INHBB</v>
      </c>
      <c r="B22178" s="6" t="s">
        <v>1</v>
      </c>
      <c r="C22178" s="6" t="s">
        <v>1</v>
      </c>
    </row>
    <row r="22179" spans="1:3" s="8" customFormat="1" x14ac:dyDescent="0.2">
      <c r="A22179" s="6" t="str">
        <f>"SMAP1"</f>
        <v>SMAP1</v>
      </c>
      <c r="B22179" s="6" t="s">
        <v>1</v>
      </c>
      <c r="C22179" s="6" t="s">
        <v>1</v>
      </c>
    </row>
    <row r="22180" spans="1:3" s="8" customFormat="1" x14ac:dyDescent="0.2">
      <c r="A22180" s="6" t="str">
        <f>"NUP93"</f>
        <v>NUP93</v>
      </c>
      <c r="B22180" s="6" t="s">
        <v>1</v>
      </c>
      <c r="C22180" s="6" t="s">
        <v>1</v>
      </c>
    </row>
    <row r="22181" spans="1:3" s="8" customFormat="1" x14ac:dyDescent="0.2">
      <c r="A22181" s="6" t="str">
        <f>"PRODH"</f>
        <v>PRODH</v>
      </c>
      <c r="B22181" s="6" t="s">
        <v>1</v>
      </c>
      <c r="C22181" s="6" t="s">
        <v>1</v>
      </c>
    </row>
    <row r="22182" spans="1:3" s="8" customFormat="1" x14ac:dyDescent="0.2">
      <c r="A22182" s="6" t="str">
        <f>"STX12"</f>
        <v>STX12</v>
      </c>
      <c r="B22182" s="6" t="s">
        <v>1</v>
      </c>
      <c r="C22182" s="6" t="s">
        <v>1</v>
      </c>
    </row>
    <row r="22183" spans="1:3" s="8" customFormat="1" x14ac:dyDescent="0.2">
      <c r="A22183" s="6" t="str">
        <f>"NDUFA9"</f>
        <v>NDUFA9</v>
      </c>
      <c r="B22183" s="6" t="s">
        <v>1</v>
      </c>
      <c r="C22183" s="6" t="s">
        <v>1</v>
      </c>
    </row>
    <row r="22184" spans="1:3" s="8" customFormat="1" x14ac:dyDescent="0.2">
      <c r="A22184" s="6" t="str">
        <f>"NDUFA8"</f>
        <v>NDUFA8</v>
      </c>
      <c r="B22184" s="6" t="s">
        <v>1</v>
      </c>
      <c r="C22184" s="6" t="s">
        <v>1</v>
      </c>
    </row>
    <row r="22185" spans="1:3" s="8" customFormat="1" x14ac:dyDescent="0.2">
      <c r="A22185" s="6" t="str">
        <f>"KCNK1"</f>
        <v>KCNK1</v>
      </c>
      <c r="B22185" s="6" t="s">
        <v>1</v>
      </c>
      <c r="C22185" s="6" t="s">
        <v>1</v>
      </c>
    </row>
    <row r="22186" spans="1:3" s="8" customFormat="1" x14ac:dyDescent="0.2">
      <c r="A22186" s="6" t="str">
        <f>"MRPL42"</f>
        <v>MRPL42</v>
      </c>
      <c r="B22186" s="6" t="s">
        <v>1</v>
      </c>
      <c r="C22186" s="6" t="s">
        <v>1</v>
      </c>
    </row>
    <row r="22187" spans="1:3" s="8" customFormat="1" x14ac:dyDescent="0.2">
      <c r="A22187" s="6" t="str">
        <f>"NDUFA2"</f>
        <v>NDUFA2</v>
      </c>
      <c r="B22187" s="6" t="s">
        <v>1</v>
      </c>
      <c r="C22187" s="6" t="s">
        <v>1</v>
      </c>
    </row>
    <row r="22188" spans="1:3" s="8" customFormat="1" x14ac:dyDescent="0.2">
      <c r="A22188" s="6" t="str">
        <f>"UCN3"</f>
        <v>UCN3</v>
      </c>
      <c r="B22188" s="6" t="s">
        <v>1</v>
      </c>
      <c r="C22188" s="6" t="s">
        <v>1</v>
      </c>
    </row>
    <row r="22189" spans="1:3" s="8" customFormat="1" x14ac:dyDescent="0.2">
      <c r="A22189" s="6" t="str">
        <f>"IDO1"</f>
        <v>IDO1</v>
      </c>
      <c r="B22189" s="6" t="s">
        <v>1</v>
      </c>
      <c r="C22189" s="6" t="s">
        <v>1</v>
      </c>
    </row>
    <row r="22190" spans="1:3" s="8" customFormat="1" x14ac:dyDescent="0.2">
      <c r="A22190" s="6" t="str">
        <f>"FHL2"</f>
        <v>FHL2</v>
      </c>
      <c r="B22190" s="6" t="s">
        <v>1</v>
      </c>
      <c r="C22190" s="6" t="s">
        <v>1</v>
      </c>
    </row>
    <row r="22191" spans="1:3" s="8" customFormat="1" x14ac:dyDescent="0.2">
      <c r="A22191" s="6" t="str">
        <f>"ARAP2"</f>
        <v>ARAP2</v>
      </c>
      <c r="B22191" s="6" t="s">
        <v>1</v>
      </c>
      <c r="C22191" s="6" t="s">
        <v>1</v>
      </c>
    </row>
    <row r="22192" spans="1:3" s="8" customFormat="1" x14ac:dyDescent="0.2">
      <c r="A22192" s="6" t="str">
        <f>"WSB2"</f>
        <v>WSB2</v>
      </c>
      <c r="B22192" s="6" t="s">
        <v>1</v>
      </c>
      <c r="C22192" s="6" t="s">
        <v>1</v>
      </c>
    </row>
    <row r="22193" spans="1:3" s="8" customFormat="1" x14ac:dyDescent="0.2">
      <c r="A22193" s="6" t="str">
        <f>"ELP2"</f>
        <v>ELP2</v>
      </c>
      <c r="B22193" s="6" t="s">
        <v>1</v>
      </c>
      <c r="C22193" s="6" t="s">
        <v>1</v>
      </c>
    </row>
    <row r="22194" spans="1:3" s="8" customFormat="1" x14ac:dyDescent="0.2">
      <c r="A22194" s="6" t="str">
        <f>"NPAS2"</f>
        <v>NPAS2</v>
      </c>
      <c r="B22194" s="6" t="s">
        <v>1</v>
      </c>
      <c r="C22194" s="6" t="s">
        <v>1</v>
      </c>
    </row>
    <row r="22195" spans="1:3" s="8" customFormat="1" x14ac:dyDescent="0.2">
      <c r="A22195" s="6" t="str">
        <f>"DGCR6"</f>
        <v>DGCR6</v>
      </c>
      <c r="B22195" s="6" t="s">
        <v>1</v>
      </c>
      <c r="C22195" s="6" t="s">
        <v>1</v>
      </c>
    </row>
    <row r="22196" spans="1:3" s="8" customFormat="1" x14ac:dyDescent="0.2">
      <c r="A22196" s="6" t="str">
        <f>"TGFB1"</f>
        <v>TGFB1</v>
      </c>
      <c r="B22196" s="6" t="s">
        <v>1</v>
      </c>
      <c r="C22196" s="6" t="s">
        <v>1</v>
      </c>
    </row>
    <row r="22197" spans="1:3" s="8" customFormat="1" x14ac:dyDescent="0.2">
      <c r="A22197" s="6" t="str">
        <f>"ADIRF"</f>
        <v>ADIRF</v>
      </c>
      <c r="B22197" s="6" t="s">
        <v>1</v>
      </c>
      <c r="C22197" s="6" t="s">
        <v>1</v>
      </c>
    </row>
    <row r="22198" spans="1:3" s="8" customFormat="1" x14ac:dyDescent="0.2">
      <c r="A22198" s="6" t="str">
        <f>"MCRS1"</f>
        <v>MCRS1</v>
      </c>
      <c r="B22198" s="6" t="s">
        <v>1</v>
      </c>
      <c r="C22198" s="6" t="s">
        <v>1</v>
      </c>
    </row>
    <row r="22199" spans="1:3" s="8" customFormat="1" x14ac:dyDescent="0.2">
      <c r="A22199" s="6" t="str">
        <f>"UEVLD"</f>
        <v>UEVLD</v>
      </c>
      <c r="B22199" s="6" t="s">
        <v>1</v>
      </c>
      <c r="C22199" s="6" t="s">
        <v>1</v>
      </c>
    </row>
    <row r="22200" spans="1:3" s="8" customFormat="1" x14ac:dyDescent="0.2">
      <c r="A22200" s="6" t="str">
        <f>"INO80"</f>
        <v>INO80</v>
      </c>
      <c r="B22200" s="6" t="s">
        <v>1</v>
      </c>
      <c r="C22200" s="6" t="s">
        <v>1</v>
      </c>
    </row>
    <row r="22201" spans="1:3" s="8" customFormat="1" x14ac:dyDescent="0.2">
      <c r="A22201" s="6" t="str">
        <f>"FZR1"</f>
        <v>FZR1</v>
      </c>
      <c r="B22201" s="6" t="s">
        <v>1</v>
      </c>
      <c r="C22201" s="6" t="s">
        <v>1</v>
      </c>
    </row>
    <row r="22202" spans="1:3" s="8" customFormat="1" x14ac:dyDescent="0.2">
      <c r="A22202" s="6" t="str">
        <f>"KLHDC2"</f>
        <v>KLHDC2</v>
      </c>
      <c r="B22202" s="6" t="s">
        <v>1</v>
      </c>
      <c r="C22202" s="6" t="s">
        <v>1</v>
      </c>
    </row>
    <row r="22203" spans="1:3" s="8" customFormat="1" x14ac:dyDescent="0.2">
      <c r="A22203" s="6" t="str">
        <f>"KAT7"</f>
        <v>KAT7</v>
      </c>
      <c r="B22203" s="6" t="s">
        <v>1</v>
      </c>
      <c r="C22203" s="6" t="s">
        <v>1</v>
      </c>
    </row>
    <row r="22204" spans="1:3" s="8" customFormat="1" x14ac:dyDescent="0.2">
      <c r="A22204" s="6" t="str">
        <f>"RELCH"</f>
        <v>RELCH</v>
      </c>
      <c r="B22204" s="6" t="s">
        <v>1</v>
      </c>
      <c r="C22204" s="6" t="s">
        <v>1</v>
      </c>
    </row>
    <row r="22205" spans="1:3" s="8" customFormat="1" x14ac:dyDescent="0.2">
      <c r="A22205" s="6" t="str">
        <f>"HMGB1P6"</f>
        <v>HMGB1P6</v>
      </c>
      <c r="B22205" s="6" t="s">
        <v>1</v>
      </c>
      <c r="C22205" s="6" t="s">
        <v>1</v>
      </c>
    </row>
    <row r="22206" spans="1:3" s="8" customFormat="1" x14ac:dyDescent="0.2">
      <c r="A22206" s="6" t="str">
        <f>"NDUFC1"</f>
        <v>NDUFC1</v>
      </c>
      <c r="B22206" s="6" t="s">
        <v>1</v>
      </c>
      <c r="C22206" s="6" t="s">
        <v>1</v>
      </c>
    </row>
    <row r="22207" spans="1:3" s="8" customFormat="1" x14ac:dyDescent="0.2">
      <c r="A22207" s="6" t="str">
        <f>"WNT9A"</f>
        <v>WNT9A</v>
      </c>
      <c r="B22207" s="6" t="s">
        <v>1</v>
      </c>
      <c r="C22207" s="6" t="s">
        <v>1</v>
      </c>
    </row>
    <row r="22208" spans="1:3" s="8" customFormat="1" x14ac:dyDescent="0.2">
      <c r="A22208" s="6" t="str">
        <f>"REXO1"</f>
        <v>REXO1</v>
      </c>
      <c r="B22208" s="6" t="s">
        <v>1</v>
      </c>
      <c r="C22208" s="6" t="s">
        <v>1</v>
      </c>
    </row>
    <row r="22209" spans="1:3" s="8" customFormat="1" x14ac:dyDescent="0.2">
      <c r="A22209" s="6" t="str">
        <f>"SMAD4"</f>
        <v>SMAD4</v>
      </c>
      <c r="B22209" s="6" t="s">
        <v>1</v>
      </c>
      <c r="C22209" s="6" t="s">
        <v>1</v>
      </c>
    </row>
    <row r="22210" spans="1:3" s="8" customFormat="1" x14ac:dyDescent="0.2">
      <c r="A22210" s="6" t="str">
        <f>"SNX5"</f>
        <v>SNX5</v>
      </c>
      <c r="B22210" s="6" t="s">
        <v>1</v>
      </c>
      <c r="C22210" s="6" t="s">
        <v>1</v>
      </c>
    </row>
    <row r="22211" spans="1:3" s="8" customFormat="1" x14ac:dyDescent="0.2">
      <c r="A22211" s="6" t="str">
        <f>"DNAJC16"</f>
        <v>DNAJC16</v>
      </c>
      <c r="B22211" s="6" t="s">
        <v>1</v>
      </c>
      <c r="C22211" s="6" t="s">
        <v>1</v>
      </c>
    </row>
    <row r="22212" spans="1:3" s="8" customFormat="1" x14ac:dyDescent="0.2">
      <c r="A22212" s="6" t="str">
        <f>"NXF1"</f>
        <v>NXF1</v>
      </c>
      <c r="B22212" s="6" t="s">
        <v>1</v>
      </c>
      <c r="C22212" s="6" t="s">
        <v>1</v>
      </c>
    </row>
    <row r="22213" spans="1:3" s="8" customFormat="1" x14ac:dyDescent="0.2">
      <c r="A22213" s="6" t="str">
        <f>"NECAP2"</f>
        <v>NECAP2</v>
      </c>
      <c r="B22213" s="6" t="s">
        <v>1</v>
      </c>
      <c r="C22213" s="6" t="s">
        <v>1</v>
      </c>
    </row>
    <row r="22214" spans="1:3" s="8" customFormat="1" x14ac:dyDescent="0.2">
      <c r="A22214" s="6" t="str">
        <f>"MSH6"</f>
        <v>MSH6</v>
      </c>
      <c r="B22214" s="6" t="s">
        <v>1</v>
      </c>
      <c r="C22214" s="6" t="s">
        <v>1</v>
      </c>
    </row>
    <row r="22215" spans="1:3" s="8" customFormat="1" x14ac:dyDescent="0.2">
      <c r="A22215" s="6" t="str">
        <f>"IFT43"</f>
        <v>IFT43</v>
      </c>
      <c r="B22215" s="6" t="s">
        <v>1</v>
      </c>
      <c r="C22215" s="6" t="s">
        <v>1</v>
      </c>
    </row>
    <row r="22216" spans="1:3" s="8" customFormat="1" x14ac:dyDescent="0.2">
      <c r="A22216" s="6" t="str">
        <f>"RFC1"</f>
        <v>RFC1</v>
      </c>
      <c r="B22216" s="6" t="s">
        <v>1</v>
      </c>
      <c r="C22216" s="6" t="s">
        <v>1</v>
      </c>
    </row>
    <row r="22217" spans="1:3" s="8" customFormat="1" x14ac:dyDescent="0.2">
      <c r="A22217" s="6" t="str">
        <f>"SH3RF1"</f>
        <v>SH3RF1</v>
      </c>
      <c r="B22217" s="6" t="s">
        <v>1</v>
      </c>
      <c r="C22217" s="6" t="s">
        <v>1</v>
      </c>
    </row>
    <row r="22218" spans="1:3" s="8" customFormat="1" x14ac:dyDescent="0.2">
      <c r="A22218" s="6" t="str">
        <f>"KLHL2"</f>
        <v>KLHL2</v>
      </c>
      <c r="B22218" s="6" t="s">
        <v>1</v>
      </c>
      <c r="C22218" s="6" t="s">
        <v>1</v>
      </c>
    </row>
    <row r="22219" spans="1:3" s="8" customFormat="1" x14ac:dyDescent="0.2">
      <c r="A22219" s="6" t="str">
        <f>"DNAJC1"</f>
        <v>DNAJC1</v>
      </c>
      <c r="B22219" s="6" t="s">
        <v>1</v>
      </c>
      <c r="C22219" s="6" t="s">
        <v>1</v>
      </c>
    </row>
    <row r="22220" spans="1:3" s="8" customFormat="1" x14ac:dyDescent="0.2">
      <c r="A22220" s="6" t="str">
        <f>"ALKBH7"</f>
        <v>ALKBH7</v>
      </c>
      <c r="B22220" s="6" t="s">
        <v>1</v>
      </c>
      <c r="C22220" s="6" t="s">
        <v>1</v>
      </c>
    </row>
    <row r="22221" spans="1:3" s="8" customFormat="1" x14ac:dyDescent="0.2">
      <c r="A22221" s="6" t="str">
        <f>"FYTTD1"</f>
        <v>FYTTD1</v>
      </c>
      <c r="B22221" s="6" t="s">
        <v>1</v>
      </c>
      <c r="C22221" s="6" t="s">
        <v>1</v>
      </c>
    </row>
    <row r="22222" spans="1:3" s="8" customFormat="1" x14ac:dyDescent="0.2">
      <c r="A22222" s="6" t="str">
        <f>"KBTBD4"</f>
        <v>KBTBD4</v>
      </c>
      <c r="B22222" s="6" t="s">
        <v>1</v>
      </c>
      <c r="C22222" s="6" t="s">
        <v>1</v>
      </c>
    </row>
    <row r="22223" spans="1:3" s="8" customFormat="1" x14ac:dyDescent="0.2">
      <c r="A22223" s="6" t="str">
        <f>"MRPL38"</f>
        <v>MRPL38</v>
      </c>
      <c r="B22223" s="6" t="s">
        <v>1</v>
      </c>
      <c r="C22223" s="6" t="s">
        <v>1</v>
      </c>
    </row>
    <row r="22224" spans="1:3" s="8" customFormat="1" x14ac:dyDescent="0.2">
      <c r="A22224" s="6" t="str">
        <f>"CRKL"</f>
        <v>CRKL</v>
      </c>
      <c r="B22224" s="6" t="s">
        <v>1</v>
      </c>
      <c r="C22224" s="6" t="s">
        <v>1</v>
      </c>
    </row>
    <row r="22225" spans="1:3" s="8" customFormat="1" x14ac:dyDescent="0.2">
      <c r="A22225" s="6" t="str">
        <f>"NUP188"</f>
        <v>NUP188</v>
      </c>
      <c r="B22225" s="6" t="s">
        <v>1</v>
      </c>
      <c r="C22225" s="6" t="s">
        <v>1</v>
      </c>
    </row>
    <row r="22226" spans="1:3" s="8" customFormat="1" x14ac:dyDescent="0.2">
      <c r="A22226" s="6" t="str">
        <f>"NUP205"</f>
        <v>NUP205</v>
      </c>
      <c r="B22226" s="6" t="s">
        <v>1</v>
      </c>
      <c r="C22226" s="6" t="s">
        <v>1</v>
      </c>
    </row>
    <row r="22227" spans="1:3" s="8" customFormat="1" x14ac:dyDescent="0.2">
      <c r="A22227" s="6" t="str">
        <f>"SAA2"</f>
        <v>SAA2</v>
      </c>
      <c r="B22227" s="6" t="s">
        <v>1</v>
      </c>
      <c r="C22227" s="6" t="s">
        <v>1</v>
      </c>
    </row>
    <row r="22228" spans="1:3" s="8" customFormat="1" x14ac:dyDescent="0.2">
      <c r="A22228" s="6" t="str">
        <f>"LZTS2"</f>
        <v>LZTS2</v>
      </c>
      <c r="B22228" s="6" t="s">
        <v>1</v>
      </c>
      <c r="C22228" s="6" t="s">
        <v>1</v>
      </c>
    </row>
    <row r="22229" spans="1:3" s="8" customFormat="1" x14ac:dyDescent="0.2">
      <c r="A22229" s="6" t="str">
        <f>"NELFCD"</f>
        <v>NELFCD</v>
      </c>
      <c r="B22229" s="6" t="s">
        <v>1</v>
      </c>
      <c r="C22229" s="6" t="s">
        <v>1</v>
      </c>
    </row>
    <row r="22230" spans="1:3" s="8" customFormat="1" x14ac:dyDescent="0.2">
      <c r="A22230" s="6" t="str">
        <f>"MRPL41"</f>
        <v>MRPL41</v>
      </c>
      <c r="B22230" s="6" t="s">
        <v>1</v>
      </c>
      <c r="C22230" s="6" t="s">
        <v>1</v>
      </c>
    </row>
    <row r="22231" spans="1:3" s="8" customFormat="1" x14ac:dyDescent="0.2">
      <c r="A22231" s="6" t="str">
        <f>"WSB1"</f>
        <v>WSB1</v>
      </c>
      <c r="B22231" s="6" t="s">
        <v>1</v>
      </c>
      <c r="C22231" s="6" t="s">
        <v>1</v>
      </c>
    </row>
    <row r="22232" spans="1:3" s="8" customFormat="1" x14ac:dyDescent="0.2">
      <c r="A22232" s="6" t="str">
        <f>"CNOT2"</f>
        <v>CNOT2</v>
      </c>
      <c r="B22232" s="6" t="s">
        <v>1</v>
      </c>
      <c r="C22232" s="6" t="s">
        <v>1</v>
      </c>
    </row>
    <row r="22233" spans="1:3" s="8" customFormat="1" x14ac:dyDescent="0.2">
      <c r="A22233" s="6" t="str">
        <f>"UFD1"</f>
        <v>UFD1</v>
      </c>
      <c r="B22233" s="6" t="s">
        <v>1</v>
      </c>
      <c r="C22233" s="6" t="s">
        <v>1</v>
      </c>
    </row>
    <row r="22234" spans="1:3" s="8" customFormat="1" x14ac:dyDescent="0.2">
      <c r="A22234" s="6" t="str">
        <f>"CEBPZ"</f>
        <v>CEBPZ</v>
      </c>
      <c r="B22234" s="6" t="s">
        <v>1</v>
      </c>
      <c r="C22234" s="6" t="s">
        <v>1</v>
      </c>
    </row>
    <row r="22235" spans="1:3" s="8" customFormat="1" x14ac:dyDescent="0.2">
      <c r="A22235" s="6" t="str">
        <f>"STX5"</f>
        <v>STX5</v>
      </c>
      <c r="B22235" s="6" t="s">
        <v>1</v>
      </c>
      <c r="C22235" s="6" t="s">
        <v>1</v>
      </c>
    </row>
    <row r="22236" spans="1:3" s="8" customFormat="1" x14ac:dyDescent="0.2">
      <c r="A22236" s="6" t="str">
        <f>"DECR1"</f>
        <v>DECR1</v>
      </c>
      <c r="B22236" s="6" t="s">
        <v>1</v>
      </c>
      <c r="C22236" s="6" t="s">
        <v>1</v>
      </c>
    </row>
    <row r="22237" spans="1:3" s="8" customFormat="1" x14ac:dyDescent="0.2">
      <c r="A22237" s="6" t="str">
        <f>"GALNS"</f>
        <v>GALNS</v>
      </c>
      <c r="B22237" s="6" t="s">
        <v>1</v>
      </c>
      <c r="C22237" s="6" t="s">
        <v>1</v>
      </c>
    </row>
    <row r="22238" spans="1:3" s="8" customFormat="1" x14ac:dyDescent="0.2">
      <c r="A22238" s="6" t="str">
        <f>"BRF1"</f>
        <v>BRF1</v>
      </c>
      <c r="B22238" s="6" t="s">
        <v>1</v>
      </c>
      <c r="C22238" s="6" t="s">
        <v>1</v>
      </c>
    </row>
    <row r="22239" spans="1:3" s="8" customFormat="1" x14ac:dyDescent="0.2">
      <c r="A22239" s="6" t="str">
        <f>"RNF126"</f>
        <v>RNF126</v>
      </c>
      <c r="B22239" s="6" t="s">
        <v>1</v>
      </c>
      <c r="C22239" s="6" t="s">
        <v>1</v>
      </c>
    </row>
    <row r="22240" spans="1:3" s="8" customFormat="1" x14ac:dyDescent="0.2">
      <c r="A22240" s="6" t="str">
        <f>"SRPRB"</f>
        <v>SRPRB</v>
      </c>
      <c r="B22240" s="6" t="s">
        <v>1</v>
      </c>
      <c r="C22240" s="6" t="s">
        <v>1</v>
      </c>
    </row>
    <row r="22241" spans="1:3" s="8" customFormat="1" x14ac:dyDescent="0.2">
      <c r="A22241" s="6" t="str">
        <f>"FARP2"</f>
        <v>FARP2</v>
      </c>
      <c r="B22241" s="6" t="s">
        <v>1</v>
      </c>
      <c r="C22241" s="6" t="s">
        <v>1</v>
      </c>
    </row>
    <row r="22242" spans="1:3" s="8" customFormat="1" x14ac:dyDescent="0.2">
      <c r="A22242" s="6" t="str">
        <f>"EML1"</f>
        <v>EML1</v>
      </c>
      <c r="B22242" s="6" t="s">
        <v>1</v>
      </c>
      <c r="C22242" s="6" t="s">
        <v>1</v>
      </c>
    </row>
    <row r="22243" spans="1:3" s="8" customFormat="1" x14ac:dyDescent="0.2">
      <c r="A22243" s="6" t="str">
        <f>"CYP2J2"</f>
        <v>CYP2J2</v>
      </c>
      <c r="B22243" s="6" t="s">
        <v>1</v>
      </c>
      <c r="C22243" s="6" t="s">
        <v>1</v>
      </c>
    </row>
    <row r="22244" spans="1:3" s="8" customFormat="1" x14ac:dyDescent="0.2">
      <c r="A22244" s="6" t="str">
        <f>"COG1"</f>
        <v>COG1</v>
      </c>
      <c r="B22244" s="6" t="s">
        <v>1</v>
      </c>
      <c r="C22244" s="6" t="s">
        <v>1</v>
      </c>
    </row>
    <row r="22245" spans="1:3" s="8" customFormat="1" x14ac:dyDescent="0.2">
      <c r="A22245" s="6" t="str">
        <f>"FBH1"</f>
        <v>FBH1</v>
      </c>
      <c r="B22245" s="6" t="s">
        <v>1</v>
      </c>
      <c r="C22245" s="6" t="s">
        <v>1</v>
      </c>
    </row>
    <row r="22246" spans="1:3" s="8" customFormat="1" x14ac:dyDescent="0.2">
      <c r="A22246" s="6" t="str">
        <f>"FAF1"</f>
        <v>FAF1</v>
      </c>
      <c r="B22246" s="6" t="s">
        <v>1</v>
      </c>
      <c r="C22246" s="6" t="s">
        <v>1</v>
      </c>
    </row>
    <row r="22247" spans="1:3" s="8" customFormat="1" x14ac:dyDescent="0.2">
      <c r="A22247" s="6" t="str">
        <f>"CARM1"</f>
        <v>CARM1</v>
      </c>
      <c r="B22247" s="6" t="s">
        <v>1</v>
      </c>
      <c r="C22247" s="6" t="s">
        <v>1</v>
      </c>
    </row>
    <row r="22248" spans="1:3" s="8" customFormat="1" x14ac:dyDescent="0.2">
      <c r="A22248" s="6" t="str">
        <f>"NEK4"</f>
        <v>NEK4</v>
      </c>
      <c r="B22248" s="6" t="s">
        <v>1</v>
      </c>
      <c r="C22248" s="6" t="s">
        <v>1</v>
      </c>
    </row>
    <row r="22249" spans="1:3" s="8" customFormat="1" x14ac:dyDescent="0.2">
      <c r="A22249" s="6" t="str">
        <f>"ATAD1"</f>
        <v>ATAD1</v>
      </c>
      <c r="B22249" s="6" t="s">
        <v>1</v>
      </c>
      <c r="C22249" s="6" t="s">
        <v>1</v>
      </c>
    </row>
    <row r="22250" spans="1:3" s="8" customFormat="1" x14ac:dyDescent="0.2">
      <c r="A22250" s="6" t="str">
        <f>"TMEM129"</f>
        <v>TMEM129</v>
      </c>
      <c r="B22250" s="6" t="s">
        <v>1</v>
      </c>
      <c r="C22250" s="6" t="s">
        <v>1</v>
      </c>
    </row>
    <row r="22251" spans="1:3" s="8" customFormat="1" x14ac:dyDescent="0.2">
      <c r="A22251" s="6" t="str">
        <f>"FAM83D"</f>
        <v>FAM83D</v>
      </c>
      <c r="B22251" s="6" t="s">
        <v>1</v>
      </c>
      <c r="C22251" s="6" t="s">
        <v>1</v>
      </c>
    </row>
    <row r="22252" spans="1:3" s="8" customFormat="1" x14ac:dyDescent="0.2">
      <c r="A22252" s="6" t="str">
        <f>"MRPL4"</f>
        <v>MRPL4</v>
      </c>
      <c r="B22252" s="6" t="s">
        <v>1</v>
      </c>
      <c r="C22252" s="6" t="s">
        <v>1</v>
      </c>
    </row>
    <row r="22253" spans="1:3" s="8" customFormat="1" x14ac:dyDescent="0.2">
      <c r="A22253" s="6" t="str">
        <f>"EMD"</f>
        <v>EMD</v>
      </c>
      <c r="B22253" s="6" t="s">
        <v>1</v>
      </c>
      <c r="C22253" s="6" t="s">
        <v>1</v>
      </c>
    </row>
    <row r="22254" spans="1:3" s="8" customFormat="1" x14ac:dyDescent="0.2">
      <c r="A22254" s="6" t="str">
        <f>"MAML2"</f>
        <v>MAML2</v>
      </c>
      <c r="B22254" s="6" t="s">
        <v>1</v>
      </c>
      <c r="C22254" s="6" t="s">
        <v>1</v>
      </c>
    </row>
    <row r="22255" spans="1:3" s="8" customFormat="1" x14ac:dyDescent="0.2">
      <c r="A22255" s="6" t="str">
        <f>"MZT2B"</f>
        <v>MZT2B</v>
      </c>
      <c r="B22255" s="6" t="s">
        <v>1</v>
      </c>
      <c r="C22255" s="6" t="s">
        <v>1</v>
      </c>
    </row>
    <row r="22256" spans="1:3" s="8" customFormat="1" x14ac:dyDescent="0.2">
      <c r="A22256" s="6" t="str">
        <f>"KLF10"</f>
        <v>KLF10</v>
      </c>
      <c r="B22256" s="6" t="s">
        <v>1</v>
      </c>
      <c r="C22256" s="6" t="s">
        <v>1</v>
      </c>
    </row>
    <row r="22257" spans="1:3" s="8" customFormat="1" x14ac:dyDescent="0.2">
      <c r="A22257" s="6" t="str">
        <f>"MYO10"</f>
        <v>MYO10</v>
      </c>
      <c r="B22257" s="6" t="s">
        <v>1</v>
      </c>
      <c r="C22257" s="6" t="s">
        <v>1</v>
      </c>
    </row>
    <row r="22258" spans="1:3" s="8" customFormat="1" x14ac:dyDescent="0.2">
      <c r="A22258" s="6" t="str">
        <f>"REST"</f>
        <v>REST</v>
      </c>
      <c r="B22258" s="6" t="s">
        <v>1</v>
      </c>
      <c r="C22258" s="6" t="s">
        <v>1</v>
      </c>
    </row>
    <row r="22259" spans="1:3" s="8" customFormat="1" x14ac:dyDescent="0.2">
      <c r="A22259" s="6" t="str">
        <f>"KAT6B"</f>
        <v>KAT6B</v>
      </c>
      <c r="B22259" s="6" t="s">
        <v>1</v>
      </c>
      <c r="C22259" s="6" t="s">
        <v>1</v>
      </c>
    </row>
    <row r="22260" spans="1:3" s="8" customFormat="1" x14ac:dyDescent="0.2">
      <c r="A22260" s="6" t="str">
        <f>"HMCES"</f>
        <v>HMCES</v>
      </c>
      <c r="B22260" s="6" t="s">
        <v>1</v>
      </c>
      <c r="C22260" s="6" t="s">
        <v>1</v>
      </c>
    </row>
    <row r="22261" spans="1:3" s="8" customFormat="1" x14ac:dyDescent="0.2">
      <c r="A22261" s="6" t="str">
        <f>"TBC1D15"</f>
        <v>TBC1D15</v>
      </c>
      <c r="B22261" s="6" t="s">
        <v>1</v>
      </c>
      <c r="C22261" s="6" t="s">
        <v>1</v>
      </c>
    </row>
    <row r="22262" spans="1:3" s="8" customFormat="1" x14ac:dyDescent="0.2">
      <c r="A22262" s="6" t="str">
        <f>"CASK"</f>
        <v>CASK</v>
      </c>
      <c r="B22262" s="6" t="s">
        <v>1</v>
      </c>
      <c r="C22262" s="6" t="s">
        <v>1</v>
      </c>
    </row>
    <row r="22263" spans="1:3" s="8" customFormat="1" x14ac:dyDescent="0.2">
      <c r="A22263" s="6" t="str">
        <f>"CNPY3"</f>
        <v>CNPY3</v>
      </c>
      <c r="B22263" s="6" t="s">
        <v>1</v>
      </c>
      <c r="C22263" s="6" t="s">
        <v>1</v>
      </c>
    </row>
    <row r="22264" spans="1:3" s="8" customFormat="1" x14ac:dyDescent="0.2">
      <c r="A22264" s="6" t="str">
        <f>"STX7"</f>
        <v>STX7</v>
      </c>
      <c r="B22264" s="6" t="s">
        <v>1</v>
      </c>
      <c r="C22264" s="6" t="s">
        <v>1</v>
      </c>
    </row>
    <row r="22265" spans="1:3" s="8" customFormat="1" x14ac:dyDescent="0.2">
      <c r="A22265" s="6" t="str">
        <f>"PCGF3"</f>
        <v>PCGF3</v>
      </c>
      <c r="B22265" s="6" t="s">
        <v>1</v>
      </c>
      <c r="C22265" s="6" t="s">
        <v>1</v>
      </c>
    </row>
    <row r="22266" spans="1:3" s="8" customFormat="1" x14ac:dyDescent="0.2">
      <c r="A22266" s="6" t="str">
        <f>"IQCA1"</f>
        <v>IQCA1</v>
      </c>
      <c r="B22266" s="6" t="s">
        <v>1</v>
      </c>
      <c r="C22266" s="6" t="s">
        <v>1</v>
      </c>
    </row>
    <row r="22267" spans="1:3" s="8" customFormat="1" x14ac:dyDescent="0.2">
      <c r="A22267" s="6" t="str">
        <f>"TFRC"</f>
        <v>TFRC</v>
      </c>
      <c r="B22267" s="6" t="s">
        <v>1</v>
      </c>
      <c r="C22267" s="6" t="s">
        <v>1</v>
      </c>
    </row>
    <row r="22268" spans="1:3" s="8" customFormat="1" x14ac:dyDescent="0.2">
      <c r="A22268" s="6" t="str">
        <f>"LPCAT3"</f>
        <v>LPCAT3</v>
      </c>
      <c r="B22268" s="6" t="s">
        <v>1</v>
      </c>
      <c r="C22268" s="6" t="s">
        <v>1</v>
      </c>
    </row>
    <row r="22269" spans="1:3" s="8" customFormat="1" x14ac:dyDescent="0.2">
      <c r="A22269" s="6" t="str">
        <f>"ELP1"</f>
        <v>ELP1</v>
      </c>
      <c r="B22269" s="6" t="s">
        <v>1</v>
      </c>
      <c r="C22269" s="6" t="s">
        <v>1</v>
      </c>
    </row>
    <row r="22270" spans="1:3" s="8" customFormat="1" x14ac:dyDescent="0.2">
      <c r="A22270" s="6" t="str">
        <f>"ALDH7A1"</f>
        <v>ALDH7A1</v>
      </c>
      <c r="B22270" s="6" t="s">
        <v>1</v>
      </c>
      <c r="C22270" s="6" t="s">
        <v>1</v>
      </c>
    </row>
    <row r="22271" spans="1:3" s="8" customFormat="1" x14ac:dyDescent="0.2">
      <c r="A22271" s="6" t="str">
        <f>"PHLPP1"</f>
        <v>PHLPP1</v>
      </c>
      <c r="B22271" s="6" t="s">
        <v>1</v>
      </c>
      <c r="C22271" s="6" t="s">
        <v>1</v>
      </c>
    </row>
    <row r="22272" spans="1:3" s="8" customFormat="1" x14ac:dyDescent="0.2">
      <c r="A22272" s="6" t="str">
        <f>"SH3YL1"</f>
        <v>SH3YL1</v>
      </c>
      <c r="B22272" s="6" t="s">
        <v>1</v>
      </c>
      <c r="C22272" s="6" t="s">
        <v>1</v>
      </c>
    </row>
    <row r="22273" spans="1:3" s="8" customFormat="1" x14ac:dyDescent="0.2">
      <c r="A22273" s="6" t="str">
        <f>"PACRG"</f>
        <v>PACRG</v>
      </c>
      <c r="B22273" s="6" t="s">
        <v>1</v>
      </c>
      <c r="C22273" s="6" t="s">
        <v>1</v>
      </c>
    </row>
    <row r="22274" spans="1:3" s="8" customFormat="1" x14ac:dyDescent="0.2">
      <c r="A22274" s="6" t="str">
        <f>"NOP14"</f>
        <v>NOP14</v>
      </c>
      <c r="B22274" s="6" t="s">
        <v>1</v>
      </c>
      <c r="C22274" s="6" t="s">
        <v>1</v>
      </c>
    </row>
    <row r="22275" spans="1:3" s="8" customFormat="1" x14ac:dyDescent="0.2">
      <c r="A22275" s="6" t="str">
        <f>"SORD2P"</f>
        <v>SORD2P</v>
      </c>
      <c r="B22275" s="6" t="s">
        <v>1</v>
      </c>
      <c r="C22275" s="6" t="s">
        <v>1</v>
      </c>
    </row>
    <row r="22276" spans="1:3" s="8" customFormat="1" x14ac:dyDescent="0.2">
      <c r="A22276" s="6" t="str">
        <f>"NDUFS3"</f>
        <v>NDUFS3</v>
      </c>
      <c r="B22276" s="6" t="s">
        <v>1</v>
      </c>
      <c r="C22276" s="6" t="s">
        <v>1</v>
      </c>
    </row>
    <row r="22277" spans="1:3" s="8" customFormat="1" x14ac:dyDescent="0.2">
      <c r="A22277" s="6" t="str">
        <f>"GADD45B"</f>
        <v>GADD45B</v>
      </c>
      <c r="B22277" s="6" t="s">
        <v>1</v>
      </c>
      <c r="C22277" s="6" t="s">
        <v>1</v>
      </c>
    </row>
    <row r="22278" spans="1:3" s="8" customFormat="1" x14ac:dyDescent="0.2">
      <c r="A22278" s="6" t="str">
        <f>"EXT2"</f>
        <v>EXT2</v>
      </c>
      <c r="B22278" s="6" t="s">
        <v>1</v>
      </c>
      <c r="C22278" s="6" t="s">
        <v>1</v>
      </c>
    </row>
    <row r="22279" spans="1:3" s="8" customFormat="1" x14ac:dyDescent="0.2">
      <c r="A22279" s="6" t="str">
        <f>"C1RL"</f>
        <v>C1RL</v>
      </c>
      <c r="B22279" s="6" t="s">
        <v>1</v>
      </c>
      <c r="C22279" s="6" t="s">
        <v>1</v>
      </c>
    </row>
    <row r="22280" spans="1:3" s="8" customFormat="1" x14ac:dyDescent="0.2">
      <c r="A22280" s="6" t="str">
        <f>"DFFA"</f>
        <v>DFFA</v>
      </c>
      <c r="B22280" s="6" t="s">
        <v>1</v>
      </c>
      <c r="C22280" s="6" t="s">
        <v>1</v>
      </c>
    </row>
    <row r="22281" spans="1:3" s="8" customFormat="1" x14ac:dyDescent="0.2">
      <c r="A22281" s="6" t="str">
        <f>"FASTK"</f>
        <v>FASTK</v>
      </c>
      <c r="B22281" s="6" t="s">
        <v>1</v>
      </c>
      <c r="C22281" s="6" t="s">
        <v>1</v>
      </c>
    </row>
    <row r="22282" spans="1:3" s="8" customFormat="1" x14ac:dyDescent="0.2">
      <c r="A22282" s="6" t="str">
        <f>"PPCS"</f>
        <v>PPCS</v>
      </c>
      <c r="B22282" s="6" t="s">
        <v>1</v>
      </c>
      <c r="C22282" s="6" t="s">
        <v>1</v>
      </c>
    </row>
    <row r="22283" spans="1:3" s="8" customFormat="1" x14ac:dyDescent="0.2">
      <c r="A22283" s="6" t="str">
        <f>"INTS10"</f>
        <v>INTS10</v>
      </c>
      <c r="B22283" s="6" t="s">
        <v>1</v>
      </c>
      <c r="C22283" s="6" t="s">
        <v>1</v>
      </c>
    </row>
    <row r="22284" spans="1:3" s="8" customFormat="1" x14ac:dyDescent="0.2">
      <c r="A22284" s="6" t="str">
        <f>"HMGB2"</f>
        <v>HMGB2</v>
      </c>
      <c r="B22284" s="6" t="s">
        <v>1</v>
      </c>
      <c r="C22284" s="6" t="s">
        <v>1</v>
      </c>
    </row>
    <row r="22285" spans="1:3" s="8" customFormat="1" x14ac:dyDescent="0.2">
      <c r="A22285" s="6" t="str">
        <f>"P4HA2"</f>
        <v>P4HA2</v>
      </c>
      <c r="B22285" s="6" t="s">
        <v>1</v>
      </c>
      <c r="C22285" s="6" t="s">
        <v>1</v>
      </c>
    </row>
    <row r="22286" spans="1:3" s="8" customFormat="1" x14ac:dyDescent="0.2">
      <c r="A22286" s="6" t="str">
        <f>"THADA"</f>
        <v>THADA</v>
      </c>
      <c r="B22286" s="6" t="s">
        <v>1</v>
      </c>
      <c r="C22286" s="6" t="s">
        <v>1</v>
      </c>
    </row>
    <row r="22287" spans="1:3" s="8" customFormat="1" x14ac:dyDescent="0.2">
      <c r="A22287" s="6" t="str">
        <f>"CELSR2"</f>
        <v>CELSR2</v>
      </c>
      <c r="B22287" s="6" t="s">
        <v>1</v>
      </c>
      <c r="C22287" s="6" t="s">
        <v>1</v>
      </c>
    </row>
    <row r="22288" spans="1:3" s="8" customFormat="1" x14ac:dyDescent="0.2">
      <c r="A22288" s="6" t="str">
        <f>"OCIAD2"</f>
        <v>OCIAD2</v>
      </c>
      <c r="B22288" s="6" t="s">
        <v>1</v>
      </c>
      <c r="C22288" s="6" t="s">
        <v>1</v>
      </c>
    </row>
    <row r="22289" spans="1:3" s="8" customFormat="1" x14ac:dyDescent="0.2">
      <c r="A22289" s="6" t="str">
        <f>"ECRG4"</f>
        <v>ECRG4</v>
      </c>
      <c r="B22289" s="6" t="s">
        <v>1</v>
      </c>
      <c r="C22289" s="6" t="s">
        <v>1</v>
      </c>
    </row>
    <row r="22290" spans="1:3" s="8" customFormat="1" x14ac:dyDescent="0.2">
      <c r="A22290" s="6" t="str">
        <f>"CNOT9"</f>
        <v>CNOT9</v>
      </c>
      <c r="B22290" s="6" t="s">
        <v>1</v>
      </c>
      <c r="C22290" s="6" t="s">
        <v>1</v>
      </c>
    </row>
    <row r="22291" spans="1:3" s="8" customFormat="1" x14ac:dyDescent="0.2">
      <c r="A22291" s="6" t="str">
        <f>"MRPS7"</f>
        <v>MRPS7</v>
      </c>
      <c r="B22291" s="6" t="s">
        <v>1</v>
      </c>
      <c r="C22291" s="6" t="s">
        <v>1</v>
      </c>
    </row>
    <row r="22292" spans="1:3" s="8" customFormat="1" x14ac:dyDescent="0.2">
      <c r="A22292" s="6" t="str">
        <f>"LCA5"</f>
        <v>LCA5</v>
      </c>
      <c r="B22292" s="6" t="s">
        <v>1</v>
      </c>
      <c r="C22292" s="6" t="s">
        <v>1</v>
      </c>
    </row>
    <row r="22293" spans="1:3" s="8" customFormat="1" x14ac:dyDescent="0.2">
      <c r="A22293" s="6" t="str">
        <f>"NPIPB12"</f>
        <v>NPIPB12</v>
      </c>
      <c r="B22293" s="6" t="s">
        <v>1</v>
      </c>
      <c r="C22293" s="6" t="s">
        <v>1</v>
      </c>
    </row>
    <row r="22294" spans="1:3" s="8" customFormat="1" x14ac:dyDescent="0.2">
      <c r="A22294" s="6" t="str">
        <f>"ENKD1"</f>
        <v>ENKD1</v>
      </c>
      <c r="B22294" s="6" t="s">
        <v>1</v>
      </c>
      <c r="C22294" s="6" t="s">
        <v>1</v>
      </c>
    </row>
    <row r="22295" spans="1:3" s="8" customFormat="1" x14ac:dyDescent="0.2">
      <c r="A22295" s="6" t="str">
        <f>"DOCK5"</f>
        <v>DOCK5</v>
      </c>
      <c r="B22295" s="6" t="s">
        <v>1</v>
      </c>
      <c r="C22295" s="6" t="s">
        <v>1</v>
      </c>
    </row>
    <row r="22296" spans="1:3" s="8" customFormat="1" x14ac:dyDescent="0.2">
      <c r="A22296" s="6" t="str">
        <f>"APOBEC3C"</f>
        <v>APOBEC3C</v>
      </c>
      <c r="B22296" s="6" t="s">
        <v>1</v>
      </c>
      <c r="C22296" s="6" t="s">
        <v>1</v>
      </c>
    </row>
    <row r="22297" spans="1:3" s="8" customFormat="1" x14ac:dyDescent="0.2">
      <c r="A22297" s="6" t="str">
        <f>"LNPEP"</f>
        <v>LNPEP</v>
      </c>
      <c r="B22297" s="6" t="s">
        <v>1</v>
      </c>
      <c r="C22297" s="6" t="s">
        <v>1</v>
      </c>
    </row>
    <row r="22298" spans="1:3" s="8" customFormat="1" x14ac:dyDescent="0.2">
      <c r="A22298" s="6" t="str">
        <f>"FMNL1"</f>
        <v>FMNL1</v>
      </c>
      <c r="B22298" s="6" t="s">
        <v>1</v>
      </c>
      <c r="C22298" s="6" t="s">
        <v>1</v>
      </c>
    </row>
    <row r="22299" spans="1:3" s="8" customFormat="1" x14ac:dyDescent="0.2">
      <c r="A22299" s="6" t="str">
        <f>"MED12"</f>
        <v>MED12</v>
      </c>
      <c r="B22299" s="6" t="s">
        <v>1</v>
      </c>
      <c r="C22299" s="6" t="s">
        <v>1</v>
      </c>
    </row>
    <row r="22300" spans="1:3" s="8" customFormat="1" x14ac:dyDescent="0.2">
      <c r="A22300" s="6" t="str">
        <f>"SECISBP2"</f>
        <v>SECISBP2</v>
      </c>
      <c r="B22300" s="6" t="s">
        <v>1</v>
      </c>
      <c r="C22300" s="6" t="s">
        <v>1</v>
      </c>
    </row>
    <row r="22301" spans="1:3" s="8" customFormat="1" x14ac:dyDescent="0.2">
      <c r="A22301" s="6" t="str">
        <f>"HAX1"</f>
        <v>HAX1</v>
      </c>
      <c r="B22301" s="6" t="s">
        <v>1</v>
      </c>
      <c r="C22301" s="6" t="s">
        <v>1</v>
      </c>
    </row>
    <row r="22302" spans="1:3" s="8" customFormat="1" x14ac:dyDescent="0.2">
      <c r="A22302" s="6" t="str">
        <f>"ZNF592"</f>
        <v>ZNF592</v>
      </c>
      <c r="B22302" s="6" t="s">
        <v>1</v>
      </c>
      <c r="C22302" s="6" t="s">
        <v>1</v>
      </c>
    </row>
    <row r="22303" spans="1:3" s="8" customFormat="1" x14ac:dyDescent="0.2">
      <c r="A22303" s="6" t="str">
        <f>"HMGCR"</f>
        <v>HMGCR</v>
      </c>
      <c r="B22303" s="6" t="s">
        <v>1</v>
      </c>
      <c r="C22303" s="6" t="s">
        <v>1</v>
      </c>
    </row>
    <row r="22304" spans="1:3" s="8" customFormat="1" x14ac:dyDescent="0.2">
      <c r="A22304" s="6" t="str">
        <f>"GLO1"</f>
        <v>GLO1</v>
      </c>
      <c r="B22304" s="6" t="s">
        <v>1</v>
      </c>
      <c r="C22304" s="6" t="s">
        <v>1</v>
      </c>
    </row>
    <row r="22305" spans="1:3" s="8" customFormat="1" x14ac:dyDescent="0.2">
      <c r="A22305" s="6" t="str">
        <f>"SEC61B"</f>
        <v>SEC61B</v>
      </c>
      <c r="B22305" s="6" t="s">
        <v>1</v>
      </c>
      <c r="C22305" s="6" t="s">
        <v>1</v>
      </c>
    </row>
    <row r="22306" spans="1:3" s="8" customFormat="1" x14ac:dyDescent="0.2">
      <c r="A22306" s="6" t="str">
        <f>"IFNGR2"</f>
        <v>IFNGR2</v>
      </c>
      <c r="B22306" s="6" t="s">
        <v>1</v>
      </c>
      <c r="C22306" s="6" t="s">
        <v>1</v>
      </c>
    </row>
    <row r="22307" spans="1:3" s="8" customFormat="1" x14ac:dyDescent="0.2">
      <c r="A22307" s="6" t="str">
        <f>"FABP6"</f>
        <v>FABP6</v>
      </c>
      <c r="B22307" s="6" t="s">
        <v>1</v>
      </c>
      <c r="C22307" s="6" t="s">
        <v>1</v>
      </c>
    </row>
    <row r="22308" spans="1:3" s="8" customFormat="1" x14ac:dyDescent="0.2">
      <c r="A22308" s="6" t="str">
        <f>"IFNAR2"</f>
        <v>IFNAR2</v>
      </c>
      <c r="B22308" s="6" t="s">
        <v>1</v>
      </c>
      <c r="C22308" s="6" t="s">
        <v>1</v>
      </c>
    </row>
    <row r="22309" spans="1:3" s="8" customFormat="1" x14ac:dyDescent="0.2">
      <c r="A22309" s="6" t="str">
        <f>"DNAL4"</f>
        <v>DNAL4</v>
      </c>
      <c r="B22309" s="6" t="s">
        <v>1</v>
      </c>
      <c r="C22309" s="6" t="s">
        <v>1</v>
      </c>
    </row>
    <row r="22310" spans="1:3" s="8" customFormat="1" x14ac:dyDescent="0.2">
      <c r="A22310" s="6" t="str">
        <f>"PCF11"</f>
        <v>PCF11</v>
      </c>
      <c r="B22310" s="6" t="s">
        <v>1</v>
      </c>
      <c r="C22310" s="6" t="s">
        <v>1</v>
      </c>
    </row>
    <row r="22311" spans="1:3" s="8" customFormat="1" x14ac:dyDescent="0.2">
      <c r="A22311" s="6" t="str">
        <f>"MRPL37"</f>
        <v>MRPL37</v>
      </c>
      <c r="B22311" s="6" t="s">
        <v>1</v>
      </c>
      <c r="C22311" s="6" t="s">
        <v>1</v>
      </c>
    </row>
    <row r="22312" spans="1:3" s="8" customFormat="1" x14ac:dyDescent="0.2">
      <c r="A22312" s="6" t="str">
        <f>"CCNL2"</f>
        <v>CCNL2</v>
      </c>
      <c r="B22312" s="6" t="s">
        <v>1</v>
      </c>
      <c r="C22312" s="6" t="s">
        <v>1</v>
      </c>
    </row>
    <row r="22313" spans="1:3" s="8" customFormat="1" x14ac:dyDescent="0.2">
      <c r="A22313" s="6" t="str">
        <f>"DEDD2"</f>
        <v>DEDD2</v>
      </c>
      <c r="B22313" s="6" t="s">
        <v>1</v>
      </c>
      <c r="C22313" s="6" t="s">
        <v>1</v>
      </c>
    </row>
    <row r="22314" spans="1:3" s="8" customFormat="1" x14ac:dyDescent="0.2">
      <c r="A22314" s="6" t="str">
        <f>"CCNO"</f>
        <v>CCNO</v>
      </c>
      <c r="B22314" s="6" t="s">
        <v>1</v>
      </c>
      <c r="C22314" s="6" t="s">
        <v>1</v>
      </c>
    </row>
    <row r="22315" spans="1:3" s="8" customFormat="1" x14ac:dyDescent="0.2">
      <c r="A22315" s="6" t="str">
        <f>"FARSA"</f>
        <v>FARSA</v>
      </c>
      <c r="B22315" s="6" t="s">
        <v>1</v>
      </c>
      <c r="C22315" s="6" t="s">
        <v>1</v>
      </c>
    </row>
    <row r="22316" spans="1:3" s="8" customFormat="1" x14ac:dyDescent="0.2">
      <c r="A22316" s="6" t="str">
        <f>"DNPEP"</f>
        <v>DNPEP</v>
      </c>
      <c r="B22316" s="6" t="s">
        <v>1</v>
      </c>
      <c r="C22316" s="6" t="s">
        <v>1</v>
      </c>
    </row>
    <row r="22317" spans="1:3" s="8" customFormat="1" x14ac:dyDescent="0.2">
      <c r="A22317" s="6" t="str">
        <f>"TRIM24"</f>
        <v>TRIM24</v>
      </c>
      <c r="B22317" s="6" t="s">
        <v>1</v>
      </c>
      <c r="C22317" s="6" t="s">
        <v>1</v>
      </c>
    </row>
    <row r="22318" spans="1:3" s="8" customFormat="1" x14ac:dyDescent="0.2">
      <c r="A22318" s="6" t="str">
        <f>"LCP2"</f>
        <v>LCP2</v>
      </c>
      <c r="B22318" s="6" t="s">
        <v>1</v>
      </c>
      <c r="C22318" s="6" t="s">
        <v>1</v>
      </c>
    </row>
    <row r="22319" spans="1:3" s="8" customFormat="1" x14ac:dyDescent="0.2">
      <c r="A22319" s="6" t="str">
        <f>"ACAA1"</f>
        <v>ACAA1</v>
      </c>
      <c r="B22319" s="6" t="s">
        <v>1</v>
      </c>
      <c r="C22319" s="6" t="s">
        <v>1</v>
      </c>
    </row>
    <row r="22320" spans="1:3" s="8" customFormat="1" x14ac:dyDescent="0.2">
      <c r="A22320" s="6" t="str">
        <f>"WIZ"</f>
        <v>WIZ</v>
      </c>
      <c r="B22320" s="6" t="s">
        <v>1</v>
      </c>
      <c r="C22320" s="6" t="s">
        <v>1</v>
      </c>
    </row>
    <row r="22321" spans="1:3" s="8" customFormat="1" x14ac:dyDescent="0.2">
      <c r="A22321" s="6" t="str">
        <f>"DNAJC11"</f>
        <v>DNAJC11</v>
      </c>
      <c r="B22321" s="6" t="s">
        <v>1</v>
      </c>
      <c r="C22321" s="6" t="s">
        <v>1</v>
      </c>
    </row>
    <row r="22322" spans="1:3" s="8" customFormat="1" x14ac:dyDescent="0.2">
      <c r="A22322" s="6" t="str">
        <f>"REXO2"</f>
        <v>REXO2</v>
      </c>
      <c r="B22322" s="6" t="s">
        <v>1</v>
      </c>
      <c r="C22322" s="6" t="s">
        <v>1</v>
      </c>
    </row>
    <row r="22323" spans="1:3" s="8" customFormat="1" x14ac:dyDescent="0.2">
      <c r="A22323" s="6" t="str">
        <f>"BTBD6"</f>
        <v>BTBD6</v>
      </c>
      <c r="B22323" s="6" t="s">
        <v>1</v>
      </c>
      <c r="C22323" s="6" t="s">
        <v>1</v>
      </c>
    </row>
    <row r="22324" spans="1:3" s="8" customFormat="1" x14ac:dyDescent="0.2">
      <c r="A22324" s="6" t="str">
        <f>"CNPPD1"</f>
        <v>CNPPD1</v>
      </c>
      <c r="B22324" s="6" t="s">
        <v>1</v>
      </c>
      <c r="C22324" s="6" t="s">
        <v>1</v>
      </c>
    </row>
    <row r="22325" spans="1:3" s="8" customFormat="1" x14ac:dyDescent="0.2">
      <c r="A22325" s="6" t="str">
        <f>"SOS1"</f>
        <v>SOS1</v>
      </c>
      <c r="B22325" s="6" t="s">
        <v>1</v>
      </c>
      <c r="C22325" s="6" t="s">
        <v>1</v>
      </c>
    </row>
    <row r="22326" spans="1:3" s="8" customFormat="1" x14ac:dyDescent="0.2">
      <c r="A22326" s="6" t="str">
        <f>"TMEM14B"</f>
        <v>TMEM14B</v>
      </c>
      <c r="B22326" s="6" t="s">
        <v>1</v>
      </c>
      <c r="C22326" s="6" t="s">
        <v>1</v>
      </c>
    </row>
    <row r="22327" spans="1:3" s="8" customFormat="1" x14ac:dyDescent="0.2">
      <c r="A22327" s="6" t="str">
        <f>"ZNF264"</f>
        <v>ZNF264</v>
      </c>
      <c r="B22327" s="6" t="s">
        <v>1</v>
      </c>
      <c r="C22327" s="6" t="s">
        <v>1</v>
      </c>
    </row>
    <row r="22328" spans="1:3" s="8" customFormat="1" x14ac:dyDescent="0.2">
      <c r="A22328" s="6" t="str">
        <f>"KLHDC10"</f>
        <v>KLHDC10</v>
      </c>
      <c r="B22328" s="6" t="s">
        <v>1</v>
      </c>
      <c r="C22328" s="6" t="s">
        <v>1</v>
      </c>
    </row>
    <row r="22329" spans="1:3" s="8" customFormat="1" x14ac:dyDescent="0.2">
      <c r="A22329" s="6" t="str">
        <f>"CNOT8"</f>
        <v>CNOT8</v>
      </c>
      <c r="B22329" s="6" t="s">
        <v>1</v>
      </c>
      <c r="C22329" s="6" t="s">
        <v>1</v>
      </c>
    </row>
    <row r="22330" spans="1:3" s="8" customFormat="1" x14ac:dyDescent="0.2">
      <c r="A22330" s="6" t="str">
        <f>"VHL"</f>
        <v>VHL</v>
      </c>
      <c r="B22330" s="6" t="s">
        <v>1</v>
      </c>
      <c r="C22330" s="6" t="s">
        <v>1</v>
      </c>
    </row>
    <row r="22331" spans="1:3" s="8" customFormat="1" x14ac:dyDescent="0.2">
      <c r="A22331" s="6" t="str">
        <f>"KCNJ15"</f>
        <v>KCNJ15</v>
      </c>
      <c r="B22331" s="6" t="s">
        <v>1</v>
      </c>
      <c r="C22331" s="6" t="s">
        <v>1</v>
      </c>
    </row>
    <row r="22332" spans="1:3" s="8" customFormat="1" x14ac:dyDescent="0.2">
      <c r="A22332" s="6" t="str">
        <f>"G6PC3"</f>
        <v>G6PC3</v>
      </c>
      <c r="B22332" s="6" t="s">
        <v>1</v>
      </c>
      <c r="C22332" s="6" t="s">
        <v>1</v>
      </c>
    </row>
    <row r="22333" spans="1:3" s="8" customFormat="1" x14ac:dyDescent="0.2">
      <c r="A22333" s="6" t="str">
        <f>"KCNE1B"</f>
        <v>KCNE1B</v>
      </c>
      <c r="B22333" s="6" t="s">
        <v>1</v>
      </c>
      <c r="C22333" s="6" t="s">
        <v>1</v>
      </c>
    </row>
    <row r="22334" spans="1:3" s="8" customFormat="1" x14ac:dyDescent="0.2">
      <c r="A22334" s="6" t="str">
        <f>"DENR"</f>
        <v>DENR</v>
      </c>
      <c r="B22334" s="6" t="s">
        <v>1</v>
      </c>
      <c r="C22334" s="6" t="s">
        <v>1</v>
      </c>
    </row>
    <row r="22335" spans="1:3" s="8" customFormat="1" x14ac:dyDescent="0.2">
      <c r="A22335" s="6" t="str">
        <f>"IPO8"</f>
        <v>IPO8</v>
      </c>
      <c r="B22335" s="6" t="s">
        <v>1</v>
      </c>
      <c r="C22335" s="6" t="s">
        <v>1</v>
      </c>
    </row>
    <row r="22336" spans="1:3" s="8" customFormat="1" x14ac:dyDescent="0.2">
      <c r="A22336" s="6" t="str">
        <f>"NUTF2"</f>
        <v>NUTF2</v>
      </c>
      <c r="B22336" s="6" t="s">
        <v>1</v>
      </c>
      <c r="C22336" s="6" t="s">
        <v>1</v>
      </c>
    </row>
    <row r="22337" spans="1:3" s="8" customFormat="1" x14ac:dyDescent="0.2">
      <c r="A22337" s="6" t="str">
        <f>"CARHSP1"</f>
        <v>CARHSP1</v>
      </c>
      <c r="B22337" s="6" t="s">
        <v>1</v>
      </c>
      <c r="C22337" s="6" t="s">
        <v>1</v>
      </c>
    </row>
    <row r="22338" spans="1:3" s="8" customFormat="1" x14ac:dyDescent="0.2">
      <c r="A22338" s="6" t="str">
        <f>"VIRMA"</f>
        <v>VIRMA</v>
      </c>
      <c r="B22338" s="6" t="s">
        <v>1</v>
      </c>
      <c r="C22338" s="6" t="s">
        <v>1</v>
      </c>
    </row>
    <row r="22339" spans="1:3" s="8" customFormat="1" x14ac:dyDescent="0.2">
      <c r="A22339" s="6" t="str">
        <f>"PCGF5"</f>
        <v>PCGF5</v>
      </c>
      <c r="B22339" s="6" t="s">
        <v>1</v>
      </c>
      <c r="C22339" s="6" t="s">
        <v>1</v>
      </c>
    </row>
    <row r="22340" spans="1:3" s="8" customFormat="1" x14ac:dyDescent="0.2">
      <c r="A22340" s="6" t="str">
        <f>"PAICS"</f>
        <v>PAICS</v>
      </c>
      <c r="B22340" s="6" t="s">
        <v>1</v>
      </c>
      <c r="C22340" s="6" t="s">
        <v>1</v>
      </c>
    </row>
    <row r="22341" spans="1:3" s="8" customFormat="1" x14ac:dyDescent="0.2">
      <c r="A22341" s="6" t="str">
        <f>"INF2"</f>
        <v>INF2</v>
      </c>
      <c r="B22341" s="6" t="s">
        <v>1</v>
      </c>
      <c r="C22341" s="6" t="s">
        <v>1</v>
      </c>
    </row>
    <row r="22342" spans="1:3" s="8" customFormat="1" x14ac:dyDescent="0.2">
      <c r="A22342" s="6" t="str">
        <f>"EML3"</f>
        <v>EML3</v>
      </c>
      <c r="B22342" s="6" t="s">
        <v>1</v>
      </c>
      <c r="C22342" s="6" t="s">
        <v>1</v>
      </c>
    </row>
    <row r="22343" spans="1:3" s="8" customFormat="1" x14ac:dyDescent="0.2">
      <c r="A22343" s="6" t="str">
        <f>"GRAMD4"</f>
        <v>GRAMD4</v>
      </c>
      <c r="B22343" s="6" t="s">
        <v>1</v>
      </c>
      <c r="C22343" s="6" t="s">
        <v>1</v>
      </c>
    </row>
    <row r="22344" spans="1:3" s="8" customFormat="1" x14ac:dyDescent="0.2">
      <c r="A22344" s="6" t="str">
        <f>"MSMO1"</f>
        <v>MSMO1</v>
      </c>
      <c r="B22344" s="6" t="s">
        <v>1</v>
      </c>
      <c r="C22344" s="6" t="s">
        <v>1</v>
      </c>
    </row>
    <row r="22345" spans="1:3" s="8" customFormat="1" x14ac:dyDescent="0.2">
      <c r="A22345" s="6" t="str">
        <f>"CNOT3"</f>
        <v>CNOT3</v>
      </c>
      <c r="B22345" s="6" t="s">
        <v>1</v>
      </c>
      <c r="C22345" s="6" t="s">
        <v>1</v>
      </c>
    </row>
    <row r="22346" spans="1:3" s="8" customFormat="1" x14ac:dyDescent="0.2">
      <c r="A22346" s="6" t="str">
        <f>"STX3"</f>
        <v>STX3</v>
      </c>
      <c r="B22346" s="6" t="s">
        <v>1</v>
      </c>
      <c r="C22346" s="6" t="s">
        <v>1</v>
      </c>
    </row>
    <row r="22347" spans="1:3" s="8" customFormat="1" x14ac:dyDescent="0.2">
      <c r="A22347" s="6" t="str">
        <f>"MRPS24"</f>
        <v>MRPS24</v>
      </c>
      <c r="B22347" s="6" t="s">
        <v>1</v>
      </c>
      <c r="C22347" s="6" t="s">
        <v>1</v>
      </c>
    </row>
    <row r="22348" spans="1:3" s="8" customFormat="1" x14ac:dyDescent="0.2">
      <c r="A22348" s="6" t="str">
        <f>"MCM4"</f>
        <v>MCM4</v>
      </c>
      <c r="B22348" s="6" t="s">
        <v>1</v>
      </c>
      <c r="C22348" s="6" t="s">
        <v>1</v>
      </c>
    </row>
    <row r="22349" spans="1:3" s="8" customFormat="1" x14ac:dyDescent="0.2">
      <c r="A22349" s="6" t="str">
        <f>"BAD"</f>
        <v>BAD</v>
      </c>
      <c r="B22349" s="6" t="s">
        <v>1</v>
      </c>
      <c r="C22349" s="6" t="s">
        <v>1</v>
      </c>
    </row>
    <row r="22350" spans="1:3" s="8" customFormat="1" x14ac:dyDescent="0.2">
      <c r="A22350" s="6" t="str">
        <f>"EAPP"</f>
        <v>EAPP</v>
      </c>
      <c r="B22350" s="6" t="s">
        <v>1</v>
      </c>
      <c r="C22350" s="6" t="s">
        <v>1</v>
      </c>
    </row>
    <row r="22351" spans="1:3" s="8" customFormat="1" x14ac:dyDescent="0.2">
      <c r="A22351" s="6" t="str">
        <f>"TBC1D22A"</f>
        <v>TBC1D22A</v>
      </c>
      <c r="B22351" s="6" t="s">
        <v>1</v>
      </c>
      <c r="C22351" s="6" t="s">
        <v>1</v>
      </c>
    </row>
    <row r="22352" spans="1:3" s="8" customFormat="1" x14ac:dyDescent="0.2">
      <c r="A22352" s="6" t="str">
        <f>"RANBP1"</f>
        <v>RANBP1</v>
      </c>
      <c r="B22352" s="6" t="s">
        <v>1</v>
      </c>
      <c r="C22352" s="6" t="s">
        <v>1</v>
      </c>
    </row>
    <row r="22353" spans="1:3" s="8" customFormat="1" x14ac:dyDescent="0.2">
      <c r="A22353" s="6" t="str">
        <f>"GADD45GIP1"</f>
        <v>GADD45GIP1</v>
      </c>
      <c r="B22353" s="6" t="s">
        <v>1</v>
      </c>
      <c r="C22353" s="6" t="s">
        <v>1</v>
      </c>
    </row>
    <row r="22354" spans="1:3" s="8" customFormat="1" x14ac:dyDescent="0.2">
      <c r="A22354" s="6" t="str">
        <f>"LRIG3"</f>
        <v>LRIG3</v>
      </c>
      <c r="B22354" s="6" t="s">
        <v>1</v>
      </c>
      <c r="C22354" s="6" t="s">
        <v>1</v>
      </c>
    </row>
    <row r="22355" spans="1:3" s="8" customFormat="1" x14ac:dyDescent="0.2">
      <c r="A22355" s="6" t="str">
        <f>"FA2H"</f>
        <v>FA2H</v>
      </c>
      <c r="B22355" s="6" t="s">
        <v>1</v>
      </c>
      <c r="C22355" s="6" t="s">
        <v>1</v>
      </c>
    </row>
    <row r="22356" spans="1:3" s="8" customFormat="1" x14ac:dyDescent="0.2">
      <c r="A22356" s="6" t="str">
        <f>"IP6K2"</f>
        <v>IP6K2</v>
      </c>
      <c r="B22356" s="6" t="s">
        <v>1</v>
      </c>
      <c r="C22356" s="6" t="s">
        <v>1</v>
      </c>
    </row>
    <row r="22357" spans="1:3" s="8" customFormat="1" x14ac:dyDescent="0.2">
      <c r="A22357" s="6" t="str">
        <f>"DENND4C"</f>
        <v>DENND4C</v>
      </c>
      <c r="B22357" s="6" t="s">
        <v>1</v>
      </c>
      <c r="C22357" s="6" t="s">
        <v>1</v>
      </c>
    </row>
    <row r="22358" spans="1:3" s="8" customFormat="1" x14ac:dyDescent="0.2">
      <c r="A22358" s="6" t="str">
        <f>"CNOT6"</f>
        <v>CNOT6</v>
      </c>
      <c r="B22358" s="6" t="s">
        <v>1</v>
      </c>
      <c r="C22358" s="6" t="s">
        <v>1</v>
      </c>
    </row>
    <row r="22359" spans="1:3" s="8" customFormat="1" x14ac:dyDescent="0.2">
      <c r="A22359" s="6" t="str">
        <f>"MRPL43"</f>
        <v>MRPL43</v>
      </c>
      <c r="B22359" s="6" t="s">
        <v>1</v>
      </c>
      <c r="C22359" s="6" t="s">
        <v>1</v>
      </c>
    </row>
    <row r="22360" spans="1:3" s="8" customFormat="1" x14ac:dyDescent="0.2">
      <c r="A22360" s="6" t="str">
        <f>"STX18"</f>
        <v>STX18</v>
      </c>
      <c r="B22360" s="6" t="s">
        <v>1</v>
      </c>
      <c r="C22360" s="6" t="s">
        <v>1</v>
      </c>
    </row>
    <row r="22361" spans="1:3" s="8" customFormat="1" x14ac:dyDescent="0.2">
      <c r="A22361" s="6" t="str">
        <f>"KANSL3"</f>
        <v>KANSL3</v>
      </c>
      <c r="B22361" s="6" t="s">
        <v>1</v>
      </c>
      <c r="C22361" s="6" t="s">
        <v>1</v>
      </c>
    </row>
    <row r="22362" spans="1:3" s="8" customFormat="1" x14ac:dyDescent="0.2">
      <c r="A22362" s="6" t="str">
        <f>"SRPK2"</f>
        <v>SRPK2</v>
      </c>
      <c r="B22362" s="6" t="s">
        <v>1</v>
      </c>
      <c r="C22362" s="6" t="s">
        <v>1</v>
      </c>
    </row>
    <row r="22363" spans="1:3" s="8" customFormat="1" x14ac:dyDescent="0.2">
      <c r="A22363" s="6" t="str">
        <f>"NDUFS8"</f>
        <v>NDUFS8</v>
      </c>
      <c r="B22363" s="6" t="s">
        <v>1</v>
      </c>
      <c r="C22363" s="6" t="s">
        <v>1</v>
      </c>
    </row>
    <row r="22364" spans="1:3" s="8" customFormat="1" x14ac:dyDescent="0.2">
      <c r="A22364" s="6" t="str">
        <f>"KAZN"</f>
        <v>KAZN</v>
      </c>
      <c r="B22364" s="6" t="s">
        <v>1</v>
      </c>
      <c r="C22364" s="6" t="s">
        <v>1</v>
      </c>
    </row>
    <row r="22365" spans="1:3" s="8" customFormat="1" x14ac:dyDescent="0.2">
      <c r="A22365" s="6" t="str">
        <f>"MAGI3"</f>
        <v>MAGI3</v>
      </c>
      <c r="B22365" s="6" t="s">
        <v>1</v>
      </c>
      <c r="C22365" s="6" t="s">
        <v>1</v>
      </c>
    </row>
    <row r="22366" spans="1:3" s="8" customFormat="1" x14ac:dyDescent="0.2">
      <c r="A22366" s="6" t="str">
        <f>"NEDD9"</f>
        <v>NEDD9</v>
      </c>
      <c r="B22366" s="6" t="s">
        <v>1</v>
      </c>
      <c r="C22366" s="6" t="s">
        <v>1</v>
      </c>
    </row>
    <row r="22367" spans="1:3" s="8" customFormat="1" x14ac:dyDescent="0.2">
      <c r="A22367" s="6" t="str">
        <f>"CREBL2"</f>
        <v>CREBL2</v>
      </c>
      <c r="B22367" s="6" t="s">
        <v>1</v>
      </c>
      <c r="C22367" s="6" t="s">
        <v>1</v>
      </c>
    </row>
    <row r="22368" spans="1:3" s="8" customFormat="1" x14ac:dyDescent="0.2">
      <c r="A22368" s="6" t="str">
        <f>"NPIPB3"</f>
        <v>NPIPB3</v>
      </c>
      <c r="B22368" s="6" t="s">
        <v>1</v>
      </c>
      <c r="C22368" s="6" t="s">
        <v>1</v>
      </c>
    </row>
    <row r="22369" spans="1:3" s="8" customFormat="1" x14ac:dyDescent="0.2">
      <c r="A22369" s="6" t="str">
        <f>"DNMBP"</f>
        <v>DNMBP</v>
      </c>
      <c r="B22369" s="6" t="s">
        <v>1</v>
      </c>
      <c r="C22369" s="6" t="s">
        <v>1</v>
      </c>
    </row>
    <row r="22370" spans="1:3" s="8" customFormat="1" x14ac:dyDescent="0.2">
      <c r="A22370" s="6" t="str">
        <f>"TMEM164"</f>
        <v>TMEM164</v>
      </c>
      <c r="B22370" s="6" t="s">
        <v>1</v>
      </c>
      <c r="C22370" s="6" t="s">
        <v>1</v>
      </c>
    </row>
    <row r="22371" spans="1:3" s="8" customFormat="1" x14ac:dyDescent="0.2">
      <c r="A22371" s="6" t="str">
        <f>"RANBP3"</f>
        <v>RANBP3</v>
      </c>
      <c r="B22371" s="6" t="s">
        <v>1</v>
      </c>
      <c r="C22371" s="6" t="s">
        <v>1</v>
      </c>
    </row>
    <row r="22372" spans="1:3" s="8" customFormat="1" x14ac:dyDescent="0.2">
      <c r="A22372" s="6" t="str">
        <f>"TMEM125"</f>
        <v>TMEM125</v>
      </c>
      <c r="B22372" s="6" t="s">
        <v>1</v>
      </c>
      <c r="C22372" s="6" t="s">
        <v>1</v>
      </c>
    </row>
    <row r="22373" spans="1:3" s="8" customFormat="1" x14ac:dyDescent="0.2">
      <c r="A22373" s="6" t="str">
        <f>"THAP4"</f>
        <v>THAP4</v>
      </c>
      <c r="B22373" s="6" t="s">
        <v>1</v>
      </c>
      <c r="C22373" s="6" t="s">
        <v>1</v>
      </c>
    </row>
    <row r="22374" spans="1:3" s="8" customFormat="1" x14ac:dyDescent="0.2">
      <c r="A22374" s="6" t="str">
        <f>"TBC1D5"</f>
        <v>TBC1D5</v>
      </c>
      <c r="B22374" s="6" t="s">
        <v>1</v>
      </c>
      <c r="C22374" s="6" t="s">
        <v>1</v>
      </c>
    </row>
    <row r="22375" spans="1:3" s="8" customFormat="1" x14ac:dyDescent="0.2">
      <c r="A22375" s="6" t="str">
        <f>"EDEM1"</f>
        <v>EDEM1</v>
      </c>
      <c r="B22375" s="6" t="s">
        <v>1</v>
      </c>
      <c r="C22375" s="6" t="s">
        <v>1</v>
      </c>
    </row>
    <row r="22376" spans="1:3" s="8" customFormat="1" x14ac:dyDescent="0.2">
      <c r="A22376" s="6" t="str">
        <f>"HMGB3"</f>
        <v>HMGB3</v>
      </c>
      <c r="B22376" s="6" t="s">
        <v>1</v>
      </c>
      <c r="C22376" s="6" t="s">
        <v>1</v>
      </c>
    </row>
    <row r="22377" spans="1:3" s="8" customFormat="1" x14ac:dyDescent="0.2">
      <c r="A22377" s="6" t="str">
        <f>"FIP1L1"</f>
        <v>FIP1L1</v>
      </c>
      <c r="B22377" s="6" t="s">
        <v>1</v>
      </c>
      <c r="C22377" s="6" t="s">
        <v>1</v>
      </c>
    </row>
    <row r="22378" spans="1:3" s="8" customFormat="1" x14ac:dyDescent="0.2">
      <c r="A22378" s="6" t="str">
        <f>"ECHDC1"</f>
        <v>ECHDC1</v>
      </c>
      <c r="B22378" s="6" t="s">
        <v>1</v>
      </c>
      <c r="C22378" s="6" t="s">
        <v>1</v>
      </c>
    </row>
    <row r="22379" spans="1:3" s="8" customFormat="1" x14ac:dyDescent="0.2">
      <c r="A22379" s="6" t="str">
        <f>"CASP3"</f>
        <v>CASP3</v>
      </c>
      <c r="B22379" s="6" t="s">
        <v>1</v>
      </c>
      <c r="C22379" s="6" t="s">
        <v>1</v>
      </c>
    </row>
    <row r="22380" spans="1:3" s="8" customFormat="1" x14ac:dyDescent="0.2">
      <c r="A22380" s="6" t="str">
        <f>"SELL"</f>
        <v>SELL</v>
      </c>
      <c r="B22380" s="6" t="s">
        <v>1</v>
      </c>
      <c r="C22380" s="6" t="s">
        <v>1</v>
      </c>
    </row>
    <row r="22381" spans="1:3" s="8" customFormat="1" x14ac:dyDescent="0.2">
      <c r="A22381" s="6" t="str">
        <f>"APOL2"</f>
        <v>APOL2</v>
      </c>
      <c r="B22381" s="6" t="s">
        <v>1</v>
      </c>
      <c r="C22381" s="6" t="s">
        <v>1</v>
      </c>
    </row>
    <row r="22382" spans="1:3" s="8" customFormat="1" x14ac:dyDescent="0.2">
      <c r="A22382" s="6" t="str">
        <f>"NDUFB5"</f>
        <v>NDUFB5</v>
      </c>
      <c r="B22382" s="6" t="s">
        <v>1</v>
      </c>
      <c r="C22382" s="6" t="s">
        <v>1</v>
      </c>
    </row>
    <row r="22383" spans="1:3" s="8" customFormat="1" x14ac:dyDescent="0.2">
      <c r="A22383" s="6" t="str">
        <f>"KLHL24"</f>
        <v>KLHL24</v>
      </c>
      <c r="B22383" s="6" t="s">
        <v>1</v>
      </c>
      <c r="C22383" s="6" t="s">
        <v>1</v>
      </c>
    </row>
    <row r="22384" spans="1:3" s="8" customFormat="1" x14ac:dyDescent="0.2">
      <c r="A22384" s="6" t="str">
        <f>"S100A13"</f>
        <v>S100A13</v>
      </c>
      <c r="B22384" s="6" t="s">
        <v>1</v>
      </c>
      <c r="C22384" s="6" t="s">
        <v>1</v>
      </c>
    </row>
    <row r="22385" spans="1:3" s="8" customFormat="1" x14ac:dyDescent="0.2">
      <c r="A22385" s="6" t="str">
        <f>"NOP56"</f>
        <v>NOP56</v>
      </c>
      <c r="B22385" s="6" t="s">
        <v>1</v>
      </c>
      <c r="C22385" s="6" t="s">
        <v>1</v>
      </c>
    </row>
    <row r="22386" spans="1:3" s="8" customFormat="1" x14ac:dyDescent="0.2">
      <c r="A22386" s="6" t="str">
        <f>"PCNX1"</f>
        <v>PCNX1</v>
      </c>
      <c r="B22386" s="6" t="s">
        <v>1</v>
      </c>
      <c r="C22386" s="6" t="s">
        <v>1</v>
      </c>
    </row>
    <row r="22387" spans="1:3" s="8" customFormat="1" x14ac:dyDescent="0.2">
      <c r="A22387" s="6" t="str">
        <f>"SNX8"</f>
        <v>SNX8</v>
      </c>
      <c r="B22387" s="6" t="s">
        <v>1</v>
      </c>
      <c r="C22387" s="6" t="s">
        <v>1</v>
      </c>
    </row>
    <row r="22388" spans="1:3" s="8" customFormat="1" x14ac:dyDescent="0.2">
      <c r="A22388" s="6" t="str">
        <f>"ZC3H18"</f>
        <v>ZC3H18</v>
      </c>
      <c r="B22388" s="6" t="s">
        <v>1</v>
      </c>
      <c r="C22388" s="6" t="s">
        <v>1</v>
      </c>
    </row>
    <row r="22389" spans="1:3" s="8" customFormat="1" x14ac:dyDescent="0.2">
      <c r="A22389" s="6" t="str">
        <f>"NDUFA6"</f>
        <v>NDUFA6</v>
      </c>
      <c r="B22389" s="6" t="s">
        <v>1</v>
      </c>
      <c r="C22389" s="6" t="s">
        <v>1</v>
      </c>
    </row>
    <row r="22390" spans="1:3" s="8" customFormat="1" x14ac:dyDescent="0.2">
      <c r="A22390" s="6" t="str">
        <f>"MRPS34"</f>
        <v>MRPS34</v>
      </c>
      <c r="B22390" s="6" t="s">
        <v>1</v>
      </c>
      <c r="C22390" s="6" t="s">
        <v>1</v>
      </c>
    </row>
    <row r="22391" spans="1:3" s="8" customFormat="1" x14ac:dyDescent="0.2">
      <c r="A22391" s="6" t="str">
        <f>"IDH3G"</f>
        <v>IDH3G</v>
      </c>
      <c r="B22391" s="6" t="s">
        <v>1</v>
      </c>
      <c r="C22391" s="6" t="s">
        <v>1</v>
      </c>
    </row>
    <row r="22392" spans="1:3" s="8" customFormat="1" x14ac:dyDescent="0.2">
      <c r="A22392" s="6" t="str">
        <f>"PLEKHM1"</f>
        <v>PLEKHM1</v>
      </c>
      <c r="B22392" s="6" t="s">
        <v>1</v>
      </c>
      <c r="C22392" s="6" t="s">
        <v>1</v>
      </c>
    </row>
    <row r="22393" spans="1:3" s="8" customFormat="1" x14ac:dyDescent="0.2">
      <c r="A22393" s="6" t="str">
        <f>"KLHL36"</f>
        <v>KLHL36</v>
      </c>
      <c r="B22393" s="6" t="s">
        <v>1</v>
      </c>
      <c r="C22393" s="6" t="s">
        <v>1</v>
      </c>
    </row>
    <row r="22394" spans="1:3" s="8" customFormat="1" x14ac:dyDescent="0.2">
      <c r="A22394" s="6" t="str">
        <f>"UFL1"</f>
        <v>UFL1</v>
      </c>
      <c r="B22394" s="6" t="s">
        <v>1</v>
      </c>
      <c r="C22394" s="6" t="s">
        <v>1</v>
      </c>
    </row>
    <row r="22395" spans="1:3" s="8" customFormat="1" x14ac:dyDescent="0.2">
      <c r="A22395" s="6" t="str">
        <f>"OXTR"</f>
        <v>OXTR</v>
      </c>
      <c r="B22395" s="6" t="s">
        <v>1</v>
      </c>
      <c r="C22395" s="6" t="s">
        <v>1</v>
      </c>
    </row>
    <row r="22396" spans="1:3" s="8" customFormat="1" x14ac:dyDescent="0.2">
      <c r="A22396" s="6" t="str">
        <f>"GRIN3B"</f>
        <v>GRIN3B</v>
      </c>
      <c r="B22396" s="6" t="s">
        <v>1</v>
      </c>
      <c r="C22396" s="6" t="s">
        <v>1</v>
      </c>
    </row>
    <row r="22397" spans="1:3" s="8" customFormat="1" x14ac:dyDescent="0.2">
      <c r="A22397" s="6" t="str">
        <f>"PCNP"</f>
        <v>PCNP</v>
      </c>
      <c r="B22397" s="6" t="s">
        <v>1</v>
      </c>
      <c r="C22397" s="6" t="s">
        <v>1</v>
      </c>
    </row>
    <row r="22398" spans="1:3" s="8" customFormat="1" x14ac:dyDescent="0.2">
      <c r="A22398" s="6" t="str">
        <f>"CRELD2"</f>
        <v>CRELD2</v>
      </c>
      <c r="B22398" s="6" t="s">
        <v>1</v>
      </c>
      <c r="C22398" s="6" t="s">
        <v>1</v>
      </c>
    </row>
    <row r="22399" spans="1:3" s="8" customFormat="1" x14ac:dyDescent="0.2">
      <c r="A22399" s="6" t="str">
        <f>"MED1"</f>
        <v>MED1</v>
      </c>
      <c r="B22399" s="6" t="s">
        <v>1</v>
      </c>
      <c r="C22399" s="6" t="s">
        <v>1</v>
      </c>
    </row>
    <row r="22400" spans="1:3" s="8" customFormat="1" x14ac:dyDescent="0.2">
      <c r="A22400" s="6" t="str">
        <f>"IPO9"</f>
        <v>IPO9</v>
      </c>
      <c r="B22400" s="6" t="s">
        <v>1</v>
      </c>
      <c r="C22400" s="6" t="s">
        <v>1</v>
      </c>
    </row>
    <row r="22401" spans="1:3" s="8" customFormat="1" x14ac:dyDescent="0.2">
      <c r="A22401" s="6" t="str">
        <f>"SRPK1"</f>
        <v>SRPK1</v>
      </c>
      <c r="B22401" s="6" t="s">
        <v>1</v>
      </c>
      <c r="C22401" s="6" t="s">
        <v>1</v>
      </c>
    </row>
    <row r="22402" spans="1:3" s="8" customFormat="1" x14ac:dyDescent="0.2">
      <c r="A22402" s="6" t="str">
        <f>"NEK9"</f>
        <v>NEK9</v>
      </c>
      <c r="B22402" s="6" t="s">
        <v>1</v>
      </c>
      <c r="C22402" s="6" t="s">
        <v>1</v>
      </c>
    </row>
    <row r="22403" spans="1:3" s="8" customFormat="1" x14ac:dyDescent="0.2">
      <c r="A22403" s="6" t="str">
        <f>"EXOC1"</f>
        <v>EXOC1</v>
      </c>
      <c r="B22403" s="6" t="s">
        <v>1</v>
      </c>
      <c r="C22403" s="6" t="s">
        <v>1</v>
      </c>
    </row>
    <row r="22404" spans="1:3" s="8" customFormat="1" x14ac:dyDescent="0.2">
      <c r="A22404" s="6" t="str">
        <f>"EMC7"</f>
        <v>EMC7</v>
      </c>
      <c r="B22404" s="6" t="s">
        <v>1</v>
      </c>
      <c r="C22404" s="6" t="s">
        <v>1</v>
      </c>
    </row>
    <row r="22405" spans="1:3" s="8" customFormat="1" x14ac:dyDescent="0.2">
      <c r="A22405" s="6" t="str">
        <f>"ALDH3B2"</f>
        <v>ALDH3B2</v>
      </c>
      <c r="B22405" s="6" t="s">
        <v>1</v>
      </c>
      <c r="C22405" s="6" t="s">
        <v>1</v>
      </c>
    </row>
    <row r="22406" spans="1:3" s="8" customFormat="1" x14ac:dyDescent="0.2">
      <c r="A22406" s="6" t="str">
        <f>"LPIN2"</f>
        <v>LPIN2</v>
      </c>
      <c r="B22406" s="6" t="s">
        <v>1</v>
      </c>
      <c r="C22406" s="6" t="s">
        <v>1</v>
      </c>
    </row>
    <row r="22407" spans="1:3" s="8" customFormat="1" x14ac:dyDescent="0.2">
      <c r="A22407" s="6" t="str">
        <f>"IP6K1"</f>
        <v>IP6K1</v>
      </c>
      <c r="B22407" s="6" t="s">
        <v>1</v>
      </c>
      <c r="C22407" s="6" t="s">
        <v>1</v>
      </c>
    </row>
    <row r="22408" spans="1:3" s="8" customFormat="1" x14ac:dyDescent="0.2">
      <c r="A22408" s="6" t="str">
        <f>"BROX"</f>
        <v>BROX</v>
      </c>
      <c r="B22408" s="6" t="s">
        <v>1</v>
      </c>
      <c r="C22408" s="6" t="s">
        <v>1</v>
      </c>
    </row>
    <row r="22409" spans="1:3" s="8" customFormat="1" x14ac:dyDescent="0.2">
      <c r="A22409" s="6" t="str">
        <f>"DEK"</f>
        <v>DEK</v>
      </c>
      <c r="B22409" s="6" t="s">
        <v>1</v>
      </c>
      <c r="C22409" s="6" t="s">
        <v>1</v>
      </c>
    </row>
    <row r="22410" spans="1:3" s="8" customFormat="1" x14ac:dyDescent="0.2">
      <c r="A22410" s="6" t="str">
        <f>"PPFIA1"</f>
        <v>PPFIA1</v>
      </c>
      <c r="B22410" s="6" t="s">
        <v>1</v>
      </c>
      <c r="C22410" s="6" t="s">
        <v>1</v>
      </c>
    </row>
    <row r="22411" spans="1:3" s="8" customFormat="1" x14ac:dyDescent="0.2">
      <c r="A22411" s="6" t="str">
        <f>"APOBEC4"</f>
        <v>APOBEC4</v>
      </c>
      <c r="B22411" s="6" t="s">
        <v>1</v>
      </c>
      <c r="C22411" s="6" t="s">
        <v>1</v>
      </c>
    </row>
    <row r="22412" spans="1:3" s="8" customFormat="1" x14ac:dyDescent="0.2">
      <c r="A22412" s="6" t="str">
        <f>"LMNB2"</f>
        <v>LMNB2</v>
      </c>
      <c r="B22412" s="6" t="s">
        <v>1</v>
      </c>
      <c r="C22412" s="6" t="s">
        <v>1</v>
      </c>
    </row>
    <row r="22413" spans="1:3" s="8" customFormat="1" x14ac:dyDescent="0.2">
      <c r="A22413" s="6" t="str">
        <f>"IFT74"</f>
        <v>IFT74</v>
      </c>
      <c r="B22413" s="6" t="s">
        <v>1</v>
      </c>
      <c r="C22413" s="6" t="s">
        <v>1</v>
      </c>
    </row>
    <row r="22414" spans="1:3" s="8" customFormat="1" x14ac:dyDescent="0.2">
      <c r="A22414" s="6" t="str">
        <f>"CDS2"</f>
        <v>CDS2</v>
      </c>
      <c r="B22414" s="6" t="s">
        <v>1</v>
      </c>
      <c r="C22414" s="6" t="s">
        <v>1</v>
      </c>
    </row>
    <row r="22415" spans="1:3" s="8" customFormat="1" x14ac:dyDescent="0.2">
      <c r="A22415" s="6" t="str">
        <f>"PCNX4"</f>
        <v>PCNX4</v>
      </c>
      <c r="B22415" s="6" t="s">
        <v>1</v>
      </c>
      <c r="C22415" s="6" t="s">
        <v>1</v>
      </c>
    </row>
    <row r="22416" spans="1:3" s="8" customFormat="1" x14ac:dyDescent="0.2">
      <c r="A22416" s="6" t="str">
        <f>"MDFIC"</f>
        <v>MDFIC</v>
      </c>
      <c r="B22416" s="6" t="s">
        <v>1</v>
      </c>
      <c r="C22416" s="6" t="s">
        <v>1</v>
      </c>
    </row>
    <row r="22417" spans="1:3" s="8" customFormat="1" x14ac:dyDescent="0.2">
      <c r="A22417" s="6" t="str">
        <f>"BAIAP2-DT"</f>
        <v>BAIAP2-DT</v>
      </c>
      <c r="B22417" s="6" t="s">
        <v>1</v>
      </c>
      <c r="C22417" s="6" t="s">
        <v>1</v>
      </c>
    </row>
    <row r="22418" spans="1:3" s="8" customFormat="1" x14ac:dyDescent="0.2">
      <c r="A22418" s="6" t="str">
        <f>"SNX33"</f>
        <v>SNX33</v>
      </c>
      <c r="B22418" s="6" t="s">
        <v>1</v>
      </c>
      <c r="C22418" s="6" t="s">
        <v>1</v>
      </c>
    </row>
    <row r="22419" spans="1:3" s="8" customFormat="1" x14ac:dyDescent="0.2">
      <c r="A22419" s="6" t="str">
        <f>"SAMD12"</f>
        <v>SAMD12</v>
      </c>
      <c r="B22419" s="6" t="s">
        <v>1</v>
      </c>
      <c r="C22419" s="6" t="s">
        <v>1</v>
      </c>
    </row>
    <row r="22420" spans="1:3" s="8" customFormat="1" x14ac:dyDescent="0.2">
      <c r="A22420" s="6" t="str">
        <f>"ENC1"</f>
        <v>ENC1</v>
      </c>
      <c r="B22420" s="6" t="s">
        <v>1</v>
      </c>
      <c r="C22420" s="6" t="s">
        <v>1</v>
      </c>
    </row>
    <row r="22421" spans="1:3" s="8" customFormat="1" x14ac:dyDescent="0.2">
      <c r="A22421" s="6" t="str">
        <f>"ARAF"</f>
        <v>ARAF</v>
      </c>
      <c r="B22421" s="6" t="s">
        <v>1</v>
      </c>
      <c r="C22421" s="6" t="s">
        <v>1</v>
      </c>
    </row>
    <row r="22422" spans="1:3" s="8" customFormat="1" x14ac:dyDescent="0.2">
      <c r="A22422" s="6" t="str">
        <f>"HAGH"</f>
        <v>HAGH</v>
      </c>
      <c r="B22422" s="6" t="s">
        <v>1</v>
      </c>
      <c r="C22422" s="6" t="s">
        <v>1</v>
      </c>
    </row>
    <row r="22423" spans="1:3" s="8" customFormat="1" x14ac:dyDescent="0.2">
      <c r="A22423" s="6" t="str">
        <f>"CNNM4"</f>
        <v>CNNM4</v>
      </c>
      <c r="B22423" s="6" t="s">
        <v>1</v>
      </c>
      <c r="C22423" s="6" t="s">
        <v>1</v>
      </c>
    </row>
    <row r="22424" spans="1:3" s="8" customFormat="1" x14ac:dyDescent="0.2">
      <c r="A22424" s="6" t="str">
        <f>"PCSK7"</f>
        <v>PCSK7</v>
      </c>
      <c r="B22424" s="6" t="s">
        <v>1</v>
      </c>
      <c r="C22424" s="6" t="s">
        <v>1</v>
      </c>
    </row>
    <row r="22425" spans="1:3" s="8" customFormat="1" x14ac:dyDescent="0.2">
      <c r="A22425" s="6" t="str">
        <f>"KANSL1"</f>
        <v>KANSL1</v>
      </c>
      <c r="B22425" s="6" t="s">
        <v>1</v>
      </c>
      <c r="C22425" s="6" t="s">
        <v>1</v>
      </c>
    </row>
    <row r="22426" spans="1:3" s="8" customFormat="1" x14ac:dyDescent="0.2">
      <c r="A22426" s="6" t="str">
        <f>"HCAR2"</f>
        <v>HCAR2</v>
      </c>
      <c r="B22426" s="6" t="s">
        <v>1</v>
      </c>
      <c r="C22426" s="6" t="s">
        <v>1</v>
      </c>
    </row>
    <row r="22427" spans="1:3" s="8" customFormat="1" x14ac:dyDescent="0.2">
      <c r="A22427" s="6" t="str">
        <f>"MCFD2"</f>
        <v>MCFD2</v>
      </c>
      <c r="B22427" s="6" t="s">
        <v>1</v>
      </c>
      <c r="C22427" s="6" t="s">
        <v>1</v>
      </c>
    </row>
    <row r="22428" spans="1:3" s="8" customFormat="1" x14ac:dyDescent="0.2">
      <c r="A22428" s="6" t="str">
        <f>"FAM8A1"</f>
        <v>FAM8A1</v>
      </c>
      <c r="B22428" s="6" t="s">
        <v>1</v>
      </c>
      <c r="C22428" s="6" t="s">
        <v>1</v>
      </c>
    </row>
    <row r="22429" spans="1:3" s="8" customFormat="1" x14ac:dyDescent="0.2">
      <c r="A22429" s="6" t="str">
        <f>"STX16"</f>
        <v>STX16</v>
      </c>
      <c r="B22429" s="6" t="s">
        <v>1</v>
      </c>
      <c r="C22429" s="6" t="s">
        <v>1</v>
      </c>
    </row>
    <row r="22430" spans="1:3" s="8" customFormat="1" x14ac:dyDescent="0.2">
      <c r="A22430" s="6" t="str">
        <f>"KLHDC3"</f>
        <v>KLHDC3</v>
      </c>
      <c r="B22430" s="6" t="s">
        <v>1</v>
      </c>
      <c r="C22430" s="6" t="s">
        <v>1</v>
      </c>
    </row>
    <row r="22431" spans="1:3" s="8" customFormat="1" x14ac:dyDescent="0.2">
      <c r="A22431" s="6" t="str">
        <f>"GINM1"</f>
        <v>GINM1</v>
      </c>
      <c r="B22431" s="6" t="s">
        <v>1</v>
      </c>
      <c r="C22431" s="6" t="s">
        <v>1</v>
      </c>
    </row>
    <row r="22432" spans="1:3" s="8" customFormat="1" x14ac:dyDescent="0.2">
      <c r="A22432" s="6" t="str">
        <f>"FAF2"</f>
        <v>FAF2</v>
      </c>
      <c r="B22432" s="6" t="s">
        <v>1</v>
      </c>
      <c r="C22432" s="6" t="s">
        <v>1</v>
      </c>
    </row>
    <row r="22433" spans="1:3" s="8" customFormat="1" x14ac:dyDescent="0.2">
      <c r="A22433" s="6" t="str">
        <f>"IFIT3"</f>
        <v>IFIT3</v>
      </c>
      <c r="B22433" s="6" t="s">
        <v>1</v>
      </c>
      <c r="C22433" s="6" t="s">
        <v>1</v>
      </c>
    </row>
    <row r="22434" spans="1:3" s="8" customFormat="1" x14ac:dyDescent="0.2">
      <c r="A22434" s="6" t="str">
        <f>"HCAR3"</f>
        <v>HCAR3</v>
      </c>
      <c r="B22434" s="6" t="s">
        <v>1</v>
      </c>
      <c r="C22434" s="6" t="s">
        <v>1</v>
      </c>
    </row>
    <row r="22435" spans="1:3" s="8" customFormat="1" x14ac:dyDescent="0.2">
      <c r="A22435" s="6" t="str">
        <f>"PPTC7"</f>
        <v>PPTC7</v>
      </c>
      <c r="B22435" s="6" t="s">
        <v>1</v>
      </c>
      <c r="C22435" s="6" t="s">
        <v>1</v>
      </c>
    </row>
    <row r="22436" spans="1:3" s="8" customFormat="1" x14ac:dyDescent="0.2">
      <c r="A22436" s="6" t="str">
        <f>"DNAJC14"</f>
        <v>DNAJC14</v>
      </c>
      <c r="B22436" s="6" t="s">
        <v>1</v>
      </c>
      <c r="C22436" s="6" t="s">
        <v>1</v>
      </c>
    </row>
    <row r="22437" spans="1:3" s="8" customFormat="1" x14ac:dyDescent="0.2">
      <c r="A22437" s="6" t="str">
        <f>"C21orf58"</f>
        <v>C21orf58</v>
      </c>
      <c r="B22437" s="6" t="s">
        <v>1</v>
      </c>
      <c r="C22437" s="6" t="s">
        <v>1</v>
      </c>
    </row>
    <row r="22438" spans="1:3" s="8" customFormat="1" x14ac:dyDescent="0.2">
      <c r="A22438" s="6" t="str">
        <f>"CRYM"</f>
        <v>CRYM</v>
      </c>
      <c r="B22438" s="6" t="s">
        <v>1</v>
      </c>
      <c r="C22438" s="6" t="s">
        <v>1</v>
      </c>
    </row>
    <row r="22439" spans="1:3" s="8" customFormat="1" x14ac:dyDescent="0.2">
      <c r="A22439" s="6" t="str">
        <f>"NELL2"</f>
        <v>NELL2</v>
      </c>
      <c r="B22439" s="6" t="s">
        <v>1</v>
      </c>
      <c r="C22439" s="6" t="s">
        <v>1</v>
      </c>
    </row>
    <row r="22440" spans="1:3" s="8" customFormat="1" x14ac:dyDescent="0.2">
      <c r="A22440" s="6" t="str">
        <f>"DDX41"</f>
        <v>DDX41</v>
      </c>
      <c r="B22440" s="6" t="s">
        <v>1</v>
      </c>
      <c r="C22440" s="6" t="s">
        <v>1</v>
      </c>
    </row>
    <row r="22441" spans="1:3" s="8" customFormat="1" x14ac:dyDescent="0.2">
      <c r="A22441" s="6" t="str">
        <f>"NOS2"</f>
        <v>NOS2</v>
      </c>
      <c r="B22441" s="6" t="s">
        <v>1</v>
      </c>
      <c r="C22441" s="6" t="s">
        <v>1</v>
      </c>
    </row>
    <row r="22442" spans="1:3" s="8" customFormat="1" x14ac:dyDescent="0.2">
      <c r="A22442" s="6" t="str">
        <f>"EBLN3P"</f>
        <v>EBLN3P</v>
      </c>
      <c r="B22442" s="6" t="s">
        <v>1</v>
      </c>
      <c r="C22442" s="6" t="s">
        <v>1</v>
      </c>
    </row>
    <row r="22443" spans="1:3" s="8" customFormat="1" x14ac:dyDescent="0.2">
      <c r="A22443" s="6" t="str">
        <f>"EDC4"</f>
        <v>EDC4</v>
      </c>
      <c r="B22443" s="6" t="s">
        <v>1</v>
      </c>
      <c r="C22443" s="6" t="s">
        <v>1</v>
      </c>
    </row>
    <row r="22444" spans="1:3" s="8" customFormat="1" x14ac:dyDescent="0.2">
      <c r="A22444" s="6" t="str">
        <f>"GRHPR"</f>
        <v>GRHPR</v>
      </c>
      <c r="B22444" s="6" t="s">
        <v>1</v>
      </c>
      <c r="C22444" s="6" t="s">
        <v>1</v>
      </c>
    </row>
    <row r="22445" spans="1:3" s="8" customFormat="1" x14ac:dyDescent="0.2">
      <c r="A22445" s="6" t="str">
        <f>"SHKBP1"</f>
        <v>SHKBP1</v>
      </c>
      <c r="B22445" s="6" t="s">
        <v>1</v>
      </c>
      <c r="C22445" s="6" t="s">
        <v>1</v>
      </c>
    </row>
    <row r="22446" spans="1:3" s="8" customFormat="1" x14ac:dyDescent="0.2">
      <c r="A22446" s="6" t="str">
        <f>"DNASE2"</f>
        <v>DNASE2</v>
      </c>
      <c r="B22446" s="6" t="s">
        <v>1</v>
      </c>
      <c r="C22446" s="6" t="s">
        <v>1</v>
      </c>
    </row>
    <row r="22447" spans="1:3" s="8" customFormat="1" x14ac:dyDescent="0.2">
      <c r="A22447" s="6" t="str">
        <f>"ELOVL1"</f>
        <v>ELOVL1</v>
      </c>
      <c r="B22447" s="6" t="s">
        <v>1</v>
      </c>
      <c r="C22447" s="6" t="s">
        <v>1</v>
      </c>
    </row>
    <row r="22448" spans="1:3" s="8" customFormat="1" x14ac:dyDescent="0.2">
      <c r="A22448" s="6" t="str">
        <f>"LYRM2"</f>
        <v>LYRM2</v>
      </c>
      <c r="B22448" s="6" t="s">
        <v>1</v>
      </c>
      <c r="C22448" s="6" t="s">
        <v>1</v>
      </c>
    </row>
    <row r="22449" spans="1:3" s="8" customFormat="1" x14ac:dyDescent="0.2">
      <c r="A22449" s="6" t="str">
        <f>"FMN1"</f>
        <v>FMN1</v>
      </c>
      <c r="B22449" s="6" t="s">
        <v>1</v>
      </c>
      <c r="C22449" s="6" t="s">
        <v>1</v>
      </c>
    </row>
    <row r="22450" spans="1:3" s="8" customFormat="1" x14ac:dyDescent="0.2">
      <c r="A22450" s="6" t="str">
        <f>"MED13"</f>
        <v>MED13</v>
      </c>
      <c r="B22450" s="6" t="s">
        <v>1</v>
      </c>
      <c r="C22450" s="6" t="s">
        <v>1</v>
      </c>
    </row>
    <row r="22451" spans="1:3" s="8" customFormat="1" x14ac:dyDescent="0.2">
      <c r="A22451" s="6" t="str">
        <f>"MRPS16"</f>
        <v>MRPS16</v>
      </c>
      <c r="B22451" s="6" t="s">
        <v>1</v>
      </c>
      <c r="C22451" s="6" t="s">
        <v>1</v>
      </c>
    </row>
    <row r="22452" spans="1:3" s="8" customFormat="1" x14ac:dyDescent="0.2">
      <c r="A22452" s="6" t="str">
        <f>"HARS1"</f>
        <v>HARS1</v>
      </c>
      <c r="B22452" s="6" t="s">
        <v>1</v>
      </c>
      <c r="C22452" s="6" t="s">
        <v>1</v>
      </c>
    </row>
    <row r="22453" spans="1:3" s="8" customFormat="1" x14ac:dyDescent="0.2">
      <c r="A22453" s="6" t="str">
        <f>"CHTOP"</f>
        <v>CHTOP</v>
      </c>
      <c r="B22453" s="6" t="s">
        <v>1</v>
      </c>
      <c r="C22453" s="6" t="s">
        <v>1</v>
      </c>
    </row>
    <row r="22454" spans="1:3" s="8" customFormat="1" x14ac:dyDescent="0.2">
      <c r="A22454" s="6" t="str">
        <f>"TBC1D10B"</f>
        <v>TBC1D10B</v>
      </c>
      <c r="B22454" s="6" t="s">
        <v>1</v>
      </c>
      <c r="C22454" s="6" t="s">
        <v>1</v>
      </c>
    </row>
    <row r="22455" spans="1:3" s="8" customFormat="1" x14ac:dyDescent="0.2">
      <c r="A22455" s="6" t="str">
        <f>"CEACAM1"</f>
        <v>CEACAM1</v>
      </c>
      <c r="B22455" s="6" t="s">
        <v>1</v>
      </c>
      <c r="C22455" s="6" t="s">
        <v>1</v>
      </c>
    </row>
    <row r="22456" spans="1:3" s="8" customFormat="1" x14ac:dyDescent="0.2">
      <c r="A22456" s="6" t="str">
        <f>"AQR"</f>
        <v>AQR</v>
      </c>
      <c r="B22456" s="6" t="s">
        <v>1</v>
      </c>
      <c r="C22456" s="6" t="s">
        <v>1</v>
      </c>
    </row>
    <row r="22457" spans="1:3" s="8" customFormat="1" x14ac:dyDescent="0.2">
      <c r="A22457" s="6" t="str">
        <f>"MAGI1"</f>
        <v>MAGI1</v>
      </c>
      <c r="B22457" s="6" t="s">
        <v>1</v>
      </c>
      <c r="C22457" s="6" t="s">
        <v>1</v>
      </c>
    </row>
    <row r="22458" spans="1:3" s="8" customFormat="1" x14ac:dyDescent="0.2">
      <c r="A22458" s="6" t="str">
        <f>"SAE1"</f>
        <v>SAE1</v>
      </c>
      <c r="B22458" s="6" t="s">
        <v>1</v>
      </c>
      <c r="C22458" s="6" t="s">
        <v>1</v>
      </c>
    </row>
    <row r="22459" spans="1:3" s="8" customFormat="1" x14ac:dyDescent="0.2">
      <c r="A22459" s="6" t="str">
        <f>"TMEM14C"</f>
        <v>TMEM14C</v>
      </c>
      <c r="B22459" s="6" t="s">
        <v>1</v>
      </c>
      <c r="C22459" s="6" t="s">
        <v>1</v>
      </c>
    </row>
    <row r="22460" spans="1:3" s="8" customFormat="1" x14ac:dyDescent="0.2">
      <c r="A22460" s="6" t="str">
        <f>"TGFBR2"</f>
        <v>TGFBR2</v>
      </c>
      <c r="B22460" s="6" t="s">
        <v>1</v>
      </c>
      <c r="C22460" s="6" t="s">
        <v>1</v>
      </c>
    </row>
    <row r="22461" spans="1:3" s="8" customFormat="1" x14ac:dyDescent="0.2">
      <c r="A22461" s="6" t="str">
        <f>"GLT8D1"</f>
        <v>GLT8D1</v>
      </c>
      <c r="B22461" s="6" t="s">
        <v>1</v>
      </c>
      <c r="C22461" s="6" t="s">
        <v>1</v>
      </c>
    </row>
    <row r="22462" spans="1:3" s="8" customFormat="1" x14ac:dyDescent="0.2">
      <c r="A22462" s="6" t="str">
        <f>"TRIB2"</f>
        <v>TRIB2</v>
      </c>
      <c r="B22462" s="6" t="s">
        <v>1</v>
      </c>
      <c r="C22462" s="6" t="s">
        <v>1</v>
      </c>
    </row>
    <row r="22463" spans="1:3" s="8" customFormat="1" x14ac:dyDescent="0.2">
      <c r="A22463" s="6" t="str">
        <f>"ASAP2"</f>
        <v>ASAP2</v>
      </c>
      <c r="B22463" s="6" t="s">
        <v>1</v>
      </c>
      <c r="C22463" s="6" t="s">
        <v>1</v>
      </c>
    </row>
    <row r="22464" spans="1:3" s="8" customFormat="1" x14ac:dyDescent="0.2">
      <c r="A22464" s="6" t="str">
        <f>"CCNDBP1"</f>
        <v>CCNDBP1</v>
      </c>
      <c r="B22464" s="6" t="s">
        <v>1</v>
      </c>
      <c r="C22464" s="6" t="s">
        <v>1</v>
      </c>
    </row>
    <row r="22465" spans="1:3" s="8" customFormat="1" x14ac:dyDescent="0.2">
      <c r="A22465" s="6" t="str">
        <f>"P2RY2"</f>
        <v>P2RY2</v>
      </c>
      <c r="B22465" s="6" t="s">
        <v>1</v>
      </c>
      <c r="C22465" s="6" t="s">
        <v>1</v>
      </c>
    </row>
    <row r="22466" spans="1:3" s="8" customFormat="1" x14ac:dyDescent="0.2">
      <c r="A22466" s="6" t="str">
        <f>"PTPN1"</f>
        <v>PTPN1</v>
      </c>
      <c r="B22466" s="6" t="s">
        <v>1</v>
      </c>
      <c r="C22466" s="6" t="s">
        <v>1</v>
      </c>
    </row>
    <row r="22467" spans="1:3" s="8" customFormat="1" x14ac:dyDescent="0.2">
      <c r="A22467" s="6" t="str">
        <f>"GPS2"</f>
        <v>GPS2</v>
      </c>
      <c r="B22467" s="6" t="s">
        <v>1</v>
      </c>
      <c r="C22467" s="6" t="s">
        <v>1</v>
      </c>
    </row>
    <row r="22468" spans="1:3" s="8" customFormat="1" x14ac:dyDescent="0.2">
      <c r="A22468" s="6" t="str">
        <f>"TNFRSF1B"</f>
        <v>TNFRSF1B</v>
      </c>
      <c r="B22468" s="6" t="s">
        <v>1</v>
      </c>
      <c r="C22468" s="6" t="s">
        <v>1</v>
      </c>
    </row>
    <row r="22469" spans="1:3" s="8" customFormat="1" x14ac:dyDescent="0.2">
      <c r="A22469" s="6" t="str">
        <f>"MRPS21"</f>
        <v>MRPS21</v>
      </c>
      <c r="B22469" s="6" t="s">
        <v>1</v>
      </c>
      <c r="C22469" s="6" t="s">
        <v>1</v>
      </c>
    </row>
    <row r="22470" spans="1:3" s="8" customFormat="1" x14ac:dyDescent="0.2">
      <c r="A22470" s="6" t="str">
        <f>"BRD1"</f>
        <v>BRD1</v>
      </c>
      <c r="B22470" s="6" t="s">
        <v>1</v>
      </c>
      <c r="C22470" s="6" t="s">
        <v>1</v>
      </c>
    </row>
    <row r="22471" spans="1:3" s="8" customFormat="1" x14ac:dyDescent="0.2">
      <c r="A22471" s="6" t="str">
        <f>"EXOSC10"</f>
        <v>EXOSC10</v>
      </c>
      <c r="B22471" s="6" t="s">
        <v>1</v>
      </c>
      <c r="C22471" s="6" t="s">
        <v>1</v>
      </c>
    </row>
    <row r="22472" spans="1:3" s="8" customFormat="1" x14ac:dyDescent="0.2">
      <c r="A22472" s="6" t="str">
        <f>"DNPH1"</f>
        <v>DNPH1</v>
      </c>
      <c r="B22472" s="6" t="s">
        <v>1</v>
      </c>
      <c r="C22472" s="6" t="s">
        <v>1</v>
      </c>
    </row>
    <row r="22473" spans="1:3" s="8" customFormat="1" x14ac:dyDescent="0.2">
      <c r="A22473" s="6" t="str">
        <f>"MRPL49"</f>
        <v>MRPL49</v>
      </c>
      <c r="B22473" s="6" t="s">
        <v>1</v>
      </c>
      <c r="C22473" s="6" t="s">
        <v>1</v>
      </c>
    </row>
    <row r="22474" spans="1:3" s="8" customFormat="1" x14ac:dyDescent="0.2">
      <c r="A22474" s="6" t="str">
        <f>"NPIPA1"</f>
        <v>NPIPA1</v>
      </c>
      <c r="B22474" s="6" t="s">
        <v>1</v>
      </c>
      <c r="C22474" s="6" t="s">
        <v>1</v>
      </c>
    </row>
    <row r="22475" spans="1:3" s="8" customFormat="1" x14ac:dyDescent="0.2">
      <c r="A22475" s="6" t="str">
        <f>"NUP62"</f>
        <v>NUP62</v>
      </c>
      <c r="B22475" s="6" t="s">
        <v>1</v>
      </c>
      <c r="C22475" s="6" t="s">
        <v>1</v>
      </c>
    </row>
    <row r="22476" spans="1:3" s="8" customFormat="1" x14ac:dyDescent="0.2">
      <c r="A22476" s="6" t="str">
        <f>"PCYT1A"</f>
        <v>PCYT1A</v>
      </c>
      <c r="B22476" s="6" t="s">
        <v>1</v>
      </c>
      <c r="C22476" s="6" t="s">
        <v>1</v>
      </c>
    </row>
    <row r="22477" spans="1:3" s="8" customFormat="1" x14ac:dyDescent="0.2">
      <c r="A22477" s="6" t="str">
        <f>"SNX6"</f>
        <v>SNX6</v>
      </c>
      <c r="B22477" s="6" t="s">
        <v>1</v>
      </c>
      <c r="C22477" s="6" t="s">
        <v>1</v>
      </c>
    </row>
    <row r="22478" spans="1:3" s="8" customFormat="1" x14ac:dyDescent="0.2">
      <c r="A22478" s="6" t="str">
        <f>"CNOT7"</f>
        <v>CNOT7</v>
      </c>
      <c r="B22478" s="6" t="s">
        <v>1</v>
      </c>
      <c r="C22478" s="6" t="s">
        <v>1</v>
      </c>
    </row>
    <row r="22479" spans="1:3" s="8" customFormat="1" x14ac:dyDescent="0.2">
      <c r="A22479" s="6" t="str">
        <f>"PLEKHF2"</f>
        <v>PLEKHF2</v>
      </c>
      <c r="B22479" s="6" t="s">
        <v>1</v>
      </c>
      <c r="C22479" s="6" t="s">
        <v>1</v>
      </c>
    </row>
    <row r="22480" spans="1:3" s="8" customFormat="1" x14ac:dyDescent="0.2">
      <c r="A22480" s="6" t="str">
        <f>"SECTM1"</f>
        <v>SECTM1</v>
      </c>
      <c r="B22480" s="6" t="s">
        <v>1</v>
      </c>
      <c r="C22480" s="6" t="s">
        <v>1</v>
      </c>
    </row>
    <row r="22481" spans="1:3" s="8" customFormat="1" x14ac:dyDescent="0.2">
      <c r="A22481" s="6" t="str">
        <f>"NDUFA5"</f>
        <v>NDUFA5</v>
      </c>
      <c r="B22481" s="6" t="s">
        <v>1</v>
      </c>
      <c r="C22481" s="6" t="s">
        <v>1</v>
      </c>
    </row>
    <row r="22482" spans="1:3" s="8" customFormat="1" x14ac:dyDescent="0.2">
      <c r="A22482" s="6" t="str">
        <f>"GLIS3"</f>
        <v>GLIS3</v>
      </c>
      <c r="B22482" s="6" t="s">
        <v>1</v>
      </c>
      <c r="C22482" s="6" t="s">
        <v>1</v>
      </c>
    </row>
    <row r="22483" spans="1:3" s="8" customFormat="1" x14ac:dyDescent="0.2">
      <c r="A22483" s="6" t="str">
        <f>"SNX9"</f>
        <v>SNX9</v>
      </c>
      <c r="B22483" s="6" t="s">
        <v>1</v>
      </c>
      <c r="C22483" s="6" t="s">
        <v>1</v>
      </c>
    </row>
    <row r="22484" spans="1:3" s="8" customFormat="1" x14ac:dyDescent="0.2">
      <c r="A22484" s="6" t="str">
        <f>"IFT122"</f>
        <v>IFT122</v>
      </c>
      <c r="B22484" s="6" t="s">
        <v>1</v>
      </c>
      <c r="C22484" s="6" t="s">
        <v>1</v>
      </c>
    </row>
    <row r="22485" spans="1:3" s="8" customFormat="1" x14ac:dyDescent="0.2">
      <c r="A22485" s="6" t="str">
        <f>"DNAJB12"</f>
        <v>DNAJB12</v>
      </c>
      <c r="B22485" s="6" t="s">
        <v>1</v>
      </c>
      <c r="C22485" s="6" t="s">
        <v>1</v>
      </c>
    </row>
    <row r="22486" spans="1:3" s="8" customFormat="1" x14ac:dyDescent="0.2">
      <c r="A22486" s="6" t="str">
        <f>"MSH3"</f>
        <v>MSH3</v>
      </c>
      <c r="B22486" s="6" t="s">
        <v>1</v>
      </c>
      <c r="C22486" s="6" t="s">
        <v>1</v>
      </c>
    </row>
    <row r="22487" spans="1:3" s="8" customFormat="1" x14ac:dyDescent="0.2">
      <c r="A22487" s="6" t="str">
        <f>"BSPRY"</f>
        <v>BSPRY</v>
      </c>
      <c r="B22487" s="6" t="s">
        <v>1</v>
      </c>
      <c r="C22487" s="6" t="s">
        <v>1</v>
      </c>
    </row>
    <row r="22488" spans="1:3" s="8" customFormat="1" x14ac:dyDescent="0.2">
      <c r="A22488" s="6" t="str">
        <f>"TNFRSF14"</f>
        <v>TNFRSF14</v>
      </c>
      <c r="B22488" s="6" t="s">
        <v>1</v>
      </c>
      <c r="C22488" s="6" t="s">
        <v>1</v>
      </c>
    </row>
    <row r="22489" spans="1:3" s="8" customFormat="1" x14ac:dyDescent="0.2">
      <c r="A22489" s="6" t="str">
        <f>"TBC1D20"</f>
        <v>TBC1D20</v>
      </c>
      <c r="B22489" s="6" t="s">
        <v>1</v>
      </c>
      <c r="C22489" s="6" t="s">
        <v>1</v>
      </c>
    </row>
    <row r="22490" spans="1:3" s="8" customFormat="1" x14ac:dyDescent="0.2">
      <c r="A22490" s="6" t="str">
        <f>"CHP2"</f>
        <v>CHP2</v>
      </c>
      <c r="B22490" s="6" t="s">
        <v>1</v>
      </c>
      <c r="C22490" s="6" t="s">
        <v>1</v>
      </c>
    </row>
    <row r="22491" spans="1:3" s="8" customFormat="1" x14ac:dyDescent="0.2">
      <c r="A22491" s="6" t="str">
        <f>"NEDD4"</f>
        <v>NEDD4</v>
      </c>
      <c r="B22491" s="6" t="s">
        <v>1</v>
      </c>
      <c r="C22491" s="6" t="s">
        <v>1</v>
      </c>
    </row>
    <row r="22492" spans="1:3" s="8" customFormat="1" x14ac:dyDescent="0.2">
      <c r="A22492" s="6" t="str">
        <f>"IFT81"</f>
        <v>IFT81</v>
      </c>
      <c r="B22492" s="6" t="s">
        <v>1</v>
      </c>
      <c r="C22492" s="6" t="s">
        <v>1</v>
      </c>
    </row>
    <row r="22493" spans="1:3" s="8" customFormat="1" x14ac:dyDescent="0.2">
      <c r="A22493" s="6" t="str">
        <f>"MCF2L"</f>
        <v>MCF2L</v>
      </c>
      <c r="B22493" s="6" t="s">
        <v>1</v>
      </c>
      <c r="C22493" s="6" t="s">
        <v>1</v>
      </c>
    </row>
    <row r="22494" spans="1:3" s="8" customFormat="1" x14ac:dyDescent="0.2">
      <c r="A22494" s="6" t="str">
        <f>"NUP153"</f>
        <v>NUP153</v>
      </c>
      <c r="B22494" s="6" t="s">
        <v>1</v>
      </c>
      <c r="C22494" s="6" t="s">
        <v>1</v>
      </c>
    </row>
    <row r="22495" spans="1:3" s="8" customFormat="1" x14ac:dyDescent="0.2">
      <c r="A22495" s="6" t="str">
        <f>"NELFB"</f>
        <v>NELFB</v>
      </c>
      <c r="B22495" s="6" t="s">
        <v>1</v>
      </c>
      <c r="C22495" s="6" t="s">
        <v>1</v>
      </c>
    </row>
    <row r="22496" spans="1:3" s="8" customFormat="1" x14ac:dyDescent="0.2">
      <c r="A22496" s="6" t="str">
        <f>"EIF2A"</f>
        <v>EIF2A</v>
      </c>
      <c r="B22496" s="6" t="s">
        <v>1</v>
      </c>
      <c r="C22496" s="6" t="s">
        <v>1</v>
      </c>
    </row>
    <row r="22497" spans="1:3" s="8" customFormat="1" x14ac:dyDescent="0.2">
      <c r="A22497" s="6" t="str">
        <f>"C20orf96"</f>
        <v>C20orf96</v>
      </c>
      <c r="B22497" s="6" t="s">
        <v>1</v>
      </c>
      <c r="C22497" s="6" t="s">
        <v>1</v>
      </c>
    </row>
    <row r="22498" spans="1:3" s="8" customFormat="1" x14ac:dyDescent="0.2">
      <c r="A22498" s="6" t="str">
        <f>"MRPL51"</f>
        <v>MRPL51</v>
      </c>
      <c r="B22498" s="6" t="s">
        <v>1</v>
      </c>
      <c r="C22498" s="6" t="s">
        <v>1</v>
      </c>
    </row>
    <row r="22499" spans="1:3" s="8" customFormat="1" x14ac:dyDescent="0.2">
      <c r="A22499" s="6" t="str">
        <f>"FMO2"</f>
        <v>FMO2</v>
      </c>
      <c r="B22499" s="6" t="s">
        <v>1</v>
      </c>
      <c r="C22499" s="6" t="s">
        <v>1</v>
      </c>
    </row>
    <row r="22500" spans="1:3" s="8" customFormat="1" x14ac:dyDescent="0.2">
      <c r="A22500" s="6" t="str">
        <f>"MEA1"</f>
        <v>MEA1</v>
      </c>
      <c r="B22500" s="6" t="s">
        <v>1</v>
      </c>
      <c r="C22500" s="6" t="s">
        <v>1</v>
      </c>
    </row>
    <row r="22501" spans="1:3" s="8" customFormat="1" x14ac:dyDescent="0.2">
      <c r="A22501" s="6" t="str">
        <f>"ALG11"</f>
        <v>ALG11</v>
      </c>
      <c r="B22501" s="6" t="s">
        <v>1</v>
      </c>
      <c r="C22501" s="6" t="s">
        <v>1</v>
      </c>
    </row>
    <row r="22502" spans="1:3" s="8" customFormat="1" x14ac:dyDescent="0.2">
      <c r="A22502" s="6" t="str">
        <f>"LGMN"</f>
        <v>LGMN</v>
      </c>
      <c r="B22502" s="6" t="s">
        <v>1</v>
      </c>
      <c r="C22502" s="6" t="s">
        <v>1</v>
      </c>
    </row>
    <row r="22503" spans="1:3" s="8" customFormat="1" x14ac:dyDescent="0.2">
      <c r="A22503" s="6" t="str">
        <f>"IDH3B"</f>
        <v>IDH3B</v>
      </c>
      <c r="B22503" s="6" t="s">
        <v>1</v>
      </c>
      <c r="C22503" s="6" t="s">
        <v>1</v>
      </c>
    </row>
    <row r="22504" spans="1:3" s="8" customFormat="1" x14ac:dyDescent="0.2">
      <c r="A22504" s="6" t="str">
        <f>"DNAJC8"</f>
        <v>DNAJC8</v>
      </c>
      <c r="B22504" s="6" t="s">
        <v>1</v>
      </c>
      <c r="C22504" s="6" t="s">
        <v>1</v>
      </c>
    </row>
    <row r="22505" spans="1:3" s="8" customFormat="1" x14ac:dyDescent="0.2">
      <c r="A22505" s="6" t="str">
        <f>"PHIP"</f>
        <v>PHIP</v>
      </c>
      <c r="B22505" s="6" t="s">
        <v>1</v>
      </c>
      <c r="C22505" s="6" t="s">
        <v>1</v>
      </c>
    </row>
    <row r="22506" spans="1:3" s="8" customFormat="1" x14ac:dyDescent="0.2">
      <c r="A22506" s="6" t="str">
        <f>"AC068580.4"</f>
        <v>AC068580.4</v>
      </c>
      <c r="B22506" s="6" t="s">
        <v>1</v>
      </c>
      <c r="C22506" s="6" t="s">
        <v>1</v>
      </c>
    </row>
    <row r="22507" spans="1:3" s="8" customFormat="1" x14ac:dyDescent="0.2">
      <c r="A22507" s="6" t="str">
        <f>"IFT27"</f>
        <v>IFT27</v>
      </c>
      <c r="B22507" s="6" t="s">
        <v>1</v>
      </c>
      <c r="C22507" s="6" t="s">
        <v>1</v>
      </c>
    </row>
    <row r="22508" spans="1:3" s="8" customFormat="1" x14ac:dyDescent="0.2">
      <c r="A22508" s="6" t="str">
        <f>"MAGT1"</f>
        <v>MAGT1</v>
      </c>
      <c r="B22508" s="6" t="s">
        <v>1</v>
      </c>
      <c r="C22508" s="6" t="s">
        <v>1</v>
      </c>
    </row>
    <row r="22509" spans="1:3" s="8" customFormat="1" x14ac:dyDescent="0.2">
      <c r="A22509" s="6" t="str">
        <f>"NUS1"</f>
        <v>NUS1</v>
      </c>
      <c r="B22509" s="6" t="s">
        <v>1</v>
      </c>
      <c r="C22509" s="6" t="s">
        <v>1</v>
      </c>
    </row>
    <row r="22510" spans="1:3" s="8" customFormat="1" x14ac:dyDescent="0.2">
      <c r="A22510" s="6" t="str">
        <f>"SOAT1"</f>
        <v>SOAT1</v>
      </c>
      <c r="B22510" s="6" t="s">
        <v>1</v>
      </c>
      <c r="C22510" s="6" t="s">
        <v>1</v>
      </c>
    </row>
    <row r="22511" spans="1:3" s="8" customFormat="1" x14ac:dyDescent="0.2">
      <c r="A22511" s="6" t="str">
        <f>"SHANK2"</f>
        <v>SHANK2</v>
      </c>
      <c r="B22511" s="6" t="s">
        <v>1</v>
      </c>
      <c r="C22511" s="6" t="s">
        <v>1</v>
      </c>
    </row>
    <row r="22512" spans="1:3" s="8" customFormat="1" x14ac:dyDescent="0.2">
      <c r="A22512" s="6" t="str">
        <f>"PLEKHM2"</f>
        <v>PLEKHM2</v>
      </c>
      <c r="B22512" s="6" t="s">
        <v>1</v>
      </c>
      <c r="C22512" s="6" t="s">
        <v>1</v>
      </c>
    </row>
    <row r="22513" spans="1:3" s="8" customFormat="1" x14ac:dyDescent="0.2">
      <c r="A22513" s="6" t="str">
        <f>"CNOT11"</f>
        <v>CNOT11</v>
      </c>
      <c r="B22513" s="6" t="s">
        <v>1</v>
      </c>
      <c r="C22513" s="6" t="s">
        <v>1</v>
      </c>
    </row>
    <row r="22514" spans="1:3" s="8" customFormat="1" x14ac:dyDescent="0.2">
      <c r="A22514" s="6" t="str">
        <f>"GMDS"</f>
        <v>GMDS</v>
      </c>
      <c r="B22514" s="6" t="s">
        <v>1</v>
      </c>
      <c r="C22514" s="6" t="s">
        <v>1</v>
      </c>
    </row>
    <row r="22515" spans="1:3" s="8" customFormat="1" x14ac:dyDescent="0.2">
      <c r="A22515" s="6" t="str">
        <f>"COG5"</f>
        <v>COG5</v>
      </c>
      <c r="B22515" s="6" t="s">
        <v>1</v>
      </c>
      <c r="C22515" s="6" t="s">
        <v>1</v>
      </c>
    </row>
    <row r="22516" spans="1:3" s="8" customFormat="1" x14ac:dyDescent="0.2">
      <c r="A22516" s="6" t="str">
        <f>"IDE"</f>
        <v>IDE</v>
      </c>
      <c r="B22516" s="6" t="s">
        <v>1</v>
      </c>
      <c r="C22516" s="6" t="s">
        <v>1</v>
      </c>
    </row>
    <row r="22517" spans="1:3" s="8" customFormat="1" x14ac:dyDescent="0.2">
      <c r="A22517" s="6" t="str">
        <f>"FKBP4"</f>
        <v>FKBP4</v>
      </c>
      <c r="B22517" s="6" t="s">
        <v>1</v>
      </c>
      <c r="C22517" s="6" t="s">
        <v>1</v>
      </c>
    </row>
    <row r="22518" spans="1:3" s="8" customFormat="1" x14ac:dyDescent="0.2">
      <c r="A22518" s="6" t="str">
        <f>"TTLL12"</f>
        <v>TTLL12</v>
      </c>
      <c r="B22518" s="6" t="s">
        <v>1</v>
      </c>
      <c r="C22518" s="6" t="s">
        <v>1</v>
      </c>
    </row>
    <row r="22519" spans="1:3" s="8" customFormat="1" x14ac:dyDescent="0.2">
      <c r="A22519" s="6" t="str">
        <f>"TNFSF13"</f>
        <v>TNFSF13</v>
      </c>
      <c r="B22519" s="6" t="s">
        <v>1</v>
      </c>
      <c r="C22519" s="6" t="s">
        <v>1</v>
      </c>
    </row>
    <row r="22520" spans="1:3" s="8" customFormat="1" x14ac:dyDescent="0.2">
      <c r="A22520" s="6" t="str">
        <f>"EMC4"</f>
        <v>EMC4</v>
      </c>
      <c r="B22520" s="6" t="s">
        <v>1</v>
      </c>
      <c r="C22520" s="6" t="s">
        <v>1</v>
      </c>
    </row>
    <row r="22521" spans="1:3" s="8" customFormat="1" x14ac:dyDescent="0.2">
      <c r="A22521" s="6" t="str">
        <f>"ZC3H12A"</f>
        <v>ZC3H12A</v>
      </c>
      <c r="B22521" s="6" t="s">
        <v>1</v>
      </c>
      <c r="C22521" s="6" t="s">
        <v>1</v>
      </c>
    </row>
    <row r="22522" spans="1:3" s="8" customFormat="1" x14ac:dyDescent="0.2">
      <c r="A22522" s="6" t="str">
        <f>"IDI1"</f>
        <v>IDI1</v>
      </c>
      <c r="B22522" s="6" t="s">
        <v>1</v>
      </c>
      <c r="C22522" s="6" t="s">
        <v>1</v>
      </c>
    </row>
    <row r="22523" spans="1:3" s="8" customFormat="1" x14ac:dyDescent="0.2">
      <c r="A22523" s="6" t="str">
        <f>"NOP9"</f>
        <v>NOP9</v>
      </c>
      <c r="B22523" s="6" t="s">
        <v>1</v>
      </c>
      <c r="C22523" s="6" t="s">
        <v>1</v>
      </c>
    </row>
    <row r="22524" spans="1:3" s="8" customFormat="1" x14ac:dyDescent="0.2">
      <c r="A22524" s="6" t="str">
        <f>"HMGCS1"</f>
        <v>HMGCS1</v>
      </c>
      <c r="B22524" s="6" t="s">
        <v>1</v>
      </c>
      <c r="C22524" s="6" t="s">
        <v>1</v>
      </c>
    </row>
    <row r="22525" spans="1:3" s="8" customFormat="1" x14ac:dyDescent="0.2">
      <c r="A22525" s="6" t="str">
        <f>"OCLN"</f>
        <v>OCLN</v>
      </c>
      <c r="B22525" s="6" t="s">
        <v>1</v>
      </c>
      <c r="C22525" s="6" t="s">
        <v>1</v>
      </c>
    </row>
    <row r="22526" spans="1:3" s="8" customFormat="1" x14ac:dyDescent="0.2">
      <c r="A22526" s="6" t="str">
        <f>"FKBP15"</f>
        <v>FKBP15</v>
      </c>
      <c r="B22526" s="6" t="s">
        <v>1</v>
      </c>
      <c r="C22526" s="6" t="s">
        <v>1</v>
      </c>
    </row>
    <row r="22527" spans="1:3" s="8" customFormat="1" x14ac:dyDescent="0.2">
      <c r="A22527" s="6" t="str">
        <f>"WNK2"</f>
        <v>WNK2</v>
      </c>
      <c r="B22527" s="6" t="s">
        <v>1</v>
      </c>
      <c r="C22527" s="6" t="s">
        <v>1</v>
      </c>
    </row>
    <row r="22528" spans="1:3" s="8" customFormat="1" x14ac:dyDescent="0.2">
      <c r="A22528" s="6" t="str">
        <f>"ATAD3A"</f>
        <v>ATAD3A</v>
      </c>
      <c r="B22528" s="6" t="s">
        <v>1</v>
      </c>
      <c r="C22528" s="6" t="s">
        <v>1</v>
      </c>
    </row>
    <row r="22529" spans="1:3" s="8" customFormat="1" x14ac:dyDescent="0.2">
      <c r="A22529" s="6" t="str">
        <f>"KLC1"</f>
        <v>KLC1</v>
      </c>
      <c r="B22529" s="6" t="s">
        <v>1</v>
      </c>
      <c r="C22529" s="6" t="s">
        <v>1</v>
      </c>
    </row>
    <row r="22530" spans="1:3" s="8" customFormat="1" x14ac:dyDescent="0.2">
      <c r="A22530" s="6" t="str">
        <f>"NPEPL1"</f>
        <v>NPEPL1</v>
      </c>
      <c r="B22530" s="6" t="s">
        <v>1</v>
      </c>
      <c r="C22530" s="6" t="s">
        <v>1</v>
      </c>
    </row>
    <row r="22531" spans="1:3" s="8" customFormat="1" x14ac:dyDescent="0.2">
      <c r="A22531" s="6" t="str">
        <f>"LETM1"</f>
        <v>LETM1</v>
      </c>
      <c r="B22531" s="6" t="s">
        <v>1</v>
      </c>
      <c r="C22531" s="6" t="s">
        <v>1</v>
      </c>
    </row>
    <row r="22532" spans="1:3" s="8" customFormat="1" x14ac:dyDescent="0.2">
      <c r="A22532" s="6" t="str">
        <f>"KCMF1"</f>
        <v>KCMF1</v>
      </c>
      <c r="B22532" s="6" t="s">
        <v>1</v>
      </c>
      <c r="C22532" s="6" t="s">
        <v>1</v>
      </c>
    </row>
    <row r="22533" spans="1:3" s="8" customFormat="1" x14ac:dyDescent="0.2">
      <c r="A22533" s="6" t="str">
        <f>"PACS2"</f>
        <v>PACS2</v>
      </c>
      <c r="B22533" s="6" t="s">
        <v>1</v>
      </c>
      <c r="C22533" s="6" t="s">
        <v>1</v>
      </c>
    </row>
    <row r="22534" spans="1:3" s="8" customFormat="1" x14ac:dyDescent="0.2">
      <c r="A22534" s="6" t="str">
        <f>"MED16"</f>
        <v>MED16</v>
      </c>
      <c r="B22534" s="6" t="s">
        <v>1</v>
      </c>
      <c r="C22534" s="6" t="s">
        <v>1</v>
      </c>
    </row>
    <row r="22535" spans="1:3" s="8" customFormat="1" x14ac:dyDescent="0.2">
      <c r="A22535" s="6" t="str">
        <f>"ASCC3"</f>
        <v>ASCC3</v>
      </c>
      <c r="B22535" s="6" t="s">
        <v>1</v>
      </c>
      <c r="C22535" s="6" t="s">
        <v>1</v>
      </c>
    </row>
    <row r="22536" spans="1:3" s="8" customFormat="1" x14ac:dyDescent="0.2">
      <c r="A22536" s="6" t="str">
        <f>"GALC"</f>
        <v>GALC</v>
      </c>
      <c r="B22536" s="6" t="s">
        <v>1</v>
      </c>
      <c r="C22536" s="6" t="s">
        <v>1</v>
      </c>
    </row>
    <row r="22537" spans="1:3" s="8" customFormat="1" x14ac:dyDescent="0.2">
      <c r="A22537" s="6" t="str">
        <f>"CREG1"</f>
        <v>CREG1</v>
      </c>
      <c r="B22537" s="6" t="s">
        <v>1</v>
      </c>
      <c r="C22537" s="6" t="s">
        <v>1</v>
      </c>
    </row>
    <row r="22538" spans="1:3" s="8" customFormat="1" x14ac:dyDescent="0.2">
      <c r="A22538" s="6" t="str">
        <f>"SRGAP3"</f>
        <v>SRGAP3</v>
      </c>
      <c r="B22538" s="6" t="s">
        <v>1</v>
      </c>
      <c r="C22538" s="6" t="s">
        <v>1</v>
      </c>
    </row>
    <row r="22539" spans="1:3" s="8" customFormat="1" x14ac:dyDescent="0.2">
      <c r="A22539" s="6" t="str">
        <f>"OXR1"</f>
        <v>OXR1</v>
      </c>
      <c r="B22539" s="6" t="s">
        <v>1</v>
      </c>
      <c r="C22539" s="6" t="s">
        <v>1</v>
      </c>
    </row>
    <row r="22540" spans="1:3" s="8" customFormat="1" x14ac:dyDescent="0.2">
      <c r="A22540" s="6" t="str">
        <f>"IDH3A"</f>
        <v>IDH3A</v>
      </c>
      <c r="B22540" s="6" t="s">
        <v>1</v>
      </c>
      <c r="C22540" s="6" t="s">
        <v>1</v>
      </c>
    </row>
    <row r="22541" spans="1:3" s="8" customFormat="1" x14ac:dyDescent="0.2">
      <c r="A22541" s="6" t="str">
        <f>"APRT"</f>
        <v>APRT</v>
      </c>
      <c r="B22541" s="6" t="s">
        <v>1</v>
      </c>
      <c r="C22541" s="6" t="s">
        <v>1</v>
      </c>
    </row>
    <row r="22542" spans="1:3" s="8" customFormat="1" x14ac:dyDescent="0.2">
      <c r="A22542" s="6" t="str">
        <f>"PRNP"</f>
        <v>PRNP</v>
      </c>
      <c r="B22542" s="6" t="s">
        <v>1</v>
      </c>
      <c r="C22542" s="6" t="s">
        <v>1</v>
      </c>
    </row>
    <row r="22543" spans="1:3" s="8" customFormat="1" x14ac:dyDescent="0.2">
      <c r="A22543" s="6" t="str">
        <f>"NDUFC2"</f>
        <v>NDUFC2</v>
      </c>
      <c r="B22543" s="6" t="s">
        <v>1</v>
      </c>
      <c r="C22543" s="6" t="s">
        <v>1</v>
      </c>
    </row>
    <row r="22544" spans="1:3" s="8" customFormat="1" x14ac:dyDescent="0.2">
      <c r="A22544" s="6" t="str">
        <f>"CYLD"</f>
        <v>CYLD</v>
      </c>
      <c r="B22544" s="6" t="s">
        <v>1</v>
      </c>
      <c r="C22544" s="6" t="s">
        <v>1</v>
      </c>
    </row>
    <row r="22545" spans="1:3" s="8" customFormat="1" x14ac:dyDescent="0.2">
      <c r="A22545" s="6" t="str">
        <f>"NOL7"</f>
        <v>NOL7</v>
      </c>
      <c r="B22545" s="6" t="s">
        <v>1</v>
      </c>
      <c r="C22545" s="6" t="s">
        <v>1</v>
      </c>
    </row>
    <row r="22546" spans="1:3" s="8" customFormat="1" x14ac:dyDescent="0.2">
      <c r="A22546" s="6" t="str">
        <f>"DERL1"</f>
        <v>DERL1</v>
      </c>
      <c r="B22546" s="6" t="s">
        <v>1</v>
      </c>
      <c r="C22546" s="6" t="s">
        <v>1</v>
      </c>
    </row>
    <row r="22547" spans="1:3" s="8" customFormat="1" x14ac:dyDescent="0.2">
      <c r="A22547" s="6" t="str">
        <f>"BRD3OS"</f>
        <v>BRD3OS</v>
      </c>
      <c r="B22547" s="6" t="s">
        <v>1</v>
      </c>
      <c r="C22547" s="6" t="s">
        <v>1</v>
      </c>
    </row>
    <row r="22548" spans="1:3" s="8" customFormat="1" x14ac:dyDescent="0.2">
      <c r="A22548" s="6" t="str">
        <f>"GABARAPL1"</f>
        <v>GABARAPL1</v>
      </c>
      <c r="B22548" s="6" t="s">
        <v>1</v>
      </c>
      <c r="C22548" s="6" t="s">
        <v>1</v>
      </c>
    </row>
    <row r="22549" spans="1:3" s="8" customFormat="1" x14ac:dyDescent="0.2">
      <c r="A22549" s="6" t="str">
        <f>"ZSCAN18"</f>
        <v>ZSCAN18</v>
      </c>
      <c r="B22549" s="6" t="s">
        <v>1</v>
      </c>
      <c r="C22549" s="6" t="s">
        <v>1</v>
      </c>
    </row>
    <row r="22550" spans="1:3" s="8" customFormat="1" x14ac:dyDescent="0.2">
      <c r="A22550" s="6" t="str">
        <f>"CRIM1"</f>
        <v>CRIM1</v>
      </c>
      <c r="B22550" s="6" t="s">
        <v>1</v>
      </c>
      <c r="C22550" s="6" t="s">
        <v>1</v>
      </c>
    </row>
    <row r="22551" spans="1:3" s="8" customFormat="1" x14ac:dyDescent="0.2">
      <c r="A22551" s="6" t="str">
        <f>"MYCBP2"</f>
        <v>MYCBP2</v>
      </c>
      <c r="B22551" s="6" t="s">
        <v>1</v>
      </c>
      <c r="C22551" s="6" t="s">
        <v>1</v>
      </c>
    </row>
    <row r="22552" spans="1:3" s="8" customFormat="1" x14ac:dyDescent="0.2">
      <c r="A22552" s="6" t="str">
        <f>"ZC3H4"</f>
        <v>ZC3H4</v>
      </c>
      <c r="B22552" s="6" t="s">
        <v>1</v>
      </c>
      <c r="C22552" s="6" t="s">
        <v>1</v>
      </c>
    </row>
    <row r="22553" spans="1:3" s="8" customFormat="1" x14ac:dyDescent="0.2">
      <c r="A22553" s="6" t="str">
        <f>"RNF114"</f>
        <v>RNF114</v>
      </c>
      <c r="B22553" s="6" t="s">
        <v>1</v>
      </c>
      <c r="C22553" s="6" t="s">
        <v>1</v>
      </c>
    </row>
    <row r="22554" spans="1:3" s="8" customFormat="1" x14ac:dyDescent="0.2">
      <c r="A22554" s="6" t="str">
        <f>"ADIPOR2"</f>
        <v>ADIPOR2</v>
      </c>
      <c r="B22554" s="6" t="s">
        <v>1</v>
      </c>
      <c r="C22554" s="6" t="s">
        <v>1</v>
      </c>
    </row>
    <row r="22555" spans="1:3" s="8" customFormat="1" x14ac:dyDescent="0.2">
      <c r="A22555" s="6" t="str">
        <f>"PAFAH1B2"</f>
        <v>PAFAH1B2</v>
      </c>
      <c r="B22555" s="6" t="s">
        <v>1</v>
      </c>
      <c r="C22555" s="6" t="s">
        <v>1</v>
      </c>
    </row>
    <row r="22556" spans="1:3" s="8" customFormat="1" x14ac:dyDescent="0.2">
      <c r="A22556" s="6" t="str">
        <f>"BAP1"</f>
        <v>BAP1</v>
      </c>
      <c r="B22556" s="6" t="s">
        <v>1</v>
      </c>
      <c r="C22556" s="6" t="s">
        <v>1</v>
      </c>
    </row>
    <row r="22557" spans="1:3" s="8" customFormat="1" x14ac:dyDescent="0.2">
      <c r="A22557" s="6" t="str">
        <f>"LMF2"</f>
        <v>LMF2</v>
      </c>
      <c r="B22557" s="6" t="s">
        <v>1</v>
      </c>
      <c r="C22557" s="6" t="s">
        <v>1</v>
      </c>
    </row>
    <row r="22558" spans="1:3" s="8" customFormat="1" x14ac:dyDescent="0.2">
      <c r="A22558" s="6" t="str">
        <f>"GIT1"</f>
        <v>GIT1</v>
      </c>
      <c r="B22558" s="6" t="s">
        <v>1</v>
      </c>
      <c r="C22558" s="6" t="s">
        <v>1</v>
      </c>
    </row>
    <row r="22559" spans="1:3" s="8" customFormat="1" x14ac:dyDescent="0.2">
      <c r="A22559" s="6" t="str">
        <f>"SMAGP"</f>
        <v>SMAGP</v>
      </c>
      <c r="B22559" s="6" t="s">
        <v>1</v>
      </c>
      <c r="C22559" s="6" t="s">
        <v>1</v>
      </c>
    </row>
    <row r="22560" spans="1:3" s="8" customFormat="1" x14ac:dyDescent="0.2">
      <c r="A22560" s="6" t="str">
        <f>"NDUFS6"</f>
        <v>NDUFS6</v>
      </c>
      <c r="B22560" s="6" t="s">
        <v>1</v>
      </c>
      <c r="C22560" s="6" t="s">
        <v>1</v>
      </c>
    </row>
    <row r="22561" spans="1:3" s="8" customFormat="1" x14ac:dyDescent="0.2">
      <c r="A22561" s="6" t="str">
        <f>"FANK1"</f>
        <v>FANK1</v>
      </c>
      <c r="B22561" s="6" t="s">
        <v>1</v>
      </c>
      <c r="C22561" s="6" t="s">
        <v>1</v>
      </c>
    </row>
    <row r="22562" spans="1:3" s="8" customFormat="1" x14ac:dyDescent="0.2">
      <c r="A22562" s="6" t="str">
        <f>"MAGEF1"</f>
        <v>MAGEF1</v>
      </c>
      <c r="B22562" s="6" t="s">
        <v>1</v>
      </c>
      <c r="C22562" s="6" t="s">
        <v>1</v>
      </c>
    </row>
    <row r="22563" spans="1:3" s="8" customFormat="1" x14ac:dyDescent="0.2">
      <c r="A22563" s="6" t="str">
        <f>"RNF115"</f>
        <v>RNF115</v>
      </c>
      <c r="B22563" s="6" t="s">
        <v>1</v>
      </c>
      <c r="C22563" s="6" t="s">
        <v>1</v>
      </c>
    </row>
    <row r="22564" spans="1:3" s="8" customFormat="1" x14ac:dyDescent="0.2">
      <c r="A22564" s="6" t="str">
        <f>"CHPF2"</f>
        <v>CHPF2</v>
      </c>
      <c r="B22564" s="6" t="s">
        <v>1</v>
      </c>
      <c r="C22564" s="6" t="s">
        <v>1</v>
      </c>
    </row>
    <row r="22565" spans="1:3" s="8" customFormat="1" x14ac:dyDescent="0.2">
      <c r="A22565" s="6" t="str">
        <f>"BRI3"</f>
        <v>BRI3</v>
      </c>
      <c r="B22565" s="6" t="s">
        <v>1</v>
      </c>
      <c r="C22565" s="6" t="s">
        <v>1</v>
      </c>
    </row>
    <row r="22566" spans="1:3" s="8" customFormat="1" x14ac:dyDescent="0.2">
      <c r="A22566" s="6" t="str">
        <f>"WRNIP1"</f>
        <v>WRNIP1</v>
      </c>
      <c r="B22566" s="6" t="s">
        <v>1</v>
      </c>
      <c r="C22566" s="6" t="s">
        <v>1</v>
      </c>
    </row>
    <row r="22567" spans="1:3" s="8" customFormat="1" x14ac:dyDescent="0.2">
      <c r="A22567" s="6" t="str">
        <f>"NOTCH3"</f>
        <v>NOTCH3</v>
      </c>
      <c r="B22567" s="6" t="s">
        <v>1</v>
      </c>
      <c r="C22567" s="6" t="s">
        <v>1</v>
      </c>
    </row>
    <row r="22568" spans="1:3" s="8" customFormat="1" x14ac:dyDescent="0.2">
      <c r="A22568" s="6" t="str">
        <f>"TMX2"</f>
        <v>TMX2</v>
      </c>
      <c r="B22568" s="6" t="s">
        <v>1</v>
      </c>
      <c r="C22568" s="6" t="s">
        <v>1</v>
      </c>
    </row>
    <row r="22569" spans="1:3" s="8" customFormat="1" x14ac:dyDescent="0.2">
      <c r="A22569" s="6" t="str">
        <f>"SUB1"</f>
        <v>SUB1</v>
      </c>
      <c r="B22569" s="6" t="s">
        <v>1</v>
      </c>
      <c r="C22569" s="6" t="s">
        <v>1</v>
      </c>
    </row>
    <row r="22570" spans="1:3" s="8" customFormat="1" x14ac:dyDescent="0.2">
      <c r="A22570" s="6" t="str">
        <f>"PTPN6"</f>
        <v>PTPN6</v>
      </c>
      <c r="B22570" s="6" t="s">
        <v>1</v>
      </c>
      <c r="C22570" s="6" t="s">
        <v>1</v>
      </c>
    </row>
    <row r="22571" spans="1:3" s="8" customFormat="1" x14ac:dyDescent="0.2">
      <c r="A22571" s="6" t="str">
        <f>"ZC3H13"</f>
        <v>ZC3H13</v>
      </c>
      <c r="B22571" s="6" t="s">
        <v>1</v>
      </c>
      <c r="C22571" s="6" t="s">
        <v>1</v>
      </c>
    </row>
    <row r="22572" spans="1:3" s="8" customFormat="1" x14ac:dyDescent="0.2">
      <c r="A22572" s="6" t="str">
        <f>"GRIPAP1"</f>
        <v>GRIPAP1</v>
      </c>
      <c r="B22572" s="6" t="s">
        <v>1</v>
      </c>
      <c r="C22572" s="6" t="s">
        <v>1</v>
      </c>
    </row>
    <row r="22573" spans="1:3" s="8" customFormat="1" x14ac:dyDescent="0.2">
      <c r="A22573" s="6" t="str">
        <f>"NDUFS5"</f>
        <v>NDUFS5</v>
      </c>
      <c r="B22573" s="6" t="s">
        <v>1</v>
      </c>
      <c r="C22573" s="6" t="s">
        <v>1</v>
      </c>
    </row>
    <row r="22574" spans="1:3" s="8" customFormat="1" x14ac:dyDescent="0.2">
      <c r="A22574" s="6" t="str">
        <f>"INTS3"</f>
        <v>INTS3</v>
      </c>
      <c r="B22574" s="6" t="s">
        <v>1</v>
      </c>
      <c r="C22574" s="6" t="s">
        <v>1</v>
      </c>
    </row>
    <row r="22575" spans="1:3" s="8" customFormat="1" x14ac:dyDescent="0.2">
      <c r="A22575" s="6" t="str">
        <f>"NDUFA11"</f>
        <v>NDUFA11</v>
      </c>
      <c r="B22575" s="6" t="s">
        <v>1</v>
      </c>
      <c r="C22575" s="6" t="s">
        <v>1</v>
      </c>
    </row>
    <row r="22576" spans="1:3" s="8" customFormat="1" x14ac:dyDescent="0.2">
      <c r="A22576" s="6" t="str">
        <f>"BST2"</f>
        <v>BST2</v>
      </c>
      <c r="B22576" s="6" t="s">
        <v>1</v>
      </c>
      <c r="C22576" s="6" t="s">
        <v>1</v>
      </c>
    </row>
    <row r="22577" spans="1:3" s="8" customFormat="1" x14ac:dyDescent="0.2">
      <c r="A22577" s="6" t="str">
        <f>"OTUD7B"</f>
        <v>OTUD7B</v>
      </c>
      <c r="B22577" s="6" t="s">
        <v>1</v>
      </c>
      <c r="C22577" s="6" t="s">
        <v>1</v>
      </c>
    </row>
    <row r="22578" spans="1:3" s="8" customFormat="1" x14ac:dyDescent="0.2">
      <c r="A22578" s="6" t="str">
        <f>"DNAJB11"</f>
        <v>DNAJB11</v>
      </c>
      <c r="B22578" s="6" t="s">
        <v>1</v>
      </c>
      <c r="C22578" s="6" t="s">
        <v>1</v>
      </c>
    </row>
    <row r="22579" spans="1:3" s="8" customFormat="1" x14ac:dyDescent="0.2">
      <c r="A22579" s="6" t="str">
        <f>"PHTF1"</f>
        <v>PHTF1</v>
      </c>
      <c r="B22579" s="6" t="s">
        <v>1</v>
      </c>
      <c r="C22579" s="6" t="s">
        <v>1</v>
      </c>
    </row>
    <row r="22580" spans="1:3" s="8" customFormat="1" x14ac:dyDescent="0.2">
      <c r="A22580" s="6" t="str">
        <f>"OAS3"</f>
        <v>OAS3</v>
      </c>
      <c r="B22580" s="6" t="s">
        <v>1</v>
      </c>
      <c r="C22580" s="6" t="s">
        <v>1</v>
      </c>
    </row>
    <row r="22581" spans="1:3" s="8" customFormat="1" x14ac:dyDescent="0.2">
      <c r="A22581" s="6" t="str">
        <f>"SELENOS"</f>
        <v>SELENOS</v>
      </c>
      <c r="B22581" s="6" t="s">
        <v>1</v>
      </c>
      <c r="C22581" s="6" t="s">
        <v>1</v>
      </c>
    </row>
    <row r="22582" spans="1:3" s="8" customFormat="1" x14ac:dyDescent="0.2">
      <c r="A22582" s="6" t="str">
        <f>"EMP1"</f>
        <v>EMP1</v>
      </c>
      <c r="B22582" s="6" t="s">
        <v>1</v>
      </c>
      <c r="C22582" s="6" t="s">
        <v>1</v>
      </c>
    </row>
    <row r="22583" spans="1:3" s="8" customFormat="1" x14ac:dyDescent="0.2">
      <c r="A22583" s="6" t="str">
        <f>"MADD"</f>
        <v>MADD</v>
      </c>
      <c r="B22583" s="6" t="s">
        <v>1</v>
      </c>
      <c r="C22583" s="6" t="s">
        <v>1</v>
      </c>
    </row>
    <row r="22584" spans="1:3" s="8" customFormat="1" x14ac:dyDescent="0.2">
      <c r="A22584" s="6" t="str">
        <f>"PCDHGC3"</f>
        <v>PCDHGC3</v>
      </c>
      <c r="B22584" s="6" t="s">
        <v>1</v>
      </c>
      <c r="C22584" s="6" t="s">
        <v>1</v>
      </c>
    </row>
    <row r="22585" spans="1:3" s="8" customFormat="1" x14ac:dyDescent="0.2">
      <c r="A22585" s="6" t="str">
        <f>"APMAP"</f>
        <v>APMAP</v>
      </c>
      <c r="B22585" s="6" t="s">
        <v>1</v>
      </c>
      <c r="C22585" s="6" t="s">
        <v>1</v>
      </c>
    </row>
    <row r="22586" spans="1:3" s="8" customFormat="1" x14ac:dyDescent="0.2">
      <c r="A22586" s="6" t="str">
        <f>"SHC1"</f>
        <v>SHC1</v>
      </c>
      <c r="B22586" s="6" t="s">
        <v>1</v>
      </c>
      <c r="C22586" s="6" t="s">
        <v>1</v>
      </c>
    </row>
    <row r="22587" spans="1:3" s="8" customFormat="1" x14ac:dyDescent="0.2">
      <c r="A22587" s="6" t="str">
        <f>"BAG5"</f>
        <v>BAG5</v>
      </c>
      <c r="B22587" s="6" t="s">
        <v>1</v>
      </c>
      <c r="C22587" s="6" t="s">
        <v>1</v>
      </c>
    </row>
    <row r="22588" spans="1:3" s="8" customFormat="1" x14ac:dyDescent="0.2">
      <c r="A22588" s="6" t="str">
        <f>"LDB1"</f>
        <v>LDB1</v>
      </c>
      <c r="B22588" s="6" t="s">
        <v>1</v>
      </c>
      <c r="C22588" s="6" t="s">
        <v>1</v>
      </c>
    </row>
    <row r="22589" spans="1:3" s="8" customFormat="1" x14ac:dyDescent="0.2">
      <c r="A22589" s="6" t="str">
        <f>"PRMT5"</f>
        <v>PRMT5</v>
      </c>
      <c r="B22589" s="6" t="s">
        <v>1</v>
      </c>
      <c r="C22589" s="6" t="s">
        <v>1</v>
      </c>
    </row>
    <row r="22590" spans="1:3" s="8" customFormat="1" x14ac:dyDescent="0.2">
      <c r="A22590" s="6" t="str">
        <f>"SLC2A10"</f>
        <v>SLC2A10</v>
      </c>
      <c r="B22590" s="6" t="s">
        <v>1</v>
      </c>
      <c r="C22590" s="6" t="s">
        <v>1</v>
      </c>
    </row>
    <row r="22591" spans="1:3" s="8" customFormat="1" x14ac:dyDescent="0.2">
      <c r="A22591" s="6" t="str">
        <f>"KATNB1"</f>
        <v>KATNB1</v>
      </c>
      <c r="B22591" s="6" t="s">
        <v>1</v>
      </c>
      <c r="C22591" s="6" t="s">
        <v>1</v>
      </c>
    </row>
    <row r="22592" spans="1:3" s="8" customFormat="1" x14ac:dyDescent="0.2">
      <c r="A22592" s="6" t="str">
        <f>"C2CD2L"</f>
        <v>C2CD2L</v>
      </c>
      <c r="B22592" s="6" t="s">
        <v>1</v>
      </c>
      <c r="C22592" s="6" t="s">
        <v>1</v>
      </c>
    </row>
    <row r="22593" spans="1:3" s="8" customFormat="1" x14ac:dyDescent="0.2">
      <c r="A22593" s="6" t="str">
        <f>"RETREG3"</f>
        <v>RETREG3</v>
      </c>
      <c r="B22593" s="6" t="s">
        <v>1</v>
      </c>
      <c r="C22593" s="6" t="s">
        <v>1</v>
      </c>
    </row>
    <row r="22594" spans="1:3" s="8" customFormat="1" x14ac:dyDescent="0.2">
      <c r="A22594" s="6" t="str">
        <f>"GLOD4"</f>
        <v>GLOD4</v>
      </c>
      <c r="B22594" s="6" t="s">
        <v>1</v>
      </c>
      <c r="C22594" s="6" t="s">
        <v>1</v>
      </c>
    </row>
    <row r="22595" spans="1:3" s="8" customFormat="1" x14ac:dyDescent="0.2">
      <c r="A22595" s="6" t="str">
        <f>"CHURC1"</f>
        <v>CHURC1</v>
      </c>
      <c r="B22595" s="6" t="s">
        <v>1</v>
      </c>
      <c r="C22595" s="6" t="s">
        <v>1</v>
      </c>
    </row>
    <row r="22596" spans="1:3" s="8" customFormat="1" x14ac:dyDescent="0.2">
      <c r="A22596" s="6" t="str">
        <f>"WTAP"</f>
        <v>WTAP</v>
      </c>
      <c r="B22596" s="6" t="s">
        <v>1</v>
      </c>
      <c r="C22596" s="6" t="s">
        <v>1</v>
      </c>
    </row>
    <row r="22597" spans="1:3" s="8" customFormat="1" x14ac:dyDescent="0.2">
      <c r="A22597" s="6" t="str">
        <f>"CYP2B6"</f>
        <v>CYP2B6</v>
      </c>
      <c r="B22597" s="6" t="s">
        <v>1</v>
      </c>
      <c r="C22597" s="6" t="s">
        <v>1</v>
      </c>
    </row>
    <row r="22598" spans="1:3" s="8" customFormat="1" x14ac:dyDescent="0.2">
      <c r="A22598" s="6" t="str">
        <f>"SUGP2"</f>
        <v>SUGP2</v>
      </c>
      <c r="B22598" s="6" t="s">
        <v>1</v>
      </c>
      <c r="C22598" s="6" t="s">
        <v>1</v>
      </c>
    </row>
    <row r="22599" spans="1:3" s="8" customFormat="1" x14ac:dyDescent="0.2">
      <c r="A22599" s="6" t="str">
        <f>"COASY"</f>
        <v>COASY</v>
      </c>
      <c r="B22599" s="6" t="s">
        <v>1</v>
      </c>
      <c r="C22599" s="6" t="s">
        <v>1</v>
      </c>
    </row>
    <row r="22600" spans="1:3" s="8" customFormat="1" x14ac:dyDescent="0.2">
      <c r="A22600" s="6" t="str">
        <f>"BAZ2B"</f>
        <v>BAZ2B</v>
      </c>
      <c r="B22600" s="6" t="s">
        <v>1</v>
      </c>
      <c r="C22600" s="6" t="s">
        <v>1</v>
      </c>
    </row>
    <row r="22601" spans="1:3" s="8" customFormat="1" x14ac:dyDescent="0.2">
      <c r="A22601" s="6" t="str">
        <f>"SUDS3"</f>
        <v>SUDS3</v>
      </c>
      <c r="B22601" s="6" t="s">
        <v>1</v>
      </c>
      <c r="C22601" s="6" t="s">
        <v>1</v>
      </c>
    </row>
    <row r="22602" spans="1:3" s="8" customFormat="1" x14ac:dyDescent="0.2">
      <c r="A22602" s="6" t="str">
        <f>"GABARAPL2"</f>
        <v>GABARAPL2</v>
      </c>
      <c r="B22602" s="6" t="s">
        <v>1</v>
      </c>
      <c r="C22602" s="6" t="s">
        <v>1</v>
      </c>
    </row>
    <row r="22603" spans="1:3" s="8" customFormat="1" x14ac:dyDescent="0.2">
      <c r="A22603" s="6" t="str">
        <f>"MYDGF"</f>
        <v>MYDGF</v>
      </c>
      <c r="B22603" s="6" t="s">
        <v>1</v>
      </c>
      <c r="C22603" s="6" t="s">
        <v>1</v>
      </c>
    </row>
    <row r="22604" spans="1:3" s="8" customFormat="1" x14ac:dyDescent="0.2">
      <c r="A22604" s="6" t="str">
        <f>"FBL"</f>
        <v>FBL</v>
      </c>
      <c r="B22604" s="6" t="s">
        <v>1</v>
      </c>
      <c r="C22604" s="6" t="s">
        <v>1</v>
      </c>
    </row>
    <row r="22605" spans="1:3" s="8" customFormat="1" x14ac:dyDescent="0.2">
      <c r="A22605" s="6" t="str">
        <f>"MAF1"</f>
        <v>MAF1</v>
      </c>
      <c r="B22605" s="6" t="s">
        <v>1</v>
      </c>
      <c r="C22605" s="6" t="s">
        <v>1</v>
      </c>
    </row>
    <row r="22606" spans="1:3" s="8" customFormat="1" x14ac:dyDescent="0.2">
      <c r="A22606" s="6" t="str">
        <f>"BTBD2"</f>
        <v>BTBD2</v>
      </c>
      <c r="B22606" s="6" t="s">
        <v>1</v>
      </c>
      <c r="C22606" s="6" t="s">
        <v>1</v>
      </c>
    </row>
    <row r="22607" spans="1:3" s="8" customFormat="1" x14ac:dyDescent="0.2">
      <c r="A22607" s="6" t="str">
        <f>"SELENOH"</f>
        <v>SELENOH</v>
      </c>
      <c r="B22607" s="6" t="s">
        <v>1</v>
      </c>
      <c r="C22607" s="6" t="s">
        <v>1</v>
      </c>
    </row>
    <row r="22608" spans="1:3" s="8" customFormat="1" x14ac:dyDescent="0.2">
      <c r="A22608" s="6" t="str">
        <f>"CYFIP2"</f>
        <v>CYFIP2</v>
      </c>
      <c r="B22608" s="6" t="s">
        <v>1</v>
      </c>
      <c r="C22608" s="6" t="s">
        <v>1</v>
      </c>
    </row>
    <row r="22609" spans="1:3" s="8" customFormat="1" x14ac:dyDescent="0.2">
      <c r="A22609" s="6" t="str">
        <f>"CARMIL1"</f>
        <v>CARMIL1</v>
      </c>
      <c r="B22609" s="6" t="s">
        <v>1</v>
      </c>
      <c r="C22609" s="6" t="s">
        <v>1</v>
      </c>
    </row>
    <row r="22610" spans="1:3" s="8" customFormat="1" x14ac:dyDescent="0.2">
      <c r="A22610" s="6" t="str">
        <f>"CCND3"</f>
        <v>CCND3</v>
      </c>
      <c r="B22610" s="6" t="s">
        <v>1</v>
      </c>
      <c r="C22610" s="6" t="s">
        <v>1</v>
      </c>
    </row>
    <row r="22611" spans="1:3" s="8" customFormat="1" x14ac:dyDescent="0.2">
      <c r="A22611" s="6" t="str">
        <f>"MSL1"</f>
        <v>MSL1</v>
      </c>
      <c r="B22611" s="6" t="s">
        <v>1</v>
      </c>
      <c r="C22611" s="6" t="s">
        <v>1</v>
      </c>
    </row>
    <row r="22612" spans="1:3" s="8" customFormat="1" x14ac:dyDescent="0.2">
      <c r="A22612" s="6" t="str">
        <f>"LZTS3"</f>
        <v>LZTS3</v>
      </c>
      <c r="B22612" s="6" t="s">
        <v>1</v>
      </c>
      <c r="C22612" s="6" t="s">
        <v>1</v>
      </c>
    </row>
    <row r="22613" spans="1:3" s="8" customFormat="1" x14ac:dyDescent="0.2">
      <c r="A22613" s="6" t="str">
        <f>"COBL"</f>
        <v>COBL</v>
      </c>
      <c r="B22613" s="6" t="s">
        <v>1</v>
      </c>
      <c r="C22613" s="6" t="s">
        <v>1</v>
      </c>
    </row>
    <row r="22614" spans="1:3" s="8" customFormat="1" x14ac:dyDescent="0.2">
      <c r="A22614" s="6" t="str">
        <f>"ADH5"</f>
        <v>ADH5</v>
      </c>
      <c r="B22614" s="6" t="s">
        <v>1</v>
      </c>
      <c r="C22614" s="6" t="s">
        <v>1</v>
      </c>
    </row>
    <row r="22615" spans="1:3" s="8" customFormat="1" x14ac:dyDescent="0.2">
      <c r="A22615" s="6" t="str">
        <f>"UCKL1-AS1"</f>
        <v>UCKL1-AS1</v>
      </c>
      <c r="B22615" s="6" t="s">
        <v>1</v>
      </c>
      <c r="C22615" s="6" t="s">
        <v>1</v>
      </c>
    </row>
    <row r="22616" spans="1:3" s="8" customFormat="1" x14ac:dyDescent="0.2">
      <c r="A22616" s="6" t="str">
        <f>"KAT5"</f>
        <v>KAT5</v>
      </c>
      <c r="B22616" s="6" t="s">
        <v>1</v>
      </c>
      <c r="C22616" s="6" t="s">
        <v>1</v>
      </c>
    </row>
    <row r="22617" spans="1:3" s="8" customFormat="1" x14ac:dyDescent="0.2">
      <c r="A22617" s="6" t="str">
        <f>"ENTPD6"</f>
        <v>ENTPD6</v>
      </c>
      <c r="B22617" s="6" t="s">
        <v>1</v>
      </c>
      <c r="C22617" s="6" t="s">
        <v>1</v>
      </c>
    </row>
    <row r="22618" spans="1:3" s="8" customFormat="1" x14ac:dyDescent="0.2">
      <c r="A22618" s="6" t="str">
        <f>"EXOC3"</f>
        <v>EXOC3</v>
      </c>
      <c r="B22618" s="6" t="s">
        <v>1</v>
      </c>
      <c r="C22618" s="6" t="s">
        <v>1</v>
      </c>
    </row>
    <row r="22619" spans="1:3" s="8" customFormat="1" x14ac:dyDescent="0.2">
      <c r="A22619" s="6" t="str">
        <f>"PHKB"</f>
        <v>PHKB</v>
      </c>
      <c r="B22619" s="6" t="s">
        <v>1</v>
      </c>
      <c r="C22619" s="6" t="s">
        <v>1</v>
      </c>
    </row>
    <row r="22620" spans="1:3" s="8" customFormat="1" x14ac:dyDescent="0.2">
      <c r="A22620" s="6" t="str">
        <f>"DOCK1"</f>
        <v>DOCK1</v>
      </c>
      <c r="B22620" s="6" t="s">
        <v>1</v>
      </c>
      <c r="C22620" s="6" t="s">
        <v>1</v>
      </c>
    </row>
    <row r="22621" spans="1:3" s="8" customFormat="1" x14ac:dyDescent="0.2">
      <c r="A22621" s="6" t="str">
        <f>"DENND11"</f>
        <v>DENND11</v>
      </c>
      <c r="B22621" s="6" t="s">
        <v>1</v>
      </c>
      <c r="C22621" s="6" t="s">
        <v>1</v>
      </c>
    </row>
    <row r="22622" spans="1:3" s="8" customFormat="1" x14ac:dyDescent="0.2">
      <c r="A22622" s="6" t="str">
        <f>"NOTCH1"</f>
        <v>NOTCH1</v>
      </c>
      <c r="B22622" s="6" t="s">
        <v>1</v>
      </c>
      <c r="C22622" s="6" t="s">
        <v>1</v>
      </c>
    </row>
    <row r="22623" spans="1:3" s="8" customFormat="1" x14ac:dyDescent="0.2">
      <c r="A22623" s="6" t="str">
        <f>"RNF13"</f>
        <v>RNF13</v>
      </c>
      <c r="B22623" s="6" t="s">
        <v>1</v>
      </c>
      <c r="C22623" s="6" t="s">
        <v>1</v>
      </c>
    </row>
    <row r="22624" spans="1:3" s="8" customFormat="1" x14ac:dyDescent="0.2">
      <c r="A22624" s="6" t="str">
        <f>"GPX2"</f>
        <v>GPX2</v>
      </c>
      <c r="B22624" s="6" t="s">
        <v>1</v>
      </c>
      <c r="C22624" s="6" t="s">
        <v>1</v>
      </c>
    </row>
    <row r="22625" spans="1:3" s="8" customFormat="1" x14ac:dyDescent="0.2">
      <c r="A22625" s="6" t="str">
        <f>"VEGFA"</f>
        <v>VEGFA</v>
      </c>
      <c r="B22625" s="6" t="s">
        <v>1</v>
      </c>
      <c r="C22625" s="6" t="s">
        <v>1</v>
      </c>
    </row>
    <row r="22626" spans="1:3" s="8" customFormat="1" x14ac:dyDescent="0.2">
      <c r="A22626" s="6" t="str">
        <f>"AC106886.5"</f>
        <v>AC106886.5</v>
      </c>
      <c r="B22626" s="6" t="s">
        <v>1</v>
      </c>
      <c r="C22626" s="6" t="s">
        <v>1</v>
      </c>
    </row>
    <row r="22627" spans="1:3" s="8" customFormat="1" x14ac:dyDescent="0.2">
      <c r="A22627" s="6" t="str">
        <f>"FZD6"</f>
        <v>FZD6</v>
      </c>
      <c r="B22627" s="6" t="s">
        <v>1</v>
      </c>
      <c r="C22627" s="6" t="s">
        <v>1</v>
      </c>
    </row>
    <row r="22628" spans="1:3" s="8" customFormat="1" x14ac:dyDescent="0.2">
      <c r="A22628" s="6" t="str">
        <f>"RPRD2"</f>
        <v>RPRD2</v>
      </c>
      <c r="B22628" s="6" t="s">
        <v>1</v>
      </c>
      <c r="C22628" s="6" t="s">
        <v>1</v>
      </c>
    </row>
    <row r="22629" spans="1:3" s="8" customFormat="1" x14ac:dyDescent="0.2">
      <c r="A22629" s="6" t="str">
        <f>"GLB1"</f>
        <v>GLB1</v>
      </c>
      <c r="B22629" s="6" t="s">
        <v>1</v>
      </c>
      <c r="C22629" s="6" t="s">
        <v>1</v>
      </c>
    </row>
    <row r="22630" spans="1:3" s="8" customFormat="1" x14ac:dyDescent="0.2">
      <c r="A22630" s="6" t="str">
        <f>"CRK"</f>
        <v>CRK</v>
      </c>
      <c r="B22630" s="6" t="s">
        <v>1</v>
      </c>
      <c r="C22630" s="6" t="s">
        <v>1</v>
      </c>
    </row>
    <row r="22631" spans="1:3" s="8" customFormat="1" x14ac:dyDescent="0.2">
      <c r="A22631" s="6" t="str">
        <f>"LRATD2"</f>
        <v>LRATD2</v>
      </c>
      <c r="B22631" s="6" t="s">
        <v>1</v>
      </c>
      <c r="C22631" s="6" t="s">
        <v>1</v>
      </c>
    </row>
    <row r="22632" spans="1:3" s="8" customFormat="1" x14ac:dyDescent="0.2">
      <c r="A22632" s="6" t="str">
        <f>"CNTRL"</f>
        <v>CNTRL</v>
      </c>
      <c r="B22632" s="6" t="s">
        <v>1</v>
      </c>
      <c r="C22632" s="6" t="s">
        <v>1</v>
      </c>
    </row>
    <row r="22633" spans="1:3" s="8" customFormat="1" x14ac:dyDescent="0.2">
      <c r="A22633" s="6" t="str">
        <f>"PRKD2"</f>
        <v>PRKD2</v>
      </c>
      <c r="B22633" s="6" t="s">
        <v>1</v>
      </c>
      <c r="C22633" s="6" t="s">
        <v>1</v>
      </c>
    </row>
    <row r="22634" spans="1:3" s="8" customFormat="1" x14ac:dyDescent="0.2">
      <c r="A22634" s="6" t="str">
        <f>"SELENOT"</f>
        <v>SELENOT</v>
      </c>
      <c r="B22634" s="6" t="s">
        <v>1</v>
      </c>
      <c r="C22634" s="6" t="s">
        <v>1</v>
      </c>
    </row>
    <row r="22635" spans="1:3" s="8" customFormat="1" x14ac:dyDescent="0.2">
      <c r="A22635" s="6" t="str">
        <f>"PRMT1"</f>
        <v>PRMT1</v>
      </c>
      <c r="B22635" s="6" t="s">
        <v>1</v>
      </c>
      <c r="C22635" s="6" t="s">
        <v>1</v>
      </c>
    </row>
    <row r="22636" spans="1:3" s="8" customFormat="1" x14ac:dyDescent="0.2">
      <c r="A22636" s="6" t="str">
        <f>"BRPF3"</f>
        <v>BRPF3</v>
      </c>
      <c r="B22636" s="6" t="s">
        <v>1</v>
      </c>
      <c r="C22636" s="6" t="s">
        <v>1</v>
      </c>
    </row>
    <row r="22637" spans="1:3" s="8" customFormat="1" x14ac:dyDescent="0.2">
      <c r="A22637" s="6" t="str">
        <f>"CAPZA2"</f>
        <v>CAPZA2</v>
      </c>
      <c r="B22637" s="6" t="s">
        <v>1</v>
      </c>
      <c r="C22637" s="6" t="s">
        <v>1</v>
      </c>
    </row>
    <row r="22638" spans="1:3" s="8" customFormat="1" x14ac:dyDescent="0.2">
      <c r="A22638" s="6" t="str">
        <f>"CCNK"</f>
        <v>CCNK</v>
      </c>
      <c r="B22638" s="6" t="s">
        <v>1</v>
      </c>
      <c r="C22638" s="6" t="s">
        <v>1</v>
      </c>
    </row>
    <row r="22639" spans="1:3" s="8" customFormat="1" x14ac:dyDescent="0.2">
      <c r="A22639" s="6" t="str">
        <f>"SMARCB1"</f>
        <v>SMARCB1</v>
      </c>
      <c r="B22639" s="6" t="s">
        <v>1</v>
      </c>
      <c r="C22639" s="6" t="s">
        <v>1</v>
      </c>
    </row>
    <row r="22640" spans="1:3" s="8" customFormat="1" x14ac:dyDescent="0.2">
      <c r="A22640" s="6" t="str">
        <f>"C2CD3"</f>
        <v>C2CD3</v>
      </c>
      <c r="B22640" s="6" t="s">
        <v>1</v>
      </c>
      <c r="C22640" s="6" t="s">
        <v>1</v>
      </c>
    </row>
    <row r="22641" spans="1:3" s="8" customFormat="1" x14ac:dyDescent="0.2">
      <c r="A22641" s="6" t="str">
        <f>"MYO1F"</f>
        <v>MYO1F</v>
      </c>
      <c r="B22641" s="6" t="s">
        <v>1</v>
      </c>
      <c r="C22641" s="6" t="s">
        <v>1</v>
      </c>
    </row>
    <row r="22642" spans="1:3" s="8" customFormat="1" x14ac:dyDescent="0.2">
      <c r="A22642" s="6" t="str">
        <f>"SLU7"</f>
        <v>SLU7</v>
      </c>
      <c r="B22642" s="6" t="s">
        <v>1</v>
      </c>
      <c r="C22642" s="6" t="s">
        <v>1</v>
      </c>
    </row>
    <row r="22643" spans="1:3" s="8" customFormat="1" x14ac:dyDescent="0.2">
      <c r="A22643" s="6" t="str">
        <f>"TTC7A"</f>
        <v>TTC7A</v>
      </c>
      <c r="B22643" s="6" t="s">
        <v>1</v>
      </c>
      <c r="C22643" s="6" t="s">
        <v>1</v>
      </c>
    </row>
    <row r="22644" spans="1:3" s="8" customFormat="1" x14ac:dyDescent="0.2">
      <c r="A22644" s="6" t="str">
        <f>"LYPLA2"</f>
        <v>LYPLA2</v>
      </c>
      <c r="B22644" s="6" t="s">
        <v>1</v>
      </c>
      <c r="C22644" s="6" t="s">
        <v>1</v>
      </c>
    </row>
    <row r="22645" spans="1:3" s="8" customFormat="1" x14ac:dyDescent="0.2">
      <c r="A22645" s="6" t="str">
        <f>"INTS11"</f>
        <v>INTS11</v>
      </c>
      <c r="B22645" s="6" t="s">
        <v>1</v>
      </c>
      <c r="C22645" s="6" t="s">
        <v>1</v>
      </c>
    </row>
    <row r="22646" spans="1:3" s="8" customFormat="1" x14ac:dyDescent="0.2">
      <c r="A22646" s="6" t="str">
        <f>"GPX3"</f>
        <v>GPX3</v>
      </c>
      <c r="B22646" s="6" t="s">
        <v>1</v>
      </c>
      <c r="C22646" s="6" t="s">
        <v>1</v>
      </c>
    </row>
    <row r="22647" spans="1:3" s="8" customFormat="1" x14ac:dyDescent="0.2">
      <c r="A22647" s="6" t="str">
        <f>"C2orf81"</f>
        <v>C2orf81</v>
      </c>
      <c r="B22647" s="6" t="s">
        <v>1</v>
      </c>
      <c r="C22647" s="6" t="s">
        <v>1</v>
      </c>
    </row>
    <row r="22648" spans="1:3" s="8" customFormat="1" x14ac:dyDescent="0.2">
      <c r="A22648" s="6" t="str">
        <f>"SLURP2"</f>
        <v>SLURP2</v>
      </c>
      <c r="B22648" s="6" t="s">
        <v>1</v>
      </c>
      <c r="C22648" s="6" t="s">
        <v>1</v>
      </c>
    </row>
    <row r="22649" spans="1:3" s="8" customFormat="1" x14ac:dyDescent="0.2">
      <c r="A22649" s="6" t="str">
        <f>"MIPEP"</f>
        <v>MIPEP</v>
      </c>
      <c r="B22649" s="6" t="s">
        <v>1</v>
      </c>
      <c r="C22649" s="6" t="s">
        <v>1</v>
      </c>
    </row>
    <row r="22650" spans="1:3" s="8" customFormat="1" x14ac:dyDescent="0.2">
      <c r="A22650" s="6" t="str">
        <f>"DNMT1"</f>
        <v>DNMT1</v>
      </c>
      <c r="B22650" s="6" t="s">
        <v>1</v>
      </c>
      <c r="C22650" s="6" t="s">
        <v>1</v>
      </c>
    </row>
    <row r="22651" spans="1:3" s="8" customFormat="1" x14ac:dyDescent="0.2">
      <c r="A22651" s="6" t="str">
        <f>"SRP72"</f>
        <v>SRP72</v>
      </c>
      <c r="B22651" s="6" t="s">
        <v>1</v>
      </c>
      <c r="C22651" s="6" t="s">
        <v>1</v>
      </c>
    </row>
    <row r="22652" spans="1:3" s="8" customFormat="1" x14ac:dyDescent="0.2">
      <c r="A22652" s="6" t="str">
        <f>"MAEA"</f>
        <v>MAEA</v>
      </c>
      <c r="B22652" s="6" t="s">
        <v>1</v>
      </c>
      <c r="C22652" s="6" t="s">
        <v>1</v>
      </c>
    </row>
    <row r="22653" spans="1:3" s="8" customFormat="1" x14ac:dyDescent="0.2">
      <c r="A22653" s="6" t="str">
        <f>"PPA1"</f>
        <v>PPA1</v>
      </c>
      <c r="B22653" s="6" t="s">
        <v>1</v>
      </c>
      <c r="C22653" s="6" t="s">
        <v>1</v>
      </c>
    </row>
    <row r="22654" spans="1:3" s="8" customFormat="1" x14ac:dyDescent="0.2">
      <c r="A22654" s="6" t="str">
        <f>"SNX29"</f>
        <v>SNX29</v>
      </c>
      <c r="B22654" s="6" t="s">
        <v>1</v>
      </c>
      <c r="C22654" s="6" t="s">
        <v>1</v>
      </c>
    </row>
    <row r="22655" spans="1:3" s="8" customFormat="1" x14ac:dyDescent="0.2">
      <c r="A22655" s="6" t="str">
        <f>"PAIP1"</f>
        <v>PAIP1</v>
      </c>
      <c r="B22655" s="6" t="s">
        <v>1</v>
      </c>
      <c r="C22655" s="6" t="s">
        <v>1</v>
      </c>
    </row>
    <row r="22656" spans="1:3" s="8" customFormat="1" x14ac:dyDescent="0.2">
      <c r="A22656" s="6" t="str">
        <f>"HBP1"</f>
        <v>HBP1</v>
      </c>
      <c r="B22656" s="6" t="s">
        <v>1</v>
      </c>
      <c r="C22656" s="6" t="s">
        <v>1</v>
      </c>
    </row>
    <row r="22657" spans="1:3" s="8" customFormat="1" x14ac:dyDescent="0.2">
      <c r="A22657" s="6" t="str">
        <f>"COG7"</f>
        <v>COG7</v>
      </c>
      <c r="B22657" s="6" t="s">
        <v>1</v>
      </c>
      <c r="C22657" s="6" t="s">
        <v>1</v>
      </c>
    </row>
    <row r="22658" spans="1:3" s="8" customFormat="1" x14ac:dyDescent="0.2">
      <c r="A22658" s="6" t="str">
        <f>"CCP110"</f>
        <v>CCP110</v>
      </c>
      <c r="B22658" s="6" t="s">
        <v>1</v>
      </c>
      <c r="C22658" s="6" t="s">
        <v>1</v>
      </c>
    </row>
    <row r="22659" spans="1:3" s="8" customFormat="1" x14ac:dyDescent="0.2">
      <c r="A22659" s="6" t="str">
        <f>"PSMB6"</f>
        <v>PSMB6</v>
      </c>
      <c r="B22659" s="6" t="s">
        <v>1</v>
      </c>
      <c r="C22659" s="6" t="s">
        <v>1</v>
      </c>
    </row>
    <row r="22660" spans="1:3" s="8" customFormat="1" x14ac:dyDescent="0.2">
      <c r="A22660" s="6" t="str">
        <f>"FKBP5"</f>
        <v>FKBP5</v>
      </c>
      <c r="B22660" s="6" t="s">
        <v>1</v>
      </c>
      <c r="C22660" s="6" t="s">
        <v>1</v>
      </c>
    </row>
    <row r="22661" spans="1:3" s="8" customFormat="1" x14ac:dyDescent="0.2">
      <c r="A22661" s="6" t="str">
        <f>"TREM1"</f>
        <v>TREM1</v>
      </c>
      <c r="B22661" s="6" t="s">
        <v>1</v>
      </c>
      <c r="C22661" s="6" t="s">
        <v>1</v>
      </c>
    </row>
    <row r="22662" spans="1:3" s="8" customFormat="1" x14ac:dyDescent="0.2">
      <c r="A22662" s="6" t="str">
        <f>"MLLT1"</f>
        <v>MLLT1</v>
      </c>
      <c r="B22662" s="6" t="s">
        <v>1</v>
      </c>
      <c r="C22662" s="6" t="s">
        <v>1</v>
      </c>
    </row>
    <row r="22663" spans="1:3" s="8" customFormat="1" x14ac:dyDescent="0.2">
      <c r="A22663" s="6" t="str">
        <f>"PPT1"</f>
        <v>PPT1</v>
      </c>
      <c r="B22663" s="6" t="s">
        <v>1</v>
      </c>
      <c r="C22663" s="6" t="s">
        <v>1</v>
      </c>
    </row>
    <row r="22664" spans="1:3" s="8" customFormat="1" x14ac:dyDescent="0.2">
      <c r="A22664" s="6" t="str">
        <f>"ECH1"</f>
        <v>ECH1</v>
      </c>
      <c r="B22664" s="6" t="s">
        <v>1</v>
      </c>
      <c r="C22664" s="6" t="s">
        <v>1</v>
      </c>
    </row>
    <row r="22665" spans="1:3" s="8" customFormat="1" x14ac:dyDescent="0.2">
      <c r="A22665" s="6" t="str">
        <f>"SEM1"</f>
        <v>SEM1</v>
      </c>
      <c r="B22665" s="6" t="s">
        <v>1</v>
      </c>
      <c r="C22665" s="6" t="s">
        <v>1</v>
      </c>
    </row>
    <row r="22666" spans="1:3" s="8" customFormat="1" x14ac:dyDescent="0.2">
      <c r="A22666" s="6" t="str">
        <f>"DDX46"</f>
        <v>DDX46</v>
      </c>
      <c r="B22666" s="6" t="s">
        <v>1</v>
      </c>
      <c r="C22666" s="6" t="s">
        <v>1</v>
      </c>
    </row>
    <row r="22667" spans="1:3" s="8" customFormat="1" x14ac:dyDescent="0.2">
      <c r="A22667" s="6" t="str">
        <f>"ZC3H14"</f>
        <v>ZC3H14</v>
      </c>
      <c r="B22667" s="6" t="s">
        <v>1</v>
      </c>
      <c r="C22667" s="6" t="s">
        <v>1</v>
      </c>
    </row>
    <row r="22668" spans="1:3" s="8" customFormat="1" x14ac:dyDescent="0.2">
      <c r="A22668" s="6" t="str">
        <f>"PTPN23"</f>
        <v>PTPN23</v>
      </c>
      <c r="B22668" s="6" t="s">
        <v>1</v>
      </c>
      <c r="C22668" s="6" t="s">
        <v>1</v>
      </c>
    </row>
    <row r="22669" spans="1:3" s="8" customFormat="1" x14ac:dyDescent="0.2">
      <c r="A22669" s="6" t="str">
        <f>"ALMS1"</f>
        <v>ALMS1</v>
      </c>
      <c r="B22669" s="6" t="s">
        <v>1</v>
      </c>
      <c r="C22669" s="6" t="s">
        <v>1</v>
      </c>
    </row>
    <row r="22670" spans="1:3" s="8" customFormat="1" x14ac:dyDescent="0.2">
      <c r="A22670" s="6" t="str">
        <f>"PHRF1"</f>
        <v>PHRF1</v>
      </c>
      <c r="B22670" s="6" t="s">
        <v>1</v>
      </c>
      <c r="C22670" s="6" t="s">
        <v>1</v>
      </c>
    </row>
    <row r="22671" spans="1:3" s="8" customFormat="1" x14ac:dyDescent="0.2">
      <c r="A22671" s="6" t="str">
        <f>"WIPF2"</f>
        <v>WIPF2</v>
      </c>
      <c r="B22671" s="6" t="s">
        <v>1</v>
      </c>
      <c r="C22671" s="6" t="s">
        <v>1</v>
      </c>
    </row>
    <row r="22672" spans="1:3" s="8" customFormat="1" x14ac:dyDescent="0.2">
      <c r="A22672" s="6" t="str">
        <f>"MLF1"</f>
        <v>MLF1</v>
      </c>
      <c r="B22672" s="6" t="s">
        <v>1</v>
      </c>
      <c r="C22672" s="6" t="s">
        <v>1</v>
      </c>
    </row>
    <row r="22673" spans="1:3" s="8" customFormat="1" x14ac:dyDescent="0.2">
      <c r="A22673" s="6" t="str">
        <f>"IFT80"</f>
        <v>IFT80</v>
      </c>
      <c r="B22673" s="6" t="s">
        <v>1</v>
      </c>
      <c r="C22673" s="6" t="s">
        <v>1</v>
      </c>
    </row>
    <row r="22674" spans="1:3" s="8" customFormat="1" x14ac:dyDescent="0.2">
      <c r="A22674" s="6" t="str">
        <f>"CROCC2"</f>
        <v>CROCC2</v>
      </c>
      <c r="B22674" s="6" t="s">
        <v>1</v>
      </c>
      <c r="C22674" s="6" t="s">
        <v>1</v>
      </c>
    </row>
    <row r="22675" spans="1:3" s="8" customFormat="1" x14ac:dyDescent="0.2">
      <c r="A22675" s="6" t="str">
        <f>"PTK7"</f>
        <v>PTK7</v>
      </c>
      <c r="B22675" s="6" t="s">
        <v>1</v>
      </c>
      <c r="C22675" s="6" t="s">
        <v>1</v>
      </c>
    </row>
    <row r="22676" spans="1:3" s="8" customFormat="1" x14ac:dyDescent="0.2">
      <c r="A22676" s="6" t="str">
        <f>"CRTAP"</f>
        <v>CRTAP</v>
      </c>
      <c r="B22676" s="6" t="s">
        <v>1</v>
      </c>
      <c r="C22676" s="6" t="s">
        <v>1</v>
      </c>
    </row>
    <row r="22677" spans="1:3" s="8" customFormat="1" x14ac:dyDescent="0.2">
      <c r="A22677" s="6" t="str">
        <f>"BAZ1B"</f>
        <v>BAZ1B</v>
      </c>
      <c r="B22677" s="6" t="s">
        <v>1</v>
      </c>
      <c r="C22677" s="6" t="s">
        <v>1</v>
      </c>
    </row>
    <row r="22678" spans="1:3" s="8" customFormat="1" x14ac:dyDescent="0.2">
      <c r="A22678" s="6" t="str">
        <f>"SOCS3"</f>
        <v>SOCS3</v>
      </c>
      <c r="B22678" s="6" t="s">
        <v>1</v>
      </c>
      <c r="C22678" s="6" t="s">
        <v>1</v>
      </c>
    </row>
    <row r="22679" spans="1:3" s="8" customFormat="1" x14ac:dyDescent="0.2">
      <c r="A22679" s="6" t="str">
        <f>"GLB1L2"</f>
        <v>GLB1L2</v>
      </c>
      <c r="B22679" s="6" t="s">
        <v>1</v>
      </c>
      <c r="C22679" s="6" t="s">
        <v>1</v>
      </c>
    </row>
    <row r="22680" spans="1:3" s="8" customFormat="1" x14ac:dyDescent="0.2">
      <c r="A22680" s="6" t="str">
        <f>"BSDC1"</f>
        <v>BSDC1</v>
      </c>
      <c r="B22680" s="6" t="s">
        <v>1</v>
      </c>
      <c r="C22680" s="6" t="s">
        <v>1</v>
      </c>
    </row>
    <row r="22681" spans="1:3" s="8" customFormat="1" x14ac:dyDescent="0.2">
      <c r="A22681" s="6" t="str">
        <f>"JUN"</f>
        <v>JUN</v>
      </c>
      <c r="B22681" s="6" t="s">
        <v>1</v>
      </c>
      <c r="C22681" s="6" t="s">
        <v>1</v>
      </c>
    </row>
    <row r="22682" spans="1:3" s="8" customFormat="1" x14ac:dyDescent="0.2">
      <c r="A22682" s="6" t="str">
        <f>"PTK2B"</f>
        <v>PTK2B</v>
      </c>
      <c r="B22682" s="6" t="s">
        <v>1</v>
      </c>
      <c r="C22682" s="6" t="s">
        <v>1</v>
      </c>
    </row>
    <row r="22683" spans="1:3" s="8" customFormat="1" x14ac:dyDescent="0.2">
      <c r="A22683" s="6" t="str">
        <f>"HACD4"</f>
        <v>HACD4</v>
      </c>
      <c r="B22683" s="6" t="s">
        <v>1</v>
      </c>
      <c r="C22683" s="6" t="s">
        <v>1</v>
      </c>
    </row>
    <row r="22684" spans="1:3" s="8" customFormat="1" x14ac:dyDescent="0.2">
      <c r="A22684" s="6" t="str">
        <f>"CRY2"</f>
        <v>CRY2</v>
      </c>
      <c r="B22684" s="6" t="s">
        <v>1</v>
      </c>
      <c r="C22684" s="6" t="s">
        <v>1</v>
      </c>
    </row>
    <row r="22685" spans="1:3" s="8" customFormat="1" x14ac:dyDescent="0.2">
      <c r="A22685" s="6" t="str">
        <f>"B9D1"</f>
        <v>B9D1</v>
      </c>
      <c r="B22685" s="6" t="s">
        <v>1</v>
      </c>
      <c r="C22685" s="6" t="s">
        <v>1</v>
      </c>
    </row>
    <row r="22686" spans="1:3" s="8" customFormat="1" x14ac:dyDescent="0.2">
      <c r="A22686" s="6" t="str">
        <f>"NDUFB8"</f>
        <v>NDUFB8</v>
      </c>
      <c r="B22686" s="6" t="s">
        <v>1</v>
      </c>
      <c r="C22686" s="6" t="s">
        <v>1</v>
      </c>
    </row>
    <row r="22687" spans="1:3" s="8" customFormat="1" x14ac:dyDescent="0.2">
      <c r="A22687" s="6" t="str">
        <f>"DNTTIP2"</f>
        <v>DNTTIP2</v>
      </c>
      <c r="B22687" s="6" t="s">
        <v>1</v>
      </c>
      <c r="C22687" s="6" t="s">
        <v>1</v>
      </c>
    </row>
    <row r="22688" spans="1:3" s="8" customFormat="1" x14ac:dyDescent="0.2">
      <c r="A22688" s="6" t="str">
        <f>"DENND6B"</f>
        <v>DENND6B</v>
      </c>
      <c r="B22688" s="6" t="s">
        <v>1</v>
      </c>
      <c r="C22688" s="6" t="s">
        <v>1</v>
      </c>
    </row>
    <row r="22689" spans="1:3" s="8" customFormat="1" x14ac:dyDescent="0.2">
      <c r="A22689" s="6" t="str">
        <f>"ENPP5"</f>
        <v>ENPP5</v>
      </c>
      <c r="B22689" s="6" t="s">
        <v>1</v>
      </c>
      <c r="C22689" s="6" t="s">
        <v>1</v>
      </c>
    </row>
    <row r="22690" spans="1:3" s="8" customFormat="1" x14ac:dyDescent="0.2">
      <c r="A22690" s="6" t="str">
        <f>"IQCD"</f>
        <v>IQCD</v>
      </c>
      <c r="B22690" s="6" t="s">
        <v>1</v>
      </c>
      <c r="C22690" s="6" t="s">
        <v>1</v>
      </c>
    </row>
    <row r="22691" spans="1:3" s="8" customFormat="1" x14ac:dyDescent="0.2">
      <c r="A22691" s="6" t="str">
        <f>"OTUD5"</f>
        <v>OTUD5</v>
      </c>
      <c r="B22691" s="6" t="s">
        <v>1</v>
      </c>
      <c r="C22691" s="6" t="s">
        <v>1</v>
      </c>
    </row>
    <row r="22692" spans="1:3" s="8" customFormat="1" x14ac:dyDescent="0.2">
      <c r="A22692" s="6" t="str">
        <f>"ASL"</f>
        <v>ASL</v>
      </c>
      <c r="B22692" s="6" t="s">
        <v>1</v>
      </c>
      <c r="C22692" s="6" t="s">
        <v>1</v>
      </c>
    </row>
    <row r="22693" spans="1:3" s="8" customFormat="1" x14ac:dyDescent="0.2">
      <c r="A22693" s="6" t="str">
        <f>"PSMB5"</f>
        <v>PSMB5</v>
      </c>
      <c r="B22693" s="6" t="s">
        <v>1</v>
      </c>
      <c r="C22693" s="6" t="s">
        <v>1</v>
      </c>
    </row>
    <row r="22694" spans="1:3" s="8" customFormat="1" x14ac:dyDescent="0.2">
      <c r="A22694" s="6" t="str">
        <f>"EDEM3"</f>
        <v>EDEM3</v>
      </c>
      <c r="B22694" s="6" t="s">
        <v>1</v>
      </c>
      <c r="C22694" s="6" t="s">
        <v>1</v>
      </c>
    </row>
    <row r="22695" spans="1:3" s="8" customFormat="1" x14ac:dyDescent="0.2">
      <c r="A22695" s="6" t="str">
        <f>"NOC2L"</f>
        <v>NOC2L</v>
      </c>
      <c r="B22695" s="6" t="s">
        <v>1</v>
      </c>
      <c r="C22695" s="6" t="s">
        <v>1</v>
      </c>
    </row>
    <row r="22696" spans="1:3" s="8" customFormat="1" x14ac:dyDescent="0.2">
      <c r="A22696" s="6" t="str">
        <f>"EMC3"</f>
        <v>EMC3</v>
      </c>
      <c r="B22696" s="6" t="s">
        <v>1</v>
      </c>
      <c r="C22696" s="6" t="s">
        <v>1</v>
      </c>
    </row>
    <row r="22697" spans="1:3" s="8" customFormat="1" x14ac:dyDescent="0.2">
      <c r="A22697" s="6" t="str">
        <f>"MED29"</f>
        <v>MED29</v>
      </c>
      <c r="B22697" s="6" t="s">
        <v>1</v>
      </c>
      <c r="C22697" s="6" t="s">
        <v>1</v>
      </c>
    </row>
    <row r="22698" spans="1:3" s="8" customFormat="1" x14ac:dyDescent="0.2">
      <c r="A22698" s="6" t="str">
        <f>"FAM107A"</f>
        <v>FAM107A</v>
      </c>
      <c r="B22698" s="6" t="s">
        <v>1</v>
      </c>
      <c r="C22698" s="6" t="s">
        <v>1</v>
      </c>
    </row>
    <row r="22699" spans="1:3" s="8" customFormat="1" x14ac:dyDescent="0.2">
      <c r="A22699" s="6" t="str">
        <f>"IFFO2"</f>
        <v>IFFO2</v>
      </c>
      <c r="B22699" s="6" t="s">
        <v>1</v>
      </c>
      <c r="C22699" s="6" t="s">
        <v>1</v>
      </c>
    </row>
    <row r="22700" spans="1:3" s="8" customFormat="1" x14ac:dyDescent="0.2">
      <c r="A22700" s="6" t="str">
        <f>"TRIB1"</f>
        <v>TRIB1</v>
      </c>
      <c r="B22700" s="6" t="s">
        <v>1</v>
      </c>
      <c r="C22700" s="6" t="s">
        <v>1</v>
      </c>
    </row>
    <row r="22701" spans="1:3" s="8" customFormat="1" x14ac:dyDescent="0.2">
      <c r="A22701" s="6" t="str">
        <f>"POLD2"</f>
        <v>POLD2</v>
      </c>
      <c r="B22701" s="6" t="s">
        <v>1</v>
      </c>
      <c r="C22701" s="6" t="s">
        <v>1</v>
      </c>
    </row>
    <row r="22702" spans="1:3" s="8" customFormat="1" x14ac:dyDescent="0.2">
      <c r="A22702" s="6" t="str">
        <f>"MCU"</f>
        <v>MCU</v>
      </c>
      <c r="B22702" s="6" t="s">
        <v>1</v>
      </c>
      <c r="C22702" s="6" t="s">
        <v>1</v>
      </c>
    </row>
    <row r="22703" spans="1:3" s="8" customFormat="1" x14ac:dyDescent="0.2">
      <c r="A22703" s="6" t="str">
        <f>"ALDH18A1"</f>
        <v>ALDH18A1</v>
      </c>
      <c r="B22703" s="6" t="s">
        <v>1</v>
      </c>
      <c r="C22703" s="6" t="s">
        <v>1</v>
      </c>
    </row>
    <row r="22704" spans="1:3" s="8" customFormat="1" x14ac:dyDescent="0.2">
      <c r="A22704" s="6" t="str">
        <f>"NPHP1"</f>
        <v>NPHP1</v>
      </c>
      <c r="B22704" s="6" t="s">
        <v>1</v>
      </c>
      <c r="C22704" s="6" t="s">
        <v>1</v>
      </c>
    </row>
    <row r="22705" spans="1:3" s="8" customFormat="1" x14ac:dyDescent="0.2">
      <c r="A22705" s="6" t="str">
        <f>"G6PD"</f>
        <v>G6PD</v>
      </c>
      <c r="B22705" s="6" t="s">
        <v>1</v>
      </c>
      <c r="C22705" s="6" t="s">
        <v>1</v>
      </c>
    </row>
    <row r="22706" spans="1:3" s="8" customFormat="1" x14ac:dyDescent="0.2">
      <c r="A22706" s="6" t="str">
        <f>"NEK5"</f>
        <v>NEK5</v>
      </c>
      <c r="B22706" s="6" t="s">
        <v>1</v>
      </c>
      <c r="C22706" s="6" t="s">
        <v>1</v>
      </c>
    </row>
    <row r="22707" spans="1:3" s="8" customFormat="1" x14ac:dyDescent="0.2">
      <c r="A22707" s="6" t="str">
        <f>"LRCH4"</f>
        <v>LRCH4</v>
      </c>
      <c r="B22707" s="6" t="s">
        <v>1</v>
      </c>
      <c r="C22707" s="6" t="s">
        <v>1</v>
      </c>
    </row>
    <row r="22708" spans="1:3" s="8" customFormat="1" x14ac:dyDescent="0.2">
      <c r="A22708" s="6" t="str">
        <f>"SRP68"</f>
        <v>SRP68</v>
      </c>
      <c r="B22708" s="6" t="s">
        <v>1</v>
      </c>
      <c r="C22708" s="6" t="s">
        <v>1</v>
      </c>
    </row>
    <row r="22709" spans="1:3" s="8" customFormat="1" x14ac:dyDescent="0.2">
      <c r="A22709" s="6" t="str">
        <f>"KLK11"</f>
        <v>KLK11</v>
      </c>
      <c r="B22709" s="6" t="s">
        <v>1</v>
      </c>
      <c r="C22709" s="6" t="s">
        <v>1</v>
      </c>
    </row>
    <row r="22710" spans="1:3" s="8" customFormat="1" x14ac:dyDescent="0.2">
      <c r="A22710" s="6" t="str">
        <f>"MEAF6"</f>
        <v>MEAF6</v>
      </c>
      <c r="B22710" s="6" t="s">
        <v>1</v>
      </c>
      <c r="C22710" s="6" t="s">
        <v>1</v>
      </c>
    </row>
    <row r="22711" spans="1:3" s="8" customFormat="1" x14ac:dyDescent="0.2">
      <c r="A22711" s="6" t="str">
        <f>"HADHB"</f>
        <v>HADHB</v>
      </c>
      <c r="B22711" s="6" t="s">
        <v>1</v>
      </c>
      <c r="C22711" s="6" t="s">
        <v>1</v>
      </c>
    </row>
    <row r="22712" spans="1:3" s="8" customFormat="1" x14ac:dyDescent="0.2">
      <c r="A22712" s="6" t="str">
        <f>"NEK11"</f>
        <v>NEK11</v>
      </c>
      <c r="B22712" s="6" t="s">
        <v>1</v>
      </c>
      <c r="C22712" s="6" t="s">
        <v>1</v>
      </c>
    </row>
    <row r="22713" spans="1:3" s="8" customFormat="1" x14ac:dyDescent="0.2">
      <c r="A22713" s="6" t="str">
        <f>"BRD7"</f>
        <v>BRD7</v>
      </c>
      <c r="B22713" s="6" t="s">
        <v>1</v>
      </c>
      <c r="C22713" s="6" t="s">
        <v>1</v>
      </c>
    </row>
    <row r="22714" spans="1:3" s="8" customFormat="1" x14ac:dyDescent="0.2">
      <c r="A22714" s="6" t="str">
        <f>"GLB1L"</f>
        <v>GLB1L</v>
      </c>
      <c r="B22714" s="6" t="s">
        <v>1</v>
      </c>
      <c r="C22714" s="6" t="s">
        <v>1</v>
      </c>
    </row>
    <row r="22715" spans="1:3" s="8" customFormat="1" x14ac:dyDescent="0.2">
      <c r="A22715" s="6" t="str">
        <f>"LCOR"</f>
        <v>LCOR</v>
      </c>
      <c r="B22715" s="6" t="s">
        <v>1</v>
      </c>
      <c r="C22715" s="6" t="s">
        <v>1</v>
      </c>
    </row>
    <row r="22716" spans="1:3" s="8" customFormat="1" x14ac:dyDescent="0.2">
      <c r="A22716" s="6" t="str">
        <f>"TRIM14"</f>
        <v>TRIM14</v>
      </c>
      <c r="B22716" s="6" t="s">
        <v>1</v>
      </c>
      <c r="C22716" s="6" t="s">
        <v>1</v>
      </c>
    </row>
    <row r="22717" spans="1:3" s="8" customFormat="1" x14ac:dyDescent="0.2">
      <c r="A22717" s="6" t="str">
        <f>"SH3PXD2A"</f>
        <v>SH3PXD2A</v>
      </c>
      <c r="B22717" s="6" t="s">
        <v>1</v>
      </c>
      <c r="C22717" s="6" t="s">
        <v>1</v>
      </c>
    </row>
    <row r="22718" spans="1:3" s="8" customFormat="1" x14ac:dyDescent="0.2">
      <c r="A22718" s="6" t="str">
        <f>"SMAD2"</f>
        <v>SMAD2</v>
      </c>
      <c r="B22718" s="6" t="s">
        <v>1</v>
      </c>
      <c r="C22718" s="6" t="s">
        <v>1</v>
      </c>
    </row>
    <row r="22719" spans="1:3" s="8" customFormat="1" x14ac:dyDescent="0.2">
      <c r="A22719" s="6" t="str">
        <f>"NUPR1"</f>
        <v>NUPR1</v>
      </c>
      <c r="B22719" s="6" t="s">
        <v>1</v>
      </c>
      <c r="C22719" s="6" t="s">
        <v>1</v>
      </c>
    </row>
    <row r="22720" spans="1:3" s="8" customFormat="1" x14ac:dyDescent="0.2">
      <c r="A22720" s="6" t="str">
        <f>"CRIP2"</f>
        <v>CRIP2</v>
      </c>
      <c r="B22720" s="6" t="s">
        <v>1</v>
      </c>
      <c r="C22720" s="6" t="s">
        <v>1</v>
      </c>
    </row>
    <row r="22721" spans="1:3" s="8" customFormat="1" x14ac:dyDescent="0.2">
      <c r="A22721" s="6" t="str">
        <f>"TMEM154"</f>
        <v>TMEM154</v>
      </c>
      <c r="B22721" s="6" t="s">
        <v>1</v>
      </c>
      <c r="C22721" s="6" t="s">
        <v>1</v>
      </c>
    </row>
    <row r="22722" spans="1:3" s="8" customFormat="1" x14ac:dyDescent="0.2">
      <c r="A22722" s="6" t="str">
        <f>"BTBD9"</f>
        <v>BTBD9</v>
      </c>
      <c r="B22722" s="6" t="s">
        <v>1</v>
      </c>
      <c r="C22722" s="6" t="s">
        <v>1</v>
      </c>
    </row>
    <row r="22723" spans="1:3" s="8" customFormat="1" x14ac:dyDescent="0.2">
      <c r="A22723" s="6" t="str">
        <f>"ALDH9A1"</f>
        <v>ALDH9A1</v>
      </c>
      <c r="B22723" s="6" t="s">
        <v>1</v>
      </c>
      <c r="C22723" s="6" t="s">
        <v>1</v>
      </c>
    </row>
    <row r="22724" spans="1:3" s="8" customFormat="1" x14ac:dyDescent="0.2">
      <c r="A22724" s="6" t="str">
        <f>"BTBD3"</f>
        <v>BTBD3</v>
      </c>
      <c r="B22724" s="6" t="s">
        <v>1</v>
      </c>
      <c r="C22724" s="6" t="s">
        <v>1</v>
      </c>
    </row>
    <row r="22725" spans="1:3" s="8" customFormat="1" x14ac:dyDescent="0.2">
      <c r="A22725" s="6" t="str">
        <f>"KLHL21"</f>
        <v>KLHL21</v>
      </c>
      <c r="B22725" s="6" t="s">
        <v>1</v>
      </c>
      <c r="C22725" s="6" t="s">
        <v>1</v>
      </c>
    </row>
    <row r="22726" spans="1:3" s="8" customFormat="1" x14ac:dyDescent="0.2">
      <c r="A22726" s="6" t="str">
        <f>"ENTPD4"</f>
        <v>ENTPD4</v>
      </c>
      <c r="B22726" s="6" t="s">
        <v>1</v>
      </c>
      <c r="C22726" s="6" t="s">
        <v>1</v>
      </c>
    </row>
    <row r="22727" spans="1:3" s="8" customFormat="1" x14ac:dyDescent="0.2">
      <c r="A22727" s="6" t="str">
        <f>"SAFB2"</f>
        <v>SAFB2</v>
      </c>
      <c r="B22727" s="6" t="s">
        <v>1</v>
      </c>
      <c r="C22727" s="6" t="s">
        <v>1</v>
      </c>
    </row>
    <row r="22728" spans="1:3" s="8" customFormat="1" x14ac:dyDescent="0.2">
      <c r="A22728" s="6" t="str">
        <f>"BTBD1"</f>
        <v>BTBD1</v>
      </c>
      <c r="B22728" s="6" t="s">
        <v>1</v>
      </c>
      <c r="C22728" s="6" t="s">
        <v>1</v>
      </c>
    </row>
    <row r="22729" spans="1:3" s="8" customFormat="1" x14ac:dyDescent="0.2">
      <c r="A22729" s="6" t="str">
        <f>"ECT2L"</f>
        <v>ECT2L</v>
      </c>
      <c r="B22729" s="6" t="s">
        <v>1</v>
      </c>
      <c r="C22729" s="6" t="s">
        <v>1</v>
      </c>
    </row>
    <row r="22730" spans="1:3" s="8" customFormat="1" x14ac:dyDescent="0.2">
      <c r="A22730" s="6" t="str">
        <f>"ZC3HAV1"</f>
        <v>ZC3HAV1</v>
      </c>
      <c r="B22730" s="6" t="s">
        <v>1</v>
      </c>
      <c r="C22730" s="6" t="s">
        <v>1</v>
      </c>
    </row>
    <row r="22731" spans="1:3" s="8" customFormat="1" x14ac:dyDescent="0.2">
      <c r="A22731" s="6" t="str">
        <f>"ASXL2"</f>
        <v>ASXL2</v>
      </c>
      <c r="B22731" s="6" t="s">
        <v>1</v>
      </c>
      <c r="C22731" s="6" t="s">
        <v>1</v>
      </c>
    </row>
    <row r="22732" spans="1:3" s="8" customFormat="1" x14ac:dyDescent="0.2">
      <c r="A22732" s="6" t="str">
        <f>"NEDD8"</f>
        <v>NEDD8</v>
      </c>
      <c r="B22732" s="6" t="s">
        <v>1</v>
      </c>
      <c r="C22732" s="6" t="s">
        <v>1</v>
      </c>
    </row>
    <row r="22733" spans="1:3" s="8" customFormat="1" x14ac:dyDescent="0.2">
      <c r="A22733" s="6" t="str">
        <f>"GK"</f>
        <v>GK</v>
      </c>
      <c r="B22733" s="6" t="s">
        <v>1</v>
      </c>
      <c r="C22733" s="6" t="s">
        <v>1</v>
      </c>
    </row>
    <row r="22734" spans="1:3" s="8" customFormat="1" x14ac:dyDescent="0.2">
      <c r="A22734" s="6" t="str">
        <f>"RESF1"</f>
        <v>RESF1</v>
      </c>
      <c r="B22734" s="6" t="s">
        <v>1</v>
      </c>
      <c r="C22734" s="6" t="s">
        <v>1</v>
      </c>
    </row>
    <row r="22735" spans="1:3" s="8" customFormat="1" x14ac:dyDescent="0.2">
      <c r="A22735" s="6" t="str">
        <f>"RALGAPB"</f>
        <v>RALGAPB</v>
      </c>
      <c r="B22735" s="6" t="s">
        <v>1</v>
      </c>
      <c r="C22735" s="6" t="s">
        <v>1</v>
      </c>
    </row>
    <row r="22736" spans="1:3" s="8" customFormat="1" x14ac:dyDescent="0.2">
      <c r="A22736" s="6" t="str">
        <f>"AL135905.2"</f>
        <v>AL135905.2</v>
      </c>
      <c r="B22736" s="6" t="s">
        <v>1</v>
      </c>
      <c r="C22736" s="6" t="s">
        <v>1</v>
      </c>
    </row>
    <row r="22737" spans="1:3" s="8" customFormat="1" x14ac:dyDescent="0.2">
      <c r="A22737" s="6" t="str">
        <f>"RALB"</f>
        <v>RALB</v>
      </c>
      <c r="B22737" s="6" t="s">
        <v>1</v>
      </c>
      <c r="C22737" s="6" t="s">
        <v>1</v>
      </c>
    </row>
    <row r="22738" spans="1:3" s="8" customFormat="1" x14ac:dyDescent="0.2">
      <c r="A22738" s="6" t="str">
        <f>"GPS1"</f>
        <v>GPS1</v>
      </c>
      <c r="B22738" s="6" t="s">
        <v>1</v>
      </c>
      <c r="C22738" s="6" t="s">
        <v>1</v>
      </c>
    </row>
    <row r="22739" spans="1:3" s="8" customFormat="1" x14ac:dyDescent="0.2">
      <c r="A22739" s="6" t="str">
        <f>"MCCC2"</f>
        <v>MCCC2</v>
      </c>
      <c r="B22739" s="6" t="s">
        <v>1</v>
      </c>
      <c r="C22739" s="6" t="s">
        <v>1</v>
      </c>
    </row>
    <row r="22740" spans="1:3" s="8" customFormat="1" x14ac:dyDescent="0.2">
      <c r="A22740" s="6" t="str">
        <f>"INPPL1"</f>
        <v>INPPL1</v>
      </c>
      <c r="B22740" s="6" t="s">
        <v>1</v>
      </c>
      <c r="C22740" s="6" t="s">
        <v>1</v>
      </c>
    </row>
    <row r="22741" spans="1:3" s="8" customFormat="1" x14ac:dyDescent="0.2">
      <c r="A22741" s="6" t="str">
        <f>"PAIP2"</f>
        <v>PAIP2</v>
      </c>
      <c r="B22741" s="6" t="s">
        <v>1</v>
      </c>
      <c r="C22741" s="6" t="s">
        <v>1</v>
      </c>
    </row>
    <row r="22742" spans="1:3" s="8" customFormat="1" x14ac:dyDescent="0.2">
      <c r="A22742" s="6" t="str">
        <f>"DDX54"</f>
        <v>DDX54</v>
      </c>
      <c r="B22742" s="6" t="s">
        <v>1</v>
      </c>
      <c r="C22742" s="6" t="s">
        <v>1</v>
      </c>
    </row>
    <row r="22743" spans="1:3" s="8" customFormat="1" x14ac:dyDescent="0.2">
      <c r="A22743" s="6" t="str">
        <f>"IFT46"</f>
        <v>IFT46</v>
      </c>
      <c r="B22743" s="6" t="s">
        <v>1</v>
      </c>
      <c r="C22743" s="6" t="s">
        <v>1</v>
      </c>
    </row>
    <row r="22744" spans="1:3" s="8" customFormat="1" x14ac:dyDescent="0.2">
      <c r="A22744" s="6" t="str">
        <f>"PRMT2"</f>
        <v>PRMT2</v>
      </c>
      <c r="B22744" s="6" t="s">
        <v>1</v>
      </c>
      <c r="C22744" s="6" t="s">
        <v>1</v>
      </c>
    </row>
    <row r="22745" spans="1:3" s="8" customFormat="1" x14ac:dyDescent="0.2">
      <c r="A22745" s="6" t="str">
        <f>"NDUFB4"</f>
        <v>NDUFB4</v>
      </c>
      <c r="B22745" s="6" t="s">
        <v>1</v>
      </c>
      <c r="C22745" s="6" t="s">
        <v>1</v>
      </c>
    </row>
    <row r="22746" spans="1:3" s="8" customFormat="1" x14ac:dyDescent="0.2">
      <c r="A22746" s="6" t="str">
        <f>"MECP2"</f>
        <v>MECP2</v>
      </c>
      <c r="B22746" s="6" t="s">
        <v>1</v>
      </c>
      <c r="C22746" s="6" t="s">
        <v>1</v>
      </c>
    </row>
    <row r="22747" spans="1:3" s="8" customFormat="1" x14ac:dyDescent="0.2">
      <c r="A22747" s="6" t="str">
        <f>"SLC27A1"</f>
        <v>SLC27A1</v>
      </c>
      <c r="B22747" s="6" t="s">
        <v>1</v>
      </c>
      <c r="C22747" s="6" t="s">
        <v>1</v>
      </c>
    </row>
    <row r="22748" spans="1:3" s="8" customFormat="1" x14ac:dyDescent="0.2">
      <c r="A22748" s="6" t="str">
        <f>"GPT2"</f>
        <v>GPT2</v>
      </c>
      <c r="B22748" s="6" t="s">
        <v>1</v>
      </c>
      <c r="C22748" s="6" t="s">
        <v>1</v>
      </c>
    </row>
    <row r="22749" spans="1:3" s="8" customFormat="1" x14ac:dyDescent="0.2">
      <c r="A22749" s="6" t="str">
        <f>"MALL"</f>
        <v>MALL</v>
      </c>
      <c r="B22749" s="6" t="s">
        <v>1</v>
      </c>
      <c r="C22749" s="6" t="s">
        <v>1</v>
      </c>
    </row>
    <row r="22750" spans="1:3" s="8" customFormat="1" x14ac:dyDescent="0.2">
      <c r="A22750" s="6" t="str">
        <f>"HNRNPH3"</f>
        <v>HNRNPH3</v>
      </c>
      <c r="B22750" s="6" t="s">
        <v>1</v>
      </c>
      <c r="C22750" s="6" t="s">
        <v>1</v>
      </c>
    </row>
    <row r="22751" spans="1:3" s="8" customFormat="1" x14ac:dyDescent="0.2">
      <c r="A22751" s="6" t="str">
        <f>"HMGXB3"</f>
        <v>HMGXB3</v>
      </c>
      <c r="B22751" s="6" t="s">
        <v>1</v>
      </c>
      <c r="C22751" s="6" t="s">
        <v>1</v>
      </c>
    </row>
    <row r="22752" spans="1:3" s="8" customFormat="1" x14ac:dyDescent="0.2">
      <c r="A22752" s="6" t="str">
        <f>"FAT2"</f>
        <v>FAT2</v>
      </c>
      <c r="B22752" s="6" t="s">
        <v>1</v>
      </c>
      <c r="C22752" s="6" t="s">
        <v>1</v>
      </c>
    </row>
    <row r="22753" spans="1:3" s="8" customFormat="1" x14ac:dyDescent="0.2">
      <c r="A22753" s="6" t="str">
        <f>"TTLL10"</f>
        <v>TTLL10</v>
      </c>
      <c r="B22753" s="6" t="s">
        <v>1</v>
      </c>
      <c r="C22753" s="6" t="s">
        <v>1</v>
      </c>
    </row>
    <row r="22754" spans="1:3" s="8" customFormat="1" x14ac:dyDescent="0.2">
      <c r="A22754" s="6" t="str">
        <f>"ZSWIM8"</f>
        <v>ZSWIM8</v>
      </c>
      <c r="B22754" s="6" t="s">
        <v>1</v>
      </c>
      <c r="C22754" s="6" t="s">
        <v>1</v>
      </c>
    </row>
    <row r="22755" spans="1:3" s="8" customFormat="1" x14ac:dyDescent="0.2">
      <c r="A22755" s="6" t="str">
        <f>"EXOC4"</f>
        <v>EXOC4</v>
      </c>
      <c r="B22755" s="6" t="s">
        <v>1</v>
      </c>
      <c r="C22755" s="6" t="s">
        <v>1</v>
      </c>
    </row>
    <row r="22756" spans="1:3" s="8" customFormat="1" x14ac:dyDescent="0.2">
      <c r="A22756" s="6" t="str">
        <f>"MYD88"</f>
        <v>MYD88</v>
      </c>
      <c r="B22756" s="6" t="s">
        <v>1</v>
      </c>
      <c r="C22756" s="6" t="s">
        <v>1</v>
      </c>
    </row>
    <row r="22757" spans="1:3" s="8" customFormat="1" x14ac:dyDescent="0.2">
      <c r="A22757" s="6" t="str">
        <f>"BSCL2"</f>
        <v>BSCL2</v>
      </c>
      <c r="B22757" s="6" t="s">
        <v>1</v>
      </c>
      <c r="C22757" s="6" t="s">
        <v>1</v>
      </c>
    </row>
    <row r="22758" spans="1:3" s="8" customFormat="1" x14ac:dyDescent="0.2">
      <c r="A22758" s="6" t="str">
        <f>"NPC2"</f>
        <v>NPC2</v>
      </c>
      <c r="B22758" s="6" t="s">
        <v>1</v>
      </c>
      <c r="C22758" s="6" t="s">
        <v>1</v>
      </c>
    </row>
    <row r="22759" spans="1:3" s="8" customFormat="1" x14ac:dyDescent="0.2">
      <c r="A22759" s="6" t="str">
        <f>"OTUD4"</f>
        <v>OTUD4</v>
      </c>
      <c r="B22759" s="6" t="s">
        <v>1</v>
      </c>
      <c r="C22759" s="6" t="s">
        <v>1</v>
      </c>
    </row>
    <row r="22760" spans="1:3" s="8" customFormat="1" x14ac:dyDescent="0.2">
      <c r="A22760" s="6" t="str">
        <f>"GM2A"</f>
        <v>GM2A</v>
      </c>
      <c r="B22760" s="6" t="s">
        <v>1</v>
      </c>
      <c r="C22760" s="6" t="s">
        <v>1</v>
      </c>
    </row>
    <row r="22761" spans="1:3" s="8" customFormat="1" x14ac:dyDescent="0.2">
      <c r="A22761" s="6" t="str">
        <f>"UFM1"</f>
        <v>UFM1</v>
      </c>
      <c r="B22761" s="6" t="s">
        <v>1</v>
      </c>
      <c r="C22761" s="6" t="s">
        <v>1</v>
      </c>
    </row>
    <row r="22762" spans="1:3" s="8" customFormat="1" x14ac:dyDescent="0.2">
      <c r="A22762" s="6" t="str">
        <f>"TMX4"</f>
        <v>TMX4</v>
      </c>
      <c r="B22762" s="6" t="s">
        <v>1</v>
      </c>
      <c r="C22762" s="6" t="s">
        <v>1</v>
      </c>
    </row>
    <row r="22763" spans="1:3" s="8" customFormat="1" x14ac:dyDescent="0.2">
      <c r="A22763" s="6" t="str">
        <f>"ASH1L"</f>
        <v>ASH1L</v>
      </c>
      <c r="B22763" s="6" t="s">
        <v>1</v>
      </c>
      <c r="C22763" s="6" t="s">
        <v>1</v>
      </c>
    </row>
    <row r="22764" spans="1:3" s="8" customFormat="1" x14ac:dyDescent="0.2">
      <c r="A22764" s="6" t="str">
        <f>"PTOV1"</f>
        <v>PTOV1</v>
      </c>
      <c r="B22764" s="6" t="s">
        <v>1</v>
      </c>
      <c r="C22764" s="6" t="s">
        <v>1</v>
      </c>
    </row>
    <row r="22765" spans="1:3" s="8" customFormat="1" x14ac:dyDescent="0.2">
      <c r="A22765" s="6" t="str">
        <f>"SRGAP3-AS2"</f>
        <v>SRGAP3-AS2</v>
      </c>
      <c r="B22765" s="6" t="s">
        <v>1</v>
      </c>
      <c r="C22765" s="6" t="s">
        <v>1</v>
      </c>
    </row>
    <row r="22766" spans="1:3" s="8" customFormat="1" x14ac:dyDescent="0.2">
      <c r="A22766" s="6" t="str">
        <f>"SRP54"</f>
        <v>SRP54</v>
      </c>
      <c r="B22766" s="6" t="s">
        <v>1</v>
      </c>
      <c r="C22766" s="6" t="s">
        <v>1</v>
      </c>
    </row>
    <row r="22767" spans="1:3" s="8" customFormat="1" x14ac:dyDescent="0.2">
      <c r="A22767" s="6" t="str">
        <f>"RETSAT"</f>
        <v>RETSAT</v>
      </c>
      <c r="B22767" s="6" t="s">
        <v>1</v>
      </c>
      <c r="C22767" s="6" t="s">
        <v>1</v>
      </c>
    </row>
    <row r="22768" spans="1:3" s="8" customFormat="1" x14ac:dyDescent="0.2">
      <c r="A22768" s="6" t="str">
        <f>"NDUFS2"</f>
        <v>NDUFS2</v>
      </c>
      <c r="B22768" s="6" t="s">
        <v>1</v>
      </c>
      <c r="C22768" s="6" t="s">
        <v>1</v>
      </c>
    </row>
    <row r="22769" spans="1:3" s="8" customFormat="1" x14ac:dyDescent="0.2">
      <c r="A22769" s="6" t="str">
        <f>"IPO4"</f>
        <v>IPO4</v>
      </c>
      <c r="B22769" s="6" t="s">
        <v>1</v>
      </c>
      <c r="C22769" s="6" t="s">
        <v>1</v>
      </c>
    </row>
    <row r="22770" spans="1:3" s="8" customFormat="1" x14ac:dyDescent="0.2">
      <c r="A22770" s="6" t="str">
        <f>"TTLL5"</f>
        <v>TTLL5</v>
      </c>
      <c r="B22770" s="6" t="s">
        <v>1</v>
      </c>
      <c r="C22770" s="6" t="s">
        <v>1</v>
      </c>
    </row>
    <row r="22771" spans="1:3" s="8" customFormat="1" x14ac:dyDescent="0.2">
      <c r="A22771" s="6" t="str">
        <f>"LPCAT4"</f>
        <v>LPCAT4</v>
      </c>
      <c r="B22771" s="6" t="s">
        <v>1</v>
      </c>
      <c r="C22771" s="6" t="s">
        <v>1</v>
      </c>
    </row>
    <row r="22772" spans="1:3" s="8" customFormat="1" x14ac:dyDescent="0.2">
      <c r="A22772" s="6" t="str">
        <f>"BRK1"</f>
        <v>BRK1</v>
      </c>
      <c r="B22772" s="6" t="s">
        <v>1</v>
      </c>
      <c r="C22772" s="6" t="s">
        <v>1</v>
      </c>
    </row>
    <row r="22773" spans="1:3" s="8" customFormat="1" x14ac:dyDescent="0.2">
      <c r="A22773" s="6" t="str">
        <f>"KAT6A"</f>
        <v>KAT6A</v>
      </c>
      <c r="B22773" s="6" t="s">
        <v>1</v>
      </c>
      <c r="C22773" s="6" t="s">
        <v>1</v>
      </c>
    </row>
    <row r="22774" spans="1:3" s="8" customFormat="1" x14ac:dyDescent="0.2">
      <c r="A22774" s="6" t="str">
        <f>"RNF149"</f>
        <v>RNF149</v>
      </c>
      <c r="B22774" s="6" t="s">
        <v>1</v>
      </c>
      <c r="C22774" s="6" t="s">
        <v>1</v>
      </c>
    </row>
    <row r="22775" spans="1:3" s="8" customFormat="1" x14ac:dyDescent="0.2">
      <c r="A22775" s="6" t="str">
        <f>"ALDH1A3"</f>
        <v>ALDH1A3</v>
      </c>
      <c r="B22775" s="6" t="s">
        <v>1</v>
      </c>
      <c r="C22775" s="6" t="s">
        <v>1</v>
      </c>
    </row>
    <row r="22776" spans="1:3" s="8" customFormat="1" x14ac:dyDescent="0.2">
      <c r="A22776" s="6" t="str">
        <f>"PCYT2"</f>
        <v>PCYT2</v>
      </c>
      <c r="B22776" s="6" t="s">
        <v>1</v>
      </c>
      <c r="C22776" s="6" t="s">
        <v>1</v>
      </c>
    </row>
    <row r="22777" spans="1:3" s="8" customFormat="1" x14ac:dyDescent="0.2">
      <c r="A22777" s="6" t="str">
        <f>"MDH1"</f>
        <v>MDH1</v>
      </c>
      <c r="B22777" s="6" t="s">
        <v>1</v>
      </c>
      <c r="C22777" s="6" t="s">
        <v>1</v>
      </c>
    </row>
    <row r="22778" spans="1:3" s="8" customFormat="1" x14ac:dyDescent="0.2">
      <c r="A22778" s="6" t="str">
        <f>"LEPROT"</f>
        <v>LEPROT</v>
      </c>
      <c r="B22778" s="6" t="s">
        <v>1</v>
      </c>
      <c r="C22778" s="6" t="s">
        <v>1</v>
      </c>
    </row>
    <row r="22779" spans="1:3" s="8" customFormat="1" x14ac:dyDescent="0.2">
      <c r="A22779" s="6" t="str">
        <f>"CHMP5"</f>
        <v>CHMP5</v>
      </c>
      <c r="B22779" s="6" t="s">
        <v>1</v>
      </c>
      <c r="C22779" s="6" t="s">
        <v>1</v>
      </c>
    </row>
    <row r="22780" spans="1:3" s="8" customFormat="1" x14ac:dyDescent="0.2">
      <c r="A22780" s="6" t="str">
        <f>"FKBP2"</f>
        <v>FKBP2</v>
      </c>
      <c r="B22780" s="6" t="s">
        <v>1</v>
      </c>
      <c r="C22780" s="6" t="s">
        <v>1</v>
      </c>
    </row>
    <row r="22781" spans="1:3" s="8" customFormat="1" x14ac:dyDescent="0.2">
      <c r="A22781" s="6" t="str">
        <f>"CIAO1"</f>
        <v>CIAO1</v>
      </c>
      <c r="B22781" s="6" t="s">
        <v>1</v>
      </c>
      <c r="C22781" s="6" t="s">
        <v>1</v>
      </c>
    </row>
    <row r="22782" spans="1:3" s="8" customFormat="1" x14ac:dyDescent="0.2">
      <c r="A22782" s="6" t="str">
        <f>"CARS1"</f>
        <v>CARS1</v>
      </c>
      <c r="B22782" s="6" t="s">
        <v>1</v>
      </c>
      <c r="C22782" s="6" t="s">
        <v>1</v>
      </c>
    </row>
    <row r="22783" spans="1:3" s="8" customFormat="1" x14ac:dyDescent="0.2">
      <c r="A22783" s="6" t="str">
        <f>"CCNY"</f>
        <v>CCNY</v>
      </c>
      <c r="B22783" s="6" t="s">
        <v>1</v>
      </c>
      <c r="C22783" s="6" t="s">
        <v>1</v>
      </c>
    </row>
    <row r="22784" spans="1:3" s="8" customFormat="1" x14ac:dyDescent="0.2">
      <c r="A22784" s="6" t="str">
        <f>"EML2"</f>
        <v>EML2</v>
      </c>
      <c r="B22784" s="6" t="s">
        <v>1</v>
      </c>
      <c r="C22784" s="6" t="s">
        <v>1</v>
      </c>
    </row>
    <row r="22785" spans="1:3" s="8" customFormat="1" x14ac:dyDescent="0.2">
      <c r="A22785" s="6" t="str">
        <f>"PSMB7"</f>
        <v>PSMB7</v>
      </c>
      <c r="B22785" s="6" t="s">
        <v>1</v>
      </c>
      <c r="C22785" s="6" t="s">
        <v>1</v>
      </c>
    </row>
    <row r="22786" spans="1:3" s="8" customFormat="1" x14ac:dyDescent="0.2">
      <c r="A22786" s="6" t="str">
        <f>"PCYOX1"</f>
        <v>PCYOX1</v>
      </c>
      <c r="B22786" s="6" t="s">
        <v>1</v>
      </c>
      <c r="C22786" s="6" t="s">
        <v>1</v>
      </c>
    </row>
    <row r="22787" spans="1:3" s="8" customFormat="1" x14ac:dyDescent="0.2">
      <c r="A22787" s="6" t="str">
        <f>"FXR1"</f>
        <v>FXR1</v>
      </c>
      <c r="B22787" s="6" t="s">
        <v>1</v>
      </c>
      <c r="C22787" s="6" t="s">
        <v>1</v>
      </c>
    </row>
    <row r="22788" spans="1:3" s="8" customFormat="1" x14ac:dyDescent="0.2">
      <c r="A22788" s="6" t="str">
        <f>"NDUFB7"</f>
        <v>NDUFB7</v>
      </c>
      <c r="B22788" s="6" t="s">
        <v>1</v>
      </c>
      <c r="C22788" s="6" t="s">
        <v>1</v>
      </c>
    </row>
    <row r="22789" spans="1:3" s="8" customFormat="1" x14ac:dyDescent="0.2">
      <c r="A22789" s="6" t="str">
        <f>"API5"</f>
        <v>API5</v>
      </c>
      <c r="B22789" s="6" t="s">
        <v>1</v>
      </c>
      <c r="C22789" s="6" t="s">
        <v>1</v>
      </c>
    </row>
    <row r="22790" spans="1:3" s="8" customFormat="1" x14ac:dyDescent="0.2">
      <c r="A22790" s="6" t="str">
        <f>"GPRC5B"</f>
        <v>GPRC5B</v>
      </c>
      <c r="B22790" s="6" t="s">
        <v>1</v>
      </c>
      <c r="C22790" s="6" t="s">
        <v>1</v>
      </c>
    </row>
    <row r="22791" spans="1:3" s="8" customFormat="1" x14ac:dyDescent="0.2">
      <c r="A22791" s="6" t="str">
        <f>"NDUFB10"</f>
        <v>NDUFB10</v>
      </c>
      <c r="B22791" s="6" t="s">
        <v>1</v>
      </c>
      <c r="C22791" s="6" t="s">
        <v>1</v>
      </c>
    </row>
    <row r="22792" spans="1:3" s="8" customFormat="1" x14ac:dyDescent="0.2">
      <c r="A22792" s="6" t="str">
        <f>"SEC24D"</f>
        <v>SEC24D</v>
      </c>
      <c r="B22792" s="6" t="s">
        <v>1</v>
      </c>
      <c r="C22792" s="6" t="s">
        <v>1</v>
      </c>
    </row>
    <row r="22793" spans="1:3" s="8" customFormat="1" x14ac:dyDescent="0.2">
      <c r="A22793" s="6" t="str">
        <f>"SUCLG2"</f>
        <v>SUCLG2</v>
      </c>
      <c r="B22793" s="6" t="s">
        <v>1</v>
      </c>
      <c r="C22793" s="6" t="s">
        <v>1</v>
      </c>
    </row>
    <row r="22794" spans="1:3" s="8" customFormat="1" x14ac:dyDescent="0.2">
      <c r="A22794" s="6" t="str">
        <f>"SRPX2"</f>
        <v>SRPX2</v>
      </c>
      <c r="B22794" s="6" t="s">
        <v>1</v>
      </c>
      <c r="C22794" s="6" t="s">
        <v>1</v>
      </c>
    </row>
    <row r="22795" spans="1:3" s="8" customFormat="1" x14ac:dyDescent="0.2">
      <c r="A22795" s="6" t="str">
        <f>"OXA1L"</f>
        <v>OXA1L</v>
      </c>
      <c r="B22795" s="6" t="s">
        <v>1</v>
      </c>
      <c r="C22795" s="6" t="s">
        <v>1</v>
      </c>
    </row>
    <row r="22796" spans="1:3" s="8" customFormat="1" x14ac:dyDescent="0.2">
      <c r="A22796" s="6" t="str">
        <f>"N4BP1"</f>
        <v>N4BP1</v>
      </c>
      <c r="B22796" s="6" t="s">
        <v>1</v>
      </c>
      <c r="C22796" s="6" t="s">
        <v>1</v>
      </c>
    </row>
    <row r="22797" spans="1:3" s="8" customFormat="1" x14ac:dyDescent="0.2">
      <c r="A22797" s="6" t="str">
        <f>"WIPI2"</f>
        <v>WIPI2</v>
      </c>
      <c r="B22797" s="6" t="s">
        <v>1</v>
      </c>
      <c r="C22797" s="6" t="s">
        <v>1</v>
      </c>
    </row>
    <row r="22798" spans="1:3" s="8" customFormat="1" x14ac:dyDescent="0.2">
      <c r="A22798" s="6" t="str">
        <f>"BAZ1A"</f>
        <v>BAZ1A</v>
      </c>
      <c r="B22798" s="6" t="s">
        <v>1</v>
      </c>
      <c r="C22798" s="6" t="s">
        <v>1</v>
      </c>
    </row>
    <row r="22799" spans="1:3" s="8" customFormat="1" x14ac:dyDescent="0.2">
      <c r="A22799" s="6" t="str">
        <f>"KLF2"</f>
        <v>KLF2</v>
      </c>
      <c r="B22799" s="6" t="s">
        <v>1</v>
      </c>
      <c r="C22799" s="6" t="s">
        <v>1</v>
      </c>
    </row>
    <row r="22800" spans="1:3" s="8" customFormat="1" x14ac:dyDescent="0.2">
      <c r="A22800" s="6" t="str">
        <f>"GALE"</f>
        <v>GALE</v>
      </c>
      <c r="B22800" s="6" t="s">
        <v>1</v>
      </c>
      <c r="C22800" s="6" t="s">
        <v>1</v>
      </c>
    </row>
    <row r="22801" spans="1:3" s="8" customFormat="1" x14ac:dyDescent="0.2">
      <c r="A22801" s="6" t="str">
        <f>"FIS1"</f>
        <v>FIS1</v>
      </c>
      <c r="B22801" s="6" t="s">
        <v>1</v>
      </c>
      <c r="C22801" s="6" t="s">
        <v>1</v>
      </c>
    </row>
    <row r="22802" spans="1:3" s="8" customFormat="1" x14ac:dyDescent="0.2">
      <c r="A22802" s="6" t="str">
        <f>"SELENOP"</f>
        <v>SELENOP</v>
      </c>
      <c r="B22802" s="6" t="s">
        <v>1</v>
      </c>
      <c r="C22802" s="6" t="s">
        <v>1</v>
      </c>
    </row>
    <row r="22803" spans="1:3" s="8" customFormat="1" x14ac:dyDescent="0.2">
      <c r="A22803" s="6" t="str">
        <f>"PLEKHG7"</f>
        <v>PLEKHG7</v>
      </c>
      <c r="B22803" s="6" t="s">
        <v>1</v>
      </c>
      <c r="C22803" s="6" t="s">
        <v>1</v>
      </c>
    </row>
    <row r="22804" spans="1:3" s="8" customFormat="1" x14ac:dyDescent="0.2">
      <c r="A22804" s="6" t="str">
        <f>"RNF141"</f>
        <v>RNF141</v>
      </c>
      <c r="B22804" s="6" t="s">
        <v>1</v>
      </c>
      <c r="C22804" s="6" t="s">
        <v>1</v>
      </c>
    </row>
    <row r="22805" spans="1:3" s="8" customFormat="1" x14ac:dyDescent="0.2">
      <c r="A22805" s="6" t="str">
        <f>"PLEKHB1"</f>
        <v>PLEKHB1</v>
      </c>
      <c r="B22805" s="6" t="s">
        <v>1</v>
      </c>
      <c r="C22805" s="6" t="s">
        <v>1</v>
      </c>
    </row>
    <row r="22806" spans="1:3" s="8" customFormat="1" x14ac:dyDescent="0.2">
      <c r="A22806" s="6" t="str">
        <f>"AQP9"</f>
        <v>AQP9</v>
      </c>
      <c r="B22806" s="6" t="s">
        <v>1</v>
      </c>
      <c r="C22806" s="6" t="s">
        <v>1</v>
      </c>
    </row>
    <row r="22807" spans="1:3" s="8" customFormat="1" x14ac:dyDescent="0.2">
      <c r="A22807" s="6" t="str">
        <f>"ZNF24"</f>
        <v>ZNF24</v>
      </c>
      <c r="B22807" s="6" t="s">
        <v>1</v>
      </c>
      <c r="C22807" s="6" t="s">
        <v>1</v>
      </c>
    </row>
    <row r="22808" spans="1:3" s="8" customFormat="1" x14ac:dyDescent="0.2">
      <c r="A22808" s="6" t="str">
        <f>"DNAJA2"</f>
        <v>DNAJA2</v>
      </c>
      <c r="B22808" s="6" t="s">
        <v>1</v>
      </c>
      <c r="C22808" s="6" t="s">
        <v>1</v>
      </c>
    </row>
    <row r="22809" spans="1:3" s="8" customFormat="1" x14ac:dyDescent="0.2">
      <c r="A22809" s="6" t="str">
        <f>"WWC1"</f>
        <v>WWC1</v>
      </c>
      <c r="B22809" s="6" t="s">
        <v>1</v>
      </c>
      <c r="C22809" s="6" t="s">
        <v>1</v>
      </c>
    </row>
    <row r="22810" spans="1:3" s="8" customFormat="1" x14ac:dyDescent="0.2">
      <c r="A22810" s="6" t="str">
        <f>"NDUFB9"</f>
        <v>NDUFB9</v>
      </c>
      <c r="B22810" s="6" t="s">
        <v>1</v>
      </c>
      <c r="C22810" s="6" t="s">
        <v>1</v>
      </c>
    </row>
    <row r="22811" spans="1:3" s="8" customFormat="1" x14ac:dyDescent="0.2">
      <c r="A22811" s="6" t="str">
        <f>"NDUFA4"</f>
        <v>NDUFA4</v>
      </c>
      <c r="B22811" s="6" t="s">
        <v>1</v>
      </c>
      <c r="C22811" s="6" t="s">
        <v>1</v>
      </c>
    </row>
    <row r="22812" spans="1:3" s="8" customFormat="1" x14ac:dyDescent="0.2">
      <c r="A22812" s="6" t="str">
        <f>"GALNT1"</f>
        <v>GALNT1</v>
      </c>
      <c r="B22812" s="6" t="s">
        <v>1</v>
      </c>
      <c r="C22812" s="6" t="s">
        <v>1</v>
      </c>
    </row>
    <row r="22813" spans="1:3" s="8" customFormat="1" x14ac:dyDescent="0.2">
      <c r="A22813" s="6" t="str">
        <f>"RAI14"</f>
        <v>RAI14</v>
      </c>
      <c r="B22813" s="6" t="s">
        <v>1</v>
      </c>
      <c r="C22813" s="6" t="s">
        <v>1</v>
      </c>
    </row>
    <row r="22814" spans="1:3" s="8" customFormat="1" x14ac:dyDescent="0.2">
      <c r="A22814" s="6" t="str">
        <f>"FAM83F"</f>
        <v>FAM83F</v>
      </c>
      <c r="B22814" s="6" t="s">
        <v>1</v>
      </c>
      <c r="C22814" s="6" t="s">
        <v>1</v>
      </c>
    </row>
    <row r="22815" spans="1:3" s="8" customFormat="1" x14ac:dyDescent="0.2">
      <c r="A22815" s="6" t="str">
        <f>"UGGT1"</f>
        <v>UGGT1</v>
      </c>
      <c r="B22815" s="6" t="s">
        <v>1</v>
      </c>
      <c r="C22815" s="6" t="s">
        <v>1</v>
      </c>
    </row>
    <row r="22816" spans="1:3" s="8" customFormat="1" x14ac:dyDescent="0.2">
      <c r="A22816" s="6" t="str">
        <f>"NELFE"</f>
        <v>NELFE</v>
      </c>
      <c r="B22816" s="6" t="s">
        <v>1</v>
      </c>
      <c r="C22816" s="6" t="s">
        <v>1</v>
      </c>
    </row>
    <row r="22817" spans="1:3" s="8" customFormat="1" x14ac:dyDescent="0.2">
      <c r="A22817" s="6" t="str">
        <f>"CHTF8"</f>
        <v>CHTF8</v>
      </c>
      <c r="B22817" s="6" t="s">
        <v>1</v>
      </c>
      <c r="C22817" s="6" t="s">
        <v>1</v>
      </c>
    </row>
    <row r="22818" spans="1:3" s="8" customFormat="1" x14ac:dyDescent="0.2">
      <c r="A22818" s="6" t="str">
        <f>"ZNF609"</f>
        <v>ZNF609</v>
      </c>
      <c r="B22818" s="6" t="s">
        <v>1</v>
      </c>
      <c r="C22818" s="6" t="s">
        <v>1</v>
      </c>
    </row>
    <row r="22819" spans="1:3" s="8" customFormat="1" x14ac:dyDescent="0.2">
      <c r="A22819" s="6" t="str">
        <f>"LONP1"</f>
        <v>LONP1</v>
      </c>
      <c r="B22819" s="6" t="s">
        <v>1</v>
      </c>
      <c r="C22819" s="6" t="s">
        <v>1</v>
      </c>
    </row>
    <row r="22820" spans="1:3" s="8" customFormat="1" x14ac:dyDescent="0.2">
      <c r="A22820" s="6" t="str">
        <f>"CNP"</f>
        <v>CNP</v>
      </c>
      <c r="B22820" s="6" t="s">
        <v>1</v>
      </c>
      <c r="C22820" s="6" t="s">
        <v>1</v>
      </c>
    </row>
    <row r="22821" spans="1:3" s="8" customFormat="1" x14ac:dyDescent="0.2">
      <c r="A22821" s="6" t="str">
        <f>"EBNA1BP2"</f>
        <v>EBNA1BP2</v>
      </c>
      <c r="B22821" s="6" t="s">
        <v>1</v>
      </c>
      <c r="C22821" s="6" t="s">
        <v>1</v>
      </c>
    </row>
    <row r="22822" spans="1:3" s="8" customFormat="1" x14ac:dyDescent="0.2">
      <c r="A22822" s="6" t="str">
        <f>"BANF1"</f>
        <v>BANF1</v>
      </c>
      <c r="B22822" s="6" t="s">
        <v>1</v>
      </c>
      <c r="C22822" s="6" t="s">
        <v>1</v>
      </c>
    </row>
    <row r="22823" spans="1:3" s="8" customFormat="1" x14ac:dyDescent="0.2">
      <c r="A22823" s="6" t="str">
        <f>"CELF1"</f>
        <v>CELF1</v>
      </c>
      <c r="B22823" s="6" t="s">
        <v>1</v>
      </c>
      <c r="C22823" s="6" t="s">
        <v>1</v>
      </c>
    </row>
    <row r="22824" spans="1:3" s="8" customFormat="1" x14ac:dyDescent="0.2">
      <c r="A22824" s="6" t="str">
        <f>"SH3PXD2B"</f>
        <v>SH3PXD2B</v>
      </c>
      <c r="B22824" s="6" t="s">
        <v>1</v>
      </c>
      <c r="C22824" s="6" t="s">
        <v>1</v>
      </c>
    </row>
    <row r="22825" spans="1:3" s="8" customFormat="1" x14ac:dyDescent="0.2">
      <c r="A22825" s="6" t="str">
        <f>"SEL1L"</f>
        <v>SEL1L</v>
      </c>
      <c r="B22825" s="6" t="s">
        <v>1</v>
      </c>
      <c r="C22825" s="6" t="s">
        <v>1</v>
      </c>
    </row>
    <row r="22826" spans="1:3" s="8" customFormat="1" x14ac:dyDescent="0.2">
      <c r="A22826" s="6" t="str">
        <f>"LDLRAP1"</f>
        <v>LDLRAP1</v>
      </c>
      <c r="B22826" s="6" t="s">
        <v>1</v>
      </c>
      <c r="C22826" s="6" t="s">
        <v>1</v>
      </c>
    </row>
    <row r="22827" spans="1:3" s="8" customFormat="1" x14ac:dyDescent="0.2">
      <c r="A22827" s="6" t="str">
        <f>"OCIAD1"</f>
        <v>OCIAD1</v>
      </c>
      <c r="B22827" s="6" t="s">
        <v>1</v>
      </c>
      <c r="C22827" s="6" t="s">
        <v>1</v>
      </c>
    </row>
    <row r="22828" spans="1:3" s="8" customFormat="1" x14ac:dyDescent="0.2">
      <c r="A22828" s="6" t="str">
        <f>"LZTFL1"</f>
        <v>LZTFL1</v>
      </c>
      <c r="B22828" s="6" t="s">
        <v>1</v>
      </c>
      <c r="C22828" s="6" t="s">
        <v>1</v>
      </c>
    </row>
    <row r="22829" spans="1:3" s="8" customFormat="1" x14ac:dyDescent="0.2">
      <c r="A22829" s="6" t="str">
        <f>"MYO9B"</f>
        <v>MYO9B</v>
      </c>
      <c r="B22829" s="6" t="s">
        <v>1</v>
      </c>
      <c r="C22829" s="6" t="s">
        <v>1</v>
      </c>
    </row>
    <row r="22830" spans="1:3" s="8" customFormat="1" x14ac:dyDescent="0.2">
      <c r="A22830" s="6" t="str">
        <f>"KLF13"</f>
        <v>KLF13</v>
      </c>
      <c r="B22830" s="6" t="s">
        <v>1</v>
      </c>
      <c r="C22830" s="6" t="s">
        <v>1</v>
      </c>
    </row>
    <row r="22831" spans="1:3" s="8" customFormat="1" x14ac:dyDescent="0.2">
      <c r="A22831" s="6" t="str">
        <f>"DNAJC7"</f>
        <v>DNAJC7</v>
      </c>
      <c r="B22831" s="6" t="s">
        <v>1</v>
      </c>
      <c r="C22831" s="6" t="s">
        <v>1</v>
      </c>
    </row>
    <row r="22832" spans="1:3" s="8" customFormat="1" x14ac:dyDescent="0.2">
      <c r="A22832" s="6" t="str">
        <f>"OAS2"</f>
        <v>OAS2</v>
      </c>
      <c r="B22832" s="6" t="s">
        <v>1</v>
      </c>
      <c r="C22832" s="6" t="s">
        <v>1</v>
      </c>
    </row>
    <row r="22833" spans="1:3" s="8" customFormat="1" x14ac:dyDescent="0.2">
      <c r="A22833" s="6" t="str">
        <f>"VDAC2"</f>
        <v>VDAC2</v>
      </c>
      <c r="B22833" s="6" t="s">
        <v>1</v>
      </c>
      <c r="C22833" s="6" t="s">
        <v>1</v>
      </c>
    </row>
    <row r="22834" spans="1:3" s="8" customFormat="1" x14ac:dyDescent="0.2">
      <c r="A22834" s="6" t="str">
        <f>"TRIM22"</f>
        <v>TRIM22</v>
      </c>
      <c r="B22834" s="6" t="s">
        <v>1</v>
      </c>
      <c r="C22834" s="6" t="s">
        <v>1</v>
      </c>
    </row>
    <row r="22835" spans="1:3" s="8" customFormat="1" x14ac:dyDescent="0.2">
      <c r="A22835" s="6" t="str">
        <f>"RNF187"</f>
        <v>RNF187</v>
      </c>
      <c r="B22835" s="6" t="s">
        <v>1</v>
      </c>
      <c r="C22835" s="6" t="s">
        <v>1</v>
      </c>
    </row>
    <row r="22836" spans="1:3" s="8" customFormat="1" x14ac:dyDescent="0.2">
      <c r="A22836" s="6" t="str">
        <f>"NOLC1"</f>
        <v>NOLC1</v>
      </c>
      <c r="B22836" s="6" t="s">
        <v>1</v>
      </c>
      <c r="C22836" s="6" t="s">
        <v>1</v>
      </c>
    </row>
    <row r="22837" spans="1:3" s="8" customFormat="1" x14ac:dyDescent="0.2">
      <c r="A22837" s="6" t="str">
        <f>"OAZ2"</f>
        <v>OAZ2</v>
      </c>
      <c r="B22837" s="6" t="s">
        <v>1</v>
      </c>
      <c r="C22837" s="6" t="s">
        <v>1</v>
      </c>
    </row>
    <row r="22838" spans="1:3" s="8" customFormat="1" x14ac:dyDescent="0.2">
      <c r="A22838" s="6" t="str">
        <f>"PTPN18"</f>
        <v>PTPN18</v>
      </c>
      <c r="B22838" s="6" t="s">
        <v>1</v>
      </c>
      <c r="C22838" s="6" t="s">
        <v>1</v>
      </c>
    </row>
    <row r="22839" spans="1:3" s="8" customFormat="1" x14ac:dyDescent="0.2">
      <c r="A22839" s="6" t="str">
        <f>"VEZF1"</f>
        <v>VEZF1</v>
      </c>
      <c r="B22839" s="6" t="s">
        <v>1</v>
      </c>
      <c r="C22839" s="6" t="s">
        <v>1</v>
      </c>
    </row>
    <row r="22840" spans="1:3" s="8" customFormat="1" x14ac:dyDescent="0.2">
      <c r="A22840" s="6" t="str">
        <f>"VIM"</f>
        <v>VIM</v>
      </c>
      <c r="B22840" s="6" t="s">
        <v>1</v>
      </c>
      <c r="C22840" s="6" t="s">
        <v>1</v>
      </c>
    </row>
    <row r="22841" spans="1:3" s="8" customFormat="1" x14ac:dyDescent="0.2">
      <c r="A22841" s="6" t="str">
        <f>"LDLR"</f>
        <v>LDLR</v>
      </c>
      <c r="B22841" s="6" t="s">
        <v>1</v>
      </c>
      <c r="C22841" s="6" t="s">
        <v>1</v>
      </c>
    </row>
    <row r="22842" spans="1:3" s="8" customFormat="1" x14ac:dyDescent="0.2">
      <c r="A22842" s="6" t="str">
        <f>"PTPRC"</f>
        <v>PTPRC</v>
      </c>
      <c r="B22842" s="6" t="s">
        <v>1</v>
      </c>
      <c r="C22842" s="6" t="s">
        <v>1</v>
      </c>
    </row>
    <row r="22843" spans="1:3" s="8" customFormat="1" x14ac:dyDescent="0.2">
      <c r="A22843" s="6" t="str">
        <f>"NUP214"</f>
        <v>NUP214</v>
      </c>
      <c r="B22843" s="6" t="s">
        <v>1</v>
      </c>
      <c r="C22843" s="6" t="s">
        <v>1</v>
      </c>
    </row>
    <row r="22844" spans="1:3" s="8" customFormat="1" x14ac:dyDescent="0.2">
      <c r="A22844" s="6" t="str">
        <f>"ZBTB7B"</f>
        <v>ZBTB7B</v>
      </c>
      <c r="B22844" s="6" t="s">
        <v>1</v>
      </c>
      <c r="C22844" s="6" t="s">
        <v>1</v>
      </c>
    </row>
    <row r="22845" spans="1:3" s="8" customFormat="1" x14ac:dyDescent="0.2">
      <c r="A22845" s="6" t="str">
        <f>"OAS1"</f>
        <v>OAS1</v>
      </c>
      <c r="B22845" s="6" t="s">
        <v>1</v>
      </c>
      <c r="C22845" s="6" t="s">
        <v>1</v>
      </c>
    </row>
    <row r="22846" spans="1:3" s="8" customFormat="1" x14ac:dyDescent="0.2">
      <c r="A22846" s="6" t="str">
        <f>"IFI30"</f>
        <v>IFI30</v>
      </c>
      <c r="B22846" s="6" t="s">
        <v>1</v>
      </c>
      <c r="C22846" s="6" t="s">
        <v>1</v>
      </c>
    </row>
    <row r="22847" spans="1:3" s="8" customFormat="1" x14ac:dyDescent="0.2">
      <c r="A22847" s="6" t="str">
        <f>"PHF3"</f>
        <v>PHF3</v>
      </c>
      <c r="B22847" s="6" t="s">
        <v>1</v>
      </c>
      <c r="C22847" s="6" t="s">
        <v>1</v>
      </c>
    </row>
    <row r="22848" spans="1:3" s="8" customFormat="1" x14ac:dyDescent="0.2">
      <c r="A22848" s="6" t="str">
        <f>"B4GALT4"</f>
        <v>B4GALT4</v>
      </c>
      <c r="B22848" s="6" t="s">
        <v>1</v>
      </c>
      <c r="C22848" s="6" t="s">
        <v>1</v>
      </c>
    </row>
    <row r="22849" spans="1:3" s="8" customFormat="1" x14ac:dyDescent="0.2">
      <c r="A22849" s="6" t="str">
        <f>"FARP1"</f>
        <v>FARP1</v>
      </c>
      <c r="B22849" s="6" t="s">
        <v>1</v>
      </c>
      <c r="C22849" s="6" t="s">
        <v>1</v>
      </c>
    </row>
    <row r="22850" spans="1:3" s="8" customFormat="1" x14ac:dyDescent="0.2">
      <c r="A22850" s="6" t="str">
        <f>"INSR"</f>
        <v>INSR</v>
      </c>
      <c r="B22850" s="6" t="s">
        <v>1</v>
      </c>
      <c r="C22850" s="6" t="s">
        <v>1</v>
      </c>
    </row>
    <row r="22851" spans="1:3" s="8" customFormat="1" x14ac:dyDescent="0.2">
      <c r="A22851" s="6" t="str">
        <f>"EML4"</f>
        <v>EML4</v>
      </c>
      <c r="B22851" s="6" t="s">
        <v>1</v>
      </c>
      <c r="C22851" s="6" t="s">
        <v>1</v>
      </c>
    </row>
    <row r="22852" spans="1:3" s="8" customFormat="1" x14ac:dyDescent="0.2">
      <c r="A22852" s="6" t="str">
        <f>"RNF152"</f>
        <v>RNF152</v>
      </c>
      <c r="B22852" s="6" t="s">
        <v>1</v>
      </c>
      <c r="C22852" s="6" t="s">
        <v>1</v>
      </c>
    </row>
    <row r="22853" spans="1:3" s="8" customFormat="1" x14ac:dyDescent="0.2">
      <c r="A22853" s="6" t="str">
        <f>"ZZEF1"</f>
        <v>ZZEF1</v>
      </c>
      <c r="B22853" s="6" t="s">
        <v>1</v>
      </c>
      <c r="C22853" s="6" t="s">
        <v>1</v>
      </c>
    </row>
    <row r="22854" spans="1:3" s="8" customFormat="1" x14ac:dyDescent="0.2">
      <c r="A22854" s="6" t="str">
        <f>"EXPH5"</f>
        <v>EXPH5</v>
      </c>
      <c r="B22854" s="6" t="s">
        <v>1</v>
      </c>
      <c r="C22854" s="6" t="s">
        <v>1</v>
      </c>
    </row>
    <row r="22855" spans="1:3" s="8" customFormat="1" x14ac:dyDescent="0.2">
      <c r="A22855" s="6" t="str">
        <f>"GAA"</f>
        <v>GAA</v>
      </c>
      <c r="B22855" s="6" t="s">
        <v>1</v>
      </c>
      <c r="C22855" s="6" t="s">
        <v>1</v>
      </c>
    </row>
    <row r="22856" spans="1:3" s="8" customFormat="1" x14ac:dyDescent="0.2">
      <c r="A22856" s="6" t="str">
        <f>"PACS1"</f>
        <v>PACS1</v>
      </c>
      <c r="B22856" s="6" t="s">
        <v>1</v>
      </c>
      <c r="C22856" s="6" t="s">
        <v>1</v>
      </c>
    </row>
    <row r="22857" spans="1:3" s="8" customFormat="1" x14ac:dyDescent="0.2">
      <c r="A22857" s="6" t="str">
        <f>"B4GALNT3"</f>
        <v>B4GALNT3</v>
      </c>
      <c r="B22857" s="6" t="s">
        <v>1</v>
      </c>
      <c r="C22857" s="6" t="s">
        <v>1</v>
      </c>
    </row>
    <row r="22858" spans="1:3" s="8" customFormat="1" x14ac:dyDescent="0.2">
      <c r="A22858" s="6" t="str">
        <f>"MED15"</f>
        <v>MED15</v>
      </c>
      <c r="B22858" s="6" t="s">
        <v>1</v>
      </c>
      <c r="C22858" s="6" t="s">
        <v>1</v>
      </c>
    </row>
    <row r="22859" spans="1:3" s="8" customFormat="1" x14ac:dyDescent="0.2">
      <c r="A22859" s="6" t="str">
        <f>"MYO18A"</f>
        <v>MYO18A</v>
      </c>
      <c r="B22859" s="6" t="s">
        <v>1</v>
      </c>
      <c r="C22859" s="6" t="s">
        <v>1</v>
      </c>
    </row>
    <row r="22860" spans="1:3" s="8" customFormat="1" x14ac:dyDescent="0.2">
      <c r="A22860" s="6" t="str">
        <f>"TTYH3"</f>
        <v>TTYH3</v>
      </c>
      <c r="B22860" s="6" t="s">
        <v>1</v>
      </c>
      <c r="C22860" s="6" t="s">
        <v>1</v>
      </c>
    </row>
    <row r="22861" spans="1:3" s="8" customFormat="1" x14ac:dyDescent="0.2">
      <c r="A22861" s="6" t="str">
        <f>"LONP2"</f>
        <v>LONP2</v>
      </c>
      <c r="B22861" s="6" t="s">
        <v>1</v>
      </c>
      <c r="C22861" s="6" t="s">
        <v>1</v>
      </c>
    </row>
    <row r="22862" spans="1:3" s="8" customFormat="1" x14ac:dyDescent="0.2">
      <c r="A22862" s="6" t="str">
        <f>"NYNRIN"</f>
        <v>NYNRIN</v>
      </c>
      <c r="B22862" s="6" t="s">
        <v>1</v>
      </c>
      <c r="C22862" s="6" t="s">
        <v>1</v>
      </c>
    </row>
    <row r="22863" spans="1:3" s="8" customFormat="1" x14ac:dyDescent="0.2">
      <c r="A22863" s="6" t="str">
        <f>"VDAC3"</f>
        <v>VDAC3</v>
      </c>
      <c r="B22863" s="6" t="s">
        <v>1</v>
      </c>
      <c r="C22863" s="6" t="s">
        <v>1</v>
      </c>
    </row>
    <row r="22864" spans="1:3" s="8" customFormat="1" x14ac:dyDescent="0.2">
      <c r="A22864" s="6" t="str">
        <f>"IER3"</f>
        <v>IER3</v>
      </c>
      <c r="B22864" s="6" t="s">
        <v>1</v>
      </c>
      <c r="C22864" s="6" t="s">
        <v>1</v>
      </c>
    </row>
    <row r="22865" spans="1:3" s="8" customFormat="1" x14ac:dyDescent="0.2">
      <c r="A22865" s="6" t="str">
        <f>"IPO7"</f>
        <v>IPO7</v>
      </c>
      <c r="B22865" s="6" t="s">
        <v>1</v>
      </c>
      <c r="C22865" s="6" t="s">
        <v>1</v>
      </c>
    </row>
    <row r="22866" spans="1:3" s="8" customFormat="1" x14ac:dyDescent="0.2">
      <c r="A22866" s="6" t="str">
        <f>"SRRT"</f>
        <v>SRRT</v>
      </c>
      <c r="B22866" s="6" t="s">
        <v>1</v>
      </c>
      <c r="C22866" s="6" t="s">
        <v>1</v>
      </c>
    </row>
    <row r="22867" spans="1:3" s="8" customFormat="1" x14ac:dyDescent="0.2">
      <c r="A22867" s="6" t="str">
        <f>"PDCD6"</f>
        <v>PDCD6</v>
      </c>
      <c r="B22867" s="6" t="s">
        <v>1</v>
      </c>
      <c r="C22867" s="6" t="s">
        <v>1</v>
      </c>
    </row>
    <row r="22868" spans="1:3" s="8" customFormat="1" x14ac:dyDescent="0.2">
      <c r="A22868" s="6" t="str">
        <f>"M6PR"</f>
        <v>M6PR</v>
      </c>
      <c r="B22868" s="6" t="s">
        <v>1</v>
      </c>
      <c r="C22868" s="6" t="s">
        <v>1</v>
      </c>
    </row>
    <row r="22869" spans="1:3" s="8" customFormat="1" x14ac:dyDescent="0.2">
      <c r="A22869" s="6" t="str">
        <f>"ELOB"</f>
        <v>ELOB</v>
      </c>
      <c r="B22869" s="6" t="s">
        <v>1</v>
      </c>
      <c r="C22869" s="6" t="s">
        <v>1</v>
      </c>
    </row>
    <row r="22870" spans="1:3" s="8" customFormat="1" x14ac:dyDescent="0.2">
      <c r="A22870" s="6" t="str">
        <f>"IFNAR1"</f>
        <v>IFNAR1</v>
      </c>
      <c r="B22870" s="6" t="s">
        <v>1</v>
      </c>
      <c r="C22870" s="6" t="s">
        <v>1</v>
      </c>
    </row>
    <row r="22871" spans="1:3" s="8" customFormat="1" x14ac:dyDescent="0.2">
      <c r="A22871" s="6" t="str">
        <f>"SORBS3"</f>
        <v>SORBS3</v>
      </c>
      <c r="B22871" s="6" t="s">
        <v>1</v>
      </c>
      <c r="C22871" s="6" t="s">
        <v>1</v>
      </c>
    </row>
    <row r="22872" spans="1:3" s="8" customFormat="1" x14ac:dyDescent="0.2">
      <c r="A22872" s="6" t="str">
        <f>"FKBP9"</f>
        <v>FKBP9</v>
      </c>
      <c r="B22872" s="6" t="s">
        <v>1</v>
      </c>
      <c r="C22872" s="6" t="s">
        <v>1</v>
      </c>
    </row>
    <row r="22873" spans="1:3" s="8" customFormat="1" x14ac:dyDescent="0.2">
      <c r="A22873" s="6" t="str">
        <f>"SELENOF"</f>
        <v>SELENOF</v>
      </c>
      <c r="B22873" s="6" t="s">
        <v>1</v>
      </c>
      <c r="C22873" s="6" t="s">
        <v>1</v>
      </c>
    </row>
    <row r="22874" spans="1:3" s="8" customFormat="1" x14ac:dyDescent="0.2">
      <c r="A22874" s="6" t="str">
        <f>"ZC3H7B"</f>
        <v>ZC3H7B</v>
      </c>
      <c r="B22874" s="6" t="s">
        <v>1</v>
      </c>
      <c r="C22874" s="6" t="s">
        <v>1</v>
      </c>
    </row>
    <row r="22875" spans="1:3" s="8" customFormat="1" x14ac:dyDescent="0.2">
      <c r="A22875" s="6" t="str">
        <f>"CEBPD"</f>
        <v>CEBPD</v>
      </c>
      <c r="B22875" s="6" t="s">
        <v>1</v>
      </c>
      <c r="C22875" s="6" t="s">
        <v>1</v>
      </c>
    </row>
    <row r="22876" spans="1:3" s="8" customFormat="1" x14ac:dyDescent="0.2">
      <c r="A22876" s="6" t="str">
        <f>"IFT22"</f>
        <v>IFT22</v>
      </c>
      <c r="B22876" s="6" t="s">
        <v>1</v>
      </c>
      <c r="C22876" s="6" t="s">
        <v>1</v>
      </c>
    </row>
    <row r="22877" spans="1:3" s="8" customFormat="1" x14ac:dyDescent="0.2">
      <c r="A22877" s="6" t="str">
        <f>"PTPN11"</f>
        <v>PTPN11</v>
      </c>
      <c r="B22877" s="6" t="s">
        <v>1</v>
      </c>
      <c r="C22877" s="6" t="s">
        <v>1</v>
      </c>
    </row>
    <row r="22878" spans="1:3" s="8" customFormat="1" x14ac:dyDescent="0.2">
      <c r="A22878" s="6" t="str">
        <f>"ECHS1"</f>
        <v>ECHS1</v>
      </c>
      <c r="B22878" s="6" t="s">
        <v>1</v>
      </c>
      <c r="C22878" s="6" t="s">
        <v>1</v>
      </c>
    </row>
    <row r="22879" spans="1:3" s="8" customFormat="1" x14ac:dyDescent="0.2">
      <c r="A22879" s="6" t="str">
        <f>"STXBP2"</f>
        <v>STXBP2</v>
      </c>
      <c r="B22879" s="6" t="s">
        <v>1</v>
      </c>
      <c r="C22879" s="6" t="s">
        <v>1</v>
      </c>
    </row>
    <row r="22880" spans="1:3" s="8" customFormat="1" x14ac:dyDescent="0.2">
      <c r="A22880" s="6" t="str">
        <f>"CHPF"</f>
        <v>CHPF</v>
      </c>
      <c r="B22880" s="6" t="s">
        <v>1</v>
      </c>
      <c r="C22880" s="6" t="s">
        <v>1</v>
      </c>
    </row>
    <row r="22881" spans="1:3" s="8" customFormat="1" x14ac:dyDescent="0.2">
      <c r="A22881" s="6" t="str">
        <f>"CASP7"</f>
        <v>CASP7</v>
      </c>
      <c r="B22881" s="6" t="s">
        <v>1</v>
      </c>
      <c r="C22881" s="6" t="s">
        <v>1</v>
      </c>
    </row>
    <row r="22882" spans="1:3" s="8" customFormat="1" x14ac:dyDescent="0.2">
      <c r="A22882" s="6" t="str">
        <f>"RNF167"</f>
        <v>RNF167</v>
      </c>
      <c r="B22882" s="6" t="s">
        <v>1</v>
      </c>
      <c r="C22882" s="6" t="s">
        <v>1</v>
      </c>
    </row>
    <row r="22883" spans="1:3" s="8" customFormat="1" x14ac:dyDescent="0.2">
      <c r="A22883" s="6" t="str">
        <f>"ADI1"</f>
        <v>ADI1</v>
      </c>
      <c r="B22883" s="6" t="s">
        <v>1</v>
      </c>
      <c r="C22883" s="6" t="s">
        <v>1</v>
      </c>
    </row>
    <row r="22884" spans="1:3" s="8" customFormat="1" x14ac:dyDescent="0.2">
      <c r="A22884" s="6" t="str">
        <f>"GALNT4"</f>
        <v>GALNT4</v>
      </c>
      <c r="B22884" s="6" t="s">
        <v>1</v>
      </c>
      <c r="C22884" s="6" t="s">
        <v>1</v>
      </c>
    </row>
    <row r="22885" spans="1:3" s="8" customFormat="1" x14ac:dyDescent="0.2">
      <c r="A22885" s="6" t="str">
        <f>"LPGAT1"</f>
        <v>LPGAT1</v>
      </c>
      <c r="B22885" s="6" t="s">
        <v>1</v>
      </c>
      <c r="C22885" s="6" t="s">
        <v>1</v>
      </c>
    </row>
    <row r="22886" spans="1:3" s="8" customFormat="1" x14ac:dyDescent="0.2">
      <c r="A22886" s="6" t="str">
        <f>"JTB"</f>
        <v>JTB</v>
      </c>
      <c r="B22886" s="6" t="s">
        <v>1</v>
      </c>
      <c r="C22886" s="6" t="s">
        <v>1</v>
      </c>
    </row>
    <row r="22887" spans="1:3" s="8" customFormat="1" x14ac:dyDescent="0.2">
      <c r="A22887" s="6" t="str">
        <f>"MCM3AP"</f>
        <v>MCM3AP</v>
      </c>
      <c r="B22887" s="6" t="s">
        <v>1</v>
      </c>
      <c r="C22887" s="6" t="s">
        <v>1</v>
      </c>
    </row>
    <row r="22888" spans="1:3" s="8" customFormat="1" x14ac:dyDescent="0.2">
      <c r="A22888" s="6" t="str">
        <f>"NUP98"</f>
        <v>NUP98</v>
      </c>
      <c r="B22888" s="6" t="s">
        <v>1</v>
      </c>
      <c r="C22888" s="6" t="s">
        <v>1</v>
      </c>
    </row>
    <row r="22889" spans="1:3" s="8" customFormat="1" x14ac:dyDescent="0.2">
      <c r="A22889" s="6" t="str">
        <f>"LPP"</f>
        <v>LPP</v>
      </c>
      <c r="B22889" s="6" t="s">
        <v>1</v>
      </c>
      <c r="C22889" s="6" t="s">
        <v>1</v>
      </c>
    </row>
    <row r="22890" spans="1:3" s="8" customFormat="1" x14ac:dyDescent="0.2">
      <c r="A22890" s="6" t="str">
        <f>"NOL6"</f>
        <v>NOL6</v>
      </c>
      <c r="B22890" s="6" t="s">
        <v>1</v>
      </c>
      <c r="C22890" s="6" t="s">
        <v>1</v>
      </c>
    </row>
    <row r="22891" spans="1:3" s="8" customFormat="1" x14ac:dyDescent="0.2">
      <c r="A22891" s="6" t="str">
        <f>"LGALS9"</f>
        <v>LGALS9</v>
      </c>
      <c r="B22891" s="6" t="s">
        <v>1</v>
      </c>
      <c r="C22891" s="6" t="s">
        <v>1</v>
      </c>
    </row>
    <row r="22892" spans="1:3" s="8" customFormat="1" x14ac:dyDescent="0.2">
      <c r="A22892" s="6" t="str">
        <f>"BRD4"</f>
        <v>BRD4</v>
      </c>
      <c r="B22892" s="6" t="s">
        <v>1</v>
      </c>
      <c r="C22892" s="6" t="s">
        <v>1</v>
      </c>
    </row>
    <row r="22893" spans="1:3" s="8" customFormat="1" x14ac:dyDescent="0.2">
      <c r="A22893" s="6" t="str">
        <f>"FAM83E"</f>
        <v>FAM83E</v>
      </c>
      <c r="B22893" s="6" t="s">
        <v>1</v>
      </c>
      <c r="C22893" s="6" t="s">
        <v>1</v>
      </c>
    </row>
    <row r="22894" spans="1:3" s="8" customFormat="1" x14ac:dyDescent="0.2">
      <c r="A22894" s="6" t="str">
        <f>"CEMIP2"</f>
        <v>CEMIP2</v>
      </c>
      <c r="B22894" s="6" t="s">
        <v>1</v>
      </c>
      <c r="C22894" s="6" t="s">
        <v>1</v>
      </c>
    </row>
    <row r="22895" spans="1:3" s="8" customFormat="1" x14ac:dyDescent="0.2">
      <c r="A22895" s="6" t="str">
        <f>"MED13L"</f>
        <v>MED13L</v>
      </c>
      <c r="B22895" s="6" t="s">
        <v>1</v>
      </c>
      <c r="C22895" s="6" t="s">
        <v>1</v>
      </c>
    </row>
    <row r="22896" spans="1:3" s="8" customFormat="1" x14ac:dyDescent="0.2">
      <c r="A22896" s="6" t="str">
        <f>"HMG20B"</f>
        <v>HMG20B</v>
      </c>
      <c r="B22896" s="6" t="s">
        <v>1</v>
      </c>
      <c r="C22896" s="6" t="s">
        <v>1</v>
      </c>
    </row>
    <row r="22897" spans="1:3" s="8" customFormat="1" x14ac:dyDescent="0.2">
      <c r="A22897" s="6" t="str">
        <f>"NDUFV2"</f>
        <v>NDUFV2</v>
      </c>
      <c r="B22897" s="6" t="s">
        <v>1</v>
      </c>
      <c r="C22897" s="6" t="s">
        <v>1</v>
      </c>
    </row>
    <row r="22898" spans="1:3" s="8" customFormat="1" x14ac:dyDescent="0.2">
      <c r="A22898" s="6" t="str">
        <f>"VMP1"</f>
        <v>VMP1</v>
      </c>
      <c r="B22898" s="6" t="s">
        <v>1</v>
      </c>
      <c r="C22898" s="6" t="s">
        <v>1</v>
      </c>
    </row>
    <row r="22899" spans="1:3" s="8" customFormat="1" x14ac:dyDescent="0.2">
      <c r="A22899" s="6" t="str">
        <f>"RNF130"</f>
        <v>RNF130</v>
      </c>
      <c r="B22899" s="6" t="s">
        <v>1</v>
      </c>
      <c r="C22899" s="6" t="s">
        <v>1</v>
      </c>
    </row>
    <row r="22900" spans="1:3" s="8" customFormat="1" x14ac:dyDescent="0.2">
      <c r="A22900" s="6" t="str">
        <f>"RAN"</f>
        <v>RAN</v>
      </c>
      <c r="B22900" s="6" t="s">
        <v>1</v>
      </c>
      <c r="C22900" s="6" t="s">
        <v>1</v>
      </c>
    </row>
    <row r="22901" spans="1:3" s="8" customFormat="1" x14ac:dyDescent="0.2">
      <c r="A22901" s="6" t="str">
        <f>"GALNT3"</f>
        <v>GALNT3</v>
      </c>
      <c r="B22901" s="6" t="s">
        <v>1</v>
      </c>
      <c r="C22901" s="6" t="s">
        <v>1</v>
      </c>
    </row>
    <row r="22902" spans="1:3" s="8" customFormat="1" x14ac:dyDescent="0.2">
      <c r="A22902" s="6" t="str">
        <f>"PACSIN2"</f>
        <v>PACSIN2</v>
      </c>
      <c r="B22902" s="6" t="s">
        <v>1</v>
      </c>
      <c r="C22902" s="6" t="s">
        <v>1</v>
      </c>
    </row>
    <row r="22903" spans="1:3" s="8" customFormat="1" x14ac:dyDescent="0.2">
      <c r="A22903" s="6" t="str">
        <f>"IPO5"</f>
        <v>IPO5</v>
      </c>
      <c r="B22903" s="6" t="s">
        <v>1</v>
      </c>
      <c r="C22903" s="6" t="s">
        <v>1</v>
      </c>
    </row>
    <row r="22904" spans="1:3" s="8" customFormat="1" x14ac:dyDescent="0.2">
      <c r="A22904" s="6" t="str">
        <f>"WNT7B"</f>
        <v>WNT7B</v>
      </c>
      <c r="B22904" s="6" t="s">
        <v>1</v>
      </c>
      <c r="C22904" s="6" t="s">
        <v>1</v>
      </c>
    </row>
    <row r="22905" spans="1:3" s="8" customFormat="1" x14ac:dyDescent="0.2">
      <c r="A22905" s="6" t="str">
        <f>"SLMAP"</f>
        <v>SLMAP</v>
      </c>
      <c r="B22905" s="6" t="s">
        <v>1</v>
      </c>
      <c r="C22905" s="6" t="s">
        <v>1</v>
      </c>
    </row>
    <row r="22906" spans="1:3" s="8" customFormat="1" x14ac:dyDescent="0.2">
      <c r="A22906" s="6" t="str">
        <f>"BAG3"</f>
        <v>BAG3</v>
      </c>
      <c r="B22906" s="6" t="s">
        <v>1</v>
      </c>
      <c r="C22906" s="6" t="s">
        <v>1</v>
      </c>
    </row>
    <row r="22907" spans="1:3" s="8" customFormat="1" x14ac:dyDescent="0.2">
      <c r="A22907" s="6" t="str">
        <f>"IFNGR1"</f>
        <v>IFNGR1</v>
      </c>
      <c r="B22907" s="6" t="s">
        <v>1</v>
      </c>
      <c r="C22907" s="6" t="s">
        <v>1</v>
      </c>
    </row>
    <row r="22908" spans="1:3" s="8" customFormat="1" x14ac:dyDescent="0.2">
      <c r="A22908" s="6" t="str">
        <f>"NPIPB5"</f>
        <v>NPIPB5</v>
      </c>
      <c r="B22908" s="6" t="s">
        <v>1</v>
      </c>
      <c r="C22908" s="6" t="s">
        <v>1</v>
      </c>
    </row>
    <row r="22909" spans="1:3" s="8" customFormat="1" x14ac:dyDescent="0.2">
      <c r="A22909" s="6" t="str">
        <f>"GRHL2"</f>
        <v>GRHL2</v>
      </c>
      <c r="B22909" s="6" t="s">
        <v>1</v>
      </c>
      <c r="C22909" s="6" t="s">
        <v>1</v>
      </c>
    </row>
    <row r="22910" spans="1:3" s="8" customFormat="1" x14ac:dyDescent="0.2">
      <c r="A22910" s="6" t="str">
        <f>"IFITM1"</f>
        <v>IFITM1</v>
      </c>
      <c r="B22910" s="6" t="s">
        <v>1</v>
      </c>
      <c r="C22910" s="6" t="s">
        <v>1</v>
      </c>
    </row>
    <row r="22911" spans="1:3" s="8" customFormat="1" x14ac:dyDescent="0.2">
      <c r="A22911" s="6" t="str">
        <f>"PLIN3"</f>
        <v>PLIN3</v>
      </c>
      <c r="B22911" s="6" t="s">
        <v>1</v>
      </c>
      <c r="C22911" s="6" t="s">
        <v>1</v>
      </c>
    </row>
    <row r="22912" spans="1:3" s="8" customFormat="1" x14ac:dyDescent="0.2">
      <c r="A22912" s="6" t="str">
        <f>"ADSS2"</f>
        <v>ADSS2</v>
      </c>
      <c r="B22912" s="6" t="s">
        <v>1</v>
      </c>
      <c r="C22912" s="6" t="s">
        <v>1</v>
      </c>
    </row>
    <row r="22913" spans="1:3" s="8" customFormat="1" x14ac:dyDescent="0.2">
      <c r="A22913" s="6" t="str">
        <f>"G0S2"</f>
        <v>G0S2</v>
      </c>
      <c r="B22913" s="6" t="s">
        <v>1</v>
      </c>
      <c r="C22913" s="6" t="s">
        <v>1</v>
      </c>
    </row>
    <row r="22914" spans="1:3" s="8" customFormat="1" x14ac:dyDescent="0.2">
      <c r="A22914" s="6" t="str">
        <f>"ECPAS"</f>
        <v>ECPAS</v>
      </c>
      <c r="B22914" s="6" t="s">
        <v>1</v>
      </c>
      <c r="C22914" s="6" t="s">
        <v>1</v>
      </c>
    </row>
    <row r="22915" spans="1:3" s="8" customFormat="1" x14ac:dyDescent="0.2">
      <c r="A22915" s="6" t="str">
        <f>"NUMB"</f>
        <v>NUMB</v>
      </c>
      <c r="B22915" s="6" t="s">
        <v>1</v>
      </c>
      <c r="C22915" s="6" t="s">
        <v>1</v>
      </c>
    </row>
    <row r="22916" spans="1:3" s="8" customFormat="1" x14ac:dyDescent="0.2">
      <c r="A22916" s="6" t="str">
        <f>"SRRM1"</f>
        <v>SRRM1</v>
      </c>
      <c r="B22916" s="6" t="s">
        <v>1</v>
      </c>
      <c r="C22916" s="6" t="s">
        <v>1</v>
      </c>
    </row>
    <row r="22917" spans="1:3" s="8" customFormat="1" x14ac:dyDescent="0.2">
      <c r="A22917" s="6" t="str">
        <f>"SAA1"</f>
        <v>SAA1</v>
      </c>
      <c r="B22917" s="6" t="s">
        <v>1</v>
      </c>
      <c r="C22917" s="6" t="s">
        <v>1</v>
      </c>
    </row>
    <row r="22918" spans="1:3" s="8" customFormat="1" x14ac:dyDescent="0.2">
      <c r="A22918" s="6" t="str">
        <f>"SMARCC2"</f>
        <v>SMARCC2</v>
      </c>
      <c r="B22918" s="6" t="s">
        <v>1</v>
      </c>
      <c r="C22918" s="6" t="s">
        <v>1</v>
      </c>
    </row>
    <row r="22919" spans="1:3" s="8" customFormat="1" x14ac:dyDescent="0.2">
      <c r="A22919" s="6" t="str">
        <f>"NEK10"</f>
        <v>NEK10</v>
      </c>
      <c r="B22919" s="6" t="s">
        <v>1</v>
      </c>
      <c r="C22919" s="6" t="s">
        <v>1</v>
      </c>
    </row>
    <row r="22920" spans="1:3" s="8" customFormat="1" x14ac:dyDescent="0.2">
      <c r="A22920" s="6" t="str">
        <f>"RETREG2"</f>
        <v>RETREG2</v>
      </c>
      <c r="B22920" s="6" t="s">
        <v>1</v>
      </c>
      <c r="C22920" s="6" t="s">
        <v>1</v>
      </c>
    </row>
    <row r="22921" spans="1:3" s="8" customFormat="1" x14ac:dyDescent="0.2">
      <c r="A22921" s="6" t="str">
        <f>"CYP2A6"</f>
        <v>CYP2A6</v>
      </c>
      <c r="B22921" s="6" t="s">
        <v>1</v>
      </c>
      <c r="C22921" s="6" t="s">
        <v>1</v>
      </c>
    </row>
    <row r="22922" spans="1:3" s="8" customFormat="1" x14ac:dyDescent="0.2">
      <c r="A22922" s="6" t="str">
        <f>"RAF1"</f>
        <v>RAF1</v>
      </c>
      <c r="B22922" s="6" t="s">
        <v>1</v>
      </c>
      <c r="C22922" s="6" t="s">
        <v>1</v>
      </c>
    </row>
    <row r="22923" spans="1:3" s="8" customFormat="1" x14ac:dyDescent="0.2">
      <c r="A22923" s="6" t="str">
        <f>"NDUFS1"</f>
        <v>NDUFS1</v>
      </c>
      <c r="B22923" s="6" t="s">
        <v>1</v>
      </c>
      <c r="C22923" s="6" t="s">
        <v>1</v>
      </c>
    </row>
    <row r="22924" spans="1:3" s="8" customFormat="1" x14ac:dyDescent="0.2">
      <c r="A22924" s="6" t="str">
        <f>"CASP4"</f>
        <v>CASP4</v>
      </c>
      <c r="B22924" s="6" t="s">
        <v>1</v>
      </c>
      <c r="C22924" s="6" t="s">
        <v>1</v>
      </c>
    </row>
    <row r="22925" spans="1:3" s="8" customFormat="1" x14ac:dyDescent="0.2">
      <c r="A22925" s="6" t="str">
        <f>"ADNP"</f>
        <v>ADNP</v>
      </c>
      <c r="B22925" s="6" t="s">
        <v>1</v>
      </c>
      <c r="C22925" s="6" t="s">
        <v>1</v>
      </c>
    </row>
    <row r="22926" spans="1:3" s="8" customFormat="1" x14ac:dyDescent="0.2">
      <c r="A22926" s="6" t="str">
        <f>"PAF1"</f>
        <v>PAF1</v>
      </c>
      <c r="B22926" s="6" t="s">
        <v>1</v>
      </c>
      <c r="C22926" s="6" t="s">
        <v>1</v>
      </c>
    </row>
    <row r="22927" spans="1:3" s="8" customFormat="1" x14ac:dyDescent="0.2">
      <c r="A22927" s="6" t="str">
        <f>"P4HTM"</f>
        <v>P4HTM</v>
      </c>
      <c r="B22927" s="6" t="s">
        <v>1</v>
      </c>
      <c r="C22927" s="6" t="s">
        <v>1</v>
      </c>
    </row>
    <row r="22928" spans="1:3" s="8" customFormat="1" x14ac:dyDescent="0.2">
      <c r="A22928" s="6" t="str">
        <f>"HACD3"</f>
        <v>HACD3</v>
      </c>
      <c r="B22928" s="6" t="s">
        <v>1</v>
      </c>
      <c r="C22928" s="6" t="s">
        <v>1</v>
      </c>
    </row>
    <row r="22929" spans="1:3" s="8" customFormat="1" x14ac:dyDescent="0.2">
      <c r="A22929" s="6" t="str">
        <f>"ODF2"</f>
        <v>ODF2</v>
      </c>
      <c r="B22929" s="6" t="s">
        <v>1</v>
      </c>
      <c r="C22929" s="6" t="s">
        <v>1</v>
      </c>
    </row>
    <row r="22930" spans="1:3" s="8" customFormat="1" x14ac:dyDescent="0.2">
      <c r="A22930" s="6" t="str">
        <f>"TNFRSF1A"</f>
        <v>TNFRSF1A</v>
      </c>
      <c r="B22930" s="6" t="s">
        <v>1</v>
      </c>
      <c r="C22930" s="6" t="s">
        <v>1</v>
      </c>
    </row>
    <row r="22931" spans="1:3" s="8" customFormat="1" x14ac:dyDescent="0.2">
      <c r="A22931" s="6" t="str">
        <f>"MRTFB"</f>
        <v>MRTFB</v>
      </c>
      <c r="B22931" s="6" t="s">
        <v>1</v>
      </c>
      <c r="C22931" s="6" t="s">
        <v>1</v>
      </c>
    </row>
    <row r="22932" spans="1:3" s="8" customFormat="1" x14ac:dyDescent="0.2">
      <c r="A22932" s="6" t="str">
        <f>"RALBP1"</f>
        <v>RALBP1</v>
      </c>
      <c r="B22932" s="6" t="s">
        <v>1</v>
      </c>
      <c r="C22932" s="6" t="s">
        <v>1</v>
      </c>
    </row>
    <row r="22933" spans="1:3" s="8" customFormat="1" x14ac:dyDescent="0.2">
      <c r="A22933" s="6" t="str">
        <f>"ADRM1"</f>
        <v>ADRM1</v>
      </c>
      <c r="B22933" s="6" t="s">
        <v>1</v>
      </c>
      <c r="C22933" s="6" t="s">
        <v>1</v>
      </c>
    </row>
    <row r="22934" spans="1:3" s="8" customFormat="1" x14ac:dyDescent="0.2">
      <c r="A22934" s="6" t="str">
        <f>"IGFBP4"</f>
        <v>IGFBP4</v>
      </c>
      <c r="B22934" s="6" t="s">
        <v>1</v>
      </c>
      <c r="C22934" s="6" t="s">
        <v>1</v>
      </c>
    </row>
    <row r="22935" spans="1:3" s="8" customFormat="1" x14ac:dyDescent="0.2">
      <c r="A22935" s="6" t="str">
        <f>"MS4A8"</f>
        <v>MS4A8</v>
      </c>
      <c r="B22935" s="6" t="s">
        <v>1</v>
      </c>
      <c r="C22935" s="6" t="s">
        <v>1</v>
      </c>
    </row>
    <row r="22936" spans="1:3" s="8" customFormat="1" x14ac:dyDescent="0.2">
      <c r="A22936" s="6" t="str">
        <f>"FKBP1A"</f>
        <v>FKBP1A</v>
      </c>
      <c r="B22936" s="6" t="s">
        <v>1</v>
      </c>
      <c r="C22936" s="6" t="s">
        <v>1</v>
      </c>
    </row>
    <row r="22937" spans="1:3" s="8" customFormat="1" x14ac:dyDescent="0.2">
      <c r="A22937" s="6" t="str">
        <f>"MYO1C"</f>
        <v>MYO1C</v>
      </c>
      <c r="B22937" s="6" t="s">
        <v>1</v>
      </c>
      <c r="C22937" s="6" t="s">
        <v>1</v>
      </c>
    </row>
    <row r="22938" spans="1:3" s="8" customFormat="1" x14ac:dyDescent="0.2">
      <c r="A22938" s="6" t="str">
        <f>"APPL2"</f>
        <v>APPL2</v>
      </c>
      <c r="B22938" s="6" t="s">
        <v>1</v>
      </c>
      <c r="C22938" s="6" t="s">
        <v>1</v>
      </c>
    </row>
    <row r="22939" spans="1:3" s="8" customFormat="1" x14ac:dyDescent="0.2">
      <c r="A22939" s="6" t="str">
        <f>"G3BP1"</f>
        <v>G3BP1</v>
      </c>
      <c r="B22939" s="6" t="s">
        <v>1</v>
      </c>
      <c r="C22939" s="6" t="s">
        <v>1</v>
      </c>
    </row>
    <row r="22940" spans="1:3" s="8" customFormat="1" x14ac:dyDescent="0.2">
      <c r="A22940" s="6" t="str">
        <f>"TBC1D14"</f>
        <v>TBC1D14</v>
      </c>
      <c r="B22940" s="6" t="s">
        <v>1</v>
      </c>
      <c r="C22940" s="6" t="s">
        <v>1</v>
      </c>
    </row>
    <row r="22941" spans="1:3" s="8" customFormat="1" x14ac:dyDescent="0.2">
      <c r="A22941" s="6" t="str">
        <f>"RALGDS"</f>
        <v>RALGDS</v>
      </c>
      <c r="B22941" s="6" t="s">
        <v>1</v>
      </c>
      <c r="C22941" s="6" t="s">
        <v>1</v>
      </c>
    </row>
    <row r="22942" spans="1:3" s="8" customFormat="1" x14ac:dyDescent="0.2">
      <c r="A22942" s="6" t="str">
        <f>"TBC1D16"</f>
        <v>TBC1D16</v>
      </c>
      <c r="B22942" s="6" t="s">
        <v>1</v>
      </c>
      <c r="C22942" s="6" t="s">
        <v>1</v>
      </c>
    </row>
    <row r="22943" spans="1:3" s="8" customFormat="1" x14ac:dyDescent="0.2">
      <c r="A22943" s="6" t="str">
        <f>"ASCC2"</f>
        <v>ASCC2</v>
      </c>
      <c r="B22943" s="6" t="s">
        <v>1</v>
      </c>
      <c r="C22943" s="6" t="s">
        <v>1</v>
      </c>
    </row>
    <row r="22944" spans="1:3" s="8" customFormat="1" x14ac:dyDescent="0.2">
      <c r="A22944" s="6" t="str">
        <f>"SMARCC1"</f>
        <v>SMARCC1</v>
      </c>
      <c r="B22944" s="6" t="s">
        <v>1</v>
      </c>
      <c r="C22944" s="6" t="s">
        <v>1</v>
      </c>
    </row>
    <row r="22945" spans="1:3" s="8" customFormat="1" x14ac:dyDescent="0.2">
      <c r="A22945" s="6" t="str">
        <f>"DNAJB6"</f>
        <v>DNAJB6</v>
      </c>
      <c r="B22945" s="6" t="s">
        <v>1</v>
      </c>
      <c r="C22945" s="6" t="s">
        <v>1</v>
      </c>
    </row>
    <row r="22946" spans="1:3" s="8" customFormat="1" x14ac:dyDescent="0.2">
      <c r="A22946" s="6" t="str">
        <f>"VGLL4"</f>
        <v>VGLL4</v>
      </c>
      <c r="B22946" s="6" t="s">
        <v>1</v>
      </c>
      <c r="C22946" s="6" t="s">
        <v>1</v>
      </c>
    </row>
    <row r="22947" spans="1:3" s="8" customFormat="1" x14ac:dyDescent="0.2">
      <c r="A22947" s="6" t="str">
        <f>"ACACA"</f>
        <v>ACACA</v>
      </c>
      <c r="B22947" s="6" t="s">
        <v>1</v>
      </c>
      <c r="C22947" s="6" t="s">
        <v>1</v>
      </c>
    </row>
    <row r="22948" spans="1:3" s="8" customFormat="1" x14ac:dyDescent="0.2">
      <c r="A22948" s="6" t="str">
        <f>"GK5"</f>
        <v>GK5</v>
      </c>
      <c r="B22948" s="6" t="s">
        <v>1</v>
      </c>
      <c r="C22948" s="6" t="s">
        <v>1</v>
      </c>
    </row>
    <row r="22949" spans="1:3" s="8" customFormat="1" x14ac:dyDescent="0.2">
      <c r="A22949" s="6" t="str">
        <f>"MYORG"</f>
        <v>MYORG</v>
      </c>
      <c r="B22949" s="6" t="s">
        <v>1</v>
      </c>
      <c r="C22949" s="6" t="s">
        <v>1</v>
      </c>
    </row>
    <row r="22950" spans="1:3" s="8" customFormat="1" x14ac:dyDescent="0.2">
      <c r="A22950" s="6" t="str">
        <f>"TRIM16"</f>
        <v>TRIM16</v>
      </c>
      <c r="B22950" s="6" t="s">
        <v>1</v>
      </c>
      <c r="C22950" s="6" t="s">
        <v>1</v>
      </c>
    </row>
    <row r="22951" spans="1:3" s="8" customFormat="1" x14ac:dyDescent="0.2">
      <c r="A22951" s="6" t="str">
        <f>"NECTIN4"</f>
        <v>NECTIN4</v>
      </c>
      <c r="B22951" s="6" t="s">
        <v>1</v>
      </c>
      <c r="C22951" s="6" t="s">
        <v>1</v>
      </c>
    </row>
    <row r="22952" spans="1:3" s="8" customFormat="1" x14ac:dyDescent="0.2">
      <c r="A22952" s="6" t="str">
        <f>"KLF6"</f>
        <v>KLF6</v>
      </c>
      <c r="B22952" s="6" t="s">
        <v>1</v>
      </c>
      <c r="C22952" s="6" t="s">
        <v>1</v>
      </c>
    </row>
    <row r="22953" spans="1:3" s="8" customFormat="1" x14ac:dyDescent="0.2">
      <c r="A22953" s="6" t="str">
        <f>"PCNX3"</f>
        <v>PCNX3</v>
      </c>
      <c r="B22953" s="6" t="s">
        <v>1</v>
      </c>
      <c r="C22953" s="6" t="s">
        <v>1</v>
      </c>
    </row>
    <row r="22954" spans="1:3" s="8" customFormat="1" x14ac:dyDescent="0.2">
      <c r="A22954" s="6" t="str">
        <f>"SMARCD2"</f>
        <v>SMARCD2</v>
      </c>
      <c r="B22954" s="6" t="s">
        <v>1</v>
      </c>
      <c r="C22954" s="6" t="s">
        <v>1</v>
      </c>
    </row>
    <row r="22955" spans="1:3" s="8" customFormat="1" x14ac:dyDescent="0.2">
      <c r="A22955" s="6" t="str">
        <f>"SEC24C"</f>
        <v>SEC24C</v>
      </c>
      <c r="B22955" s="6" t="s">
        <v>1</v>
      </c>
      <c r="C22955" s="6" t="s">
        <v>1</v>
      </c>
    </row>
    <row r="22956" spans="1:3" s="8" customFormat="1" x14ac:dyDescent="0.2">
      <c r="A22956" s="6" t="str">
        <f>"HNRNPH2"</f>
        <v>HNRNPH2</v>
      </c>
      <c r="B22956" s="6" t="s">
        <v>1</v>
      </c>
      <c r="C22956" s="6" t="s">
        <v>1</v>
      </c>
    </row>
    <row r="22957" spans="1:3" s="8" customFormat="1" x14ac:dyDescent="0.2">
      <c r="A22957" s="6" t="str">
        <f>"SORBS2"</f>
        <v>SORBS2</v>
      </c>
      <c r="B22957" s="6" t="s">
        <v>1</v>
      </c>
      <c r="C22957" s="6" t="s">
        <v>1</v>
      </c>
    </row>
    <row r="22958" spans="1:3" s="8" customFormat="1" x14ac:dyDescent="0.2">
      <c r="A22958" s="6" t="str">
        <f>"TNFAIP3"</f>
        <v>TNFAIP3</v>
      </c>
      <c r="B22958" s="6" t="s">
        <v>1</v>
      </c>
      <c r="C22958" s="6" t="s">
        <v>1</v>
      </c>
    </row>
    <row r="22959" spans="1:3" s="8" customFormat="1" x14ac:dyDescent="0.2">
      <c r="A22959" s="6" t="str">
        <f>"ASRGL1"</f>
        <v>ASRGL1</v>
      </c>
      <c r="B22959" s="6" t="s">
        <v>1</v>
      </c>
      <c r="C22959" s="6" t="s">
        <v>1</v>
      </c>
    </row>
    <row r="22960" spans="1:3" s="8" customFormat="1" x14ac:dyDescent="0.2">
      <c r="A22960" s="6" t="str">
        <f>"DEGS2"</f>
        <v>DEGS2</v>
      </c>
      <c r="B22960" s="6" t="s">
        <v>1</v>
      </c>
      <c r="C22960" s="6" t="s">
        <v>1</v>
      </c>
    </row>
    <row r="22961" spans="1:3" s="8" customFormat="1" x14ac:dyDescent="0.2">
      <c r="A22961" s="6" t="str">
        <f>"WLS"</f>
        <v>WLS</v>
      </c>
      <c r="B22961" s="6" t="s">
        <v>1</v>
      </c>
      <c r="C22961" s="6" t="s">
        <v>1</v>
      </c>
    </row>
    <row r="22962" spans="1:3" s="8" customFormat="1" x14ac:dyDescent="0.2">
      <c r="A22962" s="6" t="str">
        <f>"NDUFA13"</f>
        <v>NDUFA13</v>
      </c>
      <c r="B22962" s="6" t="s">
        <v>1</v>
      </c>
      <c r="C22962" s="6" t="s">
        <v>1</v>
      </c>
    </row>
    <row r="22963" spans="1:3" s="8" customFormat="1" x14ac:dyDescent="0.2">
      <c r="A22963" s="6" t="str">
        <f>"GALNT12"</f>
        <v>GALNT12</v>
      </c>
      <c r="B22963" s="6" t="s">
        <v>1</v>
      </c>
      <c r="C22963" s="6" t="s">
        <v>1</v>
      </c>
    </row>
    <row r="22964" spans="1:3" s="8" customFormat="1" x14ac:dyDescent="0.2">
      <c r="A22964" s="6" t="str">
        <f>"NUFIP2"</f>
        <v>NUFIP2</v>
      </c>
      <c r="B22964" s="6" t="s">
        <v>1</v>
      </c>
      <c r="C22964" s="6" t="s">
        <v>1</v>
      </c>
    </row>
    <row r="22965" spans="1:3" s="8" customFormat="1" x14ac:dyDescent="0.2">
      <c r="A22965" s="6" t="str">
        <f>"HOATZ"</f>
        <v>HOATZ</v>
      </c>
      <c r="B22965" s="6" t="s">
        <v>1</v>
      </c>
      <c r="C22965" s="6" t="s">
        <v>1</v>
      </c>
    </row>
    <row r="22966" spans="1:3" s="8" customFormat="1" x14ac:dyDescent="0.2">
      <c r="A22966" s="6" t="str">
        <f>"RPL7L1"</f>
        <v>RPL7L1</v>
      </c>
      <c r="B22966" s="6" t="s">
        <v>1</v>
      </c>
      <c r="C22966" s="6" t="s">
        <v>1</v>
      </c>
    </row>
    <row r="22967" spans="1:3" s="8" customFormat="1" x14ac:dyDescent="0.2">
      <c r="A22967" s="6" t="str">
        <f>"NEDD4L"</f>
        <v>NEDD4L</v>
      </c>
      <c r="B22967" s="6" t="s">
        <v>1</v>
      </c>
      <c r="C22967" s="6" t="s">
        <v>1</v>
      </c>
    </row>
    <row r="22968" spans="1:3" s="8" customFormat="1" x14ac:dyDescent="0.2">
      <c r="A22968" s="6" t="str">
        <f>"LRG1"</f>
        <v>LRG1</v>
      </c>
      <c r="B22968" s="6" t="s">
        <v>1</v>
      </c>
      <c r="C22968" s="6" t="s">
        <v>1</v>
      </c>
    </row>
    <row r="22969" spans="1:3" s="8" customFormat="1" x14ac:dyDescent="0.2">
      <c r="A22969" s="6" t="str">
        <f>"LENG8"</f>
        <v>LENG8</v>
      </c>
      <c r="B22969" s="6" t="s">
        <v>1</v>
      </c>
      <c r="C22969" s="6" t="s">
        <v>1</v>
      </c>
    </row>
    <row r="22970" spans="1:3" s="8" customFormat="1" x14ac:dyDescent="0.2">
      <c r="A22970" s="6" t="str">
        <f>"UGCG"</f>
        <v>UGCG</v>
      </c>
      <c r="B22970" s="6" t="s">
        <v>1</v>
      </c>
      <c r="C22970" s="6" t="s">
        <v>1</v>
      </c>
    </row>
    <row r="22971" spans="1:3" s="8" customFormat="1" x14ac:dyDescent="0.2">
      <c r="A22971" s="6" t="str">
        <f>"FMO3"</f>
        <v>FMO3</v>
      </c>
      <c r="B22971" s="6" t="s">
        <v>1</v>
      </c>
      <c r="C22971" s="6" t="s">
        <v>1</v>
      </c>
    </row>
    <row r="22972" spans="1:3" s="8" customFormat="1" x14ac:dyDescent="0.2">
      <c r="A22972" s="6" t="str">
        <f>"MYO1E"</f>
        <v>MYO1E</v>
      </c>
      <c r="B22972" s="6" t="s">
        <v>1</v>
      </c>
      <c r="C22972" s="6" t="s">
        <v>1</v>
      </c>
    </row>
    <row r="22973" spans="1:3" s="8" customFormat="1" x14ac:dyDescent="0.2">
      <c r="A22973" s="6" t="str">
        <f>"OTX1"</f>
        <v>OTX1</v>
      </c>
      <c r="B22973" s="6" t="s">
        <v>1</v>
      </c>
      <c r="C22973" s="6" t="s">
        <v>1</v>
      </c>
    </row>
    <row r="22974" spans="1:3" s="8" customFormat="1" x14ac:dyDescent="0.2">
      <c r="A22974" s="6" t="str">
        <f>"SECISBP2L"</f>
        <v>SECISBP2L</v>
      </c>
      <c r="B22974" s="6" t="s">
        <v>1</v>
      </c>
      <c r="C22974" s="6" t="s">
        <v>1</v>
      </c>
    </row>
    <row r="22975" spans="1:3" s="8" customFormat="1" x14ac:dyDescent="0.2">
      <c r="A22975" s="6" t="str">
        <f>"ENPP4"</f>
        <v>ENPP4</v>
      </c>
      <c r="B22975" s="6" t="s">
        <v>1</v>
      </c>
      <c r="C22975" s="6" t="s">
        <v>1</v>
      </c>
    </row>
    <row r="22976" spans="1:3" s="8" customFormat="1" x14ac:dyDescent="0.2">
      <c r="A22976" s="6" t="str">
        <f>"LMO4"</f>
        <v>LMO4</v>
      </c>
      <c r="B22976" s="6" t="s">
        <v>1</v>
      </c>
      <c r="C22976" s="6" t="s">
        <v>1</v>
      </c>
    </row>
    <row r="22977" spans="1:3" s="8" customFormat="1" x14ac:dyDescent="0.2">
      <c r="A22977" s="6" t="str">
        <f>"NECTIN2"</f>
        <v>NECTIN2</v>
      </c>
      <c r="B22977" s="6" t="s">
        <v>1</v>
      </c>
      <c r="C22977" s="6" t="s">
        <v>1</v>
      </c>
    </row>
    <row r="22978" spans="1:3" s="8" customFormat="1" x14ac:dyDescent="0.2">
      <c r="A22978" s="6" t="str">
        <f>"S100A2"</f>
        <v>S100A2</v>
      </c>
      <c r="B22978" s="6" t="s">
        <v>1</v>
      </c>
      <c r="C22978" s="6" t="s">
        <v>1</v>
      </c>
    </row>
    <row r="22979" spans="1:3" s="8" customFormat="1" x14ac:dyDescent="0.2">
      <c r="A22979" s="6" t="str">
        <f>"SRI"</f>
        <v>SRI</v>
      </c>
      <c r="B22979" s="6" t="s">
        <v>1</v>
      </c>
      <c r="C22979" s="6" t="s">
        <v>1</v>
      </c>
    </row>
    <row r="22980" spans="1:3" s="8" customFormat="1" x14ac:dyDescent="0.2">
      <c r="A22980" s="6" t="str">
        <f>"JUND"</f>
        <v>JUND</v>
      </c>
      <c r="B22980" s="6" t="s">
        <v>1</v>
      </c>
      <c r="C22980" s="6" t="s">
        <v>1</v>
      </c>
    </row>
    <row r="22981" spans="1:3" s="8" customFormat="1" x14ac:dyDescent="0.2">
      <c r="A22981" s="6" t="str">
        <f>"CAPZA1"</f>
        <v>CAPZA1</v>
      </c>
      <c r="B22981" s="6" t="s">
        <v>1</v>
      </c>
      <c r="C22981" s="6" t="s">
        <v>1</v>
      </c>
    </row>
    <row r="22982" spans="1:3" s="8" customFormat="1" x14ac:dyDescent="0.2">
      <c r="A22982" s="6" t="str">
        <f>"MECOM"</f>
        <v>MECOM</v>
      </c>
      <c r="B22982" s="6" t="s">
        <v>1</v>
      </c>
      <c r="C22982" s="6" t="s">
        <v>1</v>
      </c>
    </row>
    <row r="22983" spans="1:3" s="8" customFormat="1" x14ac:dyDescent="0.2">
      <c r="A22983" s="6" t="str">
        <f>"ENKUR"</f>
        <v>ENKUR</v>
      </c>
      <c r="B22983" s="6" t="s">
        <v>1</v>
      </c>
      <c r="C22983" s="6" t="s">
        <v>1</v>
      </c>
    </row>
    <row r="22984" spans="1:3" s="8" customFormat="1" x14ac:dyDescent="0.2">
      <c r="A22984" s="6" t="str">
        <f>"KLF4"</f>
        <v>KLF4</v>
      </c>
      <c r="B22984" s="6" t="s">
        <v>1</v>
      </c>
      <c r="C22984" s="6" t="s">
        <v>1</v>
      </c>
    </row>
    <row r="22985" spans="1:3" s="8" customFormat="1" x14ac:dyDescent="0.2">
      <c r="A22985" s="6" t="str">
        <f>"DNAL1"</f>
        <v>DNAL1</v>
      </c>
      <c r="B22985" s="6" t="s">
        <v>1</v>
      </c>
      <c r="C22985" s="6" t="s">
        <v>1</v>
      </c>
    </row>
    <row r="22986" spans="1:3" s="8" customFormat="1" x14ac:dyDescent="0.2">
      <c r="A22986" s="6" t="str">
        <f>"NPEPPS"</f>
        <v>NPEPPS</v>
      </c>
      <c r="B22986" s="6" t="s">
        <v>1</v>
      </c>
      <c r="C22986" s="6" t="s">
        <v>1</v>
      </c>
    </row>
    <row r="22987" spans="1:3" s="8" customFormat="1" x14ac:dyDescent="0.2">
      <c r="A22987" s="6" t="str">
        <f>"NDUFV1"</f>
        <v>NDUFV1</v>
      </c>
      <c r="B22987" s="6" t="s">
        <v>1</v>
      </c>
      <c r="C22987" s="6" t="s">
        <v>1</v>
      </c>
    </row>
    <row r="22988" spans="1:3" s="8" customFormat="1" x14ac:dyDescent="0.2">
      <c r="A22988" s="6" t="str">
        <f>"VILL"</f>
        <v>VILL</v>
      </c>
      <c r="B22988" s="6" t="s">
        <v>1</v>
      </c>
      <c r="C22988" s="6" t="s">
        <v>1</v>
      </c>
    </row>
    <row r="22989" spans="1:3" s="8" customFormat="1" x14ac:dyDescent="0.2">
      <c r="A22989" s="6" t="str">
        <f>"TRIM25"</f>
        <v>TRIM25</v>
      </c>
      <c r="B22989" s="6" t="s">
        <v>1</v>
      </c>
      <c r="C22989" s="6" t="s">
        <v>1</v>
      </c>
    </row>
    <row r="22990" spans="1:3" s="8" customFormat="1" x14ac:dyDescent="0.2">
      <c r="A22990" s="6" t="str">
        <f>"ZBTB7C"</f>
        <v>ZBTB7C</v>
      </c>
      <c r="B22990" s="6" t="s">
        <v>1</v>
      </c>
      <c r="C22990" s="6" t="s">
        <v>1</v>
      </c>
    </row>
    <row r="22991" spans="1:3" s="8" customFormat="1" x14ac:dyDescent="0.2">
      <c r="A22991" s="6" t="str">
        <f>"UGP2"</f>
        <v>UGP2</v>
      </c>
      <c r="B22991" s="6" t="s">
        <v>1</v>
      </c>
      <c r="C22991" s="6" t="s">
        <v>1</v>
      </c>
    </row>
    <row r="22992" spans="1:3" s="8" customFormat="1" x14ac:dyDescent="0.2">
      <c r="A22992" s="6" t="str">
        <f>"PA2G4"</f>
        <v>PA2G4</v>
      </c>
      <c r="B22992" s="6" t="s">
        <v>1</v>
      </c>
      <c r="C22992" s="6" t="s">
        <v>1</v>
      </c>
    </row>
    <row r="22993" spans="1:3" s="8" customFormat="1" x14ac:dyDescent="0.2">
      <c r="A22993" s="6" t="str">
        <f>"PABPN1"</f>
        <v>PABPN1</v>
      </c>
      <c r="B22993" s="6" t="s">
        <v>1</v>
      </c>
      <c r="C22993" s="6" t="s">
        <v>1</v>
      </c>
    </row>
    <row r="22994" spans="1:3" s="8" customFormat="1" x14ac:dyDescent="0.2">
      <c r="A22994" s="6" t="str">
        <f>"GALNT2"</f>
        <v>GALNT2</v>
      </c>
      <c r="B22994" s="6" t="s">
        <v>1</v>
      </c>
      <c r="C22994" s="6" t="s">
        <v>1</v>
      </c>
    </row>
    <row r="22995" spans="1:3" s="8" customFormat="1" x14ac:dyDescent="0.2">
      <c r="A22995" s="6" t="str">
        <f>"PDAP1"</f>
        <v>PDAP1</v>
      </c>
      <c r="B22995" s="6" t="s">
        <v>1</v>
      </c>
      <c r="C22995" s="6" t="s">
        <v>1</v>
      </c>
    </row>
    <row r="22996" spans="1:3" s="8" customFormat="1" x14ac:dyDescent="0.2">
      <c r="A22996" s="6" t="str">
        <f>"SAFB"</f>
        <v>SAFB</v>
      </c>
      <c r="B22996" s="6" t="s">
        <v>1</v>
      </c>
      <c r="C22996" s="6" t="s">
        <v>1</v>
      </c>
    </row>
    <row r="22997" spans="1:3" s="8" customFormat="1" x14ac:dyDescent="0.2">
      <c r="A22997" s="6" t="str">
        <f>"BAZ2A"</f>
        <v>BAZ2A</v>
      </c>
      <c r="B22997" s="6" t="s">
        <v>1</v>
      </c>
      <c r="C22997" s="6" t="s">
        <v>1</v>
      </c>
    </row>
    <row r="22998" spans="1:3" s="8" customFormat="1" x14ac:dyDescent="0.2">
      <c r="A22998" s="6" t="str">
        <f>"DGCR2"</f>
        <v>DGCR2</v>
      </c>
      <c r="B22998" s="6" t="s">
        <v>1</v>
      </c>
      <c r="C22998" s="6" t="s">
        <v>1</v>
      </c>
    </row>
    <row r="22999" spans="1:3" s="8" customFormat="1" x14ac:dyDescent="0.2">
      <c r="A22999" s="6" t="str">
        <f>"UGDH"</f>
        <v>UGDH</v>
      </c>
      <c r="B22999" s="6" t="s">
        <v>1</v>
      </c>
      <c r="C22999" s="6" t="s">
        <v>1</v>
      </c>
    </row>
    <row r="23000" spans="1:3" s="8" customFormat="1" x14ac:dyDescent="0.2">
      <c r="A23000" s="6" t="str">
        <f>"IER2"</f>
        <v>IER2</v>
      </c>
      <c r="B23000" s="6" t="s">
        <v>1</v>
      </c>
      <c r="C23000" s="6" t="s">
        <v>1</v>
      </c>
    </row>
    <row r="23001" spans="1:3" s="8" customFormat="1" x14ac:dyDescent="0.2">
      <c r="A23001" s="6" t="str">
        <f>"KARS1"</f>
        <v>KARS1</v>
      </c>
      <c r="B23001" s="6" t="s">
        <v>1</v>
      </c>
      <c r="C23001" s="6" t="s">
        <v>1</v>
      </c>
    </row>
    <row r="23002" spans="1:3" s="8" customFormat="1" x14ac:dyDescent="0.2">
      <c r="A23002" s="6" t="str">
        <f>"HNRNPUL2"</f>
        <v>HNRNPUL2</v>
      </c>
      <c r="B23002" s="6" t="s">
        <v>1</v>
      </c>
      <c r="C23002" s="6" t="s">
        <v>1</v>
      </c>
    </row>
    <row r="23003" spans="1:3" s="8" customFormat="1" x14ac:dyDescent="0.2">
      <c r="A23003" s="6" t="str">
        <f>"TNFRSF19"</f>
        <v>TNFRSF19</v>
      </c>
      <c r="B23003" s="6" t="s">
        <v>1</v>
      </c>
      <c r="C23003" s="6" t="s">
        <v>1</v>
      </c>
    </row>
    <row r="23004" spans="1:3" s="8" customFormat="1" x14ac:dyDescent="0.2">
      <c r="A23004" s="6" t="str">
        <f>"SELENOW"</f>
        <v>SELENOW</v>
      </c>
      <c r="B23004" s="6" t="s">
        <v>1</v>
      </c>
      <c r="C23004" s="6" t="s">
        <v>1</v>
      </c>
    </row>
    <row r="23005" spans="1:3" s="8" customFormat="1" x14ac:dyDescent="0.2">
      <c r="A23005" s="6" t="str">
        <f>"CRYBG1"</f>
        <v>CRYBG1</v>
      </c>
      <c r="B23005" s="6" t="s">
        <v>1</v>
      </c>
      <c r="C23005" s="6" t="s">
        <v>1</v>
      </c>
    </row>
    <row r="23006" spans="1:3" s="8" customFormat="1" x14ac:dyDescent="0.2">
      <c r="A23006" s="6" t="str">
        <f>"CREBBP"</f>
        <v>CREBBP</v>
      </c>
      <c r="B23006" s="6" t="s">
        <v>1</v>
      </c>
      <c r="C23006" s="6" t="s">
        <v>1</v>
      </c>
    </row>
    <row r="23007" spans="1:3" s="8" customFormat="1" x14ac:dyDescent="0.2">
      <c r="A23007" s="6" t="str">
        <f>"APOD"</f>
        <v>APOD</v>
      </c>
      <c r="B23007" s="6" t="s">
        <v>1</v>
      </c>
      <c r="C23007" s="6" t="s">
        <v>1</v>
      </c>
    </row>
    <row r="23008" spans="1:3" s="8" customFormat="1" x14ac:dyDescent="0.2">
      <c r="A23008" s="6" t="str">
        <f>"ZC3H11A"</f>
        <v>ZC3H11A</v>
      </c>
      <c r="B23008" s="6" t="s">
        <v>1</v>
      </c>
      <c r="C23008" s="6" t="s">
        <v>1</v>
      </c>
    </row>
    <row r="23009" spans="1:3" s="8" customFormat="1" x14ac:dyDescent="0.2">
      <c r="A23009" s="6" t="str">
        <f>"FYCO1"</f>
        <v>FYCO1</v>
      </c>
      <c r="B23009" s="6" t="s">
        <v>1</v>
      </c>
      <c r="C23009" s="6" t="s">
        <v>1</v>
      </c>
    </row>
    <row r="23010" spans="1:3" s="8" customFormat="1" x14ac:dyDescent="0.2">
      <c r="A23010" s="6" t="str">
        <f>"PTPRA"</f>
        <v>PTPRA</v>
      </c>
      <c r="B23010" s="6" t="s">
        <v>1</v>
      </c>
      <c r="C23010" s="6" t="s">
        <v>1</v>
      </c>
    </row>
    <row r="23011" spans="1:3" s="8" customFormat="1" x14ac:dyDescent="0.2">
      <c r="A23011" s="6" t="str">
        <f>"GLUD1"</f>
        <v>GLUD1</v>
      </c>
      <c r="B23011" s="6" t="s">
        <v>1</v>
      </c>
      <c r="C23011" s="6" t="s">
        <v>1</v>
      </c>
    </row>
    <row r="23012" spans="1:3" s="8" customFormat="1" x14ac:dyDescent="0.2">
      <c r="A23012" s="6" t="str">
        <f>"SEMA3C"</f>
        <v>SEMA3C</v>
      </c>
      <c r="B23012" s="6" t="s">
        <v>1</v>
      </c>
      <c r="C23012" s="6" t="s">
        <v>1</v>
      </c>
    </row>
    <row r="23013" spans="1:3" s="8" customFormat="1" x14ac:dyDescent="0.2">
      <c r="A23013" s="6" t="str">
        <f>"MLPH"</f>
        <v>MLPH</v>
      </c>
      <c r="B23013" s="6" t="s">
        <v>1</v>
      </c>
      <c r="C23013" s="6" t="s">
        <v>1</v>
      </c>
    </row>
    <row r="23014" spans="1:3" s="8" customFormat="1" x14ac:dyDescent="0.2">
      <c r="A23014" s="6" t="str">
        <f>"CYFIP1"</f>
        <v>CYFIP1</v>
      </c>
      <c r="B23014" s="6" t="s">
        <v>1</v>
      </c>
      <c r="C23014" s="6" t="s">
        <v>1</v>
      </c>
    </row>
    <row r="23015" spans="1:3" s="8" customFormat="1" x14ac:dyDescent="0.2">
      <c r="A23015" s="6" t="str">
        <f>"MED24"</f>
        <v>MED24</v>
      </c>
      <c r="B23015" s="6" t="s">
        <v>1</v>
      </c>
      <c r="C23015" s="6" t="s">
        <v>1</v>
      </c>
    </row>
    <row r="23016" spans="1:3" s="8" customFormat="1" x14ac:dyDescent="0.2">
      <c r="A23016" s="6" t="str">
        <f>"CASC3"</f>
        <v>CASC3</v>
      </c>
      <c r="B23016" s="6" t="s">
        <v>1</v>
      </c>
      <c r="C23016" s="6" t="s">
        <v>1</v>
      </c>
    </row>
    <row r="23017" spans="1:3" s="8" customFormat="1" x14ac:dyDescent="0.2">
      <c r="A23017" s="6" t="str">
        <f>"LGALS8"</f>
        <v>LGALS8</v>
      </c>
      <c r="B23017" s="6" t="s">
        <v>1</v>
      </c>
      <c r="C23017" s="6" t="s">
        <v>1</v>
      </c>
    </row>
    <row r="23018" spans="1:3" s="8" customFormat="1" x14ac:dyDescent="0.2">
      <c r="A23018" s="6" t="str">
        <f>"APOL6"</f>
        <v>APOL6</v>
      </c>
      <c r="B23018" s="6" t="s">
        <v>1</v>
      </c>
      <c r="C23018" s="6" t="s">
        <v>1</v>
      </c>
    </row>
    <row r="23019" spans="1:3" s="8" customFormat="1" x14ac:dyDescent="0.2">
      <c r="A23019" s="6" t="str">
        <f>"HCFC1"</f>
        <v>HCFC1</v>
      </c>
      <c r="B23019" s="6" t="s">
        <v>1</v>
      </c>
      <c r="C23019" s="6" t="s">
        <v>1</v>
      </c>
    </row>
    <row r="23020" spans="1:3" s="8" customFormat="1" x14ac:dyDescent="0.2">
      <c r="A23020" s="6" t="str">
        <f>"NUP50"</f>
        <v>NUP50</v>
      </c>
      <c r="B23020" s="6" t="s">
        <v>1</v>
      </c>
      <c r="C23020" s="6" t="s">
        <v>1</v>
      </c>
    </row>
    <row r="23021" spans="1:3" s="8" customFormat="1" x14ac:dyDescent="0.2">
      <c r="A23021" s="6" t="str">
        <f>"CAPSL"</f>
        <v>CAPSL</v>
      </c>
      <c r="B23021" s="6" t="s">
        <v>1</v>
      </c>
      <c r="C23021" s="6" t="s">
        <v>1</v>
      </c>
    </row>
    <row r="23022" spans="1:3" s="8" customFormat="1" x14ac:dyDescent="0.2">
      <c r="A23022" s="6" t="str">
        <f>"IDH1"</f>
        <v>IDH1</v>
      </c>
      <c r="B23022" s="6" t="s">
        <v>1</v>
      </c>
      <c r="C23022" s="6" t="s">
        <v>1</v>
      </c>
    </row>
    <row r="23023" spans="1:3" s="8" customFormat="1" x14ac:dyDescent="0.2">
      <c r="A23023" s="6" t="str">
        <f>"PTPN3"</f>
        <v>PTPN3</v>
      </c>
      <c r="B23023" s="6" t="s">
        <v>1</v>
      </c>
      <c r="C23023" s="6" t="s">
        <v>1</v>
      </c>
    </row>
    <row r="23024" spans="1:3" s="8" customFormat="1" x14ac:dyDescent="0.2">
      <c r="A23024" s="6" t="str">
        <f>"GPRC5C"</f>
        <v>GPRC5C</v>
      </c>
      <c r="B23024" s="6" t="s">
        <v>1</v>
      </c>
      <c r="C23024" s="6" t="s">
        <v>1</v>
      </c>
    </row>
    <row r="23025" spans="1:3" s="8" customFormat="1" x14ac:dyDescent="0.2">
      <c r="A23025" s="6" t="str">
        <f>"LMTK2"</f>
        <v>LMTK2</v>
      </c>
      <c r="B23025" s="6" t="s">
        <v>1</v>
      </c>
      <c r="C23025" s="6" t="s">
        <v>1</v>
      </c>
    </row>
    <row r="23026" spans="1:3" s="8" customFormat="1" x14ac:dyDescent="0.2">
      <c r="A23026" s="6" t="str">
        <f>"TNFAIP2"</f>
        <v>TNFAIP2</v>
      </c>
      <c r="B23026" s="6" t="s">
        <v>1</v>
      </c>
      <c r="C23026" s="6" t="s">
        <v>1</v>
      </c>
    </row>
    <row r="23027" spans="1:3" s="8" customFormat="1" x14ac:dyDescent="0.2">
      <c r="A23027" s="6" t="str">
        <f>"GRK2"</f>
        <v>GRK2</v>
      </c>
      <c r="B23027" s="6" t="s">
        <v>1</v>
      </c>
      <c r="C23027" s="6" t="s">
        <v>1</v>
      </c>
    </row>
    <row r="23028" spans="1:3" s="8" customFormat="1" x14ac:dyDescent="0.2">
      <c r="A23028" s="6" t="str">
        <f>"SNX3"</f>
        <v>SNX3</v>
      </c>
      <c r="B23028" s="6" t="s">
        <v>1</v>
      </c>
      <c r="C23028" s="6" t="s">
        <v>1</v>
      </c>
    </row>
    <row r="23029" spans="1:3" s="8" customFormat="1" x14ac:dyDescent="0.2">
      <c r="A23029" s="6" t="str">
        <f>"PABPC4"</f>
        <v>PABPC4</v>
      </c>
      <c r="B23029" s="6" t="s">
        <v>1</v>
      </c>
      <c r="C23029" s="6" t="s">
        <v>1</v>
      </c>
    </row>
    <row r="23030" spans="1:3" s="8" customFormat="1" x14ac:dyDescent="0.2">
      <c r="A23030" s="6" t="str">
        <f>"DZIP3"</f>
        <v>DZIP3</v>
      </c>
      <c r="B23030" s="6" t="s">
        <v>1</v>
      </c>
      <c r="C23030" s="6" t="s">
        <v>1</v>
      </c>
    </row>
    <row r="23031" spans="1:3" s="8" customFormat="1" x14ac:dyDescent="0.2">
      <c r="A23031" s="6" t="str">
        <f>"GALNT5"</f>
        <v>GALNT5</v>
      </c>
      <c r="B23031" s="6" t="s">
        <v>1</v>
      </c>
      <c r="C23031" s="6" t="s">
        <v>1</v>
      </c>
    </row>
    <row r="23032" spans="1:3" s="8" customFormat="1" x14ac:dyDescent="0.2">
      <c r="A23032" s="6" t="str">
        <f>"GRB2"</f>
        <v>GRB2</v>
      </c>
      <c r="B23032" s="6" t="s">
        <v>1</v>
      </c>
      <c r="C23032" s="6" t="s">
        <v>1</v>
      </c>
    </row>
    <row r="23033" spans="1:3" s="8" customFormat="1" x14ac:dyDescent="0.2">
      <c r="A23033" s="6" t="str">
        <f>"CYP2B7P"</f>
        <v>CYP2B7P</v>
      </c>
      <c r="B23033" s="6" t="s">
        <v>1</v>
      </c>
      <c r="C23033" s="6" t="s">
        <v>1</v>
      </c>
    </row>
    <row r="23034" spans="1:3" s="8" customFormat="1" x14ac:dyDescent="0.2">
      <c r="A23034" s="6" t="str">
        <f>"MYO1B"</f>
        <v>MYO1B</v>
      </c>
      <c r="B23034" s="6" t="s">
        <v>1</v>
      </c>
      <c r="C23034" s="6" t="s">
        <v>1</v>
      </c>
    </row>
    <row r="23035" spans="1:3" s="8" customFormat="1" x14ac:dyDescent="0.2">
      <c r="A23035" s="6" t="str">
        <f>"GRINA"</f>
        <v>GRINA</v>
      </c>
      <c r="B23035" s="6" t="s">
        <v>1</v>
      </c>
      <c r="C23035" s="6" t="s">
        <v>1</v>
      </c>
    </row>
    <row r="23036" spans="1:3" s="8" customFormat="1" x14ac:dyDescent="0.2">
      <c r="A23036" s="6" t="str">
        <f>"ZYX"</f>
        <v>ZYX</v>
      </c>
      <c r="B23036" s="6" t="s">
        <v>1</v>
      </c>
      <c r="C23036" s="6" t="s">
        <v>1</v>
      </c>
    </row>
    <row r="23037" spans="1:3" s="8" customFormat="1" x14ac:dyDescent="0.2">
      <c r="A23037" s="6" t="str">
        <f>"CDV3"</f>
        <v>CDV3</v>
      </c>
      <c r="B23037" s="6" t="s">
        <v>1</v>
      </c>
      <c r="C23037" s="6" t="s">
        <v>1</v>
      </c>
    </row>
    <row r="23038" spans="1:3" s="8" customFormat="1" x14ac:dyDescent="0.2">
      <c r="A23038" s="6" t="str">
        <f>"SMARCA5"</f>
        <v>SMARCA5</v>
      </c>
      <c r="B23038" s="6" t="s">
        <v>1</v>
      </c>
      <c r="C23038" s="6" t="s">
        <v>1</v>
      </c>
    </row>
    <row r="23039" spans="1:3" s="8" customFormat="1" x14ac:dyDescent="0.2">
      <c r="A23039" s="6" t="str">
        <f>"HADHA"</f>
        <v>HADHA</v>
      </c>
      <c r="B23039" s="6" t="s">
        <v>1</v>
      </c>
      <c r="C23039" s="6" t="s">
        <v>1</v>
      </c>
    </row>
    <row r="23040" spans="1:3" s="8" customFormat="1" x14ac:dyDescent="0.2">
      <c r="A23040" s="6" t="str">
        <f>"PTPN13"</f>
        <v>PTPN13</v>
      </c>
      <c r="B23040" s="6" t="s">
        <v>1</v>
      </c>
      <c r="C23040" s="6" t="s">
        <v>1</v>
      </c>
    </row>
    <row r="23041" spans="1:3" s="8" customFormat="1" x14ac:dyDescent="0.2">
      <c r="A23041" s="6" t="str">
        <f>"EYA2"</f>
        <v>EYA2</v>
      </c>
      <c r="B23041" s="6" t="s">
        <v>1</v>
      </c>
      <c r="C23041" s="6" t="s">
        <v>1</v>
      </c>
    </row>
    <row r="23042" spans="1:3" s="8" customFormat="1" x14ac:dyDescent="0.2">
      <c r="A23042" s="6" t="str">
        <f>"DNAJB2"</f>
        <v>DNAJB2</v>
      </c>
      <c r="B23042" s="6" t="s">
        <v>1</v>
      </c>
      <c r="C23042" s="6" t="s">
        <v>1</v>
      </c>
    </row>
    <row r="23043" spans="1:3" s="8" customFormat="1" x14ac:dyDescent="0.2">
      <c r="A23043" s="6" t="str">
        <f>"RER1"</f>
        <v>RER1</v>
      </c>
      <c r="B23043" s="6" t="s">
        <v>1</v>
      </c>
      <c r="C23043" s="6" t="s">
        <v>1</v>
      </c>
    </row>
    <row r="23044" spans="1:3" s="8" customFormat="1" x14ac:dyDescent="0.2">
      <c r="A23044" s="6" t="str">
        <f>"GLIPR2"</f>
        <v>GLIPR2</v>
      </c>
      <c r="B23044" s="6" t="s">
        <v>1</v>
      </c>
      <c r="C23044" s="6" t="s">
        <v>1</v>
      </c>
    </row>
    <row r="23045" spans="1:3" s="8" customFormat="1" x14ac:dyDescent="0.2">
      <c r="A23045" s="6" t="str">
        <f>"HNRNPUL2-BSCL2"</f>
        <v>HNRNPUL2-BSCL2</v>
      </c>
      <c r="B23045" s="6" t="s">
        <v>1</v>
      </c>
      <c r="C23045" s="6" t="s">
        <v>1</v>
      </c>
    </row>
    <row r="23046" spans="1:3" s="8" customFormat="1" x14ac:dyDescent="0.2">
      <c r="A23046" s="6" t="str">
        <f>"EMB"</f>
        <v>EMB</v>
      </c>
      <c r="B23046" s="6" t="s">
        <v>1</v>
      </c>
      <c r="C23046" s="6" t="s">
        <v>1</v>
      </c>
    </row>
    <row r="23047" spans="1:3" s="8" customFormat="1" x14ac:dyDescent="0.2">
      <c r="A23047" s="6" t="str">
        <f>"INTS1"</f>
        <v>INTS1</v>
      </c>
      <c r="B23047" s="6" t="s">
        <v>1</v>
      </c>
      <c r="C23047" s="6" t="s">
        <v>1</v>
      </c>
    </row>
    <row r="23048" spans="1:3" s="8" customFormat="1" x14ac:dyDescent="0.2">
      <c r="A23048" s="6" t="str">
        <f>"SLTM"</f>
        <v>SLTM</v>
      </c>
      <c r="B23048" s="6" t="s">
        <v>1</v>
      </c>
      <c r="C23048" s="6" t="s">
        <v>1</v>
      </c>
    </row>
    <row r="23049" spans="1:3" s="8" customFormat="1" x14ac:dyDescent="0.2">
      <c r="A23049" s="6" t="str">
        <f>"NECTIN1"</f>
        <v>NECTIN1</v>
      </c>
      <c r="B23049" s="6" t="s">
        <v>1</v>
      </c>
      <c r="C23049" s="6" t="s">
        <v>1</v>
      </c>
    </row>
    <row r="23050" spans="1:3" s="8" customFormat="1" x14ac:dyDescent="0.2">
      <c r="A23050" s="6" t="str">
        <f>"PTPA"</f>
        <v>PTPA</v>
      </c>
      <c r="B23050" s="6" t="s">
        <v>1</v>
      </c>
      <c r="C23050" s="6" t="s">
        <v>1</v>
      </c>
    </row>
    <row r="23051" spans="1:3" s="8" customFormat="1" x14ac:dyDescent="0.2">
      <c r="A23051" s="6" t="str">
        <f>"PAFAH1B1"</f>
        <v>PAFAH1B1</v>
      </c>
      <c r="B23051" s="6" t="s">
        <v>1</v>
      </c>
      <c r="C23051" s="6" t="s">
        <v>1</v>
      </c>
    </row>
    <row r="23052" spans="1:3" s="8" customFormat="1" x14ac:dyDescent="0.2">
      <c r="A23052" s="6" t="str">
        <f>"FLOT1"</f>
        <v>FLOT1</v>
      </c>
      <c r="B23052" s="6" t="s">
        <v>1</v>
      </c>
      <c r="C23052" s="6" t="s">
        <v>1</v>
      </c>
    </row>
    <row r="23053" spans="1:3" s="8" customFormat="1" x14ac:dyDescent="0.2">
      <c r="A23053" s="6" t="str">
        <f>"FLNA"</f>
        <v>FLNA</v>
      </c>
      <c r="B23053" s="6" t="s">
        <v>1</v>
      </c>
      <c r="C23053" s="6" t="s">
        <v>1</v>
      </c>
    </row>
    <row r="23054" spans="1:3" s="8" customFormat="1" x14ac:dyDescent="0.2">
      <c r="A23054" s="6" t="str">
        <f>"LRATD1"</f>
        <v>LRATD1</v>
      </c>
      <c r="B23054" s="6" t="s">
        <v>1</v>
      </c>
      <c r="C23054" s="6" t="s">
        <v>1</v>
      </c>
    </row>
    <row r="23055" spans="1:3" s="8" customFormat="1" x14ac:dyDescent="0.2">
      <c r="A23055" s="6" t="str">
        <f>"TMEM165"</f>
        <v>TMEM165</v>
      </c>
      <c r="B23055" s="6" t="s">
        <v>1</v>
      </c>
      <c r="C23055" s="6" t="s">
        <v>1</v>
      </c>
    </row>
    <row r="23056" spans="1:3" s="8" customFormat="1" x14ac:dyDescent="0.2">
      <c r="A23056" s="6" t="str">
        <f>"FABP5"</f>
        <v>FABP5</v>
      </c>
      <c r="B23056" s="6" t="s">
        <v>1</v>
      </c>
      <c r="C23056" s="6" t="s">
        <v>1</v>
      </c>
    </row>
    <row r="23057" spans="1:3" s="8" customFormat="1" x14ac:dyDescent="0.2">
      <c r="A23057" s="6" t="str">
        <f>"KCNE3"</f>
        <v>KCNE3</v>
      </c>
      <c r="B23057" s="6" t="s">
        <v>1</v>
      </c>
      <c r="C23057" s="6" t="s">
        <v>1</v>
      </c>
    </row>
    <row r="23058" spans="1:3" s="8" customFormat="1" x14ac:dyDescent="0.2">
      <c r="A23058" s="6" t="str">
        <f>"PTMS"</f>
        <v>PTMS</v>
      </c>
      <c r="B23058" s="6" t="s">
        <v>1</v>
      </c>
      <c r="C23058" s="6" t="s">
        <v>1</v>
      </c>
    </row>
    <row r="23059" spans="1:3" s="8" customFormat="1" x14ac:dyDescent="0.2">
      <c r="A23059" s="6" t="str">
        <f>"FAM81B"</f>
        <v>FAM81B</v>
      </c>
      <c r="B23059" s="6" t="s">
        <v>1</v>
      </c>
      <c r="C23059" s="6" t="s">
        <v>1</v>
      </c>
    </row>
    <row r="23060" spans="1:3" s="8" customFormat="1" x14ac:dyDescent="0.2">
      <c r="A23060" s="6" t="str">
        <f>"SMAP2"</f>
        <v>SMAP2</v>
      </c>
      <c r="B23060" s="6" t="s">
        <v>1</v>
      </c>
      <c r="C23060" s="6" t="s">
        <v>1</v>
      </c>
    </row>
    <row r="23061" spans="1:3" s="8" customFormat="1" x14ac:dyDescent="0.2">
      <c r="A23061" s="6" t="str">
        <f>"MED25"</f>
        <v>MED25</v>
      </c>
      <c r="B23061" s="6" t="s">
        <v>1</v>
      </c>
      <c r="C23061" s="6" t="s">
        <v>1</v>
      </c>
    </row>
    <row r="23062" spans="1:3" s="8" customFormat="1" x14ac:dyDescent="0.2">
      <c r="A23062" s="6" t="str">
        <f>"HNRNPR"</f>
        <v>HNRNPR</v>
      </c>
      <c r="B23062" s="6" t="s">
        <v>1</v>
      </c>
      <c r="C23062" s="6" t="s">
        <v>1</v>
      </c>
    </row>
    <row r="23063" spans="1:3" s="8" customFormat="1" x14ac:dyDescent="0.2">
      <c r="A23063" s="6" t="str">
        <f>"HNRNPDL"</f>
        <v>HNRNPDL</v>
      </c>
      <c r="B23063" s="6" t="s">
        <v>1</v>
      </c>
      <c r="C23063" s="6" t="s">
        <v>1</v>
      </c>
    </row>
    <row r="23064" spans="1:3" s="8" customFormat="1" x14ac:dyDescent="0.2">
      <c r="A23064" s="6" t="str">
        <f>"IFT140"</f>
        <v>IFT140</v>
      </c>
      <c r="B23064" s="6" t="s">
        <v>1</v>
      </c>
      <c r="C23064" s="6" t="s">
        <v>1</v>
      </c>
    </row>
    <row r="23065" spans="1:3" s="8" customFormat="1" x14ac:dyDescent="0.2">
      <c r="A23065" s="6" t="str">
        <f>"SMAD3"</f>
        <v>SMAD3</v>
      </c>
      <c r="B23065" s="6" t="s">
        <v>1</v>
      </c>
      <c r="C23065" s="6" t="s">
        <v>1</v>
      </c>
    </row>
    <row r="23066" spans="1:3" s="8" customFormat="1" x14ac:dyDescent="0.2">
      <c r="A23066" s="6" t="str">
        <f>"HNRNPA0"</f>
        <v>HNRNPA0</v>
      </c>
      <c r="B23066" s="6" t="s">
        <v>1</v>
      </c>
      <c r="C23066" s="6" t="s">
        <v>1</v>
      </c>
    </row>
    <row r="23067" spans="1:3" s="8" customFormat="1" x14ac:dyDescent="0.2">
      <c r="A23067" s="6" t="str">
        <f>"IFI6"</f>
        <v>IFI6</v>
      </c>
      <c r="B23067" s="6" t="s">
        <v>1</v>
      </c>
      <c r="C23067" s="6" t="s">
        <v>1</v>
      </c>
    </row>
    <row r="23068" spans="1:3" s="8" customFormat="1" x14ac:dyDescent="0.2">
      <c r="A23068" s="6" t="str">
        <f>"RAI1"</f>
        <v>RAI1</v>
      </c>
      <c r="B23068" s="6" t="s">
        <v>1</v>
      </c>
      <c r="C23068" s="6" t="s">
        <v>1</v>
      </c>
    </row>
    <row r="23069" spans="1:3" s="8" customFormat="1" x14ac:dyDescent="0.2">
      <c r="A23069" s="6" t="str">
        <f>"KLHL6"</f>
        <v>KLHL6</v>
      </c>
      <c r="B23069" s="6" t="s">
        <v>1</v>
      </c>
      <c r="C23069" s="6" t="s">
        <v>1</v>
      </c>
    </row>
    <row r="23070" spans="1:3" s="8" customFormat="1" x14ac:dyDescent="0.2">
      <c r="A23070" s="6" t="str">
        <f>"KATNIP"</f>
        <v>KATNIP</v>
      </c>
      <c r="B23070" s="6" t="s">
        <v>1</v>
      </c>
      <c r="C23070" s="6" t="s">
        <v>1</v>
      </c>
    </row>
    <row r="23071" spans="1:3" s="8" customFormat="1" x14ac:dyDescent="0.2">
      <c r="A23071" s="6" t="str">
        <f>"TNC"</f>
        <v>TNC</v>
      </c>
      <c r="B23071" s="6" t="s">
        <v>1</v>
      </c>
      <c r="C23071" s="6" t="s">
        <v>1</v>
      </c>
    </row>
    <row r="23072" spans="1:3" s="8" customFormat="1" x14ac:dyDescent="0.2">
      <c r="A23072" s="6" t="str">
        <f>"HNRNPAB"</f>
        <v>HNRNPAB</v>
      </c>
      <c r="B23072" s="6" t="s">
        <v>1</v>
      </c>
      <c r="C23072" s="6" t="s">
        <v>1</v>
      </c>
    </row>
    <row r="23073" spans="1:3" s="8" customFormat="1" x14ac:dyDescent="0.2">
      <c r="A23073" s="6" t="str">
        <f>"PLEKHB2"</f>
        <v>PLEKHB2</v>
      </c>
      <c r="B23073" s="6" t="s">
        <v>1</v>
      </c>
      <c r="C23073" s="6" t="s">
        <v>1</v>
      </c>
    </row>
    <row r="23074" spans="1:3" s="8" customFormat="1" x14ac:dyDescent="0.2">
      <c r="A23074" s="6" t="str">
        <f>"UBXN6"</f>
        <v>UBXN6</v>
      </c>
      <c r="B23074" s="6" t="s">
        <v>1</v>
      </c>
      <c r="C23074" s="6" t="s">
        <v>1</v>
      </c>
    </row>
    <row r="23075" spans="1:3" s="8" customFormat="1" x14ac:dyDescent="0.2">
      <c r="A23075" s="6" t="str">
        <f>"MYO5C"</f>
        <v>MYO5C</v>
      </c>
      <c r="B23075" s="6" t="s">
        <v>1</v>
      </c>
      <c r="C23075" s="6" t="s">
        <v>1</v>
      </c>
    </row>
    <row r="23076" spans="1:3" s="8" customFormat="1" x14ac:dyDescent="0.2">
      <c r="A23076" s="6" t="str">
        <f>"FHAD1"</f>
        <v>FHAD1</v>
      </c>
      <c r="B23076" s="6" t="s">
        <v>1</v>
      </c>
      <c r="C23076" s="6" t="s">
        <v>1</v>
      </c>
    </row>
    <row r="23077" spans="1:3" s="8" customFormat="1" x14ac:dyDescent="0.2">
      <c r="A23077" s="6" t="str">
        <f>"MSN"</f>
        <v>MSN</v>
      </c>
      <c r="B23077" s="6" t="s">
        <v>1</v>
      </c>
      <c r="C23077" s="6" t="s">
        <v>1</v>
      </c>
    </row>
    <row r="23078" spans="1:3" s="8" customFormat="1" x14ac:dyDescent="0.2">
      <c r="A23078" s="6" t="str">
        <f>"SLC26A2"</f>
        <v>SLC26A2</v>
      </c>
      <c r="B23078" s="6" t="s">
        <v>1</v>
      </c>
      <c r="C23078" s="6" t="s">
        <v>1</v>
      </c>
    </row>
    <row r="23079" spans="1:3" s="8" customFormat="1" x14ac:dyDescent="0.2">
      <c r="A23079" s="6" t="str">
        <f>"CCND1"</f>
        <v>CCND1</v>
      </c>
      <c r="B23079" s="6" t="s">
        <v>1</v>
      </c>
      <c r="C23079" s="6" t="s">
        <v>1</v>
      </c>
    </row>
    <row r="23080" spans="1:3" s="8" customFormat="1" x14ac:dyDescent="0.2">
      <c r="A23080" s="6" t="str">
        <f>"G3BP2"</f>
        <v>G3BP2</v>
      </c>
      <c r="B23080" s="6" t="s">
        <v>1</v>
      </c>
      <c r="C23080" s="6" t="s">
        <v>1</v>
      </c>
    </row>
    <row r="23081" spans="1:3" s="8" customFormat="1" x14ac:dyDescent="0.2">
      <c r="A23081" s="6" t="str">
        <f>"FAT1"</f>
        <v>FAT1</v>
      </c>
      <c r="B23081" s="6" t="s">
        <v>1</v>
      </c>
      <c r="C23081" s="6" t="s">
        <v>1</v>
      </c>
    </row>
    <row r="23082" spans="1:3" s="8" customFormat="1" x14ac:dyDescent="0.2">
      <c r="A23082" s="6" t="str">
        <f>"MLXIP"</f>
        <v>MLXIP</v>
      </c>
      <c r="B23082" s="6" t="s">
        <v>1</v>
      </c>
      <c r="C23082" s="6" t="s">
        <v>1</v>
      </c>
    </row>
    <row r="23083" spans="1:3" s="8" customFormat="1" x14ac:dyDescent="0.2">
      <c r="A23083" s="6" t="str">
        <f>"DNAJC3"</f>
        <v>DNAJC3</v>
      </c>
      <c r="B23083" s="6" t="s">
        <v>1</v>
      </c>
      <c r="C23083" s="6" t="s">
        <v>1</v>
      </c>
    </row>
    <row r="23084" spans="1:3" s="8" customFormat="1" x14ac:dyDescent="0.2">
      <c r="A23084" s="6" t="str">
        <f>"UBXN4"</f>
        <v>UBXN4</v>
      </c>
      <c r="B23084" s="6" t="s">
        <v>1</v>
      </c>
      <c r="C23084" s="6" t="s">
        <v>1</v>
      </c>
    </row>
    <row r="23085" spans="1:3" s="8" customFormat="1" x14ac:dyDescent="0.2">
      <c r="A23085" s="6" t="str">
        <f>"PRKDC"</f>
        <v>PRKDC</v>
      </c>
      <c r="B23085" s="6" t="s">
        <v>1</v>
      </c>
      <c r="C23085" s="6" t="s">
        <v>1</v>
      </c>
    </row>
    <row r="23086" spans="1:3" s="8" customFormat="1" x14ac:dyDescent="0.2">
      <c r="A23086" s="6" t="str">
        <f>"LRBA"</f>
        <v>LRBA</v>
      </c>
      <c r="B23086" s="6" t="s">
        <v>1</v>
      </c>
      <c r="C23086" s="6" t="s">
        <v>1</v>
      </c>
    </row>
    <row r="23087" spans="1:3" s="8" customFormat="1" x14ac:dyDescent="0.2">
      <c r="A23087" s="6" t="str">
        <f>"EXOC7"</f>
        <v>EXOC7</v>
      </c>
      <c r="B23087" s="6" t="s">
        <v>1</v>
      </c>
      <c r="C23087" s="6" t="s">
        <v>1</v>
      </c>
    </row>
    <row r="23088" spans="1:3" s="8" customFormat="1" x14ac:dyDescent="0.2">
      <c r="A23088" s="6" t="str">
        <f>"LCP1"</f>
        <v>LCP1</v>
      </c>
      <c r="B23088" s="6" t="s">
        <v>1</v>
      </c>
      <c r="C23088" s="6" t="s">
        <v>1</v>
      </c>
    </row>
    <row r="23089" spans="1:3" s="8" customFormat="1" x14ac:dyDescent="0.2">
      <c r="A23089" s="6" t="str">
        <f>"MACC1"</f>
        <v>MACC1</v>
      </c>
      <c r="B23089" s="6" t="s">
        <v>1</v>
      </c>
      <c r="C23089" s="6" t="s">
        <v>1</v>
      </c>
    </row>
    <row r="23090" spans="1:3" s="8" customFormat="1" x14ac:dyDescent="0.2">
      <c r="A23090" s="6" t="str">
        <f>"PDCD4"</f>
        <v>PDCD4</v>
      </c>
      <c r="B23090" s="6" t="s">
        <v>1</v>
      </c>
      <c r="C23090" s="6" t="s">
        <v>1</v>
      </c>
    </row>
    <row r="23091" spans="1:3" s="8" customFormat="1" x14ac:dyDescent="0.2">
      <c r="A23091" s="6" t="str">
        <f>"GLYR1"</f>
        <v>GLYR1</v>
      </c>
      <c r="B23091" s="6" t="s">
        <v>1</v>
      </c>
      <c r="C23091" s="6" t="s">
        <v>1</v>
      </c>
    </row>
    <row r="23092" spans="1:3" s="8" customFormat="1" x14ac:dyDescent="0.2">
      <c r="A23092" s="6" t="str">
        <f>"RALY"</f>
        <v>RALY</v>
      </c>
      <c r="B23092" s="6" t="s">
        <v>1</v>
      </c>
      <c r="C23092" s="6" t="s">
        <v>1</v>
      </c>
    </row>
    <row r="23093" spans="1:3" s="8" customFormat="1" x14ac:dyDescent="0.2">
      <c r="A23093" s="6" t="str">
        <f>"SELENON"</f>
        <v>SELENON</v>
      </c>
      <c r="B23093" s="6" t="s">
        <v>1</v>
      </c>
      <c r="C23093" s="6" t="s">
        <v>1</v>
      </c>
    </row>
    <row r="23094" spans="1:3" s="8" customFormat="1" x14ac:dyDescent="0.2">
      <c r="A23094" s="6" t="str">
        <f>"PROM2"</f>
        <v>PROM2</v>
      </c>
      <c r="B23094" s="6" t="s">
        <v>1</v>
      </c>
      <c r="C23094" s="6" t="s">
        <v>1</v>
      </c>
    </row>
    <row r="23095" spans="1:3" s="8" customFormat="1" x14ac:dyDescent="0.2">
      <c r="A23095" s="6" t="str">
        <f>"CYP2A13"</f>
        <v>CYP2A13</v>
      </c>
      <c r="B23095" s="6" t="s">
        <v>1</v>
      </c>
      <c r="C23095" s="6" t="s">
        <v>1</v>
      </c>
    </row>
    <row r="23096" spans="1:3" s="8" customFormat="1" x14ac:dyDescent="0.2">
      <c r="A23096" s="6" t="str">
        <f>"SEC63"</f>
        <v>SEC63</v>
      </c>
      <c r="B23096" s="6" t="s">
        <v>1</v>
      </c>
      <c r="C23096" s="6" t="s">
        <v>1</v>
      </c>
    </row>
    <row r="23097" spans="1:3" s="8" customFormat="1" x14ac:dyDescent="0.2">
      <c r="A23097" s="6" t="str">
        <f>"ALDH1L1"</f>
        <v>ALDH1L1</v>
      </c>
      <c r="B23097" s="6" t="s">
        <v>1</v>
      </c>
      <c r="C23097" s="6" t="s">
        <v>1</v>
      </c>
    </row>
    <row r="23098" spans="1:3" s="8" customFormat="1" x14ac:dyDescent="0.2">
      <c r="A23098" s="6" t="str">
        <f>"FLOT2"</f>
        <v>FLOT2</v>
      </c>
      <c r="B23098" s="6" t="s">
        <v>1</v>
      </c>
      <c r="C23098" s="6" t="s">
        <v>1</v>
      </c>
    </row>
    <row r="23099" spans="1:3" s="8" customFormat="1" x14ac:dyDescent="0.2">
      <c r="A23099" s="6" t="str">
        <f>"EEF1B2"</f>
        <v>EEF1B2</v>
      </c>
      <c r="B23099" s="6" t="s">
        <v>1</v>
      </c>
      <c r="C23099" s="6" t="s">
        <v>1</v>
      </c>
    </row>
    <row r="23100" spans="1:3" s="8" customFormat="1" x14ac:dyDescent="0.2">
      <c r="A23100" s="6" t="str">
        <f>"GLTP"</f>
        <v>GLTP</v>
      </c>
      <c r="B23100" s="6" t="s">
        <v>1</v>
      </c>
      <c r="C23100" s="6" t="s">
        <v>1</v>
      </c>
    </row>
    <row r="23101" spans="1:3" s="8" customFormat="1" x14ac:dyDescent="0.2">
      <c r="A23101" s="6" t="str">
        <f>"DENND2B"</f>
        <v>DENND2B</v>
      </c>
      <c r="B23101" s="6" t="s">
        <v>1</v>
      </c>
      <c r="C23101" s="6" t="s">
        <v>1</v>
      </c>
    </row>
    <row r="23102" spans="1:3" s="8" customFormat="1" x14ac:dyDescent="0.2">
      <c r="A23102" s="6" t="str">
        <f>"MYO6"</f>
        <v>MYO6</v>
      </c>
      <c r="B23102" s="6" t="s">
        <v>1</v>
      </c>
      <c r="C23102" s="6" t="s">
        <v>1</v>
      </c>
    </row>
    <row r="23103" spans="1:3" s="8" customFormat="1" x14ac:dyDescent="0.2">
      <c r="A23103" s="6" t="str">
        <f>"TMEM127"</f>
        <v>TMEM127</v>
      </c>
      <c r="B23103" s="6" t="s">
        <v>1</v>
      </c>
      <c r="C23103" s="6" t="s">
        <v>1</v>
      </c>
    </row>
    <row r="23104" spans="1:3" s="8" customFormat="1" x14ac:dyDescent="0.2">
      <c r="A23104" s="6" t="str">
        <f>"BACE2"</f>
        <v>BACE2</v>
      </c>
      <c r="B23104" s="6" t="s">
        <v>1</v>
      </c>
      <c r="C23104" s="6" t="s">
        <v>1</v>
      </c>
    </row>
    <row r="23105" spans="1:3" s="8" customFormat="1" x14ac:dyDescent="0.2">
      <c r="A23105" s="6" t="str">
        <f>"ASPH"</f>
        <v>ASPH</v>
      </c>
      <c r="B23105" s="6" t="s">
        <v>1</v>
      </c>
      <c r="C23105" s="6" t="s">
        <v>1</v>
      </c>
    </row>
    <row r="23106" spans="1:3" s="8" customFormat="1" x14ac:dyDescent="0.2">
      <c r="A23106" s="6" t="str">
        <f>"ENSA"</f>
        <v>ENSA</v>
      </c>
      <c r="B23106" s="6" t="s">
        <v>1</v>
      </c>
      <c r="C23106" s="6" t="s">
        <v>1</v>
      </c>
    </row>
    <row r="23107" spans="1:3" s="8" customFormat="1" x14ac:dyDescent="0.2">
      <c r="A23107" s="6" t="str">
        <f>"BAIAP2"</f>
        <v>BAIAP2</v>
      </c>
      <c r="B23107" s="6" t="s">
        <v>1</v>
      </c>
      <c r="C23107" s="6" t="s">
        <v>1</v>
      </c>
    </row>
    <row r="23108" spans="1:3" s="8" customFormat="1" x14ac:dyDescent="0.2">
      <c r="A23108" s="6" t="str">
        <f>"S100A16"</f>
        <v>S100A16</v>
      </c>
      <c r="B23108" s="6" t="s">
        <v>1</v>
      </c>
      <c r="C23108" s="6" t="s">
        <v>1</v>
      </c>
    </row>
    <row r="23109" spans="1:3" s="8" customFormat="1" x14ac:dyDescent="0.2">
      <c r="A23109" s="6" t="str">
        <f>"EMC10"</f>
        <v>EMC10</v>
      </c>
      <c r="B23109" s="6" t="s">
        <v>1</v>
      </c>
      <c r="C23109" s="6" t="s">
        <v>1</v>
      </c>
    </row>
    <row r="23110" spans="1:3" s="8" customFormat="1" x14ac:dyDescent="0.2">
      <c r="A23110" s="6" t="str">
        <f>"SRP9"</f>
        <v>SRP9</v>
      </c>
      <c r="B23110" s="6" t="s">
        <v>1</v>
      </c>
      <c r="C23110" s="6" t="s">
        <v>1</v>
      </c>
    </row>
    <row r="23111" spans="1:3" s="8" customFormat="1" x14ac:dyDescent="0.2">
      <c r="A23111" s="6" t="str">
        <f>"MINK1"</f>
        <v>MINK1</v>
      </c>
      <c r="B23111" s="6" t="s">
        <v>1</v>
      </c>
      <c r="C23111" s="6" t="s">
        <v>1</v>
      </c>
    </row>
    <row r="23112" spans="1:3" s="8" customFormat="1" x14ac:dyDescent="0.2">
      <c r="A23112" s="6" t="str">
        <f>"DNAJB1"</f>
        <v>DNAJB1</v>
      </c>
      <c r="B23112" s="6" t="s">
        <v>1</v>
      </c>
      <c r="C23112" s="6" t="s">
        <v>1</v>
      </c>
    </row>
    <row r="23113" spans="1:3" s="8" customFormat="1" x14ac:dyDescent="0.2">
      <c r="A23113" s="6" t="str">
        <f>"MKRN1"</f>
        <v>MKRN1</v>
      </c>
      <c r="B23113" s="6" t="s">
        <v>1</v>
      </c>
      <c r="C23113" s="6" t="s">
        <v>1</v>
      </c>
    </row>
    <row r="23114" spans="1:3" s="8" customFormat="1" x14ac:dyDescent="0.2">
      <c r="A23114" s="6" t="str">
        <f>"HM13"</f>
        <v>HM13</v>
      </c>
      <c r="B23114" s="6" t="s">
        <v>1</v>
      </c>
      <c r="C23114" s="6" t="s">
        <v>1</v>
      </c>
    </row>
    <row r="23115" spans="1:3" s="8" customFormat="1" x14ac:dyDescent="0.2">
      <c r="A23115" s="6" t="str">
        <f>"IFITM3"</f>
        <v>IFITM3</v>
      </c>
      <c r="B23115" s="6" t="s">
        <v>1</v>
      </c>
      <c r="C23115" s="6" t="s">
        <v>1</v>
      </c>
    </row>
    <row r="23116" spans="1:3" s="8" customFormat="1" x14ac:dyDescent="0.2">
      <c r="A23116" s="6" t="str">
        <f>"LRP1"</f>
        <v>LRP1</v>
      </c>
      <c r="B23116" s="6" t="s">
        <v>1</v>
      </c>
      <c r="C23116" s="6" t="s">
        <v>1</v>
      </c>
    </row>
    <row r="23117" spans="1:3" s="8" customFormat="1" x14ac:dyDescent="0.2">
      <c r="A23117" s="6" t="str">
        <f>"MLLT6"</f>
        <v>MLLT6</v>
      </c>
      <c r="B23117" s="6" t="s">
        <v>1</v>
      </c>
      <c r="C23117" s="6" t="s">
        <v>1</v>
      </c>
    </row>
    <row r="23118" spans="1:3" s="8" customFormat="1" x14ac:dyDescent="0.2">
      <c r="A23118" s="6" t="str">
        <f>"MDM2"</f>
        <v>MDM2</v>
      </c>
      <c r="B23118" s="6" t="s">
        <v>1</v>
      </c>
      <c r="C23118" s="6" t="s">
        <v>1</v>
      </c>
    </row>
    <row r="23119" spans="1:3" s="8" customFormat="1" x14ac:dyDescent="0.2">
      <c r="A23119" s="6" t="str">
        <f>"RALGAPA2"</f>
        <v>RALGAPA2</v>
      </c>
      <c r="B23119" s="6" t="s">
        <v>1</v>
      </c>
      <c r="C23119" s="6" t="s">
        <v>1</v>
      </c>
    </row>
    <row r="23120" spans="1:3" s="8" customFormat="1" x14ac:dyDescent="0.2">
      <c r="A23120" s="6" t="str">
        <f>"SEC62"</f>
        <v>SEC62</v>
      </c>
      <c r="B23120" s="6" t="s">
        <v>1</v>
      </c>
      <c r="C23120" s="6" t="s">
        <v>1</v>
      </c>
    </row>
    <row r="23121" spans="1:3" s="8" customFormat="1" x14ac:dyDescent="0.2">
      <c r="A23121" s="6" t="str">
        <f>"FAM83H"</f>
        <v>FAM83H</v>
      </c>
      <c r="B23121" s="6" t="s">
        <v>1</v>
      </c>
      <c r="C23121" s="6" t="s">
        <v>1</v>
      </c>
    </row>
    <row r="23122" spans="1:3" s="8" customFormat="1" x14ac:dyDescent="0.2">
      <c r="A23122" s="6" t="str">
        <f>"IQCE"</f>
        <v>IQCE</v>
      </c>
      <c r="B23122" s="6" t="s">
        <v>1</v>
      </c>
      <c r="C23122" s="6" t="s">
        <v>1</v>
      </c>
    </row>
    <row r="23123" spans="1:3" s="8" customFormat="1" x14ac:dyDescent="0.2">
      <c r="A23123" s="6" t="str">
        <f>"MLF2"</f>
        <v>MLF2</v>
      </c>
      <c r="B23123" s="6" t="s">
        <v>1</v>
      </c>
      <c r="C23123" s="6" t="s">
        <v>1</v>
      </c>
    </row>
    <row r="23124" spans="1:3" s="8" customFormat="1" x14ac:dyDescent="0.2">
      <c r="A23124" s="6" t="str">
        <f>"EMP2"</f>
        <v>EMP2</v>
      </c>
      <c r="B23124" s="6" t="s">
        <v>1</v>
      </c>
      <c r="C23124" s="6" t="s">
        <v>1</v>
      </c>
    </row>
    <row r="23125" spans="1:3" s="8" customFormat="1" x14ac:dyDescent="0.2">
      <c r="A23125" s="6" t="str">
        <f>"FASN"</f>
        <v>FASN</v>
      </c>
      <c r="B23125" s="6" t="s">
        <v>1</v>
      </c>
      <c r="C23125" s="6" t="s">
        <v>1</v>
      </c>
    </row>
    <row r="23126" spans="1:3" s="8" customFormat="1" x14ac:dyDescent="0.2">
      <c r="A23126" s="6" t="str">
        <f>"MISP"</f>
        <v>MISP</v>
      </c>
      <c r="B23126" s="6" t="s">
        <v>1</v>
      </c>
      <c r="C23126" s="6" t="s">
        <v>1</v>
      </c>
    </row>
    <row r="23127" spans="1:3" s="8" customFormat="1" x14ac:dyDescent="0.2">
      <c r="A23127" s="6" t="str">
        <f>"KLF3"</f>
        <v>KLF3</v>
      </c>
      <c r="B23127" s="6" t="s">
        <v>1</v>
      </c>
      <c r="C23127" s="6" t="s">
        <v>1</v>
      </c>
    </row>
    <row r="23128" spans="1:3" s="8" customFormat="1" x14ac:dyDescent="0.2">
      <c r="A23128" s="6" t="str">
        <f>"GPRC5A"</f>
        <v>GPRC5A</v>
      </c>
      <c r="B23128" s="6" t="s">
        <v>1</v>
      </c>
      <c r="C23128" s="6" t="s">
        <v>1</v>
      </c>
    </row>
    <row r="23129" spans="1:3" s="8" customFormat="1" x14ac:dyDescent="0.2">
      <c r="A23129" s="6" t="str">
        <f>"INAVA"</f>
        <v>INAVA</v>
      </c>
      <c r="B23129" s="6" t="s">
        <v>1</v>
      </c>
      <c r="C23129" s="6" t="s">
        <v>1</v>
      </c>
    </row>
    <row r="23130" spans="1:3" s="8" customFormat="1" x14ac:dyDescent="0.2">
      <c r="A23130" s="6" t="str">
        <f>"SRPRA"</f>
        <v>SRPRA</v>
      </c>
      <c r="B23130" s="6" t="s">
        <v>1</v>
      </c>
      <c r="C23130" s="6" t="s">
        <v>1</v>
      </c>
    </row>
    <row r="23131" spans="1:3" s="8" customFormat="1" x14ac:dyDescent="0.2">
      <c r="A23131" s="6" t="str">
        <f>"APOL1"</f>
        <v>APOL1</v>
      </c>
      <c r="B23131" s="6" t="s">
        <v>1</v>
      </c>
      <c r="C23131" s="6" t="s">
        <v>1</v>
      </c>
    </row>
    <row r="23132" spans="1:3" s="8" customFormat="1" x14ac:dyDescent="0.2">
      <c r="A23132" s="6" t="str">
        <f>"RERE"</f>
        <v>RERE</v>
      </c>
      <c r="B23132" s="6" t="s">
        <v>1</v>
      </c>
      <c r="C23132" s="6" t="s">
        <v>1</v>
      </c>
    </row>
    <row r="23133" spans="1:3" s="8" customFormat="1" x14ac:dyDescent="0.2">
      <c r="A23133" s="6" t="str">
        <f>"TMEM131"</f>
        <v>TMEM131</v>
      </c>
      <c r="B23133" s="6" t="s">
        <v>1</v>
      </c>
      <c r="C23133" s="6" t="s">
        <v>1</v>
      </c>
    </row>
    <row r="23134" spans="1:3" s="8" customFormat="1" x14ac:dyDescent="0.2">
      <c r="A23134" s="6" t="str">
        <f>"BTG1"</f>
        <v>BTG1</v>
      </c>
      <c r="B23134" s="6" t="s">
        <v>1</v>
      </c>
      <c r="C23134" s="6" t="s">
        <v>1</v>
      </c>
    </row>
    <row r="23135" spans="1:3" s="8" customFormat="1" x14ac:dyDescent="0.2">
      <c r="A23135" s="6" t="str">
        <f>"RANBP2"</f>
        <v>RANBP2</v>
      </c>
      <c r="B23135" s="6" t="s">
        <v>1</v>
      </c>
      <c r="C23135" s="6" t="s">
        <v>1</v>
      </c>
    </row>
    <row r="23136" spans="1:3" s="8" customFormat="1" x14ac:dyDescent="0.2">
      <c r="A23136" s="6" t="str">
        <f>"HNRNPH1"</f>
        <v>HNRNPH1</v>
      </c>
      <c r="B23136" s="6" t="s">
        <v>1</v>
      </c>
      <c r="C23136" s="6" t="s">
        <v>1</v>
      </c>
    </row>
    <row r="23137" spans="1:3" s="8" customFormat="1" x14ac:dyDescent="0.2">
      <c r="A23137" s="6" t="str">
        <f>"ZBTB7A"</f>
        <v>ZBTB7A</v>
      </c>
      <c r="B23137" s="6" t="s">
        <v>1</v>
      </c>
      <c r="C23137" s="6" t="s">
        <v>1</v>
      </c>
    </row>
    <row r="23138" spans="1:3" s="8" customFormat="1" x14ac:dyDescent="0.2">
      <c r="A23138" s="6" t="str">
        <f>"ARAP1"</f>
        <v>ARAP1</v>
      </c>
      <c r="B23138" s="6" t="s">
        <v>1</v>
      </c>
      <c r="C23138" s="6" t="s">
        <v>1</v>
      </c>
    </row>
    <row r="23139" spans="1:3" s="8" customFormat="1" x14ac:dyDescent="0.2">
      <c r="A23139" s="6" t="str">
        <f>"DDX42"</f>
        <v>DDX42</v>
      </c>
      <c r="B23139" s="6" t="s">
        <v>1</v>
      </c>
      <c r="C23139" s="6" t="s">
        <v>1</v>
      </c>
    </row>
    <row r="23140" spans="1:3" s="8" customFormat="1" x14ac:dyDescent="0.2">
      <c r="A23140" s="6" t="str">
        <f>"SORT1"</f>
        <v>SORT1</v>
      </c>
      <c r="B23140" s="6" t="s">
        <v>1</v>
      </c>
      <c r="C23140" s="6" t="s">
        <v>1</v>
      </c>
    </row>
    <row r="23141" spans="1:3" s="8" customFormat="1" x14ac:dyDescent="0.2">
      <c r="A23141" s="6" t="str">
        <f>"BAIAP2L1"</f>
        <v>BAIAP2L1</v>
      </c>
      <c r="B23141" s="6" t="s">
        <v>1</v>
      </c>
      <c r="C23141" s="6" t="s">
        <v>1</v>
      </c>
    </row>
    <row r="23142" spans="1:3" s="8" customFormat="1" x14ac:dyDescent="0.2">
      <c r="A23142" s="6" t="str">
        <f>"EIF2AK1"</f>
        <v>EIF2AK1</v>
      </c>
      <c r="B23142" s="6" t="s">
        <v>1</v>
      </c>
      <c r="C23142" s="6" t="s">
        <v>1</v>
      </c>
    </row>
    <row r="23143" spans="1:3" s="8" customFormat="1" x14ac:dyDescent="0.2">
      <c r="A23143" s="6" t="str">
        <f>"CDS1"</f>
        <v>CDS1</v>
      </c>
      <c r="B23143" s="6" t="s">
        <v>1</v>
      </c>
      <c r="C23143" s="6" t="s">
        <v>1</v>
      </c>
    </row>
    <row r="23144" spans="1:3" s="8" customFormat="1" x14ac:dyDescent="0.2">
      <c r="A23144" s="6" t="str">
        <f>"NOTCH2"</f>
        <v>NOTCH2</v>
      </c>
      <c r="B23144" s="6" t="s">
        <v>1</v>
      </c>
      <c r="C23144" s="6" t="s">
        <v>1</v>
      </c>
    </row>
    <row r="23145" spans="1:3" s="8" customFormat="1" x14ac:dyDescent="0.2">
      <c r="A23145" s="6" t="str">
        <f>"HMGN3"</f>
        <v>HMGN3</v>
      </c>
      <c r="B23145" s="6" t="s">
        <v>1</v>
      </c>
      <c r="C23145" s="6" t="s">
        <v>1</v>
      </c>
    </row>
    <row r="23146" spans="1:3" s="8" customFormat="1" x14ac:dyDescent="0.2">
      <c r="A23146" s="6" t="str">
        <f>"TBC1D8"</f>
        <v>TBC1D8</v>
      </c>
      <c r="B23146" s="6" t="s">
        <v>1</v>
      </c>
      <c r="C23146" s="6" t="s">
        <v>1</v>
      </c>
    </row>
    <row r="23147" spans="1:3" s="8" customFormat="1" x14ac:dyDescent="0.2">
      <c r="A23147" s="6" t="str">
        <f>"CHP1"</f>
        <v>CHP1</v>
      </c>
      <c r="B23147" s="6" t="s">
        <v>1</v>
      </c>
      <c r="C23147" s="6" t="s">
        <v>1</v>
      </c>
    </row>
    <row r="23148" spans="1:3" s="8" customFormat="1" x14ac:dyDescent="0.2">
      <c r="A23148" s="6" t="str">
        <f>"MSI2"</f>
        <v>MSI2</v>
      </c>
      <c r="B23148" s="6" t="s">
        <v>1</v>
      </c>
      <c r="C23148" s="6" t="s">
        <v>1</v>
      </c>
    </row>
    <row r="23149" spans="1:3" s="8" customFormat="1" x14ac:dyDescent="0.2">
      <c r="A23149" s="6" t="str">
        <f>"IQCG"</f>
        <v>IQCG</v>
      </c>
      <c r="B23149" s="6" t="s">
        <v>1</v>
      </c>
      <c r="C23149" s="6" t="s">
        <v>1</v>
      </c>
    </row>
    <row r="23150" spans="1:3" s="8" customFormat="1" x14ac:dyDescent="0.2">
      <c r="A23150" s="6" t="str">
        <f>"GLG1"</f>
        <v>GLG1</v>
      </c>
      <c r="B23150" s="6" t="s">
        <v>1</v>
      </c>
      <c r="C23150" s="6" t="s">
        <v>1</v>
      </c>
    </row>
    <row r="23151" spans="1:3" s="8" customFormat="1" x14ac:dyDescent="0.2">
      <c r="A23151" s="6" t="str">
        <f>"NOMO2"</f>
        <v>NOMO2</v>
      </c>
      <c r="B23151" s="6" t="s">
        <v>1</v>
      </c>
      <c r="C23151" s="6" t="s">
        <v>1</v>
      </c>
    </row>
    <row r="23152" spans="1:3" s="8" customFormat="1" x14ac:dyDescent="0.2">
      <c r="A23152" s="6" t="str">
        <f>"CAPZB"</f>
        <v>CAPZB</v>
      </c>
      <c r="B23152" s="6" t="s">
        <v>1</v>
      </c>
      <c r="C23152" s="6" t="s">
        <v>1</v>
      </c>
    </row>
    <row r="23153" spans="1:3" s="8" customFormat="1" x14ac:dyDescent="0.2">
      <c r="A23153" s="6" t="str">
        <f>"ELOVL5"</f>
        <v>ELOVL5</v>
      </c>
      <c r="B23153" s="6" t="s">
        <v>1</v>
      </c>
      <c r="C23153" s="6" t="s">
        <v>1</v>
      </c>
    </row>
    <row r="23154" spans="1:3" s="8" customFormat="1" x14ac:dyDescent="0.2">
      <c r="A23154" s="6" t="str">
        <f>"SLC27A2"</f>
        <v>SLC27A2</v>
      </c>
      <c r="B23154" s="6" t="s">
        <v>1</v>
      </c>
      <c r="C23154" s="6" t="s">
        <v>1</v>
      </c>
    </row>
    <row r="23155" spans="1:3" s="8" customFormat="1" x14ac:dyDescent="0.2">
      <c r="A23155" s="6" t="str">
        <f>"CYP2S1"</f>
        <v>CYP2S1</v>
      </c>
      <c r="B23155" s="6" t="s">
        <v>1</v>
      </c>
      <c r="C23155" s="6" t="s">
        <v>1</v>
      </c>
    </row>
    <row r="23156" spans="1:3" s="8" customFormat="1" x14ac:dyDescent="0.2">
      <c r="A23156" s="6" t="str">
        <f>"IGFBP5"</f>
        <v>IGFBP5</v>
      </c>
      <c r="B23156" s="6" t="s">
        <v>1</v>
      </c>
      <c r="C23156" s="6" t="s">
        <v>1</v>
      </c>
    </row>
    <row r="23157" spans="1:3" s="8" customFormat="1" x14ac:dyDescent="0.2">
      <c r="A23157" s="6" t="str">
        <f>"TTC9"</f>
        <v>TTC9</v>
      </c>
      <c r="B23157" s="6" t="s">
        <v>1</v>
      </c>
      <c r="C23157" s="6" t="s">
        <v>1</v>
      </c>
    </row>
    <row r="23158" spans="1:3" s="8" customFormat="1" x14ac:dyDescent="0.2">
      <c r="A23158" s="6" t="str">
        <f>"HNRNPL"</f>
        <v>HNRNPL</v>
      </c>
      <c r="B23158" s="6" t="s">
        <v>1</v>
      </c>
      <c r="C23158" s="6" t="s">
        <v>1</v>
      </c>
    </row>
    <row r="23159" spans="1:3" s="8" customFormat="1" x14ac:dyDescent="0.2">
      <c r="A23159" s="6" t="str">
        <f>"SEC31A"</f>
        <v>SEC31A</v>
      </c>
      <c r="B23159" s="6" t="s">
        <v>1</v>
      </c>
      <c r="C23159" s="6" t="s">
        <v>1</v>
      </c>
    </row>
    <row r="23160" spans="1:3" s="8" customFormat="1" x14ac:dyDescent="0.2">
      <c r="A23160" s="6" t="str">
        <f>"FAU"</f>
        <v>FAU</v>
      </c>
      <c r="B23160" s="6" t="s">
        <v>1</v>
      </c>
      <c r="C23160" s="6" t="s">
        <v>1</v>
      </c>
    </row>
    <row r="23161" spans="1:3" s="8" customFormat="1" x14ac:dyDescent="0.2">
      <c r="A23161" s="6" t="str">
        <f>"VDAC1"</f>
        <v>VDAC1</v>
      </c>
      <c r="B23161" s="6" t="s">
        <v>1</v>
      </c>
      <c r="C23161" s="6" t="s">
        <v>1</v>
      </c>
    </row>
    <row r="23162" spans="1:3" s="8" customFormat="1" x14ac:dyDescent="0.2">
      <c r="A23162" s="6" t="str">
        <f>"DDX6"</f>
        <v>DDX6</v>
      </c>
      <c r="B23162" s="6" t="s">
        <v>1</v>
      </c>
      <c r="C23162" s="6" t="s">
        <v>1</v>
      </c>
    </row>
    <row r="23163" spans="1:3" s="8" customFormat="1" x14ac:dyDescent="0.2">
      <c r="A23163" s="6" t="str">
        <f>"DNAJC5"</f>
        <v>DNAJC5</v>
      </c>
      <c r="B23163" s="6" t="s">
        <v>1</v>
      </c>
      <c r="C23163" s="6" t="s">
        <v>1</v>
      </c>
    </row>
    <row r="23164" spans="1:3" s="8" customFormat="1" x14ac:dyDescent="0.2">
      <c r="A23164" s="6" t="str">
        <f>"PI3"</f>
        <v>PI3</v>
      </c>
      <c r="B23164" s="6" t="s">
        <v>1</v>
      </c>
      <c r="C23164" s="6" t="s">
        <v>1</v>
      </c>
    </row>
    <row r="23165" spans="1:3" s="8" customFormat="1" x14ac:dyDescent="0.2">
      <c r="A23165" s="6" t="str">
        <f>"SEL1L3"</f>
        <v>SEL1L3</v>
      </c>
      <c r="B23165" s="6" t="s">
        <v>1</v>
      </c>
      <c r="C23165" s="6" t="s">
        <v>1</v>
      </c>
    </row>
    <row r="23166" spans="1:3" s="8" customFormat="1" x14ac:dyDescent="0.2">
      <c r="A23166" s="6" t="str">
        <f>"BAIAP3"</f>
        <v>BAIAP3</v>
      </c>
      <c r="B23166" s="6" t="s">
        <v>1</v>
      </c>
      <c r="C23166" s="6" t="s">
        <v>1</v>
      </c>
    </row>
    <row r="23167" spans="1:3" s="8" customFormat="1" x14ac:dyDescent="0.2">
      <c r="A23167" s="6" t="str">
        <f>"GAK"</f>
        <v>GAK</v>
      </c>
      <c r="B23167" s="6" t="s">
        <v>1</v>
      </c>
      <c r="C23167" s="6" t="s">
        <v>1</v>
      </c>
    </row>
    <row r="23168" spans="1:3" s="8" customFormat="1" x14ac:dyDescent="0.2">
      <c r="A23168" s="6" t="str">
        <f>"DNAJC10"</f>
        <v>DNAJC10</v>
      </c>
      <c r="B23168" s="6" t="s">
        <v>1</v>
      </c>
      <c r="C23168" s="6" t="s">
        <v>1</v>
      </c>
    </row>
    <row r="23169" spans="1:3" s="8" customFormat="1" x14ac:dyDescent="0.2">
      <c r="A23169" s="6" t="str">
        <f>"NEBL"</f>
        <v>NEBL</v>
      </c>
      <c r="B23169" s="6" t="s">
        <v>1</v>
      </c>
      <c r="C23169" s="6" t="s">
        <v>1</v>
      </c>
    </row>
    <row r="23170" spans="1:3" s="8" customFormat="1" x14ac:dyDescent="0.2">
      <c r="A23170" s="6" t="str">
        <f>"REPIN1"</f>
        <v>REPIN1</v>
      </c>
      <c r="B23170" s="6" t="s">
        <v>1</v>
      </c>
      <c r="C23170" s="6" t="s">
        <v>1</v>
      </c>
    </row>
    <row r="23171" spans="1:3" s="8" customFormat="1" x14ac:dyDescent="0.2">
      <c r="A23171" s="6" t="str">
        <f>"ALDH3A2"</f>
        <v>ALDH3A2</v>
      </c>
      <c r="B23171" s="6" t="s">
        <v>1</v>
      </c>
      <c r="C23171" s="6" t="s">
        <v>1</v>
      </c>
    </row>
    <row r="23172" spans="1:3" s="8" customFormat="1" x14ac:dyDescent="0.2">
      <c r="A23172" s="6" t="str">
        <f>"LRIG1"</f>
        <v>LRIG1</v>
      </c>
      <c r="B23172" s="6" t="s">
        <v>1</v>
      </c>
      <c r="C23172" s="6" t="s">
        <v>1</v>
      </c>
    </row>
    <row r="23173" spans="1:3" s="8" customFormat="1" x14ac:dyDescent="0.2">
      <c r="A23173" s="6" t="str">
        <f>"IGF1R"</f>
        <v>IGF1R</v>
      </c>
      <c r="B23173" s="6" t="s">
        <v>1</v>
      </c>
      <c r="C23173" s="6" t="s">
        <v>1</v>
      </c>
    </row>
    <row r="23174" spans="1:3" s="8" customFormat="1" x14ac:dyDescent="0.2">
      <c r="A23174" s="6" t="str">
        <f>"S100A8"</f>
        <v>S100A8</v>
      </c>
      <c r="B23174" s="6" t="s">
        <v>1</v>
      </c>
      <c r="C23174" s="6" t="s">
        <v>1</v>
      </c>
    </row>
    <row r="23175" spans="1:3" s="8" customFormat="1" x14ac:dyDescent="0.2">
      <c r="A23175" s="6" t="str">
        <f>"MDH2"</f>
        <v>MDH2</v>
      </c>
      <c r="B23175" s="6" t="s">
        <v>1</v>
      </c>
      <c r="C23175" s="6" t="s">
        <v>1</v>
      </c>
    </row>
    <row r="23176" spans="1:3" s="8" customFormat="1" x14ac:dyDescent="0.2">
      <c r="A23176" s="6" t="str">
        <f>"ALKBH5"</f>
        <v>ALKBH5</v>
      </c>
      <c r="B23176" s="6" t="s">
        <v>1</v>
      </c>
      <c r="C23176" s="6" t="s">
        <v>1</v>
      </c>
    </row>
    <row r="23177" spans="1:3" s="8" customFormat="1" x14ac:dyDescent="0.2">
      <c r="A23177" s="6" t="str">
        <f>"DNM2"</f>
        <v>DNM2</v>
      </c>
      <c r="B23177" s="6" t="s">
        <v>1</v>
      </c>
      <c r="C23177" s="6" t="s">
        <v>1</v>
      </c>
    </row>
    <row r="23178" spans="1:3" s="8" customFormat="1" x14ac:dyDescent="0.2">
      <c r="A23178" s="6" t="str">
        <f>"MACROH2A1"</f>
        <v>MACROH2A1</v>
      </c>
      <c r="B23178" s="6" t="s">
        <v>1</v>
      </c>
      <c r="C23178" s="6" t="s">
        <v>1</v>
      </c>
    </row>
    <row r="23179" spans="1:3" s="8" customFormat="1" x14ac:dyDescent="0.2">
      <c r="A23179" s="6" t="str">
        <f>"MAGED1"</f>
        <v>MAGED1</v>
      </c>
      <c r="B23179" s="6" t="s">
        <v>1</v>
      </c>
      <c r="C23179" s="6" t="s">
        <v>1</v>
      </c>
    </row>
    <row r="23180" spans="1:3" s="8" customFormat="1" x14ac:dyDescent="0.2">
      <c r="A23180" s="6" t="str">
        <f>"CEBPB"</f>
        <v>CEBPB</v>
      </c>
      <c r="B23180" s="6" t="s">
        <v>1</v>
      </c>
      <c r="C23180" s="6" t="s">
        <v>1</v>
      </c>
    </row>
    <row r="23181" spans="1:3" s="8" customFormat="1" x14ac:dyDescent="0.2">
      <c r="A23181" s="6" t="str">
        <f>"EDF1"</f>
        <v>EDF1</v>
      </c>
      <c r="B23181" s="6" t="s">
        <v>1</v>
      </c>
      <c r="C23181" s="6" t="s">
        <v>1</v>
      </c>
    </row>
    <row r="23182" spans="1:3" s="8" customFormat="1" x14ac:dyDescent="0.2">
      <c r="A23182" s="6" t="str">
        <f>"RNF145"</f>
        <v>RNF145</v>
      </c>
      <c r="B23182" s="6" t="s">
        <v>1</v>
      </c>
      <c r="C23182" s="6" t="s">
        <v>1</v>
      </c>
    </row>
    <row r="23183" spans="1:3" s="8" customFormat="1" x14ac:dyDescent="0.2">
      <c r="A23183" s="6" t="str">
        <f>"IFITM2"</f>
        <v>IFITM2</v>
      </c>
      <c r="B23183" s="6" t="s">
        <v>1</v>
      </c>
      <c r="C23183" s="6" t="s">
        <v>1</v>
      </c>
    </row>
    <row r="23184" spans="1:3" s="8" customFormat="1" x14ac:dyDescent="0.2">
      <c r="A23184" s="6" t="str">
        <f>"HMGA1"</f>
        <v>HMGA1</v>
      </c>
      <c r="B23184" s="6" t="s">
        <v>1</v>
      </c>
      <c r="C23184" s="6" t="s">
        <v>1</v>
      </c>
    </row>
    <row r="23185" spans="1:3" s="8" customFormat="1" x14ac:dyDescent="0.2">
      <c r="A23185" s="6" t="str">
        <f>"H6PD"</f>
        <v>H6PD</v>
      </c>
      <c r="B23185" s="6" t="s">
        <v>1</v>
      </c>
      <c r="C23185" s="6" t="s">
        <v>1</v>
      </c>
    </row>
    <row r="23186" spans="1:3" s="8" customFormat="1" x14ac:dyDescent="0.2">
      <c r="A23186" s="6" t="str">
        <f>"MALAT1"</f>
        <v>MALAT1</v>
      </c>
      <c r="B23186" s="6" t="s">
        <v>1</v>
      </c>
      <c r="C23186" s="6" t="s">
        <v>1</v>
      </c>
    </row>
    <row r="23187" spans="1:3" s="8" customFormat="1" x14ac:dyDescent="0.2">
      <c r="A23187" s="6" t="str">
        <f>"SRP14"</f>
        <v>SRP14</v>
      </c>
      <c r="B23187" s="6" t="s">
        <v>1</v>
      </c>
      <c r="C23187" s="6" t="s">
        <v>1</v>
      </c>
    </row>
    <row r="23188" spans="1:3" s="8" customFormat="1" x14ac:dyDescent="0.2">
      <c r="A23188" s="6" t="str">
        <f>"HNRNPD"</f>
        <v>HNRNPD</v>
      </c>
      <c r="B23188" s="6" t="s">
        <v>1</v>
      </c>
      <c r="C23188" s="6" t="s">
        <v>1</v>
      </c>
    </row>
    <row r="23189" spans="1:3" s="8" customFormat="1" x14ac:dyDescent="0.2">
      <c r="A23189" s="6" t="str">
        <f>"SLC2A1"</f>
        <v>SLC2A1</v>
      </c>
      <c r="B23189" s="6" t="s">
        <v>1</v>
      </c>
      <c r="C23189" s="6" t="s">
        <v>1</v>
      </c>
    </row>
    <row r="23190" spans="1:3" s="8" customFormat="1" x14ac:dyDescent="0.2">
      <c r="A23190" s="6" t="str">
        <f>"GIPC1"</f>
        <v>GIPC1</v>
      </c>
      <c r="B23190" s="6" t="s">
        <v>1</v>
      </c>
      <c r="C23190" s="6" t="s">
        <v>1</v>
      </c>
    </row>
    <row r="23191" spans="1:3" s="8" customFormat="1" x14ac:dyDescent="0.2">
      <c r="A23191" s="6" t="str">
        <f>"RPL9"</f>
        <v>RPL9</v>
      </c>
      <c r="B23191" s="6" t="s">
        <v>1</v>
      </c>
      <c r="C23191" s="6" t="s">
        <v>1</v>
      </c>
    </row>
    <row r="23192" spans="1:3" s="8" customFormat="1" x14ac:dyDescent="0.2">
      <c r="A23192" s="6" t="str">
        <f>"GABARAP"</f>
        <v>GABARAP</v>
      </c>
      <c r="B23192" s="6" t="s">
        <v>1</v>
      </c>
      <c r="C23192" s="6" t="s">
        <v>1</v>
      </c>
    </row>
    <row r="23193" spans="1:3" s="8" customFormat="1" x14ac:dyDescent="0.2">
      <c r="A23193" s="6" t="str">
        <f>"LDHB"</f>
        <v>LDHB</v>
      </c>
      <c r="B23193" s="6" t="s">
        <v>1</v>
      </c>
      <c r="C23193" s="6" t="s">
        <v>1</v>
      </c>
    </row>
    <row r="23194" spans="1:3" s="8" customFormat="1" x14ac:dyDescent="0.2">
      <c r="A23194" s="6" t="str">
        <f>"SMARCA4"</f>
        <v>SMARCA4</v>
      </c>
      <c r="B23194" s="6" t="s">
        <v>1</v>
      </c>
      <c r="C23194" s="6" t="s">
        <v>1</v>
      </c>
    </row>
    <row r="23195" spans="1:3" s="8" customFormat="1" x14ac:dyDescent="0.2">
      <c r="A23195" s="6" t="str">
        <f>"MACF1"</f>
        <v>MACF1</v>
      </c>
      <c r="B23195" s="6" t="s">
        <v>1</v>
      </c>
      <c r="C23195" s="6" t="s">
        <v>1</v>
      </c>
    </row>
    <row r="23196" spans="1:3" s="8" customFormat="1" x14ac:dyDescent="0.2">
      <c r="A23196" s="6" t="str">
        <f>"MYL12A"</f>
        <v>MYL12A</v>
      </c>
      <c r="B23196" s="6" t="s">
        <v>1</v>
      </c>
      <c r="C23196" s="6" t="s">
        <v>1</v>
      </c>
    </row>
    <row r="23197" spans="1:3" s="8" customFormat="1" x14ac:dyDescent="0.2">
      <c r="A23197" s="6" t="str">
        <f>"SHISA5"</f>
        <v>SHISA5</v>
      </c>
      <c r="B23197" s="6" t="s">
        <v>1</v>
      </c>
      <c r="C23197" s="6" t="s">
        <v>1</v>
      </c>
    </row>
    <row r="23198" spans="1:3" s="8" customFormat="1" x14ac:dyDescent="0.2">
      <c r="A23198" s="6" t="str">
        <f>"FAM102A"</f>
        <v>FAM102A</v>
      </c>
      <c r="B23198" s="6" t="s">
        <v>1</v>
      </c>
      <c r="C23198" s="6" t="s">
        <v>1</v>
      </c>
    </row>
    <row r="23199" spans="1:3" s="8" customFormat="1" x14ac:dyDescent="0.2">
      <c r="A23199" s="6" t="str">
        <f>"LDHA"</f>
        <v>LDHA</v>
      </c>
      <c r="B23199" s="6" t="s">
        <v>1</v>
      </c>
      <c r="C23199" s="6" t="s">
        <v>1</v>
      </c>
    </row>
    <row r="23200" spans="1:3" s="8" customFormat="1" x14ac:dyDescent="0.2">
      <c r="A23200" s="6" t="str">
        <f>"S100A14"</f>
        <v>S100A14</v>
      </c>
      <c r="B23200" s="6" t="s">
        <v>1</v>
      </c>
      <c r="C23200" s="6" t="s">
        <v>1</v>
      </c>
    </row>
    <row r="23201" spans="1:3" s="8" customFormat="1" x14ac:dyDescent="0.2">
      <c r="A23201" s="6" t="str">
        <f>"IGF2R"</f>
        <v>IGF2R</v>
      </c>
      <c r="B23201" s="6" t="s">
        <v>1</v>
      </c>
      <c r="C23201" s="6" t="s">
        <v>1</v>
      </c>
    </row>
    <row r="23202" spans="1:3" s="8" customFormat="1" x14ac:dyDescent="0.2">
      <c r="A23202" s="6" t="str">
        <f>"ENAH"</f>
        <v>ENAH</v>
      </c>
      <c r="B23202" s="6" t="s">
        <v>1</v>
      </c>
      <c r="C23202" s="6" t="s">
        <v>1</v>
      </c>
    </row>
    <row r="23203" spans="1:3" s="8" customFormat="1" x14ac:dyDescent="0.2">
      <c r="A23203" s="6" t="str">
        <f>"IDH2"</f>
        <v>IDH2</v>
      </c>
      <c r="B23203" s="6" t="s">
        <v>1</v>
      </c>
      <c r="C23203" s="6" t="s">
        <v>1</v>
      </c>
    </row>
    <row r="23204" spans="1:3" s="8" customFormat="1" x14ac:dyDescent="0.2">
      <c r="A23204" s="6" t="str">
        <f>"TGM2"</f>
        <v>TGM2</v>
      </c>
      <c r="B23204" s="6" t="s">
        <v>1</v>
      </c>
      <c r="C23204" s="6" t="s">
        <v>1</v>
      </c>
    </row>
    <row r="23205" spans="1:3" s="8" customFormat="1" x14ac:dyDescent="0.2">
      <c r="A23205" s="6" t="str">
        <f>"FKBP8"</f>
        <v>FKBP8</v>
      </c>
      <c r="B23205" s="6" t="s">
        <v>1</v>
      </c>
      <c r="C23205" s="6" t="s">
        <v>1</v>
      </c>
    </row>
    <row r="23206" spans="1:3" s="8" customFormat="1" x14ac:dyDescent="0.2">
      <c r="A23206" s="6" t="str">
        <f>"MYO1D"</f>
        <v>MYO1D</v>
      </c>
      <c r="B23206" s="6" t="s">
        <v>1</v>
      </c>
      <c r="C23206" s="6" t="s">
        <v>1</v>
      </c>
    </row>
    <row r="23207" spans="1:3" s="8" customFormat="1" x14ac:dyDescent="0.2">
      <c r="A23207" s="6" t="str">
        <f>"IFI16"</f>
        <v>IFI16</v>
      </c>
      <c r="B23207" s="6" t="s">
        <v>1</v>
      </c>
      <c r="C23207" s="6" t="s">
        <v>1</v>
      </c>
    </row>
    <row r="23208" spans="1:3" s="8" customFormat="1" x14ac:dyDescent="0.2">
      <c r="A23208" s="6" t="str">
        <f>"SRGN"</f>
        <v>SRGN</v>
      </c>
      <c r="B23208" s="6" t="s">
        <v>1</v>
      </c>
      <c r="C23208" s="6" t="s">
        <v>1</v>
      </c>
    </row>
    <row r="23209" spans="1:3" s="8" customFormat="1" x14ac:dyDescent="0.2">
      <c r="A23209" s="6" t="str">
        <f>"IFT172"</f>
        <v>IFT172</v>
      </c>
      <c r="B23209" s="6" t="s">
        <v>1</v>
      </c>
      <c r="C23209" s="6" t="s">
        <v>1</v>
      </c>
    </row>
    <row r="23210" spans="1:3" s="8" customFormat="1" x14ac:dyDescent="0.2">
      <c r="A23210" s="6" t="str">
        <f>"FLII"</f>
        <v>FLII</v>
      </c>
      <c r="B23210" s="6" t="s">
        <v>1</v>
      </c>
      <c r="C23210" s="6" t="s">
        <v>1</v>
      </c>
    </row>
    <row r="23211" spans="1:3" s="8" customFormat="1" x14ac:dyDescent="0.2">
      <c r="A23211" s="6" t="str">
        <f>"MLEC"</f>
        <v>MLEC</v>
      </c>
      <c r="B23211" s="6" t="s">
        <v>1</v>
      </c>
      <c r="C23211" s="6" t="s">
        <v>1</v>
      </c>
    </row>
    <row r="23212" spans="1:3" s="8" customFormat="1" x14ac:dyDescent="0.2">
      <c r="A23212" s="6" t="str">
        <f>"MAL2"</f>
        <v>MAL2</v>
      </c>
      <c r="B23212" s="6" t="s">
        <v>1</v>
      </c>
      <c r="C23212" s="6" t="s">
        <v>1</v>
      </c>
    </row>
    <row r="23213" spans="1:3" s="8" customFormat="1" x14ac:dyDescent="0.2">
      <c r="A23213" s="6" t="str">
        <f>"HMGN1"</f>
        <v>HMGN1</v>
      </c>
      <c r="B23213" s="6" t="s">
        <v>1</v>
      </c>
      <c r="C23213" s="6" t="s">
        <v>1</v>
      </c>
    </row>
    <row r="23214" spans="1:3" s="8" customFormat="1" x14ac:dyDescent="0.2">
      <c r="A23214" s="6" t="str">
        <f>"LINC00963"</f>
        <v>LINC00963</v>
      </c>
      <c r="B23214" s="6" t="s">
        <v>1</v>
      </c>
      <c r="C23214" s="6" t="s">
        <v>1</v>
      </c>
    </row>
    <row r="23215" spans="1:3" s="8" customFormat="1" x14ac:dyDescent="0.2">
      <c r="A23215" s="6" t="str">
        <f>"CROCC"</f>
        <v>CROCC</v>
      </c>
      <c r="B23215" s="6" t="s">
        <v>1</v>
      </c>
      <c r="C23215" s="6" t="s">
        <v>1</v>
      </c>
    </row>
    <row r="23216" spans="1:3" s="8" customFormat="1" x14ac:dyDescent="0.2">
      <c r="A23216" s="6" t="str">
        <f>"BAG1"</f>
        <v>BAG1</v>
      </c>
      <c r="B23216" s="6" t="s">
        <v>1</v>
      </c>
      <c r="C23216" s="6" t="s">
        <v>1</v>
      </c>
    </row>
    <row r="23217" spans="1:3" s="8" customFormat="1" x14ac:dyDescent="0.2">
      <c r="A23217" s="6" t="str">
        <f>"ALDH2"</f>
        <v>ALDH2</v>
      </c>
      <c r="B23217" s="6" t="s">
        <v>1</v>
      </c>
      <c r="C23217" s="6" t="s">
        <v>1</v>
      </c>
    </row>
    <row r="23218" spans="1:3" s="8" customFormat="1" x14ac:dyDescent="0.2">
      <c r="A23218" s="6" t="str">
        <f>"TNFRSF21"</f>
        <v>TNFRSF21</v>
      </c>
      <c r="B23218" s="6" t="s">
        <v>1</v>
      </c>
      <c r="C23218" s="6" t="s">
        <v>1</v>
      </c>
    </row>
    <row r="23219" spans="1:3" s="8" customFormat="1" x14ac:dyDescent="0.2">
      <c r="A23219" s="6" t="str">
        <f>"PTP4A2"</f>
        <v>PTP4A2</v>
      </c>
      <c r="B23219" s="6" t="s">
        <v>1</v>
      </c>
      <c r="C23219" s="6" t="s">
        <v>1</v>
      </c>
    </row>
    <row r="23220" spans="1:3" s="8" customFormat="1" x14ac:dyDescent="0.2">
      <c r="A23220" s="6" t="str">
        <f>"SMARCA2"</f>
        <v>SMARCA2</v>
      </c>
      <c r="B23220" s="6" t="s">
        <v>1</v>
      </c>
      <c r="C23220" s="6" t="s">
        <v>1</v>
      </c>
    </row>
    <row r="23221" spans="1:3" s="8" customFormat="1" x14ac:dyDescent="0.2">
      <c r="A23221" s="6" t="str">
        <f>"UGT2A1"</f>
        <v>UGT2A1</v>
      </c>
      <c r="B23221" s="6" t="s">
        <v>1</v>
      </c>
      <c r="C23221" s="6" t="s">
        <v>1</v>
      </c>
    </row>
    <row r="23222" spans="1:3" s="8" customFormat="1" x14ac:dyDescent="0.2">
      <c r="A23222" s="6" t="str">
        <f>"NOMO1"</f>
        <v>NOMO1</v>
      </c>
      <c r="B23222" s="6" t="s">
        <v>1</v>
      </c>
      <c r="C23222" s="6" t="s">
        <v>1</v>
      </c>
    </row>
    <row r="23223" spans="1:3" s="8" customFormat="1" x14ac:dyDescent="0.2">
      <c r="A23223" s="6" t="str">
        <f>"SOD1"</f>
        <v>SOD1</v>
      </c>
      <c r="B23223" s="6" t="s">
        <v>1</v>
      </c>
      <c r="C23223" s="6" t="s">
        <v>1</v>
      </c>
    </row>
    <row r="23224" spans="1:3" s="8" customFormat="1" x14ac:dyDescent="0.2">
      <c r="A23224" s="6" t="str">
        <f>"CCNI"</f>
        <v>CCNI</v>
      </c>
      <c r="B23224" s="6" t="s">
        <v>1</v>
      </c>
      <c r="C23224" s="6" t="s">
        <v>1</v>
      </c>
    </row>
    <row r="23225" spans="1:3" s="8" customFormat="1" x14ac:dyDescent="0.2">
      <c r="A23225" s="6" t="str">
        <f>"IDS"</f>
        <v>IDS</v>
      </c>
      <c r="B23225" s="6" t="s">
        <v>1</v>
      </c>
      <c r="C23225" s="6" t="s">
        <v>1</v>
      </c>
    </row>
    <row r="23226" spans="1:3" s="8" customFormat="1" x14ac:dyDescent="0.2">
      <c r="A23226" s="6" t="str">
        <f>"OAT"</f>
        <v>OAT</v>
      </c>
      <c r="B23226" s="6" t="s">
        <v>1</v>
      </c>
      <c r="C23226" s="6" t="s">
        <v>1</v>
      </c>
    </row>
    <row r="23227" spans="1:3" s="8" customFormat="1" x14ac:dyDescent="0.2">
      <c r="A23227" s="6" t="str">
        <f>"MKNK2"</f>
        <v>MKNK2</v>
      </c>
      <c r="B23227" s="6" t="s">
        <v>1</v>
      </c>
      <c r="C23227" s="6" t="s">
        <v>1</v>
      </c>
    </row>
    <row r="23228" spans="1:3" s="8" customFormat="1" x14ac:dyDescent="0.2">
      <c r="A23228" s="6" t="str">
        <f>"WNK1"</f>
        <v>WNK1</v>
      </c>
      <c r="B23228" s="6" t="s">
        <v>1</v>
      </c>
      <c r="C23228" s="6" t="s">
        <v>1</v>
      </c>
    </row>
    <row r="23229" spans="1:3" s="8" customFormat="1" x14ac:dyDescent="0.2">
      <c r="A23229" s="6" t="str">
        <f>"PPIB"</f>
        <v>PPIB</v>
      </c>
      <c r="B23229" s="6" t="s">
        <v>1</v>
      </c>
      <c r="C23229" s="6" t="s">
        <v>1</v>
      </c>
    </row>
    <row r="23230" spans="1:3" s="8" customFormat="1" x14ac:dyDescent="0.2">
      <c r="A23230" s="6" t="str">
        <f>"HNRNPA3"</f>
        <v>HNRNPA3</v>
      </c>
      <c r="B23230" s="6" t="s">
        <v>1</v>
      </c>
      <c r="C23230" s="6" t="s">
        <v>1</v>
      </c>
    </row>
    <row r="23231" spans="1:3" s="8" customFormat="1" x14ac:dyDescent="0.2">
      <c r="A23231" s="6" t="str">
        <f>"ADIPOR1"</f>
        <v>ADIPOR1</v>
      </c>
      <c r="B23231" s="6" t="s">
        <v>1</v>
      </c>
      <c r="C23231" s="6" t="s">
        <v>1</v>
      </c>
    </row>
    <row r="23232" spans="1:3" s="8" customFormat="1" x14ac:dyDescent="0.2">
      <c r="A23232" s="6" t="str">
        <f>"LDLRAD1"</f>
        <v>LDLRAD1</v>
      </c>
      <c r="B23232" s="6" t="s">
        <v>1</v>
      </c>
      <c r="C23232" s="6" t="s">
        <v>1</v>
      </c>
    </row>
    <row r="23233" spans="1:3" s="8" customFormat="1" x14ac:dyDescent="0.2">
      <c r="A23233" s="6" t="str">
        <f>"FLNB"</f>
        <v>FLNB</v>
      </c>
      <c r="B23233" s="6" t="s">
        <v>1</v>
      </c>
      <c r="C23233" s="6" t="s">
        <v>1</v>
      </c>
    </row>
    <row r="23234" spans="1:3" s="8" customFormat="1" x14ac:dyDescent="0.2">
      <c r="A23234" s="6" t="str">
        <f>"HNRNPM"</f>
        <v>HNRNPM</v>
      </c>
      <c r="B23234" s="6" t="s">
        <v>1</v>
      </c>
      <c r="C23234" s="6" t="s">
        <v>1</v>
      </c>
    </row>
    <row r="23235" spans="1:3" s="8" customFormat="1" x14ac:dyDescent="0.2">
      <c r="A23235" s="6" t="str">
        <f>"IFI27"</f>
        <v>IFI27</v>
      </c>
      <c r="B23235" s="6" t="s">
        <v>1</v>
      </c>
      <c r="C23235" s="6" t="s">
        <v>1</v>
      </c>
    </row>
    <row r="23236" spans="1:3" s="8" customFormat="1" x14ac:dyDescent="0.2">
      <c r="A23236" s="6" t="str">
        <f>"UFC1"</f>
        <v>UFC1</v>
      </c>
      <c r="B23236" s="6" t="s">
        <v>1</v>
      </c>
      <c r="C23236" s="6" t="s">
        <v>1</v>
      </c>
    </row>
    <row r="23237" spans="1:3" s="8" customFormat="1" x14ac:dyDescent="0.2">
      <c r="A23237" s="6" t="str">
        <f>"PDCD6IP"</f>
        <v>PDCD6IP</v>
      </c>
      <c r="B23237" s="6" t="s">
        <v>1</v>
      </c>
      <c r="C23237" s="6" t="s">
        <v>1</v>
      </c>
    </row>
    <row r="23238" spans="1:3" s="8" customFormat="1" x14ac:dyDescent="0.2">
      <c r="A23238" s="6" t="str">
        <f>"MYO5B"</f>
        <v>MYO5B</v>
      </c>
      <c r="B23238" s="6" t="s">
        <v>1</v>
      </c>
      <c r="C23238" s="6" t="s">
        <v>1</v>
      </c>
    </row>
    <row r="23239" spans="1:3" s="8" customFormat="1" x14ac:dyDescent="0.2">
      <c r="A23239" s="6" t="str">
        <f>"CHST9"</f>
        <v>CHST9</v>
      </c>
      <c r="B23239" s="6" t="s">
        <v>1</v>
      </c>
      <c r="C23239" s="6" t="s">
        <v>1</v>
      </c>
    </row>
    <row r="23240" spans="1:3" s="8" customFormat="1" x14ac:dyDescent="0.2">
      <c r="A23240" s="6" t="str">
        <f>"SLC25A5"</f>
        <v>SLC25A5</v>
      </c>
      <c r="B23240" s="6" t="s">
        <v>1</v>
      </c>
      <c r="C23240" s="6" t="s">
        <v>1</v>
      </c>
    </row>
    <row r="23241" spans="1:3" s="8" customFormat="1" x14ac:dyDescent="0.2">
      <c r="A23241" s="6" t="str">
        <f>"GPX1"</f>
        <v>GPX1</v>
      </c>
      <c r="B23241" s="6" t="s">
        <v>1</v>
      </c>
      <c r="C23241" s="6" t="s">
        <v>1</v>
      </c>
    </row>
    <row r="23242" spans="1:3" s="8" customFormat="1" x14ac:dyDescent="0.2">
      <c r="A23242" s="6" t="str">
        <f>"DNAJA1"</f>
        <v>DNAJA1</v>
      </c>
      <c r="B23242" s="6" t="s">
        <v>1</v>
      </c>
      <c r="C23242" s="6" t="s">
        <v>1</v>
      </c>
    </row>
    <row r="23243" spans="1:3" s="8" customFormat="1" x14ac:dyDescent="0.2">
      <c r="A23243" s="6" t="str">
        <f>"MDK"</f>
        <v>MDK</v>
      </c>
      <c r="B23243" s="6" t="s">
        <v>1</v>
      </c>
      <c r="C23243" s="6" t="s">
        <v>1</v>
      </c>
    </row>
    <row r="23244" spans="1:3" s="8" customFormat="1" x14ac:dyDescent="0.2">
      <c r="A23244" s="6" t="str">
        <f>"TNFAIP8L1"</f>
        <v>TNFAIP8L1</v>
      </c>
      <c r="B23244" s="6" t="s">
        <v>1</v>
      </c>
      <c r="C23244" s="6" t="s">
        <v>1</v>
      </c>
    </row>
    <row r="23245" spans="1:3" s="8" customFormat="1" x14ac:dyDescent="0.2">
      <c r="A23245" s="6" t="str">
        <f>"SORL1"</f>
        <v>SORL1</v>
      </c>
      <c r="B23245" s="6" t="s">
        <v>1</v>
      </c>
      <c r="C23245" s="6" t="s">
        <v>1</v>
      </c>
    </row>
    <row r="23246" spans="1:3" s="8" customFormat="1" x14ac:dyDescent="0.2">
      <c r="A23246" s="6" t="str">
        <f>"CAPRIN1"</f>
        <v>CAPRIN1</v>
      </c>
      <c r="B23246" s="6" t="s">
        <v>1</v>
      </c>
      <c r="C23246" s="6" t="s">
        <v>1</v>
      </c>
    </row>
    <row r="23247" spans="1:3" s="8" customFormat="1" x14ac:dyDescent="0.2">
      <c r="A23247" s="6" t="str">
        <f>"UCP2"</f>
        <v>UCP2</v>
      </c>
      <c r="B23247" s="6" t="s">
        <v>1</v>
      </c>
      <c r="C23247" s="6" t="s">
        <v>1</v>
      </c>
    </row>
    <row r="23248" spans="1:3" s="8" customFormat="1" x14ac:dyDescent="0.2">
      <c r="A23248" s="6" t="str">
        <f>"B4GALT1"</f>
        <v>B4GALT1</v>
      </c>
      <c r="B23248" s="6" t="s">
        <v>1</v>
      </c>
      <c r="C23248" s="6" t="s">
        <v>1</v>
      </c>
    </row>
    <row r="23249" spans="1:3" s="8" customFormat="1" x14ac:dyDescent="0.2">
      <c r="A23249" s="6" t="str">
        <f>"RPN2"</f>
        <v>RPN2</v>
      </c>
      <c r="B23249" s="6" t="s">
        <v>1</v>
      </c>
      <c r="C23249" s="6" t="s">
        <v>1</v>
      </c>
    </row>
    <row r="23250" spans="1:3" s="8" customFormat="1" x14ac:dyDescent="0.2">
      <c r="A23250" s="6" t="str">
        <f>"HMGB1"</f>
        <v>HMGB1</v>
      </c>
      <c r="B23250" s="6" t="s">
        <v>1</v>
      </c>
      <c r="C23250" s="6" t="s">
        <v>1</v>
      </c>
    </row>
    <row r="23251" spans="1:3" s="8" customFormat="1" x14ac:dyDescent="0.2">
      <c r="A23251" s="6" t="str">
        <f>"CHMP4B"</f>
        <v>CHMP4B</v>
      </c>
      <c r="B23251" s="6" t="s">
        <v>1</v>
      </c>
      <c r="C23251" s="6" t="s">
        <v>1</v>
      </c>
    </row>
    <row r="23252" spans="1:3" s="8" customFormat="1" x14ac:dyDescent="0.2">
      <c r="A23252" s="6" t="str">
        <f>"IFT57"</f>
        <v>IFT57</v>
      </c>
      <c r="B23252" s="6" t="s">
        <v>1</v>
      </c>
      <c r="C23252" s="6" t="s">
        <v>1</v>
      </c>
    </row>
    <row r="23253" spans="1:3" s="8" customFormat="1" x14ac:dyDescent="0.2">
      <c r="A23253" s="6" t="str">
        <f>"EEF1D"</f>
        <v>EEF1D</v>
      </c>
      <c r="B23253" s="6" t="s">
        <v>1</v>
      </c>
      <c r="C23253" s="6" t="s">
        <v>1</v>
      </c>
    </row>
    <row r="23254" spans="1:3" s="8" customFormat="1" x14ac:dyDescent="0.2">
      <c r="A23254" s="6" t="str">
        <f>"DNALI1"</f>
        <v>DNALI1</v>
      </c>
      <c r="B23254" s="6" t="s">
        <v>1</v>
      </c>
      <c r="C23254" s="6" t="s">
        <v>1</v>
      </c>
    </row>
    <row r="23255" spans="1:3" s="8" customFormat="1" x14ac:dyDescent="0.2">
      <c r="A23255" s="6" t="str">
        <f>"BTF3"</f>
        <v>BTF3</v>
      </c>
      <c r="B23255" s="6" t="s">
        <v>1</v>
      </c>
      <c r="C23255" s="6" t="s">
        <v>1</v>
      </c>
    </row>
    <row r="23256" spans="1:3" s="8" customFormat="1" x14ac:dyDescent="0.2">
      <c r="A23256" s="6" t="str">
        <f>"TRIM2"</f>
        <v>TRIM2</v>
      </c>
      <c r="B23256" s="6" t="s">
        <v>1</v>
      </c>
      <c r="C23256" s="6" t="s">
        <v>1</v>
      </c>
    </row>
    <row r="23257" spans="1:3" s="8" customFormat="1" x14ac:dyDescent="0.2">
      <c r="A23257" s="6" t="str">
        <f>"S100A4"</f>
        <v>S100A4</v>
      </c>
      <c r="B23257" s="6" t="s">
        <v>1</v>
      </c>
      <c r="C23257" s="6" t="s">
        <v>1</v>
      </c>
    </row>
    <row r="23258" spans="1:3" s="8" customFormat="1" x14ac:dyDescent="0.2">
      <c r="A23258" s="6" t="str">
        <f>"NOP53"</f>
        <v>NOP53</v>
      </c>
      <c r="B23258" s="6" t="s">
        <v>1</v>
      </c>
      <c r="C23258" s="6" t="s">
        <v>1</v>
      </c>
    </row>
    <row r="23259" spans="1:3" s="8" customFormat="1" x14ac:dyDescent="0.2">
      <c r="A23259" s="6" t="str">
        <f>"LMNA"</f>
        <v>LMNA</v>
      </c>
      <c r="B23259" s="6" t="s">
        <v>1</v>
      </c>
      <c r="C23259" s="6" t="s">
        <v>1</v>
      </c>
    </row>
    <row r="23260" spans="1:3" s="8" customFormat="1" x14ac:dyDescent="0.2">
      <c r="A23260" s="6" t="str">
        <f>"HMGN2"</f>
        <v>HMGN2</v>
      </c>
      <c r="B23260" s="6" t="s">
        <v>1</v>
      </c>
      <c r="C23260" s="6" t="s">
        <v>1</v>
      </c>
    </row>
    <row r="23261" spans="1:3" s="8" customFormat="1" x14ac:dyDescent="0.2">
      <c r="A23261" s="6" t="str">
        <f>"B4GALT5"</f>
        <v>B4GALT5</v>
      </c>
      <c r="B23261" s="6" t="s">
        <v>1</v>
      </c>
      <c r="C23261" s="6" t="s">
        <v>1</v>
      </c>
    </row>
    <row r="23262" spans="1:3" s="8" customFormat="1" x14ac:dyDescent="0.2">
      <c r="A23262" s="6" t="str">
        <f>"CHST6"</f>
        <v>CHST6</v>
      </c>
      <c r="B23262" s="6" t="s">
        <v>1</v>
      </c>
      <c r="C23262" s="6" t="s">
        <v>1</v>
      </c>
    </row>
    <row r="23263" spans="1:3" s="8" customFormat="1" x14ac:dyDescent="0.2">
      <c r="A23263" s="6" t="str">
        <f>"JUNB"</f>
        <v>JUNB</v>
      </c>
      <c r="B23263" s="6" t="s">
        <v>1</v>
      </c>
      <c r="C23263" s="6" t="s">
        <v>1</v>
      </c>
    </row>
    <row r="23264" spans="1:3" s="8" customFormat="1" x14ac:dyDescent="0.2">
      <c r="A23264" s="6" t="str">
        <f>"NONO"</f>
        <v>NONO</v>
      </c>
      <c r="B23264" s="6" t="s">
        <v>1</v>
      </c>
      <c r="C23264" s="6" t="s">
        <v>1</v>
      </c>
    </row>
    <row r="23265" spans="1:3" s="8" customFormat="1" x14ac:dyDescent="0.2">
      <c r="A23265" s="6" t="str">
        <f>"AC243919.1"</f>
        <v>AC243919.1</v>
      </c>
      <c r="B23265" s="6" t="s">
        <v>1</v>
      </c>
      <c r="C23265" s="6" t="s">
        <v>1</v>
      </c>
    </row>
    <row r="23266" spans="1:3" s="8" customFormat="1" x14ac:dyDescent="0.2">
      <c r="A23266" s="6" t="str">
        <f>"CNOT1"</f>
        <v>CNOT1</v>
      </c>
      <c r="B23266" s="6" t="s">
        <v>1</v>
      </c>
      <c r="C23266" s="6" t="s">
        <v>1</v>
      </c>
    </row>
    <row r="23267" spans="1:3" s="8" customFormat="1" x14ac:dyDescent="0.2">
      <c r="A23267" s="6" t="str">
        <f>"TGOLN2"</f>
        <v>TGOLN2</v>
      </c>
      <c r="B23267" s="6" t="s">
        <v>1</v>
      </c>
      <c r="C23267" s="6" t="s">
        <v>1</v>
      </c>
    </row>
    <row r="23268" spans="1:3" s="8" customFormat="1" x14ac:dyDescent="0.2">
      <c r="A23268" s="6" t="str">
        <f>"RPS10"</f>
        <v>RPS10</v>
      </c>
      <c r="B23268" s="6" t="s">
        <v>1</v>
      </c>
      <c r="C23268" s="6" t="s">
        <v>1</v>
      </c>
    </row>
    <row r="23269" spans="1:3" s="8" customFormat="1" x14ac:dyDescent="0.2">
      <c r="A23269" s="6" t="str">
        <f>"BAG6"</f>
        <v>BAG6</v>
      </c>
      <c r="B23269" s="6" t="s">
        <v>1</v>
      </c>
      <c r="C23269" s="6" t="s">
        <v>1</v>
      </c>
    </row>
    <row r="23270" spans="1:3" s="8" customFormat="1" x14ac:dyDescent="0.2">
      <c r="A23270" s="6" t="str">
        <f>"BRD2"</f>
        <v>BRD2</v>
      </c>
      <c r="B23270" s="6" t="s">
        <v>1</v>
      </c>
      <c r="C23270" s="6" t="s">
        <v>1</v>
      </c>
    </row>
    <row r="23271" spans="1:3" s="8" customFormat="1" x14ac:dyDescent="0.2">
      <c r="A23271" s="6" t="str">
        <f>"SELENBP1"</f>
        <v>SELENBP1</v>
      </c>
      <c r="B23271" s="6" t="s">
        <v>1</v>
      </c>
      <c r="C23271" s="6" t="s">
        <v>1</v>
      </c>
    </row>
    <row r="23272" spans="1:3" s="8" customFormat="1" x14ac:dyDescent="0.2">
      <c r="A23272" s="6" t="str">
        <f>"CCPG1"</f>
        <v>CCPG1</v>
      </c>
      <c r="B23272" s="6" t="s">
        <v>1</v>
      </c>
      <c r="C23272" s="6" t="s">
        <v>1</v>
      </c>
    </row>
    <row r="23273" spans="1:3" s="8" customFormat="1" x14ac:dyDescent="0.2">
      <c r="A23273" s="6" t="str">
        <f>"MCL1"</f>
        <v>MCL1</v>
      </c>
      <c r="B23273" s="6" t="s">
        <v>1</v>
      </c>
      <c r="C23273" s="6" t="s">
        <v>1</v>
      </c>
    </row>
    <row r="23274" spans="1:3" s="8" customFormat="1" x14ac:dyDescent="0.2">
      <c r="A23274" s="6" t="str">
        <f>"SEC61A1"</f>
        <v>SEC61A1</v>
      </c>
      <c r="B23274" s="6" t="s">
        <v>1</v>
      </c>
      <c r="C23274" s="6" t="s">
        <v>1</v>
      </c>
    </row>
    <row r="23275" spans="1:3" s="8" customFormat="1" x14ac:dyDescent="0.2">
      <c r="A23275" s="6" t="str">
        <f>"AQP5"</f>
        <v>AQP5</v>
      </c>
      <c r="B23275" s="6" t="s">
        <v>1</v>
      </c>
      <c r="C23275" s="6" t="s">
        <v>1</v>
      </c>
    </row>
    <row r="23276" spans="1:3" s="8" customFormat="1" x14ac:dyDescent="0.2">
      <c r="A23276" s="6" t="str">
        <f>"RPN1"</f>
        <v>RPN1</v>
      </c>
      <c r="B23276" s="6" t="s">
        <v>1</v>
      </c>
      <c r="C23276" s="6" t="s">
        <v>1</v>
      </c>
    </row>
    <row r="23277" spans="1:3" s="8" customFormat="1" x14ac:dyDescent="0.2">
      <c r="A23277" s="6" t="str">
        <f>"ECE1"</f>
        <v>ECE1</v>
      </c>
      <c r="B23277" s="6" t="s">
        <v>1</v>
      </c>
      <c r="C23277" s="6" t="s">
        <v>1</v>
      </c>
    </row>
    <row r="23278" spans="1:3" s="8" customFormat="1" x14ac:dyDescent="0.2">
      <c r="A23278" s="6" t="str">
        <f>"SON"</f>
        <v>SON</v>
      </c>
      <c r="B23278" s="6" t="s">
        <v>1</v>
      </c>
      <c r="C23278" s="6" t="s">
        <v>1</v>
      </c>
    </row>
    <row r="23279" spans="1:3" s="8" customFormat="1" x14ac:dyDescent="0.2">
      <c r="A23279" s="6" t="str">
        <f>"TNFSF10"</f>
        <v>TNFSF10</v>
      </c>
      <c r="B23279" s="6" t="s">
        <v>1</v>
      </c>
      <c r="C23279" s="6" t="s">
        <v>1</v>
      </c>
    </row>
    <row r="23280" spans="1:3" s="8" customFormat="1" x14ac:dyDescent="0.2">
      <c r="A23280" s="6" t="str">
        <f>"SORD"</f>
        <v>SORD</v>
      </c>
      <c r="B23280" s="6" t="s">
        <v>1</v>
      </c>
      <c r="C23280" s="6" t="s">
        <v>1</v>
      </c>
    </row>
    <row r="23281" spans="1:3" s="8" customFormat="1" x14ac:dyDescent="0.2">
      <c r="A23281" s="6" t="str">
        <f>"CCN2"</f>
        <v>CCN2</v>
      </c>
      <c r="B23281" s="6" t="s">
        <v>1</v>
      </c>
      <c r="C23281" s="6" t="s">
        <v>1</v>
      </c>
    </row>
    <row r="23282" spans="1:3" s="8" customFormat="1" x14ac:dyDescent="0.2">
      <c r="A23282" s="6" t="str">
        <f>"ASS1"</f>
        <v>ASS1</v>
      </c>
      <c r="B23282" s="6" t="s">
        <v>1</v>
      </c>
      <c r="C23282" s="6" t="s">
        <v>1</v>
      </c>
    </row>
    <row r="23283" spans="1:3" s="8" customFormat="1" x14ac:dyDescent="0.2">
      <c r="A23283" s="6" t="str">
        <f>"MYOF"</f>
        <v>MYOF</v>
      </c>
      <c r="B23283" s="6" t="s">
        <v>1</v>
      </c>
      <c r="C23283" s="6" t="s">
        <v>1</v>
      </c>
    </row>
    <row r="23284" spans="1:3" s="8" customFormat="1" x14ac:dyDescent="0.2">
      <c r="A23284" s="6" t="str">
        <f>"BASP1"</f>
        <v>BASP1</v>
      </c>
      <c r="B23284" s="6" t="s">
        <v>1</v>
      </c>
      <c r="C23284" s="6" t="s">
        <v>1</v>
      </c>
    </row>
    <row r="23285" spans="1:3" s="8" customFormat="1" x14ac:dyDescent="0.2">
      <c r="A23285" s="6" t="str">
        <f>"IGFBP3"</f>
        <v>IGFBP3</v>
      </c>
      <c r="B23285" s="6" t="s">
        <v>1</v>
      </c>
      <c r="C23285" s="6" t="s">
        <v>1</v>
      </c>
    </row>
    <row r="23286" spans="1:3" s="8" customFormat="1" x14ac:dyDescent="0.2">
      <c r="A23286" s="6" t="str">
        <f>"RPLP2"</f>
        <v>RPLP2</v>
      </c>
      <c r="B23286" s="6" t="s">
        <v>1</v>
      </c>
      <c r="C23286" s="6" t="s">
        <v>1</v>
      </c>
    </row>
    <row r="23287" spans="1:3" s="8" customFormat="1" x14ac:dyDescent="0.2">
      <c r="A23287" s="6" t="str">
        <f>"MAGED2"</f>
        <v>MAGED2</v>
      </c>
      <c r="B23287" s="6" t="s">
        <v>1</v>
      </c>
      <c r="C23287" s="6" t="s">
        <v>1</v>
      </c>
    </row>
    <row r="23288" spans="1:3" s="8" customFormat="1" x14ac:dyDescent="0.2">
      <c r="A23288" s="6" t="str">
        <f>"LRP11"</f>
        <v>LRP11</v>
      </c>
      <c r="B23288" s="6" t="s">
        <v>1</v>
      </c>
      <c r="C23288" s="6" t="s">
        <v>1</v>
      </c>
    </row>
    <row r="23289" spans="1:3" s="8" customFormat="1" x14ac:dyDescent="0.2">
      <c r="A23289" s="6" t="str">
        <f>"HNRNPC"</f>
        <v>HNRNPC</v>
      </c>
      <c r="B23289" s="6" t="s">
        <v>1</v>
      </c>
      <c r="C23289" s="6" t="s">
        <v>1</v>
      </c>
    </row>
    <row r="23290" spans="1:3" s="8" customFormat="1" x14ac:dyDescent="0.2">
      <c r="A23290" s="6" t="str">
        <f>"GPX4"</f>
        <v>GPX4</v>
      </c>
      <c r="B23290" s="6" t="s">
        <v>1</v>
      </c>
      <c r="C23290" s="6" t="s">
        <v>1</v>
      </c>
    </row>
    <row r="23291" spans="1:3" s="8" customFormat="1" x14ac:dyDescent="0.2">
      <c r="A23291" s="6" t="str">
        <f>"FAM107B"</f>
        <v>FAM107B</v>
      </c>
      <c r="B23291" s="6" t="s">
        <v>1</v>
      </c>
      <c r="C23291" s="6" t="s">
        <v>1</v>
      </c>
    </row>
    <row r="23292" spans="1:3" s="8" customFormat="1" x14ac:dyDescent="0.2">
      <c r="A23292" s="6" t="str">
        <f>"DNAJA4"</f>
        <v>DNAJA4</v>
      </c>
      <c r="B23292" s="6" t="s">
        <v>1</v>
      </c>
      <c r="C23292" s="6" t="s">
        <v>1</v>
      </c>
    </row>
    <row r="23293" spans="1:3" s="8" customFormat="1" x14ac:dyDescent="0.2">
      <c r="A23293" s="6" t="str">
        <f>"F11R"</f>
        <v>F11R</v>
      </c>
      <c r="B23293" s="6" t="s">
        <v>1</v>
      </c>
      <c r="C23293" s="6" t="s">
        <v>1</v>
      </c>
    </row>
    <row r="23294" spans="1:3" s="8" customFormat="1" x14ac:dyDescent="0.2">
      <c r="A23294" s="6" t="str">
        <f>"PCM1"</f>
        <v>PCM1</v>
      </c>
      <c r="B23294" s="6" t="s">
        <v>1</v>
      </c>
      <c r="C23294" s="6" t="s">
        <v>1</v>
      </c>
    </row>
    <row r="23295" spans="1:3" s="8" customFormat="1" x14ac:dyDescent="0.2">
      <c r="A23295" s="6" t="str">
        <f>"HNRNPF"</f>
        <v>HNRNPF</v>
      </c>
      <c r="B23295" s="6" t="s">
        <v>1</v>
      </c>
      <c r="C23295" s="6" t="s">
        <v>1</v>
      </c>
    </row>
    <row r="23296" spans="1:3" s="8" customFormat="1" x14ac:dyDescent="0.2">
      <c r="A23296" s="6" t="str">
        <f>"IGFBP7"</f>
        <v>IGFBP7</v>
      </c>
      <c r="B23296" s="6" t="s">
        <v>1</v>
      </c>
      <c r="C23296" s="6" t="s">
        <v>1</v>
      </c>
    </row>
    <row r="23297" spans="1:3" s="8" customFormat="1" x14ac:dyDescent="0.2">
      <c r="A23297" s="6" t="str">
        <f>"ADH7"</f>
        <v>ADH7</v>
      </c>
      <c r="B23297" s="6" t="s">
        <v>1</v>
      </c>
      <c r="C23297" s="6" t="s">
        <v>1</v>
      </c>
    </row>
    <row r="23298" spans="1:3" s="8" customFormat="1" x14ac:dyDescent="0.2">
      <c r="A23298" s="6" t="str">
        <f>"GABRP"</f>
        <v>GABRP</v>
      </c>
      <c r="B23298" s="6" t="s">
        <v>1</v>
      </c>
      <c r="C23298" s="6" t="s">
        <v>1</v>
      </c>
    </row>
    <row r="23299" spans="1:3" s="8" customFormat="1" x14ac:dyDescent="0.2">
      <c r="A23299" s="6" t="str">
        <f>"MYL12B"</f>
        <v>MYL12B</v>
      </c>
      <c r="B23299" s="6" t="s">
        <v>1</v>
      </c>
      <c r="C23299" s="6" t="s">
        <v>1</v>
      </c>
    </row>
    <row r="23300" spans="1:3" s="8" customFormat="1" x14ac:dyDescent="0.2">
      <c r="A23300" s="6" t="str">
        <f>"HNRNPUL1"</f>
        <v>HNRNPUL1</v>
      </c>
      <c r="B23300" s="6" t="s">
        <v>1</v>
      </c>
      <c r="C23300" s="6" t="s">
        <v>1</v>
      </c>
    </row>
    <row r="23301" spans="1:3" s="8" customFormat="1" x14ac:dyDescent="0.2">
      <c r="A23301" s="6" t="str">
        <f>"TUBA1B"</f>
        <v>TUBA1B</v>
      </c>
      <c r="B23301" s="6" t="s">
        <v>1</v>
      </c>
      <c r="C23301" s="6" t="s">
        <v>1</v>
      </c>
    </row>
    <row r="23302" spans="1:3" s="8" customFormat="1" x14ac:dyDescent="0.2">
      <c r="A23302" s="6" t="str">
        <f>"LMO7"</f>
        <v>LMO7</v>
      </c>
      <c r="B23302" s="6" t="s">
        <v>1</v>
      </c>
      <c r="C23302" s="6" t="s">
        <v>1</v>
      </c>
    </row>
    <row r="23303" spans="1:3" s="8" customFormat="1" x14ac:dyDescent="0.2">
      <c r="A23303" s="6" t="str">
        <f>"PPDPF"</f>
        <v>PPDPF</v>
      </c>
      <c r="B23303" s="6" t="s">
        <v>1</v>
      </c>
      <c r="C23303" s="6" t="s">
        <v>1</v>
      </c>
    </row>
    <row r="23304" spans="1:3" s="8" customFormat="1" x14ac:dyDescent="0.2">
      <c r="A23304" s="6" t="str">
        <f>"NUMA1"</f>
        <v>NUMA1</v>
      </c>
      <c r="B23304" s="6" t="s">
        <v>1</v>
      </c>
      <c r="C23304" s="6" t="s">
        <v>1</v>
      </c>
    </row>
    <row r="23305" spans="1:3" s="8" customFormat="1" x14ac:dyDescent="0.2">
      <c r="A23305" s="6" t="str">
        <f>"FXYD3"</f>
        <v>FXYD3</v>
      </c>
      <c r="B23305" s="6" t="s">
        <v>1</v>
      </c>
      <c r="C23305" s="6" t="s">
        <v>1</v>
      </c>
    </row>
    <row r="23306" spans="1:3" s="8" customFormat="1" x14ac:dyDescent="0.2">
      <c r="A23306" s="6" t="str">
        <f>"VMO1"</f>
        <v>VMO1</v>
      </c>
      <c r="B23306" s="6" t="s">
        <v>1</v>
      </c>
      <c r="C23306" s="6" t="s">
        <v>1</v>
      </c>
    </row>
    <row r="23307" spans="1:3" s="8" customFormat="1" x14ac:dyDescent="0.2">
      <c r="A23307" s="6" t="str">
        <f>"MSLN"</f>
        <v>MSLN</v>
      </c>
      <c r="B23307" s="6" t="s">
        <v>1</v>
      </c>
      <c r="C23307" s="6" t="s">
        <v>1</v>
      </c>
    </row>
    <row r="23308" spans="1:3" s="8" customFormat="1" x14ac:dyDescent="0.2">
      <c r="A23308" s="6" t="str">
        <f>"PLEKHS1"</f>
        <v>PLEKHS1</v>
      </c>
      <c r="B23308" s="6" t="s">
        <v>1</v>
      </c>
      <c r="C23308" s="6" t="s">
        <v>1</v>
      </c>
    </row>
    <row r="23309" spans="1:3" s="8" customFormat="1" x14ac:dyDescent="0.2">
      <c r="A23309" s="6" t="str">
        <f>"NEAT1"</f>
        <v>NEAT1</v>
      </c>
      <c r="B23309" s="6" t="s">
        <v>1</v>
      </c>
      <c r="C23309" s="6" t="s">
        <v>1</v>
      </c>
    </row>
    <row r="23310" spans="1:3" s="8" customFormat="1" x14ac:dyDescent="0.2">
      <c r="A23310" s="6" t="str">
        <f>"SLC25A6"</f>
        <v>SLC25A6</v>
      </c>
      <c r="B23310" s="6" t="s">
        <v>1</v>
      </c>
      <c r="C23310" s="6" t="s">
        <v>1</v>
      </c>
    </row>
    <row r="23311" spans="1:3" s="8" customFormat="1" x14ac:dyDescent="0.2">
      <c r="A23311" s="6" t="str">
        <f>"OAZ1"</f>
        <v>OAZ1</v>
      </c>
      <c r="B23311" s="6" t="s">
        <v>1</v>
      </c>
      <c r="C23311" s="6" t="s">
        <v>1</v>
      </c>
    </row>
    <row r="23312" spans="1:3" s="8" customFormat="1" x14ac:dyDescent="0.2">
      <c r="A23312" s="6" t="str">
        <f>"C20orf85"</f>
        <v>C20orf85</v>
      </c>
      <c r="B23312" s="6" t="s">
        <v>1</v>
      </c>
      <c r="C23312" s="6" t="s">
        <v>1</v>
      </c>
    </row>
    <row r="23313" spans="1:3" s="8" customFormat="1" x14ac:dyDescent="0.2">
      <c r="A23313" s="6" t="str">
        <f>"RPL5"</f>
        <v>RPL5</v>
      </c>
      <c r="B23313" s="6" t="s">
        <v>1</v>
      </c>
      <c r="C23313" s="6" t="s">
        <v>1</v>
      </c>
    </row>
    <row r="23314" spans="1:3" s="8" customFormat="1" x14ac:dyDescent="0.2">
      <c r="A23314" s="6" t="str">
        <f>"NWD1"</f>
        <v>NWD1</v>
      </c>
      <c r="B23314" s="6" t="s">
        <v>1</v>
      </c>
      <c r="C23314" s="6" t="s">
        <v>1</v>
      </c>
    </row>
    <row r="23315" spans="1:3" s="8" customFormat="1" x14ac:dyDescent="0.2">
      <c r="A23315" s="6" t="str">
        <f>"CAPNS1"</f>
        <v>CAPNS1</v>
      </c>
      <c r="B23315" s="6" t="s">
        <v>1</v>
      </c>
      <c r="C23315" s="6" t="s">
        <v>1</v>
      </c>
    </row>
    <row r="23316" spans="1:3" s="8" customFormat="1" x14ac:dyDescent="0.2">
      <c r="A23316" s="6" t="str">
        <f>"CELSR1"</f>
        <v>CELSR1</v>
      </c>
      <c r="B23316" s="6" t="s">
        <v>1</v>
      </c>
      <c r="C23316" s="6" t="s">
        <v>1</v>
      </c>
    </row>
    <row r="23317" spans="1:3" s="8" customFormat="1" x14ac:dyDescent="0.2">
      <c r="A23317" s="6" t="str">
        <f>"LGALS3BP"</f>
        <v>LGALS3BP</v>
      </c>
      <c r="B23317" s="6" t="s">
        <v>1</v>
      </c>
      <c r="C23317" s="6" t="s">
        <v>1</v>
      </c>
    </row>
    <row r="23318" spans="1:3" s="8" customFormat="1" x14ac:dyDescent="0.2">
      <c r="A23318" s="6" t="str">
        <f>"ENO1"</f>
        <v>ENO1</v>
      </c>
      <c r="B23318" s="6" t="s">
        <v>1</v>
      </c>
      <c r="C23318" s="6" t="s">
        <v>1</v>
      </c>
    </row>
    <row r="23319" spans="1:3" s="8" customFormat="1" x14ac:dyDescent="0.2">
      <c r="A23319" s="6" t="str">
        <f>"PPIA"</f>
        <v>PPIA</v>
      </c>
      <c r="B23319" s="6" t="s">
        <v>1</v>
      </c>
      <c r="C23319" s="6" t="s">
        <v>1</v>
      </c>
    </row>
    <row r="23320" spans="1:3" s="8" customFormat="1" x14ac:dyDescent="0.2">
      <c r="A23320" s="6" t="str">
        <f>"RPL6"</f>
        <v>RPL6</v>
      </c>
      <c r="B23320" s="6" t="s">
        <v>1</v>
      </c>
      <c r="C23320" s="6" t="s">
        <v>1</v>
      </c>
    </row>
    <row r="23321" spans="1:3" s="8" customFormat="1" x14ac:dyDescent="0.2">
      <c r="A23321" s="6" t="str">
        <f>"BSG"</f>
        <v>BSG</v>
      </c>
      <c r="B23321" s="6" t="s">
        <v>1</v>
      </c>
      <c r="C23321" s="6" t="s">
        <v>1</v>
      </c>
    </row>
    <row r="23322" spans="1:3" s="8" customFormat="1" x14ac:dyDescent="0.2">
      <c r="A23322" s="6" t="str">
        <f>"JUP"</f>
        <v>JUP</v>
      </c>
      <c r="B23322" s="6" t="s">
        <v>1</v>
      </c>
      <c r="C23322" s="6" t="s">
        <v>1</v>
      </c>
    </row>
    <row r="23323" spans="1:3" s="8" customFormat="1" x14ac:dyDescent="0.2">
      <c r="A23323" s="6" t="str">
        <f>"NORAD"</f>
        <v>NORAD</v>
      </c>
      <c r="B23323" s="6" t="s">
        <v>1</v>
      </c>
      <c r="C23323" s="6" t="s">
        <v>1</v>
      </c>
    </row>
    <row r="23324" spans="1:3" s="8" customFormat="1" x14ac:dyDescent="0.2">
      <c r="A23324" s="6" t="str">
        <f>"CRIP1"</f>
        <v>CRIP1</v>
      </c>
      <c r="B23324" s="6" t="s">
        <v>1</v>
      </c>
      <c r="C23324" s="6" t="s">
        <v>1</v>
      </c>
    </row>
    <row r="23325" spans="1:3" s="8" customFormat="1" x14ac:dyDescent="0.2">
      <c r="A23325" s="6" t="str">
        <f>"SRRM2"</f>
        <v>SRRM2</v>
      </c>
      <c r="B23325" s="6" t="s">
        <v>1</v>
      </c>
      <c r="C23325" s="6" t="s">
        <v>1</v>
      </c>
    </row>
    <row r="23326" spans="1:3" s="8" customFormat="1" x14ac:dyDescent="0.2">
      <c r="A23326" s="6" t="str">
        <f>"CYP2F1"</f>
        <v>CYP2F1</v>
      </c>
      <c r="B23326" s="6" t="s">
        <v>1</v>
      </c>
      <c r="C23326" s="6" t="s">
        <v>1</v>
      </c>
    </row>
    <row r="23327" spans="1:3" s="8" customFormat="1" x14ac:dyDescent="0.2">
      <c r="A23327" s="6" t="str">
        <f>"CAST"</f>
        <v>CAST</v>
      </c>
      <c r="B23327" s="6" t="s">
        <v>1</v>
      </c>
      <c r="C23327" s="6" t="s">
        <v>1</v>
      </c>
    </row>
    <row r="23328" spans="1:3" s="8" customFormat="1" x14ac:dyDescent="0.2">
      <c r="A23328" s="6" t="str">
        <f>"RPL7"</f>
        <v>RPL7</v>
      </c>
      <c r="B23328" s="6" t="s">
        <v>1</v>
      </c>
      <c r="C23328" s="6" t="s">
        <v>1</v>
      </c>
    </row>
    <row r="23329" spans="1:3" s="8" customFormat="1" x14ac:dyDescent="0.2">
      <c r="A23329" s="6" t="str">
        <f>"H3-3B"</f>
        <v>H3-3B</v>
      </c>
      <c r="B23329" s="6" t="s">
        <v>1</v>
      </c>
      <c r="C23329" s="6" t="s">
        <v>1</v>
      </c>
    </row>
    <row r="23330" spans="1:3" s="8" customFormat="1" x14ac:dyDescent="0.2">
      <c r="A23330" s="6" t="str">
        <f>"KLF5"</f>
        <v>KLF5</v>
      </c>
      <c r="B23330" s="6" t="s">
        <v>1</v>
      </c>
      <c r="C23330" s="6" t="s">
        <v>1</v>
      </c>
    </row>
    <row r="23331" spans="1:3" s="8" customFormat="1" x14ac:dyDescent="0.2">
      <c r="A23331" s="6" t="str">
        <f>"HNRNPU"</f>
        <v>HNRNPU</v>
      </c>
      <c r="B23331" s="6" t="s">
        <v>1</v>
      </c>
      <c r="C23331" s="6" t="s">
        <v>1</v>
      </c>
    </row>
    <row r="23332" spans="1:3" s="8" customFormat="1" x14ac:dyDescent="0.2">
      <c r="A23332" s="6" t="str">
        <f>"LYZ"</f>
        <v>LYZ</v>
      </c>
      <c r="B23332" s="6" t="s">
        <v>1</v>
      </c>
      <c r="C23332" s="6" t="s">
        <v>1</v>
      </c>
    </row>
    <row r="23333" spans="1:3" s="8" customFormat="1" x14ac:dyDescent="0.2">
      <c r="A23333" s="6" t="str">
        <f>"HNRNPK"</f>
        <v>HNRNPK</v>
      </c>
      <c r="B23333" s="6" t="s">
        <v>1</v>
      </c>
      <c r="C23333" s="6" t="s">
        <v>1</v>
      </c>
    </row>
    <row r="23334" spans="1:3" s="8" customFormat="1" x14ac:dyDescent="0.2">
      <c r="A23334" s="6" t="str">
        <f>"SOD2"</f>
        <v>SOD2</v>
      </c>
      <c r="B23334" s="6" t="s">
        <v>1</v>
      </c>
      <c r="C23334" s="6" t="s">
        <v>1</v>
      </c>
    </row>
    <row r="23335" spans="1:3" s="8" customFormat="1" x14ac:dyDescent="0.2">
      <c r="A23335" s="6" t="str">
        <f>"ADH1C"</f>
        <v>ADH1C</v>
      </c>
      <c r="B23335" s="6" t="s">
        <v>1</v>
      </c>
      <c r="C23335" s="6" t="s">
        <v>1</v>
      </c>
    </row>
    <row r="23336" spans="1:3" s="8" customFormat="1" x14ac:dyDescent="0.2">
      <c r="A23336" s="6" t="str">
        <f>"LRP10"</f>
        <v>LRP10</v>
      </c>
      <c r="B23336" s="6" t="s">
        <v>1</v>
      </c>
      <c r="C23336" s="6" t="s">
        <v>1</v>
      </c>
    </row>
    <row r="23337" spans="1:3" s="8" customFormat="1" x14ac:dyDescent="0.2">
      <c r="A23337" s="6" t="str">
        <f>"APP"</f>
        <v>APP</v>
      </c>
      <c r="B23337" s="6" t="s">
        <v>1</v>
      </c>
      <c r="C23337" s="6" t="s">
        <v>1</v>
      </c>
    </row>
    <row r="23338" spans="1:3" s="8" customFormat="1" x14ac:dyDescent="0.2">
      <c r="A23338" s="6" t="str">
        <f>"CEACAM6"</f>
        <v>CEACAM6</v>
      </c>
      <c r="B23338" s="6" t="s">
        <v>1</v>
      </c>
      <c r="C23338" s="6" t="s">
        <v>1</v>
      </c>
    </row>
    <row r="23339" spans="1:3" s="8" customFormat="1" x14ac:dyDescent="0.2">
      <c r="A23339" s="6" t="str">
        <f>"CYP4B1"</f>
        <v>CYP4B1</v>
      </c>
      <c r="B23339" s="6" t="s">
        <v>1</v>
      </c>
      <c r="C23339" s="6" t="s">
        <v>1</v>
      </c>
    </row>
    <row r="23340" spans="1:3" s="8" customFormat="1" x14ac:dyDescent="0.2">
      <c r="A23340" s="6" t="str">
        <f>"HNRNPA1"</f>
        <v>HNRNPA1</v>
      </c>
      <c r="B23340" s="6" t="s">
        <v>1</v>
      </c>
      <c r="C23340" s="6" t="s">
        <v>1</v>
      </c>
    </row>
    <row r="23341" spans="1:3" s="8" customFormat="1" x14ac:dyDescent="0.2">
      <c r="A23341" s="6" t="str">
        <f>"MYH9"</f>
        <v>MYH9</v>
      </c>
      <c r="B23341" s="6" t="s">
        <v>1</v>
      </c>
      <c r="C23341" s="6" t="s">
        <v>1</v>
      </c>
    </row>
    <row r="23342" spans="1:3" s="8" customFormat="1" x14ac:dyDescent="0.2">
      <c r="A23342" s="6" t="str">
        <f>"PROM1"</f>
        <v>PROM1</v>
      </c>
      <c r="B23342" s="6" t="s">
        <v>1</v>
      </c>
      <c r="C23342" s="6" t="s">
        <v>1</v>
      </c>
    </row>
    <row r="23343" spans="1:3" s="8" customFormat="1" x14ac:dyDescent="0.2">
      <c r="A23343" s="6" t="str">
        <f>"IGFBP2"</f>
        <v>IGFBP2</v>
      </c>
      <c r="B23343" s="6" t="s">
        <v>1</v>
      </c>
      <c r="C23343" s="6" t="s">
        <v>1</v>
      </c>
    </row>
    <row r="23344" spans="1:3" s="8" customFormat="1" x14ac:dyDescent="0.2">
      <c r="A23344" s="6" t="str">
        <f>"HNRNPA2B1"</f>
        <v>HNRNPA2B1</v>
      </c>
      <c r="B23344" s="6" t="s">
        <v>1</v>
      </c>
      <c r="C23344" s="6" t="s">
        <v>1</v>
      </c>
    </row>
    <row r="23345" spans="1:3" s="8" customFormat="1" x14ac:dyDescent="0.2">
      <c r="A23345" s="6" t="str">
        <f>"ALDH3B1"</f>
        <v>ALDH3B1</v>
      </c>
      <c r="B23345" s="6" t="s">
        <v>1</v>
      </c>
      <c r="C23345" s="6" t="s">
        <v>1</v>
      </c>
    </row>
    <row r="23346" spans="1:3" s="8" customFormat="1" x14ac:dyDescent="0.2">
      <c r="A23346" s="6" t="str">
        <f>"H3-3A"</f>
        <v>H3-3A</v>
      </c>
      <c r="B23346" s="6" t="s">
        <v>1</v>
      </c>
      <c r="C23346" s="6" t="s">
        <v>1</v>
      </c>
    </row>
    <row r="23347" spans="1:3" s="8" customFormat="1" x14ac:dyDescent="0.2">
      <c r="A23347" s="6" t="str">
        <f>"RPL7A"</f>
        <v>RPL7A</v>
      </c>
      <c r="B23347" s="6" t="s">
        <v>1</v>
      </c>
      <c r="C23347" s="6" t="s">
        <v>1</v>
      </c>
    </row>
    <row r="23348" spans="1:3" s="8" customFormat="1" x14ac:dyDescent="0.2">
      <c r="A23348" s="6" t="str">
        <f>"S100P"</f>
        <v>S100P</v>
      </c>
      <c r="B23348" s="6" t="s">
        <v>1</v>
      </c>
      <c r="C23348" s="6" t="s">
        <v>1</v>
      </c>
    </row>
    <row r="23349" spans="1:3" s="8" customFormat="1" x14ac:dyDescent="0.2">
      <c r="A23349" s="6" t="str">
        <f>"MYL6"</f>
        <v>MYL6</v>
      </c>
      <c r="B23349" s="6" t="s">
        <v>1</v>
      </c>
      <c r="C23349" s="6" t="s">
        <v>1</v>
      </c>
    </row>
    <row r="23350" spans="1:3" s="8" customFormat="1" x14ac:dyDescent="0.2">
      <c r="A23350" s="6" t="str">
        <f>"ALCAM"</f>
        <v>ALCAM</v>
      </c>
      <c r="B23350" s="6" t="s">
        <v>1</v>
      </c>
      <c r="C23350" s="6" t="s">
        <v>1</v>
      </c>
    </row>
    <row r="23351" spans="1:3" s="8" customFormat="1" x14ac:dyDescent="0.2">
      <c r="A23351" s="6" t="str">
        <f>"DDX5"</f>
        <v>DDX5</v>
      </c>
      <c r="B23351" s="6" t="s">
        <v>1</v>
      </c>
      <c r="C23351" s="6" t="s">
        <v>1</v>
      </c>
    </row>
    <row r="23352" spans="1:3" s="8" customFormat="1" x14ac:dyDescent="0.2">
      <c r="A23352" s="6" t="str">
        <f>"C3"</f>
        <v>C3</v>
      </c>
      <c r="B23352" s="6" t="s">
        <v>1</v>
      </c>
      <c r="C23352" s="6" t="s">
        <v>1</v>
      </c>
    </row>
    <row r="23353" spans="1:3" s="8" customFormat="1" x14ac:dyDescent="0.2">
      <c r="A23353" s="6" t="str">
        <f>"MYH14"</f>
        <v>MYH14</v>
      </c>
      <c r="B23353" s="6" t="s">
        <v>1</v>
      </c>
      <c r="C23353" s="6" t="s">
        <v>1</v>
      </c>
    </row>
    <row r="23354" spans="1:3" s="8" customFormat="1" x14ac:dyDescent="0.2">
      <c r="A23354" s="6" t="str">
        <f>"S100A9"</f>
        <v>S100A9</v>
      </c>
      <c r="B23354" s="6" t="s">
        <v>1</v>
      </c>
      <c r="C23354" s="6" t="s">
        <v>1</v>
      </c>
    </row>
    <row r="23355" spans="1:3" s="8" customFormat="1" x14ac:dyDescent="0.2">
      <c r="A23355" s="6" t="str">
        <f>"LGALS3"</f>
        <v>LGALS3</v>
      </c>
      <c r="B23355" s="6" t="s">
        <v>1</v>
      </c>
      <c r="C23355" s="6" t="s">
        <v>1</v>
      </c>
    </row>
    <row r="23356" spans="1:3" s="8" customFormat="1" x14ac:dyDescent="0.2">
      <c r="A23356" s="6" t="str">
        <f>"APLP2"</f>
        <v>APLP2</v>
      </c>
      <c r="B23356" s="6" t="s">
        <v>1</v>
      </c>
      <c r="C23356" s="6" t="s">
        <v>1</v>
      </c>
    </row>
    <row r="23357" spans="1:3" s="8" customFormat="1" x14ac:dyDescent="0.2">
      <c r="A23357" s="6" t="str">
        <f>"P4HB"</f>
        <v>P4HB</v>
      </c>
      <c r="B23357" s="6" t="s">
        <v>1</v>
      </c>
      <c r="C23357" s="6" t="s">
        <v>1</v>
      </c>
    </row>
    <row r="23358" spans="1:3" s="8" customFormat="1" x14ac:dyDescent="0.2">
      <c r="A23358" s="6" t="str">
        <f>"F3"</f>
        <v>F3</v>
      </c>
      <c r="B23358" s="6" t="s">
        <v>1</v>
      </c>
      <c r="C23358" s="6" t="s">
        <v>1</v>
      </c>
    </row>
    <row r="23359" spans="1:3" s="8" customFormat="1" x14ac:dyDescent="0.2">
      <c r="A23359" s="6" t="str">
        <f>"RPL8"</f>
        <v>RPL8</v>
      </c>
      <c r="B23359" s="6" t="s">
        <v>1</v>
      </c>
      <c r="C23359" s="6" t="s">
        <v>1</v>
      </c>
    </row>
    <row r="23360" spans="1:3" s="8" customFormat="1" x14ac:dyDescent="0.2">
      <c r="A23360" s="6" t="str">
        <f>"ALDOA"</f>
        <v>ALDOA</v>
      </c>
      <c r="B23360" s="6" t="s">
        <v>1</v>
      </c>
      <c r="C23360" s="6" t="s">
        <v>1</v>
      </c>
    </row>
    <row r="23361" spans="1:3" s="8" customFormat="1" x14ac:dyDescent="0.2">
      <c r="A23361" s="6" t="str">
        <f>"MSMB"</f>
        <v>MSMB</v>
      </c>
      <c r="B23361" s="6" t="s">
        <v>1</v>
      </c>
      <c r="C23361" s="6" t="s">
        <v>1</v>
      </c>
    </row>
    <row r="23362" spans="1:3" s="8" customFormat="1" x14ac:dyDescent="0.2">
      <c r="A23362" s="6" t="str">
        <f>"TUBA1A"</f>
        <v>TUBA1A</v>
      </c>
      <c r="B23362" s="6" t="s">
        <v>1</v>
      </c>
      <c r="C23362" s="6" t="s">
        <v>1</v>
      </c>
    </row>
    <row r="23363" spans="1:3" s="8" customFormat="1" x14ac:dyDescent="0.2">
      <c r="A23363" s="6" t="str">
        <f>"RPLP1"</f>
        <v>RPLP1</v>
      </c>
      <c r="B23363" s="6" t="s">
        <v>1</v>
      </c>
      <c r="C23363" s="6" t="s">
        <v>1</v>
      </c>
    </row>
    <row r="23364" spans="1:3" s="8" customFormat="1" x14ac:dyDescent="0.2">
      <c r="A23364" s="6" t="str">
        <f>"PTMA"</f>
        <v>PTMA</v>
      </c>
      <c r="B23364" s="6" t="s">
        <v>1</v>
      </c>
      <c r="C23364" s="6" t="s">
        <v>1</v>
      </c>
    </row>
    <row r="23365" spans="1:3" s="8" customFormat="1" x14ac:dyDescent="0.2">
      <c r="A23365" s="6" t="str">
        <f>"PABPC1"</f>
        <v>PABPC1</v>
      </c>
      <c r="B23365" s="6" t="s">
        <v>1</v>
      </c>
      <c r="C23365" s="6" t="s">
        <v>1</v>
      </c>
    </row>
    <row r="23366" spans="1:3" s="8" customFormat="1" x14ac:dyDescent="0.2">
      <c r="A23366" s="6" t="str">
        <f>"SLPI"</f>
        <v>SLPI</v>
      </c>
      <c r="B23366" s="6" t="s">
        <v>1</v>
      </c>
      <c r="C23366" s="6" t="s">
        <v>1</v>
      </c>
    </row>
    <row r="23367" spans="1:3" s="8" customFormat="1" x14ac:dyDescent="0.2">
      <c r="A23367" s="6" t="str">
        <f>"RPLP0"</f>
        <v>RPLP0</v>
      </c>
      <c r="B23367" s="6" t="s">
        <v>1</v>
      </c>
      <c r="C23367" s="6" t="s">
        <v>1</v>
      </c>
    </row>
    <row r="23368" spans="1:3" s="8" customFormat="1" x14ac:dyDescent="0.2">
      <c r="A23368" s="6" t="str">
        <f>"RPL41"</f>
        <v>RPL41</v>
      </c>
      <c r="B23368" s="6" t="s">
        <v>1</v>
      </c>
      <c r="C23368" s="6" t="s">
        <v>1</v>
      </c>
    </row>
    <row r="23369" spans="1:3" s="8" customFormat="1" x14ac:dyDescent="0.2">
      <c r="A23369" s="6" t="str">
        <f>"ALDH3A1"</f>
        <v>ALDH3A1</v>
      </c>
      <c r="B23369" s="6" t="s">
        <v>1</v>
      </c>
      <c r="C23369" s="6" t="s">
        <v>1</v>
      </c>
    </row>
    <row r="23370" spans="1:3" s="8" customFormat="1" x14ac:dyDescent="0.2">
      <c r="A23370" s="6" t="str">
        <f>"ALDH1A1"</f>
        <v>ALDH1A1</v>
      </c>
      <c r="B23370" s="6" t="s">
        <v>1</v>
      </c>
      <c r="C23370" s="6" t="s">
        <v>1</v>
      </c>
    </row>
    <row r="23371" spans="1:3" s="8" customFormat="1" x14ac:dyDescent="0.2">
      <c r="A23371" s="6" t="str">
        <f>"S100A6"</f>
        <v>S100A6</v>
      </c>
      <c r="B23371" s="6" t="s">
        <v>1</v>
      </c>
      <c r="C23371" s="6" t="s">
        <v>1</v>
      </c>
    </row>
    <row r="23372" spans="1:3" s="8" customFormat="1" x14ac:dyDescent="0.2">
      <c r="A23372" s="6" t="str">
        <f>"CEACAM5"</f>
        <v>CEACAM5</v>
      </c>
      <c r="B23372" s="6" t="s">
        <v>1</v>
      </c>
      <c r="C23372" s="6" t="s">
        <v>1</v>
      </c>
    </row>
    <row r="23373" spans="1:3" s="8" customFormat="1" x14ac:dyDescent="0.2">
      <c r="A23373" s="6" t="str">
        <f>"CAPS"</f>
        <v>CAPS</v>
      </c>
      <c r="B23373" s="6" t="s">
        <v>1</v>
      </c>
      <c r="C23373" s="6" t="s">
        <v>1</v>
      </c>
    </row>
    <row r="23374" spans="1:3" s="8" customFormat="1" x14ac:dyDescent="0.2">
      <c r="A23374" s="6" t="str">
        <f>"EZR"</f>
        <v>EZR</v>
      </c>
      <c r="B23374" s="6" t="s">
        <v>1</v>
      </c>
      <c r="C23374" s="6" t="s">
        <v>1</v>
      </c>
    </row>
    <row r="23375" spans="1:3" s="8" customFormat="1" x14ac:dyDescent="0.2">
      <c r="A23375" s="6" t="str">
        <f>"LCN2"</f>
        <v>LCN2</v>
      </c>
      <c r="B23375" s="6" t="s">
        <v>1</v>
      </c>
      <c r="C23375" s="6" t="s">
        <v>1</v>
      </c>
    </row>
    <row r="23376" spans="1:3" s="8" customFormat="1" x14ac:dyDescent="0.2">
      <c r="A23376" s="6" t="str">
        <f>"GLUL"</f>
        <v>GLUL</v>
      </c>
      <c r="B23376" s="6" t="s">
        <v>1</v>
      </c>
      <c r="C23376" s="6" t="s">
        <v>1</v>
      </c>
    </row>
    <row r="23377" spans="1:3" s="8" customFormat="1" x14ac:dyDescent="0.2">
      <c r="A23377" s="6" t="str">
        <f>"AQP3"</f>
        <v>AQP3</v>
      </c>
      <c r="B23377" s="6" t="s">
        <v>1</v>
      </c>
      <c r="C23377" s="6" t="s">
        <v>1</v>
      </c>
    </row>
    <row r="23378" spans="1:3" s="8" customFormat="1" x14ac:dyDescent="0.2">
      <c r="A23378" s="6" t="str">
        <f>"EEF1A1"</f>
        <v>EEF1A1</v>
      </c>
      <c r="B23378" s="6" t="s">
        <v>1</v>
      </c>
      <c r="C23378" s="6" t="s">
        <v>1</v>
      </c>
    </row>
  </sheetData>
  <autoFilter ref="A1:C1" xr:uid="{DD23487A-D259-934D-BF49-BD327C0085B6}">
    <sortState xmlns:xlrd2="http://schemas.microsoft.com/office/spreadsheetml/2017/richdata2" ref="A2:C23378">
      <sortCondition ref="C1:C23378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timecourse DEGs - no outliers</vt:lpstr>
      <vt:lpstr>timecourse DEGs - with outliers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Vladar, Eszter</dc:creator>
  <cp:lastModifiedBy>Vladar, Eszter</cp:lastModifiedBy>
  <dcterms:created xsi:type="dcterms:W3CDTF">2024-12-11T23:08:13Z</dcterms:created>
  <dcterms:modified xsi:type="dcterms:W3CDTF">2024-12-11T23:23:39Z</dcterms:modified>
</cp:coreProperties>
</file>